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-12" windowWidth="10620" windowHeight="10236" tabRatio="256"/>
  </bookViews>
  <sheets>
    <sheet name="Summary" sheetId="3" r:id="rId1"/>
    <sheet name="Stories" sheetId="1" r:id="rId2"/>
    <sheet name="Numbers" sheetId="2" r:id="rId3"/>
    <sheet name="Checking" sheetId="4" r:id="rId4"/>
  </sheets>
  <definedNames>
    <definedName name="_xlnm._FilterDatabase" localSheetId="1" hidden="1">Stories!$A$1:$AC$5067</definedName>
    <definedName name="_xlnm.Print_Area" localSheetId="1">Stories!$A$1:$AC$5256</definedName>
    <definedName name="_xlnm.Print_Titles" localSheetId="1">Stories!$A:$E,Stories!$1:$1</definedName>
  </definedNames>
  <calcPr calcId="145621"/>
</workbook>
</file>

<file path=xl/calcChain.xml><?xml version="1.0" encoding="utf-8"?>
<calcChain xmlns="http://schemas.openxmlformats.org/spreadsheetml/2006/main">
  <c r="AF5399" i="1" l="1"/>
  <c r="AF5388" i="1"/>
  <c r="AF5389" i="1" s="1"/>
  <c r="AF5390" i="1" s="1"/>
  <c r="AF5391" i="1" s="1"/>
  <c r="AF5392" i="1" s="1"/>
  <c r="AF5393" i="1" s="1"/>
  <c r="AF5394" i="1" s="1"/>
  <c r="AF5395" i="1" s="1"/>
  <c r="AF5396" i="1" s="1"/>
  <c r="AF5397" i="1" s="1"/>
  <c r="AF5398" i="1" s="1"/>
  <c r="AF5387" i="1"/>
  <c r="AF5376" i="1"/>
  <c r="AF5377" i="1" s="1"/>
  <c r="AF5378" i="1" s="1"/>
  <c r="AF5379" i="1" s="1"/>
  <c r="AF5380" i="1" s="1"/>
  <c r="AF5381" i="1" s="1"/>
  <c r="AF5382" i="1" s="1"/>
  <c r="AF5383" i="1" s="1"/>
  <c r="AF5384" i="1" s="1"/>
  <c r="AF5385" i="1" s="1"/>
  <c r="AF5386" i="1" s="1"/>
  <c r="AF5364" i="1"/>
  <c r="AF5365" i="1" s="1"/>
  <c r="AF5366" i="1" s="1"/>
  <c r="AF5367" i="1" s="1"/>
  <c r="AF5368" i="1" s="1"/>
  <c r="AF5369" i="1" s="1"/>
  <c r="AF5370" i="1" s="1"/>
  <c r="AF5371" i="1" s="1"/>
  <c r="AF5372" i="1" s="1"/>
  <c r="AF5373" i="1" s="1"/>
  <c r="AF5374" i="1" s="1"/>
  <c r="AF5375" i="1" s="1"/>
  <c r="AF5363" i="1"/>
  <c r="AF5352" i="1"/>
  <c r="AF5353" i="1" s="1"/>
  <c r="AF5354" i="1" s="1"/>
  <c r="AF5355" i="1" s="1"/>
  <c r="AF5356" i="1" s="1"/>
  <c r="AF5357" i="1" s="1"/>
  <c r="AF5358" i="1" s="1"/>
  <c r="AF5359" i="1" s="1"/>
  <c r="AF5360" i="1" s="1"/>
  <c r="AF5361" i="1" s="1"/>
  <c r="AF5362" i="1" s="1"/>
  <c r="AF5351" i="1"/>
  <c r="AF5350" i="1"/>
  <c r="AF5316" i="1"/>
  <c r="AF5317" i="1" s="1"/>
  <c r="AF5318" i="1" s="1"/>
  <c r="AF5319" i="1" s="1"/>
  <c r="AF5320" i="1" s="1"/>
  <c r="AF5321" i="1" s="1"/>
  <c r="AF5322" i="1" s="1"/>
  <c r="AF5323" i="1" s="1"/>
  <c r="AF5324" i="1" s="1"/>
  <c r="AF5325" i="1" s="1"/>
  <c r="AF5326" i="1" s="1"/>
  <c r="AF5327" i="1" s="1"/>
  <c r="AF5328" i="1" s="1"/>
  <c r="AF5329" i="1" s="1"/>
  <c r="AF5330" i="1" s="1"/>
  <c r="AF5331" i="1" s="1"/>
  <c r="AF5332" i="1" s="1"/>
  <c r="AF5333" i="1" s="1"/>
  <c r="AF5334" i="1" s="1"/>
  <c r="AF5335" i="1" s="1"/>
  <c r="AF5336" i="1" s="1"/>
  <c r="AF5337" i="1" s="1"/>
  <c r="AF5338" i="1" s="1"/>
  <c r="AF5339" i="1" s="1"/>
  <c r="AF5340" i="1" s="1"/>
  <c r="AF5341" i="1" s="1"/>
  <c r="AF5342" i="1" s="1"/>
  <c r="AF5343" i="1" s="1"/>
  <c r="AF5344" i="1" s="1"/>
  <c r="AF5345" i="1" s="1"/>
  <c r="AF5346" i="1" s="1"/>
  <c r="AF5347" i="1" s="1"/>
  <c r="AF5348" i="1" s="1"/>
  <c r="AF5349" i="1" s="1"/>
  <c r="AF5315" i="1"/>
  <c r="AF5314" i="1"/>
  <c r="AF5308" i="1"/>
  <c r="AF5309" i="1" s="1"/>
  <c r="AF5310" i="1" s="1"/>
  <c r="AF5311" i="1" s="1"/>
  <c r="AF5312" i="1" s="1"/>
  <c r="AF5313" i="1" s="1"/>
  <c r="AF5307" i="1"/>
  <c r="AF5288" i="1"/>
  <c r="AF5289" i="1" s="1"/>
  <c r="AF5290" i="1" s="1"/>
  <c r="AF5291" i="1" s="1"/>
  <c r="AF5292" i="1" s="1"/>
  <c r="AF5293" i="1" s="1"/>
  <c r="AF5294" i="1" s="1"/>
  <c r="AF5295" i="1" s="1"/>
  <c r="AF5296" i="1" s="1"/>
  <c r="AF5297" i="1" s="1"/>
  <c r="AF5298" i="1" s="1"/>
  <c r="AF5299" i="1" s="1"/>
  <c r="AF5300" i="1" s="1"/>
  <c r="AF5301" i="1" s="1"/>
  <c r="AF5302" i="1" s="1"/>
  <c r="AF5303" i="1" s="1"/>
  <c r="AF5304" i="1" s="1"/>
  <c r="AF5305" i="1" s="1"/>
  <c r="AF5306" i="1" s="1"/>
  <c r="AF5284" i="1"/>
  <c r="AF5285" i="1" s="1"/>
  <c r="AF5286" i="1" s="1"/>
  <c r="AF5287" i="1" s="1"/>
  <c r="AF5272" i="1"/>
  <c r="AF5273" i="1" s="1"/>
  <c r="AF5274" i="1" s="1"/>
  <c r="AF5275" i="1" s="1"/>
  <c r="AF5276" i="1" s="1"/>
  <c r="AF5277" i="1" s="1"/>
  <c r="AF5278" i="1" s="1"/>
  <c r="AF5279" i="1" s="1"/>
  <c r="AF5280" i="1" s="1"/>
  <c r="AF5281" i="1" s="1"/>
  <c r="AF5282" i="1" s="1"/>
  <c r="AF5283" i="1" s="1"/>
  <c r="AF5268" i="1"/>
  <c r="AF5269" i="1" s="1"/>
  <c r="AF5270" i="1" s="1"/>
  <c r="AF5271" i="1" s="1"/>
  <c r="AF5228" i="1"/>
  <c r="AF5229" i="1" s="1"/>
  <c r="AF5230" i="1" s="1"/>
  <c r="AF5231" i="1" s="1"/>
  <c r="AF5232" i="1" s="1"/>
  <c r="AF5233" i="1" s="1"/>
  <c r="AF5234" i="1" s="1"/>
  <c r="AF5235" i="1" s="1"/>
  <c r="AF5236" i="1" s="1"/>
  <c r="AF5237" i="1" s="1"/>
  <c r="AF5238" i="1" s="1"/>
  <c r="AF5239" i="1" s="1"/>
  <c r="AF5240" i="1" s="1"/>
  <c r="AF5241" i="1" s="1"/>
  <c r="AF5242" i="1" s="1"/>
  <c r="AF5243" i="1" s="1"/>
  <c r="AF5244" i="1" s="1"/>
  <c r="AF5245" i="1" s="1"/>
  <c r="AF5246" i="1" s="1"/>
  <c r="AF5247" i="1" s="1"/>
  <c r="AF5248" i="1" s="1"/>
  <c r="AF5249" i="1" s="1"/>
  <c r="AF5250" i="1" s="1"/>
  <c r="AF5251" i="1" s="1"/>
  <c r="AF5252" i="1" s="1"/>
  <c r="AF5253" i="1" s="1"/>
  <c r="AF5254" i="1" s="1"/>
  <c r="AF5255" i="1" s="1"/>
  <c r="AF5256" i="1" s="1"/>
  <c r="AF5257" i="1" s="1"/>
  <c r="AF5258" i="1" s="1"/>
  <c r="AF5259" i="1" s="1"/>
  <c r="AF5260" i="1" s="1"/>
  <c r="AF5261" i="1" s="1"/>
  <c r="AF5262" i="1" s="1"/>
  <c r="AF5263" i="1" s="1"/>
  <c r="AF5264" i="1" s="1"/>
  <c r="AF5265" i="1" s="1"/>
  <c r="AF5266" i="1" s="1"/>
  <c r="AF5267" i="1" s="1"/>
  <c r="AF5220" i="1"/>
  <c r="AF5221" i="1" s="1"/>
  <c r="AF5222" i="1" s="1"/>
  <c r="AF5223" i="1" s="1"/>
  <c r="AF5224" i="1" s="1"/>
  <c r="AF5225" i="1" s="1"/>
  <c r="AF5226" i="1" s="1"/>
  <c r="AF5227" i="1" s="1"/>
  <c r="AF5219" i="1"/>
  <c r="AF5218" i="1"/>
  <c r="AF5201" i="1"/>
  <c r="AF5202" i="1" s="1"/>
  <c r="AF5203" i="1" s="1"/>
  <c r="AF5204" i="1" s="1"/>
  <c r="AF5205" i="1" s="1"/>
  <c r="AF5206" i="1" s="1"/>
  <c r="AF5207" i="1" s="1"/>
  <c r="AF5208" i="1" s="1"/>
  <c r="AF5209" i="1" s="1"/>
  <c r="AF5210" i="1" s="1"/>
  <c r="AF5211" i="1" s="1"/>
  <c r="AF5212" i="1" s="1"/>
  <c r="AF5213" i="1" s="1"/>
  <c r="AF5214" i="1" s="1"/>
  <c r="AF5215" i="1" s="1"/>
  <c r="AF5216" i="1" s="1"/>
  <c r="AF5217" i="1" s="1"/>
  <c r="AF5191" i="1"/>
  <c r="AF5192" i="1" s="1"/>
  <c r="AF5193" i="1" s="1"/>
  <c r="AF5194" i="1" s="1"/>
  <c r="AF5195" i="1" s="1"/>
  <c r="AF5196" i="1" s="1"/>
  <c r="AF5197" i="1" s="1"/>
  <c r="AF5198" i="1" s="1"/>
  <c r="AF5199" i="1" s="1"/>
  <c r="AF5200" i="1" s="1"/>
  <c r="AF5187" i="1"/>
  <c r="AF5188" i="1" s="1"/>
  <c r="AF5189" i="1" s="1"/>
  <c r="AF5190" i="1" s="1"/>
  <c r="AF5186" i="1"/>
  <c r="AF5185" i="1"/>
  <c r="AF5160" i="1"/>
  <c r="AF5161" i="1" s="1"/>
  <c r="AF5162" i="1" s="1"/>
  <c r="AF5163" i="1" s="1"/>
  <c r="AF5164" i="1" s="1"/>
  <c r="AF5165" i="1" s="1"/>
  <c r="AF5166" i="1" s="1"/>
  <c r="AF5167" i="1" s="1"/>
  <c r="AF5168" i="1" s="1"/>
  <c r="AF5169" i="1" s="1"/>
  <c r="AF5170" i="1" s="1"/>
  <c r="AF5171" i="1" s="1"/>
  <c r="AF5172" i="1" s="1"/>
  <c r="AF5173" i="1" s="1"/>
  <c r="AF5174" i="1" s="1"/>
  <c r="AF5175" i="1" s="1"/>
  <c r="AF5176" i="1" s="1"/>
  <c r="AF5177" i="1" s="1"/>
  <c r="AF5178" i="1" s="1"/>
  <c r="AF5179" i="1" s="1"/>
  <c r="AF5180" i="1" s="1"/>
  <c r="AF5181" i="1" s="1"/>
  <c r="AF5182" i="1" s="1"/>
  <c r="AF5183" i="1" s="1"/>
  <c r="AF5184" i="1" s="1"/>
  <c r="AF5159" i="1"/>
  <c r="AF5158" i="1"/>
  <c r="AF5157" i="1"/>
  <c r="AF5135" i="1"/>
  <c r="AF5136" i="1" s="1"/>
  <c r="AF5137" i="1" s="1"/>
  <c r="AF5138" i="1" s="1"/>
  <c r="AF5139" i="1" s="1"/>
  <c r="AF5140" i="1" s="1"/>
  <c r="AF5141" i="1" s="1"/>
  <c r="AF5142" i="1" s="1"/>
  <c r="AF5143" i="1" s="1"/>
  <c r="AF5144" i="1" s="1"/>
  <c r="AF5145" i="1" s="1"/>
  <c r="AF5146" i="1" s="1"/>
  <c r="AF5147" i="1" s="1"/>
  <c r="AF5148" i="1" s="1"/>
  <c r="AF5149" i="1" s="1"/>
  <c r="AF5150" i="1" s="1"/>
  <c r="AF5151" i="1" s="1"/>
  <c r="AF5152" i="1" s="1"/>
  <c r="AF5153" i="1" s="1"/>
  <c r="AF5154" i="1" s="1"/>
  <c r="AF5155" i="1" s="1"/>
  <c r="AF5156" i="1" s="1"/>
  <c r="AF5131" i="1"/>
  <c r="AF5132" i="1" s="1"/>
  <c r="AF5133" i="1" s="1"/>
  <c r="AF5134" i="1" s="1"/>
  <c r="AF5130" i="1"/>
  <c r="AF5093" i="1"/>
  <c r="AF5094" i="1" s="1"/>
  <c r="AF5095" i="1" s="1"/>
  <c r="AF5096" i="1" s="1"/>
  <c r="AF5097" i="1" s="1"/>
  <c r="AF5098" i="1" s="1"/>
  <c r="AF5099" i="1" s="1"/>
  <c r="AF5100" i="1" s="1"/>
  <c r="AF5101" i="1" s="1"/>
  <c r="AF5102" i="1" s="1"/>
  <c r="AF5103" i="1" s="1"/>
  <c r="AF5104" i="1" s="1"/>
  <c r="AF5105" i="1" s="1"/>
  <c r="AF5106" i="1" s="1"/>
  <c r="AF5107" i="1" s="1"/>
  <c r="AF5108" i="1" s="1"/>
  <c r="AF5109" i="1" s="1"/>
  <c r="AF5110" i="1" s="1"/>
  <c r="AF5111" i="1" s="1"/>
  <c r="AF5112" i="1" s="1"/>
  <c r="AF5113" i="1" s="1"/>
  <c r="AF5114" i="1" s="1"/>
  <c r="AF5115" i="1" s="1"/>
  <c r="AF5116" i="1" s="1"/>
  <c r="AF5117" i="1" s="1"/>
  <c r="AF5118" i="1" s="1"/>
  <c r="AF5119" i="1" s="1"/>
  <c r="AF5120" i="1" s="1"/>
  <c r="AF5121" i="1" s="1"/>
  <c r="AF5122" i="1" s="1"/>
  <c r="AF5123" i="1" s="1"/>
  <c r="AF5124" i="1" s="1"/>
  <c r="AF5125" i="1" s="1"/>
  <c r="AF5126" i="1" s="1"/>
  <c r="AF5127" i="1" s="1"/>
  <c r="AF5128" i="1" s="1"/>
  <c r="AF5129" i="1" s="1"/>
  <c r="AF5092" i="1"/>
  <c r="AF5091" i="1"/>
  <c r="AF5056" i="1"/>
  <c r="AF5057" i="1" s="1"/>
  <c r="AF5058" i="1" s="1"/>
  <c r="AF5059" i="1" s="1"/>
  <c r="AF5060" i="1" s="1"/>
  <c r="AF5061" i="1" s="1"/>
  <c r="AF5062" i="1" s="1"/>
  <c r="AF5063" i="1" s="1"/>
  <c r="AF5064" i="1" s="1"/>
  <c r="AF5065" i="1" s="1"/>
  <c r="AF5066" i="1" s="1"/>
  <c r="AF5067" i="1" s="1"/>
  <c r="AF5068" i="1" s="1"/>
  <c r="AF5069" i="1" s="1"/>
  <c r="AF5070" i="1" s="1"/>
  <c r="AF5071" i="1" s="1"/>
  <c r="AF5072" i="1" s="1"/>
  <c r="AF5073" i="1" s="1"/>
  <c r="AF5074" i="1" s="1"/>
  <c r="AF5075" i="1" s="1"/>
  <c r="AF5076" i="1" s="1"/>
  <c r="AF5077" i="1" s="1"/>
  <c r="AF5078" i="1" s="1"/>
  <c r="AF5079" i="1" s="1"/>
  <c r="AF5080" i="1" s="1"/>
  <c r="AF5081" i="1" s="1"/>
  <c r="AF5082" i="1" s="1"/>
  <c r="AF5083" i="1" s="1"/>
  <c r="AF5084" i="1" s="1"/>
  <c r="AF5085" i="1" s="1"/>
  <c r="AF5086" i="1" s="1"/>
  <c r="AF5087" i="1" s="1"/>
  <c r="AF5088" i="1" s="1"/>
  <c r="AF5089" i="1" s="1"/>
  <c r="AF5090" i="1" s="1"/>
  <c r="AF4971" i="1"/>
  <c r="AF4972" i="1" s="1"/>
  <c r="AF4973" i="1" s="1"/>
  <c r="AF4974" i="1" s="1"/>
  <c r="AF4975" i="1" s="1"/>
  <c r="AF4976" i="1" s="1"/>
  <c r="AF4977" i="1" s="1"/>
  <c r="AF4978" i="1" s="1"/>
  <c r="AF4979" i="1" s="1"/>
  <c r="AF4980" i="1" s="1"/>
  <c r="AF4981" i="1" s="1"/>
  <c r="AF4982" i="1" s="1"/>
  <c r="AF4983" i="1" s="1"/>
  <c r="AF4984" i="1" s="1"/>
  <c r="AF4985" i="1" s="1"/>
  <c r="AF4986" i="1" s="1"/>
  <c r="AF4987" i="1" s="1"/>
  <c r="AF4988" i="1" s="1"/>
  <c r="AF4989" i="1" s="1"/>
  <c r="AF4990" i="1" s="1"/>
  <c r="AF4991" i="1" s="1"/>
  <c r="AF4992" i="1" s="1"/>
  <c r="AF4993" i="1" s="1"/>
  <c r="AF4994" i="1" s="1"/>
  <c r="AF4995" i="1" s="1"/>
  <c r="AF4996" i="1" s="1"/>
  <c r="AF4997" i="1" s="1"/>
  <c r="AF4998" i="1" s="1"/>
  <c r="AF4999" i="1" s="1"/>
  <c r="AF5000" i="1" s="1"/>
  <c r="AF5001" i="1" s="1"/>
  <c r="AF5002" i="1" s="1"/>
  <c r="AF5003" i="1" s="1"/>
  <c r="AF5004" i="1" s="1"/>
  <c r="AF5005" i="1" s="1"/>
  <c r="AF5006" i="1" s="1"/>
  <c r="AF5007" i="1" s="1"/>
  <c r="AF5008" i="1" s="1"/>
  <c r="AF5009" i="1" s="1"/>
  <c r="AF5010" i="1" s="1"/>
  <c r="AF5011" i="1" s="1"/>
  <c r="AF5012" i="1" s="1"/>
  <c r="AF5013" i="1" s="1"/>
  <c r="AF5014" i="1" s="1"/>
  <c r="AF5015" i="1" s="1"/>
  <c r="AF5016" i="1" s="1"/>
  <c r="AF5017" i="1" s="1"/>
  <c r="AF5018" i="1" s="1"/>
  <c r="AF5019" i="1" s="1"/>
  <c r="AF5020" i="1" s="1"/>
  <c r="AF5021" i="1" s="1"/>
  <c r="AF5022" i="1" s="1"/>
  <c r="AF5023" i="1" s="1"/>
  <c r="AF5024" i="1" s="1"/>
  <c r="AF5025" i="1" s="1"/>
  <c r="AF5026" i="1" s="1"/>
  <c r="AF5027" i="1" s="1"/>
  <c r="AF5028" i="1" s="1"/>
  <c r="AF5029" i="1" s="1"/>
  <c r="AF5030" i="1" s="1"/>
  <c r="AF5031" i="1" s="1"/>
  <c r="AF5032" i="1" s="1"/>
  <c r="AF5033" i="1" s="1"/>
  <c r="AF5034" i="1" s="1"/>
  <c r="AF5035" i="1" s="1"/>
  <c r="AF5036" i="1" s="1"/>
  <c r="AF5037" i="1" s="1"/>
  <c r="AF5038" i="1" s="1"/>
  <c r="AF5039" i="1" s="1"/>
  <c r="AF5040" i="1" s="1"/>
  <c r="AF5041" i="1" s="1"/>
  <c r="AF5042" i="1" s="1"/>
  <c r="AF5043" i="1" s="1"/>
  <c r="AF5044" i="1" s="1"/>
  <c r="AF5045" i="1" s="1"/>
  <c r="AF5046" i="1" s="1"/>
  <c r="AF5047" i="1" s="1"/>
  <c r="AF5048" i="1" s="1"/>
  <c r="AF5049" i="1" s="1"/>
  <c r="AF5050" i="1" s="1"/>
  <c r="AF5051" i="1" s="1"/>
  <c r="AF5052" i="1" s="1"/>
  <c r="AF5053" i="1" s="1"/>
  <c r="AF5054" i="1" s="1"/>
  <c r="AF5055" i="1" s="1"/>
  <c r="AF4923" i="1"/>
  <c r="AF4924" i="1" s="1"/>
  <c r="AF4925" i="1" s="1"/>
  <c r="AF4926" i="1" s="1"/>
  <c r="AF4927" i="1" s="1"/>
  <c r="AF4928" i="1" s="1"/>
  <c r="AF4929" i="1" s="1"/>
  <c r="AF4930" i="1" s="1"/>
  <c r="AF4931" i="1" s="1"/>
  <c r="AF4932" i="1" s="1"/>
  <c r="AF4933" i="1" s="1"/>
  <c r="AF4934" i="1" s="1"/>
  <c r="AF4935" i="1" s="1"/>
  <c r="AF4936" i="1" s="1"/>
  <c r="AF4937" i="1" s="1"/>
  <c r="AF4938" i="1" s="1"/>
  <c r="AF4939" i="1" s="1"/>
  <c r="AF4940" i="1" s="1"/>
  <c r="AF4941" i="1" s="1"/>
  <c r="AF4942" i="1" s="1"/>
  <c r="AF4943" i="1" s="1"/>
  <c r="AF4944" i="1" s="1"/>
  <c r="AF4945" i="1" s="1"/>
  <c r="AF4946" i="1" s="1"/>
  <c r="AF4947" i="1" s="1"/>
  <c r="AF4948" i="1" s="1"/>
  <c r="AF4949" i="1" s="1"/>
  <c r="AF4950" i="1" s="1"/>
  <c r="AF4951" i="1" s="1"/>
  <c r="AF4952" i="1" s="1"/>
  <c r="AF4953" i="1" s="1"/>
  <c r="AF4954" i="1" s="1"/>
  <c r="AF4955" i="1" s="1"/>
  <c r="AF4956" i="1" s="1"/>
  <c r="AF4957" i="1" s="1"/>
  <c r="AF4958" i="1" s="1"/>
  <c r="AF4959" i="1" s="1"/>
  <c r="AF4960" i="1" s="1"/>
  <c r="AF4961" i="1" s="1"/>
  <c r="AF4962" i="1" s="1"/>
  <c r="AF4963" i="1" s="1"/>
  <c r="AF4964" i="1" s="1"/>
  <c r="AF4965" i="1" s="1"/>
  <c r="AF4966" i="1" s="1"/>
  <c r="AF4967" i="1" s="1"/>
  <c r="AF4968" i="1" s="1"/>
  <c r="AF4969" i="1" s="1"/>
  <c r="AF4970" i="1" s="1"/>
  <c r="AF4907" i="1"/>
  <c r="AF4908" i="1" s="1"/>
  <c r="AF4909" i="1" s="1"/>
  <c r="AF4910" i="1" s="1"/>
  <c r="AF4911" i="1" s="1"/>
  <c r="AF4912" i="1" s="1"/>
  <c r="AF4913" i="1" s="1"/>
  <c r="AF4914" i="1" s="1"/>
  <c r="AF4915" i="1" s="1"/>
  <c r="AF4916" i="1" s="1"/>
  <c r="AF4917" i="1" s="1"/>
  <c r="AF4918" i="1" s="1"/>
  <c r="AF4919" i="1" s="1"/>
  <c r="AF4920" i="1" s="1"/>
  <c r="AF4921" i="1" s="1"/>
  <c r="AF4922" i="1" s="1"/>
  <c r="AF4903" i="1"/>
  <c r="AF4904" i="1" s="1"/>
  <c r="AF4905" i="1" s="1"/>
  <c r="AF4906" i="1" s="1"/>
  <c r="AF4902" i="1"/>
  <c r="AF4900" i="1"/>
  <c r="AF4901" i="1" s="1"/>
  <c r="AF4899" i="1"/>
  <c r="AF4898" i="1"/>
  <c r="AF4897" i="1"/>
  <c r="AF4795" i="1"/>
  <c r="AF4796" i="1" s="1"/>
  <c r="AF4797" i="1" s="1"/>
  <c r="AF4798" i="1" s="1"/>
  <c r="AF4799" i="1" s="1"/>
  <c r="AF4800" i="1" s="1"/>
  <c r="AF4801" i="1" s="1"/>
  <c r="AF4802" i="1" s="1"/>
  <c r="AF4803" i="1" s="1"/>
  <c r="AF4804" i="1" s="1"/>
  <c r="AF4805" i="1" s="1"/>
  <c r="AF4806" i="1" s="1"/>
  <c r="AF4807" i="1" s="1"/>
  <c r="AF4808" i="1" s="1"/>
  <c r="AF4809" i="1" s="1"/>
  <c r="AF4810" i="1" s="1"/>
  <c r="AF4811" i="1" s="1"/>
  <c r="AF4812" i="1" s="1"/>
  <c r="AF4813" i="1" s="1"/>
  <c r="AF4814" i="1" s="1"/>
  <c r="AF4815" i="1" s="1"/>
  <c r="AF4816" i="1" s="1"/>
  <c r="AF4817" i="1" s="1"/>
  <c r="AF4818" i="1" s="1"/>
  <c r="AF4819" i="1" s="1"/>
  <c r="AF4820" i="1" s="1"/>
  <c r="AF4821" i="1" s="1"/>
  <c r="AF4822" i="1" s="1"/>
  <c r="AF4823" i="1" s="1"/>
  <c r="AF4824" i="1" s="1"/>
  <c r="AF4825" i="1" s="1"/>
  <c r="AF4826" i="1" s="1"/>
  <c r="AF4827" i="1" s="1"/>
  <c r="AF4828" i="1" s="1"/>
  <c r="AF4829" i="1" s="1"/>
  <c r="AF4830" i="1" s="1"/>
  <c r="AF4831" i="1" s="1"/>
  <c r="AF4832" i="1" s="1"/>
  <c r="AF4833" i="1" s="1"/>
  <c r="AF4834" i="1" s="1"/>
  <c r="AF4835" i="1" s="1"/>
  <c r="AF4836" i="1" s="1"/>
  <c r="AF4837" i="1" s="1"/>
  <c r="AF4838" i="1" s="1"/>
  <c r="AF4839" i="1" s="1"/>
  <c r="AF4840" i="1" s="1"/>
  <c r="AF4841" i="1" s="1"/>
  <c r="AF4842" i="1" s="1"/>
  <c r="AF4843" i="1" s="1"/>
  <c r="AF4844" i="1" s="1"/>
  <c r="AF4845" i="1" s="1"/>
  <c r="AF4846" i="1" s="1"/>
  <c r="AF4847" i="1" s="1"/>
  <c r="AF4848" i="1" s="1"/>
  <c r="AF4849" i="1" s="1"/>
  <c r="AF4850" i="1" s="1"/>
  <c r="AF4851" i="1" s="1"/>
  <c r="AF4852" i="1" s="1"/>
  <c r="AF4853" i="1" s="1"/>
  <c r="AF4854" i="1" s="1"/>
  <c r="AF4855" i="1" s="1"/>
  <c r="AF4856" i="1" s="1"/>
  <c r="AF4857" i="1" s="1"/>
  <c r="AF4858" i="1" s="1"/>
  <c r="AF4859" i="1" s="1"/>
  <c r="AF4860" i="1" s="1"/>
  <c r="AF4861" i="1" s="1"/>
  <c r="AF4862" i="1" s="1"/>
  <c r="AF4863" i="1" s="1"/>
  <c r="AF4864" i="1" s="1"/>
  <c r="AF4865" i="1" s="1"/>
  <c r="AF4866" i="1" s="1"/>
  <c r="AF4867" i="1" s="1"/>
  <c r="AF4868" i="1" s="1"/>
  <c r="AF4869" i="1" s="1"/>
  <c r="AF4870" i="1" s="1"/>
  <c r="AF4871" i="1" s="1"/>
  <c r="AF4872" i="1" s="1"/>
  <c r="AF4873" i="1" s="1"/>
  <c r="AF4874" i="1" s="1"/>
  <c r="AF4875" i="1" s="1"/>
  <c r="AF4876" i="1" s="1"/>
  <c r="AF4877" i="1" s="1"/>
  <c r="AF4878" i="1" s="1"/>
  <c r="AF4879" i="1" s="1"/>
  <c r="AF4880" i="1" s="1"/>
  <c r="AF4881" i="1" s="1"/>
  <c r="AF4882" i="1" s="1"/>
  <c r="AF4883" i="1" s="1"/>
  <c r="AF4884" i="1" s="1"/>
  <c r="AF4885" i="1" s="1"/>
  <c r="AF4886" i="1" s="1"/>
  <c r="AF4887" i="1" s="1"/>
  <c r="AF4888" i="1" s="1"/>
  <c r="AF4889" i="1" s="1"/>
  <c r="AF4890" i="1" s="1"/>
  <c r="AF4891" i="1" s="1"/>
  <c r="AF4892" i="1" s="1"/>
  <c r="AF4893" i="1" s="1"/>
  <c r="AF4894" i="1" s="1"/>
  <c r="AF4895" i="1" s="1"/>
  <c r="AF4896" i="1" s="1"/>
  <c r="AF4787" i="1"/>
  <c r="AF4788" i="1" s="1"/>
  <c r="AF4789" i="1" s="1"/>
  <c r="AF4790" i="1" s="1"/>
  <c r="AF4791" i="1" s="1"/>
  <c r="AF4792" i="1" s="1"/>
  <c r="AF4793" i="1" s="1"/>
  <c r="AF4794" i="1" s="1"/>
  <c r="AF4776" i="1"/>
  <c r="AF4777" i="1" s="1"/>
  <c r="AF4778" i="1" s="1"/>
  <c r="AF4779" i="1" s="1"/>
  <c r="AF4780" i="1" s="1"/>
  <c r="AF4781" i="1" s="1"/>
  <c r="AF4782" i="1" s="1"/>
  <c r="AF4783" i="1" s="1"/>
  <c r="AF4784" i="1" s="1"/>
  <c r="AF4785" i="1" s="1"/>
  <c r="AF4786" i="1" s="1"/>
  <c r="AF4774" i="1"/>
  <c r="AF4775" i="1" s="1"/>
  <c r="AF4771" i="1"/>
  <c r="AF4772" i="1" s="1"/>
  <c r="AF4773" i="1" s="1"/>
  <c r="AF4770" i="1"/>
  <c r="AF4712" i="1"/>
  <c r="AF4713" i="1" s="1"/>
  <c r="AF4714" i="1" s="1"/>
  <c r="AF4715" i="1" s="1"/>
  <c r="AF4716" i="1" s="1"/>
  <c r="AF4717" i="1" s="1"/>
  <c r="AF4718" i="1" s="1"/>
  <c r="AF4719" i="1" s="1"/>
  <c r="AF4720" i="1" s="1"/>
  <c r="AF4721" i="1" s="1"/>
  <c r="AF4722" i="1" s="1"/>
  <c r="AF4723" i="1" s="1"/>
  <c r="AF4724" i="1" s="1"/>
  <c r="AF4725" i="1" s="1"/>
  <c r="AF4726" i="1" s="1"/>
  <c r="AF4727" i="1" s="1"/>
  <c r="AF4728" i="1" s="1"/>
  <c r="AF4729" i="1" s="1"/>
  <c r="AF4730" i="1" s="1"/>
  <c r="AF4731" i="1" s="1"/>
  <c r="AF4732" i="1" s="1"/>
  <c r="AF4733" i="1" s="1"/>
  <c r="AF4734" i="1" s="1"/>
  <c r="AF4735" i="1" s="1"/>
  <c r="AF4736" i="1" s="1"/>
  <c r="AF4737" i="1" s="1"/>
  <c r="AF4738" i="1" s="1"/>
  <c r="AF4739" i="1" s="1"/>
  <c r="AF4740" i="1" s="1"/>
  <c r="AF4741" i="1" s="1"/>
  <c r="AF4742" i="1" s="1"/>
  <c r="AF4743" i="1" s="1"/>
  <c r="AF4744" i="1" s="1"/>
  <c r="AF4745" i="1" s="1"/>
  <c r="AF4746" i="1" s="1"/>
  <c r="AF4747" i="1" s="1"/>
  <c r="AF4748" i="1" s="1"/>
  <c r="AF4749" i="1" s="1"/>
  <c r="AF4750" i="1" s="1"/>
  <c r="AF4751" i="1" s="1"/>
  <c r="AF4752" i="1" s="1"/>
  <c r="AF4753" i="1" s="1"/>
  <c r="AF4754" i="1" s="1"/>
  <c r="AF4755" i="1" s="1"/>
  <c r="AF4756" i="1" s="1"/>
  <c r="AF4757" i="1" s="1"/>
  <c r="AF4758" i="1" s="1"/>
  <c r="AF4759" i="1" s="1"/>
  <c r="AF4760" i="1" s="1"/>
  <c r="AF4761" i="1" s="1"/>
  <c r="AF4762" i="1" s="1"/>
  <c r="AF4763" i="1" s="1"/>
  <c r="AF4764" i="1" s="1"/>
  <c r="AF4765" i="1" s="1"/>
  <c r="AF4766" i="1" s="1"/>
  <c r="AF4767" i="1" s="1"/>
  <c r="AF4768" i="1" s="1"/>
  <c r="AF4769" i="1" s="1"/>
  <c r="AF4707" i="1"/>
  <c r="AF4708" i="1" s="1"/>
  <c r="AF4709" i="1" s="1"/>
  <c r="AF4710" i="1" s="1"/>
  <c r="AF4711" i="1" s="1"/>
  <c r="AF4706" i="1"/>
  <c r="AF4686" i="1"/>
  <c r="AF4687" i="1" s="1"/>
  <c r="AF4688" i="1" s="1"/>
  <c r="AF4689" i="1" s="1"/>
  <c r="AF4690" i="1" s="1"/>
  <c r="AF4691" i="1" s="1"/>
  <c r="AF4692" i="1" s="1"/>
  <c r="AF4693" i="1" s="1"/>
  <c r="AF4694" i="1" s="1"/>
  <c r="AF4695" i="1" s="1"/>
  <c r="AF4696" i="1" s="1"/>
  <c r="AF4697" i="1" s="1"/>
  <c r="AF4698" i="1" s="1"/>
  <c r="AF4699" i="1" s="1"/>
  <c r="AF4700" i="1" s="1"/>
  <c r="AF4701" i="1" s="1"/>
  <c r="AF4702" i="1" s="1"/>
  <c r="AF4703" i="1" s="1"/>
  <c r="AF4704" i="1" s="1"/>
  <c r="AF4705" i="1" s="1"/>
  <c r="AF4683" i="1"/>
  <c r="AF4684" i="1" s="1"/>
  <c r="AF4685" i="1" s="1"/>
  <c r="AF4682" i="1"/>
  <c r="AF4654" i="1"/>
  <c r="AF4655" i="1" s="1"/>
  <c r="AF4656" i="1" s="1"/>
  <c r="AF4657" i="1" s="1"/>
  <c r="AF4658" i="1" s="1"/>
  <c r="AF4659" i="1" s="1"/>
  <c r="AF4660" i="1" s="1"/>
  <c r="AF4661" i="1" s="1"/>
  <c r="AF4662" i="1" s="1"/>
  <c r="AF4663" i="1" s="1"/>
  <c r="AF4664" i="1" s="1"/>
  <c r="AF4665" i="1" s="1"/>
  <c r="AF4666" i="1" s="1"/>
  <c r="AF4667" i="1" s="1"/>
  <c r="AF4668" i="1" s="1"/>
  <c r="AF4669" i="1" s="1"/>
  <c r="AF4670" i="1" s="1"/>
  <c r="AF4671" i="1" s="1"/>
  <c r="AF4672" i="1" s="1"/>
  <c r="AF4673" i="1" s="1"/>
  <c r="AF4674" i="1" s="1"/>
  <c r="AF4675" i="1" s="1"/>
  <c r="AF4676" i="1" s="1"/>
  <c r="AF4677" i="1" s="1"/>
  <c r="AF4678" i="1" s="1"/>
  <c r="AF4679" i="1" s="1"/>
  <c r="AF4680" i="1" s="1"/>
  <c r="AF4681" i="1" s="1"/>
  <c r="AF4651" i="1"/>
  <c r="AF4652" i="1" s="1"/>
  <c r="AF4653" i="1" s="1"/>
  <c r="AF4650" i="1"/>
  <c r="AF4649" i="1"/>
  <c r="AF4644" i="1"/>
  <c r="AF4645" i="1" s="1"/>
  <c r="AF4646" i="1" s="1"/>
  <c r="AF4647" i="1" s="1"/>
  <c r="AF4648" i="1" s="1"/>
  <c r="AF4642" i="1"/>
  <c r="AF4643" i="1" s="1"/>
  <c r="AF4640" i="1"/>
  <c r="AF4641" i="1" s="1"/>
  <c r="AF4602" i="1"/>
  <c r="AF4603" i="1" s="1"/>
  <c r="AF4604" i="1" s="1"/>
  <c r="AF4605" i="1" s="1"/>
  <c r="AF4606" i="1" s="1"/>
  <c r="AF4607" i="1" s="1"/>
  <c r="AF4608" i="1" s="1"/>
  <c r="AF4609" i="1" s="1"/>
  <c r="AF4610" i="1" s="1"/>
  <c r="AF4611" i="1" s="1"/>
  <c r="AF4612" i="1" s="1"/>
  <c r="AF4613" i="1" s="1"/>
  <c r="AF4614" i="1" s="1"/>
  <c r="AF4615" i="1" s="1"/>
  <c r="AF4616" i="1" s="1"/>
  <c r="AF4617" i="1" s="1"/>
  <c r="AF4618" i="1" s="1"/>
  <c r="AF4619" i="1" s="1"/>
  <c r="AF4620" i="1" s="1"/>
  <c r="AF4621" i="1" s="1"/>
  <c r="AF4622" i="1" s="1"/>
  <c r="AF4623" i="1" s="1"/>
  <c r="AF4624" i="1" s="1"/>
  <c r="AF4625" i="1" s="1"/>
  <c r="AF4626" i="1" s="1"/>
  <c r="AF4627" i="1" s="1"/>
  <c r="AF4628" i="1" s="1"/>
  <c r="AF4629" i="1" s="1"/>
  <c r="AF4630" i="1" s="1"/>
  <c r="AF4631" i="1" s="1"/>
  <c r="AF4632" i="1" s="1"/>
  <c r="AF4633" i="1" s="1"/>
  <c r="AF4634" i="1" s="1"/>
  <c r="AF4635" i="1" s="1"/>
  <c r="AF4636" i="1" s="1"/>
  <c r="AF4637" i="1" s="1"/>
  <c r="AF4638" i="1" s="1"/>
  <c r="AF4639" i="1" s="1"/>
  <c r="AF4580" i="1"/>
  <c r="AF4581" i="1" s="1"/>
  <c r="AF4582" i="1" s="1"/>
  <c r="AF4583" i="1" s="1"/>
  <c r="AF4584" i="1" s="1"/>
  <c r="AF4585" i="1" s="1"/>
  <c r="AF4586" i="1" s="1"/>
  <c r="AF4587" i="1" s="1"/>
  <c r="AF4588" i="1" s="1"/>
  <c r="AF4589" i="1" s="1"/>
  <c r="AF4590" i="1" s="1"/>
  <c r="AF4591" i="1" s="1"/>
  <c r="AF4592" i="1" s="1"/>
  <c r="AF4593" i="1" s="1"/>
  <c r="AF4594" i="1" s="1"/>
  <c r="AF4595" i="1" s="1"/>
  <c r="AF4596" i="1" s="1"/>
  <c r="AF4597" i="1" s="1"/>
  <c r="AF4598" i="1" s="1"/>
  <c r="AF4599" i="1" s="1"/>
  <c r="AF4600" i="1" s="1"/>
  <c r="AF4601" i="1" s="1"/>
  <c r="AF4571" i="1"/>
  <c r="AF4572" i="1" s="1"/>
  <c r="AF4573" i="1" s="1"/>
  <c r="AF4574" i="1" s="1"/>
  <c r="AF4575" i="1" s="1"/>
  <c r="AF4576" i="1" s="1"/>
  <c r="AF4577" i="1" s="1"/>
  <c r="AF4578" i="1" s="1"/>
  <c r="AF4579" i="1" s="1"/>
  <c r="AF4569" i="1"/>
  <c r="AF4570" i="1" s="1"/>
  <c r="AF4567" i="1"/>
  <c r="AF4568" i="1" s="1"/>
  <c r="AF4551" i="1"/>
  <c r="AF4552" i="1" s="1"/>
  <c r="AF4553" i="1" s="1"/>
  <c r="AF4554" i="1" s="1"/>
  <c r="AF4555" i="1" s="1"/>
  <c r="AF4556" i="1" s="1"/>
  <c r="AF4557" i="1" s="1"/>
  <c r="AF4558" i="1" s="1"/>
  <c r="AF4559" i="1" s="1"/>
  <c r="AF4560" i="1" s="1"/>
  <c r="AF4561" i="1" s="1"/>
  <c r="AF4562" i="1" s="1"/>
  <c r="AF4563" i="1" s="1"/>
  <c r="AF4564" i="1" s="1"/>
  <c r="AF4565" i="1" s="1"/>
  <c r="AF4566" i="1" s="1"/>
  <c r="AF4547" i="1"/>
  <c r="AF4548" i="1" s="1"/>
  <c r="AF4549" i="1" s="1"/>
  <c r="AF4550" i="1" s="1"/>
  <c r="AF4521" i="1"/>
  <c r="AF4522" i="1" s="1"/>
  <c r="AF4523" i="1" s="1"/>
  <c r="AF4524" i="1" s="1"/>
  <c r="AF4525" i="1" s="1"/>
  <c r="AF4526" i="1" s="1"/>
  <c r="AF4527" i="1" s="1"/>
  <c r="AF4528" i="1" s="1"/>
  <c r="AF4529" i="1" s="1"/>
  <c r="AF4530" i="1" s="1"/>
  <c r="AF4531" i="1" s="1"/>
  <c r="AF4532" i="1" s="1"/>
  <c r="AF4533" i="1" s="1"/>
  <c r="AF4534" i="1" s="1"/>
  <c r="AF4535" i="1" s="1"/>
  <c r="AF4536" i="1" s="1"/>
  <c r="AF4537" i="1" s="1"/>
  <c r="AF4538" i="1" s="1"/>
  <c r="AF4539" i="1" s="1"/>
  <c r="AF4540" i="1" s="1"/>
  <c r="AF4541" i="1" s="1"/>
  <c r="AF4542" i="1" s="1"/>
  <c r="AF4543" i="1" s="1"/>
  <c r="AF4544" i="1" s="1"/>
  <c r="AF4545" i="1" s="1"/>
  <c r="AF4546" i="1" s="1"/>
  <c r="AF4459" i="1"/>
  <c r="AF4460" i="1" s="1"/>
  <c r="AF4461" i="1" s="1"/>
  <c r="AF4462" i="1" s="1"/>
  <c r="AF4463" i="1" s="1"/>
  <c r="AF4464" i="1" s="1"/>
  <c r="AF4465" i="1" s="1"/>
  <c r="AF4466" i="1" s="1"/>
  <c r="AF4467" i="1" s="1"/>
  <c r="AF4468" i="1" s="1"/>
  <c r="AF4469" i="1" s="1"/>
  <c r="AF4470" i="1" s="1"/>
  <c r="AF4471" i="1" s="1"/>
  <c r="AF4472" i="1" s="1"/>
  <c r="AF4473" i="1" s="1"/>
  <c r="AF4474" i="1" s="1"/>
  <c r="AF4475" i="1" s="1"/>
  <c r="AF4476" i="1" s="1"/>
  <c r="AF4477" i="1" s="1"/>
  <c r="AF4478" i="1" s="1"/>
  <c r="AF4479" i="1" s="1"/>
  <c r="AF4480" i="1" s="1"/>
  <c r="AF4481" i="1" s="1"/>
  <c r="AF4482" i="1" s="1"/>
  <c r="AF4483" i="1" s="1"/>
  <c r="AF4484" i="1" s="1"/>
  <c r="AF4485" i="1" s="1"/>
  <c r="AF4486" i="1" s="1"/>
  <c r="AF4487" i="1" s="1"/>
  <c r="AF4488" i="1" s="1"/>
  <c r="AF4489" i="1" s="1"/>
  <c r="AF4490" i="1" s="1"/>
  <c r="AF4491" i="1" s="1"/>
  <c r="AF4492" i="1" s="1"/>
  <c r="AF4493" i="1" s="1"/>
  <c r="AF4494" i="1" s="1"/>
  <c r="AF4495" i="1" s="1"/>
  <c r="AF4496" i="1" s="1"/>
  <c r="AF4497" i="1" s="1"/>
  <c r="AF4498" i="1" s="1"/>
  <c r="AF4499" i="1" s="1"/>
  <c r="AF4500" i="1" s="1"/>
  <c r="AF4501" i="1" s="1"/>
  <c r="AF4502" i="1" s="1"/>
  <c r="AF4503" i="1" s="1"/>
  <c r="AF4504" i="1" s="1"/>
  <c r="AF4505" i="1" s="1"/>
  <c r="AF4506" i="1" s="1"/>
  <c r="AF4507" i="1" s="1"/>
  <c r="AF4508" i="1" s="1"/>
  <c r="AF4509" i="1" s="1"/>
  <c r="AF4510" i="1" s="1"/>
  <c r="AF4511" i="1" s="1"/>
  <c r="AF4512" i="1" s="1"/>
  <c r="AF4513" i="1" s="1"/>
  <c r="AF4514" i="1" s="1"/>
  <c r="AF4515" i="1" s="1"/>
  <c r="AF4516" i="1" s="1"/>
  <c r="AF4517" i="1" s="1"/>
  <c r="AF4518" i="1" s="1"/>
  <c r="AF4519" i="1" s="1"/>
  <c r="AF4520" i="1" s="1"/>
  <c r="AF4443" i="1"/>
  <c r="AF4444" i="1" s="1"/>
  <c r="AF4445" i="1" s="1"/>
  <c r="AF4446" i="1" s="1"/>
  <c r="AF4447" i="1" s="1"/>
  <c r="AF4448" i="1" s="1"/>
  <c r="AF4449" i="1" s="1"/>
  <c r="AF4450" i="1" s="1"/>
  <c r="AF4451" i="1" s="1"/>
  <c r="AF4452" i="1" s="1"/>
  <c r="AF4453" i="1" s="1"/>
  <c r="AF4454" i="1" s="1"/>
  <c r="AF4455" i="1" s="1"/>
  <c r="AF4456" i="1" s="1"/>
  <c r="AF4457" i="1" s="1"/>
  <c r="AF4458" i="1" s="1"/>
  <c r="AF4435" i="1"/>
  <c r="AF4436" i="1" s="1"/>
  <c r="AF4437" i="1" s="1"/>
  <c r="AF4438" i="1" s="1"/>
  <c r="AF4439" i="1" s="1"/>
  <c r="AF4440" i="1" s="1"/>
  <c r="AF4441" i="1" s="1"/>
  <c r="AF4442" i="1" s="1"/>
  <c r="AF4411" i="1"/>
  <c r="AF4412" i="1" s="1"/>
  <c r="AF4413" i="1" s="1"/>
  <c r="AF4414" i="1" s="1"/>
  <c r="AF4415" i="1" s="1"/>
  <c r="AF4416" i="1" s="1"/>
  <c r="AF4417" i="1" s="1"/>
  <c r="AF4418" i="1" s="1"/>
  <c r="AF4419" i="1" s="1"/>
  <c r="AF4420" i="1" s="1"/>
  <c r="AF4421" i="1" s="1"/>
  <c r="AF4422" i="1" s="1"/>
  <c r="AF4423" i="1" s="1"/>
  <c r="AF4424" i="1" s="1"/>
  <c r="AF4425" i="1" s="1"/>
  <c r="AF4426" i="1" s="1"/>
  <c r="AF4427" i="1" s="1"/>
  <c r="AF4428" i="1" s="1"/>
  <c r="AF4429" i="1" s="1"/>
  <c r="AF4430" i="1" s="1"/>
  <c r="AF4431" i="1" s="1"/>
  <c r="AF4432" i="1" s="1"/>
  <c r="AF4433" i="1" s="1"/>
  <c r="AF4434" i="1" s="1"/>
  <c r="AF4405" i="1"/>
  <c r="AF4406" i="1" s="1"/>
  <c r="AF4407" i="1" s="1"/>
  <c r="AF4408" i="1" s="1"/>
  <c r="AF4409" i="1" s="1"/>
  <c r="AF4410" i="1" s="1"/>
  <c r="AF4403" i="1"/>
  <c r="AF4404" i="1" s="1"/>
  <c r="AF4393" i="1"/>
  <c r="AF4394" i="1" s="1"/>
  <c r="AF4395" i="1" s="1"/>
  <c r="AF4396" i="1" s="1"/>
  <c r="AF4397" i="1" s="1"/>
  <c r="AF4398" i="1" s="1"/>
  <c r="AF4399" i="1" s="1"/>
  <c r="AF4400" i="1" s="1"/>
  <c r="AF4401" i="1" s="1"/>
  <c r="AF4402" i="1" s="1"/>
  <c r="AF4391" i="1"/>
  <c r="AF4392" i="1" s="1"/>
  <c r="AF4369" i="1"/>
  <c r="AF4370" i="1" s="1"/>
  <c r="AF4371" i="1" s="1"/>
  <c r="AF4372" i="1" s="1"/>
  <c r="AF4373" i="1" s="1"/>
  <c r="AF4374" i="1" s="1"/>
  <c r="AF4375" i="1" s="1"/>
  <c r="AF4376" i="1" s="1"/>
  <c r="AF4377" i="1" s="1"/>
  <c r="AF4378" i="1" s="1"/>
  <c r="AF4379" i="1" s="1"/>
  <c r="AF4380" i="1" s="1"/>
  <c r="AF4381" i="1" s="1"/>
  <c r="AF4382" i="1" s="1"/>
  <c r="AF4383" i="1" s="1"/>
  <c r="AF4384" i="1" s="1"/>
  <c r="AF4385" i="1" s="1"/>
  <c r="AF4386" i="1" s="1"/>
  <c r="AF4387" i="1" s="1"/>
  <c r="AF4388" i="1" s="1"/>
  <c r="AF4389" i="1" s="1"/>
  <c r="AF4390" i="1" s="1"/>
  <c r="AF4361" i="1"/>
  <c r="AF4362" i="1" s="1"/>
  <c r="AF4363" i="1" s="1"/>
  <c r="AF4364" i="1" s="1"/>
  <c r="AF4365" i="1" s="1"/>
  <c r="AF4366" i="1" s="1"/>
  <c r="AF4367" i="1" s="1"/>
  <c r="AF4368" i="1" s="1"/>
  <c r="AF4353" i="1"/>
  <c r="AF4354" i="1" s="1"/>
  <c r="AF4355" i="1" s="1"/>
  <c r="AF4356" i="1" s="1"/>
  <c r="AF4357" i="1" s="1"/>
  <c r="AF4358" i="1" s="1"/>
  <c r="AF4359" i="1" s="1"/>
  <c r="AF4360" i="1" s="1"/>
  <c r="AF4352" i="1"/>
  <c r="AF4347" i="1"/>
  <c r="AF4348" i="1" s="1"/>
  <c r="AF4349" i="1" s="1"/>
  <c r="AF4350" i="1" s="1"/>
  <c r="AF4351" i="1" s="1"/>
  <c r="AF4323" i="1"/>
  <c r="AF4324" i="1" s="1"/>
  <c r="AF4325" i="1" s="1"/>
  <c r="AF4326" i="1" s="1"/>
  <c r="AF4327" i="1" s="1"/>
  <c r="AF4328" i="1" s="1"/>
  <c r="AF4329" i="1" s="1"/>
  <c r="AF4330" i="1" s="1"/>
  <c r="AF4331" i="1" s="1"/>
  <c r="AF4332" i="1" s="1"/>
  <c r="AF4333" i="1" s="1"/>
  <c r="AF4334" i="1" s="1"/>
  <c r="AF4335" i="1" s="1"/>
  <c r="AF4336" i="1" s="1"/>
  <c r="AF4337" i="1" s="1"/>
  <c r="AF4338" i="1" s="1"/>
  <c r="AF4339" i="1" s="1"/>
  <c r="AF4340" i="1" s="1"/>
  <c r="AF4341" i="1" s="1"/>
  <c r="AF4342" i="1" s="1"/>
  <c r="AF4343" i="1" s="1"/>
  <c r="AF4344" i="1" s="1"/>
  <c r="AF4345" i="1" s="1"/>
  <c r="AF4346" i="1" s="1"/>
  <c r="AF4302" i="1"/>
  <c r="AF4303" i="1" s="1"/>
  <c r="AF4304" i="1" s="1"/>
  <c r="AF4305" i="1" s="1"/>
  <c r="AF4306" i="1" s="1"/>
  <c r="AF4307" i="1" s="1"/>
  <c r="AF4308" i="1" s="1"/>
  <c r="AF4309" i="1" s="1"/>
  <c r="AF4310" i="1" s="1"/>
  <c r="AF4311" i="1" s="1"/>
  <c r="AF4312" i="1" s="1"/>
  <c r="AF4313" i="1" s="1"/>
  <c r="AF4314" i="1" s="1"/>
  <c r="AF4315" i="1" s="1"/>
  <c r="AF4316" i="1" s="1"/>
  <c r="AF4317" i="1" s="1"/>
  <c r="AF4318" i="1" s="1"/>
  <c r="AF4319" i="1" s="1"/>
  <c r="AF4320" i="1" s="1"/>
  <c r="AF4321" i="1" s="1"/>
  <c r="AF4322" i="1" s="1"/>
  <c r="AF4299" i="1"/>
  <c r="AF4300" i="1" s="1"/>
  <c r="AF4301" i="1" s="1"/>
  <c r="AF4298" i="1"/>
  <c r="AF4291" i="1"/>
  <c r="AF4292" i="1" s="1"/>
  <c r="AF4293" i="1" s="1"/>
  <c r="AF4294" i="1" s="1"/>
  <c r="AF4295" i="1" s="1"/>
  <c r="AF4296" i="1" s="1"/>
  <c r="AF4297" i="1" s="1"/>
  <c r="AF4289" i="1"/>
  <c r="AF4290" i="1" s="1"/>
  <c r="AF4275" i="1"/>
  <c r="AF4276" i="1" s="1"/>
  <c r="AF4277" i="1" s="1"/>
  <c r="AF4278" i="1" s="1"/>
  <c r="AF4279" i="1" s="1"/>
  <c r="AF4280" i="1" s="1"/>
  <c r="AF4281" i="1" s="1"/>
  <c r="AF4282" i="1" s="1"/>
  <c r="AF4283" i="1" s="1"/>
  <c r="AF4284" i="1" s="1"/>
  <c r="AF4285" i="1" s="1"/>
  <c r="AF4286" i="1" s="1"/>
  <c r="AF4287" i="1" s="1"/>
  <c r="AF4288" i="1" s="1"/>
  <c r="AF4254" i="1"/>
  <c r="AF4255" i="1" s="1"/>
  <c r="AF4256" i="1" s="1"/>
  <c r="AF4257" i="1" s="1"/>
  <c r="AF4258" i="1" s="1"/>
  <c r="AF4259" i="1" s="1"/>
  <c r="AF4260" i="1" s="1"/>
  <c r="AF4261" i="1" s="1"/>
  <c r="AF4262" i="1" s="1"/>
  <c r="AF4263" i="1" s="1"/>
  <c r="AF4264" i="1" s="1"/>
  <c r="AF4265" i="1" s="1"/>
  <c r="AF4266" i="1" s="1"/>
  <c r="AF4267" i="1" s="1"/>
  <c r="AF4268" i="1" s="1"/>
  <c r="AF4269" i="1" s="1"/>
  <c r="AF4270" i="1" s="1"/>
  <c r="AF4271" i="1" s="1"/>
  <c r="AF4272" i="1" s="1"/>
  <c r="AF4273" i="1" s="1"/>
  <c r="AF4274" i="1" s="1"/>
  <c r="AF4251" i="1"/>
  <c r="AF4252" i="1" s="1"/>
  <c r="AF4253" i="1" s="1"/>
  <c r="AF4250" i="1"/>
  <c r="AF4243" i="1"/>
  <c r="AF4244" i="1" s="1"/>
  <c r="AF4245" i="1" s="1"/>
  <c r="AF4246" i="1" s="1"/>
  <c r="AF4247" i="1" s="1"/>
  <c r="AF4248" i="1" s="1"/>
  <c r="AF4249" i="1" s="1"/>
  <c r="AF4227" i="1"/>
  <c r="AF4228" i="1" s="1"/>
  <c r="AF4229" i="1" s="1"/>
  <c r="AF4230" i="1" s="1"/>
  <c r="AF4231" i="1" s="1"/>
  <c r="AF4232" i="1" s="1"/>
  <c r="AF4233" i="1" s="1"/>
  <c r="AF4234" i="1" s="1"/>
  <c r="AF4235" i="1" s="1"/>
  <c r="AF4236" i="1" s="1"/>
  <c r="AF4237" i="1" s="1"/>
  <c r="AF4238" i="1" s="1"/>
  <c r="AF4239" i="1" s="1"/>
  <c r="AF4240" i="1" s="1"/>
  <c r="AF4241" i="1" s="1"/>
  <c r="AF4242" i="1" s="1"/>
  <c r="AF4211" i="1"/>
  <c r="AF4212" i="1" s="1"/>
  <c r="AF4213" i="1" s="1"/>
  <c r="AF4214" i="1" s="1"/>
  <c r="AF4215" i="1" s="1"/>
  <c r="AF4216" i="1" s="1"/>
  <c r="AF4217" i="1" s="1"/>
  <c r="AF4218" i="1" s="1"/>
  <c r="AF4219" i="1" s="1"/>
  <c r="AF4220" i="1" s="1"/>
  <c r="AF4221" i="1" s="1"/>
  <c r="AF4222" i="1" s="1"/>
  <c r="AF4223" i="1" s="1"/>
  <c r="AF4224" i="1" s="1"/>
  <c r="AF4225" i="1" s="1"/>
  <c r="AF4226" i="1" s="1"/>
  <c r="AF4210" i="1"/>
  <c r="AF4199" i="1"/>
  <c r="AF4200" i="1" s="1"/>
  <c r="AF4201" i="1" s="1"/>
  <c r="AF4202" i="1" s="1"/>
  <c r="AF4203" i="1" s="1"/>
  <c r="AF4204" i="1" s="1"/>
  <c r="AF4205" i="1" s="1"/>
  <c r="AF4206" i="1" s="1"/>
  <c r="AF4207" i="1" s="1"/>
  <c r="AF4208" i="1" s="1"/>
  <c r="AF4209" i="1" s="1"/>
  <c r="AF4183" i="1"/>
  <c r="AF4184" i="1" s="1"/>
  <c r="AF4185" i="1" s="1"/>
  <c r="AF4186" i="1" s="1"/>
  <c r="AF4187" i="1" s="1"/>
  <c r="AF4188" i="1" s="1"/>
  <c r="AF4189" i="1" s="1"/>
  <c r="AF4190" i="1" s="1"/>
  <c r="AF4191" i="1" s="1"/>
  <c r="AF4192" i="1" s="1"/>
  <c r="AF4193" i="1" s="1"/>
  <c r="AF4194" i="1" s="1"/>
  <c r="AF4195" i="1" s="1"/>
  <c r="AF4196" i="1" s="1"/>
  <c r="AF4197" i="1" s="1"/>
  <c r="AF4198" i="1" s="1"/>
  <c r="AF4179" i="1"/>
  <c r="AF4180" i="1" s="1"/>
  <c r="AF4181" i="1" s="1"/>
  <c r="AF4182" i="1" s="1"/>
  <c r="AF4177" i="1"/>
  <c r="AF4178" i="1" s="1"/>
  <c r="AF4171" i="1"/>
  <c r="AF4172" i="1" s="1"/>
  <c r="AF4173" i="1" s="1"/>
  <c r="AF4174" i="1" s="1"/>
  <c r="AF4175" i="1" s="1"/>
  <c r="AF4176" i="1" s="1"/>
  <c r="AF4155" i="1"/>
  <c r="AF4156" i="1" s="1"/>
  <c r="AF4157" i="1" s="1"/>
  <c r="AF4158" i="1" s="1"/>
  <c r="AF4159" i="1" s="1"/>
  <c r="AF4160" i="1" s="1"/>
  <c r="AF4161" i="1" s="1"/>
  <c r="AF4162" i="1" s="1"/>
  <c r="AF4163" i="1" s="1"/>
  <c r="AF4164" i="1" s="1"/>
  <c r="AF4165" i="1" s="1"/>
  <c r="AF4166" i="1" s="1"/>
  <c r="AF4167" i="1" s="1"/>
  <c r="AF4168" i="1" s="1"/>
  <c r="AF4169" i="1" s="1"/>
  <c r="AF4170" i="1" s="1"/>
  <c r="AF4153" i="1"/>
  <c r="AF4154" i="1" s="1"/>
  <c r="AF4152" i="1"/>
  <c r="AF4147" i="1"/>
  <c r="AF4148" i="1" s="1"/>
  <c r="AF4149" i="1" s="1"/>
  <c r="AF4150" i="1" s="1"/>
  <c r="AF4151" i="1" s="1"/>
  <c r="AF4131" i="1"/>
  <c r="AF4132" i="1" s="1"/>
  <c r="AF4133" i="1" s="1"/>
  <c r="AF4134" i="1" s="1"/>
  <c r="AF4135" i="1" s="1"/>
  <c r="AF4136" i="1" s="1"/>
  <c r="AF4137" i="1" s="1"/>
  <c r="AF4138" i="1" s="1"/>
  <c r="AF4139" i="1" s="1"/>
  <c r="AF4140" i="1" s="1"/>
  <c r="AF4141" i="1" s="1"/>
  <c r="AF4142" i="1" s="1"/>
  <c r="AF4143" i="1" s="1"/>
  <c r="AF4144" i="1" s="1"/>
  <c r="AF4145" i="1" s="1"/>
  <c r="AF4146" i="1" s="1"/>
  <c r="AF4127" i="1"/>
  <c r="AF4128" i="1" s="1"/>
  <c r="AF4129" i="1" s="1"/>
  <c r="AF4130" i="1" s="1"/>
  <c r="AF4123" i="1"/>
  <c r="AF4124" i="1" s="1"/>
  <c r="AF4125" i="1" s="1"/>
  <c r="AF4126" i="1" s="1"/>
  <c r="AF4115" i="1"/>
  <c r="AF4116" i="1" s="1"/>
  <c r="AF4117" i="1" s="1"/>
  <c r="AF4118" i="1" s="1"/>
  <c r="AF4119" i="1" s="1"/>
  <c r="AF4120" i="1" s="1"/>
  <c r="AF4121" i="1" s="1"/>
  <c r="AF4122" i="1" s="1"/>
  <c r="AF4114" i="1"/>
  <c r="AF4071" i="1"/>
  <c r="AF4072" i="1" s="1"/>
  <c r="AF4073" i="1" s="1"/>
  <c r="AF4074" i="1" s="1"/>
  <c r="AF4075" i="1" s="1"/>
  <c r="AF4076" i="1" s="1"/>
  <c r="AF4077" i="1" s="1"/>
  <c r="AF4078" i="1" s="1"/>
  <c r="AF4079" i="1" s="1"/>
  <c r="AF4080" i="1" s="1"/>
  <c r="AF4081" i="1" s="1"/>
  <c r="AF4082" i="1" s="1"/>
  <c r="AF4083" i="1" s="1"/>
  <c r="AF4084" i="1" s="1"/>
  <c r="AF4085" i="1" s="1"/>
  <c r="AF4086" i="1" s="1"/>
  <c r="AF4087" i="1" s="1"/>
  <c r="AF4088" i="1" s="1"/>
  <c r="AF4089" i="1" s="1"/>
  <c r="AF4090" i="1" s="1"/>
  <c r="AF4091" i="1" s="1"/>
  <c r="AF4092" i="1" s="1"/>
  <c r="AF4093" i="1" s="1"/>
  <c r="AF4094" i="1" s="1"/>
  <c r="AF4095" i="1" s="1"/>
  <c r="AF4096" i="1" s="1"/>
  <c r="AF4097" i="1" s="1"/>
  <c r="AF4098" i="1" s="1"/>
  <c r="AF4099" i="1" s="1"/>
  <c r="AF4100" i="1" s="1"/>
  <c r="AF4101" i="1" s="1"/>
  <c r="AF4102" i="1" s="1"/>
  <c r="AF4103" i="1" s="1"/>
  <c r="AF4104" i="1" s="1"/>
  <c r="AF4105" i="1" s="1"/>
  <c r="AF4106" i="1" s="1"/>
  <c r="AF4107" i="1" s="1"/>
  <c r="AF4108" i="1" s="1"/>
  <c r="AF4109" i="1" s="1"/>
  <c r="AF4110" i="1" s="1"/>
  <c r="AF4111" i="1" s="1"/>
  <c r="AF4112" i="1" s="1"/>
  <c r="AF4113" i="1" s="1"/>
  <c r="AF4067" i="1"/>
  <c r="AF4068" i="1" s="1"/>
  <c r="AF4069" i="1" s="1"/>
  <c r="AF4070" i="1" s="1"/>
  <c r="AF4033" i="1"/>
  <c r="AF4034" i="1" s="1"/>
  <c r="AF4035" i="1" s="1"/>
  <c r="AF4036" i="1" s="1"/>
  <c r="AF4037" i="1" s="1"/>
  <c r="AF4038" i="1" s="1"/>
  <c r="AF4039" i="1" s="1"/>
  <c r="AF4040" i="1" s="1"/>
  <c r="AF4041" i="1" s="1"/>
  <c r="AF4042" i="1" s="1"/>
  <c r="AF4043" i="1" s="1"/>
  <c r="AF4044" i="1" s="1"/>
  <c r="AF4045" i="1" s="1"/>
  <c r="AF4046" i="1" s="1"/>
  <c r="AF4047" i="1" s="1"/>
  <c r="AF4048" i="1" s="1"/>
  <c r="AF4049" i="1" s="1"/>
  <c r="AF4050" i="1" s="1"/>
  <c r="AF4051" i="1" s="1"/>
  <c r="AF4052" i="1" s="1"/>
  <c r="AF4053" i="1" s="1"/>
  <c r="AF4054" i="1" s="1"/>
  <c r="AF4055" i="1" s="1"/>
  <c r="AF4056" i="1" s="1"/>
  <c r="AF4057" i="1" s="1"/>
  <c r="AF4058" i="1" s="1"/>
  <c r="AF4059" i="1" s="1"/>
  <c r="AF4060" i="1" s="1"/>
  <c r="AF4061" i="1" s="1"/>
  <c r="AF4062" i="1" s="1"/>
  <c r="AF4063" i="1" s="1"/>
  <c r="AF4064" i="1" s="1"/>
  <c r="AF4065" i="1" s="1"/>
  <c r="AF4066" i="1" s="1"/>
  <c r="AF4025" i="1"/>
  <c r="AF4026" i="1" s="1"/>
  <c r="AF4027" i="1" s="1"/>
  <c r="AF4028" i="1" s="1"/>
  <c r="AF4029" i="1" s="1"/>
  <c r="AF4030" i="1" s="1"/>
  <c r="AF4031" i="1" s="1"/>
  <c r="AF4032" i="1" s="1"/>
  <c r="AF4003" i="1"/>
  <c r="AF4004" i="1" s="1"/>
  <c r="AF4005" i="1" s="1"/>
  <c r="AF4006" i="1" s="1"/>
  <c r="AF4007" i="1" s="1"/>
  <c r="AF4008" i="1" s="1"/>
  <c r="AF4009" i="1" s="1"/>
  <c r="AF4010" i="1" s="1"/>
  <c r="AF4011" i="1" s="1"/>
  <c r="AF4012" i="1" s="1"/>
  <c r="AF4013" i="1" s="1"/>
  <c r="AF4014" i="1" s="1"/>
  <c r="AF4015" i="1" s="1"/>
  <c r="AF4016" i="1" s="1"/>
  <c r="AF4017" i="1" s="1"/>
  <c r="AF4018" i="1" s="1"/>
  <c r="AF4019" i="1" s="1"/>
  <c r="AF4020" i="1" s="1"/>
  <c r="AF4021" i="1" s="1"/>
  <c r="AF4022" i="1" s="1"/>
  <c r="AF4023" i="1" s="1"/>
  <c r="AF4024" i="1" s="1"/>
  <c r="AF3945" i="1"/>
  <c r="AF3946" i="1" s="1"/>
  <c r="AF3947" i="1" s="1"/>
  <c r="AF3948" i="1" s="1"/>
  <c r="AF3949" i="1" s="1"/>
  <c r="AF3950" i="1" s="1"/>
  <c r="AF3951" i="1" s="1"/>
  <c r="AF3952" i="1" s="1"/>
  <c r="AF3953" i="1" s="1"/>
  <c r="AF3954" i="1" s="1"/>
  <c r="AF3955" i="1" s="1"/>
  <c r="AF3956" i="1" s="1"/>
  <c r="AF3957" i="1" s="1"/>
  <c r="AF3958" i="1" s="1"/>
  <c r="AF3959" i="1" s="1"/>
  <c r="AF3960" i="1" s="1"/>
  <c r="AF3961" i="1" s="1"/>
  <c r="AF3962" i="1" s="1"/>
  <c r="AF3963" i="1" s="1"/>
  <c r="AF3964" i="1" s="1"/>
  <c r="AF3965" i="1" s="1"/>
  <c r="AF3966" i="1" s="1"/>
  <c r="AF3967" i="1" s="1"/>
  <c r="AF3968" i="1" s="1"/>
  <c r="AF3969" i="1" s="1"/>
  <c r="AF3970" i="1" s="1"/>
  <c r="AF3971" i="1" s="1"/>
  <c r="AF3972" i="1" s="1"/>
  <c r="AF3973" i="1" s="1"/>
  <c r="AF3974" i="1" s="1"/>
  <c r="AF3975" i="1" s="1"/>
  <c r="AF3976" i="1" s="1"/>
  <c r="AF3977" i="1" s="1"/>
  <c r="AF3978" i="1" s="1"/>
  <c r="AF3979" i="1" s="1"/>
  <c r="AF3980" i="1" s="1"/>
  <c r="AF3981" i="1" s="1"/>
  <c r="AF3982" i="1" s="1"/>
  <c r="AF3983" i="1" s="1"/>
  <c r="AF3984" i="1" s="1"/>
  <c r="AF3985" i="1" s="1"/>
  <c r="AF3986" i="1" s="1"/>
  <c r="AF3987" i="1" s="1"/>
  <c r="AF3988" i="1" s="1"/>
  <c r="AF3989" i="1" s="1"/>
  <c r="AF3990" i="1" s="1"/>
  <c r="AF3991" i="1" s="1"/>
  <c r="AF3992" i="1" s="1"/>
  <c r="AF3993" i="1" s="1"/>
  <c r="AF3994" i="1" s="1"/>
  <c r="AF3995" i="1" s="1"/>
  <c r="AF3996" i="1" s="1"/>
  <c r="AF3997" i="1" s="1"/>
  <c r="AF3998" i="1" s="1"/>
  <c r="AF3999" i="1" s="1"/>
  <c r="AF4000" i="1" s="1"/>
  <c r="AF4001" i="1" s="1"/>
  <c r="AF4002" i="1" s="1"/>
  <c r="AF3937" i="1"/>
  <c r="AF3938" i="1" s="1"/>
  <c r="AF3939" i="1" s="1"/>
  <c r="AF3940" i="1" s="1"/>
  <c r="AF3941" i="1" s="1"/>
  <c r="AF3942" i="1" s="1"/>
  <c r="AF3943" i="1" s="1"/>
  <c r="AF3944" i="1" s="1"/>
  <c r="AF3935" i="1"/>
  <c r="AF3936" i="1" s="1"/>
  <c r="AF3933" i="1"/>
  <c r="AF3934" i="1" s="1"/>
  <c r="AF3932" i="1"/>
  <c r="AF3931" i="1"/>
  <c r="AF3923" i="1"/>
  <c r="AF3924" i="1" s="1"/>
  <c r="AF3925" i="1" s="1"/>
  <c r="AF3926" i="1" s="1"/>
  <c r="AF3927" i="1" s="1"/>
  <c r="AF3928" i="1" s="1"/>
  <c r="AF3929" i="1" s="1"/>
  <c r="AF3930" i="1" s="1"/>
  <c r="AF3917" i="1"/>
  <c r="AF3918" i="1" s="1"/>
  <c r="AF3919" i="1" s="1"/>
  <c r="AF3920" i="1" s="1"/>
  <c r="AF3921" i="1" s="1"/>
  <c r="AF3922" i="1" s="1"/>
  <c r="AF3915" i="1"/>
  <c r="AF3916" i="1" s="1"/>
  <c r="AF3883" i="1"/>
  <c r="AF3884" i="1" s="1"/>
  <c r="AF3885" i="1" s="1"/>
  <c r="AF3886" i="1" s="1"/>
  <c r="AF3887" i="1" s="1"/>
  <c r="AF3888" i="1" s="1"/>
  <c r="AF3889" i="1" s="1"/>
  <c r="AF3890" i="1" s="1"/>
  <c r="AF3891" i="1" s="1"/>
  <c r="AF3892" i="1" s="1"/>
  <c r="AF3893" i="1" s="1"/>
  <c r="AF3894" i="1" s="1"/>
  <c r="AF3895" i="1" s="1"/>
  <c r="AF3896" i="1" s="1"/>
  <c r="AF3897" i="1" s="1"/>
  <c r="AF3898" i="1" s="1"/>
  <c r="AF3899" i="1" s="1"/>
  <c r="AF3900" i="1" s="1"/>
  <c r="AF3901" i="1" s="1"/>
  <c r="AF3902" i="1" s="1"/>
  <c r="AF3903" i="1" s="1"/>
  <c r="AF3904" i="1" s="1"/>
  <c r="AF3905" i="1" s="1"/>
  <c r="AF3906" i="1" s="1"/>
  <c r="AF3907" i="1" s="1"/>
  <c r="AF3908" i="1" s="1"/>
  <c r="AF3909" i="1" s="1"/>
  <c r="AF3910" i="1" s="1"/>
  <c r="AF3911" i="1" s="1"/>
  <c r="AF3912" i="1" s="1"/>
  <c r="AF3913" i="1" s="1"/>
  <c r="AF3914" i="1" s="1"/>
  <c r="AF3875" i="1"/>
  <c r="AF3876" i="1" s="1"/>
  <c r="AF3877" i="1" s="1"/>
  <c r="AF3878" i="1" s="1"/>
  <c r="AF3879" i="1" s="1"/>
  <c r="AF3880" i="1" s="1"/>
  <c r="AF3881" i="1" s="1"/>
  <c r="AF3882" i="1" s="1"/>
  <c r="AF3851" i="1"/>
  <c r="AF3852" i="1" s="1"/>
  <c r="AF3853" i="1" s="1"/>
  <c r="AF3854" i="1" s="1"/>
  <c r="AF3855" i="1" s="1"/>
  <c r="AF3856" i="1" s="1"/>
  <c r="AF3857" i="1" s="1"/>
  <c r="AF3858" i="1" s="1"/>
  <c r="AF3859" i="1" s="1"/>
  <c r="AF3860" i="1" s="1"/>
  <c r="AF3861" i="1" s="1"/>
  <c r="AF3862" i="1" s="1"/>
  <c r="AF3863" i="1" s="1"/>
  <c r="AF3864" i="1" s="1"/>
  <c r="AF3865" i="1" s="1"/>
  <c r="AF3866" i="1" s="1"/>
  <c r="AF3867" i="1" s="1"/>
  <c r="AF3868" i="1" s="1"/>
  <c r="AF3869" i="1" s="1"/>
  <c r="AF3870" i="1" s="1"/>
  <c r="AF3871" i="1" s="1"/>
  <c r="AF3872" i="1" s="1"/>
  <c r="AF3873" i="1" s="1"/>
  <c r="AF3874" i="1" s="1"/>
  <c r="AF3843" i="1"/>
  <c r="AF3844" i="1" s="1"/>
  <c r="AF3845" i="1" s="1"/>
  <c r="AF3846" i="1" s="1"/>
  <c r="AF3847" i="1" s="1"/>
  <c r="AF3848" i="1" s="1"/>
  <c r="AF3849" i="1" s="1"/>
  <c r="AF3850" i="1" s="1"/>
  <c r="AF3835" i="1"/>
  <c r="AF3836" i="1" s="1"/>
  <c r="AF3837" i="1" s="1"/>
  <c r="AF3838" i="1" s="1"/>
  <c r="AF3839" i="1" s="1"/>
  <c r="AF3840" i="1" s="1"/>
  <c r="AF3841" i="1" s="1"/>
  <c r="AF3842" i="1" s="1"/>
  <c r="AF3819" i="1"/>
  <c r="AF3820" i="1" s="1"/>
  <c r="AF3821" i="1" s="1"/>
  <c r="AF3822" i="1" s="1"/>
  <c r="AF3823" i="1" s="1"/>
  <c r="AF3824" i="1" s="1"/>
  <c r="AF3825" i="1" s="1"/>
  <c r="AF3826" i="1" s="1"/>
  <c r="AF3827" i="1" s="1"/>
  <c r="AF3828" i="1" s="1"/>
  <c r="AF3829" i="1" s="1"/>
  <c r="AF3830" i="1" s="1"/>
  <c r="AF3831" i="1" s="1"/>
  <c r="AF3832" i="1" s="1"/>
  <c r="AF3833" i="1" s="1"/>
  <c r="AF3834" i="1" s="1"/>
  <c r="AF3813" i="1"/>
  <c r="AF3814" i="1" s="1"/>
  <c r="AF3815" i="1" s="1"/>
  <c r="AF3816" i="1" s="1"/>
  <c r="AF3817" i="1" s="1"/>
  <c r="AF3818" i="1" s="1"/>
  <c r="AF3795" i="1"/>
  <c r="AF3796" i="1" s="1"/>
  <c r="AF3797" i="1" s="1"/>
  <c r="AF3798" i="1" s="1"/>
  <c r="AF3799" i="1" s="1"/>
  <c r="AF3800" i="1" s="1"/>
  <c r="AF3801" i="1" s="1"/>
  <c r="AF3802" i="1" s="1"/>
  <c r="AF3803" i="1" s="1"/>
  <c r="AF3804" i="1" s="1"/>
  <c r="AF3805" i="1" s="1"/>
  <c r="AF3806" i="1" s="1"/>
  <c r="AF3807" i="1" s="1"/>
  <c r="AF3808" i="1" s="1"/>
  <c r="AF3809" i="1" s="1"/>
  <c r="AF3810" i="1" s="1"/>
  <c r="AF3811" i="1" s="1"/>
  <c r="AF3812" i="1" s="1"/>
  <c r="AF3770" i="1"/>
  <c r="AF3771" i="1" s="1"/>
  <c r="AF3772" i="1" s="1"/>
  <c r="AF3773" i="1" s="1"/>
  <c r="AF3774" i="1" s="1"/>
  <c r="AF3775" i="1" s="1"/>
  <c r="AF3776" i="1" s="1"/>
  <c r="AF3777" i="1" s="1"/>
  <c r="AF3778" i="1" s="1"/>
  <c r="AF3779" i="1" s="1"/>
  <c r="AF3780" i="1" s="1"/>
  <c r="AF3781" i="1" s="1"/>
  <c r="AF3782" i="1" s="1"/>
  <c r="AF3783" i="1" s="1"/>
  <c r="AF3784" i="1" s="1"/>
  <c r="AF3785" i="1" s="1"/>
  <c r="AF3786" i="1" s="1"/>
  <c r="AF3787" i="1" s="1"/>
  <c r="AF3788" i="1" s="1"/>
  <c r="AF3789" i="1" s="1"/>
  <c r="AF3790" i="1" s="1"/>
  <c r="AF3791" i="1" s="1"/>
  <c r="AF3792" i="1" s="1"/>
  <c r="AF3793" i="1" s="1"/>
  <c r="AF3794" i="1" s="1"/>
  <c r="AF3769" i="1"/>
  <c r="AF3767" i="1"/>
  <c r="AF3768" i="1" s="1"/>
  <c r="AF3759" i="1"/>
  <c r="AF3760" i="1" s="1"/>
  <c r="AF3761" i="1" s="1"/>
  <c r="AF3762" i="1" s="1"/>
  <c r="AF3763" i="1" s="1"/>
  <c r="AF3764" i="1" s="1"/>
  <c r="AF3765" i="1" s="1"/>
  <c r="AF3766" i="1" s="1"/>
  <c r="AF3754" i="1"/>
  <c r="AF3755" i="1" s="1"/>
  <c r="AF3756" i="1" s="1"/>
  <c r="AF3757" i="1" s="1"/>
  <c r="AF3758" i="1" s="1"/>
  <c r="AF3749" i="1"/>
  <c r="AF3750" i="1" s="1"/>
  <c r="AF3751" i="1" s="1"/>
  <c r="AF3752" i="1" s="1"/>
  <c r="AF3753" i="1" s="1"/>
  <c r="AF3743" i="1"/>
  <c r="AF3744" i="1" s="1"/>
  <c r="AF3745" i="1" s="1"/>
  <c r="AF3746" i="1" s="1"/>
  <c r="AF3747" i="1" s="1"/>
  <c r="AF3748" i="1" s="1"/>
  <c r="AF3738" i="1"/>
  <c r="AF3739" i="1" s="1"/>
  <c r="AF3740" i="1" s="1"/>
  <c r="AF3741" i="1" s="1"/>
  <c r="AF3742" i="1" s="1"/>
  <c r="AF3733" i="1"/>
  <c r="AF3734" i="1" s="1"/>
  <c r="AF3735" i="1" s="1"/>
  <c r="AF3736" i="1" s="1"/>
  <c r="AF3737" i="1" s="1"/>
  <c r="AF3727" i="1"/>
  <c r="AF3728" i="1" s="1"/>
  <c r="AF3729" i="1" s="1"/>
  <c r="AF3730" i="1" s="1"/>
  <c r="AF3731" i="1" s="1"/>
  <c r="AF3732" i="1" s="1"/>
  <c r="AF3726" i="1"/>
  <c r="AF3722" i="1"/>
  <c r="AF3723" i="1" s="1"/>
  <c r="AF3724" i="1" s="1"/>
  <c r="AF3725" i="1" s="1"/>
  <c r="AF3717" i="1"/>
  <c r="AF3718" i="1" s="1"/>
  <c r="AF3719" i="1" s="1"/>
  <c r="AF3720" i="1" s="1"/>
  <c r="AF3721" i="1" s="1"/>
  <c r="AF3715" i="1"/>
  <c r="AF3716" i="1" s="1"/>
  <c r="AF3706" i="1"/>
  <c r="AF3707" i="1" s="1"/>
  <c r="AF3708" i="1" s="1"/>
  <c r="AF3709" i="1" s="1"/>
  <c r="AF3710" i="1" s="1"/>
  <c r="AF3711" i="1" s="1"/>
  <c r="AF3712" i="1" s="1"/>
  <c r="AF3713" i="1" s="1"/>
  <c r="AF3714" i="1" s="1"/>
  <c r="AF3705" i="1"/>
  <c r="AF3690" i="1"/>
  <c r="AF3691" i="1" s="1"/>
  <c r="AF3692" i="1" s="1"/>
  <c r="AF3693" i="1" s="1"/>
  <c r="AF3694" i="1" s="1"/>
  <c r="AF3695" i="1" s="1"/>
  <c r="AF3696" i="1" s="1"/>
  <c r="AF3697" i="1" s="1"/>
  <c r="AF3698" i="1" s="1"/>
  <c r="AF3699" i="1" s="1"/>
  <c r="AF3700" i="1" s="1"/>
  <c r="AF3701" i="1" s="1"/>
  <c r="AF3702" i="1" s="1"/>
  <c r="AF3703" i="1" s="1"/>
  <c r="AF3704" i="1" s="1"/>
  <c r="AF3689" i="1"/>
  <c r="AF3688" i="1"/>
  <c r="AF3682" i="1"/>
  <c r="AF3683" i="1" s="1"/>
  <c r="AF3684" i="1" s="1"/>
  <c r="AF3685" i="1" s="1"/>
  <c r="AF3686" i="1" s="1"/>
  <c r="AF3687" i="1" s="1"/>
  <c r="AF3669" i="1"/>
  <c r="AF3670" i="1" s="1"/>
  <c r="AF3671" i="1" s="1"/>
  <c r="AF3672" i="1" s="1"/>
  <c r="AF3673" i="1" s="1"/>
  <c r="AF3674" i="1" s="1"/>
  <c r="AF3675" i="1" s="1"/>
  <c r="AF3676" i="1" s="1"/>
  <c r="AF3677" i="1" s="1"/>
  <c r="AF3678" i="1" s="1"/>
  <c r="AF3679" i="1" s="1"/>
  <c r="AF3680" i="1" s="1"/>
  <c r="AF3681" i="1" s="1"/>
  <c r="AF3624" i="1"/>
  <c r="AF3625" i="1" s="1"/>
  <c r="AF3626" i="1" s="1"/>
  <c r="AF3627" i="1" s="1"/>
  <c r="AF3628" i="1" s="1"/>
  <c r="AF3629" i="1" s="1"/>
  <c r="AF3630" i="1" s="1"/>
  <c r="AF3631" i="1" s="1"/>
  <c r="AF3632" i="1" s="1"/>
  <c r="AF3633" i="1" s="1"/>
  <c r="AF3634" i="1" s="1"/>
  <c r="AF3635" i="1" s="1"/>
  <c r="AF3636" i="1" s="1"/>
  <c r="AF3637" i="1" s="1"/>
  <c r="AF3638" i="1" s="1"/>
  <c r="AF3639" i="1" s="1"/>
  <c r="AF3640" i="1" s="1"/>
  <c r="AF3641" i="1" s="1"/>
  <c r="AF3642" i="1" s="1"/>
  <c r="AF3643" i="1" s="1"/>
  <c r="AF3644" i="1" s="1"/>
  <c r="AF3645" i="1" s="1"/>
  <c r="AF3646" i="1" s="1"/>
  <c r="AF3647" i="1" s="1"/>
  <c r="AF3648" i="1" s="1"/>
  <c r="AF3649" i="1" s="1"/>
  <c r="AF3650" i="1" s="1"/>
  <c r="AF3651" i="1" s="1"/>
  <c r="AF3652" i="1" s="1"/>
  <c r="AF3653" i="1" s="1"/>
  <c r="AF3654" i="1" s="1"/>
  <c r="AF3655" i="1" s="1"/>
  <c r="AF3656" i="1" s="1"/>
  <c r="AF3657" i="1" s="1"/>
  <c r="AF3658" i="1" s="1"/>
  <c r="AF3659" i="1" s="1"/>
  <c r="AF3660" i="1" s="1"/>
  <c r="AF3661" i="1" s="1"/>
  <c r="AF3662" i="1" s="1"/>
  <c r="AF3663" i="1" s="1"/>
  <c r="AF3664" i="1" s="1"/>
  <c r="AF3665" i="1" s="1"/>
  <c r="AF3666" i="1" s="1"/>
  <c r="AF3667" i="1" s="1"/>
  <c r="AF3668" i="1" s="1"/>
  <c r="AF3623" i="1"/>
  <c r="AF3622" i="1"/>
  <c r="AF3616" i="1"/>
  <c r="AF3617" i="1" s="1"/>
  <c r="AF3618" i="1" s="1"/>
  <c r="AF3619" i="1" s="1"/>
  <c r="AF3620" i="1" s="1"/>
  <c r="AF3621" i="1" s="1"/>
  <c r="AF3615" i="1"/>
  <c r="AF3612" i="1"/>
  <c r="AF3613" i="1" s="1"/>
  <c r="AF3614" i="1" s="1"/>
  <c r="AF3609" i="1"/>
  <c r="AF3610" i="1" s="1"/>
  <c r="AF3611" i="1" s="1"/>
  <c r="AF3584" i="1"/>
  <c r="AF3585" i="1" s="1"/>
  <c r="AF3586" i="1" s="1"/>
  <c r="AF3587" i="1" s="1"/>
  <c r="AF3588" i="1" s="1"/>
  <c r="AF3589" i="1" s="1"/>
  <c r="AF3590" i="1" s="1"/>
  <c r="AF3591" i="1" s="1"/>
  <c r="AF3592" i="1" s="1"/>
  <c r="AF3593" i="1" s="1"/>
  <c r="AF3594" i="1" s="1"/>
  <c r="AF3595" i="1" s="1"/>
  <c r="AF3596" i="1" s="1"/>
  <c r="AF3597" i="1" s="1"/>
  <c r="AF3598" i="1" s="1"/>
  <c r="AF3599" i="1" s="1"/>
  <c r="AF3600" i="1" s="1"/>
  <c r="AF3601" i="1" s="1"/>
  <c r="AF3602" i="1" s="1"/>
  <c r="AF3603" i="1" s="1"/>
  <c r="AF3604" i="1" s="1"/>
  <c r="AF3605" i="1" s="1"/>
  <c r="AF3606" i="1" s="1"/>
  <c r="AF3607" i="1" s="1"/>
  <c r="AF3608" i="1" s="1"/>
  <c r="AF3583" i="1"/>
  <c r="AF3580" i="1"/>
  <c r="AF3581" i="1" s="1"/>
  <c r="AF3582" i="1" s="1"/>
  <c r="AF3576" i="1"/>
  <c r="AF3577" i="1" s="1"/>
  <c r="AF3578" i="1" s="1"/>
  <c r="AF3579" i="1" s="1"/>
  <c r="AF3575" i="1"/>
  <c r="AF3572" i="1"/>
  <c r="AF3573" i="1" s="1"/>
  <c r="AF3574" i="1" s="1"/>
  <c r="AF3571" i="1"/>
  <c r="AF3570" i="1"/>
  <c r="AF3547" i="1"/>
  <c r="AF3548" i="1" s="1"/>
  <c r="AF3549" i="1" s="1"/>
  <c r="AF3550" i="1" s="1"/>
  <c r="AF3551" i="1" s="1"/>
  <c r="AF3552" i="1" s="1"/>
  <c r="AF3553" i="1" s="1"/>
  <c r="AF3554" i="1" s="1"/>
  <c r="AF3555" i="1" s="1"/>
  <c r="AF3556" i="1" s="1"/>
  <c r="AF3557" i="1" s="1"/>
  <c r="AF3558" i="1" s="1"/>
  <c r="AF3559" i="1" s="1"/>
  <c r="AF3560" i="1" s="1"/>
  <c r="AF3561" i="1" s="1"/>
  <c r="AF3562" i="1" s="1"/>
  <c r="AF3563" i="1" s="1"/>
  <c r="AF3564" i="1" s="1"/>
  <c r="AF3565" i="1" s="1"/>
  <c r="AF3566" i="1" s="1"/>
  <c r="AF3567" i="1" s="1"/>
  <c r="AF3568" i="1" s="1"/>
  <c r="AF3569" i="1" s="1"/>
  <c r="AF3544" i="1"/>
  <c r="AF3545" i="1" s="1"/>
  <c r="AF3546" i="1" s="1"/>
  <c r="AF3543" i="1"/>
  <c r="AF3540" i="1"/>
  <c r="AF3541" i="1" s="1"/>
  <c r="AF3542" i="1" s="1"/>
  <c r="AF3539" i="1"/>
  <c r="AF3531" i="1"/>
  <c r="AF3532" i="1" s="1"/>
  <c r="AF3533" i="1" s="1"/>
  <c r="AF3534" i="1" s="1"/>
  <c r="AF3535" i="1" s="1"/>
  <c r="AF3536" i="1" s="1"/>
  <c r="AF3537" i="1" s="1"/>
  <c r="AF3538" i="1" s="1"/>
  <c r="AF3528" i="1"/>
  <c r="AF3529" i="1" s="1"/>
  <c r="AF3530" i="1" s="1"/>
  <c r="AF3527" i="1"/>
  <c r="AF3523" i="1"/>
  <c r="AF3524" i="1" s="1"/>
  <c r="AF3525" i="1" s="1"/>
  <c r="AF3526" i="1" s="1"/>
  <c r="AF3520" i="1"/>
  <c r="AF3521" i="1" s="1"/>
  <c r="AF3522" i="1" s="1"/>
  <c r="AF3519" i="1"/>
  <c r="AF3518" i="1"/>
  <c r="AF3516" i="1"/>
  <c r="AF3517" i="1" s="1"/>
  <c r="AF3515" i="1"/>
  <c r="AF3512" i="1"/>
  <c r="AF3513" i="1" s="1"/>
  <c r="AF3514" i="1" s="1"/>
  <c r="AF3511" i="1"/>
  <c r="AF3510" i="1"/>
  <c r="AF3503" i="1"/>
  <c r="AF3504" i="1" s="1"/>
  <c r="AF3505" i="1" s="1"/>
  <c r="AF3506" i="1" s="1"/>
  <c r="AF3507" i="1" s="1"/>
  <c r="AF3508" i="1" s="1"/>
  <c r="AF3509" i="1" s="1"/>
  <c r="AF3500" i="1"/>
  <c r="AF3501" i="1" s="1"/>
  <c r="AF3502" i="1" s="1"/>
  <c r="AF3499" i="1"/>
  <c r="AF3497" i="1"/>
  <c r="AF3498" i="1" s="1"/>
  <c r="AF3488" i="1"/>
  <c r="AF3489" i="1" s="1"/>
  <c r="AF3490" i="1" s="1"/>
  <c r="AF3491" i="1" s="1"/>
  <c r="AF3492" i="1" s="1"/>
  <c r="AF3493" i="1" s="1"/>
  <c r="AF3494" i="1" s="1"/>
  <c r="AF3495" i="1" s="1"/>
  <c r="AF3496" i="1" s="1"/>
  <c r="AF3480" i="1"/>
  <c r="AF3481" i="1" s="1"/>
  <c r="AF3482" i="1" s="1"/>
  <c r="AF3483" i="1" s="1"/>
  <c r="AF3484" i="1" s="1"/>
  <c r="AF3485" i="1" s="1"/>
  <c r="AF3486" i="1" s="1"/>
  <c r="AF3487" i="1" s="1"/>
  <c r="AF3472" i="1"/>
  <c r="AF3473" i="1" s="1"/>
  <c r="AF3474" i="1" s="1"/>
  <c r="AF3475" i="1" s="1"/>
  <c r="AF3476" i="1" s="1"/>
  <c r="AF3477" i="1" s="1"/>
  <c r="AF3478" i="1" s="1"/>
  <c r="AF3479" i="1" s="1"/>
  <c r="AF3464" i="1"/>
  <c r="AF3465" i="1" s="1"/>
  <c r="AF3466" i="1" s="1"/>
  <c r="AF3467" i="1" s="1"/>
  <c r="AF3468" i="1" s="1"/>
  <c r="AF3469" i="1" s="1"/>
  <c r="AF3470" i="1" s="1"/>
  <c r="AF3471" i="1" s="1"/>
  <c r="AF3456" i="1"/>
  <c r="AF3457" i="1" s="1"/>
  <c r="AF3458" i="1" s="1"/>
  <c r="AF3459" i="1" s="1"/>
  <c r="AF3460" i="1" s="1"/>
  <c r="AF3461" i="1" s="1"/>
  <c r="AF3462" i="1" s="1"/>
  <c r="AF3463" i="1" s="1"/>
  <c r="AF3455" i="1"/>
  <c r="AF3454" i="1"/>
  <c r="AF3451" i="1"/>
  <c r="AF3452" i="1" s="1"/>
  <c r="AF3453" i="1" s="1"/>
  <c r="AF3448" i="1"/>
  <c r="AF3449" i="1" s="1"/>
  <c r="AF3450" i="1" s="1"/>
  <c r="AF3447" i="1"/>
  <c r="AF3446" i="1"/>
  <c r="AF3436" i="1"/>
  <c r="AF3437" i="1" s="1"/>
  <c r="AF3438" i="1" s="1"/>
  <c r="AF3439" i="1" s="1"/>
  <c r="AF3440" i="1" s="1"/>
  <c r="AF3441" i="1" s="1"/>
  <c r="AF3442" i="1" s="1"/>
  <c r="AF3443" i="1" s="1"/>
  <c r="AF3444" i="1" s="1"/>
  <c r="AF3445" i="1" s="1"/>
  <c r="AF3435" i="1"/>
  <c r="AF3432" i="1"/>
  <c r="AF3433" i="1" s="1"/>
  <c r="AF3434" i="1" s="1"/>
  <c r="AF3420" i="1"/>
  <c r="AF3421" i="1" s="1"/>
  <c r="AF3422" i="1" s="1"/>
  <c r="AF3423" i="1" s="1"/>
  <c r="AF3424" i="1" s="1"/>
  <c r="AF3425" i="1" s="1"/>
  <c r="AF3426" i="1" s="1"/>
  <c r="AF3427" i="1" s="1"/>
  <c r="AF3428" i="1" s="1"/>
  <c r="AF3429" i="1" s="1"/>
  <c r="AF3430" i="1" s="1"/>
  <c r="AF3431" i="1" s="1"/>
  <c r="AF3419" i="1"/>
  <c r="AF3416" i="1"/>
  <c r="AF3417" i="1" s="1"/>
  <c r="AF3418" i="1" s="1"/>
  <c r="AF3415" i="1"/>
  <c r="AF3414" i="1"/>
  <c r="AF3407" i="1"/>
  <c r="AF3408" i="1" s="1"/>
  <c r="AF3409" i="1" s="1"/>
  <c r="AF3410" i="1" s="1"/>
  <c r="AF3411" i="1" s="1"/>
  <c r="AF3412" i="1" s="1"/>
  <c r="AF3413" i="1" s="1"/>
  <c r="AF3404" i="1"/>
  <c r="AF3405" i="1" s="1"/>
  <c r="AF3406" i="1" s="1"/>
  <c r="AF3403" i="1"/>
  <c r="AF3401" i="1"/>
  <c r="AF3402" i="1" s="1"/>
  <c r="AF3400" i="1"/>
  <c r="AF3399" i="1"/>
  <c r="AF3396" i="1"/>
  <c r="AF3397" i="1" s="1"/>
  <c r="AF3398" i="1" s="1"/>
  <c r="AF3395" i="1"/>
  <c r="AF3392" i="1"/>
  <c r="AF3393" i="1" s="1"/>
  <c r="AF3394" i="1" s="1"/>
  <c r="AF3391" i="1"/>
  <c r="AF3388" i="1"/>
  <c r="AF3389" i="1" s="1"/>
  <c r="AF3390" i="1" s="1"/>
  <c r="AF3387" i="1"/>
  <c r="AF3384" i="1"/>
  <c r="AF3385" i="1" s="1"/>
  <c r="AF3386" i="1" s="1"/>
  <c r="AF3383" i="1"/>
  <c r="AF3380" i="1"/>
  <c r="AF3381" i="1" s="1"/>
  <c r="AF3382" i="1" s="1"/>
  <c r="AF3379" i="1"/>
  <c r="AF3378" i="1"/>
  <c r="AF3371" i="1"/>
  <c r="AF3372" i="1" s="1"/>
  <c r="AF3373" i="1" s="1"/>
  <c r="AF3374" i="1" s="1"/>
  <c r="AF3375" i="1" s="1"/>
  <c r="AF3376" i="1" s="1"/>
  <c r="AF3377" i="1" s="1"/>
  <c r="AF3363" i="1"/>
  <c r="AF3364" i="1" s="1"/>
  <c r="AF3365" i="1" s="1"/>
  <c r="AF3366" i="1" s="1"/>
  <c r="AF3367" i="1" s="1"/>
  <c r="AF3368" i="1" s="1"/>
  <c r="AF3369" i="1" s="1"/>
  <c r="AF3370" i="1" s="1"/>
  <c r="AF3339" i="1"/>
  <c r="AF3340" i="1" s="1"/>
  <c r="AF3341" i="1" s="1"/>
  <c r="AF3342" i="1" s="1"/>
  <c r="AF3343" i="1" s="1"/>
  <c r="AF3344" i="1" s="1"/>
  <c r="AF3345" i="1" s="1"/>
  <c r="AF3346" i="1" s="1"/>
  <c r="AF3347" i="1" s="1"/>
  <c r="AF3348" i="1" s="1"/>
  <c r="AF3349" i="1" s="1"/>
  <c r="AF3350" i="1" s="1"/>
  <c r="AF3351" i="1" s="1"/>
  <c r="AF3352" i="1" s="1"/>
  <c r="AF3353" i="1" s="1"/>
  <c r="AF3354" i="1" s="1"/>
  <c r="AF3355" i="1" s="1"/>
  <c r="AF3356" i="1" s="1"/>
  <c r="AF3357" i="1" s="1"/>
  <c r="AF3358" i="1" s="1"/>
  <c r="AF3359" i="1" s="1"/>
  <c r="AF3360" i="1" s="1"/>
  <c r="AF3361" i="1" s="1"/>
  <c r="AF3362" i="1" s="1"/>
  <c r="AF3331" i="1"/>
  <c r="AF3332" i="1" s="1"/>
  <c r="AF3333" i="1" s="1"/>
  <c r="AF3334" i="1" s="1"/>
  <c r="AF3335" i="1" s="1"/>
  <c r="AF3336" i="1" s="1"/>
  <c r="AF3337" i="1" s="1"/>
  <c r="AF3338" i="1" s="1"/>
  <c r="AF3328" i="1"/>
  <c r="AF3329" i="1" s="1"/>
  <c r="AF3330" i="1" s="1"/>
  <c r="AF3299" i="1"/>
  <c r="AF3300" i="1" s="1"/>
  <c r="AF3301" i="1" s="1"/>
  <c r="AF3302" i="1" s="1"/>
  <c r="AF3303" i="1" s="1"/>
  <c r="AF3304" i="1" s="1"/>
  <c r="AF3305" i="1" s="1"/>
  <c r="AF3306" i="1" s="1"/>
  <c r="AF3307" i="1" s="1"/>
  <c r="AF3308" i="1" s="1"/>
  <c r="AF3309" i="1" s="1"/>
  <c r="AF3310" i="1" s="1"/>
  <c r="AF3311" i="1" s="1"/>
  <c r="AF3312" i="1" s="1"/>
  <c r="AF3313" i="1" s="1"/>
  <c r="AF3314" i="1" s="1"/>
  <c r="AF3315" i="1" s="1"/>
  <c r="AF3316" i="1" s="1"/>
  <c r="AF3317" i="1" s="1"/>
  <c r="AF3318" i="1" s="1"/>
  <c r="AF3319" i="1" s="1"/>
  <c r="AF3320" i="1" s="1"/>
  <c r="AF3321" i="1" s="1"/>
  <c r="AF3322" i="1" s="1"/>
  <c r="AF3323" i="1" s="1"/>
  <c r="AF3324" i="1" s="1"/>
  <c r="AF3325" i="1" s="1"/>
  <c r="AF3326" i="1" s="1"/>
  <c r="AF3327" i="1" s="1"/>
  <c r="AF3296" i="1"/>
  <c r="AF3297" i="1" s="1"/>
  <c r="AF3298" i="1" s="1"/>
  <c r="AF3295" i="1"/>
  <c r="AF3291" i="1"/>
  <c r="AF3292" i="1" s="1"/>
  <c r="AF3293" i="1" s="1"/>
  <c r="AF3294" i="1" s="1"/>
  <c r="AF3288" i="1"/>
  <c r="AF3289" i="1" s="1"/>
  <c r="AF3290" i="1" s="1"/>
  <c r="AF3287" i="1"/>
  <c r="AF3284" i="1"/>
  <c r="AF3285" i="1" s="1"/>
  <c r="AF3286" i="1" s="1"/>
  <c r="AF3283" i="1"/>
  <c r="AF3280" i="1"/>
  <c r="AF3281" i="1" s="1"/>
  <c r="AF3282" i="1" s="1"/>
  <c r="AF3279" i="1"/>
  <c r="AF3277" i="1"/>
  <c r="AF3278" i="1" s="1"/>
  <c r="AF3271" i="1"/>
  <c r="AF3272" i="1" s="1"/>
  <c r="AF3273" i="1" s="1"/>
  <c r="AF3274" i="1" s="1"/>
  <c r="AF3275" i="1" s="1"/>
  <c r="AF3276" i="1" s="1"/>
  <c r="AF3270" i="1"/>
  <c r="AF3267" i="1"/>
  <c r="AF3268" i="1" s="1"/>
  <c r="AF3269" i="1" s="1"/>
  <c r="AF3265" i="1"/>
  <c r="AF3266" i="1" s="1"/>
  <c r="AF3264" i="1"/>
  <c r="AF3244" i="1"/>
  <c r="AF3245" i="1" s="1"/>
  <c r="AF3246" i="1" s="1"/>
  <c r="AF3247" i="1" s="1"/>
  <c r="AF3248" i="1" s="1"/>
  <c r="AF3249" i="1" s="1"/>
  <c r="AF3250" i="1" s="1"/>
  <c r="AF3251" i="1" s="1"/>
  <c r="AF3252" i="1" s="1"/>
  <c r="AF3253" i="1" s="1"/>
  <c r="AF3254" i="1" s="1"/>
  <c r="AF3255" i="1" s="1"/>
  <c r="AF3256" i="1" s="1"/>
  <c r="AF3257" i="1" s="1"/>
  <c r="AF3258" i="1" s="1"/>
  <c r="AF3259" i="1" s="1"/>
  <c r="AF3260" i="1" s="1"/>
  <c r="AF3261" i="1" s="1"/>
  <c r="AF3262" i="1" s="1"/>
  <c r="AF3263" i="1" s="1"/>
  <c r="AF3239" i="1"/>
  <c r="AF3240" i="1" s="1"/>
  <c r="AF3241" i="1" s="1"/>
  <c r="AF3242" i="1" s="1"/>
  <c r="AF3243" i="1" s="1"/>
  <c r="AF3238" i="1"/>
  <c r="AF3227" i="1"/>
  <c r="AF3228" i="1" s="1"/>
  <c r="AF3229" i="1" s="1"/>
  <c r="AF3230" i="1" s="1"/>
  <c r="AF3231" i="1" s="1"/>
  <c r="AF3232" i="1" s="1"/>
  <c r="AF3233" i="1" s="1"/>
  <c r="AF3234" i="1" s="1"/>
  <c r="AF3235" i="1" s="1"/>
  <c r="AF3236" i="1" s="1"/>
  <c r="AF3237" i="1" s="1"/>
  <c r="AF3226" i="1"/>
  <c r="AF3211" i="1"/>
  <c r="AF3212" i="1" s="1"/>
  <c r="AF3213" i="1" s="1"/>
  <c r="AF3214" i="1" s="1"/>
  <c r="AF3215" i="1" s="1"/>
  <c r="AF3216" i="1" s="1"/>
  <c r="AF3217" i="1" s="1"/>
  <c r="AF3218" i="1" s="1"/>
  <c r="AF3219" i="1" s="1"/>
  <c r="AF3220" i="1" s="1"/>
  <c r="AF3221" i="1" s="1"/>
  <c r="AF3222" i="1" s="1"/>
  <c r="AF3223" i="1" s="1"/>
  <c r="AF3224" i="1" s="1"/>
  <c r="AF3225" i="1" s="1"/>
  <c r="AF3210" i="1"/>
  <c r="AF3191" i="1"/>
  <c r="AF3192" i="1" s="1"/>
  <c r="AF3193" i="1" s="1"/>
  <c r="AF3194" i="1" s="1"/>
  <c r="AF3195" i="1" s="1"/>
  <c r="AF3196" i="1" s="1"/>
  <c r="AF3197" i="1" s="1"/>
  <c r="AF3198" i="1" s="1"/>
  <c r="AF3199" i="1" s="1"/>
  <c r="AF3200" i="1" s="1"/>
  <c r="AF3201" i="1" s="1"/>
  <c r="AF3202" i="1" s="1"/>
  <c r="AF3203" i="1" s="1"/>
  <c r="AF3204" i="1" s="1"/>
  <c r="AF3205" i="1" s="1"/>
  <c r="AF3206" i="1" s="1"/>
  <c r="AF3207" i="1" s="1"/>
  <c r="AF3208" i="1" s="1"/>
  <c r="AF3209" i="1" s="1"/>
  <c r="AF3190" i="1"/>
  <c r="AF3175" i="1"/>
  <c r="AF3176" i="1" s="1"/>
  <c r="AF3177" i="1" s="1"/>
  <c r="AF3178" i="1" s="1"/>
  <c r="AF3179" i="1" s="1"/>
  <c r="AF3180" i="1" s="1"/>
  <c r="AF3181" i="1" s="1"/>
  <c r="AF3182" i="1" s="1"/>
  <c r="AF3183" i="1" s="1"/>
  <c r="AF3184" i="1" s="1"/>
  <c r="AF3185" i="1" s="1"/>
  <c r="AF3186" i="1" s="1"/>
  <c r="AF3187" i="1" s="1"/>
  <c r="AF3188" i="1" s="1"/>
  <c r="AF3189" i="1" s="1"/>
  <c r="AF3174" i="1"/>
  <c r="AF3173" i="1"/>
  <c r="AF3172" i="1"/>
  <c r="AF3167" i="1"/>
  <c r="AF3168" i="1" s="1"/>
  <c r="AF3169" i="1" s="1"/>
  <c r="AF3170" i="1" s="1"/>
  <c r="AF3171" i="1" s="1"/>
  <c r="AF3166" i="1"/>
  <c r="AF3159" i="1"/>
  <c r="AF3160" i="1" s="1"/>
  <c r="AF3161" i="1" s="1"/>
  <c r="AF3162" i="1" s="1"/>
  <c r="AF3163" i="1" s="1"/>
  <c r="AF3164" i="1" s="1"/>
  <c r="AF3165" i="1" s="1"/>
  <c r="AF3151" i="1"/>
  <c r="AF3152" i="1" s="1"/>
  <c r="AF3153" i="1" s="1"/>
  <c r="AF3154" i="1" s="1"/>
  <c r="AF3155" i="1" s="1"/>
  <c r="AF3156" i="1" s="1"/>
  <c r="AF3157" i="1" s="1"/>
  <c r="AF3158" i="1" s="1"/>
  <c r="AF3150" i="1"/>
  <c r="AF3149" i="1"/>
  <c r="AF3146" i="1"/>
  <c r="AF3147" i="1" s="1"/>
  <c r="AF3148" i="1" s="1"/>
  <c r="AF3143" i="1"/>
  <c r="AF3144" i="1" s="1"/>
  <c r="AF3145" i="1" s="1"/>
  <c r="AF3142" i="1"/>
  <c r="AF3139" i="1"/>
  <c r="AF3140" i="1" s="1"/>
  <c r="AF3141" i="1" s="1"/>
  <c r="AF3138" i="1"/>
  <c r="AF3134" i="1"/>
  <c r="AF3135" i="1" s="1"/>
  <c r="AF3136" i="1" s="1"/>
  <c r="AF3137" i="1" s="1"/>
  <c r="AF3133" i="1"/>
  <c r="AF3131" i="1"/>
  <c r="AF3132" i="1" s="1"/>
  <c r="AF3130" i="1"/>
  <c r="AF3129" i="1"/>
  <c r="AF3128" i="1"/>
  <c r="AF3127" i="1"/>
  <c r="AF3126" i="1"/>
  <c r="AF3125" i="1"/>
  <c r="AF3124" i="1"/>
  <c r="AF3123" i="1"/>
  <c r="AF3115" i="1"/>
  <c r="AF3116" i="1" s="1"/>
  <c r="AF3117" i="1" s="1"/>
  <c r="AF3118" i="1" s="1"/>
  <c r="AF3119" i="1" s="1"/>
  <c r="AF3120" i="1" s="1"/>
  <c r="AF3121" i="1" s="1"/>
  <c r="AF3122" i="1" s="1"/>
  <c r="AF3107" i="1"/>
  <c r="AF3108" i="1" s="1"/>
  <c r="AF3109" i="1" s="1"/>
  <c r="AF3110" i="1" s="1"/>
  <c r="AF3111" i="1" s="1"/>
  <c r="AF3112" i="1" s="1"/>
  <c r="AF3113" i="1" s="1"/>
  <c r="AF3114" i="1" s="1"/>
  <c r="AF3106" i="1"/>
  <c r="AF3099" i="1"/>
  <c r="AF3100" i="1" s="1"/>
  <c r="AF3101" i="1" s="1"/>
  <c r="AF3102" i="1" s="1"/>
  <c r="AF3103" i="1" s="1"/>
  <c r="AF3104" i="1" s="1"/>
  <c r="AF3105" i="1" s="1"/>
  <c r="AF3091" i="1"/>
  <c r="AF3092" i="1" s="1"/>
  <c r="AF3093" i="1" s="1"/>
  <c r="AF3094" i="1" s="1"/>
  <c r="AF3095" i="1" s="1"/>
  <c r="AF3096" i="1" s="1"/>
  <c r="AF3097" i="1" s="1"/>
  <c r="AF3098" i="1" s="1"/>
  <c r="AF3090" i="1"/>
  <c r="AF3089" i="1"/>
  <c r="AF3088" i="1"/>
  <c r="AF3067" i="1"/>
  <c r="AF3068" i="1" s="1"/>
  <c r="AF3069" i="1" s="1"/>
  <c r="AF3070" i="1" s="1"/>
  <c r="AF3071" i="1" s="1"/>
  <c r="AF3072" i="1" s="1"/>
  <c r="AF3073" i="1" s="1"/>
  <c r="AF3074" i="1" s="1"/>
  <c r="AF3075" i="1" s="1"/>
  <c r="AF3076" i="1" s="1"/>
  <c r="AF3077" i="1" s="1"/>
  <c r="AF3078" i="1" s="1"/>
  <c r="AF3079" i="1" s="1"/>
  <c r="AF3080" i="1" s="1"/>
  <c r="AF3081" i="1" s="1"/>
  <c r="AF3082" i="1" s="1"/>
  <c r="AF3083" i="1" s="1"/>
  <c r="AF3084" i="1" s="1"/>
  <c r="AF3085" i="1" s="1"/>
  <c r="AF3086" i="1" s="1"/>
  <c r="AF3087" i="1" s="1"/>
  <c r="AF3066" i="1"/>
  <c r="AF3065" i="1"/>
  <c r="AF3064" i="1"/>
  <c r="AF3059" i="1"/>
  <c r="AF3060" i="1" s="1"/>
  <c r="AF3061" i="1" s="1"/>
  <c r="AF3062" i="1" s="1"/>
  <c r="AF3063" i="1" s="1"/>
  <c r="AF3055" i="1"/>
  <c r="AF3056" i="1" s="1"/>
  <c r="AF3057" i="1" s="1"/>
  <c r="AF3058" i="1" s="1"/>
  <c r="AF3043" i="1"/>
  <c r="AF3044" i="1" s="1"/>
  <c r="AF3045" i="1" s="1"/>
  <c r="AF3046" i="1" s="1"/>
  <c r="AF3047" i="1" s="1"/>
  <c r="AF3048" i="1" s="1"/>
  <c r="AF3049" i="1" s="1"/>
  <c r="AF3050" i="1" s="1"/>
  <c r="AF3051" i="1" s="1"/>
  <c r="AF3052" i="1" s="1"/>
  <c r="AF3053" i="1" s="1"/>
  <c r="AF3054" i="1" s="1"/>
  <c r="AF3039" i="1"/>
  <c r="AF3040" i="1" s="1"/>
  <c r="AF3041" i="1" s="1"/>
  <c r="AF3042" i="1" s="1"/>
  <c r="AF3038" i="1"/>
  <c r="AF3037" i="1"/>
  <c r="AF3036" i="1"/>
  <c r="AF3027" i="1"/>
  <c r="AF3028" i="1" s="1"/>
  <c r="AF3029" i="1" s="1"/>
  <c r="AF3030" i="1" s="1"/>
  <c r="AF3031" i="1" s="1"/>
  <c r="AF3032" i="1" s="1"/>
  <c r="AF3033" i="1" s="1"/>
  <c r="AF3034" i="1" s="1"/>
  <c r="AF3035" i="1" s="1"/>
  <c r="AF3026" i="1"/>
  <c r="AF3011" i="1"/>
  <c r="AF3012" i="1" s="1"/>
  <c r="AF3013" i="1" s="1"/>
  <c r="AF3014" i="1" s="1"/>
  <c r="AF3015" i="1" s="1"/>
  <c r="AF3016" i="1" s="1"/>
  <c r="AF3017" i="1" s="1"/>
  <c r="AF3018" i="1" s="1"/>
  <c r="AF3019" i="1" s="1"/>
  <c r="AF3020" i="1" s="1"/>
  <c r="AF3021" i="1" s="1"/>
  <c r="AF3022" i="1" s="1"/>
  <c r="AF3023" i="1" s="1"/>
  <c r="AF3024" i="1" s="1"/>
  <c r="AF3025" i="1" s="1"/>
  <c r="AF2995" i="1"/>
  <c r="AF2996" i="1" s="1"/>
  <c r="AF2997" i="1" s="1"/>
  <c r="AF2998" i="1" s="1"/>
  <c r="AF2999" i="1" s="1"/>
  <c r="AF3000" i="1" s="1"/>
  <c r="AF3001" i="1" s="1"/>
  <c r="AF3002" i="1" s="1"/>
  <c r="AF3003" i="1" s="1"/>
  <c r="AF3004" i="1" s="1"/>
  <c r="AF3005" i="1" s="1"/>
  <c r="AF3006" i="1" s="1"/>
  <c r="AF3007" i="1" s="1"/>
  <c r="AF3008" i="1" s="1"/>
  <c r="AF3009" i="1" s="1"/>
  <c r="AF3010" i="1" s="1"/>
  <c r="AF2994" i="1"/>
  <c r="AF2967" i="1"/>
  <c r="AF2968" i="1" s="1"/>
  <c r="AF2969" i="1" s="1"/>
  <c r="AF2970" i="1" s="1"/>
  <c r="AF2971" i="1" s="1"/>
  <c r="AF2972" i="1" s="1"/>
  <c r="AF2973" i="1" s="1"/>
  <c r="AF2974" i="1" s="1"/>
  <c r="AF2975" i="1" s="1"/>
  <c r="AF2976" i="1" s="1"/>
  <c r="AF2977" i="1" s="1"/>
  <c r="AF2978" i="1" s="1"/>
  <c r="AF2979" i="1" s="1"/>
  <c r="AF2980" i="1" s="1"/>
  <c r="AF2981" i="1" s="1"/>
  <c r="AF2982" i="1" s="1"/>
  <c r="AF2983" i="1" s="1"/>
  <c r="AF2984" i="1" s="1"/>
  <c r="AF2985" i="1" s="1"/>
  <c r="AF2986" i="1" s="1"/>
  <c r="AF2987" i="1" s="1"/>
  <c r="AF2988" i="1" s="1"/>
  <c r="AF2989" i="1" s="1"/>
  <c r="AF2990" i="1" s="1"/>
  <c r="AF2991" i="1" s="1"/>
  <c r="AF2992" i="1" s="1"/>
  <c r="AF2993" i="1" s="1"/>
  <c r="AF2966" i="1"/>
  <c r="AF2955" i="1"/>
  <c r="AF2956" i="1" s="1"/>
  <c r="AF2957" i="1" s="1"/>
  <c r="AF2958" i="1" s="1"/>
  <c r="AF2959" i="1" s="1"/>
  <c r="AF2960" i="1" s="1"/>
  <c r="AF2961" i="1" s="1"/>
  <c r="AF2962" i="1" s="1"/>
  <c r="AF2963" i="1" s="1"/>
  <c r="AF2964" i="1" s="1"/>
  <c r="AF2965" i="1" s="1"/>
  <c r="AF2951" i="1"/>
  <c r="AF2952" i="1" s="1"/>
  <c r="AF2953" i="1" s="1"/>
  <c r="AF2954" i="1" s="1"/>
  <c r="AF2947" i="1"/>
  <c r="AF2948" i="1" s="1"/>
  <c r="AF2949" i="1" s="1"/>
  <c r="AF2950" i="1" s="1"/>
  <c r="AF2946" i="1"/>
  <c r="AF2927" i="1"/>
  <c r="AF2928" i="1" s="1"/>
  <c r="AF2929" i="1" s="1"/>
  <c r="AF2930" i="1" s="1"/>
  <c r="AF2931" i="1" s="1"/>
  <c r="AF2932" i="1" s="1"/>
  <c r="AF2933" i="1" s="1"/>
  <c r="AF2934" i="1" s="1"/>
  <c r="AF2935" i="1" s="1"/>
  <c r="AF2936" i="1" s="1"/>
  <c r="AF2937" i="1" s="1"/>
  <c r="AF2938" i="1" s="1"/>
  <c r="AF2939" i="1" s="1"/>
  <c r="AF2940" i="1" s="1"/>
  <c r="AF2941" i="1" s="1"/>
  <c r="AF2942" i="1" s="1"/>
  <c r="AF2943" i="1" s="1"/>
  <c r="AF2944" i="1" s="1"/>
  <c r="AF2945" i="1" s="1"/>
  <c r="AF2923" i="1"/>
  <c r="AF2924" i="1" s="1"/>
  <c r="AF2925" i="1" s="1"/>
  <c r="AF2926" i="1" s="1"/>
  <c r="AF2919" i="1"/>
  <c r="AF2920" i="1" s="1"/>
  <c r="AF2921" i="1" s="1"/>
  <c r="AF2922" i="1" s="1"/>
  <c r="AF2918" i="1"/>
  <c r="AF2899" i="1"/>
  <c r="AF2900" i="1" s="1"/>
  <c r="AF2901" i="1" s="1"/>
  <c r="AF2902" i="1" s="1"/>
  <c r="AF2903" i="1" s="1"/>
  <c r="AF2904" i="1" s="1"/>
  <c r="AF2905" i="1" s="1"/>
  <c r="AF2906" i="1" s="1"/>
  <c r="AF2907" i="1" s="1"/>
  <c r="AF2908" i="1" s="1"/>
  <c r="AF2909" i="1" s="1"/>
  <c r="AF2910" i="1" s="1"/>
  <c r="AF2911" i="1" s="1"/>
  <c r="AF2912" i="1" s="1"/>
  <c r="AF2913" i="1" s="1"/>
  <c r="AF2914" i="1" s="1"/>
  <c r="AF2915" i="1" s="1"/>
  <c r="AF2916" i="1" s="1"/>
  <c r="AF2917" i="1" s="1"/>
  <c r="AF2895" i="1"/>
  <c r="AF2896" i="1" s="1"/>
  <c r="AF2897" i="1" s="1"/>
  <c r="AF2898" i="1" s="1"/>
  <c r="AF2891" i="1"/>
  <c r="AF2892" i="1" s="1"/>
  <c r="AF2893" i="1" s="1"/>
  <c r="AF2894" i="1" s="1"/>
  <c r="AF2887" i="1"/>
  <c r="AF2888" i="1" s="1"/>
  <c r="AF2889" i="1" s="1"/>
  <c r="AF2890" i="1" s="1"/>
  <c r="AF2886" i="1"/>
  <c r="AF2885" i="1"/>
  <c r="AF2884" i="1"/>
  <c r="AF2867" i="1"/>
  <c r="AF2868" i="1" s="1"/>
  <c r="AF2869" i="1" s="1"/>
  <c r="AF2870" i="1" s="1"/>
  <c r="AF2871" i="1" s="1"/>
  <c r="AF2872" i="1" s="1"/>
  <c r="AF2873" i="1" s="1"/>
  <c r="AF2874" i="1" s="1"/>
  <c r="AF2875" i="1" s="1"/>
  <c r="AF2876" i="1" s="1"/>
  <c r="AF2877" i="1" s="1"/>
  <c r="AF2878" i="1" s="1"/>
  <c r="AF2879" i="1" s="1"/>
  <c r="AF2880" i="1" s="1"/>
  <c r="AF2881" i="1" s="1"/>
  <c r="AF2882" i="1" s="1"/>
  <c r="AF2883" i="1" s="1"/>
  <c r="AF2866" i="1"/>
  <c r="AF2865" i="1"/>
  <c r="AF2864" i="1"/>
  <c r="AF2859" i="1"/>
  <c r="AF2860" i="1" s="1"/>
  <c r="AF2861" i="1" s="1"/>
  <c r="AF2862" i="1" s="1"/>
  <c r="AF2863" i="1" s="1"/>
  <c r="AF2858" i="1"/>
  <c r="AF2857" i="1"/>
  <c r="AF2856" i="1"/>
  <c r="AF2855" i="1"/>
  <c r="AF2851" i="1"/>
  <c r="AF2852" i="1" s="1"/>
  <c r="AF2853" i="1" s="1"/>
  <c r="AF2854" i="1" s="1"/>
  <c r="AF2847" i="1"/>
  <c r="AF2848" i="1" s="1"/>
  <c r="AF2849" i="1" s="1"/>
  <c r="AF2850" i="1" s="1"/>
  <c r="AF2839" i="1"/>
  <c r="AF2840" i="1" s="1"/>
  <c r="AF2841" i="1" s="1"/>
  <c r="AF2842" i="1" s="1"/>
  <c r="AF2843" i="1" s="1"/>
  <c r="AF2844" i="1" s="1"/>
  <c r="AF2845" i="1" s="1"/>
  <c r="AF2846" i="1" s="1"/>
  <c r="AF2838" i="1"/>
  <c r="AF2815" i="1"/>
  <c r="AF2816" i="1" s="1"/>
  <c r="AF2817" i="1" s="1"/>
  <c r="AF2818" i="1" s="1"/>
  <c r="AF2819" i="1" s="1"/>
  <c r="AF2820" i="1" s="1"/>
  <c r="AF2821" i="1" s="1"/>
  <c r="AF2822" i="1" s="1"/>
  <c r="AF2823" i="1" s="1"/>
  <c r="AF2824" i="1" s="1"/>
  <c r="AF2825" i="1" s="1"/>
  <c r="AF2826" i="1" s="1"/>
  <c r="AF2827" i="1" s="1"/>
  <c r="AF2828" i="1" s="1"/>
  <c r="AF2829" i="1" s="1"/>
  <c r="AF2830" i="1" s="1"/>
  <c r="AF2831" i="1" s="1"/>
  <c r="AF2832" i="1" s="1"/>
  <c r="AF2833" i="1" s="1"/>
  <c r="AF2834" i="1" s="1"/>
  <c r="AF2835" i="1" s="1"/>
  <c r="AF2836" i="1" s="1"/>
  <c r="AF2837" i="1" s="1"/>
  <c r="AF2811" i="1"/>
  <c r="AF2812" i="1" s="1"/>
  <c r="AF2813" i="1" s="1"/>
  <c r="AF2814" i="1" s="1"/>
  <c r="AF2807" i="1"/>
  <c r="AF2808" i="1" s="1"/>
  <c r="AF2809" i="1" s="1"/>
  <c r="AF2810" i="1" s="1"/>
  <c r="AF2803" i="1"/>
  <c r="AF2804" i="1" s="1"/>
  <c r="AF2805" i="1" s="1"/>
  <c r="AF2806" i="1" s="1"/>
  <c r="AF2802" i="1"/>
  <c r="AF2799" i="1"/>
  <c r="AF2800" i="1" s="1"/>
  <c r="AF2801" i="1" s="1"/>
  <c r="AF2795" i="1"/>
  <c r="AF2796" i="1" s="1"/>
  <c r="AF2797" i="1" s="1"/>
  <c r="AF2798" i="1" s="1"/>
  <c r="AF2794" i="1"/>
  <c r="AF2787" i="1"/>
  <c r="AF2788" i="1" s="1"/>
  <c r="AF2789" i="1" s="1"/>
  <c r="AF2790" i="1" s="1"/>
  <c r="AF2791" i="1" s="1"/>
  <c r="AF2792" i="1" s="1"/>
  <c r="AF2793" i="1" s="1"/>
  <c r="AF2783" i="1"/>
  <c r="AF2784" i="1" s="1"/>
  <c r="AF2785" i="1" s="1"/>
  <c r="AF2786" i="1" s="1"/>
  <c r="AF2779" i="1"/>
  <c r="AF2780" i="1" s="1"/>
  <c r="AF2781" i="1" s="1"/>
  <c r="AF2782" i="1" s="1"/>
  <c r="AF2778" i="1"/>
  <c r="AF2777" i="1"/>
  <c r="AF2762" i="1"/>
  <c r="AF2763" i="1" s="1"/>
  <c r="AF2764" i="1" s="1"/>
  <c r="AF2765" i="1" s="1"/>
  <c r="AF2766" i="1" s="1"/>
  <c r="AF2767" i="1" s="1"/>
  <c r="AF2768" i="1" s="1"/>
  <c r="AF2769" i="1" s="1"/>
  <c r="AF2770" i="1" s="1"/>
  <c r="AF2771" i="1" s="1"/>
  <c r="AF2772" i="1" s="1"/>
  <c r="AF2773" i="1" s="1"/>
  <c r="AF2774" i="1" s="1"/>
  <c r="AF2775" i="1" s="1"/>
  <c r="AF2776" i="1" s="1"/>
  <c r="AF2751" i="1"/>
  <c r="AF2752" i="1" s="1"/>
  <c r="AF2753" i="1" s="1"/>
  <c r="AF2754" i="1" s="1"/>
  <c r="AF2755" i="1" s="1"/>
  <c r="AF2756" i="1" s="1"/>
  <c r="AF2757" i="1" s="1"/>
  <c r="AF2758" i="1" s="1"/>
  <c r="AF2759" i="1" s="1"/>
  <c r="AF2760" i="1" s="1"/>
  <c r="AF2761" i="1" s="1"/>
  <c r="AF2743" i="1"/>
  <c r="AF2744" i="1" s="1"/>
  <c r="AF2745" i="1" s="1"/>
  <c r="AF2746" i="1" s="1"/>
  <c r="AF2747" i="1" s="1"/>
  <c r="AF2748" i="1" s="1"/>
  <c r="AF2749" i="1" s="1"/>
  <c r="AF2750" i="1" s="1"/>
  <c r="AF2742" i="1"/>
  <c r="AF2725" i="1"/>
  <c r="AF2726" i="1" s="1"/>
  <c r="AF2727" i="1" s="1"/>
  <c r="AF2728" i="1" s="1"/>
  <c r="AF2729" i="1" s="1"/>
  <c r="AF2730" i="1" s="1"/>
  <c r="AF2731" i="1" s="1"/>
  <c r="AF2732" i="1" s="1"/>
  <c r="AF2733" i="1" s="1"/>
  <c r="AF2734" i="1" s="1"/>
  <c r="AF2735" i="1" s="1"/>
  <c r="AF2736" i="1" s="1"/>
  <c r="AF2737" i="1" s="1"/>
  <c r="AF2738" i="1" s="1"/>
  <c r="AF2739" i="1" s="1"/>
  <c r="AF2740" i="1" s="1"/>
  <c r="AF2741" i="1" s="1"/>
  <c r="AF2701" i="1"/>
  <c r="AF2702" i="1" s="1"/>
  <c r="AF2703" i="1" s="1"/>
  <c r="AF2704" i="1" s="1"/>
  <c r="AF2705" i="1" s="1"/>
  <c r="AF2706" i="1" s="1"/>
  <c r="AF2707" i="1" s="1"/>
  <c r="AF2708" i="1" s="1"/>
  <c r="AF2709" i="1" s="1"/>
  <c r="AF2710" i="1" s="1"/>
  <c r="AF2711" i="1" s="1"/>
  <c r="AF2712" i="1" s="1"/>
  <c r="AF2713" i="1" s="1"/>
  <c r="AF2714" i="1" s="1"/>
  <c r="AF2715" i="1" s="1"/>
  <c r="AF2716" i="1" s="1"/>
  <c r="AF2717" i="1" s="1"/>
  <c r="AF2718" i="1" s="1"/>
  <c r="AF2719" i="1" s="1"/>
  <c r="AF2720" i="1" s="1"/>
  <c r="AF2721" i="1" s="1"/>
  <c r="AF2722" i="1" s="1"/>
  <c r="AF2723" i="1" s="1"/>
  <c r="AF2724" i="1" s="1"/>
  <c r="AF2699" i="1"/>
  <c r="AF2700" i="1" s="1"/>
  <c r="AF2698" i="1"/>
  <c r="AF2695" i="1"/>
  <c r="AF2696" i="1" s="1"/>
  <c r="AF2697" i="1" s="1"/>
  <c r="AF2694" i="1"/>
  <c r="AF2685" i="1"/>
  <c r="AF2686" i="1" s="1"/>
  <c r="AF2687" i="1" s="1"/>
  <c r="AF2688" i="1" s="1"/>
  <c r="AF2689" i="1" s="1"/>
  <c r="AF2690" i="1" s="1"/>
  <c r="AF2691" i="1" s="1"/>
  <c r="AF2692" i="1" s="1"/>
  <c r="AF2693" i="1" s="1"/>
  <c r="AF2677" i="1"/>
  <c r="AF2678" i="1" s="1"/>
  <c r="AF2679" i="1" s="1"/>
  <c r="AF2680" i="1" s="1"/>
  <c r="AF2681" i="1" s="1"/>
  <c r="AF2682" i="1" s="1"/>
  <c r="AF2683" i="1" s="1"/>
  <c r="AF2684" i="1" s="1"/>
  <c r="AF2676" i="1"/>
  <c r="AF2657" i="1"/>
  <c r="AF2658" i="1" s="1"/>
  <c r="AF2659" i="1" s="1"/>
  <c r="AF2660" i="1" s="1"/>
  <c r="AF2661" i="1" s="1"/>
  <c r="AF2662" i="1" s="1"/>
  <c r="AF2663" i="1" s="1"/>
  <c r="AF2664" i="1" s="1"/>
  <c r="AF2665" i="1" s="1"/>
  <c r="AF2666" i="1" s="1"/>
  <c r="AF2667" i="1" s="1"/>
  <c r="AF2668" i="1" s="1"/>
  <c r="AF2669" i="1" s="1"/>
  <c r="AF2670" i="1" s="1"/>
  <c r="AF2671" i="1" s="1"/>
  <c r="AF2672" i="1" s="1"/>
  <c r="AF2673" i="1" s="1"/>
  <c r="AF2674" i="1" s="1"/>
  <c r="AF2675" i="1" s="1"/>
  <c r="AF2654" i="1"/>
  <c r="AF2655" i="1" s="1"/>
  <c r="AF2656" i="1" s="1"/>
  <c r="AF2651" i="1"/>
  <c r="AF2652" i="1" s="1"/>
  <c r="AF2653" i="1" s="1"/>
  <c r="AF2638" i="1"/>
  <c r="AF2639" i="1" s="1"/>
  <c r="AF2640" i="1" s="1"/>
  <c r="AF2641" i="1" s="1"/>
  <c r="AF2642" i="1" s="1"/>
  <c r="AF2643" i="1" s="1"/>
  <c r="AF2644" i="1" s="1"/>
  <c r="AF2645" i="1" s="1"/>
  <c r="AF2646" i="1" s="1"/>
  <c r="AF2647" i="1" s="1"/>
  <c r="AF2648" i="1" s="1"/>
  <c r="AF2649" i="1" s="1"/>
  <c r="AF2650" i="1" s="1"/>
  <c r="AF2627" i="1"/>
  <c r="AF2628" i="1" s="1"/>
  <c r="AF2629" i="1" s="1"/>
  <c r="AF2630" i="1" s="1"/>
  <c r="AF2631" i="1" s="1"/>
  <c r="AF2632" i="1" s="1"/>
  <c r="AF2633" i="1" s="1"/>
  <c r="AF2634" i="1" s="1"/>
  <c r="AF2635" i="1" s="1"/>
  <c r="AF2636" i="1" s="1"/>
  <c r="AF2637" i="1" s="1"/>
  <c r="AF2626" i="1"/>
  <c r="AF2617" i="1"/>
  <c r="AF2618" i="1" s="1"/>
  <c r="AF2619" i="1" s="1"/>
  <c r="AF2620" i="1" s="1"/>
  <c r="AF2621" i="1" s="1"/>
  <c r="AF2622" i="1" s="1"/>
  <c r="AF2623" i="1" s="1"/>
  <c r="AF2624" i="1" s="1"/>
  <c r="AF2625" i="1" s="1"/>
  <c r="AF2614" i="1"/>
  <c r="AF2615" i="1" s="1"/>
  <c r="AF2616" i="1" s="1"/>
  <c r="AF2611" i="1"/>
  <c r="AF2612" i="1" s="1"/>
  <c r="AF2613" i="1" s="1"/>
  <c r="AF2610" i="1"/>
  <c r="AF2609" i="1"/>
  <c r="AF2601" i="1"/>
  <c r="AF2602" i="1" s="1"/>
  <c r="AF2603" i="1" s="1"/>
  <c r="AF2604" i="1" s="1"/>
  <c r="AF2605" i="1" s="1"/>
  <c r="AF2606" i="1" s="1"/>
  <c r="AF2607" i="1" s="1"/>
  <c r="AF2608" i="1" s="1"/>
  <c r="AF2599" i="1"/>
  <c r="AF2600" i="1" s="1"/>
  <c r="AF2579" i="1"/>
  <c r="AF2580" i="1" s="1"/>
  <c r="AF2581" i="1" s="1"/>
  <c r="AF2582" i="1" s="1"/>
  <c r="AF2583" i="1" s="1"/>
  <c r="AF2584" i="1" s="1"/>
  <c r="AF2585" i="1" s="1"/>
  <c r="AF2586" i="1" s="1"/>
  <c r="AF2587" i="1" s="1"/>
  <c r="AF2588" i="1" s="1"/>
  <c r="AF2589" i="1" s="1"/>
  <c r="AF2590" i="1" s="1"/>
  <c r="AF2591" i="1" s="1"/>
  <c r="AF2592" i="1" s="1"/>
  <c r="AF2593" i="1" s="1"/>
  <c r="AF2594" i="1" s="1"/>
  <c r="AF2595" i="1" s="1"/>
  <c r="AF2596" i="1" s="1"/>
  <c r="AF2597" i="1" s="1"/>
  <c r="AF2598" i="1" s="1"/>
  <c r="AF2571" i="1"/>
  <c r="AF2572" i="1" s="1"/>
  <c r="AF2573" i="1" s="1"/>
  <c r="AF2574" i="1" s="1"/>
  <c r="AF2575" i="1" s="1"/>
  <c r="AF2576" i="1" s="1"/>
  <c r="AF2577" i="1" s="1"/>
  <c r="AF2578" i="1" s="1"/>
  <c r="AF2547" i="1"/>
  <c r="AF2548" i="1" s="1"/>
  <c r="AF2549" i="1" s="1"/>
  <c r="AF2550" i="1" s="1"/>
  <c r="AF2551" i="1" s="1"/>
  <c r="AF2552" i="1" s="1"/>
  <c r="AF2553" i="1" s="1"/>
  <c r="AF2554" i="1" s="1"/>
  <c r="AF2555" i="1" s="1"/>
  <c r="AF2556" i="1" s="1"/>
  <c r="AF2557" i="1" s="1"/>
  <c r="AF2558" i="1" s="1"/>
  <c r="AF2559" i="1" s="1"/>
  <c r="AF2560" i="1" s="1"/>
  <c r="AF2561" i="1" s="1"/>
  <c r="AF2562" i="1" s="1"/>
  <c r="AF2563" i="1" s="1"/>
  <c r="AF2564" i="1" s="1"/>
  <c r="AF2565" i="1" s="1"/>
  <c r="AF2566" i="1" s="1"/>
  <c r="AF2567" i="1" s="1"/>
  <c r="AF2568" i="1" s="1"/>
  <c r="AF2569" i="1" s="1"/>
  <c r="AF2570" i="1" s="1"/>
  <c r="AF2545" i="1"/>
  <c r="AF2546" i="1" s="1"/>
  <c r="AF2543" i="1"/>
  <c r="AF2544" i="1" s="1"/>
  <c r="AF2539" i="1"/>
  <c r="AF2540" i="1" s="1"/>
  <c r="AF2541" i="1" s="1"/>
  <c r="AF2542" i="1" s="1"/>
  <c r="AF2529" i="1"/>
  <c r="AF2530" i="1" s="1"/>
  <c r="AF2531" i="1" s="1"/>
  <c r="AF2532" i="1" s="1"/>
  <c r="AF2533" i="1" s="1"/>
  <c r="AF2534" i="1" s="1"/>
  <c r="AF2535" i="1" s="1"/>
  <c r="AF2536" i="1" s="1"/>
  <c r="AF2537" i="1" s="1"/>
  <c r="AF2538" i="1" s="1"/>
  <c r="AF2527" i="1"/>
  <c r="AF2528" i="1" s="1"/>
  <c r="AF2521" i="1"/>
  <c r="AF2522" i="1" s="1"/>
  <c r="AF2523" i="1" s="1"/>
  <c r="AF2524" i="1" s="1"/>
  <c r="AF2525" i="1" s="1"/>
  <c r="AF2526" i="1" s="1"/>
  <c r="AF2518" i="1"/>
  <c r="AF2519" i="1" s="1"/>
  <c r="AF2520" i="1" s="1"/>
  <c r="AF2449" i="1"/>
  <c r="AF2450" i="1" s="1"/>
  <c r="AF2451" i="1" s="1"/>
  <c r="AF2452" i="1" s="1"/>
  <c r="AF2453" i="1" s="1"/>
  <c r="AF2454" i="1" s="1"/>
  <c r="AF2455" i="1" s="1"/>
  <c r="AF2456" i="1" s="1"/>
  <c r="AF2457" i="1" s="1"/>
  <c r="AF2458" i="1" s="1"/>
  <c r="AF2459" i="1" s="1"/>
  <c r="AF2460" i="1" s="1"/>
  <c r="AF2461" i="1" s="1"/>
  <c r="AF2462" i="1" s="1"/>
  <c r="AF2463" i="1" s="1"/>
  <c r="AF2464" i="1" s="1"/>
  <c r="AF2465" i="1" s="1"/>
  <c r="AF2466" i="1" s="1"/>
  <c r="AF2467" i="1" s="1"/>
  <c r="AF2468" i="1" s="1"/>
  <c r="AF2469" i="1" s="1"/>
  <c r="AF2470" i="1" s="1"/>
  <c r="AF2471" i="1" s="1"/>
  <c r="AF2472" i="1" s="1"/>
  <c r="AF2473" i="1" s="1"/>
  <c r="AF2474" i="1" s="1"/>
  <c r="AF2475" i="1" s="1"/>
  <c r="AF2476" i="1" s="1"/>
  <c r="AF2477" i="1" s="1"/>
  <c r="AF2478" i="1" s="1"/>
  <c r="AF2479" i="1" s="1"/>
  <c r="AF2480" i="1" s="1"/>
  <c r="AF2481" i="1" s="1"/>
  <c r="AF2482" i="1" s="1"/>
  <c r="AF2483" i="1" s="1"/>
  <c r="AF2484" i="1" s="1"/>
  <c r="AF2485" i="1" s="1"/>
  <c r="AF2486" i="1" s="1"/>
  <c r="AF2487" i="1" s="1"/>
  <c r="AF2488" i="1" s="1"/>
  <c r="AF2489" i="1" s="1"/>
  <c r="AF2490" i="1" s="1"/>
  <c r="AF2491" i="1" s="1"/>
  <c r="AF2492" i="1" s="1"/>
  <c r="AF2493" i="1" s="1"/>
  <c r="AF2494" i="1" s="1"/>
  <c r="AF2495" i="1" s="1"/>
  <c r="AF2496" i="1" s="1"/>
  <c r="AF2497" i="1" s="1"/>
  <c r="AF2498" i="1" s="1"/>
  <c r="AF2499" i="1" s="1"/>
  <c r="AF2500" i="1" s="1"/>
  <c r="AF2501" i="1" s="1"/>
  <c r="AF2502" i="1" s="1"/>
  <c r="AF2503" i="1" s="1"/>
  <c r="AF2504" i="1" s="1"/>
  <c r="AF2505" i="1" s="1"/>
  <c r="AF2506" i="1" s="1"/>
  <c r="AF2507" i="1" s="1"/>
  <c r="AF2508" i="1" s="1"/>
  <c r="AF2509" i="1" s="1"/>
  <c r="AF2510" i="1" s="1"/>
  <c r="AF2511" i="1" s="1"/>
  <c r="AF2512" i="1" s="1"/>
  <c r="AF2513" i="1" s="1"/>
  <c r="AF2514" i="1" s="1"/>
  <c r="AF2515" i="1" s="1"/>
  <c r="AF2516" i="1" s="1"/>
  <c r="AF2517" i="1" s="1"/>
  <c r="AF2448" i="1"/>
  <c r="AF2439" i="1"/>
  <c r="AF2440" i="1" s="1"/>
  <c r="AF2441" i="1" s="1"/>
  <c r="AF2442" i="1" s="1"/>
  <c r="AF2443" i="1" s="1"/>
  <c r="AF2444" i="1" s="1"/>
  <c r="AF2445" i="1" s="1"/>
  <c r="AF2446" i="1" s="1"/>
  <c r="AF2447" i="1" s="1"/>
  <c r="AF2437" i="1"/>
  <c r="AF2438" i="1" s="1"/>
  <c r="AF2421" i="1"/>
  <c r="AF2422" i="1" s="1"/>
  <c r="AF2423" i="1" s="1"/>
  <c r="AF2424" i="1" s="1"/>
  <c r="AF2425" i="1" s="1"/>
  <c r="AF2426" i="1" s="1"/>
  <c r="AF2427" i="1" s="1"/>
  <c r="AF2428" i="1" s="1"/>
  <c r="AF2429" i="1" s="1"/>
  <c r="AF2430" i="1" s="1"/>
  <c r="AF2431" i="1" s="1"/>
  <c r="AF2432" i="1" s="1"/>
  <c r="AF2433" i="1" s="1"/>
  <c r="AF2434" i="1" s="1"/>
  <c r="AF2435" i="1" s="1"/>
  <c r="AF2436" i="1" s="1"/>
  <c r="AF2419" i="1"/>
  <c r="AF2420" i="1" s="1"/>
  <c r="AF2410" i="1"/>
  <c r="AF2411" i="1" s="1"/>
  <c r="AF2412" i="1" s="1"/>
  <c r="AF2413" i="1" s="1"/>
  <c r="AF2414" i="1" s="1"/>
  <c r="AF2415" i="1" s="1"/>
  <c r="AF2416" i="1" s="1"/>
  <c r="AF2417" i="1" s="1"/>
  <c r="AF2418" i="1" s="1"/>
  <c r="AF2407" i="1"/>
  <c r="AF2408" i="1" s="1"/>
  <c r="AF2409" i="1" s="1"/>
  <c r="AF2406" i="1"/>
  <c r="AF2381" i="1"/>
  <c r="AF2382" i="1" s="1"/>
  <c r="AF2383" i="1" s="1"/>
  <c r="AF2384" i="1" s="1"/>
  <c r="AF2385" i="1" s="1"/>
  <c r="AF2386" i="1" s="1"/>
  <c r="AF2387" i="1" s="1"/>
  <c r="AF2388" i="1" s="1"/>
  <c r="AF2389" i="1" s="1"/>
  <c r="AF2390" i="1" s="1"/>
  <c r="AF2391" i="1" s="1"/>
  <c r="AF2392" i="1" s="1"/>
  <c r="AF2393" i="1" s="1"/>
  <c r="AF2394" i="1" s="1"/>
  <c r="AF2395" i="1" s="1"/>
  <c r="AF2396" i="1" s="1"/>
  <c r="AF2397" i="1" s="1"/>
  <c r="AF2398" i="1" s="1"/>
  <c r="AF2399" i="1" s="1"/>
  <c r="AF2400" i="1" s="1"/>
  <c r="AF2401" i="1" s="1"/>
  <c r="AF2402" i="1" s="1"/>
  <c r="AF2403" i="1" s="1"/>
  <c r="AF2404" i="1" s="1"/>
  <c r="AF2405" i="1" s="1"/>
  <c r="AF2379" i="1"/>
  <c r="AF2380" i="1" s="1"/>
  <c r="AF2354" i="1"/>
  <c r="AF2355" i="1" s="1"/>
  <c r="AF2356" i="1" s="1"/>
  <c r="AF2357" i="1" s="1"/>
  <c r="AF2358" i="1" s="1"/>
  <c r="AF2359" i="1" s="1"/>
  <c r="AF2360" i="1" s="1"/>
  <c r="AF2361" i="1" s="1"/>
  <c r="AF2362" i="1" s="1"/>
  <c r="AF2363" i="1" s="1"/>
  <c r="AF2364" i="1" s="1"/>
  <c r="AF2365" i="1" s="1"/>
  <c r="AF2366" i="1" s="1"/>
  <c r="AF2367" i="1" s="1"/>
  <c r="AF2368" i="1" s="1"/>
  <c r="AF2369" i="1" s="1"/>
  <c r="AF2370" i="1" s="1"/>
  <c r="AF2371" i="1" s="1"/>
  <c r="AF2372" i="1" s="1"/>
  <c r="AF2373" i="1" s="1"/>
  <c r="AF2374" i="1" s="1"/>
  <c r="AF2375" i="1" s="1"/>
  <c r="AF2376" i="1" s="1"/>
  <c r="AF2377" i="1" s="1"/>
  <c r="AF2378" i="1" s="1"/>
  <c r="AF2353" i="1"/>
  <c r="AF2322" i="1"/>
  <c r="AF2323" i="1" s="1"/>
  <c r="AF2324" i="1" s="1"/>
  <c r="AF2325" i="1" s="1"/>
  <c r="AF2326" i="1" s="1"/>
  <c r="AF2327" i="1" s="1"/>
  <c r="AF2328" i="1" s="1"/>
  <c r="AF2329" i="1" s="1"/>
  <c r="AF2330" i="1" s="1"/>
  <c r="AF2331" i="1" s="1"/>
  <c r="AF2332" i="1" s="1"/>
  <c r="AF2333" i="1" s="1"/>
  <c r="AF2334" i="1" s="1"/>
  <c r="AF2335" i="1" s="1"/>
  <c r="AF2336" i="1" s="1"/>
  <c r="AF2337" i="1" s="1"/>
  <c r="AF2338" i="1" s="1"/>
  <c r="AF2339" i="1" s="1"/>
  <c r="AF2340" i="1" s="1"/>
  <c r="AF2341" i="1" s="1"/>
  <c r="AF2342" i="1" s="1"/>
  <c r="AF2343" i="1" s="1"/>
  <c r="AF2344" i="1" s="1"/>
  <c r="AF2345" i="1" s="1"/>
  <c r="AF2346" i="1" s="1"/>
  <c r="AF2347" i="1" s="1"/>
  <c r="AF2348" i="1" s="1"/>
  <c r="AF2349" i="1" s="1"/>
  <c r="AF2350" i="1" s="1"/>
  <c r="AF2351" i="1" s="1"/>
  <c r="AF2352" i="1" s="1"/>
  <c r="AF2301" i="1"/>
  <c r="AF2302" i="1" s="1"/>
  <c r="AF2303" i="1" s="1"/>
  <c r="AF2304" i="1" s="1"/>
  <c r="AF2305" i="1" s="1"/>
  <c r="AF2306" i="1" s="1"/>
  <c r="AF2307" i="1" s="1"/>
  <c r="AF2308" i="1" s="1"/>
  <c r="AF2309" i="1" s="1"/>
  <c r="AF2310" i="1" s="1"/>
  <c r="AF2311" i="1" s="1"/>
  <c r="AF2312" i="1" s="1"/>
  <c r="AF2313" i="1" s="1"/>
  <c r="AF2314" i="1" s="1"/>
  <c r="AF2315" i="1" s="1"/>
  <c r="AF2316" i="1" s="1"/>
  <c r="AF2317" i="1" s="1"/>
  <c r="AF2318" i="1" s="1"/>
  <c r="AF2319" i="1" s="1"/>
  <c r="AF2320" i="1" s="1"/>
  <c r="AF2321" i="1" s="1"/>
  <c r="AF2300" i="1"/>
  <c r="AF2273" i="1"/>
  <c r="AF2274" i="1" s="1"/>
  <c r="AF2275" i="1" s="1"/>
  <c r="AF2276" i="1" s="1"/>
  <c r="AF2277" i="1" s="1"/>
  <c r="AF2278" i="1" s="1"/>
  <c r="AF2279" i="1" s="1"/>
  <c r="AF2280" i="1" s="1"/>
  <c r="AF2281" i="1" s="1"/>
  <c r="AF2282" i="1" s="1"/>
  <c r="AF2283" i="1" s="1"/>
  <c r="AF2284" i="1" s="1"/>
  <c r="AF2285" i="1" s="1"/>
  <c r="AF2286" i="1" s="1"/>
  <c r="AF2287" i="1" s="1"/>
  <c r="AF2288" i="1" s="1"/>
  <c r="AF2289" i="1" s="1"/>
  <c r="AF2290" i="1" s="1"/>
  <c r="AF2291" i="1" s="1"/>
  <c r="AF2292" i="1" s="1"/>
  <c r="AF2293" i="1" s="1"/>
  <c r="AF2294" i="1" s="1"/>
  <c r="AF2295" i="1" s="1"/>
  <c r="AF2296" i="1" s="1"/>
  <c r="AF2297" i="1" s="1"/>
  <c r="AF2298" i="1" s="1"/>
  <c r="AF2299" i="1" s="1"/>
  <c r="AF2265" i="1"/>
  <c r="AF2266" i="1" s="1"/>
  <c r="AF2267" i="1" s="1"/>
  <c r="AF2268" i="1" s="1"/>
  <c r="AF2269" i="1" s="1"/>
  <c r="AF2270" i="1" s="1"/>
  <c r="AF2271" i="1" s="1"/>
  <c r="AF2272" i="1" s="1"/>
  <c r="AF2264" i="1"/>
  <c r="AF2223" i="1"/>
  <c r="AF2224" i="1" s="1"/>
  <c r="AF2225" i="1" s="1"/>
  <c r="AF2226" i="1" s="1"/>
  <c r="AF2227" i="1" s="1"/>
  <c r="AF2228" i="1" s="1"/>
  <c r="AF2229" i="1" s="1"/>
  <c r="AF2230" i="1" s="1"/>
  <c r="AF2231" i="1" s="1"/>
  <c r="AF2232" i="1" s="1"/>
  <c r="AF2233" i="1" s="1"/>
  <c r="AF2234" i="1" s="1"/>
  <c r="AF2235" i="1" s="1"/>
  <c r="AF2236" i="1" s="1"/>
  <c r="AF2237" i="1" s="1"/>
  <c r="AF2238" i="1" s="1"/>
  <c r="AF2239" i="1" s="1"/>
  <c r="AF2240" i="1" s="1"/>
  <c r="AF2241" i="1" s="1"/>
  <c r="AF2242" i="1" s="1"/>
  <c r="AF2243" i="1" s="1"/>
  <c r="AF2244" i="1" s="1"/>
  <c r="AF2245" i="1" s="1"/>
  <c r="AF2246" i="1" s="1"/>
  <c r="AF2247" i="1" s="1"/>
  <c r="AF2248" i="1" s="1"/>
  <c r="AF2249" i="1" s="1"/>
  <c r="AF2250" i="1" s="1"/>
  <c r="AF2251" i="1" s="1"/>
  <c r="AF2252" i="1" s="1"/>
  <c r="AF2253" i="1" s="1"/>
  <c r="AF2254" i="1" s="1"/>
  <c r="AF2255" i="1" s="1"/>
  <c r="AF2256" i="1" s="1"/>
  <c r="AF2257" i="1" s="1"/>
  <c r="AF2258" i="1" s="1"/>
  <c r="AF2259" i="1" s="1"/>
  <c r="AF2260" i="1" s="1"/>
  <c r="AF2261" i="1" s="1"/>
  <c r="AF2262" i="1" s="1"/>
  <c r="AF2263" i="1" s="1"/>
  <c r="AF2222" i="1"/>
  <c r="AF2197" i="1"/>
  <c r="AF2198" i="1" s="1"/>
  <c r="AF2199" i="1" s="1"/>
  <c r="AF2200" i="1" s="1"/>
  <c r="AF2201" i="1" s="1"/>
  <c r="AF2202" i="1" s="1"/>
  <c r="AF2203" i="1" s="1"/>
  <c r="AF2204" i="1" s="1"/>
  <c r="AF2205" i="1" s="1"/>
  <c r="AF2206" i="1" s="1"/>
  <c r="AF2207" i="1" s="1"/>
  <c r="AF2208" i="1" s="1"/>
  <c r="AF2209" i="1" s="1"/>
  <c r="AF2210" i="1" s="1"/>
  <c r="AF2211" i="1" s="1"/>
  <c r="AF2212" i="1" s="1"/>
  <c r="AF2213" i="1" s="1"/>
  <c r="AF2214" i="1" s="1"/>
  <c r="AF2215" i="1" s="1"/>
  <c r="AF2216" i="1" s="1"/>
  <c r="AF2217" i="1" s="1"/>
  <c r="AF2218" i="1" s="1"/>
  <c r="AF2219" i="1" s="1"/>
  <c r="AF2220" i="1" s="1"/>
  <c r="AF2221" i="1" s="1"/>
  <c r="AF2195" i="1"/>
  <c r="AF2196" i="1" s="1"/>
  <c r="AF2167" i="1"/>
  <c r="AF2168" i="1" s="1"/>
  <c r="AF2169" i="1" s="1"/>
  <c r="AF2170" i="1" s="1"/>
  <c r="AF2171" i="1" s="1"/>
  <c r="AF2172" i="1" s="1"/>
  <c r="AF2173" i="1" s="1"/>
  <c r="AF2174" i="1" s="1"/>
  <c r="AF2175" i="1" s="1"/>
  <c r="AF2176" i="1" s="1"/>
  <c r="AF2177" i="1" s="1"/>
  <c r="AF2178" i="1" s="1"/>
  <c r="AF2179" i="1" s="1"/>
  <c r="AF2180" i="1" s="1"/>
  <c r="AF2181" i="1" s="1"/>
  <c r="AF2182" i="1" s="1"/>
  <c r="AF2183" i="1" s="1"/>
  <c r="AF2184" i="1" s="1"/>
  <c r="AF2185" i="1" s="1"/>
  <c r="AF2186" i="1" s="1"/>
  <c r="AF2187" i="1" s="1"/>
  <c r="AF2188" i="1" s="1"/>
  <c r="AF2189" i="1" s="1"/>
  <c r="AF2190" i="1" s="1"/>
  <c r="AF2191" i="1" s="1"/>
  <c r="AF2192" i="1" s="1"/>
  <c r="AF2193" i="1" s="1"/>
  <c r="AF2194" i="1" s="1"/>
  <c r="AF2154" i="1"/>
  <c r="AF2155" i="1" s="1"/>
  <c r="AF2156" i="1" s="1"/>
  <c r="AF2157" i="1" s="1"/>
  <c r="AF2158" i="1" s="1"/>
  <c r="AF2159" i="1" s="1"/>
  <c r="AF2160" i="1" s="1"/>
  <c r="AF2161" i="1" s="1"/>
  <c r="AF2162" i="1" s="1"/>
  <c r="AF2163" i="1" s="1"/>
  <c r="AF2164" i="1" s="1"/>
  <c r="AF2165" i="1" s="1"/>
  <c r="AF2166" i="1" s="1"/>
  <c r="AF2143" i="1"/>
  <c r="AF2144" i="1" s="1"/>
  <c r="AF2145" i="1" s="1"/>
  <c r="AF2146" i="1" s="1"/>
  <c r="AF2147" i="1" s="1"/>
  <c r="AF2148" i="1" s="1"/>
  <c r="AF2149" i="1" s="1"/>
  <c r="AF2150" i="1" s="1"/>
  <c r="AF2151" i="1" s="1"/>
  <c r="AF2152" i="1" s="1"/>
  <c r="AF2153" i="1" s="1"/>
  <c r="AF2122" i="1"/>
  <c r="AF2123" i="1" s="1"/>
  <c r="AF2124" i="1" s="1"/>
  <c r="AF2125" i="1" s="1"/>
  <c r="AF2126" i="1" s="1"/>
  <c r="AF2127" i="1" s="1"/>
  <c r="AF2128" i="1" s="1"/>
  <c r="AF2129" i="1" s="1"/>
  <c r="AF2130" i="1" s="1"/>
  <c r="AF2131" i="1" s="1"/>
  <c r="AF2132" i="1" s="1"/>
  <c r="AF2133" i="1" s="1"/>
  <c r="AF2134" i="1" s="1"/>
  <c r="AF2135" i="1" s="1"/>
  <c r="AF2136" i="1" s="1"/>
  <c r="AF2137" i="1" s="1"/>
  <c r="AF2138" i="1" s="1"/>
  <c r="AF2139" i="1" s="1"/>
  <c r="AF2140" i="1" s="1"/>
  <c r="AF2141" i="1" s="1"/>
  <c r="AF2142" i="1" s="1"/>
  <c r="AF2121" i="1"/>
  <c r="AF2095" i="1"/>
  <c r="AF2096" i="1" s="1"/>
  <c r="AF2097" i="1" s="1"/>
  <c r="AF2098" i="1" s="1"/>
  <c r="AF2099" i="1" s="1"/>
  <c r="AF2100" i="1" s="1"/>
  <c r="AF2101" i="1" s="1"/>
  <c r="AF2102" i="1" s="1"/>
  <c r="AF2103" i="1" s="1"/>
  <c r="AF2104" i="1" s="1"/>
  <c r="AF2105" i="1" s="1"/>
  <c r="AF2106" i="1" s="1"/>
  <c r="AF2107" i="1" s="1"/>
  <c r="AF2108" i="1" s="1"/>
  <c r="AF2109" i="1" s="1"/>
  <c r="AF2110" i="1" s="1"/>
  <c r="AF2111" i="1" s="1"/>
  <c r="AF2112" i="1" s="1"/>
  <c r="AF2113" i="1" s="1"/>
  <c r="AF2114" i="1" s="1"/>
  <c r="AF2115" i="1" s="1"/>
  <c r="AF2116" i="1" s="1"/>
  <c r="AF2117" i="1" s="1"/>
  <c r="AF2118" i="1" s="1"/>
  <c r="AF2119" i="1" s="1"/>
  <c r="AF2120" i="1" s="1"/>
  <c r="AF2094" i="1"/>
  <c r="AF2063" i="1"/>
  <c r="AF2064" i="1" s="1"/>
  <c r="AF2065" i="1" s="1"/>
  <c r="AF2066" i="1" s="1"/>
  <c r="AF2067" i="1" s="1"/>
  <c r="AF2068" i="1" s="1"/>
  <c r="AF2069" i="1" s="1"/>
  <c r="AF2070" i="1" s="1"/>
  <c r="AF2071" i="1" s="1"/>
  <c r="AF2072" i="1" s="1"/>
  <c r="AF2073" i="1" s="1"/>
  <c r="AF2074" i="1" s="1"/>
  <c r="AF2075" i="1" s="1"/>
  <c r="AF2076" i="1" s="1"/>
  <c r="AF2077" i="1" s="1"/>
  <c r="AF2078" i="1" s="1"/>
  <c r="AF2079" i="1" s="1"/>
  <c r="AF2080" i="1" s="1"/>
  <c r="AF2081" i="1" s="1"/>
  <c r="AF2082" i="1" s="1"/>
  <c r="AF2083" i="1" s="1"/>
  <c r="AF2084" i="1" s="1"/>
  <c r="AF2085" i="1" s="1"/>
  <c r="AF2086" i="1" s="1"/>
  <c r="AF2087" i="1" s="1"/>
  <c r="AF2088" i="1" s="1"/>
  <c r="AF2089" i="1" s="1"/>
  <c r="AF2090" i="1" s="1"/>
  <c r="AF2091" i="1" s="1"/>
  <c r="AF2092" i="1" s="1"/>
  <c r="AF2093" i="1" s="1"/>
  <c r="AF2021" i="1"/>
  <c r="AF2022" i="1" s="1"/>
  <c r="AF2023" i="1" s="1"/>
  <c r="AF2024" i="1" s="1"/>
  <c r="AF2025" i="1" s="1"/>
  <c r="AF2026" i="1" s="1"/>
  <c r="AF2027" i="1" s="1"/>
  <c r="AF2028" i="1" s="1"/>
  <c r="AF2029" i="1" s="1"/>
  <c r="AF2030" i="1" s="1"/>
  <c r="AF2031" i="1" s="1"/>
  <c r="AF2032" i="1" s="1"/>
  <c r="AF2033" i="1" s="1"/>
  <c r="AF2034" i="1" s="1"/>
  <c r="AF2035" i="1" s="1"/>
  <c r="AF2036" i="1" s="1"/>
  <c r="AF2037" i="1" s="1"/>
  <c r="AF2038" i="1" s="1"/>
  <c r="AF2039" i="1" s="1"/>
  <c r="AF2040" i="1" s="1"/>
  <c r="AF2041" i="1" s="1"/>
  <c r="AF2042" i="1" s="1"/>
  <c r="AF2043" i="1" s="1"/>
  <c r="AF2044" i="1" s="1"/>
  <c r="AF2045" i="1" s="1"/>
  <c r="AF2046" i="1" s="1"/>
  <c r="AF2047" i="1" s="1"/>
  <c r="AF2048" i="1" s="1"/>
  <c r="AF2049" i="1" s="1"/>
  <c r="AF2050" i="1" s="1"/>
  <c r="AF2051" i="1" s="1"/>
  <c r="AF2052" i="1" s="1"/>
  <c r="AF2053" i="1" s="1"/>
  <c r="AF2054" i="1" s="1"/>
  <c r="AF2055" i="1" s="1"/>
  <c r="AF2056" i="1" s="1"/>
  <c r="AF2057" i="1" s="1"/>
  <c r="AF2058" i="1" s="1"/>
  <c r="AF2059" i="1" s="1"/>
  <c r="AF2060" i="1" s="1"/>
  <c r="AF2061" i="1" s="1"/>
  <c r="AF2062" i="1" s="1"/>
  <c r="AF2013" i="1"/>
  <c r="AF2014" i="1" s="1"/>
  <c r="AF2015" i="1" s="1"/>
  <c r="AF2016" i="1" s="1"/>
  <c r="AF2017" i="1" s="1"/>
  <c r="AF2018" i="1" s="1"/>
  <c r="AF2019" i="1" s="1"/>
  <c r="AF2020" i="1" s="1"/>
  <c r="AF2011" i="1"/>
  <c r="AF2012" i="1" s="1"/>
  <c r="AF2010" i="1"/>
  <c r="AF1991" i="1"/>
  <c r="AF1992" i="1" s="1"/>
  <c r="AF1993" i="1" s="1"/>
  <c r="AF1994" i="1" s="1"/>
  <c r="AF1995" i="1" s="1"/>
  <c r="AF1996" i="1" s="1"/>
  <c r="AF1997" i="1" s="1"/>
  <c r="AF1998" i="1" s="1"/>
  <c r="AF1999" i="1" s="1"/>
  <c r="AF2000" i="1" s="1"/>
  <c r="AF2001" i="1" s="1"/>
  <c r="AF2002" i="1" s="1"/>
  <c r="AF2003" i="1" s="1"/>
  <c r="AF2004" i="1" s="1"/>
  <c r="AF2005" i="1" s="1"/>
  <c r="AF2006" i="1" s="1"/>
  <c r="AF2007" i="1" s="1"/>
  <c r="AF2008" i="1" s="1"/>
  <c r="AF2009" i="1" s="1"/>
  <c r="AF1989" i="1"/>
  <c r="AF1990" i="1" s="1"/>
  <c r="AF1951" i="1"/>
  <c r="AF1952" i="1" s="1"/>
  <c r="AF1953" i="1" s="1"/>
  <c r="AF1954" i="1" s="1"/>
  <c r="AF1955" i="1" s="1"/>
  <c r="AF1956" i="1" s="1"/>
  <c r="AF1957" i="1" s="1"/>
  <c r="AF1958" i="1" s="1"/>
  <c r="AF1959" i="1" s="1"/>
  <c r="AF1960" i="1" s="1"/>
  <c r="AF1961" i="1" s="1"/>
  <c r="AF1962" i="1" s="1"/>
  <c r="AF1963" i="1" s="1"/>
  <c r="AF1964" i="1" s="1"/>
  <c r="AF1965" i="1" s="1"/>
  <c r="AF1966" i="1" s="1"/>
  <c r="AF1967" i="1" s="1"/>
  <c r="AF1968" i="1" s="1"/>
  <c r="AF1969" i="1" s="1"/>
  <c r="AF1970" i="1" s="1"/>
  <c r="AF1971" i="1" s="1"/>
  <c r="AF1972" i="1" s="1"/>
  <c r="AF1973" i="1" s="1"/>
  <c r="AF1974" i="1" s="1"/>
  <c r="AF1975" i="1" s="1"/>
  <c r="AF1976" i="1" s="1"/>
  <c r="AF1977" i="1" s="1"/>
  <c r="AF1978" i="1" s="1"/>
  <c r="AF1979" i="1" s="1"/>
  <c r="AF1980" i="1" s="1"/>
  <c r="AF1981" i="1" s="1"/>
  <c r="AF1982" i="1" s="1"/>
  <c r="AF1983" i="1" s="1"/>
  <c r="AF1984" i="1" s="1"/>
  <c r="AF1985" i="1" s="1"/>
  <c r="AF1986" i="1" s="1"/>
  <c r="AF1987" i="1" s="1"/>
  <c r="AF1988" i="1" s="1"/>
  <c r="AF1949" i="1"/>
  <c r="AF1950" i="1" s="1"/>
  <c r="AF1947" i="1"/>
  <c r="AF1948" i="1" s="1"/>
  <c r="AF1924" i="1"/>
  <c r="AF1925" i="1" s="1"/>
  <c r="AF1926" i="1" s="1"/>
  <c r="AF1927" i="1" s="1"/>
  <c r="AF1928" i="1" s="1"/>
  <c r="AF1929" i="1" s="1"/>
  <c r="AF1930" i="1" s="1"/>
  <c r="AF1931" i="1" s="1"/>
  <c r="AF1932" i="1" s="1"/>
  <c r="AF1933" i="1" s="1"/>
  <c r="AF1934" i="1" s="1"/>
  <c r="AF1935" i="1" s="1"/>
  <c r="AF1936" i="1" s="1"/>
  <c r="AF1937" i="1" s="1"/>
  <c r="AF1938" i="1" s="1"/>
  <c r="AF1939" i="1" s="1"/>
  <c r="AF1940" i="1" s="1"/>
  <c r="AF1941" i="1" s="1"/>
  <c r="AF1942" i="1" s="1"/>
  <c r="AF1943" i="1" s="1"/>
  <c r="AF1944" i="1" s="1"/>
  <c r="AF1945" i="1" s="1"/>
  <c r="AF1946" i="1" s="1"/>
  <c r="AF1923" i="1"/>
  <c r="AF1921" i="1"/>
  <c r="AF1922" i="1" s="1"/>
  <c r="AF1903" i="1"/>
  <c r="AF1904" i="1" s="1"/>
  <c r="AF1905" i="1" s="1"/>
  <c r="AF1906" i="1" s="1"/>
  <c r="AF1907" i="1" s="1"/>
  <c r="AF1908" i="1" s="1"/>
  <c r="AF1909" i="1" s="1"/>
  <c r="AF1910" i="1" s="1"/>
  <c r="AF1911" i="1" s="1"/>
  <c r="AF1912" i="1" s="1"/>
  <c r="AF1913" i="1" s="1"/>
  <c r="AF1914" i="1" s="1"/>
  <c r="AF1915" i="1" s="1"/>
  <c r="AF1916" i="1" s="1"/>
  <c r="AF1917" i="1" s="1"/>
  <c r="AF1918" i="1" s="1"/>
  <c r="AF1919" i="1" s="1"/>
  <c r="AF1920" i="1" s="1"/>
  <c r="AF1887" i="1"/>
  <c r="AF1888" i="1" s="1"/>
  <c r="AF1889" i="1" s="1"/>
  <c r="AF1890" i="1" s="1"/>
  <c r="AF1891" i="1" s="1"/>
  <c r="AF1892" i="1" s="1"/>
  <c r="AF1893" i="1" s="1"/>
  <c r="AF1894" i="1" s="1"/>
  <c r="AF1895" i="1" s="1"/>
  <c r="AF1896" i="1" s="1"/>
  <c r="AF1897" i="1" s="1"/>
  <c r="AF1898" i="1" s="1"/>
  <c r="AF1899" i="1" s="1"/>
  <c r="AF1900" i="1" s="1"/>
  <c r="AF1901" i="1" s="1"/>
  <c r="AF1902" i="1" s="1"/>
  <c r="AF1886" i="1"/>
  <c r="AF1851" i="1"/>
  <c r="AF1852" i="1" s="1"/>
  <c r="AF1853" i="1" s="1"/>
  <c r="AF1854" i="1" s="1"/>
  <c r="AF1855" i="1" s="1"/>
  <c r="AF1856" i="1" s="1"/>
  <c r="AF1857" i="1" s="1"/>
  <c r="AF1858" i="1" s="1"/>
  <c r="AF1859" i="1" s="1"/>
  <c r="AF1860" i="1" s="1"/>
  <c r="AF1861" i="1" s="1"/>
  <c r="AF1862" i="1" s="1"/>
  <c r="AF1863" i="1" s="1"/>
  <c r="AF1864" i="1" s="1"/>
  <c r="AF1865" i="1" s="1"/>
  <c r="AF1866" i="1" s="1"/>
  <c r="AF1867" i="1" s="1"/>
  <c r="AF1868" i="1" s="1"/>
  <c r="AF1869" i="1" s="1"/>
  <c r="AF1870" i="1" s="1"/>
  <c r="AF1871" i="1" s="1"/>
  <c r="AF1872" i="1" s="1"/>
  <c r="AF1873" i="1" s="1"/>
  <c r="AF1874" i="1" s="1"/>
  <c r="AF1875" i="1" s="1"/>
  <c r="AF1876" i="1" s="1"/>
  <c r="AF1877" i="1" s="1"/>
  <c r="AF1878" i="1" s="1"/>
  <c r="AF1879" i="1" s="1"/>
  <c r="AF1880" i="1" s="1"/>
  <c r="AF1881" i="1" s="1"/>
  <c r="AF1882" i="1" s="1"/>
  <c r="AF1883" i="1" s="1"/>
  <c r="AF1884" i="1" s="1"/>
  <c r="AF1885" i="1" s="1"/>
  <c r="AF1849" i="1"/>
  <c r="AF1850" i="1" s="1"/>
  <c r="AF1848" i="1"/>
  <c r="AF1835" i="1"/>
  <c r="AF1836" i="1" s="1"/>
  <c r="AF1837" i="1" s="1"/>
  <c r="AF1838" i="1" s="1"/>
  <c r="AF1839" i="1" s="1"/>
  <c r="AF1840" i="1" s="1"/>
  <c r="AF1841" i="1" s="1"/>
  <c r="AF1842" i="1" s="1"/>
  <c r="AF1843" i="1" s="1"/>
  <c r="AF1844" i="1" s="1"/>
  <c r="AF1845" i="1" s="1"/>
  <c r="AF1846" i="1" s="1"/>
  <c r="AF1847" i="1" s="1"/>
  <c r="AF1829" i="1"/>
  <c r="AF1830" i="1" s="1"/>
  <c r="AF1831" i="1" s="1"/>
  <c r="AF1832" i="1" s="1"/>
  <c r="AF1833" i="1" s="1"/>
  <c r="AF1834" i="1" s="1"/>
  <c r="AF1828" i="1"/>
  <c r="AF1783" i="1"/>
  <c r="AF1784" i="1" s="1"/>
  <c r="AF1785" i="1" s="1"/>
  <c r="AF1786" i="1" s="1"/>
  <c r="AF1787" i="1" s="1"/>
  <c r="AF1788" i="1" s="1"/>
  <c r="AF1789" i="1" s="1"/>
  <c r="AF1790" i="1" s="1"/>
  <c r="AF1791" i="1" s="1"/>
  <c r="AF1792" i="1" s="1"/>
  <c r="AF1793" i="1" s="1"/>
  <c r="AF1794" i="1" s="1"/>
  <c r="AF1795" i="1" s="1"/>
  <c r="AF1796" i="1" s="1"/>
  <c r="AF1797" i="1" s="1"/>
  <c r="AF1798" i="1" s="1"/>
  <c r="AF1799" i="1" s="1"/>
  <c r="AF1800" i="1" s="1"/>
  <c r="AF1801" i="1" s="1"/>
  <c r="AF1802" i="1" s="1"/>
  <c r="AF1803" i="1" s="1"/>
  <c r="AF1804" i="1" s="1"/>
  <c r="AF1805" i="1" s="1"/>
  <c r="AF1806" i="1" s="1"/>
  <c r="AF1807" i="1" s="1"/>
  <c r="AF1808" i="1" s="1"/>
  <c r="AF1809" i="1" s="1"/>
  <c r="AF1810" i="1" s="1"/>
  <c r="AF1811" i="1" s="1"/>
  <c r="AF1812" i="1" s="1"/>
  <c r="AF1813" i="1" s="1"/>
  <c r="AF1814" i="1" s="1"/>
  <c r="AF1815" i="1" s="1"/>
  <c r="AF1816" i="1" s="1"/>
  <c r="AF1817" i="1" s="1"/>
  <c r="AF1818" i="1" s="1"/>
  <c r="AF1819" i="1" s="1"/>
  <c r="AF1820" i="1" s="1"/>
  <c r="AF1821" i="1" s="1"/>
  <c r="AF1822" i="1" s="1"/>
  <c r="AF1823" i="1" s="1"/>
  <c r="AF1824" i="1" s="1"/>
  <c r="AF1825" i="1" s="1"/>
  <c r="AF1826" i="1" s="1"/>
  <c r="AF1827" i="1" s="1"/>
  <c r="AF1782" i="1"/>
  <c r="AF1740" i="1"/>
  <c r="AF1741" i="1" s="1"/>
  <c r="AF1742" i="1" s="1"/>
  <c r="AF1743" i="1" s="1"/>
  <c r="AF1744" i="1" s="1"/>
  <c r="AF1745" i="1" s="1"/>
  <c r="AF1746" i="1" s="1"/>
  <c r="AF1747" i="1" s="1"/>
  <c r="AF1748" i="1" s="1"/>
  <c r="AF1749" i="1" s="1"/>
  <c r="AF1750" i="1" s="1"/>
  <c r="AF1751" i="1" s="1"/>
  <c r="AF1752" i="1" s="1"/>
  <c r="AF1753" i="1" s="1"/>
  <c r="AF1754" i="1" s="1"/>
  <c r="AF1755" i="1" s="1"/>
  <c r="AF1756" i="1" s="1"/>
  <c r="AF1757" i="1" s="1"/>
  <c r="AF1758" i="1" s="1"/>
  <c r="AF1759" i="1" s="1"/>
  <c r="AF1760" i="1" s="1"/>
  <c r="AF1761" i="1" s="1"/>
  <c r="AF1762" i="1" s="1"/>
  <c r="AF1763" i="1" s="1"/>
  <c r="AF1764" i="1" s="1"/>
  <c r="AF1765" i="1" s="1"/>
  <c r="AF1766" i="1" s="1"/>
  <c r="AF1767" i="1" s="1"/>
  <c r="AF1768" i="1" s="1"/>
  <c r="AF1769" i="1" s="1"/>
  <c r="AF1770" i="1" s="1"/>
  <c r="AF1771" i="1" s="1"/>
  <c r="AF1772" i="1" s="1"/>
  <c r="AF1773" i="1" s="1"/>
  <c r="AF1774" i="1" s="1"/>
  <c r="AF1775" i="1" s="1"/>
  <c r="AF1776" i="1" s="1"/>
  <c r="AF1777" i="1" s="1"/>
  <c r="AF1778" i="1" s="1"/>
  <c r="AF1779" i="1" s="1"/>
  <c r="AF1780" i="1" s="1"/>
  <c r="AF1781" i="1" s="1"/>
  <c r="AF1735" i="1"/>
  <c r="AF1736" i="1" s="1"/>
  <c r="AF1737" i="1" s="1"/>
  <c r="AF1738" i="1" s="1"/>
  <c r="AF1739" i="1" s="1"/>
  <c r="AF1734" i="1"/>
  <c r="AF1704" i="1"/>
  <c r="AF1705" i="1" s="1"/>
  <c r="AF1706" i="1" s="1"/>
  <c r="AF1707" i="1" s="1"/>
  <c r="AF1708" i="1" s="1"/>
  <c r="AF1709" i="1" s="1"/>
  <c r="AF1710" i="1" s="1"/>
  <c r="AF1711" i="1" s="1"/>
  <c r="AF1712" i="1" s="1"/>
  <c r="AF1713" i="1" s="1"/>
  <c r="AF1714" i="1" s="1"/>
  <c r="AF1715" i="1" s="1"/>
  <c r="AF1716" i="1" s="1"/>
  <c r="AF1717" i="1" s="1"/>
  <c r="AF1718" i="1" s="1"/>
  <c r="AF1719" i="1" s="1"/>
  <c r="AF1720" i="1" s="1"/>
  <c r="AF1721" i="1" s="1"/>
  <c r="AF1722" i="1" s="1"/>
  <c r="AF1723" i="1" s="1"/>
  <c r="AF1724" i="1" s="1"/>
  <c r="AF1725" i="1" s="1"/>
  <c r="AF1726" i="1" s="1"/>
  <c r="AF1727" i="1" s="1"/>
  <c r="AF1728" i="1" s="1"/>
  <c r="AF1729" i="1" s="1"/>
  <c r="AF1730" i="1" s="1"/>
  <c r="AF1731" i="1" s="1"/>
  <c r="AF1732" i="1" s="1"/>
  <c r="AF1733" i="1" s="1"/>
  <c r="AF1664" i="1"/>
  <c r="AF1665" i="1" s="1"/>
  <c r="AF1666" i="1" s="1"/>
  <c r="AF1667" i="1" s="1"/>
  <c r="AF1668" i="1" s="1"/>
  <c r="AF1669" i="1" s="1"/>
  <c r="AF1670" i="1" s="1"/>
  <c r="AF1671" i="1" s="1"/>
  <c r="AF1672" i="1" s="1"/>
  <c r="AF1673" i="1" s="1"/>
  <c r="AF1674" i="1" s="1"/>
  <c r="AF1675" i="1" s="1"/>
  <c r="AF1676" i="1" s="1"/>
  <c r="AF1677" i="1" s="1"/>
  <c r="AF1678" i="1" s="1"/>
  <c r="AF1679" i="1" s="1"/>
  <c r="AF1680" i="1" s="1"/>
  <c r="AF1681" i="1" s="1"/>
  <c r="AF1682" i="1" s="1"/>
  <c r="AF1683" i="1" s="1"/>
  <c r="AF1684" i="1" s="1"/>
  <c r="AF1685" i="1" s="1"/>
  <c r="AF1686" i="1" s="1"/>
  <c r="AF1687" i="1" s="1"/>
  <c r="AF1688" i="1" s="1"/>
  <c r="AF1689" i="1" s="1"/>
  <c r="AF1690" i="1" s="1"/>
  <c r="AF1691" i="1" s="1"/>
  <c r="AF1692" i="1" s="1"/>
  <c r="AF1693" i="1" s="1"/>
  <c r="AF1694" i="1" s="1"/>
  <c r="AF1695" i="1" s="1"/>
  <c r="AF1696" i="1" s="1"/>
  <c r="AF1697" i="1" s="1"/>
  <c r="AF1698" i="1" s="1"/>
  <c r="AF1699" i="1" s="1"/>
  <c r="AF1700" i="1" s="1"/>
  <c r="AF1701" i="1" s="1"/>
  <c r="AF1702" i="1" s="1"/>
  <c r="AF1703" i="1" s="1"/>
  <c r="AF1645" i="1"/>
  <c r="AF1646" i="1" s="1"/>
  <c r="AF1647" i="1" s="1"/>
  <c r="AF1648" i="1" s="1"/>
  <c r="AF1649" i="1" s="1"/>
  <c r="AF1650" i="1" s="1"/>
  <c r="AF1651" i="1" s="1"/>
  <c r="AF1652" i="1" s="1"/>
  <c r="AF1653" i="1" s="1"/>
  <c r="AF1654" i="1" s="1"/>
  <c r="AF1655" i="1" s="1"/>
  <c r="AF1656" i="1" s="1"/>
  <c r="AF1657" i="1" s="1"/>
  <c r="AF1658" i="1" s="1"/>
  <c r="AF1659" i="1" s="1"/>
  <c r="AF1660" i="1" s="1"/>
  <c r="AF1661" i="1" s="1"/>
  <c r="AF1662" i="1" s="1"/>
  <c r="AF1663" i="1" s="1"/>
  <c r="AF1644" i="1"/>
  <c r="AF1613" i="1"/>
  <c r="AF1614" i="1" s="1"/>
  <c r="AF1615" i="1" s="1"/>
  <c r="AF1616" i="1" s="1"/>
  <c r="AF1617" i="1" s="1"/>
  <c r="AF1618" i="1" s="1"/>
  <c r="AF1619" i="1" s="1"/>
  <c r="AF1620" i="1" s="1"/>
  <c r="AF1621" i="1" s="1"/>
  <c r="AF1622" i="1" s="1"/>
  <c r="AF1623" i="1" s="1"/>
  <c r="AF1624" i="1" s="1"/>
  <c r="AF1625" i="1" s="1"/>
  <c r="AF1626" i="1" s="1"/>
  <c r="AF1627" i="1" s="1"/>
  <c r="AF1628" i="1" s="1"/>
  <c r="AF1629" i="1" s="1"/>
  <c r="AF1630" i="1" s="1"/>
  <c r="AF1631" i="1" s="1"/>
  <c r="AF1632" i="1" s="1"/>
  <c r="AF1633" i="1" s="1"/>
  <c r="AF1634" i="1" s="1"/>
  <c r="AF1635" i="1" s="1"/>
  <c r="AF1636" i="1" s="1"/>
  <c r="AF1637" i="1" s="1"/>
  <c r="AF1638" i="1" s="1"/>
  <c r="AF1639" i="1" s="1"/>
  <c r="AF1640" i="1" s="1"/>
  <c r="AF1641" i="1" s="1"/>
  <c r="AF1642" i="1" s="1"/>
  <c r="AF1643" i="1" s="1"/>
  <c r="AF1565" i="1"/>
  <c r="AF1566" i="1" s="1"/>
  <c r="AF1567" i="1" s="1"/>
  <c r="AF1568" i="1" s="1"/>
  <c r="AF1569" i="1" s="1"/>
  <c r="AF1570" i="1" s="1"/>
  <c r="AF1571" i="1" s="1"/>
  <c r="AF1572" i="1" s="1"/>
  <c r="AF1573" i="1" s="1"/>
  <c r="AF1574" i="1" s="1"/>
  <c r="AF1575" i="1" s="1"/>
  <c r="AF1576" i="1" s="1"/>
  <c r="AF1577" i="1" s="1"/>
  <c r="AF1578" i="1" s="1"/>
  <c r="AF1579" i="1" s="1"/>
  <c r="AF1580" i="1" s="1"/>
  <c r="AF1581" i="1" s="1"/>
  <c r="AF1582" i="1" s="1"/>
  <c r="AF1583" i="1" s="1"/>
  <c r="AF1584" i="1" s="1"/>
  <c r="AF1585" i="1" s="1"/>
  <c r="AF1586" i="1" s="1"/>
  <c r="AF1587" i="1" s="1"/>
  <c r="AF1588" i="1" s="1"/>
  <c r="AF1589" i="1" s="1"/>
  <c r="AF1590" i="1" s="1"/>
  <c r="AF1591" i="1" s="1"/>
  <c r="AF1592" i="1" s="1"/>
  <c r="AF1593" i="1" s="1"/>
  <c r="AF1594" i="1" s="1"/>
  <c r="AF1595" i="1" s="1"/>
  <c r="AF1596" i="1" s="1"/>
  <c r="AF1597" i="1" s="1"/>
  <c r="AF1598" i="1" s="1"/>
  <c r="AF1599" i="1" s="1"/>
  <c r="AF1600" i="1" s="1"/>
  <c r="AF1601" i="1" s="1"/>
  <c r="AF1602" i="1" s="1"/>
  <c r="AF1603" i="1" s="1"/>
  <c r="AF1604" i="1" s="1"/>
  <c r="AF1605" i="1" s="1"/>
  <c r="AF1606" i="1" s="1"/>
  <c r="AF1607" i="1" s="1"/>
  <c r="AF1608" i="1" s="1"/>
  <c r="AF1609" i="1" s="1"/>
  <c r="AF1610" i="1" s="1"/>
  <c r="AF1611" i="1" s="1"/>
  <c r="AF1612" i="1" s="1"/>
  <c r="AF1564" i="1"/>
  <c r="AF1528" i="1"/>
  <c r="AF1529" i="1" s="1"/>
  <c r="AF1530" i="1" s="1"/>
  <c r="AF1531" i="1" s="1"/>
  <c r="AF1532" i="1" s="1"/>
  <c r="AF1533" i="1" s="1"/>
  <c r="AF1534" i="1" s="1"/>
  <c r="AF1535" i="1" s="1"/>
  <c r="AF1536" i="1" s="1"/>
  <c r="AF1537" i="1" s="1"/>
  <c r="AF1538" i="1" s="1"/>
  <c r="AF1539" i="1" s="1"/>
  <c r="AF1540" i="1" s="1"/>
  <c r="AF1541" i="1" s="1"/>
  <c r="AF1542" i="1" s="1"/>
  <c r="AF1543" i="1" s="1"/>
  <c r="AF1544" i="1" s="1"/>
  <c r="AF1545" i="1" s="1"/>
  <c r="AF1546" i="1" s="1"/>
  <c r="AF1547" i="1" s="1"/>
  <c r="AF1548" i="1" s="1"/>
  <c r="AF1549" i="1" s="1"/>
  <c r="AF1550" i="1" s="1"/>
  <c r="AF1551" i="1" s="1"/>
  <c r="AF1552" i="1" s="1"/>
  <c r="AF1553" i="1" s="1"/>
  <c r="AF1554" i="1" s="1"/>
  <c r="AF1555" i="1" s="1"/>
  <c r="AF1556" i="1" s="1"/>
  <c r="AF1557" i="1" s="1"/>
  <c r="AF1558" i="1" s="1"/>
  <c r="AF1559" i="1" s="1"/>
  <c r="AF1560" i="1" s="1"/>
  <c r="AF1561" i="1" s="1"/>
  <c r="AF1562" i="1" s="1"/>
  <c r="AF1563" i="1" s="1"/>
  <c r="AF1523" i="1"/>
  <c r="AF1524" i="1" s="1"/>
  <c r="AF1525" i="1" s="1"/>
  <c r="AF1526" i="1" s="1"/>
  <c r="AF1527" i="1" s="1"/>
  <c r="AF1521" i="1"/>
  <c r="AF1522" i="1" s="1"/>
  <c r="AF1491" i="1"/>
  <c r="AF1492" i="1" s="1"/>
  <c r="AF1493" i="1" s="1"/>
  <c r="AF1494" i="1" s="1"/>
  <c r="AF1495" i="1" s="1"/>
  <c r="AF1496" i="1" s="1"/>
  <c r="AF1497" i="1" s="1"/>
  <c r="AF1498" i="1" s="1"/>
  <c r="AF1499" i="1" s="1"/>
  <c r="AF1500" i="1" s="1"/>
  <c r="AF1501" i="1" s="1"/>
  <c r="AF1502" i="1" s="1"/>
  <c r="AF1503" i="1" s="1"/>
  <c r="AF1504" i="1" s="1"/>
  <c r="AF1505" i="1" s="1"/>
  <c r="AF1506" i="1" s="1"/>
  <c r="AF1507" i="1" s="1"/>
  <c r="AF1508" i="1" s="1"/>
  <c r="AF1509" i="1" s="1"/>
  <c r="AF1510" i="1" s="1"/>
  <c r="AF1511" i="1" s="1"/>
  <c r="AF1512" i="1" s="1"/>
  <c r="AF1513" i="1" s="1"/>
  <c r="AF1514" i="1" s="1"/>
  <c r="AF1515" i="1" s="1"/>
  <c r="AF1516" i="1" s="1"/>
  <c r="AF1517" i="1" s="1"/>
  <c r="AF1518" i="1" s="1"/>
  <c r="AF1519" i="1" s="1"/>
  <c r="AF1520" i="1" s="1"/>
  <c r="AF1488" i="1"/>
  <c r="AF1489" i="1" s="1"/>
  <c r="AF1490" i="1" s="1"/>
  <c r="AF1487" i="1"/>
  <c r="AF1464" i="1"/>
  <c r="AF1465" i="1" s="1"/>
  <c r="AF1466" i="1" s="1"/>
  <c r="AF1467" i="1" s="1"/>
  <c r="AF1468" i="1" s="1"/>
  <c r="AF1469" i="1" s="1"/>
  <c r="AF1470" i="1" s="1"/>
  <c r="AF1471" i="1" s="1"/>
  <c r="AF1472" i="1" s="1"/>
  <c r="AF1473" i="1" s="1"/>
  <c r="AF1474" i="1" s="1"/>
  <c r="AF1475" i="1" s="1"/>
  <c r="AF1476" i="1" s="1"/>
  <c r="AF1477" i="1" s="1"/>
  <c r="AF1478" i="1" s="1"/>
  <c r="AF1479" i="1" s="1"/>
  <c r="AF1480" i="1" s="1"/>
  <c r="AF1481" i="1" s="1"/>
  <c r="AF1482" i="1" s="1"/>
  <c r="AF1483" i="1" s="1"/>
  <c r="AF1484" i="1" s="1"/>
  <c r="AF1485" i="1" s="1"/>
  <c r="AF1486" i="1" s="1"/>
  <c r="AF1437" i="1"/>
  <c r="AF1438" i="1" s="1"/>
  <c r="AF1439" i="1" s="1"/>
  <c r="AF1440" i="1" s="1"/>
  <c r="AF1441" i="1" s="1"/>
  <c r="AF1442" i="1" s="1"/>
  <c r="AF1443" i="1" s="1"/>
  <c r="AF1444" i="1" s="1"/>
  <c r="AF1445" i="1" s="1"/>
  <c r="AF1446" i="1" s="1"/>
  <c r="AF1447" i="1" s="1"/>
  <c r="AF1448" i="1" s="1"/>
  <c r="AF1449" i="1" s="1"/>
  <c r="AF1450" i="1" s="1"/>
  <c r="AF1451" i="1" s="1"/>
  <c r="AF1452" i="1" s="1"/>
  <c r="AF1453" i="1" s="1"/>
  <c r="AF1454" i="1" s="1"/>
  <c r="AF1455" i="1" s="1"/>
  <c r="AF1456" i="1" s="1"/>
  <c r="AF1457" i="1" s="1"/>
  <c r="AF1458" i="1" s="1"/>
  <c r="AF1459" i="1" s="1"/>
  <c r="AF1460" i="1" s="1"/>
  <c r="AF1461" i="1" s="1"/>
  <c r="AF1462" i="1" s="1"/>
  <c r="AF1463" i="1" s="1"/>
  <c r="AF1432" i="1"/>
  <c r="AF1433" i="1" s="1"/>
  <c r="AF1434" i="1" s="1"/>
  <c r="AF1435" i="1" s="1"/>
  <c r="AF1436" i="1" s="1"/>
  <c r="AF1395" i="1"/>
  <c r="AF1396" i="1" s="1"/>
  <c r="AF1397" i="1" s="1"/>
  <c r="AF1398" i="1" s="1"/>
  <c r="AF1399" i="1" s="1"/>
  <c r="AF1400" i="1" s="1"/>
  <c r="AF1401" i="1" s="1"/>
  <c r="AF1402" i="1" s="1"/>
  <c r="AF1403" i="1" s="1"/>
  <c r="AF1404" i="1" s="1"/>
  <c r="AF1405" i="1" s="1"/>
  <c r="AF1406" i="1" s="1"/>
  <c r="AF1407" i="1" s="1"/>
  <c r="AF1408" i="1" s="1"/>
  <c r="AF1409" i="1" s="1"/>
  <c r="AF1410" i="1" s="1"/>
  <c r="AF1411" i="1" s="1"/>
  <c r="AF1412" i="1" s="1"/>
  <c r="AF1413" i="1" s="1"/>
  <c r="AF1414" i="1" s="1"/>
  <c r="AF1415" i="1" s="1"/>
  <c r="AF1416" i="1" s="1"/>
  <c r="AF1417" i="1" s="1"/>
  <c r="AF1418" i="1" s="1"/>
  <c r="AF1419" i="1" s="1"/>
  <c r="AF1420" i="1" s="1"/>
  <c r="AF1421" i="1" s="1"/>
  <c r="AF1422" i="1" s="1"/>
  <c r="AF1423" i="1" s="1"/>
  <c r="AF1424" i="1" s="1"/>
  <c r="AF1425" i="1" s="1"/>
  <c r="AF1426" i="1" s="1"/>
  <c r="AF1427" i="1" s="1"/>
  <c r="AF1428" i="1" s="1"/>
  <c r="AF1429" i="1" s="1"/>
  <c r="AF1430" i="1" s="1"/>
  <c r="AF1431" i="1" s="1"/>
  <c r="AF1351" i="1"/>
  <c r="AF1352" i="1" s="1"/>
  <c r="AF1353" i="1" s="1"/>
  <c r="AF1354" i="1" s="1"/>
  <c r="AF1355" i="1" s="1"/>
  <c r="AF1356" i="1" s="1"/>
  <c r="AF1357" i="1" s="1"/>
  <c r="AF1358" i="1" s="1"/>
  <c r="AF1359" i="1" s="1"/>
  <c r="AF1360" i="1" s="1"/>
  <c r="AF1361" i="1" s="1"/>
  <c r="AF1362" i="1" s="1"/>
  <c r="AF1363" i="1" s="1"/>
  <c r="AF1364" i="1" s="1"/>
  <c r="AF1365" i="1" s="1"/>
  <c r="AF1366" i="1" s="1"/>
  <c r="AF1367" i="1" s="1"/>
  <c r="AF1368" i="1" s="1"/>
  <c r="AF1369" i="1" s="1"/>
  <c r="AF1370" i="1" s="1"/>
  <c r="AF1371" i="1" s="1"/>
  <c r="AF1372" i="1" s="1"/>
  <c r="AF1373" i="1" s="1"/>
  <c r="AF1374" i="1" s="1"/>
  <c r="AF1375" i="1" s="1"/>
  <c r="AF1376" i="1" s="1"/>
  <c r="AF1377" i="1" s="1"/>
  <c r="AF1378" i="1" s="1"/>
  <c r="AF1379" i="1" s="1"/>
  <c r="AF1380" i="1" s="1"/>
  <c r="AF1381" i="1" s="1"/>
  <c r="AF1382" i="1" s="1"/>
  <c r="AF1383" i="1" s="1"/>
  <c r="AF1384" i="1" s="1"/>
  <c r="AF1385" i="1" s="1"/>
  <c r="AF1386" i="1" s="1"/>
  <c r="AF1387" i="1" s="1"/>
  <c r="AF1388" i="1" s="1"/>
  <c r="AF1389" i="1" s="1"/>
  <c r="AF1390" i="1" s="1"/>
  <c r="AF1391" i="1" s="1"/>
  <c r="AF1392" i="1" s="1"/>
  <c r="AF1393" i="1" s="1"/>
  <c r="AF1394" i="1" s="1"/>
  <c r="AF1350" i="1"/>
  <c r="AF1323" i="1"/>
  <c r="AF1324" i="1" s="1"/>
  <c r="AF1325" i="1" s="1"/>
  <c r="AF1326" i="1" s="1"/>
  <c r="AF1327" i="1" s="1"/>
  <c r="AF1328" i="1" s="1"/>
  <c r="AF1329" i="1" s="1"/>
  <c r="AF1330" i="1" s="1"/>
  <c r="AF1331" i="1" s="1"/>
  <c r="AF1332" i="1" s="1"/>
  <c r="AF1333" i="1" s="1"/>
  <c r="AF1334" i="1" s="1"/>
  <c r="AF1335" i="1" s="1"/>
  <c r="AF1336" i="1" s="1"/>
  <c r="AF1337" i="1" s="1"/>
  <c r="AF1338" i="1" s="1"/>
  <c r="AF1339" i="1" s="1"/>
  <c r="AF1340" i="1" s="1"/>
  <c r="AF1341" i="1" s="1"/>
  <c r="AF1342" i="1" s="1"/>
  <c r="AF1343" i="1" s="1"/>
  <c r="AF1344" i="1" s="1"/>
  <c r="AF1345" i="1" s="1"/>
  <c r="AF1346" i="1" s="1"/>
  <c r="AF1347" i="1" s="1"/>
  <c r="AF1348" i="1" s="1"/>
  <c r="AF1349" i="1" s="1"/>
  <c r="AF1322" i="1"/>
  <c r="AF1307" i="1"/>
  <c r="AF1308" i="1" s="1"/>
  <c r="AF1309" i="1" s="1"/>
  <c r="AF1310" i="1" s="1"/>
  <c r="AF1311" i="1" s="1"/>
  <c r="AF1312" i="1" s="1"/>
  <c r="AF1313" i="1" s="1"/>
  <c r="AF1314" i="1" s="1"/>
  <c r="AF1315" i="1" s="1"/>
  <c r="AF1316" i="1" s="1"/>
  <c r="AF1317" i="1" s="1"/>
  <c r="AF1318" i="1" s="1"/>
  <c r="AF1319" i="1" s="1"/>
  <c r="AF1320" i="1" s="1"/>
  <c r="AF1321" i="1" s="1"/>
  <c r="AF1305" i="1"/>
  <c r="AF1306" i="1" s="1"/>
  <c r="AF1265" i="1"/>
  <c r="AF1266" i="1" s="1"/>
  <c r="AF1267" i="1" s="1"/>
  <c r="AF1268" i="1" s="1"/>
  <c r="AF1269" i="1" s="1"/>
  <c r="AF1270" i="1" s="1"/>
  <c r="AF1271" i="1" s="1"/>
  <c r="AF1272" i="1" s="1"/>
  <c r="AF1273" i="1" s="1"/>
  <c r="AF1274" i="1" s="1"/>
  <c r="AF1275" i="1" s="1"/>
  <c r="AF1276" i="1" s="1"/>
  <c r="AF1277" i="1" s="1"/>
  <c r="AF1278" i="1" s="1"/>
  <c r="AF1279" i="1" s="1"/>
  <c r="AF1280" i="1" s="1"/>
  <c r="AF1281" i="1" s="1"/>
  <c r="AF1282" i="1" s="1"/>
  <c r="AF1283" i="1" s="1"/>
  <c r="AF1284" i="1" s="1"/>
  <c r="AF1285" i="1" s="1"/>
  <c r="AF1286" i="1" s="1"/>
  <c r="AF1287" i="1" s="1"/>
  <c r="AF1288" i="1" s="1"/>
  <c r="AF1289" i="1" s="1"/>
  <c r="AF1290" i="1" s="1"/>
  <c r="AF1291" i="1" s="1"/>
  <c r="AF1292" i="1" s="1"/>
  <c r="AF1293" i="1" s="1"/>
  <c r="AF1294" i="1" s="1"/>
  <c r="AF1295" i="1" s="1"/>
  <c r="AF1296" i="1" s="1"/>
  <c r="AF1297" i="1" s="1"/>
  <c r="AF1298" i="1" s="1"/>
  <c r="AF1299" i="1" s="1"/>
  <c r="AF1300" i="1" s="1"/>
  <c r="AF1301" i="1" s="1"/>
  <c r="AF1302" i="1" s="1"/>
  <c r="AF1303" i="1" s="1"/>
  <c r="AF1304" i="1" s="1"/>
  <c r="AF1264" i="1"/>
  <c r="AF1241" i="1"/>
  <c r="AF1242" i="1" s="1"/>
  <c r="AF1243" i="1" s="1"/>
  <c r="AF1244" i="1" s="1"/>
  <c r="AF1245" i="1" s="1"/>
  <c r="AF1246" i="1" s="1"/>
  <c r="AF1247" i="1" s="1"/>
  <c r="AF1248" i="1" s="1"/>
  <c r="AF1249" i="1" s="1"/>
  <c r="AF1250" i="1" s="1"/>
  <c r="AF1251" i="1" s="1"/>
  <c r="AF1252" i="1" s="1"/>
  <c r="AF1253" i="1" s="1"/>
  <c r="AF1254" i="1" s="1"/>
  <c r="AF1255" i="1" s="1"/>
  <c r="AF1256" i="1" s="1"/>
  <c r="AF1257" i="1" s="1"/>
  <c r="AF1258" i="1" s="1"/>
  <c r="AF1259" i="1" s="1"/>
  <c r="AF1260" i="1" s="1"/>
  <c r="AF1261" i="1" s="1"/>
  <c r="AF1262" i="1" s="1"/>
  <c r="AF1263" i="1" s="1"/>
  <c r="AF1213" i="1"/>
  <c r="AF1214" i="1" s="1"/>
  <c r="AF1215" i="1" s="1"/>
  <c r="AF1216" i="1" s="1"/>
  <c r="AF1217" i="1" s="1"/>
  <c r="AF1218" i="1" s="1"/>
  <c r="AF1219" i="1" s="1"/>
  <c r="AF1220" i="1" s="1"/>
  <c r="AF1221" i="1" s="1"/>
  <c r="AF1222" i="1" s="1"/>
  <c r="AF1223" i="1" s="1"/>
  <c r="AF1224" i="1" s="1"/>
  <c r="AF1225" i="1" s="1"/>
  <c r="AF1226" i="1" s="1"/>
  <c r="AF1227" i="1" s="1"/>
  <c r="AF1228" i="1" s="1"/>
  <c r="AF1229" i="1" s="1"/>
  <c r="AF1230" i="1" s="1"/>
  <c r="AF1231" i="1" s="1"/>
  <c r="AF1232" i="1" s="1"/>
  <c r="AF1233" i="1" s="1"/>
  <c r="AF1234" i="1" s="1"/>
  <c r="AF1235" i="1" s="1"/>
  <c r="AF1236" i="1" s="1"/>
  <c r="AF1237" i="1" s="1"/>
  <c r="AF1238" i="1" s="1"/>
  <c r="AF1239" i="1" s="1"/>
  <c r="AF1240" i="1" s="1"/>
  <c r="AF1177" i="1"/>
  <c r="AF1178" i="1" s="1"/>
  <c r="AF1179" i="1" s="1"/>
  <c r="AF1180" i="1" s="1"/>
  <c r="AF1181" i="1" s="1"/>
  <c r="AF1182" i="1" s="1"/>
  <c r="AF1183" i="1" s="1"/>
  <c r="AF1184" i="1" s="1"/>
  <c r="AF1185" i="1" s="1"/>
  <c r="AF1186" i="1" s="1"/>
  <c r="AF1187" i="1" s="1"/>
  <c r="AF1188" i="1" s="1"/>
  <c r="AF1189" i="1" s="1"/>
  <c r="AF1190" i="1" s="1"/>
  <c r="AF1191" i="1" s="1"/>
  <c r="AF1192" i="1" s="1"/>
  <c r="AF1193" i="1" s="1"/>
  <c r="AF1194" i="1" s="1"/>
  <c r="AF1195" i="1" s="1"/>
  <c r="AF1196" i="1" s="1"/>
  <c r="AF1197" i="1" s="1"/>
  <c r="AF1198" i="1" s="1"/>
  <c r="AF1199" i="1" s="1"/>
  <c r="AF1200" i="1" s="1"/>
  <c r="AF1201" i="1" s="1"/>
  <c r="AF1202" i="1" s="1"/>
  <c r="AF1203" i="1" s="1"/>
  <c r="AF1204" i="1" s="1"/>
  <c r="AF1205" i="1" s="1"/>
  <c r="AF1206" i="1" s="1"/>
  <c r="AF1207" i="1" s="1"/>
  <c r="AF1208" i="1" s="1"/>
  <c r="AF1209" i="1" s="1"/>
  <c r="AF1210" i="1" s="1"/>
  <c r="AF1211" i="1" s="1"/>
  <c r="AF1212" i="1" s="1"/>
  <c r="AF1176" i="1"/>
  <c r="AF1159" i="1"/>
  <c r="AF1160" i="1" s="1"/>
  <c r="AF1161" i="1" s="1"/>
  <c r="AF1162" i="1" s="1"/>
  <c r="AF1163" i="1" s="1"/>
  <c r="AF1164" i="1" s="1"/>
  <c r="AF1165" i="1" s="1"/>
  <c r="AF1166" i="1" s="1"/>
  <c r="AF1167" i="1" s="1"/>
  <c r="AF1168" i="1" s="1"/>
  <c r="AF1169" i="1" s="1"/>
  <c r="AF1170" i="1" s="1"/>
  <c r="AF1171" i="1" s="1"/>
  <c r="AF1172" i="1" s="1"/>
  <c r="AF1173" i="1" s="1"/>
  <c r="AF1174" i="1" s="1"/>
  <c r="AF1175" i="1" s="1"/>
  <c r="AF1155" i="1"/>
  <c r="AF1156" i="1" s="1"/>
  <c r="AF1157" i="1" s="1"/>
  <c r="AF1158" i="1" s="1"/>
  <c r="AF1154" i="1"/>
  <c r="AF1125" i="1"/>
  <c r="AF1126" i="1" s="1"/>
  <c r="AF1127" i="1" s="1"/>
  <c r="AF1128" i="1" s="1"/>
  <c r="AF1129" i="1" s="1"/>
  <c r="AF1130" i="1" s="1"/>
  <c r="AF1131" i="1" s="1"/>
  <c r="AF1132" i="1" s="1"/>
  <c r="AF1133" i="1" s="1"/>
  <c r="AF1134" i="1" s="1"/>
  <c r="AF1135" i="1" s="1"/>
  <c r="AF1136" i="1" s="1"/>
  <c r="AF1137" i="1" s="1"/>
  <c r="AF1138" i="1" s="1"/>
  <c r="AF1139" i="1" s="1"/>
  <c r="AF1140" i="1" s="1"/>
  <c r="AF1141" i="1" s="1"/>
  <c r="AF1142" i="1" s="1"/>
  <c r="AF1143" i="1" s="1"/>
  <c r="AF1144" i="1" s="1"/>
  <c r="AF1145" i="1" s="1"/>
  <c r="AF1146" i="1" s="1"/>
  <c r="AF1147" i="1" s="1"/>
  <c r="AF1148" i="1" s="1"/>
  <c r="AF1149" i="1" s="1"/>
  <c r="AF1150" i="1" s="1"/>
  <c r="AF1151" i="1" s="1"/>
  <c r="AF1152" i="1" s="1"/>
  <c r="AF1153" i="1" s="1"/>
  <c r="AF1087" i="1"/>
  <c r="AF1088" i="1" s="1"/>
  <c r="AF1089" i="1" s="1"/>
  <c r="AF1090" i="1" s="1"/>
  <c r="AF1091" i="1" s="1"/>
  <c r="AF1092" i="1" s="1"/>
  <c r="AF1093" i="1" s="1"/>
  <c r="AF1094" i="1" s="1"/>
  <c r="AF1095" i="1" s="1"/>
  <c r="AF1096" i="1" s="1"/>
  <c r="AF1097" i="1" s="1"/>
  <c r="AF1098" i="1" s="1"/>
  <c r="AF1099" i="1" s="1"/>
  <c r="AF1100" i="1" s="1"/>
  <c r="AF1101" i="1" s="1"/>
  <c r="AF1102" i="1" s="1"/>
  <c r="AF1103" i="1" s="1"/>
  <c r="AF1104" i="1" s="1"/>
  <c r="AF1105" i="1" s="1"/>
  <c r="AF1106" i="1" s="1"/>
  <c r="AF1107" i="1" s="1"/>
  <c r="AF1108" i="1" s="1"/>
  <c r="AF1109" i="1" s="1"/>
  <c r="AF1110" i="1" s="1"/>
  <c r="AF1111" i="1" s="1"/>
  <c r="AF1112" i="1" s="1"/>
  <c r="AF1113" i="1" s="1"/>
  <c r="AF1114" i="1" s="1"/>
  <c r="AF1115" i="1" s="1"/>
  <c r="AF1116" i="1" s="1"/>
  <c r="AF1117" i="1" s="1"/>
  <c r="AF1118" i="1" s="1"/>
  <c r="AF1119" i="1" s="1"/>
  <c r="AF1120" i="1" s="1"/>
  <c r="AF1121" i="1" s="1"/>
  <c r="AF1122" i="1" s="1"/>
  <c r="AF1123" i="1" s="1"/>
  <c r="AF1124" i="1" s="1"/>
  <c r="AF1045" i="1"/>
  <c r="AF1046" i="1" s="1"/>
  <c r="AF1047" i="1" s="1"/>
  <c r="AF1048" i="1" s="1"/>
  <c r="AF1049" i="1" s="1"/>
  <c r="AF1050" i="1" s="1"/>
  <c r="AF1051" i="1" s="1"/>
  <c r="AF1052" i="1" s="1"/>
  <c r="AF1053" i="1" s="1"/>
  <c r="AF1054" i="1" s="1"/>
  <c r="AF1055" i="1" s="1"/>
  <c r="AF1056" i="1" s="1"/>
  <c r="AF1057" i="1" s="1"/>
  <c r="AF1058" i="1" s="1"/>
  <c r="AF1059" i="1" s="1"/>
  <c r="AF1060" i="1" s="1"/>
  <c r="AF1061" i="1" s="1"/>
  <c r="AF1062" i="1" s="1"/>
  <c r="AF1063" i="1" s="1"/>
  <c r="AF1064" i="1" s="1"/>
  <c r="AF1065" i="1" s="1"/>
  <c r="AF1066" i="1" s="1"/>
  <c r="AF1067" i="1" s="1"/>
  <c r="AF1068" i="1" s="1"/>
  <c r="AF1069" i="1" s="1"/>
  <c r="AF1070" i="1" s="1"/>
  <c r="AF1071" i="1" s="1"/>
  <c r="AF1072" i="1" s="1"/>
  <c r="AF1073" i="1" s="1"/>
  <c r="AF1074" i="1" s="1"/>
  <c r="AF1075" i="1" s="1"/>
  <c r="AF1076" i="1" s="1"/>
  <c r="AF1077" i="1" s="1"/>
  <c r="AF1078" i="1" s="1"/>
  <c r="AF1079" i="1" s="1"/>
  <c r="AF1080" i="1" s="1"/>
  <c r="AF1081" i="1" s="1"/>
  <c r="AF1082" i="1" s="1"/>
  <c r="AF1083" i="1" s="1"/>
  <c r="AF1084" i="1" s="1"/>
  <c r="AF1085" i="1" s="1"/>
  <c r="AF1086" i="1" s="1"/>
  <c r="AF1011" i="1"/>
  <c r="AF1012" i="1" s="1"/>
  <c r="AF1013" i="1" s="1"/>
  <c r="AF1014" i="1" s="1"/>
  <c r="AF1015" i="1" s="1"/>
  <c r="AF1016" i="1" s="1"/>
  <c r="AF1017" i="1" s="1"/>
  <c r="AF1018" i="1" s="1"/>
  <c r="AF1019" i="1" s="1"/>
  <c r="AF1020" i="1" s="1"/>
  <c r="AF1021" i="1" s="1"/>
  <c r="AF1022" i="1" s="1"/>
  <c r="AF1023" i="1" s="1"/>
  <c r="AF1024" i="1" s="1"/>
  <c r="AF1025" i="1" s="1"/>
  <c r="AF1026" i="1" s="1"/>
  <c r="AF1027" i="1" s="1"/>
  <c r="AF1028" i="1" s="1"/>
  <c r="AF1029" i="1" s="1"/>
  <c r="AF1030" i="1" s="1"/>
  <c r="AF1031" i="1" s="1"/>
  <c r="AF1032" i="1" s="1"/>
  <c r="AF1033" i="1" s="1"/>
  <c r="AF1034" i="1" s="1"/>
  <c r="AF1035" i="1" s="1"/>
  <c r="AF1036" i="1" s="1"/>
  <c r="AF1037" i="1" s="1"/>
  <c r="AF1038" i="1" s="1"/>
  <c r="AF1039" i="1" s="1"/>
  <c r="AF1040" i="1" s="1"/>
  <c r="AF1041" i="1" s="1"/>
  <c r="AF1042" i="1" s="1"/>
  <c r="AF1043" i="1" s="1"/>
  <c r="AF1044" i="1" s="1"/>
  <c r="AF1010" i="1"/>
  <c r="AF983" i="1"/>
  <c r="AF984" i="1" s="1"/>
  <c r="AF985" i="1" s="1"/>
  <c r="AF986" i="1" s="1"/>
  <c r="AF987" i="1" s="1"/>
  <c r="AF988" i="1" s="1"/>
  <c r="AF989" i="1" s="1"/>
  <c r="AF990" i="1" s="1"/>
  <c r="AF991" i="1" s="1"/>
  <c r="AF992" i="1" s="1"/>
  <c r="AF993" i="1" s="1"/>
  <c r="AF994" i="1" s="1"/>
  <c r="AF995" i="1" s="1"/>
  <c r="AF996" i="1" s="1"/>
  <c r="AF997" i="1" s="1"/>
  <c r="AF998" i="1" s="1"/>
  <c r="AF999" i="1" s="1"/>
  <c r="AF1000" i="1" s="1"/>
  <c r="AF1001" i="1" s="1"/>
  <c r="AF1002" i="1" s="1"/>
  <c r="AF1003" i="1" s="1"/>
  <c r="AF1004" i="1" s="1"/>
  <c r="AF1005" i="1" s="1"/>
  <c r="AF1006" i="1" s="1"/>
  <c r="AF1007" i="1" s="1"/>
  <c r="AF1008" i="1" s="1"/>
  <c r="AF1009" i="1" s="1"/>
  <c r="AF979" i="1"/>
  <c r="AF980" i="1" s="1"/>
  <c r="AF981" i="1" s="1"/>
  <c r="AF982" i="1" s="1"/>
  <c r="AF978" i="1"/>
  <c r="AF949" i="1"/>
  <c r="AF950" i="1" s="1"/>
  <c r="AF951" i="1" s="1"/>
  <c r="AF952" i="1" s="1"/>
  <c r="AF953" i="1" s="1"/>
  <c r="AF954" i="1" s="1"/>
  <c r="AF955" i="1" s="1"/>
  <c r="AF956" i="1" s="1"/>
  <c r="AF957" i="1" s="1"/>
  <c r="AF958" i="1" s="1"/>
  <c r="AF959" i="1" s="1"/>
  <c r="AF960" i="1" s="1"/>
  <c r="AF961" i="1" s="1"/>
  <c r="AF962" i="1" s="1"/>
  <c r="AF963" i="1" s="1"/>
  <c r="AF964" i="1" s="1"/>
  <c r="AF965" i="1" s="1"/>
  <c r="AF966" i="1" s="1"/>
  <c r="AF967" i="1" s="1"/>
  <c r="AF968" i="1" s="1"/>
  <c r="AF969" i="1" s="1"/>
  <c r="AF970" i="1" s="1"/>
  <c r="AF971" i="1" s="1"/>
  <c r="AF972" i="1" s="1"/>
  <c r="AF973" i="1" s="1"/>
  <c r="AF974" i="1" s="1"/>
  <c r="AF975" i="1" s="1"/>
  <c r="AF976" i="1" s="1"/>
  <c r="AF977" i="1" s="1"/>
  <c r="AF948" i="1"/>
  <c r="AF859" i="1"/>
  <c r="AF860" i="1" s="1"/>
  <c r="AF861" i="1" s="1"/>
  <c r="AF862" i="1" s="1"/>
  <c r="AF863" i="1" s="1"/>
  <c r="AF864" i="1" s="1"/>
  <c r="AF865" i="1" s="1"/>
  <c r="AF866" i="1" s="1"/>
  <c r="AF867" i="1" s="1"/>
  <c r="AF868" i="1" s="1"/>
  <c r="AF869" i="1" s="1"/>
  <c r="AF870" i="1" s="1"/>
  <c r="AF871" i="1" s="1"/>
  <c r="AF872" i="1" s="1"/>
  <c r="AF873" i="1" s="1"/>
  <c r="AF874" i="1" s="1"/>
  <c r="AF875" i="1" s="1"/>
  <c r="AF876" i="1" s="1"/>
  <c r="AF877" i="1" s="1"/>
  <c r="AF878" i="1" s="1"/>
  <c r="AF879" i="1" s="1"/>
  <c r="AF880" i="1" s="1"/>
  <c r="AF881" i="1" s="1"/>
  <c r="AF882" i="1" s="1"/>
  <c r="AF883" i="1" s="1"/>
  <c r="AF884" i="1" s="1"/>
  <c r="AF885" i="1" s="1"/>
  <c r="AF886" i="1" s="1"/>
  <c r="AF887" i="1" s="1"/>
  <c r="AF888" i="1" s="1"/>
  <c r="AF889" i="1" s="1"/>
  <c r="AF890" i="1" s="1"/>
  <c r="AF891" i="1" s="1"/>
  <c r="AF892" i="1" s="1"/>
  <c r="AF893" i="1" s="1"/>
  <c r="AF894" i="1" s="1"/>
  <c r="AF895" i="1" s="1"/>
  <c r="AF896" i="1" s="1"/>
  <c r="AF897" i="1" s="1"/>
  <c r="AF898" i="1" s="1"/>
  <c r="AF899" i="1" s="1"/>
  <c r="AF900" i="1" s="1"/>
  <c r="AF901" i="1" s="1"/>
  <c r="AF902" i="1" s="1"/>
  <c r="AF903" i="1" s="1"/>
  <c r="AF904" i="1" s="1"/>
  <c r="AF905" i="1" s="1"/>
  <c r="AF906" i="1" s="1"/>
  <c r="AF907" i="1" s="1"/>
  <c r="AF908" i="1" s="1"/>
  <c r="AF909" i="1" s="1"/>
  <c r="AF910" i="1" s="1"/>
  <c r="AF911" i="1" s="1"/>
  <c r="AF912" i="1" s="1"/>
  <c r="AF913" i="1" s="1"/>
  <c r="AF914" i="1" s="1"/>
  <c r="AF915" i="1" s="1"/>
  <c r="AF916" i="1" s="1"/>
  <c r="AF917" i="1" s="1"/>
  <c r="AF918" i="1" s="1"/>
  <c r="AF919" i="1" s="1"/>
  <c r="AF920" i="1" s="1"/>
  <c r="AF921" i="1" s="1"/>
  <c r="AF922" i="1" s="1"/>
  <c r="AF923" i="1" s="1"/>
  <c r="AF924" i="1" s="1"/>
  <c r="AF925" i="1" s="1"/>
  <c r="AF926" i="1" s="1"/>
  <c r="AF927" i="1" s="1"/>
  <c r="AF928" i="1" s="1"/>
  <c r="AF929" i="1" s="1"/>
  <c r="AF930" i="1" s="1"/>
  <c r="AF931" i="1" s="1"/>
  <c r="AF932" i="1" s="1"/>
  <c r="AF933" i="1" s="1"/>
  <c r="AF934" i="1" s="1"/>
  <c r="AF935" i="1" s="1"/>
  <c r="AF936" i="1" s="1"/>
  <c r="AF937" i="1" s="1"/>
  <c r="AF938" i="1" s="1"/>
  <c r="AF939" i="1" s="1"/>
  <c r="AF940" i="1" s="1"/>
  <c r="AF941" i="1" s="1"/>
  <c r="AF942" i="1" s="1"/>
  <c r="AF943" i="1" s="1"/>
  <c r="AF944" i="1" s="1"/>
  <c r="AF945" i="1" s="1"/>
  <c r="AF946" i="1" s="1"/>
  <c r="AF947" i="1" s="1"/>
  <c r="AF827" i="1"/>
  <c r="AF828" i="1" s="1"/>
  <c r="AF829" i="1" s="1"/>
  <c r="AF830" i="1" s="1"/>
  <c r="AF831" i="1" s="1"/>
  <c r="AF832" i="1" s="1"/>
  <c r="AF833" i="1" s="1"/>
  <c r="AF834" i="1" s="1"/>
  <c r="AF835" i="1" s="1"/>
  <c r="AF836" i="1" s="1"/>
  <c r="AF837" i="1" s="1"/>
  <c r="AF838" i="1" s="1"/>
  <c r="AF839" i="1" s="1"/>
  <c r="AF840" i="1" s="1"/>
  <c r="AF841" i="1" s="1"/>
  <c r="AF842" i="1" s="1"/>
  <c r="AF843" i="1" s="1"/>
  <c r="AF844" i="1" s="1"/>
  <c r="AF845" i="1" s="1"/>
  <c r="AF846" i="1" s="1"/>
  <c r="AF847" i="1" s="1"/>
  <c r="AF848" i="1" s="1"/>
  <c r="AF849" i="1" s="1"/>
  <c r="AF850" i="1" s="1"/>
  <c r="AF851" i="1" s="1"/>
  <c r="AF852" i="1" s="1"/>
  <c r="AF853" i="1" s="1"/>
  <c r="AF854" i="1" s="1"/>
  <c r="AF855" i="1" s="1"/>
  <c r="AF856" i="1" s="1"/>
  <c r="AF857" i="1" s="1"/>
  <c r="AF858" i="1" s="1"/>
  <c r="AF826" i="1"/>
  <c r="AF807" i="1"/>
  <c r="AF808" i="1" s="1"/>
  <c r="AF809" i="1" s="1"/>
  <c r="AF810" i="1" s="1"/>
  <c r="AF811" i="1" s="1"/>
  <c r="AF812" i="1" s="1"/>
  <c r="AF813" i="1" s="1"/>
  <c r="AF814" i="1" s="1"/>
  <c r="AF815" i="1" s="1"/>
  <c r="AF816" i="1" s="1"/>
  <c r="AF817" i="1" s="1"/>
  <c r="AF818" i="1" s="1"/>
  <c r="AF819" i="1" s="1"/>
  <c r="AF820" i="1" s="1"/>
  <c r="AF821" i="1" s="1"/>
  <c r="AF822" i="1" s="1"/>
  <c r="AF823" i="1" s="1"/>
  <c r="AF824" i="1" s="1"/>
  <c r="AF825" i="1" s="1"/>
  <c r="AF803" i="1"/>
  <c r="AF804" i="1" s="1"/>
  <c r="AF805" i="1" s="1"/>
  <c r="AF806" i="1" s="1"/>
  <c r="AF802" i="1"/>
  <c r="AF751" i="1"/>
  <c r="AF752" i="1" s="1"/>
  <c r="AF753" i="1" s="1"/>
  <c r="AF754" i="1" s="1"/>
  <c r="AF755" i="1" s="1"/>
  <c r="AF756" i="1" s="1"/>
  <c r="AF757" i="1" s="1"/>
  <c r="AF758" i="1" s="1"/>
  <c r="AF759" i="1" s="1"/>
  <c r="AF760" i="1" s="1"/>
  <c r="AF761" i="1" s="1"/>
  <c r="AF762" i="1" s="1"/>
  <c r="AF763" i="1" s="1"/>
  <c r="AF764" i="1" s="1"/>
  <c r="AF765" i="1" s="1"/>
  <c r="AF766" i="1" s="1"/>
  <c r="AF767" i="1" s="1"/>
  <c r="AF768" i="1" s="1"/>
  <c r="AF769" i="1" s="1"/>
  <c r="AF770" i="1" s="1"/>
  <c r="AF771" i="1" s="1"/>
  <c r="AF772" i="1" s="1"/>
  <c r="AF773" i="1" s="1"/>
  <c r="AF774" i="1" s="1"/>
  <c r="AF775" i="1" s="1"/>
  <c r="AF776" i="1" s="1"/>
  <c r="AF777" i="1" s="1"/>
  <c r="AF778" i="1" s="1"/>
  <c r="AF779" i="1" s="1"/>
  <c r="AF780" i="1" s="1"/>
  <c r="AF781" i="1" s="1"/>
  <c r="AF782" i="1" s="1"/>
  <c r="AF783" i="1" s="1"/>
  <c r="AF784" i="1" s="1"/>
  <c r="AF785" i="1" s="1"/>
  <c r="AF786" i="1" s="1"/>
  <c r="AF787" i="1" s="1"/>
  <c r="AF788" i="1" s="1"/>
  <c r="AF789" i="1" s="1"/>
  <c r="AF790" i="1" s="1"/>
  <c r="AF791" i="1" s="1"/>
  <c r="AF792" i="1" s="1"/>
  <c r="AF793" i="1" s="1"/>
  <c r="AF794" i="1" s="1"/>
  <c r="AF795" i="1" s="1"/>
  <c r="AF796" i="1" s="1"/>
  <c r="AF797" i="1" s="1"/>
  <c r="AF798" i="1" s="1"/>
  <c r="AF799" i="1" s="1"/>
  <c r="AF800" i="1" s="1"/>
  <c r="AF801" i="1" s="1"/>
  <c r="AF750" i="1"/>
  <c r="AF719" i="1"/>
  <c r="AF720" i="1" s="1"/>
  <c r="AF721" i="1" s="1"/>
  <c r="AF722" i="1" s="1"/>
  <c r="AF723" i="1" s="1"/>
  <c r="AF724" i="1" s="1"/>
  <c r="AF725" i="1" s="1"/>
  <c r="AF726" i="1" s="1"/>
  <c r="AF727" i="1" s="1"/>
  <c r="AF728" i="1" s="1"/>
  <c r="AF729" i="1" s="1"/>
  <c r="AF730" i="1" s="1"/>
  <c r="AF731" i="1" s="1"/>
  <c r="AF732" i="1" s="1"/>
  <c r="AF733" i="1" s="1"/>
  <c r="AF734" i="1" s="1"/>
  <c r="AF735" i="1" s="1"/>
  <c r="AF736" i="1" s="1"/>
  <c r="AF737" i="1" s="1"/>
  <c r="AF738" i="1" s="1"/>
  <c r="AF739" i="1" s="1"/>
  <c r="AF740" i="1" s="1"/>
  <c r="AF741" i="1" s="1"/>
  <c r="AF742" i="1" s="1"/>
  <c r="AF743" i="1" s="1"/>
  <c r="AF744" i="1" s="1"/>
  <c r="AF745" i="1" s="1"/>
  <c r="AF746" i="1" s="1"/>
  <c r="AF747" i="1" s="1"/>
  <c r="AF748" i="1" s="1"/>
  <c r="AF749" i="1" s="1"/>
  <c r="AF715" i="1"/>
  <c r="AF716" i="1" s="1"/>
  <c r="AF717" i="1" s="1"/>
  <c r="AF718" i="1" s="1"/>
  <c r="AF673" i="1"/>
  <c r="AF674" i="1" s="1"/>
  <c r="AF675" i="1" s="1"/>
  <c r="AF676" i="1" s="1"/>
  <c r="AF677" i="1" s="1"/>
  <c r="AF678" i="1" s="1"/>
  <c r="AF679" i="1" s="1"/>
  <c r="AF680" i="1" s="1"/>
  <c r="AF681" i="1" s="1"/>
  <c r="AF682" i="1" s="1"/>
  <c r="AF683" i="1" s="1"/>
  <c r="AF684" i="1" s="1"/>
  <c r="AF685" i="1" s="1"/>
  <c r="AF686" i="1" s="1"/>
  <c r="AF687" i="1" s="1"/>
  <c r="AF688" i="1" s="1"/>
  <c r="AF689" i="1" s="1"/>
  <c r="AF690" i="1" s="1"/>
  <c r="AF691" i="1" s="1"/>
  <c r="AF692" i="1" s="1"/>
  <c r="AF693" i="1" s="1"/>
  <c r="AF694" i="1" s="1"/>
  <c r="AF695" i="1" s="1"/>
  <c r="AF696" i="1" s="1"/>
  <c r="AF697" i="1" s="1"/>
  <c r="AF698" i="1" s="1"/>
  <c r="AF699" i="1" s="1"/>
  <c r="AF700" i="1" s="1"/>
  <c r="AF701" i="1" s="1"/>
  <c r="AF702" i="1" s="1"/>
  <c r="AF703" i="1" s="1"/>
  <c r="AF704" i="1" s="1"/>
  <c r="AF705" i="1" s="1"/>
  <c r="AF706" i="1" s="1"/>
  <c r="AF707" i="1" s="1"/>
  <c r="AF708" i="1" s="1"/>
  <c r="AF709" i="1" s="1"/>
  <c r="AF710" i="1" s="1"/>
  <c r="AF711" i="1" s="1"/>
  <c r="AF712" i="1" s="1"/>
  <c r="AF713" i="1" s="1"/>
  <c r="AF714" i="1" s="1"/>
  <c r="AF669" i="1"/>
  <c r="AF670" i="1" s="1"/>
  <c r="AF671" i="1" s="1"/>
  <c r="AF672" i="1" s="1"/>
  <c r="AF619" i="1"/>
  <c r="AF620" i="1" s="1"/>
  <c r="AF621" i="1" s="1"/>
  <c r="AF622" i="1" s="1"/>
  <c r="AF623" i="1" s="1"/>
  <c r="AF624" i="1" s="1"/>
  <c r="AF625" i="1" s="1"/>
  <c r="AF626" i="1" s="1"/>
  <c r="AF627" i="1" s="1"/>
  <c r="AF628" i="1" s="1"/>
  <c r="AF629" i="1" s="1"/>
  <c r="AF630" i="1" s="1"/>
  <c r="AF631" i="1" s="1"/>
  <c r="AF632" i="1" s="1"/>
  <c r="AF633" i="1" s="1"/>
  <c r="AF634" i="1" s="1"/>
  <c r="AF635" i="1" s="1"/>
  <c r="AF636" i="1" s="1"/>
  <c r="AF637" i="1" s="1"/>
  <c r="AF638" i="1" s="1"/>
  <c r="AF639" i="1" s="1"/>
  <c r="AF640" i="1" s="1"/>
  <c r="AF641" i="1" s="1"/>
  <c r="AF642" i="1" s="1"/>
  <c r="AF643" i="1" s="1"/>
  <c r="AF644" i="1" s="1"/>
  <c r="AF645" i="1" s="1"/>
  <c r="AF646" i="1" s="1"/>
  <c r="AF647" i="1" s="1"/>
  <c r="AF648" i="1" s="1"/>
  <c r="AF649" i="1" s="1"/>
  <c r="AF650" i="1" s="1"/>
  <c r="AF651" i="1" s="1"/>
  <c r="AF652" i="1" s="1"/>
  <c r="AF653" i="1" s="1"/>
  <c r="AF654" i="1" s="1"/>
  <c r="AF655" i="1" s="1"/>
  <c r="AF656" i="1" s="1"/>
  <c r="AF657" i="1" s="1"/>
  <c r="AF658" i="1" s="1"/>
  <c r="AF659" i="1" s="1"/>
  <c r="AF660" i="1" s="1"/>
  <c r="AF661" i="1" s="1"/>
  <c r="AF662" i="1" s="1"/>
  <c r="AF663" i="1" s="1"/>
  <c r="AF664" i="1" s="1"/>
  <c r="AF665" i="1" s="1"/>
  <c r="AF666" i="1" s="1"/>
  <c r="AF667" i="1" s="1"/>
  <c r="AF668" i="1" s="1"/>
  <c r="AF618" i="1"/>
  <c r="AF545" i="1"/>
  <c r="AF546" i="1" s="1"/>
  <c r="AF547" i="1" s="1"/>
  <c r="AF548" i="1" s="1"/>
  <c r="AF549" i="1" s="1"/>
  <c r="AF550" i="1" s="1"/>
  <c r="AF551" i="1" s="1"/>
  <c r="AF552" i="1" s="1"/>
  <c r="AF553" i="1" s="1"/>
  <c r="AF554" i="1" s="1"/>
  <c r="AF555" i="1" s="1"/>
  <c r="AF556" i="1" s="1"/>
  <c r="AF557" i="1" s="1"/>
  <c r="AF558" i="1" s="1"/>
  <c r="AF559" i="1" s="1"/>
  <c r="AF560" i="1" s="1"/>
  <c r="AF561" i="1" s="1"/>
  <c r="AF562" i="1" s="1"/>
  <c r="AF563" i="1" s="1"/>
  <c r="AF564" i="1" s="1"/>
  <c r="AF565" i="1" s="1"/>
  <c r="AF566" i="1" s="1"/>
  <c r="AF567" i="1" s="1"/>
  <c r="AF568" i="1" s="1"/>
  <c r="AF569" i="1" s="1"/>
  <c r="AF570" i="1" s="1"/>
  <c r="AF571" i="1" s="1"/>
  <c r="AF572" i="1" s="1"/>
  <c r="AF573" i="1" s="1"/>
  <c r="AF574" i="1" s="1"/>
  <c r="AF575" i="1" s="1"/>
  <c r="AF576" i="1" s="1"/>
  <c r="AF577" i="1" s="1"/>
  <c r="AF578" i="1" s="1"/>
  <c r="AF579" i="1" s="1"/>
  <c r="AF580" i="1" s="1"/>
  <c r="AF581" i="1" s="1"/>
  <c r="AF582" i="1" s="1"/>
  <c r="AF583" i="1" s="1"/>
  <c r="AF584" i="1" s="1"/>
  <c r="AF585" i="1" s="1"/>
  <c r="AF586" i="1" s="1"/>
  <c r="AF587" i="1" s="1"/>
  <c r="AF588" i="1" s="1"/>
  <c r="AF589" i="1" s="1"/>
  <c r="AF590" i="1" s="1"/>
  <c r="AF591" i="1" s="1"/>
  <c r="AF592" i="1" s="1"/>
  <c r="AF593" i="1" s="1"/>
  <c r="AF594" i="1" s="1"/>
  <c r="AF595" i="1" s="1"/>
  <c r="AF596" i="1" s="1"/>
  <c r="AF597" i="1" s="1"/>
  <c r="AF598" i="1" s="1"/>
  <c r="AF599" i="1" s="1"/>
  <c r="AF600" i="1" s="1"/>
  <c r="AF601" i="1" s="1"/>
  <c r="AF602" i="1" s="1"/>
  <c r="AF603" i="1" s="1"/>
  <c r="AF604" i="1" s="1"/>
  <c r="AF605" i="1" s="1"/>
  <c r="AF606" i="1" s="1"/>
  <c r="AF607" i="1" s="1"/>
  <c r="AF608" i="1" s="1"/>
  <c r="AF609" i="1" s="1"/>
  <c r="AF610" i="1" s="1"/>
  <c r="AF611" i="1" s="1"/>
  <c r="AF612" i="1" s="1"/>
  <c r="AF613" i="1" s="1"/>
  <c r="AF614" i="1" s="1"/>
  <c r="AF615" i="1" s="1"/>
  <c r="AF616" i="1" s="1"/>
  <c r="AF617" i="1" s="1"/>
  <c r="AF544" i="1"/>
  <c r="AF507" i="1"/>
  <c r="AF508" i="1" s="1"/>
  <c r="AF509" i="1" s="1"/>
  <c r="AF510" i="1" s="1"/>
  <c r="AF511" i="1" s="1"/>
  <c r="AF512" i="1" s="1"/>
  <c r="AF513" i="1" s="1"/>
  <c r="AF514" i="1" s="1"/>
  <c r="AF515" i="1" s="1"/>
  <c r="AF516" i="1" s="1"/>
  <c r="AF517" i="1" s="1"/>
  <c r="AF518" i="1" s="1"/>
  <c r="AF519" i="1" s="1"/>
  <c r="AF520" i="1" s="1"/>
  <c r="AF521" i="1" s="1"/>
  <c r="AF522" i="1" s="1"/>
  <c r="AF523" i="1" s="1"/>
  <c r="AF524" i="1" s="1"/>
  <c r="AF525" i="1" s="1"/>
  <c r="AF526" i="1" s="1"/>
  <c r="AF527" i="1" s="1"/>
  <c r="AF528" i="1" s="1"/>
  <c r="AF529" i="1" s="1"/>
  <c r="AF530" i="1" s="1"/>
  <c r="AF531" i="1" s="1"/>
  <c r="AF532" i="1" s="1"/>
  <c r="AF533" i="1" s="1"/>
  <c r="AF534" i="1" s="1"/>
  <c r="AF535" i="1" s="1"/>
  <c r="AF536" i="1" s="1"/>
  <c r="AF537" i="1" s="1"/>
  <c r="AF538" i="1" s="1"/>
  <c r="AF539" i="1" s="1"/>
  <c r="AF540" i="1" s="1"/>
  <c r="AF541" i="1" s="1"/>
  <c r="AF542" i="1" s="1"/>
  <c r="AF543" i="1" s="1"/>
  <c r="AF461" i="1"/>
  <c r="AF462" i="1" s="1"/>
  <c r="AF463" i="1" s="1"/>
  <c r="AF464" i="1" s="1"/>
  <c r="AF465" i="1" s="1"/>
  <c r="AF466" i="1" s="1"/>
  <c r="AF467" i="1" s="1"/>
  <c r="AF468" i="1" s="1"/>
  <c r="AF469" i="1" s="1"/>
  <c r="AF470" i="1" s="1"/>
  <c r="AF471" i="1" s="1"/>
  <c r="AF472" i="1" s="1"/>
  <c r="AF473" i="1" s="1"/>
  <c r="AF474" i="1" s="1"/>
  <c r="AF475" i="1" s="1"/>
  <c r="AF476" i="1" s="1"/>
  <c r="AF477" i="1" s="1"/>
  <c r="AF478" i="1" s="1"/>
  <c r="AF479" i="1" s="1"/>
  <c r="AF480" i="1" s="1"/>
  <c r="AF481" i="1" s="1"/>
  <c r="AF482" i="1" s="1"/>
  <c r="AF483" i="1" s="1"/>
  <c r="AF484" i="1" s="1"/>
  <c r="AF485" i="1" s="1"/>
  <c r="AF486" i="1" s="1"/>
  <c r="AF487" i="1" s="1"/>
  <c r="AF488" i="1" s="1"/>
  <c r="AF489" i="1" s="1"/>
  <c r="AF490" i="1" s="1"/>
  <c r="AF491" i="1" s="1"/>
  <c r="AF492" i="1" s="1"/>
  <c r="AF493" i="1" s="1"/>
  <c r="AF494" i="1" s="1"/>
  <c r="AF495" i="1" s="1"/>
  <c r="AF496" i="1" s="1"/>
  <c r="AF497" i="1" s="1"/>
  <c r="AF498" i="1" s="1"/>
  <c r="AF499" i="1" s="1"/>
  <c r="AF500" i="1" s="1"/>
  <c r="AF501" i="1" s="1"/>
  <c r="AF502" i="1" s="1"/>
  <c r="AF503" i="1" s="1"/>
  <c r="AF504" i="1" s="1"/>
  <c r="AF505" i="1" s="1"/>
  <c r="AF506" i="1" s="1"/>
  <c r="AF460" i="1"/>
  <c r="AF443" i="1"/>
  <c r="AF444" i="1" s="1"/>
  <c r="AF445" i="1" s="1"/>
  <c r="AF446" i="1" s="1"/>
  <c r="AF447" i="1" s="1"/>
  <c r="AF448" i="1" s="1"/>
  <c r="AF449" i="1" s="1"/>
  <c r="AF450" i="1" s="1"/>
  <c r="AF451" i="1" s="1"/>
  <c r="AF452" i="1" s="1"/>
  <c r="AF453" i="1" s="1"/>
  <c r="AF454" i="1" s="1"/>
  <c r="AF455" i="1" s="1"/>
  <c r="AF456" i="1" s="1"/>
  <c r="AF457" i="1" s="1"/>
  <c r="AF458" i="1" s="1"/>
  <c r="AF459" i="1" s="1"/>
  <c r="AF441" i="1"/>
  <c r="AF442" i="1" s="1"/>
  <c r="AF440" i="1"/>
  <c r="AF419" i="1"/>
  <c r="AF420" i="1" s="1"/>
  <c r="AF421" i="1" s="1"/>
  <c r="AF422" i="1" s="1"/>
  <c r="AF423" i="1" s="1"/>
  <c r="AF424" i="1" s="1"/>
  <c r="AF425" i="1" s="1"/>
  <c r="AF426" i="1" s="1"/>
  <c r="AF427" i="1" s="1"/>
  <c r="AF428" i="1" s="1"/>
  <c r="AF429" i="1" s="1"/>
  <c r="AF430" i="1" s="1"/>
  <c r="AF431" i="1" s="1"/>
  <c r="AF432" i="1" s="1"/>
  <c r="AF433" i="1" s="1"/>
  <c r="AF434" i="1" s="1"/>
  <c r="AF435" i="1" s="1"/>
  <c r="AF436" i="1" s="1"/>
  <c r="AF437" i="1" s="1"/>
  <c r="AF438" i="1" s="1"/>
  <c r="AF439" i="1" s="1"/>
  <c r="AF417" i="1"/>
  <c r="AF418" i="1" s="1"/>
  <c r="AF365" i="1"/>
  <c r="AF366" i="1" s="1"/>
  <c r="AF367" i="1" s="1"/>
  <c r="AF368" i="1" s="1"/>
  <c r="AF369" i="1" s="1"/>
  <c r="AF370" i="1" s="1"/>
  <c r="AF371" i="1" s="1"/>
  <c r="AF372" i="1" s="1"/>
  <c r="AF373" i="1" s="1"/>
  <c r="AF374" i="1" s="1"/>
  <c r="AF375" i="1" s="1"/>
  <c r="AF376" i="1" s="1"/>
  <c r="AF377" i="1" s="1"/>
  <c r="AF378" i="1" s="1"/>
  <c r="AF379" i="1" s="1"/>
  <c r="AF380" i="1" s="1"/>
  <c r="AF381" i="1" s="1"/>
  <c r="AF382" i="1" s="1"/>
  <c r="AF383" i="1" s="1"/>
  <c r="AF384" i="1" s="1"/>
  <c r="AF385" i="1" s="1"/>
  <c r="AF386" i="1" s="1"/>
  <c r="AF387" i="1" s="1"/>
  <c r="AF388" i="1" s="1"/>
  <c r="AF389" i="1" s="1"/>
  <c r="AF390" i="1" s="1"/>
  <c r="AF391" i="1" s="1"/>
  <c r="AF392" i="1" s="1"/>
  <c r="AF393" i="1" s="1"/>
  <c r="AF394" i="1" s="1"/>
  <c r="AF395" i="1" s="1"/>
  <c r="AF396" i="1" s="1"/>
  <c r="AF397" i="1" s="1"/>
  <c r="AF398" i="1" s="1"/>
  <c r="AF399" i="1" s="1"/>
  <c r="AF400" i="1" s="1"/>
  <c r="AF401" i="1" s="1"/>
  <c r="AF402" i="1" s="1"/>
  <c r="AF403" i="1" s="1"/>
  <c r="AF404" i="1" s="1"/>
  <c r="AF405" i="1" s="1"/>
  <c r="AF406" i="1" s="1"/>
  <c r="AF407" i="1" s="1"/>
  <c r="AF408" i="1" s="1"/>
  <c r="AF409" i="1" s="1"/>
  <c r="AF410" i="1" s="1"/>
  <c r="AF411" i="1" s="1"/>
  <c r="AF412" i="1" s="1"/>
  <c r="AF413" i="1" s="1"/>
  <c r="AF414" i="1" s="1"/>
  <c r="AF415" i="1" s="1"/>
  <c r="AF416" i="1" s="1"/>
  <c r="AF347" i="1"/>
  <c r="AF348" i="1" s="1"/>
  <c r="AF349" i="1" s="1"/>
  <c r="AF350" i="1" s="1"/>
  <c r="AF351" i="1" s="1"/>
  <c r="AF352" i="1" s="1"/>
  <c r="AF353" i="1" s="1"/>
  <c r="AF354" i="1" s="1"/>
  <c r="AF355" i="1" s="1"/>
  <c r="AF356" i="1" s="1"/>
  <c r="AF357" i="1" s="1"/>
  <c r="AF358" i="1" s="1"/>
  <c r="AF359" i="1" s="1"/>
  <c r="AF360" i="1" s="1"/>
  <c r="AF361" i="1" s="1"/>
  <c r="AF362" i="1" s="1"/>
  <c r="AF363" i="1" s="1"/>
  <c r="AF364" i="1" s="1"/>
  <c r="AF343" i="1"/>
  <c r="AF344" i="1" s="1"/>
  <c r="AF345" i="1" s="1"/>
  <c r="AF346" i="1" s="1"/>
  <c r="AF342" i="1"/>
  <c r="AF321" i="1"/>
  <c r="AF322" i="1" s="1"/>
  <c r="AF323" i="1" s="1"/>
  <c r="AF324" i="1" s="1"/>
  <c r="AF325" i="1" s="1"/>
  <c r="AF326" i="1" s="1"/>
  <c r="AF327" i="1" s="1"/>
  <c r="AF328" i="1" s="1"/>
  <c r="AF329" i="1" s="1"/>
  <c r="AF330" i="1" s="1"/>
  <c r="AF331" i="1" s="1"/>
  <c r="AF332" i="1" s="1"/>
  <c r="AF333" i="1" s="1"/>
  <c r="AF334" i="1" s="1"/>
  <c r="AF335" i="1" s="1"/>
  <c r="AF336" i="1" s="1"/>
  <c r="AF337" i="1" s="1"/>
  <c r="AF338" i="1" s="1"/>
  <c r="AF339" i="1" s="1"/>
  <c r="AF340" i="1" s="1"/>
  <c r="AF341" i="1" s="1"/>
  <c r="AF289" i="1"/>
  <c r="AF290" i="1" s="1"/>
  <c r="AF291" i="1" s="1"/>
  <c r="AF292" i="1" s="1"/>
  <c r="AF293" i="1" s="1"/>
  <c r="AF294" i="1" s="1"/>
  <c r="AF295" i="1" s="1"/>
  <c r="AF296" i="1" s="1"/>
  <c r="AF297" i="1" s="1"/>
  <c r="AF298" i="1" s="1"/>
  <c r="AF299" i="1" s="1"/>
  <c r="AF300" i="1" s="1"/>
  <c r="AF301" i="1" s="1"/>
  <c r="AF302" i="1" s="1"/>
  <c r="AF303" i="1" s="1"/>
  <c r="AF304" i="1" s="1"/>
  <c r="AF305" i="1" s="1"/>
  <c r="AF306" i="1" s="1"/>
  <c r="AF307" i="1" s="1"/>
  <c r="AF308" i="1" s="1"/>
  <c r="AF309" i="1" s="1"/>
  <c r="AF310" i="1" s="1"/>
  <c r="AF311" i="1" s="1"/>
  <c r="AF312" i="1" s="1"/>
  <c r="AF313" i="1" s="1"/>
  <c r="AF314" i="1" s="1"/>
  <c r="AF315" i="1" s="1"/>
  <c r="AF316" i="1" s="1"/>
  <c r="AF317" i="1" s="1"/>
  <c r="AF318" i="1" s="1"/>
  <c r="AF319" i="1" s="1"/>
  <c r="AF320" i="1" s="1"/>
  <c r="AF288" i="1"/>
  <c r="AF217" i="1"/>
  <c r="AF218" i="1" s="1"/>
  <c r="AF219" i="1" s="1"/>
  <c r="AF220" i="1" s="1"/>
  <c r="AF221" i="1" s="1"/>
  <c r="AF222" i="1" s="1"/>
  <c r="AF223" i="1" s="1"/>
  <c r="AF224" i="1" s="1"/>
  <c r="AF225" i="1" s="1"/>
  <c r="AF226" i="1" s="1"/>
  <c r="AF227" i="1" s="1"/>
  <c r="AF228" i="1" s="1"/>
  <c r="AF229" i="1" s="1"/>
  <c r="AF230" i="1" s="1"/>
  <c r="AF231" i="1" s="1"/>
  <c r="AF232" i="1" s="1"/>
  <c r="AF233" i="1" s="1"/>
  <c r="AF234" i="1" s="1"/>
  <c r="AF235" i="1" s="1"/>
  <c r="AF236" i="1" s="1"/>
  <c r="AF237" i="1" s="1"/>
  <c r="AF238" i="1" s="1"/>
  <c r="AF239" i="1" s="1"/>
  <c r="AF240" i="1" s="1"/>
  <c r="AF241" i="1" s="1"/>
  <c r="AF242" i="1" s="1"/>
  <c r="AF243" i="1" s="1"/>
  <c r="AF244" i="1" s="1"/>
  <c r="AF245" i="1" s="1"/>
  <c r="AF246" i="1" s="1"/>
  <c r="AF247" i="1" s="1"/>
  <c r="AF248" i="1" s="1"/>
  <c r="AF249" i="1" s="1"/>
  <c r="AF250" i="1" s="1"/>
  <c r="AF251" i="1" s="1"/>
  <c r="AF252" i="1" s="1"/>
  <c r="AF253" i="1" s="1"/>
  <c r="AF254" i="1" s="1"/>
  <c r="AF255" i="1" s="1"/>
  <c r="AF256" i="1" s="1"/>
  <c r="AF257" i="1" s="1"/>
  <c r="AF258" i="1" s="1"/>
  <c r="AF259" i="1" s="1"/>
  <c r="AF260" i="1" s="1"/>
  <c r="AF261" i="1" s="1"/>
  <c r="AF262" i="1" s="1"/>
  <c r="AF263" i="1" s="1"/>
  <c r="AF264" i="1" s="1"/>
  <c r="AF265" i="1" s="1"/>
  <c r="AF266" i="1" s="1"/>
  <c r="AF267" i="1" s="1"/>
  <c r="AF268" i="1" s="1"/>
  <c r="AF269" i="1" s="1"/>
  <c r="AF270" i="1" s="1"/>
  <c r="AF271" i="1" s="1"/>
  <c r="AF272" i="1" s="1"/>
  <c r="AF273" i="1" s="1"/>
  <c r="AF274" i="1" s="1"/>
  <c r="AF275" i="1" s="1"/>
  <c r="AF276" i="1" s="1"/>
  <c r="AF277" i="1" s="1"/>
  <c r="AF278" i="1" s="1"/>
  <c r="AF279" i="1" s="1"/>
  <c r="AF280" i="1" s="1"/>
  <c r="AF281" i="1" s="1"/>
  <c r="AF282" i="1" s="1"/>
  <c r="AF283" i="1" s="1"/>
  <c r="AF284" i="1" s="1"/>
  <c r="AF285" i="1" s="1"/>
  <c r="AF286" i="1" s="1"/>
  <c r="AF287" i="1" s="1"/>
  <c r="AF165" i="1"/>
  <c r="AF166" i="1" s="1"/>
  <c r="AF167" i="1" s="1"/>
  <c r="AF168" i="1" s="1"/>
  <c r="AF169" i="1" s="1"/>
  <c r="AF170" i="1" s="1"/>
  <c r="AF171" i="1" s="1"/>
  <c r="AF172" i="1" s="1"/>
  <c r="AF173" i="1" s="1"/>
  <c r="AF174" i="1" s="1"/>
  <c r="AF175" i="1" s="1"/>
  <c r="AF176" i="1" s="1"/>
  <c r="AF177" i="1" s="1"/>
  <c r="AF178" i="1" s="1"/>
  <c r="AF179" i="1" s="1"/>
  <c r="AF180" i="1" s="1"/>
  <c r="AF181" i="1" s="1"/>
  <c r="AF182" i="1" s="1"/>
  <c r="AF183" i="1" s="1"/>
  <c r="AF184" i="1" s="1"/>
  <c r="AF185" i="1" s="1"/>
  <c r="AF186" i="1" s="1"/>
  <c r="AF187" i="1" s="1"/>
  <c r="AF188" i="1" s="1"/>
  <c r="AF189" i="1" s="1"/>
  <c r="AF190" i="1" s="1"/>
  <c r="AF191" i="1" s="1"/>
  <c r="AF192" i="1" s="1"/>
  <c r="AF193" i="1" s="1"/>
  <c r="AF194" i="1" s="1"/>
  <c r="AF195" i="1" s="1"/>
  <c r="AF196" i="1" s="1"/>
  <c r="AF197" i="1" s="1"/>
  <c r="AF198" i="1" s="1"/>
  <c r="AF199" i="1" s="1"/>
  <c r="AF200" i="1" s="1"/>
  <c r="AF201" i="1" s="1"/>
  <c r="AF202" i="1" s="1"/>
  <c r="AF203" i="1" s="1"/>
  <c r="AF204" i="1" s="1"/>
  <c r="AF205" i="1" s="1"/>
  <c r="AF206" i="1" s="1"/>
  <c r="AF207" i="1" s="1"/>
  <c r="AF208" i="1" s="1"/>
  <c r="AF209" i="1" s="1"/>
  <c r="AF210" i="1" s="1"/>
  <c r="AF211" i="1" s="1"/>
  <c r="AF212" i="1" s="1"/>
  <c r="AF213" i="1" s="1"/>
  <c r="AF214" i="1" s="1"/>
  <c r="AF215" i="1" s="1"/>
  <c r="AF216" i="1" s="1"/>
  <c r="AF145" i="1"/>
  <c r="AF146" i="1" s="1"/>
  <c r="AF147" i="1" s="1"/>
  <c r="AF148" i="1" s="1"/>
  <c r="AF149" i="1" s="1"/>
  <c r="AF150" i="1" s="1"/>
  <c r="AF151" i="1" s="1"/>
  <c r="AF152" i="1" s="1"/>
  <c r="AF153" i="1" s="1"/>
  <c r="AF154" i="1" s="1"/>
  <c r="AF155" i="1" s="1"/>
  <c r="AF156" i="1" s="1"/>
  <c r="AF157" i="1" s="1"/>
  <c r="AF158" i="1" s="1"/>
  <c r="AF159" i="1" s="1"/>
  <c r="AF160" i="1" s="1"/>
  <c r="AF161" i="1" s="1"/>
  <c r="AF162" i="1" s="1"/>
  <c r="AF163" i="1" s="1"/>
  <c r="AF164" i="1" s="1"/>
  <c r="AF143" i="1"/>
  <c r="AF144" i="1" s="1"/>
  <c r="AF142" i="1"/>
  <c r="AF109" i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AF124" i="1" s="1"/>
  <c r="AF125" i="1" s="1"/>
  <c r="AF126" i="1" s="1"/>
  <c r="AF127" i="1" s="1"/>
  <c r="AF128" i="1" s="1"/>
  <c r="AF129" i="1" s="1"/>
  <c r="AF130" i="1" s="1"/>
  <c r="AF131" i="1" s="1"/>
  <c r="AF132" i="1" s="1"/>
  <c r="AF133" i="1" s="1"/>
  <c r="AF134" i="1" s="1"/>
  <c r="AF135" i="1" s="1"/>
  <c r="AF136" i="1" s="1"/>
  <c r="AF137" i="1" s="1"/>
  <c r="AF138" i="1" s="1"/>
  <c r="AF139" i="1" s="1"/>
  <c r="AF140" i="1" s="1"/>
  <c r="AF141" i="1" s="1"/>
  <c r="AF77" i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76" i="1"/>
  <c r="AF49" i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5" i="1"/>
  <c r="AF6" i="1" s="1"/>
  <c r="AF7" i="1" s="1"/>
  <c r="AF8" i="1" s="1"/>
  <c r="AF9" i="1" s="1"/>
  <c r="AF10" i="1" s="1"/>
  <c r="AF11" i="1" s="1"/>
  <c r="AF12" i="1" s="1"/>
  <c r="AF13" i="1" s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3" i="1"/>
  <c r="AF4" i="1" s="1"/>
  <c r="I4387" i="1"/>
  <c r="AB5130" i="1" l="1"/>
  <c r="I5130" i="1"/>
  <c r="AB3778" i="1"/>
  <c r="I3778" i="1"/>
  <c r="AB5240" i="1"/>
  <c r="I5240" i="1"/>
  <c r="AB3171" i="1"/>
  <c r="I3171" i="1"/>
  <c r="AB5241" i="1"/>
  <c r="AB4773" i="1" l="1"/>
  <c r="AB4772" i="1" l="1"/>
  <c r="AB4771" i="1"/>
  <c r="AB4770" i="1"/>
  <c r="AB3245" i="1" l="1"/>
  <c r="I3245" i="1"/>
  <c r="AB3244" i="1"/>
  <c r="I3244" i="1"/>
  <c r="AB3246" i="1"/>
  <c r="I3246" i="1"/>
  <c r="AB3243" i="1"/>
  <c r="I3243" i="1"/>
  <c r="AB3241" i="1"/>
  <c r="I3241" i="1"/>
  <c r="AB3240" i="1"/>
  <c r="I3240" i="1"/>
  <c r="AB3242" i="1"/>
  <c r="I3242" i="1"/>
  <c r="AB3247" i="1"/>
  <c r="I3247" i="1"/>
  <c r="AB5399" i="1" l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0" i="1"/>
  <c r="AB5309" i="1"/>
  <c r="AB5312" i="1"/>
  <c r="AB5311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31" i="1"/>
  <c r="AB5152" i="1"/>
  <c r="AB5146" i="1"/>
  <c r="AB5151" i="1"/>
  <c r="AB5141" i="1"/>
  <c r="AB5150" i="1"/>
  <c r="AB5149" i="1"/>
  <c r="AB5148" i="1"/>
  <c r="AB5135" i="1"/>
  <c r="AB5145" i="1"/>
  <c r="AB5154" i="1"/>
  <c r="AB5156" i="1"/>
  <c r="AB5144" i="1"/>
  <c r="AB5134" i="1"/>
  <c r="AB5143" i="1"/>
  <c r="AB5147" i="1"/>
  <c r="AB5142" i="1"/>
  <c r="AB5140" i="1"/>
  <c r="AB5139" i="1"/>
  <c r="AB5133" i="1"/>
  <c r="AB5138" i="1"/>
  <c r="AB5132" i="1"/>
  <c r="AB5153" i="1"/>
  <c r="AB5137" i="1"/>
  <c r="AB5136" i="1"/>
  <c r="AB5155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89" i="1"/>
  <c r="AB5088" i="1"/>
  <c r="AB5087" i="1"/>
  <c r="AB5090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4971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4" i="1"/>
  <c r="AB4973" i="1"/>
  <c r="AB4975" i="1"/>
  <c r="AB4972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3" i="1"/>
  <c r="AB3072" i="1"/>
  <c r="AB3071" i="1"/>
  <c r="AB3070" i="1"/>
  <c r="AB3069" i="1"/>
  <c r="AB3068" i="1"/>
  <c r="AB3067" i="1"/>
  <c r="AB3074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71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0" i="1"/>
  <c r="AB2966" i="1"/>
  <c r="AB2965" i="1"/>
  <c r="AB2964" i="1"/>
  <c r="AB2963" i="1"/>
  <c r="AB2962" i="1"/>
  <c r="AB2969" i="1"/>
  <c r="AB2968" i="1"/>
  <c r="AB2967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5" i="1"/>
  <c r="AB2886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5" i="1"/>
  <c r="AB1729" i="1"/>
  <c r="AB1728" i="1"/>
  <c r="AB1727" i="1"/>
  <c r="AB1726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944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1" i="1"/>
  <c r="AB130" i="1"/>
  <c r="AB129" i="1"/>
  <c r="AB128" i="1"/>
  <c r="AB132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3" i="1"/>
  <c r="AB4" i="1"/>
  <c r="AB2" i="1"/>
  <c r="AB3271" i="1"/>
  <c r="L1037" i="1" l="1"/>
  <c r="H1037" i="1"/>
  <c r="I1157" i="1"/>
  <c r="I5087" i="1"/>
  <c r="I5089" i="1"/>
  <c r="I5088" i="1"/>
  <c r="I5304" i="1"/>
  <c r="I5303" i="1"/>
  <c r="I5305" i="1"/>
  <c r="I5306" i="1"/>
  <c r="I90" i="1" l="1"/>
  <c r="I89" i="1"/>
  <c r="I1728" i="1" l="1"/>
  <c r="I1727" i="1"/>
  <c r="I1726" i="1"/>
  <c r="I1729" i="1"/>
  <c r="I2145" i="1"/>
  <c r="I2146" i="1"/>
  <c r="I2147" i="1"/>
  <c r="I2148" i="1"/>
  <c r="I2150" i="1"/>
  <c r="I2151" i="1"/>
  <c r="I1241" i="1"/>
  <c r="I1242" i="1"/>
  <c r="I1243" i="1"/>
  <c r="I1244" i="1"/>
  <c r="I1245" i="1"/>
  <c r="I1250" i="1"/>
  <c r="I1251" i="1"/>
  <c r="I1252" i="1"/>
  <c r="I1253" i="1"/>
  <c r="I1254" i="1"/>
  <c r="I1255" i="1"/>
  <c r="I1256" i="1"/>
  <c r="I1257" i="1"/>
  <c r="I1262" i="1"/>
  <c r="I1263" i="1"/>
  <c r="I2304" i="1"/>
  <c r="I2309" i="1"/>
  <c r="I2316" i="1"/>
  <c r="I2317" i="1"/>
  <c r="I2318" i="1"/>
  <c r="I2319" i="1"/>
  <c r="I2321" i="1"/>
  <c r="I1264" i="1"/>
  <c r="I2362" i="1"/>
  <c r="I2353" i="1"/>
  <c r="I2354" i="1"/>
  <c r="I2355" i="1"/>
  <c r="I2356" i="1"/>
  <c r="I2357" i="1"/>
  <c r="I2358" i="1"/>
  <c r="I2359" i="1"/>
  <c r="I2360" i="1"/>
  <c r="I2361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32" i="1"/>
  <c r="I2334" i="1"/>
  <c r="I2335" i="1"/>
  <c r="I2336" i="1"/>
  <c r="I2337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5399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65" i="1"/>
  <c r="I5366" i="1"/>
  <c r="I5368" i="1"/>
  <c r="I5370" i="1"/>
  <c r="I5372" i="1"/>
  <c r="I5375" i="1"/>
  <c r="I5376" i="1"/>
  <c r="I5378" i="1"/>
  <c r="I5380" i="1"/>
  <c r="I5382" i="1"/>
  <c r="I5386" i="1"/>
  <c r="I5383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15" i="1"/>
  <c r="I5316" i="1"/>
  <c r="I5317" i="1"/>
  <c r="I5322" i="1"/>
  <c r="I5326" i="1"/>
  <c r="I5327" i="1"/>
  <c r="I5328" i="1"/>
  <c r="I5329" i="1"/>
  <c r="I5336" i="1"/>
  <c r="I5337" i="1"/>
  <c r="I5345" i="1"/>
  <c r="I5347" i="1"/>
  <c r="I5307" i="1"/>
  <c r="I5308" i="1"/>
  <c r="I5311" i="1"/>
  <c r="I5312" i="1"/>
  <c r="I5309" i="1"/>
  <c r="I5310" i="1"/>
  <c r="I5313" i="1"/>
  <c r="I5288" i="1"/>
  <c r="I5289" i="1"/>
  <c r="I5290" i="1"/>
  <c r="I5291" i="1"/>
  <c r="I5294" i="1"/>
  <c r="I5297" i="1"/>
  <c r="I5090" i="1"/>
  <c r="I5298" i="1"/>
  <c r="I5299" i="1"/>
  <c r="I5268" i="1"/>
  <c r="I5269" i="1"/>
  <c r="I5271" i="1"/>
  <c r="I5273" i="1"/>
  <c r="I5275" i="1"/>
  <c r="I5276" i="1"/>
  <c r="I5277" i="1"/>
  <c r="I5278" i="1"/>
  <c r="I5279" i="1"/>
  <c r="I5280" i="1"/>
  <c r="I5281" i="1"/>
  <c r="I5282" i="1"/>
  <c r="I5283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185" i="1"/>
  <c r="I5186" i="1"/>
  <c r="I5187" i="1"/>
  <c r="I5188" i="1"/>
  <c r="I5191" i="1"/>
  <c r="I5194" i="1"/>
  <c r="I5202" i="1"/>
  <c r="I5207" i="1"/>
  <c r="I5208" i="1"/>
  <c r="I5213" i="1"/>
  <c r="I5215" i="1"/>
  <c r="I5216" i="1"/>
  <c r="I5217" i="1"/>
  <c r="I5158" i="1"/>
  <c r="I5159" i="1"/>
  <c r="I5182" i="1"/>
  <c r="I5091" i="1"/>
  <c r="I5094" i="1"/>
  <c r="I5098" i="1"/>
  <c r="I5103" i="1"/>
  <c r="I5105" i="1"/>
  <c r="I5113" i="1"/>
  <c r="I5118" i="1"/>
  <c r="I5119" i="1"/>
  <c r="I5121" i="1"/>
  <c r="I5126" i="1"/>
  <c r="I5129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4972" i="1"/>
  <c r="I4975" i="1"/>
  <c r="I4973" i="1"/>
  <c r="I4974" i="1"/>
  <c r="I4976" i="1"/>
  <c r="I4978" i="1"/>
  <c r="I4979" i="1"/>
  <c r="I4980" i="1"/>
  <c r="I4982" i="1"/>
  <c r="I4990" i="1"/>
  <c r="I4992" i="1"/>
  <c r="I4998" i="1"/>
  <c r="I4999" i="1"/>
  <c r="I5009" i="1"/>
  <c r="I5010" i="1"/>
  <c r="I5011" i="1"/>
  <c r="I5019" i="1"/>
  <c r="I5020" i="1"/>
  <c r="I5021" i="1"/>
  <c r="I5030" i="1"/>
  <c r="I5051" i="1"/>
  <c r="I4902" i="1"/>
  <c r="I4905" i="1"/>
  <c r="I4906" i="1"/>
  <c r="I4907" i="1"/>
  <c r="I4910" i="1"/>
  <c r="I4911" i="1"/>
  <c r="I4912" i="1"/>
  <c r="I4913" i="1"/>
  <c r="I4918" i="1"/>
  <c r="I4919" i="1"/>
  <c r="I4921" i="1"/>
  <c r="I4923" i="1"/>
  <c r="I4927" i="1"/>
  <c r="I4928" i="1"/>
  <c r="I4929" i="1"/>
  <c r="I4930" i="1"/>
  <c r="I4937" i="1"/>
  <c r="I4965" i="1"/>
  <c r="I4969" i="1"/>
  <c r="I4897" i="1"/>
  <c r="I4898" i="1"/>
  <c r="I4899" i="1"/>
  <c r="I4900" i="1"/>
  <c r="I4901" i="1"/>
  <c r="I4796" i="1"/>
  <c r="I4797" i="1"/>
  <c r="I4805" i="1"/>
  <c r="I4806" i="1"/>
  <c r="I4808" i="1"/>
  <c r="I4811" i="1"/>
  <c r="I4824" i="1"/>
  <c r="I4838" i="1"/>
  <c r="I4843" i="1"/>
  <c r="I4852" i="1"/>
  <c r="I4863" i="1"/>
  <c r="I4874" i="1"/>
  <c r="I4878" i="1"/>
  <c r="I4885" i="1"/>
  <c r="I4886" i="1"/>
  <c r="I4890" i="1"/>
  <c r="I4891" i="1"/>
  <c r="I4892" i="1"/>
  <c r="I4893" i="1"/>
  <c r="I4776" i="1"/>
  <c r="I4777" i="1"/>
  <c r="I4778" i="1"/>
  <c r="I4779" i="1"/>
  <c r="I4780" i="1"/>
  <c r="I4781" i="1"/>
  <c r="I4782" i="1"/>
  <c r="I4783" i="1"/>
  <c r="I4784" i="1"/>
  <c r="I4785" i="1"/>
  <c r="I4787" i="1"/>
  <c r="I4788" i="1"/>
  <c r="I4789" i="1"/>
  <c r="I4790" i="1"/>
  <c r="I4707" i="1"/>
  <c r="I4737" i="1"/>
  <c r="I4738" i="1"/>
  <c r="I4742" i="1"/>
  <c r="I4743" i="1"/>
  <c r="I4751" i="1"/>
  <c r="I4753" i="1"/>
  <c r="I4765" i="1"/>
  <c r="I4766" i="1"/>
  <c r="I4767" i="1"/>
  <c r="I4768" i="1"/>
  <c r="I4683" i="1"/>
  <c r="I4691" i="1"/>
  <c r="I4650" i="1"/>
  <c r="I4654" i="1"/>
  <c r="I4655" i="1"/>
  <c r="I4656" i="1"/>
  <c r="I4674" i="1"/>
  <c r="I4641" i="1"/>
  <c r="I4642" i="1"/>
  <c r="I4643" i="1"/>
  <c r="I4644" i="1"/>
  <c r="I4646" i="1"/>
  <c r="I4647" i="1"/>
  <c r="I4648" i="1"/>
  <c r="I4572" i="1"/>
  <c r="I4574" i="1"/>
  <c r="I4581" i="1"/>
  <c r="I4582" i="1"/>
  <c r="I4585" i="1"/>
  <c r="I4594" i="1"/>
  <c r="I4614" i="1"/>
  <c r="I4628" i="1"/>
  <c r="I4639" i="1"/>
  <c r="I4547" i="1"/>
  <c r="I4548" i="1"/>
  <c r="I4549" i="1"/>
  <c r="I4550" i="1"/>
  <c r="I4557" i="1"/>
  <c r="I4560" i="1"/>
  <c r="I4561" i="1"/>
  <c r="I4562" i="1"/>
  <c r="I4566" i="1"/>
  <c r="I4568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436" i="1"/>
  <c r="I4444" i="1"/>
  <c r="I4446" i="1"/>
  <c r="I4513" i="1"/>
  <c r="I4514" i="1"/>
  <c r="I4515" i="1"/>
  <c r="I4517" i="1"/>
  <c r="I4518" i="1"/>
  <c r="I4520" i="1"/>
  <c r="I4403" i="1"/>
  <c r="I4407" i="1"/>
  <c r="I4408" i="1"/>
  <c r="I4409" i="1"/>
  <c r="I4411" i="1"/>
  <c r="I4391" i="1"/>
  <c r="I4392" i="1"/>
  <c r="I4394" i="1"/>
  <c r="I4395" i="1"/>
  <c r="I4396" i="1"/>
  <c r="I4399" i="1"/>
  <c r="I4400" i="1"/>
  <c r="I4401" i="1"/>
  <c r="I4402" i="1"/>
  <c r="I4352" i="1"/>
  <c r="I4353" i="1"/>
  <c r="I4354" i="1"/>
  <c r="I4357" i="1"/>
  <c r="I4380" i="1"/>
  <c r="I4382" i="1"/>
  <c r="I4383" i="1"/>
  <c r="I4384" i="1"/>
  <c r="I4385" i="1"/>
  <c r="I4386" i="1"/>
  <c r="I4389" i="1"/>
  <c r="I4298" i="1"/>
  <c r="I4302" i="1"/>
  <c r="I4303" i="1"/>
  <c r="I4328" i="1"/>
  <c r="I4329" i="1"/>
  <c r="I4330" i="1"/>
  <c r="I4331" i="1"/>
  <c r="I4332" i="1"/>
  <c r="I4338" i="1"/>
  <c r="I4351" i="1"/>
  <c r="I4289" i="1"/>
  <c r="I4290" i="1"/>
  <c r="I4291" i="1"/>
  <c r="I4292" i="1"/>
  <c r="I4293" i="1"/>
  <c r="I4294" i="1"/>
  <c r="I4295" i="1"/>
  <c r="I4296" i="1"/>
  <c r="I4297" i="1"/>
  <c r="I4250" i="1"/>
  <c r="I4251" i="1"/>
  <c r="I4252" i="1"/>
  <c r="I4254" i="1"/>
  <c r="I4257" i="1"/>
  <c r="I4270" i="1"/>
  <c r="I4271" i="1"/>
  <c r="I4272" i="1"/>
  <c r="I4273" i="1"/>
  <c r="I4274" i="1"/>
  <c r="I4280" i="1"/>
  <c r="I4282" i="1"/>
  <c r="I4283" i="1"/>
  <c r="I4210" i="1"/>
  <c r="I4211" i="1"/>
  <c r="I4212" i="1"/>
  <c r="I4223" i="1"/>
  <c r="I4225" i="1"/>
  <c r="I4231" i="1"/>
  <c r="I4239" i="1"/>
  <c r="I4240" i="1"/>
  <c r="I4247" i="1"/>
  <c r="I4177" i="1"/>
  <c r="I4178" i="1"/>
  <c r="I4180" i="1"/>
  <c r="I4184" i="1"/>
  <c r="I4187" i="1"/>
  <c r="I4188" i="1"/>
  <c r="I4189" i="1"/>
  <c r="I4191" i="1"/>
  <c r="I4192" i="1"/>
  <c r="I4193" i="1"/>
  <c r="I4194" i="1"/>
  <c r="I4199" i="1"/>
  <c r="I4152" i="1"/>
  <c r="I4154" i="1"/>
  <c r="I4156" i="1"/>
  <c r="I4157" i="1"/>
  <c r="I4158" i="1"/>
  <c r="I4159" i="1"/>
  <c r="I4161" i="1"/>
  <c r="I4162" i="1"/>
  <c r="I4163" i="1"/>
  <c r="I4164" i="1"/>
  <c r="I4166" i="1"/>
  <c r="I4167" i="1"/>
  <c r="I4168" i="1"/>
  <c r="I4176" i="1"/>
  <c r="I4123" i="1"/>
  <c r="I4124" i="1"/>
  <c r="I4130" i="1"/>
  <c r="I4131" i="1"/>
  <c r="I4145" i="1"/>
  <c r="I4114" i="1"/>
  <c r="I4115" i="1"/>
  <c r="I4116" i="1"/>
  <c r="I4117" i="1"/>
  <c r="I4118" i="1"/>
  <c r="I4119" i="1"/>
  <c r="I4120" i="1"/>
  <c r="I4121" i="1"/>
  <c r="I4067" i="1"/>
  <c r="I4093" i="1"/>
  <c r="I4109" i="1"/>
  <c r="I4110" i="1"/>
  <c r="I4027" i="1"/>
  <c r="I4028" i="1"/>
  <c r="I4029" i="1"/>
  <c r="I4034" i="1"/>
  <c r="I4035" i="1"/>
  <c r="I4036" i="1"/>
  <c r="I4040" i="1"/>
  <c r="I4041" i="1"/>
  <c r="I4003" i="1"/>
  <c r="I4004" i="1"/>
  <c r="I4005" i="1"/>
  <c r="I4009" i="1"/>
  <c r="I4010" i="1"/>
  <c r="I4011" i="1"/>
  <c r="I4013" i="1"/>
  <c r="I4014" i="1"/>
  <c r="I4015" i="1"/>
  <c r="I4016" i="1"/>
  <c r="I4017" i="1"/>
  <c r="I4018" i="1"/>
  <c r="I4019" i="1"/>
  <c r="I4020" i="1"/>
  <c r="I4021" i="1"/>
  <c r="I4022" i="1"/>
  <c r="I4023" i="1"/>
  <c r="H4024" i="1"/>
  <c r="I3937" i="1"/>
  <c r="I3938" i="1"/>
  <c r="I3940" i="1"/>
  <c r="I3941" i="1"/>
  <c r="I3943" i="1"/>
  <c r="I3944" i="1"/>
  <c r="I3945" i="1"/>
  <c r="I3952" i="1"/>
  <c r="I3953" i="1"/>
  <c r="I3957" i="1"/>
  <c r="I3958" i="1"/>
  <c r="I3959" i="1"/>
  <c r="I3964" i="1"/>
  <c r="I3965" i="1"/>
  <c r="I3966" i="1"/>
  <c r="I3972" i="1"/>
  <c r="I3978" i="1"/>
  <c r="I3979" i="1"/>
  <c r="I3980" i="1"/>
  <c r="I3983" i="1"/>
  <c r="I3984" i="1"/>
  <c r="I3985" i="1"/>
  <c r="I3989" i="1"/>
  <c r="I3994" i="1"/>
  <c r="I3918" i="1"/>
  <c r="H3919" i="1"/>
  <c r="I3921" i="1"/>
  <c r="I3922" i="1"/>
  <c r="I3923" i="1"/>
  <c r="I3924" i="1"/>
  <c r="I3925" i="1"/>
  <c r="I3926" i="1"/>
  <c r="I3927" i="1"/>
  <c r="I3928" i="1"/>
  <c r="I3929" i="1"/>
  <c r="I3930" i="1"/>
  <c r="I3931" i="1"/>
  <c r="I3875" i="1"/>
  <c r="I3876" i="1"/>
  <c r="I3879" i="1"/>
  <c r="I3890" i="1"/>
  <c r="I3893" i="1"/>
  <c r="I3894" i="1"/>
  <c r="I3900" i="1"/>
  <c r="I3901" i="1"/>
  <c r="I3903" i="1"/>
  <c r="I3907" i="1"/>
  <c r="I3908" i="1"/>
  <c r="I3915" i="1"/>
  <c r="I3916" i="1"/>
  <c r="I3835" i="1"/>
  <c r="I3837" i="1"/>
  <c r="I3838" i="1"/>
  <c r="I3839" i="1"/>
  <c r="I3842" i="1"/>
  <c r="I3845" i="1"/>
  <c r="I3846" i="1"/>
  <c r="I3849" i="1"/>
  <c r="I3850" i="1"/>
  <c r="I3853" i="1"/>
  <c r="I3855" i="1"/>
  <c r="I3859" i="1"/>
  <c r="I3860" i="1"/>
  <c r="I3861" i="1"/>
  <c r="I3862" i="1"/>
  <c r="I3866" i="1"/>
  <c r="I3871" i="1"/>
  <c r="I3813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3" i="1"/>
  <c r="I3774" i="1"/>
  <c r="I3775" i="1"/>
  <c r="I3776" i="1"/>
  <c r="I3777" i="1"/>
  <c r="I3779" i="1"/>
  <c r="I3783" i="1"/>
  <c r="I3784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759" i="1"/>
  <c r="I3760" i="1"/>
  <c r="I3761" i="1"/>
  <c r="I3762" i="1"/>
  <c r="I3763" i="1"/>
  <c r="I3764" i="1"/>
  <c r="I3765" i="1"/>
  <c r="I3766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15" i="1"/>
  <c r="I3716" i="1"/>
  <c r="I3717" i="1"/>
  <c r="I3718" i="1"/>
  <c r="I3719" i="1"/>
  <c r="I3720" i="1"/>
  <c r="I3721" i="1"/>
  <c r="I3722" i="1"/>
  <c r="I3723" i="1"/>
  <c r="I3724" i="1"/>
  <c r="I3725" i="1"/>
  <c r="I3705" i="1"/>
  <c r="I3706" i="1"/>
  <c r="I3708" i="1"/>
  <c r="I3709" i="1"/>
  <c r="I3710" i="1"/>
  <c r="I3711" i="1"/>
  <c r="I3712" i="1"/>
  <c r="I3713" i="1"/>
  <c r="I3714" i="1"/>
  <c r="I3690" i="1"/>
  <c r="I3691" i="1"/>
  <c r="I3692" i="1"/>
  <c r="I3693" i="1"/>
  <c r="I3694" i="1"/>
  <c r="I3695" i="1"/>
  <c r="I3696" i="1"/>
  <c r="I3697" i="1"/>
  <c r="I3698" i="1"/>
  <c r="I3699" i="1"/>
  <c r="I3702" i="1"/>
  <c r="I3703" i="1"/>
  <c r="I3704" i="1"/>
  <c r="I3682" i="1"/>
  <c r="I3683" i="1"/>
  <c r="I3684" i="1"/>
  <c r="I3685" i="1"/>
  <c r="I3686" i="1"/>
  <c r="I3687" i="1"/>
  <c r="I3677" i="1"/>
  <c r="H3569" i="1"/>
  <c r="I3535" i="1"/>
  <c r="I3510" i="1"/>
  <c r="I3511" i="1"/>
  <c r="I3512" i="1"/>
  <c r="I3513" i="1"/>
  <c r="I3514" i="1"/>
  <c r="I3515" i="1"/>
  <c r="I3481" i="1"/>
  <c r="I3482" i="1"/>
  <c r="I3483" i="1"/>
  <c r="I3464" i="1"/>
  <c r="I3467" i="1"/>
  <c r="I3468" i="1"/>
  <c r="I3469" i="1"/>
  <c r="I3470" i="1"/>
  <c r="I3471" i="1"/>
  <c r="I3473" i="1"/>
  <c r="I3474" i="1"/>
  <c r="I3454" i="1"/>
  <c r="I3455" i="1"/>
  <c r="I3456" i="1"/>
  <c r="I3457" i="1"/>
  <c r="I3458" i="1"/>
  <c r="I3459" i="1"/>
  <c r="I3460" i="1"/>
  <c r="I3461" i="1"/>
  <c r="I3462" i="1"/>
  <c r="I3463" i="1"/>
  <c r="I3669" i="1"/>
  <c r="I3670" i="1"/>
  <c r="I3446" i="1"/>
  <c r="I3447" i="1"/>
  <c r="I3448" i="1"/>
  <c r="I3449" i="1"/>
  <c r="I3450" i="1"/>
  <c r="I3451" i="1"/>
  <c r="I3452" i="1"/>
  <c r="I3453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14" i="1"/>
  <c r="I3415" i="1"/>
  <c r="I3416" i="1"/>
  <c r="I3417" i="1"/>
  <c r="I3418" i="1"/>
  <c r="I3419" i="1"/>
  <c r="I3427" i="1"/>
  <c r="I3429" i="1"/>
  <c r="I3430" i="1"/>
  <c r="I3431" i="1"/>
  <c r="I3401" i="1"/>
  <c r="I3402" i="1"/>
  <c r="I3403" i="1"/>
  <c r="I3405" i="1"/>
  <c r="I3407" i="1"/>
  <c r="I3408" i="1"/>
  <c r="I3409" i="1"/>
  <c r="I3413" i="1"/>
  <c r="I3397" i="1"/>
  <c r="I3398" i="1"/>
  <c r="I3399" i="1"/>
  <c r="I3400" i="1"/>
  <c r="I2539" i="1"/>
  <c r="I2540" i="1"/>
  <c r="I2541" i="1"/>
  <c r="I2542" i="1"/>
  <c r="I2533" i="1"/>
  <c r="I2534" i="1"/>
  <c r="I2535" i="1"/>
  <c r="I2536" i="1"/>
  <c r="I2537" i="1"/>
  <c r="I3336" i="1"/>
  <c r="I3367" i="1"/>
  <c r="I3373" i="1"/>
  <c r="I3295" i="1"/>
  <c r="I3296" i="1"/>
  <c r="I3298" i="1"/>
  <c r="I3299" i="1"/>
  <c r="I3315" i="1"/>
  <c r="I3326" i="1"/>
  <c r="I3284" i="1"/>
  <c r="I3285" i="1"/>
  <c r="I3286" i="1"/>
  <c r="I3287" i="1"/>
  <c r="I3288" i="1"/>
  <c r="I3289" i="1"/>
  <c r="I3290" i="1"/>
  <c r="I3291" i="1"/>
  <c r="I3292" i="1"/>
  <c r="I3277" i="1"/>
  <c r="I3278" i="1"/>
  <c r="I3279" i="1"/>
  <c r="I3280" i="1"/>
  <c r="I3281" i="1"/>
  <c r="I3282" i="1"/>
  <c r="I3283" i="1"/>
  <c r="I3270" i="1"/>
  <c r="I3271" i="1"/>
  <c r="I3272" i="1"/>
  <c r="I3273" i="1"/>
  <c r="I3274" i="1"/>
  <c r="I3275" i="1"/>
  <c r="I3276" i="1"/>
  <c r="I3264" i="1"/>
  <c r="I3265" i="1"/>
  <c r="I3266" i="1"/>
  <c r="I3267" i="1"/>
  <c r="I3268" i="1"/>
  <c r="I3269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13" i="1"/>
  <c r="I3215" i="1"/>
  <c r="I3190" i="1"/>
  <c r="I3191" i="1"/>
  <c r="I3192" i="1"/>
  <c r="I3193" i="1"/>
  <c r="I3194" i="1"/>
  <c r="I3195" i="1"/>
  <c r="I3205" i="1"/>
  <c r="I3206" i="1"/>
  <c r="I3207" i="1"/>
  <c r="I3208" i="1"/>
  <c r="I3209" i="1"/>
  <c r="I3174" i="1"/>
  <c r="I3175" i="1"/>
  <c r="I3176" i="1"/>
  <c r="I3177" i="1"/>
  <c r="I3178" i="1"/>
  <c r="I3179" i="1"/>
  <c r="I3183" i="1"/>
  <c r="I3166" i="1"/>
  <c r="I3167" i="1"/>
  <c r="I3168" i="1"/>
  <c r="I3169" i="1"/>
  <c r="I3170" i="1"/>
  <c r="I3156" i="1"/>
  <c r="I3157" i="1"/>
  <c r="I3158" i="1"/>
  <c r="I3159" i="1"/>
  <c r="I3160" i="1"/>
  <c r="I3161" i="1"/>
  <c r="I3162" i="1"/>
  <c r="I3163" i="1"/>
  <c r="I3164" i="1"/>
  <c r="I3165" i="1"/>
  <c r="I3143" i="1"/>
  <c r="I3144" i="1"/>
  <c r="I3145" i="1"/>
  <c r="I3146" i="1"/>
  <c r="I3147" i="1"/>
  <c r="I3139" i="1"/>
  <c r="I3141" i="1"/>
  <c r="I3142" i="1"/>
  <c r="I3133" i="1"/>
  <c r="I3134" i="1"/>
  <c r="I3135" i="1"/>
  <c r="I3138" i="1"/>
  <c r="I3128" i="1"/>
  <c r="I3129" i="1"/>
  <c r="I3131" i="1"/>
  <c r="I3132" i="1"/>
  <c r="I3124" i="1"/>
  <c r="I3125" i="1"/>
  <c r="I3126" i="1"/>
  <c r="I3127" i="1"/>
  <c r="I3106" i="1"/>
  <c r="I3107" i="1"/>
  <c r="I3121" i="1"/>
  <c r="I3122" i="1"/>
  <c r="I3123" i="1"/>
  <c r="I3149" i="1"/>
  <c r="I3150" i="1"/>
  <c r="I3151" i="1"/>
  <c r="I3152" i="1"/>
  <c r="I3153" i="1"/>
  <c r="I3154" i="1"/>
  <c r="I3155" i="1"/>
  <c r="I3090" i="1"/>
  <c r="I3091" i="1"/>
  <c r="I3093" i="1"/>
  <c r="I3094" i="1"/>
  <c r="I3096" i="1"/>
  <c r="I3097" i="1"/>
  <c r="I3098" i="1"/>
  <c r="I3099" i="1"/>
  <c r="I3100" i="1"/>
  <c r="I3101" i="1"/>
  <c r="I3105" i="1"/>
  <c r="I3064" i="1"/>
  <c r="I3066" i="1"/>
  <c r="I3074" i="1"/>
  <c r="I3067" i="1"/>
  <c r="I3068" i="1"/>
  <c r="I3069" i="1"/>
  <c r="I3070" i="1"/>
  <c r="I3071" i="1"/>
  <c r="I3075" i="1"/>
  <c r="I3076" i="1"/>
  <c r="I3077" i="1"/>
  <c r="I3078" i="1"/>
  <c r="I3079" i="1"/>
  <c r="I3080" i="1"/>
  <c r="I3081" i="1"/>
  <c r="I3082" i="1"/>
  <c r="I3083" i="1"/>
  <c r="I3084" i="1"/>
  <c r="I3085" i="1"/>
  <c r="I3055" i="1"/>
  <c r="I3056" i="1"/>
  <c r="I3061" i="1"/>
  <c r="I3062" i="1"/>
  <c r="I3063" i="1"/>
  <c r="I3036" i="1"/>
  <c r="I3037" i="1"/>
  <c r="I3038" i="1"/>
  <c r="I3039" i="1"/>
  <c r="I3040" i="1"/>
  <c r="I3042" i="1"/>
  <c r="I3043" i="1"/>
  <c r="I3044" i="1"/>
  <c r="I3045" i="1"/>
  <c r="I3026" i="1"/>
  <c r="I3027" i="1"/>
  <c r="I3028" i="1"/>
  <c r="I3033" i="1"/>
  <c r="I3034" i="1"/>
  <c r="I3035" i="1"/>
  <c r="I2994" i="1"/>
  <c r="I2995" i="1"/>
  <c r="I2996" i="1"/>
  <c r="I3020" i="1"/>
  <c r="I3024" i="1"/>
  <c r="I3025" i="1"/>
  <c r="I2966" i="1"/>
  <c r="I2970" i="1"/>
  <c r="I2992" i="1"/>
  <c r="I2971" i="1"/>
  <c r="I2993" i="1"/>
  <c r="I2946" i="1"/>
  <c r="I2961" i="1"/>
  <c r="I2962" i="1"/>
  <c r="I2963" i="1"/>
  <c r="I2964" i="1"/>
  <c r="I2918" i="1"/>
  <c r="I2919" i="1"/>
  <c r="I2920" i="1"/>
  <c r="I2943" i="1"/>
  <c r="I2944" i="1"/>
  <c r="I2892" i="1"/>
  <c r="I2893" i="1"/>
  <c r="I2894" i="1"/>
  <c r="I2895" i="1"/>
  <c r="I2917" i="1"/>
  <c r="I2884" i="1"/>
  <c r="I2887" i="1"/>
  <c r="I2888" i="1"/>
  <c r="I2890" i="1"/>
  <c r="I2864" i="1"/>
  <c r="I2866" i="1"/>
  <c r="I2867" i="1"/>
  <c r="I2869" i="1"/>
  <c r="I2870" i="1"/>
  <c r="I2871" i="1"/>
  <c r="I2872" i="1"/>
  <c r="I2848" i="1"/>
  <c r="I2854" i="1"/>
  <c r="I2803" i="1"/>
  <c r="I2804" i="1"/>
  <c r="I2805" i="1"/>
  <c r="I2806" i="1"/>
  <c r="I2812" i="1"/>
  <c r="I2781" i="1"/>
  <c r="I2783" i="1"/>
  <c r="I2786" i="1"/>
  <c r="I2788" i="1"/>
  <c r="I2750" i="1"/>
  <c r="I2753" i="1"/>
  <c r="I2755" i="1"/>
  <c r="I2758" i="1"/>
  <c r="I2759" i="1"/>
  <c r="I2702" i="1"/>
  <c r="I2714" i="1"/>
  <c r="I2715" i="1"/>
  <c r="I2716" i="1"/>
  <c r="I2717" i="1"/>
  <c r="I2695" i="1"/>
  <c r="I2682" i="1"/>
  <c r="I2653" i="1"/>
  <c r="I2666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10" i="1"/>
  <c r="I2612" i="1"/>
  <c r="I2614" i="1"/>
  <c r="I2615" i="1"/>
  <c r="I2616" i="1"/>
  <c r="I2617" i="1"/>
  <c r="I2618" i="1"/>
  <c r="I2619" i="1"/>
  <c r="I2620" i="1"/>
  <c r="I2621" i="1"/>
  <c r="I2622" i="1"/>
  <c r="I2624" i="1"/>
  <c r="I2625" i="1"/>
  <c r="I2599" i="1"/>
  <c r="I2601" i="1"/>
  <c r="I2604" i="1"/>
  <c r="I2606" i="1"/>
  <c r="I2607" i="1"/>
  <c r="I2608" i="1"/>
  <c r="I2609" i="1"/>
  <c r="I2571" i="1"/>
  <c r="I2576" i="1"/>
  <c r="I2587" i="1"/>
  <c r="I2592" i="1"/>
  <c r="I2593" i="1"/>
  <c r="I2594" i="1"/>
  <c r="I2596" i="1"/>
  <c r="I2598" i="1"/>
  <c r="I2543" i="1"/>
  <c r="I2544" i="1"/>
  <c r="I2545" i="1"/>
  <c r="I2546" i="1"/>
  <c r="I2549" i="1"/>
  <c r="I2554" i="1"/>
  <c r="I2555" i="1"/>
  <c r="I2556" i="1"/>
  <c r="I2557" i="1"/>
  <c r="I2558" i="1"/>
  <c r="I2562" i="1"/>
  <c r="I2569" i="1"/>
  <c r="I2520" i="1"/>
  <c r="I2521" i="1"/>
  <c r="I2522" i="1"/>
  <c r="I2523" i="1"/>
  <c r="I2524" i="1"/>
  <c r="I2448" i="1"/>
  <c r="I2454" i="1"/>
  <c r="I2488" i="1"/>
  <c r="I2495" i="1"/>
  <c r="I2496" i="1"/>
  <c r="I2497" i="1"/>
  <c r="I2502" i="1"/>
  <c r="I2504" i="1"/>
  <c r="I2508" i="1"/>
  <c r="I2511" i="1"/>
  <c r="I2516" i="1"/>
  <c r="I2437" i="1"/>
  <c r="I2438" i="1"/>
  <c r="I2439" i="1"/>
  <c r="I2440" i="1"/>
  <c r="I2441" i="1"/>
  <c r="I2442" i="1"/>
  <c r="I2443" i="1"/>
  <c r="I2444" i="1"/>
  <c r="I2445" i="1"/>
  <c r="I2446" i="1"/>
  <c r="I2447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06" i="1"/>
  <c r="I2408" i="1"/>
  <c r="I2410" i="1"/>
  <c r="I2412" i="1"/>
  <c r="I2415" i="1"/>
  <c r="I2379" i="1"/>
  <c r="I2380" i="1"/>
  <c r="I2382" i="1"/>
  <c r="I2384" i="1"/>
  <c r="I2386" i="1"/>
  <c r="I2388" i="1"/>
  <c r="I2389" i="1"/>
  <c r="I2390" i="1"/>
  <c r="I2391" i="1"/>
  <c r="I2392" i="1"/>
  <c r="I2394" i="1"/>
  <c r="I2398" i="1"/>
  <c r="I2401" i="1"/>
  <c r="I2402" i="1"/>
  <c r="I2272" i="1"/>
  <c r="I2273" i="1"/>
  <c r="I2276" i="1"/>
  <c r="I2277" i="1"/>
  <c r="I2279" i="1"/>
  <c r="I2283" i="1"/>
  <c r="I2284" i="1"/>
  <c r="I2285" i="1"/>
  <c r="I2289" i="1"/>
  <c r="I2296" i="1"/>
  <c r="I2298" i="1"/>
  <c r="I2299" i="1"/>
  <c r="I2222" i="1"/>
  <c r="I2223" i="1"/>
  <c r="I2224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2" i="1"/>
  <c r="I2248" i="1"/>
  <c r="I2249" i="1"/>
  <c r="I2250" i="1"/>
  <c r="I2251" i="1"/>
  <c r="I2252" i="1"/>
  <c r="I2253" i="1"/>
  <c r="I2255" i="1"/>
  <c r="I2256" i="1"/>
  <c r="I2257" i="1"/>
  <c r="I2258" i="1"/>
  <c r="I2259" i="1"/>
  <c r="I2260" i="1"/>
  <c r="I2195" i="1"/>
  <c r="I2196" i="1"/>
  <c r="I2197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22" i="1"/>
  <c r="I2128" i="1"/>
  <c r="I2129" i="1"/>
  <c r="I2132" i="1"/>
  <c r="I2133" i="1"/>
  <c r="I2134" i="1"/>
  <c r="I2135" i="1"/>
  <c r="I2136" i="1"/>
  <c r="I2137" i="1"/>
  <c r="I2138" i="1"/>
  <c r="I2139" i="1"/>
  <c r="I2140" i="1"/>
  <c r="I2141" i="1"/>
  <c r="I2094" i="1"/>
  <c r="I2095" i="1"/>
  <c r="I2096" i="1"/>
  <c r="I2097" i="1"/>
  <c r="I2099" i="1"/>
  <c r="I2100" i="1"/>
  <c r="I2101" i="1"/>
  <c r="I2103" i="1"/>
  <c r="I2104" i="1"/>
  <c r="I2109" i="1"/>
  <c r="I2110" i="1"/>
  <c r="I2112" i="1"/>
  <c r="I2114" i="1"/>
  <c r="I2115" i="1"/>
  <c r="I2116" i="1"/>
  <c r="I2117" i="1"/>
  <c r="I2118" i="1"/>
  <c r="I2119" i="1"/>
  <c r="I2120" i="1"/>
  <c r="I2063" i="1"/>
  <c r="I2064" i="1"/>
  <c r="I2065" i="1"/>
  <c r="I2072" i="1"/>
  <c r="I2076" i="1"/>
  <c r="I2078" i="1"/>
  <c r="I2079" i="1"/>
  <c r="I2080" i="1"/>
  <c r="I2083" i="1"/>
  <c r="I2084" i="1"/>
  <c r="I2086" i="1"/>
  <c r="I2087" i="1"/>
  <c r="I2088" i="1"/>
  <c r="I2089" i="1"/>
  <c r="I2090" i="1"/>
  <c r="I2091" i="1"/>
  <c r="I2092" i="1"/>
  <c r="I2093" i="1"/>
  <c r="I2010" i="1"/>
  <c r="I2013" i="1"/>
  <c r="I2015" i="1"/>
  <c r="I2020" i="1"/>
  <c r="I2023" i="1"/>
  <c r="I2044" i="1"/>
  <c r="I2045" i="1"/>
  <c r="I2049" i="1"/>
  <c r="I2052" i="1"/>
  <c r="I2053" i="1"/>
  <c r="I2054" i="1"/>
  <c r="I2055" i="1"/>
  <c r="I2056" i="1"/>
  <c r="I2057" i="1"/>
  <c r="I2058" i="1"/>
  <c r="I2059" i="1"/>
  <c r="I2060" i="1"/>
  <c r="I1989" i="1"/>
  <c r="I1990" i="1"/>
  <c r="I1991" i="1"/>
  <c r="I1992" i="1"/>
  <c r="I1993" i="1"/>
  <c r="I1994" i="1"/>
  <c r="I1995" i="1"/>
  <c r="I1996" i="1"/>
  <c r="I1997" i="1"/>
  <c r="I1947" i="1"/>
  <c r="I1949" i="1"/>
  <c r="I1957" i="1"/>
  <c r="I1959" i="1"/>
  <c r="I1960" i="1"/>
  <c r="I1962" i="1"/>
  <c r="I1963" i="1"/>
  <c r="I1966" i="1"/>
  <c r="I1969" i="1"/>
  <c r="I1970" i="1"/>
  <c r="I1971" i="1"/>
  <c r="I1980" i="1"/>
  <c r="I1981" i="1"/>
  <c r="I1982" i="1"/>
  <c r="I1984" i="1"/>
  <c r="I1906" i="1"/>
  <c r="I1907" i="1"/>
  <c r="I1908" i="1"/>
  <c r="I1911" i="1"/>
  <c r="I1914" i="1"/>
  <c r="I1921" i="1"/>
  <c r="I1927" i="1"/>
  <c r="I1937" i="1"/>
  <c r="I1939" i="1"/>
  <c r="I1943" i="1"/>
  <c r="I1944" i="1"/>
  <c r="I1945" i="1"/>
  <c r="I1946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829" i="1"/>
  <c r="I1830" i="1"/>
  <c r="I1831" i="1"/>
  <c r="I1832" i="1"/>
  <c r="I1834" i="1"/>
  <c r="I1836" i="1"/>
  <c r="I1838" i="1"/>
  <c r="I1839" i="1"/>
  <c r="I1840" i="1"/>
  <c r="I1841" i="1"/>
  <c r="I1842" i="1"/>
  <c r="I1843" i="1"/>
  <c r="I1844" i="1"/>
  <c r="I1846" i="1"/>
  <c r="I1847" i="1"/>
  <c r="I1786" i="1"/>
  <c r="I1788" i="1"/>
  <c r="I1793" i="1"/>
  <c r="I1798" i="1"/>
  <c r="I1799" i="1"/>
  <c r="I1800" i="1"/>
  <c r="I1801" i="1"/>
  <c r="I1804" i="1"/>
  <c r="I1808" i="1"/>
  <c r="I1814" i="1"/>
  <c r="I1821" i="1"/>
  <c r="I1824" i="1"/>
  <c r="I1825" i="1"/>
  <c r="I1737" i="1"/>
  <c r="I1738" i="1"/>
  <c r="I1739" i="1"/>
  <c r="I1745" i="1"/>
  <c r="I1746" i="1"/>
  <c r="I1755" i="1"/>
  <c r="I1756" i="1"/>
  <c r="I1758" i="1"/>
  <c r="I1760" i="1"/>
  <c r="I1762" i="1"/>
  <c r="I1772" i="1"/>
  <c r="I1774" i="1"/>
  <c r="I1777" i="1"/>
  <c r="I1780" i="1"/>
  <c r="I1704" i="1"/>
  <c r="I1706" i="1"/>
  <c r="I1707" i="1"/>
  <c r="I1708" i="1"/>
  <c r="I1709" i="1"/>
  <c r="I1710" i="1"/>
  <c r="I1711" i="1"/>
  <c r="I1712" i="1"/>
  <c r="I1713" i="1"/>
  <c r="I1714" i="1"/>
  <c r="I1716" i="1"/>
  <c r="I1717" i="1"/>
  <c r="I1718" i="1"/>
  <c r="I1719" i="1"/>
  <c r="I1720" i="1"/>
  <c r="I1721" i="1"/>
  <c r="I1723" i="1"/>
  <c r="I1730" i="1"/>
  <c r="I1731" i="1"/>
  <c r="I1664" i="1"/>
  <c r="I1665" i="1"/>
  <c r="I1667" i="1"/>
  <c r="I1668" i="1"/>
  <c r="I1669" i="1"/>
  <c r="I1670" i="1"/>
  <c r="I1671" i="1"/>
  <c r="I1672" i="1"/>
  <c r="I1673" i="1"/>
  <c r="I1675" i="1"/>
  <c r="I1676" i="1"/>
  <c r="I1680" i="1"/>
  <c r="I1681" i="1"/>
  <c r="I1682" i="1"/>
  <c r="I1693" i="1"/>
  <c r="I1694" i="1"/>
  <c r="I1695" i="1"/>
  <c r="I1699" i="1"/>
  <c r="I1700" i="1"/>
  <c r="I1702" i="1"/>
  <c r="I1703" i="1"/>
  <c r="I1618" i="1"/>
  <c r="I1619" i="1"/>
  <c r="I1621" i="1"/>
  <c r="I1622" i="1"/>
  <c r="I1623" i="1"/>
  <c r="I1624" i="1"/>
  <c r="I1627" i="1"/>
  <c r="I1629" i="1"/>
  <c r="I1631" i="1"/>
  <c r="I1635" i="1"/>
  <c r="I1640" i="1"/>
  <c r="I1639" i="1"/>
  <c r="I1641" i="1"/>
  <c r="I1644" i="1"/>
  <c r="I1645" i="1"/>
  <c r="I1646" i="1"/>
  <c r="I1647" i="1"/>
  <c r="I1648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567" i="1"/>
  <c r="I1576" i="1"/>
  <c r="I1578" i="1"/>
  <c r="I1581" i="1"/>
  <c r="I1584" i="1"/>
  <c r="I1588" i="1"/>
  <c r="I1589" i="1"/>
  <c r="I1590" i="1"/>
  <c r="I1591" i="1"/>
  <c r="I1592" i="1"/>
  <c r="I1593" i="1"/>
  <c r="I1594" i="1"/>
  <c r="I1595" i="1"/>
  <c r="I1596" i="1"/>
  <c r="I1597" i="1"/>
  <c r="I1598" i="1"/>
  <c r="I1604" i="1"/>
  <c r="I1606" i="1"/>
  <c r="I1608" i="1"/>
  <c r="I1609" i="1"/>
  <c r="I1610" i="1"/>
  <c r="I1612" i="1"/>
  <c r="I1521" i="1"/>
  <c r="I1523" i="1"/>
  <c r="I1524" i="1"/>
  <c r="I1525" i="1"/>
  <c r="I1527" i="1"/>
  <c r="I1528" i="1"/>
  <c r="I1529" i="1"/>
  <c r="I1530" i="1"/>
  <c r="I1533" i="1"/>
  <c r="I1534" i="1"/>
  <c r="I1535" i="1"/>
  <c r="I1540" i="1"/>
  <c r="I1541" i="1"/>
  <c r="I1542" i="1"/>
  <c r="I1544" i="1"/>
  <c r="I1546" i="1"/>
  <c r="I1548" i="1"/>
  <c r="I1549" i="1"/>
  <c r="I1550" i="1"/>
  <c r="I1553" i="1"/>
  <c r="I1554" i="1"/>
  <c r="I1555" i="1"/>
  <c r="I1563" i="1"/>
  <c r="I1506" i="1"/>
  <c r="I1507" i="1"/>
  <c r="I1464" i="1"/>
  <c r="I1469" i="1"/>
  <c r="I1470" i="1"/>
  <c r="I1471" i="1"/>
  <c r="I1472" i="1"/>
  <c r="I1473" i="1"/>
  <c r="I1474" i="1"/>
  <c r="I1475" i="1"/>
  <c r="I1476" i="1"/>
  <c r="I1484" i="1"/>
  <c r="I1485" i="1"/>
  <c r="I1432" i="1"/>
  <c r="I1436" i="1"/>
  <c r="I1438" i="1"/>
  <c r="I1441" i="1"/>
  <c r="I1442" i="1"/>
  <c r="I1444" i="1"/>
  <c r="I1450" i="1"/>
  <c r="I1452" i="1"/>
  <c r="I1458" i="1"/>
  <c r="I1462" i="1"/>
  <c r="I1463" i="1"/>
  <c r="I1395" i="1"/>
  <c r="I1399" i="1"/>
  <c r="I1400" i="1"/>
  <c r="I1403" i="1"/>
  <c r="I1404" i="1"/>
  <c r="I1409" i="1"/>
  <c r="I1410" i="1"/>
  <c r="I1411" i="1"/>
  <c r="I1412" i="1"/>
  <c r="I1413" i="1"/>
  <c r="I1414" i="1"/>
  <c r="I1415" i="1"/>
  <c r="I1416" i="1"/>
  <c r="I1419" i="1"/>
  <c r="I1420" i="1"/>
  <c r="I1431" i="1"/>
  <c r="I1322" i="1"/>
  <c r="I1323" i="1"/>
  <c r="I1324" i="1"/>
  <c r="I1325" i="1"/>
  <c r="I1326" i="1"/>
  <c r="I1333" i="1"/>
  <c r="I1334" i="1"/>
  <c r="I1335" i="1"/>
  <c r="I1336" i="1"/>
  <c r="I1337" i="1"/>
  <c r="I1338" i="1"/>
  <c r="I1339" i="1"/>
  <c r="I1340" i="1"/>
  <c r="I1342" i="1"/>
  <c r="I1343" i="1"/>
  <c r="I1305" i="1"/>
  <c r="I1306" i="1"/>
  <c r="I1307" i="1"/>
  <c r="I1308" i="1"/>
  <c r="I1309" i="1"/>
  <c r="I1310" i="1"/>
  <c r="I1311" i="1"/>
  <c r="I1267" i="1"/>
  <c r="I1271" i="1"/>
  <c r="I1272" i="1"/>
  <c r="I1277" i="1"/>
  <c r="I1279" i="1"/>
  <c r="I1280" i="1"/>
  <c r="I1281" i="1"/>
  <c r="I1282" i="1"/>
  <c r="I1283" i="1"/>
  <c r="I1284" i="1"/>
  <c r="I1285" i="1"/>
  <c r="I1286" i="1"/>
  <c r="I1287" i="1"/>
  <c r="I1289" i="1"/>
  <c r="I1290" i="1"/>
  <c r="I1291" i="1"/>
  <c r="I1292" i="1"/>
  <c r="I1293" i="1"/>
  <c r="I1294" i="1"/>
  <c r="I1295" i="1"/>
  <c r="I1296" i="1"/>
  <c r="I1298" i="1"/>
  <c r="I1299" i="1"/>
  <c r="I1213" i="1"/>
  <c r="I1214" i="1"/>
  <c r="I1215" i="1"/>
  <c r="I1216" i="1"/>
  <c r="I1222" i="1"/>
  <c r="I1223" i="1"/>
  <c r="I1224" i="1"/>
  <c r="I1227" i="1"/>
  <c r="I1228" i="1"/>
  <c r="I1229" i="1"/>
  <c r="I1238" i="1"/>
  <c r="I1176" i="1"/>
  <c r="I1177" i="1"/>
  <c r="I1179" i="1"/>
  <c r="I1198" i="1"/>
  <c r="I1199" i="1"/>
  <c r="I1201" i="1"/>
  <c r="I1154" i="1"/>
  <c r="I1155" i="1"/>
  <c r="I1158" i="1"/>
  <c r="I1161" i="1"/>
  <c r="I1162" i="1"/>
  <c r="I1164" i="1"/>
  <c r="I1165" i="1"/>
  <c r="I1166" i="1"/>
  <c r="I1167" i="1"/>
  <c r="I1168" i="1"/>
  <c r="I1169" i="1"/>
  <c r="I1173" i="1"/>
  <c r="I1175" i="1"/>
  <c r="I1125" i="1"/>
  <c r="I1126" i="1"/>
  <c r="I1130" i="1"/>
  <c r="I1131" i="1"/>
  <c r="I1132" i="1"/>
  <c r="I1133" i="1"/>
  <c r="I1350" i="1"/>
  <c r="I1351" i="1"/>
  <c r="I1352" i="1"/>
  <c r="I1115" i="1"/>
  <c r="I1116" i="1"/>
  <c r="I1117" i="1"/>
  <c r="I1124" i="1"/>
  <c r="I1064" i="1"/>
  <c r="I1067" i="1"/>
  <c r="I1077" i="1"/>
  <c r="I1083" i="1"/>
  <c r="I1084" i="1"/>
  <c r="I1086" i="1"/>
  <c r="I1010" i="1"/>
  <c r="I1013" i="1"/>
  <c r="I1017" i="1"/>
  <c r="I1022" i="1"/>
  <c r="I1036" i="1"/>
  <c r="I1040" i="1"/>
  <c r="I1043" i="1"/>
  <c r="I978" i="1"/>
  <c r="I979" i="1"/>
  <c r="I993" i="1"/>
  <c r="I994" i="1"/>
  <c r="I995" i="1"/>
  <c r="I996" i="1"/>
  <c r="I997" i="1"/>
  <c r="I998" i="1"/>
  <c r="I999" i="1"/>
  <c r="I1002" i="1"/>
  <c r="I1003" i="1"/>
  <c r="I1008" i="1"/>
  <c r="I3293" i="1"/>
  <c r="I908" i="1"/>
  <c r="I910" i="1"/>
  <c r="I914" i="1"/>
  <c r="I916" i="1"/>
  <c r="I917" i="1"/>
  <c r="I921" i="1"/>
  <c r="I924" i="1"/>
  <c r="I943" i="1"/>
  <c r="I945" i="1"/>
  <c r="I860" i="1"/>
  <c r="I861" i="1"/>
  <c r="I864" i="1"/>
  <c r="I865" i="1"/>
  <c r="I878" i="1"/>
  <c r="I827" i="1"/>
  <c r="I831" i="1"/>
  <c r="I835" i="1"/>
  <c r="I836" i="1"/>
  <c r="I844" i="1"/>
  <c r="I848" i="1"/>
  <c r="I856" i="1"/>
  <c r="I857" i="1"/>
  <c r="I858" i="1"/>
  <c r="I802" i="1"/>
  <c r="I803" i="1"/>
  <c r="I807" i="1"/>
  <c r="I812" i="1"/>
  <c r="I813" i="1"/>
  <c r="I814" i="1"/>
  <c r="I818" i="1"/>
  <c r="I822" i="1"/>
  <c r="I823" i="1"/>
  <c r="I824" i="1"/>
  <c r="I825" i="1"/>
  <c r="I762" i="1"/>
  <c r="I763" i="1"/>
  <c r="I764" i="1"/>
  <c r="I765" i="1"/>
  <c r="I766" i="1"/>
  <c r="I767" i="1"/>
  <c r="I768" i="1"/>
  <c r="I715" i="1"/>
  <c r="I720" i="1"/>
  <c r="I723" i="1"/>
  <c r="I726" i="1"/>
  <c r="I727" i="1"/>
  <c r="I728" i="1"/>
  <c r="I730" i="1"/>
  <c r="I731" i="1"/>
  <c r="I734" i="1"/>
  <c r="I736" i="1"/>
  <c r="I738" i="1"/>
  <c r="I674" i="1"/>
  <c r="I683" i="1"/>
  <c r="I685" i="1"/>
  <c r="I691" i="1"/>
  <c r="I693" i="1"/>
  <c r="I694" i="1"/>
  <c r="I697" i="1"/>
  <c r="I698" i="1"/>
  <c r="I701" i="1"/>
  <c r="I702" i="1"/>
  <c r="I703" i="1"/>
  <c r="I708" i="1"/>
  <c r="I709" i="1"/>
  <c r="I710" i="1"/>
  <c r="I713" i="1"/>
  <c r="I669" i="1"/>
  <c r="I670" i="1"/>
  <c r="I671" i="1"/>
  <c r="I672" i="1"/>
  <c r="I618" i="1"/>
  <c r="I619" i="1"/>
  <c r="I621" i="1"/>
  <c r="I627" i="1"/>
  <c r="I629" i="1"/>
  <c r="I630" i="1"/>
  <c r="I631" i="1"/>
  <c r="I632" i="1"/>
  <c r="I634" i="1"/>
  <c r="I637" i="1"/>
  <c r="I638" i="1"/>
  <c r="I644" i="1"/>
  <c r="I656" i="1"/>
  <c r="I663" i="1"/>
  <c r="I546" i="1"/>
  <c r="I556" i="1"/>
  <c r="I506" i="1"/>
  <c r="I507" i="1"/>
  <c r="I508" i="1"/>
  <c r="I509" i="1"/>
  <c r="I511" i="1"/>
  <c r="I513" i="1"/>
  <c r="I523" i="1"/>
  <c r="I524" i="1"/>
  <c r="I526" i="1"/>
  <c r="I528" i="1"/>
  <c r="I530" i="1"/>
  <c r="I533" i="1"/>
  <c r="I536" i="1"/>
  <c r="I538" i="1"/>
  <c r="I539" i="1"/>
  <c r="I541" i="1"/>
  <c r="I460" i="1"/>
  <c r="I462" i="1"/>
  <c r="I463" i="1"/>
  <c r="I464" i="1"/>
  <c r="I465" i="1"/>
  <c r="I466" i="1"/>
  <c r="I467" i="1"/>
  <c r="I470" i="1"/>
  <c r="I472" i="1"/>
  <c r="I473" i="1"/>
  <c r="I476" i="1"/>
  <c r="I477" i="1"/>
  <c r="I480" i="1"/>
  <c r="I482" i="1"/>
  <c r="I485" i="1"/>
  <c r="I487" i="1"/>
  <c r="I491" i="1"/>
  <c r="I493" i="1"/>
  <c r="I365" i="1"/>
  <c r="I367" i="1"/>
  <c r="I368" i="1"/>
  <c r="I380" i="1"/>
  <c r="I382" i="1"/>
  <c r="I390" i="1"/>
  <c r="I391" i="1"/>
  <c r="I399" i="1"/>
  <c r="I400" i="1"/>
  <c r="I402" i="1"/>
  <c r="I403" i="1"/>
  <c r="I410" i="1"/>
  <c r="I413" i="1"/>
  <c r="I414" i="1"/>
  <c r="I343" i="1"/>
  <c r="I345" i="1"/>
  <c r="I346" i="1"/>
  <c r="I347" i="1"/>
  <c r="I348" i="1"/>
  <c r="I349" i="1"/>
  <c r="I350" i="1"/>
  <c r="I351" i="1"/>
  <c r="I355" i="1"/>
  <c r="I356" i="1"/>
  <c r="I357" i="1"/>
  <c r="I358" i="1"/>
  <c r="I359" i="1"/>
  <c r="I360" i="1"/>
  <c r="I361" i="1"/>
  <c r="I363" i="1"/>
  <c r="I364" i="1"/>
  <c r="I322" i="1"/>
  <c r="I326" i="1"/>
  <c r="I341" i="1"/>
  <c r="I289" i="1"/>
  <c r="I290" i="1"/>
  <c r="I291" i="1"/>
  <c r="I292" i="1"/>
  <c r="I295" i="1"/>
  <c r="I299" i="1"/>
  <c r="I301" i="1"/>
  <c r="I302" i="1"/>
  <c r="I308" i="1"/>
  <c r="I310" i="1"/>
  <c r="I311" i="1"/>
  <c r="I315" i="1"/>
  <c r="I316" i="1"/>
  <c r="I319" i="1"/>
  <c r="I320" i="1"/>
  <c r="I218" i="1"/>
  <c r="I221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40" i="1"/>
  <c r="I241" i="1"/>
  <c r="I278" i="1"/>
  <c r="I165" i="1"/>
  <c r="I194" i="1"/>
  <c r="I216" i="1"/>
  <c r="I142" i="1"/>
  <c r="I144" i="1"/>
  <c r="I146" i="1"/>
  <c r="I148" i="1"/>
  <c r="I153" i="1"/>
  <c r="I154" i="1"/>
  <c r="I155" i="1"/>
  <c r="I156" i="1"/>
  <c r="I157" i="1"/>
  <c r="I159" i="1"/>
  <c r="I160" i="1"/>
  <c r="I161" i="1"/>
  <c r="I162" i="1"/>
  <c r="I163" i="1"/>
  <c r="I164" i="1"/>
  <c r="I115" i="1"/>
  <c r="I117" i="1"/>
  <c r="I120" i="1"/>
  <c r="I121" i="1"/>
  <c r="I123" i="1"/>
  <c r="I125" i="1"/>
  <c r="I127" i="1"/>
  <c r="I132" i="1"/>
  <c r="I128" i="1"/>
  <c r="I130" i="1"/>
  <c r="I131" i="1"/>
  <c r="I135" i="1"/>
  <c r="I136" i="1"/>
  <c r="I137" i="1"/>
  <c r="I139" i="1"/>
  <c r="I141" i="1"/>
  <c r="I76" i="1"/>
  <c r="I77" i="1"/>
  <c r="I78" i="1"/>
  <c r="I81" i="1"/>
  <c r="I85" i="1"/>
  <c r="I86" i="1"/>
  <c r="I87" i="1"/>
  <c r="I88" i="1"/>
  <c r="I92" i="1"/>
  <c r="I94" i="1"/>
  <c r="I96" i="1"/>
  <c r="I98" i="1"/>
  <c r="I101" i="1"/>
  <c r="I104" i="1"/>
  <c r="I106" i="1"/>
  <c r="I108" i="1"/>
  <c r="I49" i="1"/>
  <c r="I50" i="1"/>
  <c r="I53" i="1"/>
  <c r="I54" i="1"/>
  <c r="I56" i="1"/>
  <c r="I57" i="1"/>
  <c r="I61" i="1"/>
  <c r="I63" i="1"/>
  <c r="I64" i="1"/>
  <c r="I66" i="1"/>
  <c r="I68" i="1"/>
  <c r="I70" i="1"/>
  <c r="I73" i="1"/>
  <c r="I74" i="1"/>
  <c r="I75" i="1"/>
  <c r="I2" i="1"/>
  <c r="AF2" i="1" s="1"/>
  <c r="I14" i="1"/>
  <c r="I16" i="1"/>
  <c r="I19" i="1"/>
  <c r="I27" i="1"/>
  <c r="I29" i="1"/>
  <c r="I33" i="1"/>
  <c r="I38" i="1"/>
  <c r="I45" i="1"/>
  <c r="K4" i="3"/>
  <c r="I5" i="3"/>
  <c r="K5" i="3"/>
  <c r="K6" i="3"/>
  <c r="K7" i="3"/>
  <c r="I8" i="3"/>
  <c r="K8" i="3"/>
  <c r="K9" i="3"/>
  <c r="H5385" i="1"/>
  <c r="H5381" i="1"/>
  <c r="H5379" i="1"/>
  <c r="H5373" i="1"/>
  <c r="I3" i="3"/>
  <c r="K3" i="3"/>
  <c r="I4" i="3"/>
  <c r="K2" i="3"/>
  <c r="H4900" i="1"/>
  <c r="H4901" i="1"/>
  <c r="H4446" i="1"/>
  <c r="H4395" i="1"/>
  <c r="H4394" i="1"/>
  <c r="H4646" i="1"/>
  <c r="H4402" i="1"/>
  <c r="H4292" i="1"/>
  <c r="H4293" i="1"/>
  <c r="H4119" i="1"/>
  <c r="H4118" i="1"/>
  <c r="H3860" i="1"/>
  <c r="H1084" i="1"/>
  <c r="L3571" i="1"/>
  <c r="H3571" i="1"/>
  <c r="L3589" i="1"/>
  <c r="H3589" i="1"/>
  <c r="L3590" i="1"/>
  <c r="H3590" i="1"/>
  <c r="L3569" i="1"/>
  <c r="L3568" i="1"/>
  <c r="H3568" i="1"/>
  <c r="L3591" i="1"/>
  <c r="H3591" i="1"/>
  <c r="L3517" i="1"/>
  <c r="H3517" i="1"/>
  <c r="L3480" i="1"/>
  <c r="H3480" i="1"/>
  <c r="L4275" i="1"/>
  <c r="H4275" i="1"/>
  <c r="L1483" i="1"/>
  <c r="H1483" i="1"/>
  <c r="L3832" i="1"/>
  <c r="L1134" i="1"/>
  <c r="H1134" i="1"/>
  <c r="H278" i="1"/>
  <c r="H3936" i="1"/>
  <c r="H4032" i="1"/>
  <c r="H4097" i="1"/>
  <c r="H4335" i="1"/>
  <c r="H4508" i="1"/>
  <c r="H978" i="1"/>
  <c r="H3297" i="1"/>
  <c r="H3365" i="1"/>
  <c r="H3366" i="1"/>
  <c r="H3369" i="1"/>
  <c r="H3370" i="1"/>
  <c r="H3371" i="1"/>
  <c r="H3372" i="1"/>
  <c r="H3377" i="1"/>
  <c r="H3378" i="1"/>
  <c r="H3379" i="1"/>
  <c r="H3380" i="1"/>
  <c r="H3381" i="1"/>
  <c r="H3382" i="1"/>
  <c r="H3386" i="1"/>
  <c r="H3383" i="1"/>
  <c r="H3384" i="1"/>
  <c r="H3385" i="1"/>
  <c r="H3387" i="1"/>
  <c r="H3388" i="1"/>
  <c r="H3389" i="1"/>
  <c r="H3391" i="1"/>
  <c r="H3392" i="1"/>
  <c r="H3393" i="1"/>
  <c r="H3394" i="1"/>
  <c r="H3499" i="1"/>
  <c r="H3500" i="1"/>
  <c r="H3501" i="1"/>
  <c r="H3504" i="1"/>
  <c r="H3505" i="1"/>
  <c r="H3506" i="1"/>
  <c r="H3507" i="1"/>
  <c r="H3508" i="1"/>
  <c r="H3509" i="1"/>
  <c r="H3518" i="1"/>
  <c r="H3520" i="1"/>
  <c r="H3521" i="1"/>
  <c r="H3522" i="1"/>
  <c r="H3524" i="1"/>
  <c r="H3526" i="1"/>
  <c r="H3527" i="1"/>
  <c r="H3529" i="1"/>
  <c r="H3530" i="1"/>
  <c r="H3531" i="1"/>
  <c r="H3532" i="1"/>
  <c r="H3533" i="1"/>
  <c r="H3534" i="1"/>
  <c r="H3536" i="1"/>
  <c r="H3539" i="1"/>
  <c r="H3570" i="1"/>
  <c r="H3572" i="1"/>
  <c r="H3573" i="1"/>
  <c r="H3574" i="1"/>
  <c r="H3575" i="1"/>
  <c r="H3576" i="1"/>
  <c r="H3577" i="1"/>
  <c r="H3578" i="1"/>
  <c r="H3579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4693" i="1"/>
  <c r="H4694" i="1"/>
  <c r="H4696" i="1"/>
  <c r="H4695" i="1"/>
  <c r="H4758" i="1"/>
  <c r="H4879" i="1"/>
  <c r="H4675" i="1"/>
  <c r="H4812" i="1"/>
  <c r="H3856" i="1"/>
  <c r="H3857" i="1"/>
  <c r="H3858" i="1"/>
  <c r="H3878" i="1"/>
  <c r="H3889" i="1"/>
  <c r="H3891" i="1"/>
  <c r="H3932" i="1"/>
  <c r="H3933" i="1"/>
  <c r="H3934" i="1"/>
  <c r="H3960" i="1"/>
  <c r="H3973" i="1"/>
  <c r="H3975" i="1"/>
  <c r="H4043" i="1"/>
  <c r="H4044" i="1"/>
  <c r="H4045" i="1"/>
  <c r="H4065" i="1"/>
  <c r="H4066" i="1"/>
  <c r="H4071" i="1"/>
  <c r="H4090" i="1"/>
  <c r="H4091" i="1"/>
  <c r="H4092" i="1"/>
  <c r="H4104" i="1"/>
  <c r="H4105" i="1"/>
  <c r="H4106" i="1"/>
  <c r="H4226" i="1"/>
  <c r="H4227" i="1"/>
  <c r="H4228" i="1"/>
  <c r="H4112" i="1"/>
  <c r="H4265" i="1"/>
  <c r="H4301" i="1"/>
  <c r="H4404" i="1"/>
  <c r="H4405" i="1"/>
  <c r="H4406" i="1"/>
  <c r="H4414" i="1"/>
  <c r="H4425" i="1"/>
  <c r="H4435" i="1"/>
  <c r="H4554" i="1"/>
  <c r="H4555" i="1"/>
  <c r="H4559" i="1"/>
  <c r="H4563" i="1"/>
  <c r="H4564" i="1"/>
  <c r="H4567" i="1"/>
  <c r="H4704" i="1"/>
  <c r="H4702" i="1"/>
  <c r="H4701" i="1"/>
  <c r="H4659" i="1"/>
  <c r="H4703" i="1"/>
  <c r="H4682" i="1"/>
  <c r="H4825" i="1"/>
  <c r="H4903" i="1"/>
  <c r="H4940" i="1"/>
  <c r="H4970" i="1"/>
  <c r="H4991" i="1"/>
  <c r="H5097" i="1"/>
  <c r="H5101" i="1"/>
  <c r="H5102" i="1"/>
  <c r="H5164" i="1"/>
  <c r="H5176" i="1"/>
  <c r="H5183" i="1"/>
  <c r="H5320" i="1"/>
  <c r="H5319" i="1"/>
  <c r="H5335" i="1"/>
  <c r="H4629" i="1"/>
  <c r="H1828" i="1"/>
  <c r="H2623" i="1"/>
  <c r="H665" i="1"/>
  <c r="H1815" i="1"/>
  <c r="H2264" i="1"/>
  <c r="H2564" i="1"/>
  <c r="H721" i="1"/>
  <c r="H1225" i="1"/>
  <c r="H2513" i="1"/>
  <c r="H826" i="1"/>
  <c r="H2127" i="1"/>
  <c r="H1679" i="1"/>
  <c r="H1159" i="1"/>
  <c r="H2565" i="1"/>
  <c r="H3217" i="1"/>
  <c r="H288" i="1"/>
  <c r="H804" i="1"/>
  <c r="H1740" i="1"/>
  <c r="H1924" i="1"/>
  <c r="H1143" i="1"/>
  <c r="H2566" i="1"/>
  <c r="H79" i="1"/>
  <c r="H1600" i="1"/>
  <c r="H1160" i="1"/>
  <c r="H855" i="1"/>
  <c r="H1397" i="1"/>
  <c r="H750" i="1"/>
  <c r="H1916" i="1"/>
  <c r="H1402" i="1"/>
  <c r="H2572" i="1"/>
  <c r="H1787" i="1"/>
  <c r="H1467" i="1"/>
  <c r="H2671" i="1"/>
  <c r="H1747" i="1"/>
  <c r="H298" i="1"/>
  <c r="H733" i="1"/>
  <c r="H2131" i="1"/>
  <c r="H1145" i="1"/>
  <c r="H1819" i="1"/>
  <c r="H3103" i="1"/>
  <c r="H1171" i="1"/>
  <c r="H2291" i="1"/>
  <c r="H2509" i="1"/>
  <c r="H1246" i="1"/>
  <c r="H2012" i="1"/>
  <c r="H931" i="1"/>
  <c r="H1905" i="1"/>
  <c r="H314" i="1"/>
  <c r="H815" i="1"/>
  <c r="H2573" i="1"/>
  <c r="H1674" i="1"/>
  <c r="H1936" i="1"/>
  <c r="H2574" i="1"/>
  <c r="H1006" i="1"/>
  <c r="H687" i="1"/>
  <c r="H1613" i="1"/>
  <c r="H122" i="1"/>
  <c r="H1918" i="1"/>
  <c r="H2585" i="1"/>
  <c r="H1172" i="1"/>
  <c r="H940" i="1"/>
  <c r="H2297" i="1"/>
  <c r="H3528" i="1"/>
  <c r="H105" i="1"/>
  <c r="H2584" i="1"/>
  <c r="H707" i="1"/>
  <c r="H65" i="1"/>
  <c r="H626" i="1"/>
  <c r="H1806" i="1"/>
  <c r="H1705" i="1"/>
  <c r="H1958" i="1"/>
  <c r="H40" i="1"/>
  <c r="H2547" i="1"/>
  <c r="H828" i="1"/>
  <c r="H1127" i="1"/>
  <c r="H3318" i="1"/>
  <c r="H2016" i="1"/>
  <c r="H3671" i="1"/>
  <c r="H22" i="1"/>
  <c r="H3330" i="1"/>
  <c r="H3180" i="1"/>
  <c r="H1833" i="1"/>
  <c r="H3815" i="1"/>
  <c r="H4339" i="1"/>
  <c r="H4340" i="1"/>
  <c r="H4341" i="1"/>
  <c r="H4342" i="1"/>
  <c r="H4343" i="1"/>
  <c r="H4344" i="1"/>
  <c r="H4345" i="1"/>
  <c r="H4346" i="1"/>
  <c r="H4347" i="1"/>
  <c r="H4348" i="1"/>
  <c r="H3226" i="1"/>
  <c r="H4006" i="1"/>
  <c r="H4007" i="1"/>
  <c r="H4008" i="1"/>
  <c r="H4160" i="1"/>
  <c r="H4169" i="1"/>
  <c r="H4170" i="1"/>
  <c r="H4179" i="1"/>
  <c r="H4185" i="1"/>
  <c r="H4195" i="1"/>
  <c r="H4202" i="1"/>
  <c r="H4203" i="1"/>
  <c r="H4204" i="1"/>
  <c r="H4207" i="1"/>
  <c r="H4206" i="1"/>
  <c r="H1698" i="1"/>
  <c r="H1041" i="1"/>
  <c r="H1725" i="1"/>
  <c r="H1964" i="1"/>
  <c r="H1443" i="1"/>
  <c r="H2067" i="1"/>
  <c r="H849" i="1"/>
  <c r="H1068" i="1"/>
  <c r="H58" i="1"/>
  <c r="H2287" i="1"/>
  <c r="H1782" i="1"/>
  <c r="H306" i="1"/>
  <c r="H1445" i="1"/>
  <c r="H655" i="1"/>
  <c r="H1678" i="1"/>
  <c r="H2068" i="1"/>
  <c r="H1401" i="1"/>
  <c r="H851" i="1"/>
  <c r="H1582" i="1"/>
  <c r="H1000" i="1"/>
  <c r="H1486" i="1"/>
  <c r="H712" i="1"/>
  <c r="H2651" i="1"/>
  <c r="H2655" i="1"/>
  <c r="H2656" i="1"/>
  <c r="H2654" i="1"/>
  <c r="H2664" i="1"/>
  <c r="H2667" i="1"/>
  <c r="H2696" i="1"/>
  <c r="H2703" i="1"/>
  <c r="H2722" i="1"/>
  <c r="H2724" i="1"/>
  <c r="H2730" i="1"/>
  <c r="H2734" i="1"/>
  <c r="H2738" i="1"/>
  <c r="H2741" i="1"/>
  <c r="H2743" i="1"/>
  <c r="H2754" i="1"/>
  <c r="H2761" i="1"/>
  <c r="H2763" i="1"/>
  <c r="H2764" i="1"/>
  <c r="H2766" i="1"/>
  <c r="H2767" i="1"/>
  <c r="H2774" i="1"/>
  <c r="H2782" i="1"/>
  <c r="H2785" i="1"/>
  <c r="H2789" i="1"/>
  <c r="H2791" i="1"/>
  <c r="H2793" i="1"/>
  <c r="H2794" i="1"/>
  <c r="H2797" i="1"/>
  <c r="H2798" i="1"/>
  <c r="H2800" i="1"/>
  <c r="H2801" i="1"/>
  <c r="H2811" i="1"/>
  <c r="H2813" i="1"/>
  <c r="H2826" i="1"/>
  <c r="H2830" i="1"/>
  <c r="H2837" i="1"/>
  <c r="H3303" i="1"/>
  <c r="L2743" i="1"/>
  <c r="L2741" i="1"/>
  <c r="L2738" i="1"/>
  <c r="L3508" i="1"/>
  <c r="L2728" i="1"/>
  <c r="L5053" i="1"/>
  <c r="L5052" i="1"/>
  <c r="L5054" i="1"/>
  <c r="L5055" i="1"/>
  <c r="L707" i="1"/>
  <c r="L4991" i="1"/>
  <c r="L4970" i="1"/>
  <c r="L4940" i="1"/>
  <c r="L4905" i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L22" i="1"/>
  <c r="L40" i="1"/>
  <c r="L58" i="1"/>
  <c r="L79" i="1"/>
  <c r="L100" i="1"/>
  <c r="L105" i="1"/>
  <c r="L109" i="1"/>
  <c r="L118" i="1"/>
  <c r="L122" i="1"/>
  <c r="L134" i="1"/>
  <c r="L151" i="1"/>
  <c r="L288" i="1"/>
  <c r="L298" i="1"/>
  <c r="L306" i="1"/>
  <c r="L314" i="1"/>
  <c r="L626" i="1"/>
  <c r="L655" i="1"/>
  <c r="L657" i="1"/>
  <c r="L665" i="1"/>
  <c r="L687" i="1"/>
  <c r="L712" i="1"/>
  <c r="L721" i="1"/>
  <c r="L733" i="1"/>
  <c r="L750" i="1"/>
  <c r="L804" i="1"/>
  <c r="L815" i="1"/>
  <c r="L826" i="1"/>
  <c r="L828" i="1"/>
  <c r="L849" i="1"/>
  <c r="L855" i="1"/>
  <c r="L851" i="1"/>
  <c r="L931" i="1"/>
  <c r="L940" i="1"/>
  <c r="L1000" i="1"/>
  <c r="L1006" i="1"/>
  <c r="L1014" i="1"/>
  <c r="L1041" i="1"/>
  <c r="L1067" i="1"/>
  <c r="L1068" i="1"/>
  <c r="L1084" i="1"/>
  <c r="L1127" i="1"/>
  <c r="L1143" i="1"/>
  <c r="L1145" i="1"/>
  <c r="L1159" i="1"/>
  <c r="L1160" i="1"/>
  <c r="L1171" i="1"/>
  <c r="L1172" i="1"/>
  <c r="L1225" i="1"/>
  <c r="L1246" i="1"/>
  <c r="L1397" i="1"/>
  <c r="L1401" i="1"/>
  <c r="L1402" i="1"/>
  <c r="L1443" i="1"/>
  <c r="L1445" i="1"/>
  <c r="L1467" i="1"/>
  <c r="L1486" i="1"/>
  <c r="L1582" i="1"/>
  <c r="L1600" i="1"/>
  <c r="L1613" i="1"/>
  <c r="L1674" i="1"/>
  <c r="L1678" i="1"/>
  <c r="L1679" i="1"/>
  <c r="L1698" i="1"/>
  <c r="L1705" i="1"/>
  <c r="L1725" i="1"/>
  <c r="L1740" i="1"/>
  <c r="L1747" i="1"/>
  <c r="L1782" i="1"/>
  <c r="L1787" i="1"/>
  <c r="L1806" i="1"/>
  <c r="L1815" i="1"/>
  <c r="L1819" i="1"/>
  <c r="L1905" i="1"/>
  <c r="L1828" i="1"/>
  <c r="L1833" i="1"/>
  <c r="L1916" i="1"/>
  <c r="L1918" i="1"/>
  <c r="L2016" i="1"/>
  <c r="L1919" i="1"/>
  <c r="L1924" i="1"/>
  <c r="L1936" i="1"/>
  <c r="L1958" i="1"/>
  <c r="L1964" i="1"/>
  <c r="L2012" i="1"/>
  <c r="L2067" i="1"/>
  <c r="L2068" i="1"/>
  <c r="L2127" i="1"/>
  <c r="L2131" i="1"/>
  <c r="L2264" i="1"/>
  <c r="L2287" i="1"/>
  <c r="L2290" i="1"/>
  <c r="L2291" i="1"/>
  <c r="L2297" i="1"/>
  <c r="L2509" i="1"/>
  <c r="L2513" i="1"/>
  <c r="L2547" i="1"/>
  <c r="L2564" i="1"/>
  <c r="L2565" i="1"/>
  <c r="L2566" i="1"/>
  <c r="L2572" i="1"/>
  <c r="L2573" i="1"/>
  <c r="L2574" i="1"/>
  <c r="L2584" i="1"/>
  <c r="L2585" i="1"/>
  <c r="L2651" i="1"/>
  <c r="L2652" i="1"/>
  <c r="L2654" i="1"/>
  <c r="L2655" i="1"/>
  <c r="L2656" i="1"/>
  <c r="L2623" i="1"/>
  <c r="L2662" i="1"/>
  <c r="L2664" i="1"/>
  <c r="L2667" i="1"/>
  <c r="L2671" i="1"/>
  <c r="L2696" i="1"/>
  <c r="L2699" i="1"/>
  <c r="L2703" i="1"/>
  <c r="L2706" i="1"/>
  <c r="L2719" i="1"/>
  <c r="L2721" i="1"/>
  <c r="L2722" i="1"/>
  <c r="L2724" i="1"/>
  <c r="L2730" i="1"/>
  <c r="L2732" i="1"/>
  <c r="L2734" i="1"/>
  <c r="L2736" i="1"/>
  <c r="L2748" i="1"/>
  <c r="L2751" i="1"/>
  <c r="L2754" i="1"/>
  <c r="L2761" i="1"/>
  <c r="L2763" i="1"/>
  <c r="L2764" i="1"/>
  <c r="L2766" i="1"/>
  <c r="L2767" i="1"/>
  <c r="L2769" i="1"/>
  <c r="L2774" i="1"/>
  <c r="L2776" i="1"/>
  <c r="L2778" i="1"/>
  <c r="L2782" i="1"/>
  <c r="L2785" i="1"/>
  <c r="L2789" i="1"/>
  <c r="L2790" i="1"/>
  <c r="L2791" i="1"/>
  <c r="L2792" i="1"/>
  <c r="L2793" i="1"/>
  <c r="L2794" i="1"/>
  <c r="L2796" i="1"/>
  <c r="L2797" i="1"/>
  <c r="L2798" i="1"/>
  <c r="L2799" i="1"/>
  <c r="L2800" i="1"/>
  <c r="L2801" i="1"/>
  <c r="L2802" i="1"/>
  <c r="L2809" i="1"/>
  <c r="L2810" i="1"/>
  <c r="L2811" i="1"/>
  <c r="L2813" i="1"/>
  <c r="L2814" i="1"/>
  <c r="L2826" i="1"/>
  <c r="L2830" i="1"/>
  <c r="L2831" i="1"/>
  <c r="L3103" i="1"/>
  <c r="L2837" i="1"/>
  <c r="L3180" i="1"/>
  <c r="L2855" i="1"/>
  <c r="L2856" i="1"/>
  <c r="L2857" i="1"/>
  <c r="L2858" i="1"/>
  <c r="L2859" i="1"/>
  <c r="L2860" i="1"/>
  <c r="L2861" i="1"/>
  <c r="L2862" i="1"/>
  <c r="L2863" i="1"/>
  <c r="L2883" i="1"/>
  <c r="L2886" i="1"/>
  <c r="L2885" i="1"/>
  <c r="L2889" i="1"/>
  <c r="L2891" i="1"/>
  <c r="L3297" i="1"/>
  <c r="L3303" i="1"/>
  <c r="L3318" i="1"/>
  <c r="L3330" i="1"/>
  <c r="L3364" i="1"/>
  <c r="L3365" i="1"/>
  <c r="L3366" i="1"/>
  <c r="L3369" i="1"/>
  <c r="L3370" i="1"/>
  <c r="L3371" i="1"/>
  <c r="L3372" i="1"/>
  <c r="L3377" i="1"/>
  <c r="L3378" i="1"/>
  <c r="L3379" i="1"/>
  <c r="L3380" i="1"/>
  <c r="L3381" i="1"/>
  <c r="L3382" i="1"/>
  <c r="L3386" i="1"/>
  <c r="L3383" i="1"/>
  <c r="L3384" i="1"/>
  <c r="L3385" i="1"/>
  <c r="L3387" i="1"/>
  <c r="L3388" i="1"/>
  <c r="L3389" i="1"/>
  <c r="L3390" i="1"/>
  <c r="L3391" i="1"/>
  <c r="L3392" i="1"/>
  <c r="L3393" i="1"/>
  <c r="L3394" i="1"/>
  <c r="L3498" i="1"/>
  <c r="L3499" i="1"/>
  <c r="L3500" i="1"/>
  <c r="L3501" i="1"/>
  <c r="L3504" i="1"/>
  <c r="L3505" i="1"/>
  <c r="L3506" i="1"/>
  <c r="L3507" i="1"/>
  <c r="L3509" i="1"/>
  <c r="L3518" i="1"/>
  <c r="L3520" i="1"/>
  <c r="L3521" i="1"/>
  <c r="L3522" i="1"/>
  <c r="L3524" i="1"/>
  <c r="L3526" i="1"/>
  <c r="L3527" i="1"/>
  <c r="L3528" i="1"/>
  <c r="L3529" i="1"/>
  <c r="L3530" i="1"/>
  <c r="L3531" i="1"/>
  <c r="L3532" i="1"/>
  <c r="L3533" i="1"/>
  <c r="L3534" i="1"/>
  <c r="L3536" i="1"/>
  <c r="L3539" i="1"/>
  <c r="L3570" i="1"/>
  <c r="L3572" i="1"/>
  <c r="L3573" i="1"/>
  <c r="L3574" i="1"/>
  <c r="L3575" i="1"/>
  <c r="L3576" i="1"/>
  <c r="L3671" i="1"/>
  <c r="L3577" i="1"/>
  <c r="L3578" i="1"/>
  <c r="L3579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217" i="1"/>
  <c r="L3226" i="1"/>
  <c r="L3815" i="1"/>
  <c r="L3856" i="1"/>
  <c r="L3857" i="1"/>
  <c r="L3858" i="1"/>
  <c r="L3878" i="1"/>
  <c r="L3889" i="1"/>
  <c r="L3891" i="1"/>
  <c r="L3932" i="1"/>
  <c r="L3933" i="1"/>
  <c r="L3934" i="1"/>
  <c r="L3936" i="1"/>
  <c r="L3960" i="1"/>
  <c r="L3973" i="1"/>
  <c r="L3975" i="1"/>
  <c r="L4006" i="1"/>
  <c r="L4007" i="1"/>
  <c r="L4008" i="1"/>
  <c r="L4032" i="1"/>
  <c r="L4043" i="1"/>
  <c r="L4044" i="1"/>
  <c r="L4045" i="1"/>
  <c r="L4065" i="1"/>
  <c r="L4066" i="1"/>
  <c r="L4071" i="1"/>
  <c r="L4090" i="1"/>
  <c r="L4091" i="1"/>
  <c r="L4092" i="1"/>
  <c r="L4097" i="1"/>
  <c r="L4104" i="1"/>
  <c r="L4105" i="1"/>
  <c r="L4106" i="1"/>
  <c r="L4112" i="1"/>
  <c r="L4160" i="1"/>
  <c r="L4169" i="1"/>
  <c r="L4170" i="1"/>
  <c r="L4179" i="1"/>
  <c r="L4185" i="1"/>
  <c r="L4195" i="1"/>
  <c r="L4202" i="1"/>
  <c r="L4203" i="1"/>
  <c r="L4204" i="1"/>
  <c r="L4206" i="1"/>
  <c r="L4207" i="1"/>
  <c r="L4226" i="1"/>
  <c r="L4227" i="1"/>
  <c r="L4228" i="1"/>
  <c r="L4231" i="1"/>
  <c r="L4247" i="1"/>
  <c r="L4265" i="1"/>
  <c r="L4280" i="1"/>
  <c r="L4301" i="1"/>
  <c r="L4335" i="1"/>
  <c r="L4339" i="1"/>
  <c r="L4340" i="1"/>
  <c r="L4341" i="1"/>
  <c r="L4342" i="1"/>
  <c r="L4343" i="1"/>
  <c r="L4344" i="1"/>
  <c r="L4345" i="1"/>
  <c r="L4346" i="1"/>
  <c r="L4347" i="1"/>
  <c r="L4348" i="1"/>
  <c r="L4404" i="1"/>
  <c r="L4405" i="1"/>
  <c r="L4406" i="1"/>
  <c r="L4436" i="1"/>
  <c r="L4414" i="1"/>
  <c r="L4435" i="1"/>
  <c r="L4425" i="1"/>
  <c r="L4554" i="1"/>
  <c r="L4555" i="1"/>
  <c r="L4557" i="1"/>
  <c r="L4559" i="1"/>
  <c r="L4563" i="1"/>
  <c r="L4564" i="1"/>
  <c r="L4567" i="1"/>
  <c r="L4574" i="1"/>
  <c r="L4594" i="1"/>
  <c r="L4614" i="1"/>
  <c r="L4629" i="1"/>
  <c r="L4659" i="1"/>
  <c r="L4669" i="1"/>
  <c r="L4670" i="1"/>
  <c r="L4671" i="1"/>
  <c r="L4672" i="1"/>
  <c r="L4675" i="1"/>
  <c r="L4682" i="1"/>
  <c r="L4693" i="1"/>
  <c r="L4694" i="1"/>
  <c r="L4695" i="1"/>
  <c r="L4696" i="1"/>
  <c r="L4701" i="1"/>
  <c r="L4702" i="1"/>
  <c r="L4703" i="1"/>
  <c r="L4704" i="1"/>
  <c r="L4758" i="1"/>
  <c r="L4774" i="1"/>
  <c r="L4775" i="1"/>
  <c r="L4791" i="1"/>
  <c r="L4812" i="1"/>
  <c r="L4825" i="1"/>
  <c r="L4879" i="1"/>
  <c r="L4903" i="1"/>
  <c r="L4928" i="1"/>
  <c r="AP5329" i="1" l="1"/>
</calcChain>
</file>

<file path=xl/sharedStrings.xml><?xml version="1.0" encoding="utf-8"?>
<sst xmlns="http://schemas.openxmlformats.org/spreadsheetml/2006/main" count="76064" uniqueCount="16990">
  <si>
    <t>Alien Bodies</t>
  </si>
  <si>
    <t>EDA07</t>
  </si>
  <si>
    <t>Kursaal</t>
  </si>
  <si>
    <t>Luke Paton</t>
  </si>
  <si>
    <t>Glen Dakin</t>
  </si>
  <si>
    <t>New Series 2 in 1</t>
  </si>
  <si>
    <t>NSATiO1a</t>
  </si>
  <si>
    <t>NSATiO1b</t>
  </si>
  <si>
    <t>NSATiO2a</t>
  </si>
  <si>
    <t>NSATiO2b</t>
  </si>
  <si>
    <t>Richard Piers Rayner, Horacio Domingues, Tim Hamilton</t>
  </si>
  <si>
    <t>Up All Night</t>
  </si>
  <si>
    <t>Mark Buckingham</t>
  </si>
  <si>
    <t>IDW 2.6-2.8</t>
  </si>
  <si>
    <t>IDW 2.5</t>
  </si>
  <si>
    <t>IDW 2.2-2.4</t>
  </si>
  <si>
    <t>IDW 2.1</t>
  </si>
  <si>
    <t>IDW 1.1-1.2</t>
  </si>
  <si>
    <t>IDW 1.3-1.6</t>
  </si>
  <si>
    <t>IDW 1.7-1.8</t>
  </si>
  <si>
    <t>IDW 1.9-1.12</t>
  </si>
  <si>
    <t>IDW 1.13-1.16</t>
  </si>
  <si>
    <t>Kevin</t>
  </si>
  <si>
    <t>Josh Adams</t>
  </si>
  <si>
    <t>Rachelle Rosenberg</t>
  </si>
  <si>
    <t>IDW 2.9</t>
  </si>
  <si>
    <t>Venusian Lullaby</t>
  </si>
  <si>
    <t>L</t>
  </si>
  <si>
    <t>The Rescue</t>
  </si>
  <si>
    <t>V</t>
  </si>
  <si>
    <t>Christopher Barry</t>
  </si>
  <si>
    <t>PDA44</t>
  </si>
  <si>
    <t>Byzantium!</t>
  </si>
  <si>
    <t>M</t>
  </si>
  <si>
    <t>The Romans</t>
  </si>
  <si>
    <t>PDA66</t>
  </si>
  <si>
    <t>The Eleventh Tiger</t>
  </si>
  <si>
    <t>N</t>
  </si>
  <si>
    <t>1''</t>
  </si>
  <si>
    <t>Date</t>
  </si>
  <si>
    <t>Gareth Roberts, Russell T. Davies</t>
  </si>
  <si>
    <t>Phil Gladwin</t>
  </si>
  <si>
    <t>Shadowmind</t>
  </si>
  <si>
    <t>Birthright</t>
  </si>
  <si>
    <t>NA18</t>
  </si>
  <si>
    <t>Iceberg</t>
  </si>
  <si>
    <t>NA19</t>
  </si>
  <si>
    <t>Blood Heat</t>
  </si>
  <si>
    <t>NA20</t>
  </si>
  <si>
    <t>The Dimension Riders</t>
  </si>
  <si>
    <t>NA21</t>
  </si>
  <si>
    <t>The Kingdom Builders</t>
  </si>
  <si>
    <t>TVC 992-999</t>
  </si>
  <si>
    <t>Sarah Jane</t>
  </si>
  <si>
    <t>The Hungry Bomb</t>
  </si>
  <si>
    <t>DWM 190</t>
  </si>
  <si>
    <t>A Visit to the Cinema</t>
  </si>
  <si>
    <t>The Harvest</t>
  </si>
  <si>
    <t>Hex</t>
  </si>
  <si>
    <t>7W/A</t>
  </si>
  <si>
    <t>Dreamtime</t>
  </si>
  <si>
    <t>7W/B</t>
  </si>
  <si>
    <t>LIVE 34</t>
  </si>
  <si>
    <t>7W/C</t>
  </si>
  <si>
    <t>Space and Time</t>
  </si>
  <si>
    <t>Night Thoughts</t>
  </si>
  <si>
    <t>7W/D</t>
  </si>
  <si>
    <t>The Settling</t>
  </si>
  <si>
    <t>7W/E</t>
  </si>
  <si>
    <t>No Man's Land</t>
  </si>
  <si>
    <t>7W/F</t>
  </si>
  <si>
    <t>Nocturne</t>
  </si>
  <si>
    <t>TWM25.3</t>
  </si>
  <si>
    <t>Overture</t>
  </si>
  <si>
    <t>Torchwood Magazine Comic</t>
  </si>
  <si>
    <t>TWM25.1</t>
  </si>
  <si>
    <t>Unplugged</t>
  </si>
  <si>
    <t>TWM25.2</t>
  </si>
  <si>
    <t>Requiem</t>
  </si>
  <si>
    <t>TWM25.4</t>
  </si>
  <si>
    <t>We All Go Through</t>
  </si>
  <si>
    <t>Steve Tribe, James Goss</t>
  </si>
  <si>
    <t>TWM23.1</t>
  </si>
  <si>
    <t>Mend Me</t>
  </si>
  <si>
    <t>The Secret of Crow Island</t>
  </si>
  <si>
    <t>Everything's True</t>
  </si>
  <si>
    <t>Somebody Else's Problem</t>
  </si>
  <si>
    <t>TWM23.2</t>
  </si>
  <si>
    <t>TWM23.3</t>
  </si>
  <si>
    <t>TWM23.4</t>
  </si>
  <si>
    <t>Stephen Downey</t>
  </si>
  <si>
    <t>Red-Handed</t>
  </si>
  <si>
    <t>Cultural Firsts</t>
  </si>
  <si>
    <t>Hell House</t>
  </si>
  <si>
    <t>TWM24.1</t>
  </si>
  <si>
    <t>TWM24.2</t>
  </si>
  <si>
    <t>TWM24.3</t>
  </si>
  <si>
    <t>TWM24.4</t>
  </si>
  <si>
    <t>Richard Stokes</t>
  </si>
  <si>
    <t>Roger Gibson</t>
  </si>
  <si>
    <t>Vince Danks</t>
  </si>
  <si>
    <t>The Legacy of Torchwood One!</t>
  </si>
  <si>
    <t>TWM1.1</t>
  </si>
  <si>
    <t>SL Gallant</t>
  </si>
  <si>
    <t>21.2</t>
  </si>
  <si>
    <t>Shrouded</t>
  </si>
  <si>
    <t>Gareth David-Lloyd</t>
  </si>
  <si>
    <t>Postcards from the Rift</t>
  </si>
  <si>
    <t>Reflections</t>
  </si>
  <si>
    <t>TWM21.1</t>
  </si>
  <si>
    <t>TWM21.3</t>
  </si>
  <si>
    <t>Juliet E. McKenna</t>
  </si>
  <si>
    <t>The Package</t>
  </si>
  <si>
    <t>Ashes to Ashes</t>
  </si>
  <si>
    <t>Riff-Raff</t>
  </si>
  <si>
    <t>Lockdown</t>
  </si>
  <si>
    <t>Rare Earth</t>
  </si>
  <si>
    <t>Lisa Moran</t>
  </si>
  <si>
    <t>Lynn Johnston</t>
  </si>
  <si>
    <t>Sandra Shennan</t>
  </si>
  <si>
    <t>TWM3.1</t>
  </si>
  <si>
    <t>Jetsam</t>
  </si>
  <si>
    <t>The Abominable Snowmen</t>
  </si>
  <si>
    <t>Mervyn Haisman, Henry Lincoln</t>
  </si>
  <si>
    <t>Gerald Blake</t>
  </si>
  <si>
    <t>Peter Bryant</t>
  </si>
  <si>
    <t>OO</t>
  </si>
  <si>
    <t>The Ice Warriors</t>
  </si>
  <si>
    <t>PDA14</t>
  </si>
  <si>
    <t>Dreams of Empire</t>
  </si>
  <si>
    <t>PDA55</t>
  </si>
  <si>
    <t>Combat Rock</t>
  </si>
  <si>
    <t>PP</t>
  </si>
  <si>
    <t>Destiny of the Daleks</t>
  </si>
  <si>
    <t>Ken Grieve</t>
  </si>
  <si>
    <t>5H</t>
  </si>
  <si>
    <t>City of Death</t>
  </si>
  <si>
    <t>Douglas Adams, Graham Williams, David Fisher</t>
  </si>
  <si>
    <t>5G</t>
  </si>
  <si>
    <t>CC4.10</t>
  </si>
  <si>
    <t>CC1.01</t>
  </si>
  <si>
    <t>CC1.02</t>
  </si>
  <si>
    <t>CC4.09</t>
  </si>
  <si>
    <t>CC1.03</t>
  </si>
  <si>
    <t>CC1.04</t>
  </si>
  <si>
    <t>Iain McLaughlin and Claire Bartlett</t>
  </si>
  <si>
    <t>Jacqueline Rayner, David Bailey</t>
  </si>
  <si>
    <t>ST15:08</t>
  </si>
  <si>
    <t>ST18:24</t>
  </si>
  <si>
    <t>Gemma</t>
  </si>
  <si>
    <t>CC8:02</t>
  </si>
  <si>
    <t>The Alchemists</t>
  </si>
  <si>
    <t>Carole Ann Ford, Wayne Forester</t>
  </si>
  <si>
    <t>1-84435-946-2</t>
  </si>
  <si>
    <t>The Oil Well</t>
  </si>
  <si>
    <t>The Message of Mystery</t>
  </si>
  <si>
    <t>The Secret of the Mountain</t>
  </si>
  <si>
    <t>The Humanoids</t>
  </si>
  <si>
    <t>The Small Defender</t>
  </si>
  <si>
    <t>Monsters of Gurnian</t>
  </si>
  <si>
    <t>Break-through!</t>
  </si>
  <si>
    <t>Battle for the Moon</t>
  </si>
  <si>
    <t>7C/PD</t>
  </si>
  <si>
    <t>The Raincloud Man</t>
  </si>
  <si>
    <t>7C/PE</t>
  </si>
  <si>
    <t>Patient Zero</t>
  </si>
  <si>
    <t>7C/PF</t>
  </si>
  <si>
    <t>Paper Cuts</t>
  </si>
  <si>
    <t>7C/PG</t>
  </si>
  <si>
    <t>Blue Forgotten Planet</t>
  </si>
  <si>
    <t>23c</t>
  </si>
  <si>
    <t>PDA04</t>
  </si>
  <si>
    <t>Quinnis</t>
  </si>
  <si>
    <t>Farewell Great Macedon</t>
  </si>
  <si>
    <t>The Fragile Yellow Arc of Fragrance</t>
  </si>
  <si>
    <t>Andy Lane</t>
  </si>
  <si>
    <t>Steve Lyons</t>
  </si>
  <si>
    <t>Jonathan Morris</t>
  </si>
  <si>
    <t>James Swallow</t>
  </si>
  <si>
    <t>Scott Handcock</t>
  </si>
  <si>
    <t>Mark Wright and Cavan Scott</t>
  </si>
  <si>
    <t>Christopher Bulis</t>
  </si>
  <si>
    <t>Kim Newman</t>
  </si>
  <si>
    <t>ST16:08</t>
  </si>
  <si>
    <t>Waiting for Jeremy</t>
  </si>
  <si>
    <t>Richard Salter</t>
  </si>
  <si>
    <t>DWYB 1993</t>
  </si>
  <si>
    <t>Cambridge Previsited</t>
  </si>
  <si>
    <t>Karen Dunn</t>
  </si>
  <si>
    <t>1-85400-284-8</t>
  </si>
  <si>
    <t>ST2:06</t>
  </si>
  <si>
    <t>64 Carlysle Street</t>
  </si>
  <si>
    <t>DEC1:08</t>
  </si>
  <si>
    <t>The Golden Door</t>
  </si>
  <si>
    <t>Paula Moore</t>
  </si>
  <si>
    <t>6V</t>
  </si>
  <si>
    <t>Vengeance on Varos</t>
  </si>
  <si>
    <t>Philip Martin</t>
  </si>
  <si>
    <t>PDA31</t>
  </si>
  <si>
    <t>Grave Matter</t>
  </si>
  <si>
    <t>PDA67</t>
  </si>
  <si>
    <t>The Solar System</t>
  </si>
  <si>
    <t>The History of Christmas</t>
  </si>
  <si>
    <t>Farewells</t>
  </si>
  <si>
    <t>The Centenarian</t>
  </si>
  <si>
    <t>Time Signature</t>
  </si>
  <si>
    <t>Destination Prague</t>
  </si>
  <si>
    <t>Snapshots</t>
  </si>
  <si>
    <t>The Ghosts of Christmas</t>
  </si>
  <si>
    <t>Defining Patterns</t>
  </si>
  <si>
    <t>The Quality of Leadership</t>
  </si>
  <si>
    <t>Transmissions</t>
  </si>
  <si>
    <t>How the Doctor Changed My Life</t>
  </si>
  <si>
    <t>Christmas Around the World</t>
  </si>
  <si>
    <t>Indefinable Magic</t>
  </si>
  <si>
    <t>Short Trips Volumes</t>
  </si>
  <si>
    <t>A Fix with Sontarans</t>
  </si>
  <si>
    <t>23</t>
  </si>
  <si>
    <t>7A</t>
  </si>
  <si>
    <t>The Mysterious Planet</t>
  </si>
  <si>
    <t>Nicholas Mallett</t>
  </si>
  <si>
    <t>7B</t>
  </si>
  <si>
    <t>Mindwarp</t>
  </si>
  <si>
    <t>7C-1</t>
  </si>
  <si>
    <t>Terror of the Vervoids</t>
  </si>
  <si>
    <t>Chris Clough</t>
  </si>
  <si>
    <t>7C-2</t>
  </si>
  <si>
    <t>The Ultimate Foe</t>
  </si>
  <si>
    <t>Robert Holmes, Pip and Jane Baker</t>
  </si>
  <si>
    <t>MA08</t>
  </si>
  <si>
    <t>Time of Your Life</t>
  </si>
  <si>
    <t>MA23</t>
  </si>
  <si>
    <t>Killing Ground</t>
  </si>
  <si>
    <t>SS5</t>
  </si>
  <si>
    <t>The Wormery</t>
  </si>
  <si>
    <t>EX02</t>
  </si>
  <si>
    <t>Excelis Rising</t>
  </si>
  <si>
    <t>DVD Extra</t>
  </si>
  <si>
    <t>MitT1</t>
  </si>
  <si>
    <t>1-84435-127-0</t>
  </si>
  <si>
    <t>1-84435-132-7</t>
  </si>
  <si>
    <t>BFNo01:03</t>
  </si>
  <si>
    <t>Parallel Lives</t>
  </si>
  <si>
    <t>Parallel Lives: The Serpent's Tooh</t>
  </si>
  <si>
    <t>Parallel Lives: Hiding Places</t>
  </si>
  <si>
    <t>Parallel Lives: Jason and the Pirates</t>
  </si>
  <si>
    <t>1-84435-154-8</t>
  </si>
  <si>
    <t>Born Again: Children in Need</t>
  </si>
  <si>
    <t>2.X</t>
  </si>
  <si>
    <t>The Christmas Invasion</t>
  </si>
  <si>
    <t>Attack of the Graske</t>
  </si>
  <si>
    <t>Roger Langridge</t>
  </si>
  <si>
    <t>James Offredi</t>
  </si>
  <si>
    <t>Reader / Colourist</t>
  </si>
  <si>
    <t>Alan Craddock</t>
  </si>
  <si>
    <t>1-4458-6762-5</t>
  </si>
  <si>
    <t>NSAA19</t>
  </si>
  <si>
    <t>The Empty House</t>
  </si>
  <si>
    <t>1-4084-6882-1</t>
  </si>
  <si>
    <t>The Sleepers in the Dust</t>
  </si>
  <si>
    <t>NSAA20</t>
  </si>
  <si>
    <t>1-4458-9173-6</t>
  </si>
  <si>
    <t>NSAA21</t>
  </si>
  <si>
    <t>Snake Bite</t>
  </si>
  <si>
    <t>Frances Barber</t>
  </si>
  <si>
    <t>1-4084-6836-4</t>
  </si>
  <si>
    <t>Merry Christmas Doctor Who</t>
  </si>
  <si>
    <t>Sontarans: Silent Warrior</t>
  </si>
  <si>
    <t>Paul Grehan</t>
  </si>
  <si>
    <t>Sontarans: Old Soldiers</t>
  </si>
  <si>
    <t>Simon Gerard</t>
  </si>
  <si>
    <t>Sontarans: Conduct Unbecoming</t>
  </si>
  <si>
    <t>Gareth Preston</t>
  </si>
  <si>
    <t>John Wadmore</t>
  </si>
  <si>
    <t>Krynoids: The Root of All Evil</t>
  </si>
  <si>
    <t>Krynoids: The Green Man</t>
  </si>
  <si>
    <t>Zoltán Déry</t>
  </si>
  <si>
    <t>DWA 273</t>
  </si>
  <si>
    <t>DWA 128</t>
  </si>
  <si>
    <t>DWA 129</t>
  </si>
  <si>
    <t>DWA 130</t>
  </si>
  <si>
    <t>DWA 131</t>
  </si>
  <si>
    <t>DWA 132</t>
  </si>
  <si>
    <t>DWA 133</t>
  </si>
  <si>
    <t>DWA 134</t>
  </si>
  <si>
    <t>DWA 135</t>
  </si>
  <si>
    <t>DWA 136</t>
  </si>
  <si>
    <t>DWA 137</t>
  </si>
  <si>
    <t>DWA 138</t>
  </si>
  <si>
    <t>DWA 139</t>
  </si>
  <si>
    <t>DWA 140</t>
  </si>
  <si>
    <t>DWA 141</t>
  </si>
  <si>
    <t>DWA 142</t>
  </si>
  <si>
    <t>The Feast of Axos</t>
  </si>
  <si>
    <t>Mike Maddox</t>
  </si>
  <si>
    <t>Stephen Cole, Justin Richards</t>
  </si>
  <si>
    <t>Return of the Krotons</t>
  </si>
  <si>
    <t>7C/PH</t>
  </si>
  <si>
    <t>City of Spires</t>
  </si>
  <si>
    <t>Simon Bovey</t>
  </si>
  <si>
    <t>Marty Ross</t>
  </si>
  <si>
    <t>Night's Black Agents</t>
  </si>
  <si>
    <t>CC4.11</t>
  </si>
  <si>
    <t>The Angel of Scutari</t>
  </si>
  <si>
    <t>NA09</t>
  </si>
  <si>
    <t>Love and War</t>
  </si>
  <si>
    <t>NA10</t>
  </si>
  <si>
    <t>Transit</t>
  </si>
  <si>
    <t>NA11</t>
  </si>
  <si>
    <t>The Highest Science</t>
  </si>
  <si>
    <t>NA12</t>
  </si>
  <si>
    <t>Prisoners of the Sun</t>
  </si>
  <si>
    <t>Tim Robins</t>
  </si>
  <si>
    <t>The Man Who (Nearly) Killed Christmas</t>
  </si>
  <si>
    <t>ST30:06</t>
  </si>
  <si>
    <t>Final Sacrifice</t>
  </si>
  <si>
    <t>IDW Ann 2010</t>
  </si>
  <si>
    <t>The Big, Blue Box</t>
  </si>
  <si>
    <t>Old Friend</t>
  </si>
  <si>
    <t>To Sleep, Perchance to Scream</t>
  </si>
  <si>
    <t>Ground Control</t>
  </si>
  <si>
    <t>Jonathan L. Davis</t>
  </si>
  <si>
    <t>Heather</t>
  </si>
  <si>
    <t>Dead-Line</t>
  </si>
  <si>
    <t>Junk Food</t>
  </si>
  <si>
    <t>The Unwelcome Visitors</t>
  </si>
  <si>
    <t>Hook, Line and Sinker</t>
  </si>
  <si>
    <t>The Highest Stake</t>
  </si>
  <si>
    <t>We Will Rock You</t>
  </si>
  <si>
    <t>A Merry Little Christmas</t>
  </si>
  <si>
    <t>Lucky Heather</t>
  </si>
  <si>
    <t>Wolfie</t>
  </si>
  <si>
    <t>Arctic Eclipse</t>
  </si>
  <si>
    <t>Andy Lane, Justin Richards</t>
  </si>
  <si>
    <t>Peter Anghelides, Stephen Cole</t>
  </si>
  <si>
    <t>Steve Emmerson</t>
  </si>
  <si>
    <t>Fear Itself</t>
  </si>
  <si>
    <t>PDA73</t>
  </si>
  <si>
    <t>Nick Wallace</t>
  </si>
  <si>
    <t>Simon Bucher-Jones, Kelly Hale</t>
  </si>
  <si>
    <t>Mark Clapham</t>
  </si>
  <si>
    <t>Paul Ebbs</t>
  </si>
  <si>
    <t>Mags L. Halliday</t>
  </si>
  <si>
    <t>Amy's Choice</t>
  </si>
  <si>
    <t>31.8/9</t>
  </si>
  <si>
    <t>RH &amp; Anthony Read</t>
  </si>
  <si>
    <t>4Y</t>
  </si>
  <si>
    <t>Underworld</t>
  </si>
  <si>
    <t>Norman Stewart</t>
  </si>
  <si>
    <t>Anthony Read</t>
  </si>
  <si>
    <t>4Z</t>
  </si>
  <si>
    <t>The Invasion of Time</t>
  </si>
  <si>
    <t>Graham Williams, Anthony Read</t>
  </si>
  <si>
    <t>16</t>
  </si>
  <si>
    <t>5A</t>
  </si>
  <si>
    <t>The Ribos Operation</t>
  </si>
  <si>
    <t>PDA29</t>
  </si>
  <si>
    <t>Tomb of Valdemar</t>
  </si>
  <si>
    <t>5B</t>
  </si>
  <si>
    <t>The Pirate Planet</t>
  </si>
  <si>
    <t>Douglas Adams</t>
  </si>
  <si>
    <t>5C</t>
  </si>
  <si>
    <t>The Stones of Blood</t>
  </si>
  <si>
    <t>David Fisher</t>
  </si>
  <si>
    <t>Darrol Blake</t>
  </si>
  <si>
    <t>MA25</t>
  </si>
  <si>
    <t>The Shadow of Weng-Chiang</t>
  </si>
  <si>
    <t>PDA32</t>
  </si>
  <si>
    <t>Heart of TARDIS</t>
  </si>
  <si>
    <t>5D</t>
  </si>
  <si>
    <t>The Androids of Tara</t>
  </si>
  <si>
    <t>Michael Hayes</t>
  </si>
  <si>
    <t>5E</t>
  </si>
  <si>
    <t>From Raxacoricofallapatorius with Love</t>
  </si>
  <si>
    <t>CRSJA</t>
  </si>
  <si>
    <t>SJA3</t>
  </si>
  <si>
    <t>SJA13</t>
  </si>
  <si>
    <t>SJA14</t>
  </si>
  <si>
    <t>SJA15</t>
  </si>
  <si>
    <t>Who Killed Kennedy</t>
  </si>
  <si>
    <t>DWF01</t>
  </si>
  <si>
    <t>The Hero Factor</t>
  </si>
  <si>
    <t>1-4059-0245-0</t>
  </si>
  <si>
    <t>DWF03</t>
  </si>
  <si>
    <t>DWF02</t>
  </si>
  <si>
    <t>Stamp of Approval</t>
  </si>
  <si>
    <t>1-4059-0246-9</t>
  </si>
  <si>
    <t>1-4059-0247-7</t>
  </si>
  <si>
    <t>No Fun at the Fair</t>
  </si>
  <si>
    <t>DWF04</t>
  </si>
  <si>
    <t>The Final Darkness</t>
  </si>
  <si>
    <t>1-4059-0248-5</t>
  </si>
  <si>
    <t>DWF05</t>
  </si>
  <si>
    <t>Taking Mickey</t>
  </si>
  <si>
    <t>1-4059-0286-8</t>
  </si>
  <si>
    <t>DWF06</t>
  </si>
  <si>
    <t>A Dog's Life</t>
  </si>
  <si>
    <t>1-40590-250-2</t>
  </si>
  <si>
    <t>DWF07</t>
  </si>
  <si>
    <t>Mission to Galacton</t>
  </si>
  <si>
    <t>1-4059-0285-X</t>
  </si>
  <si>
    <t>DWF08</t>
  </si>
  <si>
    <t>Off the Rails</t>
  </si>
  <si>
    <t>1-40590-249-6</t>
  </si>
  <si>
    <t>DWF09</t>
  </si>
  <si>
    <t>STA4:02</t>
  </si>
  <si>
    <t>STA4:03</t>
  </si>
  <si>
    <t>STA4:04</t>
  </si>
  <si>
    <t>STA4:05</t>
  </si>
  <si>
    <t>STA4:06</t>
  </si>
  <si>
    <t>STA4:07</t>
  </si>
  <si>
    <t>STA4:08</t>
  </si>
  <si>
    <t>Avril Naude</t>
  </si>
  <si>
    <t>Charles Williams</t>
  </si>
  <si>
    <t>Cindy Garland</t>
  </si>
  <si>
    <t>John Grindrod</t>
  </si>
  <si>
    <t>Vin Marsden Hendrick</t>
  </si>
  <si>
    <t>Foster Marks</t>
  </si>
  <si>
    <t>A Star is Born</t>
  </si>
  <si>
    <t>Penny Wise, Pound Foolish</t>
  </si>
  <si>
    <t>Lost in the Wakefield Triangle</t>
  </si>
  <si>
    <t>The Old Rogue</t>
  </si>
  <si>
    <t>The Lions of Trafalgar</t>
  </si>
  <si>
    <t>To Cut a Blade of Grass</t>
  </si>
  <si>
    <t>The Shadow Trader</t>
  </si>
  <si>
    <t>Quantum Heresy</t>
  </si>
  <si>
    <t>All the Fun of the Fair</t>
  </si>
  <si>
    <t>The Riparian Ripper</t>
  </si>
  <si>
    <t>Murmurs of Earth</t>
  </si>
  <si>
    <t>Mire and Clay</t>
  </si>
  <si>
    <t>DWM 184</t>
  </si>
  <si>
    <t>Who Discovered America?</t>
  </si>
  <si>
    <t>DWM 200</t>
  </si>
  <si>
    <t>The Fearless, Part 1</t>
  </si>
  <si>
    <t>The Fearless, Part 2</t>
  </si>
  <si>
    <t>The Fearless, Part 3</t>
  </si>
  <si>
    <t>The Fearless, Part 4</t>
  </si>
  <si>
    <t>Jamie Robertson, Nicholas Briggs</t>
  </si>
  <si>
    <t>Brad Ashton, Terry Nation</t>
  </si>
  <si>
    <t>Panther Books</t>
  </si>
  <si>
    <t>Dalek Annual Story</t>
  </si>
  <si>
    <t>The Outlaw Planet</t>
  </si>
  <si>
    <t>Sara Kingdom, Space Security Agent</t>
  </si>
  <si>
    <t>The Living Death</t>
  </si>
  <si>
    <t>The Super Sub</t>
  </si>
  <si>
    <t>The Secret of the Emperor</t>
  </si>
  <si>
    <t>The Sea Monsters</t>
  </si>
  <si>
    <t>The Unwilling Traveller</t>
  </si>
  <si>
    <t>Diamond Dust</t>
  </si>
  <si>
    <t>The Brain Tappers</t>
  </si>
  <si>
    <t>TVC 1204-1214</t>
  </si>
  <si>
    <t>Death Flower</t>
  </si>
  <si>
    <t>The Last Days</t>
  </si>
  <si>
    <t>The Rocket Men</t>
  </si>
  <si>
    <t>The Anachronauts</t>
  </si>
  <si>
    <t>Peter Purves, Jean Marsh</t>
  </si>
  <si>
    <t>CC5.10</t>
  </si>
  <si>
    <t>The Sentinels of the New Dawn</t>
  </si>
  <si>
    <t>The Many Deaths of Jo Grant</t>
  </si>
  <si>
    <t>The Memory Cheats</t>
  </si>
  <si>
    <t>Phil Ford, James Moran</t>
  </si>
  <si>
    <t>n/a</t>
  </si>
  <si>
    <t>DWA 146</t>
  </si>
  <si>
    <t>DWA 147</t>
  </si>
  <si>
    <t>DWA 148</t>
  </si>
  <si>
    <t>DWA 149</t>
  </si>
  <si>
    <t>DWA 150</t>
  </si>
  <si>
    <t>Comforts of Home</t>
  </si>
  <si>
    <t>The Misadventure of Mark Thorne</t>
  </si>
  <si>
    <t>Piecemeal</t>
  </si>
  <si>
    <t>Do You Believe in the Krampus?</t>
  </si>
  <si>
    <t>Degrees of Truth</t>
  </si>
  <si>
    <t>ST15:03</t>
  </si>
  <si>
    <t>ST25:09</t>
  </si>
  <si>
    <t>The Sommerton Fetch</t>
  </si>
  <si>
    <t>ST23:10</t>
  </si>
  <si>
    <t>Spoilsport</t>
  </si>
  <si>
    <t>ST2:10</t>
  </si>
  <si>
    <t>Honest Living</t>
  </si>
  <si>
    <t>ST4:07</t>
  </si>
  <si>
    <t>ST12:04</t>
  </si>
  <si>
    <t>The Touch of the Nurazh</t>
  </si>
  <si>
    <t>STA2:08</t>
  </si>
  <si>
    <t>STA3:01</t>
  </si>
  <si>
    <t>STA3:04</t>
  </si>
  <si>
    <t>STA3:05</t>
  </si>
  <si>
    <t>STA3:06</t>
  </si>
  <si>
    <t>STA3:07</t>
  </si>
  <si>
    <t>e/Book</t>
  </si>
  <si>
    <t>The Nuclear Option</t>
  </si>
  <si>
    <t>The Avant Guardian</t>
  </si>
  <si>
    <t>ST9:14</t>
  </si>
  <si>
    <t>One Small Step...</t>
  </si>
  <si>
    <t>ST26:14</t>
  </si>
  <si>
    <t>Homework</t>
  </si>
  <si>
    <t>Michael Coen</t>
  </si>
  <si>
    <t>ST26:12</t>
  </si>
  <si>
    <t>Peter Davison</t>
  </si>
  <si>
    <t>Sophie Aldred</t>
  </si>
  <si>
    <t>India Fisher</t>
  </si>
  <si>
    <t>Nicholas Briggs, William Russell</t>
  </si>
  <si>
    <t>PDA19</t>
  </si>
  <si>
    <t>The Wages of Sin</t>
  </si>
  <si>
    <t>PPP</t>
  </si>
  <si>
    <t>Carnival of Monsters</t>
  </si>
  <si>
    <t>PDA56</t>
  </si>
  <si>
    <t>The Suns of Caresh</t>
  </si>
  <si>
    <t>QQQ</t>
  </si>
  <si>
    <t>Frontier in Space</t>
  </si>
  <si>
    <t>The Sandman</t>
  </si>
  <si>
    <t>7C/G</t>
  </si>
  <si>
    <t>Jubilee</t>
  </si>
  <si>
    <t>7C/H</t>
  </si>
  <si>
    <t>Doctor Who and the Pirates</t>
  </si>
  <si>
    <t>7C/J</t>
  </si>
  <si>
    <t>7C/K</t>
  </si>
  <si>
    <t>Arrangements for War</t>
  </si>
  <si>
    <t>7C/L</t>
  </si>
  <si>
    <t>Annabella Hurst-Brown</t>
  </si>
  <si>
    <t>MitT2</t>
  </si>
  <si>
    <t>Ron Turner</t>
  </si>
  <si>
    <t>Carpenter/Butterfly/Baronet</t>
  </si>
  <si>
    <t>1 84435 150 5</t>
  </si>
  <si>
    <t>Hide and Seek</t>
  </si>
  <si>
    <t>ST22:07</t>
  </si>
  <si>
    <t>ST23:01</t>
  </si>
  <si>
    <t>Sean Williams</t>
  </si>
  <si>
    <t>ST24:17</t>
  </si>
  <si>
    <t>She Knew</t>
  </si>
  <si>
    <t>The Time Warrior</t>
  </si>
  <si>
    <t>Anachrophobia</t>
  </si>
  <si>
    <t>EDA55</t>
  </si>
  <si>
    <t>Trading Futures</t>
  </si>
  <si>
    <t>EDA56</t>
  </si>
  <si>
    <t>The Book of the Still</t>
  </si>
  <si>
    <t>State of Emergency</t>
  </si>
  <si>
    <t>Counter-Measures</t>
  </si>
  <si>
    <t>The Death of Me</t>
  </si>
  <si>
    <t>The Inquisitor's Story</t>
  </si>
  <si>
    <t>Outsourcing</t>
  </si>
  <si>
    <t>Gone Fishing</t>
  </si>
  <si>
    <t>Walkin' City Blues</t>
  </si>
  <si>
    <t>Jake Elliott</t>
  </si>
  <si>
    <t>Justin Richards</t>
  </si>
  <si>
    <t>Mick Lewis</t>
  </si>
  <si>
    <t>Prison in Space</t>
  </si>
  <si>
    <t>Jason Haigh-Ellery, John Ainsworth</t>
  </si>
  <si>
    <t>The Destroyers</t>
  </si>
  <si>
    <t>Nicholas Briggs, John Dorney</t>
  </si>
  <si>
    <t>TW28.10</t>
  </si>
  <si>
    <t>Rendition</t>
  </si>
  <si>
    <t>Are You Listening?</t>
  </si>
  <si>
    <t>Warwick Gray</t>
  </si>
  <si>
    <t>Colin Andrew</t>
  </si>
  <si>
    <t>DWM 218-220</t>
  </si>
  <si>
    <t>Food for Thought</t>
  </si>
  <si>
    <t>Nick Briggs</t>
  </si>
  <si>
    <t>Colin Andrew (letters Elitta Fell)</t>
  </si>
  <si>
    <t>DWYB 1994</t>
  </si>
  <si>
    <t>A Religious Experience</t>
  </si>
  <si>
    <t>John Ridgway (letters Janey Rutter, colour Chrissie McCormack)</t>
  </si>
  <si>
    <t>John Freeman</t>
  </si>
  <si>
    <t>DWM 231-233</t>
  </si>
  <si>
    <t>Mark Wright</t>
  </si>
  <si>
    <t>ST17:01</t>
  </si>
  <si>
    <t>Mercury</t>
  </si>
  <si>
    <t>DEC1:02</t>
  </si>
  <si>
    <t>Fallen Angel</t>
  </si>
  <si>
    <t>ST16:16</t>
  </si>
  <si>
    <t>Visiting Hours</t>
  </si>
  <si>
    <t>ST1:03</t>
  </si>
  <si>
    <t>War Crimes</t>
  </si>
  <si>
    <t>6b</t>
  </si>
  <si>
    <t>ST23:16</t>
  </si>
  <si>
    <t>The Time Eater</t>
  </si>
  <si>
    <t>Book/MP3</t>
  </si>
  <si>
    <t>BF Bonus</t>
  </si>
  <si>
    <t>Peter Bennett</t>
  </si>
  <si>
    <t>Turlough and the Earthlink Dilemma</t>
  </si>
  <si>
    <t>Tony Attwood</t>
  </si>
  <si>
    <t>The Celestial Harmony Engine</t>
  </si>
  <si>
    <t>Peaceable Kingdom</t>
  </si>
  <si>
    <t>Clean-up on Aisle Two</t>
  </si>
  <si>
    <t>Policy to Invade</t>
  </si>
  <si>
    <t>The Tramp's Story</t>
  </si>
  <si>
    <t>Monitor</t>
  </si>
  <si>
    <t>Inmate 280</t>
  </si>
  <si>
    <t>Separation</t>
  </si>
  <si>
    <t>Perfect Present</t>
  </si>
  <si>
    <t>The Hunting of the Slook</t>
  </si>
  <si>
    <t>Omegamorphosis</t>
  </si>
  <si>
    <t>A Cold Day in Hell</t>
  </si>
  <si>
    <t>Redemption</t>
  </si>
  <si>
    <t>The Crossroads of time</t>
  </si>
  <si>
    <t>Claws of the Klathi</t>
  </si>
  <si>
    <t>Echoes of the Mogor</t>
  </si>
  <si>
    <t>Time and Tide</t>
  </si>
  <si>
    <t>DWA 160-161</t>
  </si>
  <si>
    <t>Attack of the Space Leeches!</t>
  </si>
  <si>
    <t>The Child of Time</t>
  </si>
  <si>
    <t>DWM 438-441</t>
  </si>
  <si>
    <t>Virgin Books</t>
  </si>
  <si>
    <t>Reeltime Pictures</t>
  </si>
  <si>
    <t>BBV Productions</t>
  </si>
  <si>
    <t>Target Books</t>
  </si>
  <si>
    <t>Beverley Allen</t>
  </si>
  <si>
    <t>Autaia Pipipi Pia</t>
  </si>
  <si>
    <t>No Room</t>
  </si>
  <si>
    <t>The Christmas Party</t>
  </si>
  <si>
    <t>The Best Days</t>
  </si>
  <si>
    <t>David Cromarty</t>
  </si>
  <si>
    <t>William Potter</t>
  </si>
  <si>
    <t>Conscription</t>
  </si>
  <si>
    <t>Christmas in Toronto</t>
  </si>
  <si>
    <t>ST31:01</t>
  </si>
  <si>
    <t>ST31:05</t>
  </si>
  <si>
    <t>ST31:06</t>
  </si>
  <si>
    <t>ST31:07</t>
  </si>
  <si>
    <t>ST31:08</t>
  </si>
  <si>
    <t>ST31:12</t>
  </si>
  <si>
    <t>ST31:13</t>
  </si>
  <si>
    <t>ST31:14</t>
  </si>
  <si>
    <t>ST31:16</t>
  </si>
  <si>
    <t>ST31:17</t>
  </si>
  <si>
    <t>David N. Smith</t>
  </si>
  <si>
    <t>What Has Happened to the Magic of Doctor Who?</t>
  </si>
  <si>
    <t>Shamans</t>
  </si>
  <si>
    <t>The Fall of the Druids</t>
  </si>
  <si>
    <t>Priceless Junk</t>
  </si>
  <si>
    <t>Have You Tried Turning it Off and Then Back On Again?</t>
  </si>
  <si>
    <t>Hello Goodbye</t>
  </si>
  <si>
    <t>Trial by Fire</t>
  </si>
  <si>
    <t>Death Sentences</t>
  </si>
  <si>
    <t>Mardi Gras Massacre</t>
  </si>
  <si>
    <t>Blessed are the Peacemakers</t>
  </si>
  <si>
    <t>TVC 758-762</t>
  </si>
  <si>
    <t>The Haunted Planet</t>
  </si>
  <si>
    <t>TVC 763-767</t>
  </si>
  <si>
    <t>C2</t>
  </si>
  <si>
    <t>C3</t>
  </si>
  <si>
    <t>C4</t>
  </si>
  <si>
    <t>CC2.01</t>
  </si>
  <si>
    <t>CC2.02</t>
  </si>
  <si>
    <t>CC2.03</t>
  </si>
  <si>
    <t>CC2.04</t>
  </si>
  <si>
    <t>The Good Soldier</t>
  </si>
  <si>
    <t>A Glitch in Time</t>
  </si>
  <si>
    <t>Evening's Empire</t>
  </si>
  <si>
    <t>The Grief</t>
  </si>
  <si>
    <t>Ravens</t>
  </si>
  <si>
    <t>Memorial</t>
  </si>
  <si>
    <t>Cat Litter</t>
  </si>
  <si>
    <t>Sunday Afternoon, 848,988 AD</t>
  </si>
  <si>
    <t>Closing the Account</t>
  </si>
  <si>
    <t>Metamorphosis</t>
  </si>
  <si>
    <t>Pureblood</t>
  </si>
  <si>
    <t>Younger and Wiser</t>
  </si>
  <si>
    <t>Playback</t>
  </si>
  <si>
    <t>Emperor of the Daleks</t>
  </si>
  <si>
    <t>Continuity Errors</t>
  </si>
  <si>
    <t>The Last Word</t>
  </si>
  <si>
    <t>Final Genesis</t>
  </si>
  <si>
    <t>Time and Time Again</t>
  </si>
  <si>
    <t>Cuckoo</t>
  </si>
  <si>
    <t>Question Mark Pyjamas</t>
  </si>
  <si>
    <t>Cold War</t>
  </si>
  <si>
    <t>Last Christmas</t>
  </si>
  <si>
    <t>Spookasem</t>
  </si>
  <si>
    <t>Nobody's Gift</t>
  </si>
  <si>
    <t>Testament</t>
  </si>
  <si>
    <t>The Trials of Tara</t>
  </si>
  <si>
    <t>Of the Mermaid and Jupiter</t>
  </si>
  <si>
    <t>How You Get There</t>
  </si>
  <si>
    <t>Larkspur</t>
  </si>
  <si>
    <t>Kris Karter</t>
  </si>
  <si>
    <t>Rift War!</t>
  </si>
  <si>
    <t>Simon Furman, Ian Edginton</t>
  </si>
  <si>
    <t>Paul Grist, SL Gallant, D'Israeli</t>
  </si>
  <si>
    <t>Kris Karter, Hi-Fi Design, D'Israeli, Phil Elliott</t>
  </si>
  <si>
    <t>Harm's Way</t>
  </si>
  <si>
    <t>Black Water</t>
  </si>
  <si>
    <t>9 0ct 08</t>
  </si>
  <si>
    <t>The Book of Jahi</t>
  </si>
  <si>
    <t>1-84576-936-9</t>
  </si>
  <si>
    <t>TWYB 2008.1</t>
  </si>
  <si>
    <t>Mrs Acres</t>
  </si>
  <si>
    <t>The Beauty of Our Weapons</t>
  </si>
  <si>
    <t>TWYB 2008.2</t>
  </si>
  <si>
    <t>TWYB 2008.3</t>
  </si>
  <si>
    <t>TWYB 2008.4</t>
  </si>
  <si>
    <t>Plant Life</t>
  </si>
  <si>
    <t>TWYB 2008.5</t>
  </si>
  <si>
    <t>Monster</t>
  </si>
  <si>
    <t>Who by Fire</t>
  </si>
  <si>
    <t>Medicinal Purposes</t>
  </si>
  <si>
    <t>7C/MA</t>
  </si>
  <si>
    <t>Pier Pressure</t>
  </si>
  <si>
    <t>7C/MB</t>
  </si>
  <si>
    <t>Resistance</t>
  </si>
  <si>
    <t>KK</t>
  </si>
  <si>
    <t>The Faceless Ones</t>
  </si>
  <si>
    <t>Lawrence Conquest</t>
  </si>
  <si>
    <t>Jamie Hailstone</t>
  </si>
  <si>
    <t>A True Gentleman</t>
  </si>
  <si>
    <t>STA1:03</t>
  </si>
  <si>
    <t>1-84435-191-2</t>
  </si>
  <si>
    <t>ST23:03</t>
  </si>
  <si>
    <t>CC4.01</t>
  </si>
  <si>
    <t>CC4.02</t>
  </si>
  <si>
    <t>CC4.03</t>
  </si>
  <si>
    <t>CC4.04</t>
  </si>
  <si>
    <t>CC4.05</t>
  </si>
  <si>
    <t>CC4.06</t>
  </si>
  <si>
    <t>CC4.07</t>
  </si>
  <si>
    <t>CC4.08</t>
  </si>
  <si>
    <t>CC5.01</t>
  </si>
  <si>
    <t>CC5.02</t>
  </si>
  <si>
    <t>CC5.03</t>
  </si>
  <si>
    <t>CC5.04</t>
  </si>
  <si>
    <t>CC5.05</t>
  </si>
  <si>
    <t>CC5.06</t>
  </si>
  <si>
    <t>CC5.07</t>
  </si>
  <si>
    <t>CC5.08</t>
  </si>
  <si>
    <t>CC5.09</t>
  </si>
  <si>
    <t>CC6.02</t>
  </si>
  <si>
    <t>CC6.03</t>
  </si>
  <si>
    <t>CC6.04</t>
  </si>
  <si>
    <t>CC6.05</t>
  </si>
  <si>
    <t>CC6.07</t>
  </si>
  <si>
    <t>Immediate Media Co</t>
  </si>
  <si>
    <t>Madness on the M1!</t>
  </si>
  <si>
    <t>DWA 162</t>
  </si>
  <si>
    <t>PDA12</t>
  </si>
  <si>
    <t>Mission: Impractical</t>
  </si>
  <si>
    <t>SS3</t>
  </si>
  <si>
    <t>The Maltese Penguin</t>
  </si>
  <si>
    <t>SS2</t>
  </si>
  <si>
    <t>The Holy Terror</t>
  </si>
  <si>
    <t>DWM02</t>
  </si>
  <si>
    <t>The Ratings War</t>
  </si>
  <si>
    <t>7C/PRE-A</t>
  </si>
  <si>
    <t>Her Final Flight</t>
  </si>
  <si>
    <t>7C/PRE-A/A1</t>
  </si>
  <si>
    <t>I.D.</t>
  </si>
  <si>
    <t>7C/PRE-A/A2</t>
  </si>
  <si>
    <t>Urgent Calls</t>
  </si>
  <si>
    <t>7C/A</t>
  </si>
  <si>
    <t>The Marian Conspiracy</t>
  </si>
  <si>
    <t>7C/B</t>
  </si>
  <si>
    <t>The Spectre of Lanyon Moor</t>
  </si>
  <si>
    <t>7C/C</t>
  </si>
  <si>
    <t>The Apocalypse Element</t>
  </si>
  <si>
    <t>The Shroud of Azaroth</t>
  </si>
  <si>
    <t>Hound of Hell</t>
  </si>
  <si>
    <t>The Monster of Loch Crag</t>
  </si>
  <si>
    <t>Horror Hotel</t>
  </si>
  <si>
    <t>The Curse of Kanbo-Ala</t>
  </si>
  <si>
    <t>Kingdom of Silver</t>
  </si>
  <si>
    <t>PDA45</t>
  </si>
  <si>
    <t>Bullet Time</t>
  </si>
  <si>
    <t>7Z/DB</t>
  </si>
  <si>
    <t>Keepsake</t>
  </si>
  <si>
    <t>TEL13</t>
  </si>
  <si>
    <t>Companion Piece</t>
  </si>
  <si>
    <t>DWM01</t>
  </si>
  <si>
    <t>Last of the Titans</t>
  </si>
  <si>
    <t>8A</t>
  </si>
  <si>
    <t>Doctor Who: The Movie</t>
  </si>
  <si>
    <t>DEC1:04</t>
  </si>
  <si>
    <t>ST21:04</t>
  </si>
  <si>
    <t>1-84435-303-3</t>
  </si>
  <si>
    <t>1-4059-0427-8</t>
  </si>
  <si>
    <t>1-184653-067-8</t>
  </si>
  <si>
    <t>1-4059-0494-0</t>
  </si>
  <si>
    <t>1-184653-095-1</t>
  </si>
  <si>
    <t>1-408-42747-8</t>
  </si>
  <si>
    <t>1-4059-0694-4</t>
  </si>
  <si>
    <t>1-84607-991-7</t>
  </si>
  <si>
    <t>1-4084-2761-3</t>
  </si>
  <si>
    <t>1-4084-6816-6</t>
  </si>
  <si>
    <t>1-4084-2746-0</t>
  </si>
  <si>
    <t>1-84607-983-2</t>
  </si>
  <si>
    <t>1-84990-233-5</t>
  </si>
  <si>
    <t>1-4059-0757-6</t>
  </si>
  <si>
    <t>1-4059-0758-3</t>
  </si>
  <si>
    <t>1-84990-235-9</t>
  </si>
  <si>
    <t>1-84990-238-0</t>
  </si>
  <si>
    <t>1-84990-237-3</t>
  </si>
  <si>
    <t>1-84990-234-2</t>
  </si>
  <si>
    <t>1-84990-236-6</t>
  </si>
  <si>
    <t>1-4084-6815-9</t>
  </si>
  <si>
    <t>1-4084-6878-4</t>
  </si>
  <si>
    <t>1-84990-243-4</t>
  </si>
  <si>
    <t>1-4084-6881-4</t>
  </si>
  <si>
    <t>The Happiness Patrol</t>
  </si>
  <si>
    <t>Graeme Curry</t>
  </si>
  <si>
    <t>7K</t>
  </si>
  <si>
    <t>Silver Nemesis</t>
  </si>
  <si>
    <t>Kevin Clarke</t>
  </si>
  <si>
    <t>7J</t>
  </si>
  <si>
    <t>The Twilight Streets</t>
  </si>
  <si>
    <t>Pack Animals</t>
  </si>
  <si>
    <t>SkyPoint</t>
  </si>
  <si>
    <t>TWA01</t>
  </si>
  <si>
    <t>Steven Savile</t>
  </si>
  <si>
    <t>Hidden</t>
  </si>
  <si>
    <t>TWA02</t>
  </si>
  <si>
    <t>Everyone Says Hello</t>
  </si>
  <si>
    <t>TWN09</t>
  </si>
  <si>
    <t>TWN10</t>
  </si>
  <si>
    <t>TWN11</t>
  </si>
  <si>
    <t>TWN12</t>
  </si>
  <si>
    <t>TWN13</t>
  </si>
  <si>
    <t>TWN14</t>
  </si>
  <si>
    <t>Invasion of the Quarks</t>
  </si>
  <si>
    <t>TVC 872-876</t>
  </si>
  <si>
    <t>The Killer Wasps</t>
  </si>
  <si>
    <t>A Ghost Story for Christmas</t>
  </si>
  <si>
    <t>Steve Dillon, Steve O'Leary</t>
  </si>
  <si>
    <t>Mark Phippen, Helen Fayle</t>
  </si>
  <si>
    <t>Charity</t>
  </si>
  <si>
    <t>Time Ruins</t>
  </si>
  <si>
    <t>Sarah Hadley</t>
  </si>
  <si>
    <t>What If We Went to Italy</t>
  </si>
  <si>
    <t>Tom Beck</t>
  </si>
  <si>
    <t>The Use of the Myth</t>
  </si>
  <si>
    <t>Bear Paw Adventures</t>
  </si>
  <si>
    <t>Birth Pains</t>
  </si>
  <si>
    <t>Venusian Sunset</t>
  </si>
  <si>
    <t>From the Cutting Room Floor: Dark Path</t>
  </si>
  <si>
    <t>Thicket of Thieves</t>
  </si>
  <si>
    <t>The UNIT Things</t>
  </si>
  <si>
    <t>Entertaining Mr. O</t>
  </si>
  <si>
    <t>Masters of Terror</t>
  </si>
  <si>
    <t>Baron (Count) Dracula and Count (Baron) Frankenstein</t>
  </si>
  <si>
    <t>The Aurelius Gambit</t>
  </si>
  <si>
    <t>Child of Darkness</t>
  </si>
  <si>
    <t>Not Necessarily In That Order</t>
  </si>
  <si>
    <t>The Zargathon Menace</t>
  </si>
  <si>
    <t>Ghost in the Machine</t>
  </si>
  <si>
    <t>The 6th Doctor Sends a Letter</t>
  </si>
  <si>
    <t>The Great Journey of Life Ends Here</t>
  </si>
  <si>
    <t>Wish Upon a Star Beast</t>
  </si>
  <si>
    <t>Schrödinger's Botanist</t>
  </si>
  <si>
    <t>Second Hand</t>
  </si>
  <si>
    <t>Doing It Right</t>
  </si>
  <si>
    <t>Cheeky Things</t>
  </si>
  <si>
    <t>Chain Male</t>
  </si>
  <si>
    <t>Ascension</t>
  </si>
  <si>
    <t>Caveat Emptor</t>
  </si>
  <si>
    <t>Doctor Patient Relationship: Vampire Science -- Second Draft Chapter 1</t>
  </si>
  <si>
    <t>Worm</t>
  </si>
  <si>
    <t>The Ravages of Time</t>
  </si>
  <si>
    <t>Emerald Green</t>
  </si>
  <si>
    <t>Sad Professor</t>
  </si>
  <si>
    <t>Transitions</t>
  </si>
  <si>
    <t>Nightmare</t>
  </si>
  <si>
    <t>Dark Paragon</t>
  </si>
  <si>
    <t>PT08</t>
  </si>
  <si>
    <t>PT09</t>
  </si>
  <si>
    <t>PT10</t>
  </si>
  <si>
    <t>PT11</t>
  </si>
  <si>
    <t>PT12</t>
  </si>
  <si>
    <t>PT13</t>
  </si>
  <si>
    <t>PT14</t>
  </si>
  <si>
    <t>PT15</t>
  </si>
  <si>
    <t>PT16</t>
  </si>
  <si>
    <t>PT17</t>
  </si>
  <si>
    <t>PT18</t>
  </si>
  <si>
    <t>PT19</t>
  </si>
  <si>
    <t>PT20</t>
  </si>
  <si>
    <t>PT21</t>
  </si>
  <si>
    <t>PT22</t>
  </si>
  <si>
    <t>PT23</t>
  </si>
  <si>
    <t>PT24</t>
  </si>
  <si>
    <t>PT25</t>
  </si>
  <si>
    <t>PT26</t>
  </si>
  <si>
    <t>PT27</t>
  </si>
  <si>
    <t>PT28</t>
  </si>
  <si>
    <t>PT29</t>
  </si>
  <si>
    <t>PT30</t>
  </si>
  <si>
    <t>PT31</t>
  </si>
  <si>
    <t>PT32</t>
  </si>
  <si>
    <t>PT33</t>
  </si>
  <si>
    <t>PT34</t>
  </si>
  <si>
    <t>PT35</t>
  </si>
  <si>
    <t>PT36</t>
  </si>
  <si>
    <t>PT37</t>
  </si>
  <si>
    <t>PT01</t>
  </si>
  <si>
    <t>PT02</t>
  </si>
  <si>
    <t>PT03</t>
  </si>
  <si>
    <t>PT04</t>
  </si>
  <si>
    <t>PT05</t>
  </si>
  <si>
    <t>PT06</t>
  </si>
  <si>
    <t>PT07</t>
  </si>
  <si>
    <t>Perfect Timing Story</t>
  </si>
  <si>
    <t>Mark Clapham, Jim Smith</t>
  </si>
  <si>
    <t>Damon Cavalchini</t>
  </si>
  <si>
    <t>Helen Fayle</t>
  </si>
  <si>
    <t>James Ambuehi, Laurence J. Cornford</t>
  </si>
  <si>
    <t>Trina L. Short</t>
  </si>
  <si>
    <t>Charles Daniels</t>
  </si>
  <si>
    <t>Ian McIntire</t>
  </si>
  <si>
    <t>Rob Stradling</t>
  </si>
  <si>
    <t>Alan Taylor</t>
  </si>
  <si>
    <t>Erin Tumilty</t>
  </si>
  <si>
    <t>Stephen Graves</t>
  </si>
  <si>
    <t>Susannah Tiller</t>
  </si>
  <si>
    <t>Kate Orman, Jonathan Blum</t>
  </si>
  <si>
    <t>Mark Phippen</t>
  </si>
  <si>
    <t>Daniel Ben-Zvi</t>
  </si>
  <si>
    <t>Nathan Skreslet</t>
  </si>
  <si>
    <t>Jon Andersen</t>
  </si>
  <si>
    <t>Romana</t>
  </si>
  <si>
    <t>1.1-1.37 (What if We Went to Italy?)</t>
  </si>
  <si>
    <t>Sans serif</t>
  </si>
  <si>
    <t>Serif</t>
  </si>
  <si>
    <t>The Autonomy Bug</t>
  </si>
  <si>
    <t>Ophidius</t>
  </si>
  <si>
    <t>The Way of All Flesh</t>
  </si>
  <si>
    <t>Children of the Revolution</t>
  </si>
  <si>
    <t>Oblivion</t>
  </si>
  <si>
    <t>Where Nobody Knows Your Name</t>
  </si>
  <si>
    <t>Doctor Who and the Nightmare Game</t>
  </si>
  <si>
    <t>The Power of Thoueris</t>
  </si>
  <si>
    <t>Raquel Cassidy</t>
  </si>
  <si>
    <t>NSAA15</t>
  </si>
  <si>
    <t>NSAA16</t>
  </si>
  <si>
    <t>Alexander Armstrong</t>
  </si>
  <si>
    <t>NSAA17</t>
  </si>
  <si>
    <t>Arthur Darvill</t>
  </si>
  <si>
    <t>Matt Smith, Clare Corbett</t>
  </si>
  <si>
    <t>Matt Smith</t>
  </si>
  <si>
    <t>BBCQR6</t>
  </si>
  <si>
    <t>7N</t>
  </si>
  <si>
    <t>Battlefield</t>
  </si>
  <si>
    <t>Michael Kerrigan</t>
  </si>
  <si>
    <t>PDA49</t>
  </si>
  <si>
    <t>Relative Dementias</t>
  </si>
  <si>
    <t>7Q</t>
  </si>
  <si>
    <t>Ghost Light</t>
  </si>
  <si>
    <t>Marc Platt</t>
  </si>
  <si>
    <t>The Stalker of Norfolk</t>
  </si>
  <si>
    <t>The Glen of Sleeping</t>
  </si>
  <si>
    <t>The Threat from Beneath</t>
  </si>
  <si>
    <t>kcaB to the Sun</t>
  </si>
  <si>
    <t>Fogbound</t>
  </si>
  <si>
    <t>Secret of the Tower</t>
  </si>
  <si>
    <t>The Labyrinth</t>
  </si>
  <si>
    <t>The Spoilers</t>
  </si>
  <si>
    <t>ST29:20</t>
  </si>
  <si>
    <t>ST29:21</t>
  </si>
  <si>
    <t>ST29:22</t>
  </si>
  <si>
    <t>ST29:23</t>
  </si>
  <si>
    <t>ST29:02</t>
  </si>
  <si>
    <t>ST29:04</t>
  </si>
  <si>
    <t>ST29:05</t>
  </si>
  <si>
    <t>ST29:06</t>
  </si>
  <si>
    <t>ST29:08</t>
  </si>
  <si>
    <t>ST29:09</t>
  </si>
  <si>
    <t>ST29:11</t>
  </si>
  <si>
    <t>Paul Ferry</t>
  </si>
  <si>
    <t>BS05</t>
  </si>
  <si>
    <t>BFA05.1</t>
  </si>
  <si>
    <t>BFA05.2</t>
  </si>
  <si>
    <t>BFA05.3</t>
  </si>
  <si>
    <t>BFA05.4</t>
  </si>
  <si>
    <t>The Grel Escape</t>
  </si>
  <si>
    <t xml:space="preserve">The Bone of Contention </t>
  </si>
  <si>
    <t>The Relics of Jegg-Sau</t>
  </si>
  <si>
    <t>The Masquerade of Death</t>
  </si>
  <si>
    <t>Silver Lining</t>
  </si>
  <si>
    <t>1-84435-041-X</t>
  </si>
  <si>
    <t>1-84435-073-8</t>
  </si>
  <si>
    <t>1-84435-074-6</t>
  </si>
  <si>
    <t>1-84435-075-4</t>
  </si>
  <si>
    <t xml:space="preserve">Life During Wartime: The Fall </t>
  </si>
  <si>
    <t xml:space="preserve">Life During Wartime: Careless Talk </t>
  </si>
  <si>
    <t xml:space="preserve">Life During Wartime: The Birthday Party </t>
  </si>
  <si>
    <t xml:space="preserve">Life During Wartime: Five Dimensional Thinking </t>
  </si>
  <si>
    <t xml:space="preserve">Life During Wartime: Meanwhile... </t>
  </si>
  <si>
    <t xml:space="preserve">Life During Wartime: The Price of Everything </t>
  </si>
  <si>
    <t xml:space="preserve">Life During Wartime: Hit </t>
  </si>
  <si>
    <t xml:space="preserve">Life During Wartime: The Garden of Whispers </t>
  </si>
  <si>
    <t xml:space="preserve">Life During Wartime: The Crystal Flower </t>
  </si>
  <si>
    <t xml:space="preserve">Life During Wartime: Midrash </t>
  </si>
  <si>
    <t xml:space="preserve">Life During Wartime: Fear of Corners </t>
  </si>
  <si>
    <t xml:space="preserve">Life During Wartime: The Traitors </t>
  </si>
  <si>
    <t xml:space="preserve">Life During Wartime: Paths Not Taken </t>
  </si>
  <si>
    <t xml:space="preserve">Life During Wartime: Every Picture Tells a Story </t>
  </si>
  <si>
    <t xml:space="preserve">Life During Wartime: Fluid Prejudice </t>
  </si>
  <si>
    <t xml:space="preserve">Life During Wartime: Suffer the Children </t>
  </si>
  <si>
    <t xml:space="preserve">Life During Wartime: Drinking with the Enemy </t>
  </si>
  <si>
    <t xml:space="preserve">Life During Wartime: Passing Storms </t>
  </si>
  <si>
    <t xml:space="preserve">Life During Wartime: Speaking Out </t>
  </si>
  <si>
    <t xml:space="preserve">Life During Wartime: The Peter Principle </t>
  </si>
  <si>
    <t xml:space="preserve">Life During Wartime: A Bell Ringing in an Empty Sky </t>
  </si>
  <si>
    <t xml:space="preserve">Life During Wartime: Lockdown Conversations </t>
  </si>
  <si>
    <t xml:space="preserve">A Life of Surprises: The Shape of the Hole </t>
  </si>
  <si>
    <t xml:space="preserve">A Life of Surprises: Kill the Mouse! </t>
  </si>
  <si>
    <t xml:space="preserve">A Life of Surprises: Solar Max and the Seven-Handed Snake-Mother </t>
  </si>
  <si>
    <t xml:space="preserve">A Life of Surprises: A Mutual Friend </t>
  </si>
  <si>
    <t>Dear Great Uncle Peter</t>
  </si>
  <si>
    <t>ST25:11</t>
  </si>
  <si>
    <t>DEC2:02</t>
  </si>
  <si>
    <t>Crimson Dawn</t>
  </si>
  <si>
    <t>Pam Baddeley</t>
  </si>
  <si>
    <t>DEC2:08</t>
  </si>
  <si>
    <t>People of the Trees</t>
  </si>
  <si>
    <t>The Dogs of War</t>
  </si>
  <si>
    <t>Thalia: The Brain of Socrates</t>
  </si>
  <si>
    <t>ST7:02</t>
  </si>
  <si>
    <t>ST10:09</t>
  </si>
  <si>
    <t>ST23:07</t>
  </si>
  <si>
    <t>Brian Keene</t>
  </si>
  <si>
    <t>The Snow Devils</t>
  </si>
  <si>
    <t>The Space Garden</t>
  </si>
  <si>
    <t>The Eerie Manor</t>
  </si>
  <si>
    <t>Guardian of the Tomb</t>
  </si>
  <si>
    <t>The Image Makers</t>
  </si>
  <si>
    <t>TVC 1361-1365</t>
  </si>
  <si>
    <t>TVC 1366-1370</t>
  </si>
  <si>
    <t>TVC 1371-1372</t>
  </si>
  <si>
    <t>TVC 1373-1379</t>
  </si>
  <si>
    <t>TVC 1380-1385</t>
  </si>
  <si>
    <t>Attachments</t>
  </si>
  <si>
    <t>Plight of the Monkrah</t>
  </si>
  <si>
    <t>Puppeteer</t>
  </si>
  <si>
    <t>Timevault</t>
  </si>
  <si>
    <t>A05</t>
  </si>
  <si>
    <t>A06</t>
  </si>
  <si>
    <t>Wraith World</t>
  </si>
  <si>
    <t>Deadly Download</t>
  </si>
  <si>
    <t>Jason Arnopp</t>
  </si>
  <si>
    <t>Marco Polo</t>
  </si>
  <si>
    <t>John Lucarotti</t>
  </si>
  <si>
    <t>MA12</t>
  </si>
  <si>
    <t>E</t>
  </si>
  <si>
    <t>The Keys of Marinus</t>
  </si>
  <si>
    <t>F</t>
  </si>
  <si>
    <t>Range</t>
  </si>
  <si>
    <t>The Dalek Project</t>
  </si>
  <si>
    <t>I Scream</t>
  </si>
  <si>
    <t>Le Tour de Death</t>
  </si>
  <si>
    <t>The Sky is Falling!</t>
  </si>
  <si>
    <t>The Time Gallery</t>
  </si>
  <si>
    <t>The Cliff Face</t>
  </si>
  <si>
    <t>Bumble of Destruction</t>
  </si>
  <si>
    <t>The Light Catcher</t>
  </si>
  <si>
    <t>Dungeon of the Lost</t>
  </si>
  <si>
    <t>The Intergalactic Trials</t>
  </si>
  <si>
    <t>24-Hour News Invasion</t>
  </si>
  <si>
    <t>The Panic Room</t>
  </si>
  <si>
    <t>Terror from the Swamp</t>
  </si>
  <si>
    <t xml:space="preserve">A Life of Surprises: Alien Planets and You </t>
  </si>
  <si>
    <t xml:space="preserve">A Life of Surprises: Something Broken </t>
  </si>
  <si>
    <t xml:space="preserve">A Life of Surprises: The Collection </t>
  </si>
  <si>
    <t xml:space="preserve">A Life of Surprises: Setting Stone </t>
  </si>
  <si>
    <t xml:space="preserve">A Life of Surprises: Time's Team </t>
  </si>
  <si>
    <t xml:space="preserve">A Life of Surprises: Beedlemania </t>
  </si>
  <si>
    <t xml:space="preserve">A Life of Surprises: The All-Seeing Eye </t>
  </si>
  <si>
    <t xml:space="preserve">A Life of Surprises: And Then Again </t>
  </si>
  <si>
    <t>The Arkwood Experiment</t>
  </si>
  <si>
    <t>The Multi-Mobile</t>
  </si>
  <si>
    <t>Insect</t>
  </si>
  <si>
    <t>TVC 955-959</t>
  </si>
  <si>
    <t>TVC 950-954</t>
  </si>
  <si>
    <t>The Metal-Eaters</t>
  </si>
  <si>
    <t>TVC 960-964</t>
  </si>
  <si>
    <t>Assassin from Space</t>
  </si>
  <si>
    <t>Undercover</t>
  </si>
  <si>
    <t>Let's Kill Hitler</t>
  </si>
  <si>
    <t>Night Terrors</t>
  </si>
  <si>
    <t>The Girl Who Waited</t>
  </si>
  <si>
    <t>The God Complex</t>
  </si>
  <si>
    <t>Closing Time</t>
  </si>
  <si>
    <t>The Wedding of River Song</t>
  </si>
  <si>
    <t>32.8</t>
  </si>
  <si>
    <t>Nick Hurran</t>
  </si>
  <si>
    <t>Steve Hughes</t>
  </si>
  <si>
    <t>32.9</t>
  </si>
  <si>
    <t>32.10</t>
  </si>
  <si>
    <t>32.11</t>
  </si>
  <si>
    <t>32.12</t>
  </si>
  <si>
    <t>32.13</t>
  </si>
  <si>
    <t>VV</t>
  </si>
  <si>
    <t>The Invasion</t>
  </si>
  <si>
    <t>Derrick Sherwin, Kit Pedler</t>
  </si>
  <si>
    <t>Terrance Dicks</t>
  </si>
  <si>
    <t>TEL05</t>
  </si>
  <si>
    <t>Foreign Devils</t>
  </si>
  <si>
    <t>WW</t>
  </si>
  <si>
    <t>The Krotons</t>
  </si>
  <si>
    <t>Robert Holmes</t>
  </si>
  <si>
    <t>PDA69</t>
  </si>
  <si>
    <t>The Indestructible Man</t>
  </si>
  <si>
    <t>XX</t>
  </si>
  <si>
    <t>The Seeds of Death</t>
  </si>
  <si>
    <t>Brian Hayles, Terrance Dicks</t>
  </si>
  <si>
    <t>The Glorious Revolution</t>
  </si>
  <si>
    <t>YY</t>
  </si>
  <si>
    <t>The Space Pirates</t>
  </si>
  <si>
    <t>HN2</t>
  </si>
  <si>
    <t>HN1</t>
  </si>
  <si>
    <t>HN3</t>
  </si>
  <si>
    <t>HN4</t>
  </si>
  <si>
    <t>HN5</t>
  </si>
  <si>
    <t>DQ1</t>
  </si>
  <si>
    <t>DQ2</t>
  </si>
  <si>
    <t>DQ3</t>
  </si>
  <si>
    <t>DQ4</t>
  </si>
  <si>
    <t>DQ5</t>
  </si>
  <si>
    <t>SC1</t>
  </si>
  <si>
    <t>The Stuff of Nightmares</t>
  </si>
  <si>
    <t>The Dead Shoes</t>
  </si>
  <si>
    <t>The Circus of Doom</t>
  </si>
  <si>
    <t>A Sting in the Tale</t>
  </si>
  <si>
    <t>Hive of Horror</t>
  </si>
  <si>
    <t>The Relics of Time</t>
  </si>
  <si>
    <t>The Demon of Paris</t>
  </si>
  <si>
    <t>A Shard of Ice</t>
  </si>
  <si>
    <t>Starfall</t>
  </si>
  <si>
    <t>Sepulchre</t>
  </si>
  <si>
    <t>SC2</t>
  </si>
  <si>
    <t>SC3</t>
  </si>
  <si>
    <t>SC4</t>
  </si>
  <si>
    <t>SC5</t>
  </si>
  <si>
    <t>Tsar Wars</t>
  </si>
  <si>
    <t>The Broken Crown</t>
  </si>
  <si>
    <t>Aladdin Time</t>
  </si>
  <si>
    <t>The Hexford Invasion</t>
  </si>
  <si>
    <t>DWA 63-64</t>
  </si>
  <si>
    <t>DWA 65</t>
  </si>
  <si>
    <t>DWA 66-67</t>
  </si>
  <si>
    <t>DWA 68-69</t>
  </si>
  <si>
    <t>DWA 70-71</t>
  </si>
  <si>
    <t>DWA 72-73</t>
  </si>
  <si>
    <t>DWA 74-76</t>
  </si>
  <si>
    <t>DWA 77</t>
  </si>
  <si>
    <t>DWA 78-79</t>
  </si>
  <si>
    <t>DWA 80-82</t>
  </si>
  <si>
    <t>DWA 83</t>
  </si>
  <si>
    <t>DWA 84-85</t>
  </si>
  <si>
    <t>DWA 86-87</t>
  </si>
  <si>
    <t>DWA 88-89</t>
  </si>
  <si>
    <t>DWA 90-92</t>
  </si>
  <si>
    <t>DWA 93-94</t>
  </si>
  <si>
    <t>DWA 95</t>
  </si>
  <si>
    <t>DWA 96</t>
  </si>
  <si>
    <t>DWA 97</t>
  </si>
  <si>
    <t>DWA 98</t>
  </si>
  <si>
    <t>DWA 99</t>
  </si>
  <si>
    <t>DWA 100</t>
  </si>
  <si>
    <t>DWA 101</t>
  </si>
  <si>
    <t>DWA 102</t>
  </si>
  <si>
    <t>DWA 103</t>
  </si>
  <si>
    <t>DWA 104</t>
  </si>
  <si>
    <t>DWA 105</t>
  </si>
  <si>
    <t>DWA 106</t>
  </si>
  <si>
    <t>DWA 107</t>
  </si>
  <si>
    <t>DWA 108</t>
  </si>
  <si>
    <t>DWA 109</t>
  </si>
  <si>
    <t>DWA 110</t>
  </si>
  <si>
    <t>DWA 111</t>
  </si>
  <si>
    <t>DWA 112</t>
  </si>
  <si>
    <t>DWA 113</t>
  </si>
  <si>
    <t>DWA 114</t>
  </si>
  <si>
    <t>DWA 115</t>
  </si>
  <si>
    <t>DWA 116</t>
  </si>
  <si>
    <t>DWA 117</t>
  </si>
  <si>
    <t>DWA 118</t>
  </si>
  <si>
    <t>DWA 119</t>
  </si>
  <si>
    <t>DWA 120</t>
  </si>
  <si>
    <t>DWA 121</t>
  </si>
  <si>
    <t>DWA 122</t>
  </si>
  <si>
    <t>DWA 123</t>
  </si>
  <si>
    <t>DWA 124</t>
  </si>
  <si>
    <t>DWA 125</t>
  </si>
  <si>
    <t>DWA 126</t>
  </si>
  <si>
    <t>DWA 127</t>
  </si>
  <si>
    <t>The Left-Handed Hummingbird</t>
  </si>
  <si>
    <t>NA22</t>
  </si>
  <si>
    <t>Conundrum</t>
  </si>
  <si>
    <t>NA23</t>
  </si>
  <si>
    <t>The Mistress</t>
  </si>
  <si>
    <t>The Search</t>
  </si>
  <si>
    <t>Mark Duncan</t>
  </si>
  <si>
    <t>1-2 (The Search)</t>
  </si>
  <si>
    <t>Auton</t>
  </si>
  <si>
    <t>Auton 2: Sentinel</t>
  </si>
  <si>
    <t>Auton 3: Awakening</t>
  </si>
  <si>
    <t>Zygon: When Being You Just Isn't Enough</t>
  </si>
  <si>
    <t>Lance Parkin, Jonathan Blum, Bill Baggs</t>
  </si>
  <si>
    <t>Zygons: Homeland</t>
  </si>
  <si>
    <t>Paul Dearing</t>
  </si>
  <si>
    <t>Zygons: Absolution</t>
  </si>
  <si>
    <t>Tim Saward</t>
  </si>
  <si>
    <t>Zygons: The Barnacled Baby</t>
  </si>
  <si>
    <t>Anthony Keech</t>
  </si>
  <si>
    <t>Paul Griggs</t>
  </si>
  <si>
    <t>Timewyrm: Genesys</t>
  </si>
  <si>
    <t>NA02</t>
  </si>
  <si>
    <t>Timewyrm: Exodus</t>
  </si>
  <si>
    <t>NA03</t>
  </si>
  <si>
    <t>Sting of the Zygons</t>
  </si>
  <si>
    <t>The Last Dodo</t>
  </si>
  <si>
    <t>Wooden Heart</t>
  </si>
  <si>
    <t>Forever Autumn</t>
  </si>
  <si>
    <t>1-84435-951-6</t>
  </si>
  <si>
    <t>Louise Jameson, Anna Hawkes</t>
  </si>
  <si>
    <t>CC7.08</t>
  </si>
  <si>
    <t>House of Cards</t>
  </si>
  <si>
    <t>Anneke Wills, Frazer Hines</t>
  </si>
  <si>
    <t>1-78178-063-3</t>
  </si>
  <si>
    <t>CC7.11</t>
  </si>
  <si>
    <t>The Apocalypse Mirror</t>
  </si>
  <si>
    <t>Frazer Hines, Wendy Padbury</t>
  </si>
  <si>
    <t>Wendy Padbury, Charlie Hayes</t>
  </si>
  <si>
    <t>1-78178-066-4</t>
  </si>
  <si>
    <t>Wendy Padbury, Emily Pithon</t>
  </si>
  <si>
    <t>CC7.09</t>
  </si>
  <si>
    <t>The Scorchies</t>
  </si>
  <si>
    <t>Katy Manning, Melvyn Hayes</t>
  </si>
  <si>
    <t>1-78178-064-0</t>
  </si>
  <si>
    <t>Mondas Passing</t>
  </si>
  <si>
    <t>ST2:08</t>
  </si>
  <si>
    <t>ST2:03</t>
  </si>
  <si>
    <t>ST2:17</t>
  </si>
  <si>
    <t>The Sow in Rut</t>
  </si>
  <si>
    <t>Rough Waters</t>
  </si>
  <si>
    <t>Red Christmas</t>
  </si>
  <si>
    <t>DWM 421-423</t>
  </si>
  <si>
    <t>Meera Syal</t>
  </si>
  <si>
    <t>NSAA11</t>
  </si>
  <si>
    <t>Spam Filtered</t>
  </si>
  <si>
    <t>First Foot First</t>
  </si>
  <si>
    <t>Random History</t>
  </si>
  <si>
    <t>The Salt Solution</t>
  </si>
  <si>
    <t>Rory's Story</t>
  </si>
  <si>
    <t>Sub-Species</t>
  </si>
  <si>
    <t>Quite Interesting</t>
  </si>
  <si>
    <t>Snowfall</t>
  </si>
  <si>
    <t>Death Riders</t>
  </si>
  <si>
    <t>The Good, the Bad and the Alien</t>
  </si>
  <si>
    <t>Heart of Stone</t>
  </si>
  <si>
    <t>System Wipe</t>
  </si>
  <si>
    <t>Ripper's Curse</t>
  </si>
  <si>
    <t>Bad Night</t>
  </si>
  <si>
    <t>Earworm</t>
  </si>
  <si>
    <t>If You Go Down to the Woods Today</t>
  </si>
  <si>
    <t>Ghost World</t>
  </si>
  <si>
    <t>Power of the Mykuootni</t>
  </si>
  <si>
    <t>DWM 277</t>
  </si>
  <si>
    <t>DWM 391-393</t>
  </si>
  <si>
    <t>BiT 67-68</t>
  </si>
  <si>
    <t>The King of Earth</t>
  </si>
  <si>
    <t>The Guardians of Terror</t>
  </si>
  <si>
    <t>The Way Forwards</t>
  </si>
  <si>
    <t>Steve Case</t>
  </si>
  <si>
    <t>ST29:07</t>
  </si>
  <si>
    <t>Outstanding Balance</t>
  </si>
  <si>
    <t>Tim Lambert</t>
  </si>
  <si>
    <t>Project UFO</t>
  </si>
  <si>
    <t>DWA 1</t>
  </si>
  <si>
    <t>DWA 2</t>
  </si>
  <si>
    <t>DWA 3</t>
  </si>
  <si>
    <t>DWA 4</t>
  </si>
  <si>
    <t>DWA 5</t>
  </si>
  <si>
    <t>DWA 6</t>
  </si>
  <si>
    <t>DWA 7</t>
  </si>
  <si>
    <t>DWA 8</t>
  </si>
  <si>
    <t>DWA 9</t>
  </si>
  <si>
    <t>DWA 10</t>
  </si>
  <si>
    <t>Anti-Matter with Fries</t>
  </si>
  <si>
    <t>Richard Farrell</t>
  </si>
  <si>
    <t>DWM 206</t>
  </si>
  <si>
    <t>One Minute Fourteen Seconds</t>
  </si>
  <si>
    <t>DWM 208</t>
  </si>
  <si>
    <t>Front Line</t>
  </si>
  <si>
    <t>Tom Spilsbury, Scott Gray</t>
  </si>
  <si>
    <t>Supernature</t>
  </si>
  <si>
    <t>Planet Bollywood</t>
  </si>
  <si>
    <t>The Golden Ones</t>
  </si>
  <si>
    <t>The Professor, the Queen and the Bookshop</t>
  </si>
  <si>
    <t>The Screams of Death</t>
  </si>
  <si>
    <t>Do Not Go Gentle Into That Good Night</t>
  </si>
  <si>
    <t>Forever Dreaming</t>
  </si>
  <si>
    <t>John Tomlinson</t>
  </si>
  <si>
    <t>John Marshall, Steven Baskerville</t>
  </si>
  <si>
    <t>HK 7</t>
  </si>
  <si>
    <t>HK 8-9</t>
  </si>
  <si>
    <t>Simon Jowett</t>
  </si>
  <si>
    <t>HK 10</t>
  </si>
  <si>
    <t>HK 11</t>
  </si>
  <si>
    <t>Mike Collins, Tim Robins</t>
  </si>
  <si>
    <t>HK 12</t>
  </si>
  <si>
    <t>Cam Smith</t>
  </si>
  <si>
    <t>DWM 156</t>
  </si>
  <si>
    <t>Paul Cornell, John Freeman</t>
  </si>
  <si>
    <t>Gerry Nolan, Rex Ward</t>
  </si>
  <si>
    <t>Andrew Donkin, Graham S. Brand</t>
  </si>
  <si>
    <t>DWM 159-161</t>
  </si>
  <si>
    <t>Doctor Conkerer!</t>
  </si>
  <si>
    <t>DWM 162</t>
  </si>
  <si>
    <t>Andy Seddon, John Freeman</t>
  </si>
  <si>
    <t>DWM 164-166</t>
  </si>
  <si>
    <t>Arthur Ransom</t>
  </si>
  <si>
    <t>Lee Sullivan, Mark Farmer</t>
  </si>
  <si>
    <t>DWM 173</t>
  </si>
  <si>
    <t>Mike Collins, Steve Pini</t>
  </si>
  <si>
    <t>DWM 174</t>
  </si>
  <si>
    <t>DWM 175-178</t>
  </si>
  <si>
    <t>DWA 186</t>
  </si>
  <si>
    <t>DWA 187</t>
  </si>
  <si>
    <t>DWA 188</t>
  </si>
  <si>
    <t>DWA 189</t>
  </si>
  <si>
    <t>DWA 190</t>
  </si>
  <si>
    <t>DWA 191</t>
  </si>
  <si>
    <t>DWA 192</t>
  </si>
  <si>
    <t>DWA 193</t>
  </si>
  <si>
    <t>DWA 194</t>
  </si>
  <si>
    <t>DWA 195</t>
  </si>
  <si>
    <t>DWA 196</t>
  </si>
  <si>
    <t>DWA 197</t>
  </si>
  <si>
    <t>Matt Sturges</t>
  </si>
  <si>
    <t>DWM 136-138</t>
  </si>
  <si>
    <t>Kev Hopgood, Dave Hine</t>
  </si>
  <si>
    <t>Bryan Hitch</t>
  </si>
  <si>
    <t>NA62</t>
  </si>
  <si>
    <t>Oh No It Isn't!</t>
  </si>
  <si>
    <t>Dragons' Wrath</t>
  </si>
  <si>
    <t>NA63</t>
  </si>
  <si>
    <t>Beyond the Sun</t>
  </si>
  <si>
    <t>NA64</t>
  </si>
  <si>
    <t>Ship of Fools</t>
  </si>
  <si>
    <t>NA65</t>
  </si>
  <si>
    <t>The Judgement of Solomon</t>
  </si>
  <si>
    <t>DEC5:6</t>
  </si>
  <si>
    <t>Down</t>
  </si>
  <si>
    <t>NA66</t>
  </si>
  <si>
    <t>NA67</t>
  </si>
  <si>
    <t>NA68</t>
  </si>
  <si>
    <t>NA69</t>
  </si>
  <si>
    <t>NA70</t>
  </si>
  <si>
    <t>BFBT1</t>
  </si>
  <si>
    <t>NA71</t>
  </si>
  <si>
    <t>NA72</t>
  </si>
  <si>
    <t>NA73</t>
  </si>
  <si>
    <t>NA74</t>
  </si>
  <si>
    <t>NA75</t>
  </si>
  <si>
    <t>BFBT2</t>
  </si>
  <si>
    <t>NA76</t>
  </si>
  <si>
    <t>NA77</t>
  </si>
  <si>
    <t>NA78</t>
  </si>
  <si>
    <t>NA79</t>
  </si>
  <si>
    <t>NA80</t>
  </si>
  <si>
    <t>NA81</t>
  </si>
  <si>
    <t>NA82</t>
  </si>
  <si>
    <t>NA83</t>
  </si>
  <si>
    <t>NA84</t>
  </si>
  <si>
    <t>Deadfall</t>
  </si>
  <si>
    <t>Ghost Devices</t>
  </si>
  <si>
    <t>Mean Streets</t>
  </si>
  <si>
    <t>Tempest</t>
  </si>
  <si>
    <t>The Medusa Effect</t>
  </si>
  <si>
    <t>Dry Pilgrimage</t>
  </si>
  <si>
    <t>The Sword of Forever</t>
  </si>
  <si>
    <t>Another Girl, Another Planet</t>
  </si>
  <si>
    <t>Beige Planet Mars</t>
  </si>
  <si>
    <t>Where Angels Fear</t>
  </si>
  <si>
    <t>The Mary-Sue Extrusion</t>
  </si>
  <si>
    <t>Dead Romance</t>
  </si>
  <si>
    <t>Tears of the Oracle</t>
  </si>
  <si>
    <t>Return to the Fractured Planet</t>
  </si>
  <si>
    <t>The Joy Device</t>
  </si>
  <si>
    <t>Walking to Babylon</t>
  </si>
  <si>
    <t>1-2 (Closure)</t>
  </si>
  <si>
    <t>BF Buried Treasure</t>
  </si>
  <si>
    <t>1-84 (Twilight of the Gods)</t>
  </si>
  <si>
    <t>1.01-3.10 (Zeitgeist), 5.6 (Judgement of Solomon)</t>
  </si>
  <si>
    <t>1-25</t>
  </si>
  <si>
    <t>1-19 (Exodus Code)</t>
  </si>
  <si>
    <t>1-7 (The House of the Dead)</t>
  </si>
  <si>
    <t>Paul Leonard, Nick Walters</t>
  </si>
  <si>
    <t>Martin Day, Len Beech</t>
  </si>
  <si>
    <t>BFAn03:01</t>
  </si>
  <si>
    <t>BFAn03:02</t>
  </si>
  <si>
    <t>BFAn03:03</t>
  </si>
  <si>
    <t>BFAn03:04</t>
  </si>
  <si>
    <t>BFAn03:05</t>
  </si>
  <si>
    <t>BFAn03:06</t>
  </si>
  <si>
    <t>Gregg Smith</t>
  </si>
  <si>
    <t>BFAn03:07</t>
  </si>
  <si>
    <t>BFAn03:08</t>
  </si>
  <si>
    <t>BFAn03:09</t>
  </si>
  <si>
    <t>BFAn03:10</t>
  </si>
  <si>
    <t>BFAn03:11</t>
  </si>
  <si>
    <t>BFAn03:12</t>
  </si>
  <si>
    <t>BFAn03:13</t>
  </si>
  <si>
    <t>Rupert Booth and Barry Williams</t>
  </si>
  <si>
    <t>BFAn03:14</t>
  </si>
  <si>
    <t>BFAn03:15</t>
  </si>
  <si>
    <t>BFAn03:16</t>
  </si>
  <si>
    <t>BFAn03:17</t>
  </si>
  <si>
    <t>BFAn03:18</t>
  </si>
  <si>
    <t>BFAn03:19</t>
  </si>
  <si>
    <t>BFAn03:20</t>
  </si>
  <si>
    <t>BFAn03:21</t>
  </si>
  <si>
    <t>BFAn03:22</t>
  </si>
  <si>
    <t>BFA03.1</t>
  </si>
  <si>
    <t xml:space="preserve">The Greatest Shop in the Galaxy </t>
  </si>
  <si>
    <t>BFA03.2</t>
  </si>
  <si>
    <t xml:space="preserve">The Green-Eyed Monsters </t>
  </si>
  <si>
    <t>BFExc4</t>
  </si>
  <si>
    <t xml:space="preserve">The Plague Herds of Excelis </t>
  </si>
  <si>
    <t>BFA03.3</t>
  </si>
  <si>
    <t xml:space="preserve">The Dance of the Dead </t>
  </si>
  <si>
    <t>BFA03.4</t>
  </si>
  <si>
    <t xml:space="preserve">The Mirror Effect </t>
  </si>
  <si>
    <t>BFA04.1</t>
  </si>
  <si>
    <t xml:space="preserve">The Bellotron Incident </t>
  </si>
  <si>
    <t>BFA04.2</t>
  </si>
  <si>
    <t xml:space="preserve">The Draconian Rage </t>
  </si>
  <si>
    <t>BFA04.3</t>
  </si>
  <si>
    <t xml:space="preserve">The Poison Seas </t>
  </si>
  <si>
    <t>BFA04.4</t>
  </si>
  <si>
    <t xml:space="preserve">Death and the Daleks </t>
  </si>
  <si>
    <t>Alistair Lock</t>
  </si>
  <si>
    <t>1-903654-66-1</t>
  </si>
  <si>
    <t>1-903654-69-6</t>
  </si>
  <si>
    <t>1-903654-70-X</t>
  </si>
  <si>
    <t>1-903654-79-3</t>
  </si>
  <si>
    <t>1-903654-71-8</t>
  </si>
  <si>
    <t>1-84435-040-1</t>
  </si>
  <si>
    <t>1-84435-067-3</t>
  </si>
  <si>
    <t>1-84435-042-8</t>
  </si>
  <si>
    <t>1-84435-062-2</t>
  </si>
  <si>
    <t>1-84435-043-6</t>
  </si>
  <si>
    <t>No Doctor (sometimes letter gives main char)</t>
  </si>
  <si>
    <t>1-4 (The Plague Herd of Excelis)</t>
  </si>
  <si>
    <t>٠ TV rather than Target novelisation</t>
  </si>
  <si>
    <t>٠ Book rather than audiobook reading</t>
  </si>
  <si>
    <t>Audible, but not visual</t>
  </si>
  <si>
    <t>Unknown Doctor</t>
  </si>
  <si>
    <t xml:space="preserve">and marked with one or more primes, </t>
  </si>
  <si>
    <t>are placed with their nearest counterpart</t>
  </si>
  <si>
    <t>Unbound Doctors (e.g., Cushing, Bayldon)</t>
  </si>
  <si>
    <t>such as 1' for Cushing</t>
  </si>
  <si>
    <t>Sort By</t>
  </si>
  <si>
    <t>Planet of the Daleks</t>
  </si>
  <si>
    <t>PDA11</t>
  </si>
  <si>
    <t>Catastrophea</t>
  </si>
  <si>
    <t>TEL03</t>
  </si>
  <si>
    <t>Nightdreamers</t>
  </si>
  <si>
    <t>MA09</t>
  </si>
  <si>
    <t>Dancing the Code</t>
  </si>
  <si>
    <t>PDA28</t>
  </si>
  <si>
    <t>Last of the Gaderene</t>
  </si>
  <si>
    <t>MA27</t>
  </si>
  <si>
    <t>Speed of Flight</t>
  </si>
  <si>
    <t>TTT</t>
  </si>
  <si>
    <t>The Green Death</t>
  </si>
  <si>
    <t>The Prisoner of Peladon</t>
  </si>
  <si>
    <t>11</t>
  </si>
  <si>
    <t>UUU</t>
  </si>
  <si>
    <t>ST26:07</t>
  </si>
  <si>
    <t>ST28:03</t>
  </si>
  <si>
    <t>The Elite</t>
  </si>
  <si>
    <t>Barbara Clegg, John Dorney</t>
  </si>
  <si>
    <t>LS3.1</t>
  </si>
  <si>
    <t>Rest and Re-Creation</t>
  </si>
  <si>
    <t>One Bad Apple</t>
  </si>
  <si>
    <t>ST2:05</t>
  </si>
  <si>
    <t>The Bushranger's Story</t>
  </si>
  <si>
    <t>ST11:08</t>
  </si>
  <si>
    <t>ST14:25</t>
  </si>
  <si>
    <t>It's a Lovely Day Tomorrow</t>
  </si>
  <si>
    <t>ST16:05</t>
  </si>
  <si>
    <t>The Sooner the Better</t>
  </si>
  <si>
    <t>The Prodigal Sun</t>
  </si>
  <si>
    <t>ST18:10</t>
  </si>
  <si>
    <t>The Very Last Picture Show</t>
  </si>
  <si>
    <t>Andrew Collins</t>
  </si>
  <si>
    <t>ST26:16</t>
  </si>
  <si>
    <t>Stanley</t>
  </si>
  <si>
    <t>ST19:05</t>
  </si>
  <si>
    <t>Helen Nally</t>
  </si>
  <si>
    <t>Ann 1979</t>
  </si>
  <si>
    <t>Famine on Planet X</t>
  </si>
  <si>
    <t>The Planet of Dust</t>
  </si>
  <si>
    <t>Terror on Tantalogus</t>
  </si>
  <si>
    <t>The Power</t>
  </si>
  <si>
    <t>Flashback</t>
  </si>
  <si>
    <t>Emsone's Castle</t>
  </si>
  <si>
    <t>Crocodiles in the Mist</t>
  </si>
  <si>
    <t>The Orb</t>
  </si>
  <si>
    <t>The Aqua-City</t>
  </si>
  <si>
    <t>TVC 1334-1340</t>
  </si>
  <si>
    <t>TVC 1341-1347</t>
  </si>
  <si>
    <t>The Devil's Mouth</t>
  </si>
  <si>
    <t>TVC 1348-1352</t>
  </si>
  <si>
    <t>TVC 1353-1360</t>
  </si>
  <si>
    <t>The Fires of Pompeii</t>
  </si>
  <si>
    <t>James Moran</t>
  </si>
  <si>
    <t>Colin Teague</t>
  </si>
  <si>
    <t>4.2</t>
  </si>
  <si>
    <t>Planet of the Ood</t>
  </si>
  <si>
    <t>TW1</t>
  </si>
  <si>
    <t>TW01</t>
  </si>
  <si>
    <t>Everything Changes</t>
  </si>
  <si>
    <t>Brian Kelly</t>
  </si>
  <si>
    <t>Richard Stokes, Chris Chibnall</t>
  </si>
  <si>
    <t>Make first key Form to separate by type, e.g.</t>
  </si>
  <si>
    <t>DWA 208</t>
  </si>
  <si>
    <t>DWA 209</t>
  </si>
  <si>
    <t>DWA 210</t>
  </si>
  <si>
    <t>DWA 211</t>
  </si>
  <si>
    <t>DWA 212</t>
  </si>
  <si>
    <t>DWA 213</t>
  </si>
  <si>
    <t>DWA 214</t>
  </si>
  <si>
    <t>DWA 215</t>
  </si>
  <si>
    <t>DWA 216</t>
  </si>
  <si>
    <t>DWA 217</t>
  </si>
  <si>
    <t>DWA 218</t>
  </si>
  <si>
    <t>DWA 219</t>
  </si>
  <si>
    <t>DWA 220</t>
  </si>
  <si>
    <t>DWA 221</t>
  </si>
  <si>
    <t>DWA 222</t>
  </si>
  <si>
    <t>Warriors of the Deep</t>
  </si>
  <si>
    <t>PDA20</t>
  </si>
  <si>
    <t>Deep Blue</t>
  </si>
  <si>
    <t>6M</t>
  </si>
  <si>
    <t>The Awakening</t>
  </si>
  <si>
    <t>Eric Pringle</t>
  </si>
  <si>
    <t>Michael Owen Morris</t>
  </si>
  <si>
    <t>PDA37</t>
  </si>
  <si>
    <t>Simon  Messingham</t>
  </si>
  <si>
    <t>It's Only a Game</t>
  </si>
  <si>
    <t>Songtaran Carols</t>
  </si>
  <si>
    <t>The Great Detective</t>
  </si>
  <si>
    <t>Vastra Investigates</t>
  </si>
  <si>
    <t>CiN3</t>
  </si>
  <si>
    <t>all</t>
  </si>
  <si>
    <t>CiN2</t>
  </si>
  <si>
    <t>CiN0</t>
  </si>
  <si>
    <t>CiN1</t>
  </si>
  <si>
    <t>1-3 (The Great Detective)</t>
  </si>
  <si>
    <t>Masquerade</t>
  </si>
  <si>
    <t>Car of the Century!</t>
  </si>
  <si>
    <t>The Time Monster</t>
  </si>
  <si>
    <t>10</t>
  </si>
  <si>
    <t>PDA30</t>
  </si>
  <si>
    <t>RRR</t>
  </si>
  <si>
    <t>The Three Doctors</t>
  </si>
  <si>
    <t>8Zd</t>
  </si>
  <si>
    <t>The Company of Friends (Mary's Story)</t>
  </si>
  <si>
    <t>8A/A</t>
  </si>
  <si>
    <t>Shada</t>
  </si>
  <si>
    <t>8B</t>
  </si>
  <si>
    <t>Storm Warning</t>
  </si>
  <si>
    <t>NEDA2</t>
  </si>
  <si>
    <t>NEDA3</t>
  </si>
  <si>
    <t>NEDA4</t>
  </si>
  <si>
    <t>EDA5</t>
  </si>
  <si>
    <t>EDA6</t>
  </si>
  <si>
    <t>EDA7</t>
  </si>
  <si>
    <t>EDA8</t>
  </si>
  <si>
    <t>EDA9</t>
  </si>
  <si>
    <t>TVM</t>
  </si>
  <si>
    <t>Vampires in Venice</t>
  </si>
  <si>
    <t>ST28:14</t>
  </si>
  <si>
    <t>ST2:04</t>
  </si>
  <si>
    <t>0-563-55848-2</t>
  </si>
  <si>
    <t>ST12:08</t>
  </si>
  <si>
    <t>Avarice: Telling Tales</t>
  </si>
  <si>
    <t>ST15:06</t>
  </si>
  <si>
    <t>Sloth: The Duke's Folly</t>
  </si>
  <si>
    <t>Wrath: That Which Went Away</t>
  </si>
  <si>
    <t>Envy: Angel</t>
  </si>
  <si>
    <t>Jeremy Dow</t>
  </si>
  <si>
    <t>ST8:08</t>
  </si>
  <si>
    <t>The Sphere</t>
  </si>
  <si>
    <t>Graceless</t>
  </si>
  <si>
    <t>Abby</t>
  </si>
  <si>
    <t>Zara</t>
  </si>
  <si>
    <t>The Fog</t>
  </si>
  <si>
    <t>The Line</t>
  </si>
  <si>
    <t>The Dark</t>
  </si>
  <si>
    <t>Video</t>
  </si>
  <si>
    <t>Downtime</t>
  </si>
  <si>
    <t>Keith Barnfather, Ian Levine, Paul Cuthbert-Brown, Andrew Beech</t>
  </si>
  <si>
    <t>Keith Temple</t>
  </si>
  <si>
    <t>4.4/5</t>
  </si>
  <si>
    <t>The Sontaran Stratagem</t>
  </si>
  <si>
    <t>Douglas Mackinnon</t>
  </si>
  <si>
    <t>4.6</t>
  </si>
  <si>
    <t>The Doctor's Daughter</t>
  </si>
  <si>
    <t>Alice Troughton</t>
  </si>
  <si>
    <t>Ghosts of India</t>
  </si>
  <si>
    <t>The Doctor Trap</t>
  </si>
  <si>
    <t>Shining Darkness</t>
  </si>
  <si>
    <t>Pest Control</t>
  </si>
  <si>
    <t>4.7</t>
  </si>
  <si>
    <t>The Unicorn and the Wasp</t>
  </si>
  <si>
    <t>The Forever Trap</t>
  </si>
  <si>
    <t>4.9/10</t>
  </si>
  <si>
    <t>Last Man Running</t>
  </si>
  <si>
    <t>PDA27</t>
  </si>
  <si>
    <t>Corpse Marker</t>
  </si>
  <si>
    <t>PDA46</t>
  </si>
  <si>
    <t>Psi-ence Fiction</t>
  </si>
  <si>
    <t>PDA70</t>
  </si>
  <si>
    <t>Match of the Day</t>
  </si>
  <si>
    <t>4S</t>
  </si>
  <si>
    <t>The Talons of Weng-Chiang</t>
  </si>
  <si>
    <t>Robert Holmes, Robert Banks Stewart</t>
  </si>
  <si>
    <t>CC3.11</t>
  </si>
  <si>
    <t>PDA08</t>
  </si>
  <si>
    <t>Eye of Heaven</t>
  </si>
  <si>
    <t>The Catalyst</t>
  </si>
  <si>
    <t>Empathy Games</t>
  </si>
  <si>
    <t>15</t>
  </si>
  <si>
    <t>4V</t>
  </si>
  <si>
    <t>Horror of Fang Rock</t>
  </si>
  <si>
    <t>Graham Williams</t>
  </si>
  <si>
    <t>4T</t>
  </si>
  <si>
    <t>The Invisible Enemy</t>
  </si>
  <si>
    <t>Derrick Goodwin</t>
  </si>
  <si>
    <t>4X</t>
  </si>
  <si>
    <t>Image of the Fendahl</t>
  </si>
  <si>
    <t>George Spenton-Foster</t>
  </si>
  <si>
    <t>4W</t>
  </si>
  <si>
    <t>The Sun Makers</t>
  </si>
  <si>
    <t>The Tomb of the Cybermen</t>
  </si>
  <si>
    <t>Victor Pemberton</t>
  </si>
  <si>
    <t>The Great Space Elevator</t>
  </si>
  <si>
    <t>NN</t>
  </si>
  <si>
    <t>Code of the Krillitanes</t>
  </si>
  <si>
    <t>NSAA7</t>
  </si>
  <si>
    <t>NSAA8</t>
  </si>
  <si>
    <t>The Runaway Train</t>
  </si>
  <si>
    <t>Oli Smith</t>
  </si>
  <si>
    <t>The Hounds of Artemis</t>
  </si>
  <si>
    <t>James Goss</t>
  </si>
  <si>
    <t>Brian Minchin</t>
  </si>
  <si>
    <t>Apollo 23</t>
  </si>
  <si>
    <t>45: The Word Lord</t>
  </si>
  <si>
    <t>45: Casualties of War</t>
  </si>
  <si>
    <t>45: Order of Simplicity</t>
  </si>
  <si>
    <t>45: False Gods</t>
  </si>
  <si>
    <t>Radio</t>
  </si>
  <si>
    <t>The Five O'Clock Shadow</t>
  </si>
  <si>
    <t>1-84435-147-5</t>
  </si>
  <si>
    <t>ST24:21</t>
  </si>
  <si>
    <t>Fanboys</t>
  </si>
  <si>
    <t>STA1:01</t>
  </si>
  <si>
    <t>Dalek War, Chapter 2</t>
  </si>
  <si>
    <t>Dalek War, Chapter 3</t>
  </si>
  <si>
    <t>Dalek War, Chapter 4</t>
  </si>
  <si>
    <t>DE2.1</t>
  </si>
  <si>
    <t>DE2.2</t>
  </si>
  <si>
    <t>DE2.3</t>
  </si>
  <si>
    <t>DE2.4</t>
  </si>
  <si>
    <t>DE3</t>
  </si>
  <si>
    <t>The Exterminators</t>
  </si>
  <si>
    <t>The Healers</t>
  </si>
  <si>
    <t>The Survivors</t>
  </si>
  <si>
    <t>The Demons</t>
  </si>
  <si>
    <t>The Warriors</t>
  </si>
  <si>
    <t>The Future</t>
  </si>
  <si>
    <t>DE3.1</t>
  </si>
  <si>
    <t>DE3.2</t>
  </si>
  <si>
    <t>DE3.3</t>
  </si>
  <si>
    <t>DE3.4</t>
  </si>
  <si>
    <t>DE3.5</t>
  </si>
  <si>
    <t>DE3.6</t>
  </si>
  <si>
    <t>Mutually Assured Survival</t>
  </si>
  <si>
    <t>ST22:09</t>
  </si>
  <si>
    <t>Suz</t>
  </si>
  <si>
    <t>ST22:05</t>
  </si>
  <si>
    <t>ST22:03</t>
  </si>
  <si>
    <t>ST22:01</t>
  </si>
  <si>
    <t>One Fateful Knight</t>
  </si>
  <si>
    <t>From Little Acorns</t>
  </si>
  <si>
    <t>E&amp;B</t>
  </si>
  <si>
    <t>Bounty</t>
  </si>
  <si>
    <t>Faithful Friends: Part 1</t>
  </si>
  <si>
    <t>ST20:04</t>
  </si>
  <si>
    <t>Dream Devils</t>
  </si>
  <si>
    <t>The Plant Master</t>
  </si>
  <si>
    <t>The Eternal Present</t>
  </si>
  <si>
    <t>*Subzero</t>
  </si>
  <si>
    <t>The Planet of the Daleks</t>
  </si>
  <si>
    <t>The Enemy from Nowhere</t>
  </si>
  <si>
    <t>The Ugrakks</t>
  </si>
  <si>
    <t>Steelfist</t>
  </si>
  <si>
    <t>Ride to Nowhere</t>
  </si>
  <si>
    <t>Zeron Invasion</t>
  </si>
  <si>
    <t>A Stitch in Time</t>
  </si>
  <si>
    <t>Deadly Choice</t>
  </si>
  <si>
    <t>Who is the Stranger</t>
  </si>
  <si>
    <t>Ann 1966</t>
  </si>
  <si>
    <t>Ann IfS</t>
  </si>
  <si>
    <t>Ann 1967</t>
  </si>
  <si>
    <t>Ann 1968</t>
  </si>
  <si>
    <t>Ann 1969</t>
  </si>
  <si>
    <t>Ann 1970</t>
  </si>
  <si>
    <t>Ann 1975</t>
  </si>
  <si>
    <t>Ann 1974</t>
  </si>
  <si>
    <t>Ann 1973</t>
  </si>
  <si>
    <t>Ann 1971</t>
  </si>
  <si>
    <t>7-235-0062-2</t>
  </si>
  <si>
    <t>TVC 699-704</t>
  </si>
  <si>
    <t>TDB</t>
  </si>
  <si>
    <t>Souvenir Press</t>
  </si>
  <si>
    <t>Invasion of the Daleks</t>
  </si>
  <si>
    <t>Red for Danger</t>
  </si>
  <si>
    <t>Philip Hinchcliffe</t>
  </si>
  <si>
    <t>4B</t>
  </si>
  <si>
    <t>The Sontaran Experiment</t>
  </si>
  <si>
    <t>4E</t>
  </si>
  <si>
    <t>Hold Your Horses</t>
  </si>
  <si>
    <t>The Puplet</t>
  </si>
  <si>
    <t>The Immortal Emperor</t>
  </si>
  <si>
    <t>Gerraint Ford</t>
  </si>
  <si>
    <t>SB 2009</t>
  </si>
  <si>
    <t>James Morgan</t>
  </si>
  <si>
    <t>Daniel McDaid</t>
  </si>
  <si>
    <t>Jon Haward</t>
  </si>
  <si>
    <t>Nigel Dobbyn</t>
  </si>
  <si>
    <t>SB 2010</t>
  </si>
  <si>
    <t>Total Eclipse of the Heart</t>
  </si>
  <si>
    <t>The End of the Rainbow</t>
  </si>
  <si>
    <t>Scared Stiff</t>
  </si>
  <si>
    <t>Bennelong Point</t>
  </si>
  <si>
    <t>The Shape on the Chair</t>
  </si>
  <si>
    <t>Haldenmor Fugue</t>
  </si>
  <si>
    <t>Donna</t>
  </si>
  <si>
    <t>Rory</t>
  </si>
  <si>
    <t>The Myth Makers</t>
  </si>
  <si>
    <t>Donald Cotton</t>
  </si>
  <si>
    <t>Michael Leeston-Smith</t>
  </si>
  <si>
    <t>John Wiles</t>
  </si>
  <si>
    <t>Circular Time: Spring</t>
  </si>
  <si>
    <t>Dick Sharples</t>
  </si>
  <si>
    <t>Find and Replace</t>
  </si>
  <si>
    <t>David Bishop</t>
  </si>
  <si>
    <t>The Pit</t>
  </si>
  <si>
    <t>NA13</t>
  </si>
  <si>
    <t>Deceit</t>
  </si>
  <si>
    <t>NA14</t>
  </si>
  <si>
    <t>Lucifer Rising</t>
  </si>
  <si>
    <t>NA15</t>
  </si>
  <si>
    <t>White Darkness</t>
  </si>
  <si>
    <t>NA16</t>
  </si>
  <si>
    <t>The Underwater Menace</t>
  </si>
  <si>
    <t>Geoffrey Orme</t>
  </si>
  <si>
    <t>HH</t>
  </si>
  <si>
    <t>The Moonbase</t>
  </si>
  <si>
    <t>Kit Pedler</t>
  </si>
  <si>
    <t>Morris Barry</t>
  </si>
  <si>
    <t>JJ</t>
  </si>
  <si>
    <t>The Macra Terror</t>
  </si>
  <si>
    <t>John Howard Davies</t>
  </si>
  <si>
    <t>PDA06</t>
  </si>
  <si>
    <t>The Roundheads</t>
  </si>
  <si>
    <t>George</t>
  </si>
  <si>
    <t>Helen</t>
  </si>
  <si>
    <t>Alan</t>
  </si>
  <si>
    <t>Ida</t>
  </si>
  <si>
    <t>PDAnp</t>
  </si>
  <si>
    <t>Campaign</t>
  </si>
  <si>
    <t>Tim Keable</t>
  </si>
  <si>
    <t>Godengine</t>
  </si>
  <si>
    <t>NA52</t>
  </si>
  <si>
    <t>Christmas on a Rational Planet</t>
  </si>
  <si>
    <t>NA53</t>
  </si>
  <si>
    <t>UNIT Christmas Parties: Christmas Truce</t>
  </si>
  <si>
    <t>Jo Grant</t>
  </si>
  <si>
    <t>ST18:06</t>
  </si>
  <si>
    <t>The Thousand Years of Christmas</t>
  </si>
  <si>
    <t>ST5:01</t>
  </si>
  <si>
    <t>The Tip of the Mind</t>
  </si>
  <si>
    <t>Zoe Heriot</t>
  </si>
  <si>
    <t>ST1:06</t>
  </si>
  <si>
    <t>Freedom</t>
  </si>
  <si>
    <t>ST1:16</t>
  </si>
  <si>
    <t>Revenge of the Judoon</t>
  </si>
  <si>
    <t>Martha in the Mirror</t>
  </si>
  <si>
    <t>SnowGlobe 7</t>
  </si>
  <si>
    <t>The Many Hands</t>
  </si>
  <si>
    <t>The Story of Martha</t>
  </si>
  <si>
    <t>Time Crash</t>
  </si>
  <si>
    <t>S4</t>
  </si>
  <si>
    <t>4.X</t>
  </si>
  <si>
    <t>Voyage of the Damned</t>
  </si>
  <si>
    <t>Comic</t>
  </si>
  <si>
    <t>Beaverbrook</t>
  </si>
  <si>
    <t>Planet of the Spiders</t>
  </si>
  <si>
    <t>12</t>
  </si>
  <si>
    <t>The Hijackers of Thrax</t>
  </si>
  <si>
    <t>TVC 693-698</t>
  </si>
  <si>
    <t>On the Web Planet</t>
  </si>
  <si>
    <t>ST31:02</t>
  </si>
  <si>
    <t>The Power Supply</t>
  </si>
  <si>
    <t>Neil Corry</t>
  </si>
  <si>
    <t>ST31:09</t>
  </si>
  <si>
    <t>The Reign Makers</t>
  </si>
  <si>
    <t>STA2:01</t>
  </si>
  <si>
    <t>1963</t>
  </si>
  <si>
    <t>Niall Boyce</t>
  </si>
  <si>
    <t>PDA41</t>
  </si>
  <si>
    <t>The Shadow in the Glass</t>
  </si>
  <si>
    <t>23b</t>
  </si>
  <si>
    <t>7C/PA</t>
  </si>
  <si>
    <t>The Condemned</t>
  </si>
  <si>
    <t>7C/PB</t>
  </si>
  <si>
    <t>The Doomwood Curse</t>
  </si>
  <si>
    <t>7C/PC</t>
  </si>
  <si>
    <t>Brotherhood of the Daleks</t>
  </si>
  <si>
    <t>Bay of the Dead</t>
  </si>
  <si>
    <t>The House that Jack Built</t>
  </si>
  <si>
    <t>The Undertaker's Gift</t>
  </si>
  <si>
    <t>Risk Assessment</t>
  </si>
  <si>
    <t>Consequences</t>
  </si>
  <si>
    <t>Sarah Pinborough</t>
  </si>
  <si>
    <t>Guy Adams</t>
  </si>
  <si>
    <t>Majenta</t>
  </si>
  <si>
    <t>DWM 403-405</t>
  </si>
  <si>
    <t>Sean Longcroft, David A. Roach</t>
  </si>
  <si>
    <t>DWM 406-407</t>
  </si>
  <si>
    <t>DWM 408-411</t>
  </si>
  <si>
    <t>DWM 412</t>
  </si>
  <si>
    <t>James Offredi, Rob Davis</t>
  </si>
  <si>
    <t>DWM 413</t>
  </si>
  <si>
    <t>DWM 414-415</t>
  </si>
  <si>
    <t>Paul Grist</t>
  </si>
  <si>
    <t>DWM 416-420</t>
  </si>
  <si>
    <t>Extermination of the Daleks</t>
  </si>
  <si>
    <t>BiT 57-60</t>
  </si>
  <si>
    <t>BiT 61-62</t>
  </si>
  <si>
    <t>Metal Mania</t>
  </si>
  <si>
    <t>Alan Campbell</t>
  </si>
  <si>
    <t>BiT 63-64</t>
  </si>
  <si>
    <t>About Last Night</t>
  </si>
  <si>
    <t>Wirrn Dawn</t>
  </si>
  <si>
    <t>Relative Dimensions</t>
  </si>
  <si>
    <t>Prisoner of the Sun</t>
  </si>
  <si>
    <t>EDA4.8</t>
  </si>
  <si>
    <t>The Hourglass Killers</t>
  </si>
  <si>
    <t>Countdown to TV Action</t>
  </si>
  <si>
    <t>ST16:10</t>
  </si>
  <si>
    <t>Morphology</t>
  </si>
  <si>
    <t>DEC2:03</t>
  </si>
  <si>
    <t>Where the Heart Is</t>
  </si>
  <si>
    <t>ST25:17</t>
  </si>
  <si>
    <t>Jigsaw</t>
  </si>
  <si>
    <t>Michael Abberton</t>
  </si>
  <si>
    <t xml:space="preserve">Jo Grant </t>
  </si>
  <si>
    <t>ST6:05</t>
  </si>
  <si>
    <t>Losing Track of Time</t>
  </si>
  <si>
    <t>Juliet E McKenna</t>
  </si>
  <si>
    <t>ST8:09</t>
  </si>
  <si>
    <t>Deep Stretch</t>
  </si>
  <si>
    <t>ST27:09</t>
  </si>
  <si>
    <t>Rock Star</t>
  </si>
  <si>
    <t>Robert T. Jeschonek</t>
  </si>
  <si>
    <t>ST5:14</t>
  </si>
  <si>
    <t>Hidden Talent</t>
  </si>
  <si>
    <t>Andrew Spokes</t>
  </si>
  <si>
    <t>ST20:02</t>
  </si>
  <si>
    <t>Echoes</t>
  </si>
  <si>
    <t>ST19:03</t>
  </si>
  <si>
    <t>The Bad Guy</t>
  </si>
  <si>
    <t>DEC3:01</t>
  </si>
  <si>
    <t>...And Eternity in an Hour</t>
  </si>
  <si>
    <t>Stephen Bowkett</t>
  </si>
  <si>
    <t>ST11:04</t>
  </si>
  <si>
    <t>The Seismologist's Story</t>
  </si>
  <si>
    <t>ST9:07</t>
  </si>
  <si>
    <t>Come Friendly Bombs...</t>
  </si>
  <si>
    <t>Dave Owen</t>
  </si>
  <si>
    <t>ST13:10</t>
  </si>
  <si>
    <t>The Enemy of the World</t>
  </si>
  <si>
    <t>Barry Letts</t>
  </si>
  <si>
    <t>QQ</t>
  </si>
  <si>
    <t>The Web of Fear</t>
  </si>
  <si>
    <t>AP1</t>
  </si>
  <si>
    <t>TTDW</t>
  </si>
  <si>
    <t>BBCN05</t>
  </si>
  <si>
    <t>BBCN04</t>
  </si>
  <si>
    <t>BBCN06</t>
  </si>
  <si>
    <t>BBCN01</t>
  </si>
  <si>
    <t>BBCN02</t>
  </si>
  <si>
    <t>BBCN03</t>
  </si>
  <si>
    <t>BBCN10</t>
  </si>
  <si>
    <t>BBCN12</t>
  </si>
  <si>
    <t>BBCN13</t>
  </si>
  <si>
    <t>The Bounty Hunter</t>
  </si>
  <si>
    <t>Sirens of Ceres</t>
  </si>
  <si>
    <t>Picture Imperfect</t>
  </si>
  <si>
    <t>The Star Serpent</t>
  </si>
  <si>
    <t>The Home Store</t>
  </si>
  <si>
    <t>Cold Comfort</t>
  </si>
  <si>
    <t>Faster Than Light!</t>
  </si>
  <si>
    <t>The Fairest of Them All</t>
  </si>
  <si>
    <t>The Gunpowder Plot</t>
  </si>
  <si>
    <t>The Assassin's Story</t>
  </si>
  <si>
    <t>The Velvet Dark</t>
  </si>
  <si>
    <t>ST14:27</t>
  </si>
  <si>
    <t>ST5:10</t>
  </si>
  <si>
    <t>ST10:06</t>
  </si>
  <si>
    <t>ST11:13</t>
  </si>
  <si>
    <t>ST19:08</t>
  </si>
  <si>
    <t>The Lunar Strangers</t>
  </si>
  <si>
    <t>DWM 215-217</t>
  </si>
  <si>
    <t>Ann 1984</t>
  </si>
  <si>
    <t>The Oxaqua Incident</t>
  </si>
  <si>
    <t>Winter on Mesique</t>
  </si>
  <si>
    <t>Class 4 Renegade</t>
  </si>
  <si>
    <t>The Nemertines</t>
  </si>
  <si>
    <t>Fungus</t>
  </si>
  <si>
    <t>7-235-6685-2</t>
  </si>
  <si>
    <t>Keeping It Real</t>
  </si>
  <si>
    <t>Life After Queth</t>
  </si>
  <si>
    <t>The Creation of Camelot</t>
  </si>
  <si>
    <t>Rome</t>
  </si>
  <si>
    <t>Last Minute Shopping</t>
  </si>
  <si>
    <t>The Volcanis Deal</t>
  </si>
  <si>
    <t>Mike Howarth, David Lyttle</t>
  </si>
  <si>
    <t>Peter Darvill-Evans</t>
  </si>
  <si>
    <t>Drift</t>
  </si>
  <si>
    <t>Jim Mortimore</t>
  </si>
  <si>
    <t>PDA50</t>
  </si>
  <si>
    <t>Simon Clark</t>
  </si>
  <si>
    <t>Mike Tucker</t>
  </si>
  <si>
    <t>Mark Michalowski</t>
  </si>
  <si>
    <t>Pluto</t>
  </si>
  <si>
    <t>ST18:03</t>
  </si>
  <si>
    <t>The Feast</t>
  </si>
  <si>
    <t>ST10:14</t>
  </si>
  <si>
    <t>The Age of Ambition</t>
  </si>
  <si>
    <t>Andrew Campbell</t>
  </si>
  <si>
    <t>ST13:13</t>
  </si>
  <si>
    <t>The Last Emperor</t>
  </si>
  <si>
    <t>1-84435-111-4</t>
  </si>
  <si>
    <t>ST20:14</t>
  </si>
  <si>
    <t>The Lost</t>
  </si>
  <si>
    <t>based on a story by L.J. Scott</t>
  </si>
  <si>
    <t>ST6:04</t>
  </si>
  <si>
    <t>Face-Painter</t>
  </si>
  <si>
    <t>Tara Samms</t>
  </si>
  <si>
    <t>ST7:07</t>
  </si>
  <si>
    <t>The Astronomer's Apprentice</t>
  </si>
  <si>
    <t>ST11:11</t>
  </si>
  <si>
    <t>The Farmer's Story</t>
  </si>
  <si>
    <t>Todd Green</t>
  </si>
  <si>
    <t>ST18:23</t>
  </si>
  <si>
    <t>Saint Nicholas's Bones</t>
  </si>
  <si>
    <t>ST27:10</t>
  </si>
  <si>
    <t>On a Pedestal</t>
  </si>
  <si>
    <t>Kathleen O. David</t>
  </si>
  <si>
    <t>ST19:02</t>
  </si>
  <si>
    <t>Father Figure</t>
  </si>
  <si>
    <t>ST25:05</t>
  </si>
  <si>
    <t>The Cutty Wren</t>
  </si>
  <si>
    <t>Ann Kelly</t>
  </si>
  <si>
    <t>ST12:10</t>
  </si>
  <si>
    <t>Screamager</t>
  </si>
  <si>
    <t>ST4:03</t>
  </si>
  <si>
    <t>Tony Keetch</t>
  </si>
  <si>
    <t>ST18:18</t>
  </si>
  <si>
    <t>6T</t>
  </si>
  <si>
    <t>Attack of the Cybermen</t>
  </si>
  <si>
    <t>The Wings of a Butterfly</t>
  </si>
  <si>
    <t>Police and Shreeves</t>
  </si>
  <si>
    <t>Running Out of Time</t>
  </si>
  <si>
    <t>Chain Reaction</t>
  </si>
  <si>
    <t>Sock Pig</t>
  </si>
  <si>
    <t>The Doctor's Coat</t>
  </si>
  <si>
    <t>Critical Mass</t>
  </si>
  <si>
    <t>Letting Go</t>
  </si>
  <si>
    <t>John Bromley</t>
  </si>
  <si>
    <t>Sharon Cobb, Iain Keiller</t>
  </si>
  <si>
    <t>Darren Goldsmith</t>
  </si>
  <si>
    <t>Dorothy Koomson</t>
  </si>
  <si>
    <t>Colin Baker</t>
  </si>
  <si>
    <t>Ally Kennan</t>
  </si>
  <si>
    <t>Damian Sawyer</t>
  </si>
  <si>
    <t>TVC 728-731</t>
  </si>
  <si>
    <t>Shark Bait</t>
  </si>
  <si>
    <t>Dr Who and the House on Oldark Moor</t>
  </si>
  <si>
    <t>Nightmare of Eden</t>
  </si>
  <si>
    <t>Bob Baker</t>
  </si>
  <si>
    <t>The Beautiful People</t>
  </si>
  <si>
    <t>5L</t>
  </si>
  <si>
    <t>The Horns of Nimon</t>
  </si>
  <si>
    <t>6R/AA</t>
  </si>
  <si>
    <t>The Burning Prince</t>
  </si>
  <si>
    <t>The Acheron Pulse</t>
  </si>
  <si>
    <t>7CPRE-A/A-3</t>
  </si>
  <si>
    <t>1-78178-019-0</t>
  </si>
  <si>
    <t>1-78178-020-6</t>
  </si>
  <si>
    <t>7Z/I</t>
  </si>
  <si>
    <t>The Shadow Heart</t>
  </si>
  <si>
    <t>1-78178-021-3</t>
  </si>
  <si>
    <t>7W/AC</t>
  </si>
  <si>
    <t>7W/AB</t>
  </si>
  <si>
    <t>7W/AA</t>
  </si>
  <si>
    <t>1-84435-943-1</t>
  </si>
  <si>
    <t>1-84435-944-8</t>
  </si>
  <si>
    <t>1-84435-945-5</t>
  </si>
  <si>
    <t>1001 Nights</t>
  </si>
  <si>
    <t>1-78178-050-3</t>
  </si>
  <si>
    <t>6C/R</t>
  </si>
  <si>
    <t>Emma Beeby, Gordon Rennie, jonathan Barnes, Catherine Harvey</t>
  </si>
  <si>
    <t>The Wrong Doctors</t>
  </si>
  <si>
    <t>1-78178-051-0</t>
  </si>
  <si>
    <t>6H/I</t>
  </si>
  <si>
    <t>Spaceport Fear</t>
  </si>
  <si>
    <t>1-78178-052-7</t>
  </si>
  <si>
    <t>The Seeds of War</t>
  </si>
  <si>
    <t>Matt Fitton, Nicholas Briggs</t>
  </si>
  <si>
    <t>BFAn07:02</t>
  </si>
  <si>
    <t>BFNo3:1</t>
  </si>
  <si>
    <t>BFNo5:1</t>
  </si>
  <si>
    <t>BFAn07:03</t>
  </si>
  <si>
    <t>BFAn07:04</t>
  </si>
  <si>
    <t>BFAn07:05</t>
  </si>
  <si>
    <t>BFAn07:06</t>
  </si>
  <si>
    <t>BFAn07:07</t>
  </si>
  <si>
    <t>BFAn07:08</t>
  </si>
  <si>
    <t>BFAn07:09</t>
  </si>
  <si>
    <t>BFAn07:10</t>
  </si>
  <si>
    <t>BFAn07:11</t>
  </si>
  <si>
    <t>BFAn07:12</t>
  </si>
  <si>
    <t>The Dead Men Diaries: A Question of Identity</t>
  </si>
  <si>
    <t>The Dead Men Diaries: Steal from the World</t>
  </si>
  <si>
    <t>The Dead Men Diaries: The Light that Never Dies</t>
  </si>
  <si>
    <t>The Dead Men Diaries: Heart of Glass</t>
  </si>
  <si>
    <t>The Dead Men Diaries: The Monster and the Archaeologists</t>
  </si>
  <si>
    <t>The Dead Men Diaries: Step Back in Time</t>
  </si>
  <si>
    <t>The Dead Men Diaries: Christmas Spirit</t>
  </si>
  <si>
    <t>The Dead Men Diaries: The Door into Bedlam</t>
  </si>
  <si>
    <t>The Dead Men Diaries: The Least Important Man</t>
  </si>
  <si>
    <t>The Dead Men Diaries: Digging up the Past</t>
  </si>
  <si>
    <t>Kathy Sullivan</t>
  </si>
  <si>
    <t>Cavan Scott and Mark Wright</t>
  </si>
  <si>
    <t>The Doomsday Manuscript</t>
  </si>
  <si>
    <t>BFPB01</t>
  </si>
  <si>
    <t>1-903654-04-1</t>
  </si>
  <si>
    <t>BS02</t>
  </si>
  <si>
    <t>BFPB02</t>
  </si>
  <si>
    <t>BFPB05</t>
  </si>
  <si>
    <t>BFPB03</t>
  </si>
  <si>
    <t>BFPB04</t>
  </si>
  <si>
    <t>The Gods of the Underworld</t>
  </si>
  <si>
    <t>The Squire's Crystal</t>
  </si>
  <si>
    <t>The Infernal Nexus</t>
  </si>
  <si>
    <t>The Glass Prison</t>
  </si>
  <si>
    <t>1-903654-23-8</t>
  </si>
  <si>
    <t>1-903654-13-0</t>
  </si>
  <si>
    <t>1-903654-16-5</t>
  </si>
  <si>
    <t>1-9036454-41-6</t>
  </si>
  <si>
    <t>BFA02.1</t>
  </si>
  <si>
    <t xml:space="preserve">The Secret of Cassandra </t>
  </si>
  <si>
    <t>BFA02.2</t>
  </si>
  <si>
    <t xml:space="preserve">The Stone's Lament </t>
  </si>
  <si>
    <t>BFA02.3</t>
  </si>
  <si>
    <t xml:space="preserve">The Extinction Event </t>
  </si>
  <si>
    <t>BFA02.4</t>
  </si>
  <si>
    <t xml:space="preserve">The Skymines of Karthos </t>
  </si>
  <si>
    <t>1-903654-114</t>
  </si>
  <si>
    <t>1-903654 22X</t>
  </si>
  <si>
    <t>TVC 1184-1190</t>
  </si>
  <si>
    <t>TVC 1191-1198</t>
  </si>
  <si>
    <t>The Gyros Injustice</t>
  </si>
  <si>
    <t>TVCHS 1965</t>
  </si>
  <si>
    <t>Prisoners of Gritog</t>
  </si>
  <si>
    <t>TVC 705-709</t>
  </si>
  <si>
    <t>The Challenge of the Piper</t>
  </si>
  <si>
    <t>TVC 710-712</t>
  </si>
  <si>
    <t>Moon Landing</t>
  </si>
  <si>
    <t>TVC 713-715</t>
  </si>
  <si>
    <t>Time In Reverse</t>
  </si>
  <si>
    <t>TVC 716-719</t>
  </si>
  <si>
    <t>Lizardworld</t>
  </si>
  <si>
    <t>TVC 720-723</t>
  </si>
  <si>
    <t>The Ordeals of Demeter</t>
  </si>
  <si>
    <t>Bill Mevin</t>
  </si>
  <si>
    <t>TVC 724-727</t>
  </si>
  <si>
    <t>Enter: The Go-Ray</t>
  </si>
  <si>
    <t>Destiny of the Doctor</t>
  </si>
  <si>
    <t>DotD1</t>
  </si>
  <si>
    <t>Hunters of Earth</t>
  </si>
  <si>
    <t>1-4713-1156-7</t>
  </si>
  <si>
    <t>Big Finish/AudioGo</t>
  </si>
  <si>
    <t>DotD2</t>
  </si>
  <si>
    <t>Shadow of Death</t>
  </si>
  <si>
    <t>1-4713-1168-0</t>
  </si>
  <si>
    <t>Frazer Hines, Evie Dawnay</t>
  </si>
  <si>
    <t>Carole Ann Ford, Tam Williams</t>
  </si>
  <si>
    <t>DotD3</t>
  </si>
  <si>
    <t>Vengeance of the Stones</t>
  </si>
  <si>
    <t>Richard Franklin, Trevor Littledale</t>
  </si>
  <si>
    <t>1-4713-1169-7</t>
  </si>
  <si>
    <t>DotD4</t>
  </si>
  <si>
    <t>Babblesphere</t>
  </si>
  <si>
    <t>Lalla Ward, Roger Parrott</t>
  </si>
  <si>
    <t>1-4713-1170-3</t>
  </si>
  <si>
    <t>DotD5</t>
  </si>
  <si>
    <t>Smoke and Mirrors</t>
  </si>
  <si>
    <t>Janet Fielding, Tim Beckmann</t>
  </si>
  <si>
    <t>1-4713-1171-0</t>
  </si>
  <si>
    <t>DotD6</t>
  </si>
  <si>
    <t>Trouble in Paradise</t>
  </si>
  <si>
    <t>Nicola Bryant, Cameron Stewart</t>
  </si>
  <si>
    <t>1-33 (The Well-Mannered War) + Who Killed Kennedy</t>
  </si>
  <si>
    <t>Anteus</t>
  </si>
  <si>
    <t>The Southwell Park Mermaid</t>
  </si>
  <si>
    <t>Culture War</t>
  </si>
  <si>
    <t>Uninvited Guest</t>
  </si>
  <si>
    <t>Ground Zero</t>
  </si>
  <si>
    <t>etc</t>
  </si>
  <si>
    <t>Plague of the Daleks</t>
  </si>
  <si>
    <t>Final</t>
  </si>
  <si>
    <t>The End of Time</t>
  </si>
  <si>
    <t>1'</t>
  </si>
  <si>
    <t>Dr Who and the Daleks</t>
  </si>
  <si>
    <t>Gordon Flemyng</t>
  </si>
  <si>
    <t>Daleks' Invasion Earth 2150AD</t>
  </si>
  <si>
    <t>The Trial of a Time Lord</t>
  </si>
  <si>
    <t>The Eleventh Hour</t>
  </si>
  <si>
    <t>BiT 38-41</t>
  </si>
  <si>
    <t>Dusty Death</t>
  </si>
  <si>
    <t>BiT 42</t>
  </si>
  <si>
    <t>IDWA</t>
  </si>
  <si>
    <t>IDWCBW</t>
  </si>
  <si>
    <t>Autopia</t>
  </si>
  <si>
    <t>Barnabus</t>
  </si>
  <si>
    <t>Patrick Williams</t>
  </si>
  <si>
    <t>TVCHS 1967</t>
  </si>
  <si>
    <t>Jungle Adventure</t>
  </si>
  <si>
    <t>The Monsters from the Past</t>
  </si>
  <si>
    <t>TVC 807-811</t>
  </si>
  <si>
    <t>Tesseract</t>
  </si>
  <si>
    <t>Don't Step on the Grass</t>
  </si>
  <si>
    <t>IDWTTM</t>
  </si>
  <si>
    <t>IDWRwaDV</t>
  </si>
  <si>
    <t>Fugitive</t>
  </si>
  <si>
    <t>Phil Elliott</t>
  </si>
  <si>
    <t>Rick Johnston</t>
  </si>
  <si>
    <t>Eric J</t>
  </si>
  <si>
    <t>Al Davison</t>
  </si>
  <si>
    <t>Klein</t>
  </si>
  <si>
    <t>Genesis of the Daleks</t>
  </si>
  <si>
    <t>MA31</t>
  </si>
  <si>
    <t>A Device of Death</t>
  </si>
  <si>
    <t>4D</t>
  </si>
  <si>
    <t>Revenge of the Cybermen</t>
  </si>
  <si>
    <t>13</t>
  </si>
  <si>
    <t>PDA62</t>
  </si>
  <si>
    <t>Wolfsbane</t>
  </si>
  <si>
    <t>4F</t>
  </si>
  <si>
    <t>Terror of the Zygons</t>
  </si>
  <si>
    <t>Robert Banks Stewart</t>
  </si>
  <si>
    <t>4H</t>
  </si>
  <si>
    <t>Planet of Evil</t>
  </si>
  <si>
    <t>MA14</t>
  </si>
  <si>
    <t>Managra</t>
  </si>
  <si>
    <t>4G</t>
  </si>
  <si>
    <t>Pyramids of Mars</t>
  </si>
  <si>
    <t>Devil in the Smoke</t>
  </si>
  <si>
    <t>BBC Digital</t>
  </si>
  <si>
    <t>eBook</t>
  </si>
  <si>
    <t>BBCQR7</t>
  </si>
  <si>
    <t>The Silurian Gift</t>
  </si>
  <si>
    <t>1-8499-0558-9</t>
  </si>
  <si>
    <t>1-7 (The Silurian Gift)</t>
  </si>
  <si>
    <t>BBCPN1</t>
  </si>
  <si>
    <t>BBCPN2</t>
  </si>
  <si>
    <t>BBCN51</t>
  </si>
  <si>
    <t>Dark Horizons</t>
  </si>
  <si>
    <t>J. T. Colgan</t>
  </si>
  <si>
    <t>1-84990-456-8</t>
  </si>
  <si>
    <t>PDA77</t>
  </si>
  <si>
    <t>The Wheel of Ice</t>
  </si>
  <si>
    <t>Stephen Baxter</t>
  </si>
  <si>
    <t>1-84990-182-6</t>
  </si>
  <si>
    <t>Terrible Lizards</t>
  </si>
  <si>
    <t>Jonathan Green</t>
  </si>
  <si>
    <t>1-4059-0804-7</t>
  </si>
  <si>
    <t>Horror of the Space Snakes</t>
  </si>
  <si>
    <t>Extra Time</t>
  </si>
  <si>
    <t>The Water Thief</t>
  </si>
  <si>
    <t>1-40590-768-1</t>
  </si>
  <si>
    <t>Terminal of Despair</t>
  </si>
  <si>
    <t>Web in Space!</t>
  </si>
  <si>
    <t>Rain of Terror</t>
  </si>
  <si>
    <t>The Underwater War</t>
  </si>
  <si>
    <t>1-4059-0767-5</t>
  </si>
  <si>
    <t>NSATiO3a</t>
  </si>
  <si>
    <t>NSATiO3b</t>
  </si>
  <si>
    <t>NSATiO4b</t>
  </si>
  <si>
    <t>NSATiO4a</t>
  </si>
  <si>
    <t>NSATiO5a</t>
  </si>
  <si>
    <t>NSATiO5b</t>
  </si>
  <si>
    <t>NSATiO6b</t>
  </si>
  <si>
    <t>NSATiO6a</t>
  </si>
  <si>
    <t>1a-6b (The Water Thief)</t>
  </si>
  <si>
    <t>NSAA18</t>
  </si>
  <si>
    <t>The NU-Humans</t>
  </si>
  <si>
    <t>No Future</t>
  </si>
  <si>
    <t>NA24</t>
  </si>
  <si>
    <t>Tragedy Day</t>
  </si>
  <si>
    <t>NA25</t>
  </si>
  <si>
    <t>Legacy</t>
  </si>
  <si>
    <t>NA26</t>
  </si>
  <si>
    <t>Theatre of War</t>
  </si>
  <si>
    <t>NA27</t>
  </si>
  <si>
    <t>I, Davros: Innocence</t>
  </si>
  <si>
    <t>I, Davros: Purity</t>
  </si>
  <si>
    <t>I, Davros: Corruption</t>
  </si>
  <si>
    <t>I, Davros: Guilt</t>
  </si>
  <si>
    <t>Nanomorphosis</t>
  </si>
  <si>
    <t>ST23.09</t>
  </si>
  <si>
    <t>Stephen Dedman</t>
  </si>
  <si>
    <t>Scorpio: Jealous, Posessive</t>
  </si>
  <si>
    <t>The Splintered Gate</t>
  </si>
  <si>
    <t>ST5:02</t>
  </si>
  <si>
    <t>ST5:03</t>
  </si>
  <si>
    <t>ST5:05</t>
  </si>
  <si>
    <t>All Done With Mirrors</t>
  </si>
  <si>
    <t>EDA58</t>
  </si>
  <si>
    <t>History 101</t>
  </si>
  <si>
    <t>EDA59</t>
  </si>
  <si>
    <t>Camera Obscura</t>
  </si>
  <si>
    <t>Gallifrey</t>
  </si>
  <si>
    <t>Hornets' Nest</t>
  </si>
  <si>
    <t>Excelis</t>
  </si>
  <si>
    <t>New Series Audio</t>
  </si>
  <si>
    <t>Demon Quest</t>
  </si>
  <si>
    <t>SJA Audio</t>
  </si>
  <si>
    <t>New EDA</t>
  </si>
  <si>
    <t>Exploration Earth</t>
  </si>
  <si>
    <t>Radio Drama</t>
  </si>
  <si>
    <t>7-235-0412-1</t>
  </si>
  <si>
    <t>Ann 1978</t>
  </si>
  <si>
    <t>The Sleeping Beast</t>
  </si>
  <si>
    <t>The Sands of Tymus</t>
  </si>
  <si>
    <t>The Rival Robots</t>
  </si>
  <si>
    <t>The Traitor</t>
  </si>
  <si>
    <t>The Sea of Faces</t>
  </si>
  <si>
    <t>TVC 1305-1311</t>
  </si>
  <si>
    <t>Dredger</t>
  </si>
  <si>
    <t>Geoff Cowan</t>
  </si>
  <si>
    <t>Paul Crompton</t>
  </si>
  <si>
    <t>TVC Ann 1978</t>
  </si>
  <si>
    <t>Jackals of Space</t>
  </si>
  <si>
    <t>The Naked Flame</t>
  </si>
  <si>
    <t>Charlie Adlard</t>
  </si>
  <si>
    <t>7W/G</t>
  </si>
  <si>
    <t>The Dark Husband</t>
  </si>
  <si>
    <t>7W/HA</t>
  </si>
  <si>
    <t>7W/HB</t>
  </si>
  <si>
    <t>7W/HC</t>
  </si>
  <si>
    <t>Casualties of War</t>
  </si>
  <si>
    <t>7W/HD</t>
  </si>
  <si>
    <t>The Magic Mousetrap</t>
  </si>
  <si>
    <t>7W/J</t>
  </si>
  <si>
    <t>Enemy of the Daleks</t>
  </si>
  <si>
    <t>7W/K</t>
  </si>
  <si>
    <t>CC6.10</t>
  </si>
  <si>
    <t>The Wanderer</t>
  </si>
  <si>
    <t>Binary</t>
  </si>
  <si>
    <t>CC6.09</t>
  </si>
  <si>
    <t>CC6.08</t>
  </si>
  <si>
    <t>The Selachian Gambit</t>
  </si>
  <si>
    <t>The Sons of the Crab</t>
  </si>
  <si>
    <t>The Lost Ones</t>
  </si>
  <si>
    <t>The Monsters from Earth</t>
  </si>
  <si>
    <t>The Lair of the Zarbi Supremo</t>
  </si>
  <si>
    <t>Tony B</t>
  </si>
  <si>
    <t>Amy B</t>
  </si>
  <si>
    <t>Peril in Mechanistria</t>
  </si>
  <si>
    <t>The Fishmen of Kandalinga</t>
  </si>
  <si>
    <t>The Cloud Exiles</t>
  </si>
  <si>
    <t>CC7.12</t>
  </si>
  <si>
    <t>Council of War</t>
  </si>
  <si>
    <t>John Levene, Sinead Keenan</t>
  </si>
  <si>
    <t>1-78178-067-1</t>
  </si>
  <si>
    <t>The Fear</t>
  </si>
  <si>
    <t>Machine Time</t>
  </si>
  <si>
    <t>John Davies</t>
  </si>
  <si>
    <t>Pass It On</t>
  </si>
  <si>
    <t>ST8:15</t>
  </si>
  <si>
    <t>Greenaway</t>
  </si>
  <si>
    <t>STA2:02</t>
  </si>
  <si>
    <t>Wally K. Daly</t>
  </si>
  <si>
    <t>Phil Pascoe</t>
  </si>
  <si>
    <t>Paul Spencer</t>
  </si>
  <si>
    <t>Marcus Mortimer</t>
  </si>
  <si>
    <t>Jamie Robertson</t>
  </si>
  <si>
    <t>Brian Finch</t>
  </si>
  <si>
    <t>Paul Finch</t>
  </si>
  <si>
    <t>P.J. Hammond</t>
  </si>
  <si>
    <t>Pat Mills</t>
  </si>
  <si>
    <t>Ingrid Pitt and Tony Rudlin</t>
  </si>
  <si>
    <t>Simon A. Forward</t>
  </si>
  <si>
    <t>David Stone</t>
  </si>
  <si>
    <t>George Mann</t>
  </si>
  <si>
    <t>Lance Parkin</t>
  </si>
  <si>
    <t>Stewart Sheargold</t>
  </si>
  <si>
    <t>Ken Bentley</t>
  </si>
  <si>
    <t>Neil Roberts</t>
  </si>
  <si>
    <t>Briefly Noted</t>
  </si>
  <si>
    <t>Matthew Jacobs</t>
  </si>
  <si>
    <t>Geoffrey Sax</t>
  </si>
  <si>
    <t>The Doomsday Quatrain</t>
  </si>
  <si>
    <t>Peri</t>
  </si>
  <si>
    <t>Tegan</t>
  </si>
  <si>
    <t>Mel</t>
  </si>
  <si>
    <t>Turlough</t>
  </si>
  <si>
    <t>Kamelion</t>
  </si>
  <si>
    <t>Ian</t>
  </si>
  <si>
    <t>Barbara</t>
  </si>
  <si>
    <t>Susan</t>
  </si>
  <si>
    <t>Tom</t>
  </si>
  <si>
    <t>Louise</t>
  </si>
  <si>
    <t>Vicki</t>
  </si>
  <si>
    <t>Steven</t>
  </si>
  <si>
    <t>Ben</t>
  </si>
  <si>
    <t>Lovern Kindzierski</t>
  </si>
  <si>
    <t>Emily</t>
  </si>
  <si>
    <t>Matthew</t>
  </si>
  <si>
    <t>Matthew Dow Smith</t>
  </si>
  <si>
    <t>Blair Shedd</t>
  </si>
  <si>
    <t>DWM 435-437</t>
  </si>
  <si>
    <t>DWM 424</t>
  </si>
  <si>
    <t>DWM 425-428</t>
  </si>
  <si>
    <t>DWM 429</t>
  </si>
  <si>
    <t>DWM 430-431</t>
  </si>
  <si>
    <t>DWM 432</t>
  </si>
  <si>
    <t>Son of the Dragon</t>
  </si>
  <si>
    <t>6Q/L</t>
  </si>
  <si>
    <t>The Mind's Eye</t>
  </si>
  <si>
    <t>6Q/M</t>
  </si>
  <si>
    <t>The Bride of Peladon</t>
  </si>
  <si>
    <t>6Q/N</t>
  </si>
  <si>
    <t>Mission of the Viyrans</t>
  </si>
  <si>
    <t>21b</t>
  </si>
  <si>
    <t>6R/A</t>
  </si>
  <si>
    <t>The Judgment of Isskar</t>
  </si>
  <si>
    <t>Men of the Earth</t>
  </si>
  <si>
    <t>Goths and Robbers</t>
  </si>
  <si>
    <t>No Exit</t>
  </si>
  <si>
    <t>Soul Mate</t>
  </si>
  <si>
    <t>ST6:11</t>
  </si>
  <si>
    <t>ST8:07</t>
  </si>
  <si>
    <t>Diane Duane</t>
  </si>
  <si>
    <t>ST27:04</t>
  </si>
  <si>
    <t>Logopolis</t>
  </si>
  <si>
    <t>19</t>
  </si>
  <si>
    <t>5Z</t>
  </si>
  <si>
    <t>Castrovalva</t>
  </si>
  <si>
    <t>Fiona Cumming</t>
  </si>
  <si>
    <t>Eric Saward</t>
  </si>
  <si>
    <t>MA29</t>
  </si>
  <si>
    <t>Cold Fusion</t>
  </si>
  <si>
    <t>5W</t>
  </si>
  <si>
    <t>Four to Doomsday</t>
  </si>
  <si>
    <t>The New World</t>
  </si>
  <si>
    <t>Something Inside</t>
  </si>
  <si>
    <t>8Y/C</t>
  </si>
  <si>
    <t>Memory Lane</t>
  </si>
  <si>
    <t>8Y/D</t>
  </si>
  <si>
    <t>Absolution</t>
  </si>
  <si>
    <t>8Y/E</t>
  </si>
  <si>
    <t>The Girl Who Never Was</t>
  </si>
  <si>
    <t>EDA27</t>
  </si>
  <si>
    <t>The Blue Angel</t>
  </si>
  <si>
    <t>EDA28</t>
  </si>
  <si>
    <t>Jane Espenson, Ryan Scott</t>
  </si>
  <si>
    <t>Jane Espenson</t>
  </si>
  <si>
    <t>Ian Mond, Danny Oz</t>
  </si>
  <si>
    <t>ST12:01</t>
  </si>
  <si>
    <t>ST8:02</t>
  </si>
  <si>
    <t>ST17:02</t>
  </si>
  <si>
    <t>ST18:11</t>
  </si>
  <si>
    <t>Steven Lockley and Paul Lewis</t>
  </si>
  <si>
    <t>ST23:11</t>
  </si>
  <si>
    <t>ST24:16</t>
  </si>
  <si>
    <t>ST25:13</t>
  </si>
  <si>
    <t>ST25:25</t>
  </si>
  <si>
    <t>ST28:01</t>
  </si>
  <si>
    <t>ST23:15</t>
  </si>
  <si>
    <t>ST5:04</t>
  </si>
  <si>
    <t>ST16:17</t>
  </si>
  <si>
    <t>ST16:01</t>
  </si>
  <si>
    <t>ST24:20</t>
  </si>
  <si>
    <t>ST20:17</t>
  </si>
  <si>
    <t>Taurus: Growing Higher</t>
  </si>
  <si>
    <t>ST4:02</t>
  </si>
  <si>
    <t>Melpomene: Mordieu</t>
  </si>
  <si>
    <t>ST7:03</t>
  </si>
  <si>
    <t>The Didus Expedition</t>
  </si>
  <si>
    <t>TVC 740-743</t>
  </si>
  <si>
    <t>Space Station Z-7</t>
  </si>
  <si>
    <t>Ancient Whispers</t>
  </si>
  <si>
    <t>Brian Willis</t>
  </si>
  <si>
    <t>ST18:01</t>
  </si>
  <si>
    <t>Country of the Blind</t>
  </si>
  <si>
    <t>Reconnaissance</t>
  </si>
  <si>
    <t>1-85400-317-8</t>
  </si>
  <si>
    <t>Stephen Dunn</t>
  </si>
  <si>
    <t>Potential</t>
  </si>
  <si>
    <t>ST29:03</t>
  </si>
  <si>
    <t>Lisa Miles</t>
  </si>
  <si>
    <t>A Visit from Saint Nicholas</t>
  </si>
  <si>
    <t>The Death of Art</t>
  </si>
  <si>
    <t>NA55</t>
  </si>
  <si>
    <t>Damaged Goods</t>
  </si>
  <si>
    <t>NA56</t>
  </si>
  <si>
    <t>Eps</t>
  </si>
  <si>
    <t>DWA 163</t>
  </si>
  <si>
    <t>DWA 164</t>
  </si>
  <si>
    <t>DWA 165</t>
  </si>
  <si>
    <t>DWA 166</t>
  </si>
  <si>
    <t>DWA 167</t>
  </si>
  <si>
    <t>DWA 168</t>
  </si>
  <si>
    <t>Winning Hand</t>
  </si>
  <si>
    <t>Steve Dillon</t>
  </si>
  <si>
    <t>Steve Parkhouse, Mick Austin, Paul Neary</t>
  </si>
  <si>
    <t>Gus</t>
  </si>
  <si>
    <t>Ghosts of the Northern Line</t>
  </si>
  <si>
    <t>The Crimson Hand</t>
  </si>
  <si>
    <t>The Chromosome Connection</t>
  </si>
  <si>
    <t>1-15 (Speech Day)</t>
  </si>
  <si>
    <t>1-9</t>
  </si>
  <si>
    <t>Melody Malone: The Angel's Kiss</t>
  </si>
  <si>
    <t>The Unheard Voice</t>
  </si>
  <si>
    <t>The Hungry Planet</t>
  </si>
  <si>
    <t>Children of the Evil Eye</t>
  </si>
  <si>
    <t>Nova</t>
  </si>
  <si>
    <t>The Amateur</t>
  </si>
  <si>
    <t>The Disintegrator</t>
  </si>
  <si>
    <t>Is Anyone There?</t>
  </si>
  <si>
    <t>Size Control</t>
  </si>
  <si>
    <t>The Magician</t>
  </si>
  <si>
    <t>The Metal Eaters</t>
  </si>
  <si>
    <t>Petrified</t>
  </si>
  <si>
    <t>Lords of the Ether</t>
  </si>
  <si>
    <t>The Wanderers</t>
  </si>
  <si>
    <t>Doomcloud</t>
  </si>
  <si>
    <t>Perils of Paris</t>
  </si>
  <si>
    <t>Who's Who?</t>
  </si>
  <si>
    <t>Before the Legend</t>
  </si>
  <si>
    <t>Scorched Earth</t>
  </si>
  <si>
    <t>TVC Ann 1966</t>
  </si>
  <si>
    <t>TVC Ann 1967</t>
  </si>
  <si>
    <t>TVC Ann 1968</t>
  </si>
  <si>
    <t>TVC Ann 1969</t>
  </si>
  <si>
    <t>Ian Mond, Danny Heap</t>
  </si>
  <si>
    <t>ST9:12</t>
  </si>
  <si>
    <t>ST16:13</t>
  </si>
  <si>
    <t>ST13:01</t>
  </si>
  <si>
    <t>ST13:12</t>
  </si>
  <si>
    <t>ST15:07</t>
  </si>
  <si>
    <t>ST10:08</t>
  </si>
  <si>
    <t>ST13:08</t>
  </si>
  <si>
    <t>ST26:06</t>
  </si>
  <si>
    <t>ST27:08</t>
  </si>
  <si>
    <t>ST27:11</t>
  </si>
  <si>
    <t>ST28:02</t>
  </si>
  <si>
    <t>ST11:16</t>
  </si>
  <si>
    <t>Joe Lidster</t>
  </si>
  <si>
    <t>ST8:04</t>
  </si>
  <si>
    <t>Huw Wilkins</t>
  </si>
  <si>
    <t>ST8:10</t>
  </si>
  <si>
    <t>Cavan Scott</t>
  </si>
  <si>
    <t>ST13:02</t>
  </si>
  <si>
    <t>ST14:22</t>
  </si>
  <si>
    <t>ST21:07</t>
  </si>
  <si>
    <t>ST23:21</t>
  </si>
  <si>
    <t>ST26:17</t>
  </si>
  <si>
    <t>ST5:12</t>
  </si>
  <si>
    <t>Nick Clark</t>
  </si>
  <si>
    <t>ST27:02</t>
  </si>
  <si>
    <t>Peter David</t>
  </si>
  <si>
    <t>Chronoclasm</t>
  </si>
  <si>
    <t>Jago in Love</t>
  </si>
  <si>
    <t>Beautiful Things</t>
  </si>
  <si>
    <t>The Lonely Clock</t>
  </si>
  <si>
    <t>Death Comes to Time</t>
  </si>
  <si>
    <t>Colin Meek</t>
  </si>
  <si>
    <t>Dan Freedman</t>
  </si>
  <si>
    <t>7W/N</t>
  </si>
  <si>
    <t>A Death in the Family</t>
  </si>
  <si>
    <t>Steven Hall</t>
  </si>
  <si>
    <t>Robert Perry, Mike Tucker</t>
  </si>
  <si>
    <t>Nicholas Briggs, Jason Haigh-Ellery</t>
  </si>
  <si>
    <t>Project: Destiny</t>
  </si>
  <si>
    <t>7W/M</t>
  </si>
  <si>
    <t/>
  </si>
  <si>
    <t>7W/O</t>
  </si>
  <si>
    <t>Lurkers at Sunlight's Edge</t>
  </si>
  <si>
    <t>7W/L</t>
  </si>
  <si>
    <t>7Z/E</t>
  </si>
  <si>
    <t>Timewyrm: Apocalypse</t>
  </si>
  <si>
    <t>NA04</t>
  </si>
  <si>
    <t>Timewyrm: Revelation</t>
  </si>
  <si>
    <t>NA05</t>
  </si>
  <si>
    <t>Cat's Cradle: Time's Crucible</t>
  </si>
  <si>
    <t>NA06</t>
  </si>
  <si>
    <t>Cat's Cradle: Warhead</t>
  </si>
  <si>
    <t>NA07</t>
  </si>
  <si>
    <t>Cat's Cradle: Witch Mark</t>
  </si>
  <si>
    <t>NA08</t>
  </si>
  <si>
    <t>Nightshade</t>
  </si>
  <si>
    <t>7R</t>
  </si>
  <si>
    <t>The Fearmonger</t>
  </si>
  <si>
    <t>7S</t>
  </si>
  <si>
    <t>The Genocide Machine</t>
  </si>
  <si>
    <t>The Aztecs</t>
  </si>
  <si>
    <t>John Crockett</t>
  </si>
  <si>
    <t>G</t>
  </si>
  <si>
    <t>The Sensorites</t>
  </si>
  <si>
    <t>Peter R. Newman</t>
  </si>
  <si>
    <t>Mervyn Pinfield, Frank Cox</t>
  </si>
  <si>
    <t>The Transit of Venus</t>
  </si>
  <si>
    <t>H</t>
  </si>
  <si>
    <t>The Reign of Terror</t>
  </si>
  <si>
    <t>Bang-Bang-a-Boom!</t>
  </si>
  <si>
    <t>7E/B</t>
  </si>
  <si>
    <t>Flip-Flop</t>
  </si>
  <si>
    <t>7F</t>
  </si>
  <si>
    <t>Delta and the Bannermen</t>
  </si>
  <si>
    <t>Malcolm Kohll</t>
  </si>
  <si>
    <t>7F/A</t>
  </si>
  <si>
    <t>The Fires of Vulcan</t>
  </si>
  <si>
    <t>7G</t>
  </si>
  <si>
    <t>Dragonfire</t>
  </si>
  <si>
    <t>Ace</t>
  </si>
  <si>
    <t>Ian Briggs</t>
  </si>
  <si>
    <t>25</t>
  </si>
  <si>
    <t>7H</t>
  </si>
  <si>
    <t>Remembrance of the Daleks</t>
  </si>
  <si>
    <t>The Under Water Robot</t>
  </si>
  <si>
    <t>TVC 772-775</t>
  </si>
  <si>
    <t>Return of the Trods</t>
  </si>
  <si>
    <t>TVC 776-779</t>
  </si>
  <si>
    <t>The Galaxy Games</t>
  </si>
  <si>
    <t>TVC 780-783</t>
  </si>
  <si>
    <t>The Experimenters</t>
  </si>
  <si>
    <t>Matthew Griffiths</t>
  </si>
  <si>
    <t>1-84435-045-2</t>
  </si>
  <si>
    <t>ST11:09</t>
  </si>
  <si>
    <t>The Schoolboy's Story</t>
  </si>
  <si>
    <t>Trey Korte</t>
  </si>
  <si>
    <t>1-84435-048-7</t>
  </si>
  <si>
    <t>DWM 214</t>
  </si>
  <si>
    <t>Roses</t>
  </si>
  <si>
    <t>Robert Mammone</t>
  </si>
  <si>
    <t>ST3:15</t>
  </si>
  <si>
    <t>Planet of the Bunnoids</t>
  </si>
  <si>
    <t>Harriet Green</t>
  </si>
  <si>
    <t>ST17:04</t>
  </si>
  <si>
    <t>Mars</t>
  </si>
  <si>
    <t>1-84435-148-3</t>
  </si>
  <si>
    <t>ST23:04</t>
  </si>
  <si>
    <t>The Long Step Backward</t>
  </si>
  <si>
    <t>Mike W. Barr</t>
  </si>
  <si>
    <t>ST25:15</t>
  </si>
  <si>
    <t>Snowman in Manhattan</t>
  </si>
  <si>
    <t>Return of the Living Dad</t>
  </si>
  <si>
    <t>NA54</t>
  </si>
  <si>
    <t>Vanishing Point</t>
  </si>
  <si>
    <t>EDA45</t>
  </si>
  <si>
    <t>Eater of Wasps</t>
  </si>
  <si>
    <t>EDA46</t>
  </si>
  <si>
    <t>The Year of Intelligent Tigers</t>
  </si>
  <si>
    <t>Colm McCarthy</t>
  </si>
  <si>
    <t>Jamie Payne</t>
  </si>
  <si>
    <t>Mat King</t>
  </si>
  <si>
    <t>Stephen Woolfenden</t>
  </si>
  <si>
    <t>CC7.10</t>
  </si>
  <si>
    <t>CC7.07</t>
  </si>
  <si>
    <t>The Library of Alexandria</t>
  </si>
  <si>
    <t>The Flames of Cadiz</t>
  </si>
  <si>
    <t>William Russell, Susan Franklyn</t>
  </si>
  <si>
    <t>1-78178-084-8</t>
  </si>
  <si>
    <t>William Russell, Carole Ann Ford, Nabil Elouahabi</t>
  </si>
  <si>
    <t>1-78178-061-9</t>
  </si>
  <si>
    <t>CC7.06</t>
  </si>
  <si>
    <t>The Child</t>
  </si>
  <si>
    <t>Victoria</t>
  </si>
  <si>
    <t>Jamie</t>
  </si>
  <si>
    <t>Brigadier</t>
  </si>
  <si>
    <t>Zoe</t>
  </si>
  <si>
    <t>Sara</t>
  </si>
  <si>
    <t>Benton</t>
  </si>
  <si>
    <t>Yates</t>
  </si>
  <si>
    <t>Dodo</t>
  </si>
  <si>
    <t>Oliver</t>
  </si>
  <si>
    <t>Katarina</t>
  </si>
  <si>
    <t>Polly</t>
  </si>
  <si>
    <t>Harry</t>
  </si>
  <si>
    <t>Nyssa</t>
  </si>
  <si>
    <t>Leela</t>
  </si>
  <si>
    <t>Romana I</t>
  </si>
  <si>
    <t>Romana II</t>
  </si>
  <si>
    <t>Benny</t>
  </si>
  <si>
    <t>Charley</t>
  </si>
  <si>
    <t>C'Rizz</t>
  </si>
  <si>
    <t>Amy</t>
  </si>
  <si>
    <t>Peter Grimwade</t>
  </si>
  <si>
    <t>5P</t>
  </si>
  <si>
    <t>State of Decay</t>
  </si>
  <si>
    <t>Peter Moffatt</t>
  </si>
  <si>
    <t>5S</t>
  </si>
  <si>
    <t>Warriors' Gate</t>
  </si>
  <si>
    <t>Stephen Gallagher</t>
  </si>
  <si>
    <t>Paul Joyce, Graeme Harper</t>
  </si>
  <si>
    <t>5T</t>
  </si>
  <si>
    <t>The Keeper of Traken</t>
  </si>
  <si>
    <t>Johnny Byrne</t>
  </si>
  <si>
    <t>John Black</t>
  </si>
  <si>
    <t>5V</t>
  </si>
  <si>
    <t>The Cyber Empire!</t>
  </si>
  <si>
    <t>TVC 850-853</t>
  </si>
  <si>
    <t>The Dyrons!</t>
  </si>
  <si>
    <t>TVC 854-858</t>
  </si>
  <si>
    <t>Doctor Who and the Space Pirates!</t>
  </si>
  <si>
    <t>TVC 859-863</t>
  </si>
  <si>
    <t>Return of the Witches</t>
  </si>
  <si>
    <t>TVCHS 1968</t>
  </si>
  <si>
    <t>Water's Edge</t>
  </si>
  <si>
    <t>ST14:05</t>
  </si>
  <si>
    <t>ST18:22</t>
  </si>
  <si>
    <t>She Won't Be Home</t>
  </si>
  <si>
    <t>ST25:16</t>
  </si>
  <si>
    <t>The Crackers</t>
  </si>
  <si>
    <t>ST18:16</t>
  </si>
  <si>
    <t>Christmas on the Moon</t>
  </si>
  <si>
    <t>Kathryn Sullivan</t>
  </si>
  <si>
    <t>Prisoner of the Kleptons</t>
  </si>
  <si>
    <t>Circular Time: Summer</t>
  </si>
  <si>
    <t>Circular Time: Autumn</t>
  </si>
  <si>
    <t>6Z/AA</t>
  </si>
  <si>
    <t>Recorded Time</t>
  </si>
  <si>
    <t>-</t>
  </si>
  <si>
    <t>G1.1</t>
  </si>
  <si>
    <t>G1.2</t>
  </si>
  <si>
    <t>G1.3</t>
  </si>
  <si>
    <t>G1.4</t>
  </si>
  <si>
    <t>G2.5</t>
  </si>
  <si>
    <t>G2.4</t>
  </si>
  <si>
    <t>G2.3</t>
  </si>
  <si>
    <t>G2.2</t>
  </si>
  <si>
    <t>G2.1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</si>
  <si>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</si>
  <si>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</si>
  <si>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</si>
  <si>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</si>
  <si>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</si>
  <si>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</si>
  <si>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</si>
  <si>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</si>
  <si>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</si>
  <si>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Gallifrey: Weapon of Choice</t>
  </si>
  <si>
    <t>Dawn of Time!</t>
  </si>
  <si>
    <t>TV Hell!</t>
  </si>
  <si>
    <t>Pondnium!</t>
  </si>
  <si>
    <t>Bite of the Morphuse!</t>
  </si>
  <si>
    <t>1-78178-053-4</t>
  </si>
  <si>
    <t>Richard Dinnick</t>
  </si>
  <si>
    <t>ST17:10</t>
  </si>
  <si>
    <t>Sedna</t>
  </si>
  <si>
    <t>Andrew Frankham</t>
  </si>
  <si>
    <t>Jeremy Fitzoliver</t>
  </si>
  <si>
    <t>ST20:09</t>
  </si>
  <si>
    <t>The Silurians</t>
  </si>
  <si>
    <t>Malcolm Hulke</t>
  </si>
  <si>
    <t>Reset</t>
  </si>
  <si>
    <t>Dead Man Walking</t>
  </si>
  <si>
    <t>A Day in the Death</t>
  </si>
  <si>
    <t>Something Borrowed</t>
  </si>
  <si>
    <t>From Out of the Rain</t>
  </si>
  <si>
    <t>Adrift</t>
  </si>
  <si>
    <t>Fragments</t>
  </si>
  <si>
    <t>Exit Wounds</t>
  </si>
  <si>
    <t>J.C. Wilsher</t>
  </si>
  <si>
    <t>Jonathan Fox Bassett</t>
  </si>
  <si>
    <t>SJA00</t>
  </si>
  <si>
    <t>Seven to One</t>
  </si>
  <si>
    <t>Simon Miller</t>
  </si>
  <si>
    <t>Juliet Boyd</t>
  </si>
  <si>
    <t>Mathilde Madden</t>
  </si>
  <si>
    <t>Michael Deacon, Jamie Middleton and Chris Wright</t>
  </si>
  <si>
    <t>Bev Conway</t>
  </si>
  <si>
    <t>Death-Dealer</t>
  </si>
  <si>
    <t>The Deep</t>
  </si>
  <si>
    <t>Mark Everest</t>
  </si>
  <si>
    <t>TWN04</t>
  </si>
  <si>
    <t>TWN05</t>
  </si>
  <si>
    <t>TWN06</t>
  </si>
  <si>
    <t>TWN07</t>
  </si>
  <si>
    <t>TWN08</t>
  </si>
  <si>
    <t>Something in the Water</t>
  </si>
  <si>
    <t>Trace Memory</t>
  </si>
  <si>
    <t>Torchwood Audio</t>
  </si>
  <si>
    <t>New Series Adventure</t>
  </si>
  <si>
    <t>BBC Quick Read</t>
  </si>
  <si>
    <t>The Darksmith Legacy</t>
  </si>
  <si>
    <t>Eighth Doctor Adventure</t>
  </si>
  <si>
    <t>Virgin Missing Adventure</t>
  </si>
  <si>
    <t>Virgin New Adventure</t>
  </si>
  <si>
    <t>Past Doctor Adventure</t>
  </si>
  <si>
    <t>Telos Novella</t>
  </si>
  <si>
    <t>Torchwood Novel</t>
  </si>
  <si>
    <t>PDA47</t>
  </si>
  <si>
    <t>The Adventure Game</t>
  </si>
  <si>
    <t>Short Trip Audio</t>
  </si>
  <si>
    <t>Short Trip</t>
  </si>
  <si>
    <t>Doorway into Nowhere</t>
  </si>
  <si>
    <t>The Claw</t>
  </si>
  <si>
    <t>Saucer of Fate</t>
  </si>
  <si>
    <t>The Phaser Aliens</t>
  </si>
  <si>
    <t>7-235-0185-8</t>
  </si>
  <si>
    <t>7-235-0244-7</t>
  </si>
  <si>
    <t>The House That Jack Built</t>
  </si>
  <si>
    <t>The Man Who Wouldn't Give Up</t>
  </si>
  <si>
    <t>Mortal Thoughts</t>
  </si>
  <si>
    <t>Home Fires</t>
  </si>
  <si>
    <t>Sold Out</t>
  </si>
  <si>
    <t>ST9:13</t>
  </si>
  <si>
    <t>ST10:05</t>
  </si>
  <si>
    <t>ST18:02</t>
  </si>
  <si>
    <t>ST16:02</t>
  </si>
  <si>
    <t>Danny Oz</t>
  </si>
  <si>
    <t>Steve Parsons, Andrew Stirling-Brown</t>
  </si>
  <si>
    <t>The Davros Mission</t>
  </si>
  <si>
    <t>The Best Joke I Ever Told</t>
  </si>
  <si>
    <t>Fegovy</t>
  </si>
  <si>
    <t>Dr Cadabra</t>
  </si>
  <si>
    <t>ST22:06</t>
  </si>
  <si>
    <t>DEC3:07</t>
  </si>
  <si>
    <t>ST25:18</t>
  </si>
  <si>
    <t>Peter Adamson</t>
  </si>
  <si>
    <t>Martin Gerghty (letters Elitta Fell)</t>
  </si>
  <si>
    <t>Gary Gillatt</t>
  </si>
  <si>
    <t>John</t>
  </si>
  <si>
    <t>Gillian</t>
  </si>
  <si>
    <t>ST12:02</t>
  </si>
  <si>
    <t>From Eternity</t>
  </si>
  <si>
    <t>Short</t>
  </si>
  <si>
    <t>1-84435-110-6</t>
  </si>
  <si>
    <t>Rock Quasar and the Mudslugs of Gurrn</t>
  </si>
  <si>
    <t>The House of Lights</t>
  </si>
  <si>
    <t>Amy's Escapade</t>
  </si>
  <si>
    <t>Rory's Adventure</t>
  </si>
  <si>
    <t>Attack of the 50 Ft Rory</t>
  </si>
  <si>
    <t>Dino World</t>
  </si>
  <si>
    <t>The Upper Deck</t>
  </si>
  <si>
    <t>K-91.20</t>
  </si>
  <si>
    <t>K-91.21</t>
  </si>
  <si>
    <t>K-91.22</t>
  </si>
  <si>
    <t>K-91.23</t>
  </si>
  <si>
    <t>K-91.24</t>
  </si>
  <si>
    <t>Enemy of the Bane</t>
  </si>
  <si>
    <t>Joss Agnew</t>
  </si>
  <si>
    <t>Nikki Smith</t>
  </si>
  <si>
    <t>ST29:10</t>
  </si>
  <si>
    <t>ST29:12</t>
  </si>
  <si>
    <t>ST29:13</t>
  </si>
  <si>
    <t>ST29:14</t>
  </si>
  <si>
    <t>ST29:15</t>
  </si>
  <si>
    <t>ST29:16</t>
  </si>
  <si>
    <t>ST29:17</t>
  </si>
  <si>
    <t>ST29:18</t>
  </si>
  <si>
    <t>ST29:19</t>
  </si>
  <si>
    <t>Change Management</t>
  </si>
  <si>
    <t>Simon Moore</t>
  </si>
  <si>
    <t>Curiosity</t>
  </si>
  <si>
    <t>BBCN16</t>
  </si>
  <si>
    <t>TVC 929-933</t>
  </si>
  <si>
    <t>The Night Walkers</t>
  </si>
  <si>
    <t>TVC 934-936</t>
  </si>
  <si>
    <t>Death Race</t>
  </si>
  <si>
    <t>Test Flight</t>
  </si>
  <si>
    <t>Assimilation2</t>
  </si>
  <si>
    <t>Extinction Event</t>
  </si>
  <si>
    <t>Hot Stuff!</t>
  </si>
  <si>
    <t>The Very Cool Bow Tie!</t>
  </si>
  <si>
    <t>Reality Cheque</t>
  </si>
  <si>
    <t>Road Rage</t>
  </si>
  <si>
    <t>The King and the Tripeberry</t>
  </si>
  <si>
    <t>Danger Flight</t>
  </si>
  <si>
    <t>CD/MP3</t>
  </si>
  <si>
    <t>DWF10</t>
  </si>
  <si>
    <t>Best Friends</t>
  </si>
  <si>
    <t>Euterpe: An Overture Too Early</t>
  </si>
  <si>
    <t>ST7:04</t>
  </si>
  <si>
    <t>ST21:03</t>
  </si>
  <si>
    <t>ST21:05</t>
  </si>
  <si>
    <t>ST12:11</t>
  </si>
  <si>
    <t>The Colour of Monsters</t>
  </si>
  <si>
    <t>ST13:07</t>
  </si>
  <si>
    <t>Sustainable Energy</t>
  </si>
  <si>
    <t>ST14:03</t>
  </si>
  <si>
    <t>ST14:01</t>
  </si>
  <si>
    <t>Prologue: A Christmas Treasury</t>
  </si>
  <si>
    <t>ST14:12</t>
  </si>
  <si>
    <t>ST14:10</t>
  </si>
  <si>
    <t>MA04</t>
  </si>
  <si>
    <t>X02</t>
  </si>
  <si>
    <t>CR02</t>
  </si>
  <si>
    <t>CR00</t>
  </si>
  <si>
    <t>DWatP1</t>
  </si>
  <si>
    <t>BBCi02</t>
  </si>
  <si>
    <t>Scream of the Shalka</t>
  </si>
  <si>
    <t>Wilson Milam</t>
  </si>
  <si>
    <t>Muirinn Lane Kelly</t>
  </si>
  <si>
    <t>EDA26</t>
  </si>
  <si>
    <t>Interference 2: The Hour of the Geek</t>
  </si>
  <si>
    <t>TEL12</t>
  </si>
  <si>
    <t>The Eye of the Tyger</t>
  </si>
  <si>
    <t>8Zc</t>
  </si>
  <si>
    <t>The Company of Friends (Izzy's Story)</t>
  </si>
  <si>
    <t>AAA</t>
  </si>
  <si>
    <t>Spearhead from Space</t>
  </si>
  <si>
    <t>BBB</t>
  </si>
  <si>
    <t>The Taking of Planet 5</t>
  </si>
  <si>
    <t>EDA29</t>
  </si>
  <si>
    <t>Frontier Worlds</t>
  </si>
  <si>
    <t>EDA30</t>
  </si>
  <si>
    <t>Parallel 59</t>
  </si>
  <si>
    <t>EDA31</t>
  </si>
  <si>
    <t>The Shadows of Avalon</t>
  </si>
  <si>
    <t>EDA32</t>
  </si>
  <si>
    <t>The Fall of Yquatine</t>
  </si>
  <si>
    <t>EDA33</t>
  </si>
  <si>
    <t>Coldheart</t>
  </si>
  <si>
    <t>EDA34</t>
  </si>
  <si>
    <t>The Space Age</t>
  </si>
  <si>
    <t>EDA35</t>
  </si>
  <si>
    <t>The Banquo Legacy</t>
  </si>
  <si>
    <t>EDA36</t>
  </si>
  <si>
    <t>Genocide</t>
  </si>
  <si>
    <t>EDA05</t>
  </si>
  <si>
    <t>War of the Daleks</t>
  </si>
  <si>
    <t>EDA06</t>
  </si>
  <si>
    <t>6C</t>
  </si>
  <si>
    <t>Time-Flight</t>
  </si>
  <si>
    <t>PDA65</t>
  </si>
  <si>
    <t>Empire of Death</t>
  </si>
  <si>
    <t>6C/A</t>
  </si>
  <si>
    <t>The Land of the Dead</t>
  </si>
  <si>
    <t>Kevin Killiany</t>
  </si>
  <si>
    <t>ST23:18</t>
  </si>
  <si>
    <t>Danger Down Below</t>
  </si>
  <si>
    <t>The God Machine</t>
  </si>
  <si>
    <t>The Armageddon Crysalis</t>
  </si>
  <si>
    <t>The Haven</t>
  </si>
  <si>
    <t>The Penalty</t>
  </si>
  <si>
    <t>Night Flight to Nowhere</t>
  </si>
  <si>
    <t>John Ridgway</t>
  </si>
  <si>
    <t>Falling from Xi'an</t>
  </si>
  <si>
    <t>Gudok</t>
  </si>
  <si>
    <t>ST28:04</t>
  </si>
  <si>
    <t>Steven Saville</t>
  </si>
  <si>
    <t>ST20:05</t>
  </si>
  <si>
    <t>The Tenth Planet</t>
  </si>
  <si>
    <t>Kit Pedler, Gerry Davis</t>
  </si>
  <si>
    <t>EE</t>
  </si>
  <si>
    <t>The Power of the Daleks</t>
  </si>
  <si>
    <t>David Whitaker, Dennis Spooner</t>
  </si>
  <si>
    <t>MA13</t>
  </si>
  <si>
    <t>Invasion of the Cat-People</t>
  </si>
  <si>
    <t>PDA02</t>
  </si>
  <si>
    <t>The Murder Game</t>
  </si>
  <si>
    <t>PDA07</t>
  </si>
  <si>
    <t>Dying in the Sun</t>
  </si>
  <si>
    <t>TEL07</t>
  </si>
  <si>
    <t>Wonderland</t>
  </si>
  <si>
    <t>FF</t>
  </si>
  <si>
    <t>The Highlanders</t>
  </si>
  <si>
    <t>Elwyn Jones, Gerry Davis</t>
  </si>
  <si>
    <t>NSAA14</t>
  </si>
  <si>
    <t>Blackout</t>
  </si>
  <si>
    <t>Stuart Milligan</t>
  </si>
  <si>
    <t>BBCN44</t>
  </si>
  <si>
    <t>BBCN45</t>
  </si>
  <si>
    <t>BBCN46</t>
  </si>
  <si>
    <t>BBCN47</t>
  </si>
  <si>
    <t>BBCN48</t>
  </si>
  <si>
    <t>BBCN49</t>
  </si>
  <si>
    <t>BBCN50</t>
  </si>
  <si>
    <t>Hunter's Moon</t>
  </si>
  <si>
    <t>The Way Through the Woods</t>
  </si>
  <si>
    <t>Dead of Winter</t>
  </si>
  <si>
    <t>Borrowed Time</t>
  </si>
  <si>
    <t>Touched by an Angel</t>
  </si>
  <si>
    <t>Paradox Lost</t>
  </si>
  <si>
    <t>The Silent Stars Go By</t>
  </si>
  <si>
    <t>Naomi A. Alderman</t>
  </si>
  <si>
    <t>33.X</t>
  </si>
  <si>
    <t>The Doctor, The Widow and the Wardrobe</t>
  </si>
  <si>
    <t>Farren Blackburn</t>
  </si>
  <si>
    <t>Gary Russell, Jason Haigh-Ellery</t>
  </si>
  <si>
    <t>Nicholas Pegg</t>
  </si>
  <si>
    <t>Paul Sutton</t>
  </si>
  <si>
    <t>Business Unusual</t>
  </si>
  <si>
    <t>MA15</t>
  </si>
  <si>
    <t>Millennial Rites</t>
  </si>
  <si>
    <t>PDA38</t>
  </si>
  <si>
    <t>The Quantum Archangel</t>
  </si>
  <si>
    <t>PDA48</t>
  </si>
  <si>
    <t>Instruments of Darkness</t>
  </si>
  <si>
    <t>7C/R</t>
  </si>
  <si>
    <t>The One Doctor</t>
  </si>
  <si>
    <t>7C/S</t>
  </si>
  <si>
    <t>The Juggernauts</t>
  </si>
  <si>
    <t>7C/T</t>
  </si>
  <si>
    <t>Catch-1782</t>
  </si>
  <si>
    <t>7C/U</t>
  </si>
  <si>
    <t>Thicker than Water</t>
  </si>
  <si>
    <t>7C/V1</t>
  </si>
  <si>
    <t>The Wishing Beast</t>
  </si>
  <si>
    <t>7C/V2</t>
  </si>
  <si>
    <t>The Vanity Box</t>
  </si>
  <si>
    <t>PDA72</t>
  </si>
  <si>
    <t>Spiral Scratch</t>
  </si>
  <si>
    <t>DWUN4</t>
  </si>
  <si>
    <t>He Jests at Scars…</t>
  </si>
  <si>
    <t>24</t>
  </si>
  <si>
    <t>7D</t>
  </si>
  <si>
    <t>Time and the Rani</t>
  </si>
  <si>
    <t>Andrew Morgan</t>
  </si>
  <si>
    <t>Andrew Cartmel</t>
  </si>
  <si>
    <t>7D/A</t>
  </si>
  <si>
    <t>Unregenerate!</t>
  </si>
  <si>
    <t>7D/B</t>
  </si>
  <si>
    <t>Red</t>
  </si>
  <si>
    <t>7E</t>
  </si>
  <si>
    <t>Paradise Towers</t>
  </si>
  <si>
    <t>Stephen Wyatt</t>
  </si>
  <si>
    <t>7E/A</t>
  </si>
  <si>
    <t>The Tests of Trefus</t>
  </si>
  <si>
    <t>Kevin McGarry, J.L. Morrissey, J.H. Pavey, M. Broadley, J.W. Elliott or Colin Newstead</t>
  </si>
  <si>
    <t>Walter Howarth, David Brian, Susan Aspey or Peter Limbert</t>
  </si>
  <si>
    <t>The Mind Extractors</t>
  </si>
  <si>
    <t>Soldiers from Zolta</t>
  </si>
  <si>
    <t>The Ghouls of Grestonpey</t>
  </si>
  <si>
    <t>Caught in the Web</t>
  </si>
  <si>
    <t>Invaders Invisible</t>
  </si>
  <si>
    <t>The Dark Planet</t>
  </si>
  <si>
    <t>Caverns of Horror</t>
  </si>
  <si>
    <t>A Universe Called Fred</t>
  </si>
  <si>
    <t>7-235-0179-3</t>
  </si>
  <si>
    <t>Dark Intruders</t>
  </si>
  <si>
    <t>War in the Abyss</t>
  </si>
  <si>
    <t>Hunt to the Death</t>
  </si>
  <si>
    <t>The Armageddon Factor</t>
  </si>
  <si>
    <t>CC3.12</t>
  </si>
  <si>
    <t>Stealers from Saiph</t>
  </si>
  <si>
    <t>CC4.12</t>
  </si>
  <si>
    <t>Ferrill's Folly</t>
  </si>
  <si>
    <t>17</t>
  </si>
  <si>
    <t>5J</t>
  </si>
  <si>
    <t>3.1</t>
  </si>
  <si>
    <t>Smith and Jones</t>
  </si>
  <si>
    <t>Charles Palmer</t>
  </si>
  <si>
    <t>3.2</t>
  </si>
  <si>
    <t>The Shakespeare Code</t>
  </si>
  <si>
    <t>3.3</t>
  </si>
  <si>
    <t>The Revolutionaries</t>
  </si>
  <si>
    <t>John S. Drew</t>
  </si>
  <si>
    <t>ST23:19</t>
  </si>
  <si>
    <t>Across Silent Seas</t>
  </si>
  <si>
    <t>Tim Waggoner</t>
  </si>
  <si>
    <t>ST25:14</t>
  </si>
  <si>
    <t>The Christmas Presence</t>
  </si>
  <si>
    <t>Simon Barnard, Paul Morris</t>
  </si>
  <si>
    <t>ST26:13</t>
  </si>
  <si>
    <t>One Step Forward, Two Steps Back</t>
  </si>
  <si>
    <t>Chris Thomas</t>
  </si>
  <si>
    <t>ST16:03</t>
  </si>
  <si>
    <t>Undercurrents</t>
  </si>
  <si>
    <t>Gary Merchant</t>
  </si>
  <si>
    <t>DEC3:06</t>
  </si>
  <si>
    <t>Aliens and Predators</t>
  </si>
  <si>
    <t>ST2:15</t>
  </si>
  <si>
    <t>uPVC</t>
  </si>
  <si>
    <t>Paul Farnsworth</t>
  </si>
  <si>
    <t>Jo Fletcher</t>
  </si>
  <si>
    <t>Camilla’s O-Negative Mulled Wine &amp; Mrs Baddeley’s Mini Christmas Pudding Truffles</t>
  </si>
  <si>
    <t>Paul Condon</t>
  </si>
  <si>
    <t>Jim Sangster</t>
  </si>
  <si>
    <t>Animus, Zarbi, Menoptera</t>
  </si>
  <si>
    <t>The Game of Rassilon</t>
  </si>
  <si>
    <t>Beep the Meep’s Grundian Egg Nog &amp; The Brig’s Brandy Butter</t>
  </si>
  <si>
    <t>The Eight Doctors of Christmas</t>
  </si>
  <si>
    <t>ST16:09</t>
  </si>
  <si>
    <t>A Life in the Day</t>
  </si>
  <si>
    <t>ST28:13</t>
  </si>
  <si>
    <t>ST25:06</t>
  </si>
  <si>
    <t>Do You Dream in Colour?</t>
  </si>
  <si>
    <t>ST25:10</t>
  </si>
  <si>
    <t>Faithful Friends: Part 2</t>
  </si>
  <si>
    <t>Epilogue: The Quality of Leadership</t>
  </si>
  <si>
    <t>Eye of the Gorgon</t>
  </si>
  <si>
    <t>Warriors of Kudlak</t>
  </si>
  <si>
    <t>Whatever Happened to Sarah Jane?</t>
  </si>
  <si>
    <t>The Lost Boy</t>
  </si>
  <si>
    <t>Simon Winstone</t>
  </si>
  <si>
    <t>8C</t>
  </si>
  <si>
    <t>Sword of Orion</t>
  </si>
  <si>
    <t>8D</t>
  </si>
  <si>
    <t>The Stones of Venice</t>
  </si>
  <si>
    <t>8E</t>
  </si>
  <si>
    <t>Minuet in Hell</t>
  </si>
  <si>
    <t>8F</t>
  </si>
  <si>
    <t>Invaders from Mars</t>
  </si>
  <si>
    <t>8G</t>
  </si>
  <si>
    <t>The Chimes of Midnight</t>
  </si>
  <si>
    <t>DWM05</t>
  </si>
  <si>
    <t>Living Legend</t>
  </si>
  <si>
    <t>8H</t>
  </si>
  <si>
    <t>Seasons of Fear</t>
  </si>
  <si>
    <t>8J</t>
  </si>
  <si>
    <t>Embrace the Darkness</t>
  </si>
  <si>
    <t>8K</t>
  </si>
  <si>
    <t>The Time of the Daleks</t>
  </si>
  <si>
    <t>8L</t>
  </si>
  <si>
    <t>Neverland</t>
  </si>
  <si>
    <t>8M</t>
  </si>
  <si>
    <t>Zagreus</t>
  </si>
  <si>
    <t>8N</t>
  </si>
  <si>
    <t>Scherzo</t>
  </si>
  <si>
    <t>8P</t>
  </si>
  <si>
    <t>The Creed of the Kromon</t>
  </si>
  <si>
    <t>8Q</t>
  </si>
  <si>
    <t>The Natural History of Fear</t>
  </si>
  <si>
    <t>8R</t>
  </si>
  <si>
    <t>The Twilight Kingdom</t>
  </si>
  <si>
    <t>8S</t>
  </si>
  <si>
    <t>Faith Stealer</t>
  </si>
  <si>
    <t>8T</t>
  </si>
  <si>
    <t>The Last</t>
  </si>
  <si>
    <t>8U</t>
  </si>
  <si>
    <t>Caerdroia</t>
  </si>
  <si>
    <t>8V</t>
  </si>
  <si>
    <t>The Next Life</t>
  </si>
  <si>
    <t>8W</t>
  </si>
  <si>
    <t>Terror Firma</t>
  </si>
  <si>
    <t>8X</t>
  </si>
  <si>
    <t>Scaredy Cat</t>
  </si>
  <si>
    <t>8Y</t>
  </si>
  <si>
    <t>Other Lives</t>
  </si>
  <si>
    <t>8Y/A</t>
  </si>
  <si>
    <t>Time Works</t>
  </si>
  <si>
    <t>8Y/B</t>
  </si>
  <si>
    <t>Anji</t>
  </si>
  <si>
    <t>Trix</t>
  </si>
  <si>
    <t>Alex</t>
  </si>
  <si>
    <t>Tamsin</t>
  </si>
  <si>
    <t>Emma</t>
  </si>
  <si>
    <t>Jack</t>
  </si>
  <si>
    <t>Mickey</t>
  </si>
  <si>
    <t>Alison</t>
  </si>
  <si>
    <t xml:space="preserve">Maria </t>
  </si>
  <si>
    <t>Clyde</t>
  </si>
  <si>
    <t>Martha</t>
  </si>
  <si>
    <t>Luke</t>
  </si>
  <si>
    <t>Rani</t>
  </si>
  <si>
    <t>Jackson</t>
  </si>
  <si>
    <t>Rosita</t>
  </si>
  <si>
    <t>Christina</t>
  </si>
  <si>
    <t>Wilf</t>
  </si>
  <si>
    <t>Adelaide</t>
  </si>
  <si>
    <t>Cassie</t>
  </si>
  <si>
    <t>Jimmy</t>
  </si>
  <si>
    <t>Astrid</t>
  </si>
  <si>
    <t>4.1</t>
  </si>
  <si>
    <t>Partners in Crime</t>
  </si>
  <si>
    <t>4.3</t>
  </si>
  <si>
    <t>Track Attack</t>
  </si>
  <si>
    <t>Nowhere Man</t>
  </si>
  <si>
    <t>DWA 169</t>
  </si>
  <si>
    <t>Money Troubles</t>
  </si>
  <si>
    <t>Fashion Victims</t>
  </si>
  <si>
    <t>The Stray</t>
  </si>
  <si>
    <t>DWA 170</t>
  </si>
  <si>
    <t>DWA 171</t>
  </si>
  <si>
    <t>DWA 172</t>
  </si>
  <si>
    <t>The Gemini Contagion</t>
  </si>
  <si>
    <t>Mistaken Identity</t>
  </si>
  <si>
    <t>Foul Play</t>
  </si>
  <si>
    <t>Attack of the Gatebots!</t>
  </si>
  <si>
    <t>Blue Skies Thinking</t>
  </si>
  <si>
    <t>Samurai's Secret</t>
  </si>
  <si>
    <t>A Mess of Trouble</t>
  </si>
  <si>
    <t>DWA 178</t>
  </si>
  <si>
    <t>DWA 173</t>
  </si>
  <si>
    <t>DWA 174</t>
  </si>
  <si>
    <t>IDWAFL 1-4</t>
  </si>
  <si>
    <t>TBB 2011</t>
  </si>
  <si>
    <t>Brian W. Aldiss</t>
  </si>
  <si>
    <t>The Little Planet</t>
  </si>
  <si>
    <t>Anthony Dry</t>
  </si>
  <si>
    <t>Gavin Collinson</t>
  </si>
  <si>
    <t>DWWeb</t>
  </si>
  <si>
    <t>Steven Moffat, Will Brenton, Gareth Roberts</t>
  </si>
  <si>
    <t>Will Brenton</t>
  </si>
  <si>
    <t>BBC Worldwide</t>
  </si>
  <si>
    <t>Stage Play</t>
  </si>
  <si>
    <t>Live</t>
  </si>
  <si>
    <t>Mark B. Oliver</t>
  </si>
  <si>
    <t>The Advent of Fear</t>
  </si>
  <si>
    <t>The Doctor on my Shoulder</t>
  </si>
  <si>
    <t>Daniel Roth</t>
  </si>
  <si>
    <t>TAG2.5</t>
  </si>
  <si>
    <t>Andrew Currie</t>
  </si>
  <si>
    <t>DWA 198</t>
  </si>
  <si>
    <t>DWA 199</t>
  </si>
  <si>
    <t>DWA 200</t>
  </si>
  <si>
    <t>DWA 201</t>
  </si>
  <si>
    <t>DWA 202</t>
  </si>
  <si>
    <t>DWA 203</t>
  </si>
  <si>
    <t>DWA 204</t>
  </si>
  <si>
    <t>DWA 205</t>
  </si>
  <si>
    <t>DWA 206</t>
  </si>
  <si>
    <t>DWA 207</t>
  </si>
  <si>
    <t>SJS1</t>
  </si>
  <si>
    <t>SJS1.1</t>
  </si>
  <si>
    <t>CC3.01</t>
  </si>
  <si>
    <t>CC3.02</t>
  </si>
  <si>
    <t>CC3.03</t>
  </si>
  <si>
    <t>CC3.04</t>
  </si>
  <si>
    <t>CC3.05</t>
  </si>
  <si>
    <t>CC3.06</t>
  </si>
  <si>
    <t>CC3.07</t>
  </si>
  <si>
    <t>CC3.08</t>
  </si>
  <si>
    <t>CC3.09</t>
  </si>
  <si>
    <t>DW Unbound</t>
  </si>
  <si>
    <t>BF Main Range</t>
  </si>
  <si>
    <t>BF Special</t>
  </si>
  <si>
    <t>LS2.3</t>
  </si>
  <si>
    <t>LS2.4</t>
  </si>
  <si>
    <t>LS2.5</t>
  </si>
  <si>
    <t>LS2.6</t>
  </si>
  <si>
    <t>BF Stage Play</t>
  </si>
  <si>
    <t>Companion Chronicle</t>
  </si>
  <si>
    <t>Dalek Empire</t>
  </si>
  <si>
    <t>Serpent Crest</t>
  </si>
  <si>
    <t>Sarah Jane Smith</t>
  </si>
  <si>
    <t>Torchwood Radio</t>
  </si>
  <si>
    <t>The Jupiter Conjunction</t>
  </si>
  <si>
    <t>The Butcher of Brisbane</t>
  </si>
  <si>
    <t>6H/G</t>
  </si>
  <si>
    <t>6H/H</t>
  </si>
  <si>
    <t>7-235-6594-5</t>
  </si>
  <si>
    <t>Ann 1981</t>
  </si>
  <si>
    <t>ST1:07</t>
  </si>
  <si>
    <t>Clive Hopwood</t>
  </si>
  <si>
    <t>Mel Powell</t>
  </si>
  <si>
    <t>Into the Silent Land</t>
  </si>
  <si>
    <t>Breadcrumbs</t>
  </si>
  <si>
    <t>Steven A Roman</t>
  </si>
  <si>
    <t>ST19:06</t>
  </si>
  <si>
    <t>ST28:16</t>
  </si>
  <si>
    <t>Checkpoint</t>
  </si>
  <si>
    <t>Capricorn: I Was a Monster!!</t>
  </si>
  <si>
    <t>ST4:10</t>
  </si>
  <si>
    <t>Stel Pavlou</t>
  </si>
  <si>
    <t>ST20:12</t>
  </si>
  <si>
    <t>O, Darkness</t>
  </si>
  <si>
    <t>Planet of Paradise</t>
  </si>
  <si>
    <t>Plague World</t>
  </si>
  <si>
    <t>Just a Small Problem</t>
  </si>
  <si>
    <t>Mauritz</t>
  </si>
  <si>
    <t>ST8:14</t>
  </si>
  <si>
    <t>ST6:08</t>
  </si>
  <si>
    <t>Ann 1982</t>
  </si>
  <si>
    <t>7-235-6628-3</t>
  </si>
  <si>
    <t>ST3:05</t>
  </si>
  <si>
    <t>Genesis of Evil</t>
  </si>
  <si>
    <t>ST4:04</t>
  </si>
  <si>
    <t>ST14:02</t>
  </si>
  <si>
    <t>UNIT Christmas Parties: First Christmas</t>
  </si>
  <si>
    <t>ST18:08</t>
  </si>
  <si>
    <t>Danse Macabre</t>
  </si>
  <si>
    <t>Joff Brown</t>
  </si>
  <si>
    <t>ST14:13</t>
  </si>
  <si>
    <t>SJA5</t>
  </si>
  <si>
    <t>SJA25</t>
  </si>
  <si>
    <t>SJA26</t>
  </si>
  <si>
    <t>SJA27</t>
  </si>
  <si>
    <t>Sky</t>
  </si>
  <si>
    <t>The Curse of Clyde Langer</t>
  </si>
  <si>
    <t>The Man Who Never Was</t>
  </si>
  <si>
    <t>Director / Artist</t>
  </si>
  <si>
    <t>Characters</t>
  </si>
  <si>
    <t>#</t>
  </si>
  <si>
    <t>ISBN</t>
  </si>
  <si>
    <t>Publisher</t>
  </si>
  <si>
    <t>The Web Planet</t>
  </si>
  <si>
    <t>Bill Strutton</t>
  </si>
  <si>
    <t>P</t>
  </si>
  <si>
    <t>The Crusade</t>
  </si>
  <si>
    <t>Douglas Camfield</t>
  </si>
  <si>
    <t>Q</t>
  </si>
  <si>
    <t>The Space Museum</t>
  </si>
  <si>
    <t>Glyn Jones</t>
  </si>
  <si>
    <t>Mervyn Pinfield</t>
  </si>
  <si>
    <t>MA28</t>
  </si>
  <si>
    <t>The Plotters</t>
  </si>
  <si>
    <t>R</t>
  </si>
  <si>
    <t>The Chase</t>
  </si>
  <si>
    <t>Richard Martin, Douglas Camfield</t>
  </si>
  <si>
    <t>S</t>
  </si>
  <si>
    <t>The Time Meddler</t>
  </si>
  <si>
    <t>Donald Tosh</t>
  </si>
  <si>
    <t>Frostfire</t>
  </si>
  <si>
    <t>MA16</t>
  </si>
  <si>
    <t>The Empire of Glass</t>
  </si>
  <si>
    <t>T</t>
  </si>
  <si>
    <t>Galaxy 4</t>
  </si>
  <si>
    <t>William Emms</t>
  </si>
  <si>
    <t>Derek Martinus, Mervyn Pinfield</t>
  </si>
  <si>
    <t>DC</t>
  </si>
  <si>
    <t>Mission to the Unknown</t>
  </si>
  <si>
    <t>Derek Martinus</t>
  </si>
  <si>
    <t>U</t>
  </si>
  <si>
    <t>Will Shindler</t>
  </si>
  <si>
    <t>Graham Duff</t>
  </si>
  <si>
    <t>Gary Hopkins</t>
  </si>
  <si>
    <t>Lloyd Rose</t>
  </si>
  <si>
    <t>Alan Barnes, Gary Russell</t>
  </si>
  <si>
    <t>NEDA1</t>
  </si>
  <si>
    <t>TVC 1133-1138</t>
  </si>
  <si>
    <t>TVA Ann 1974</t>
  </si>
  <si>
    <t>TVC 1139-1147</t>
  </si>
  <si>
    <t>Steve Livesey</t>
  </si>
  <si>
    <t>TVC 1148-1154</t>
  </si>
  <si>
    <t>TVC 1155-1159</t>
  </si>
  <si>
    <t>TVC 1160-1169</t>
  </si>
  <si>
    <t>DWHS 1974</t>
  </si>
  <si>
    <t>TVC 1177-1183</t>
  </si>
  <si>
    <t>Ben Aaronovitch</t>
  </si>
  <si>
    <t>7L</t>
  </si>
  <si>
    <t>Lust: Suitors, Inc.</t>
  </si>
  <si>
    <t>ST15:04</t>
  </si>
  <si>
    <t>The Lying Old Witch in the Wardrobe</t>
  </si>
  <si>
    <t>ST5:07</t>
  </si>
  <si>
    <t>All Snug in Their Beds</t>
  </si>
  <si>
    <t>ST25:20</t>
  </si>
  <si>
    <t>DWM 212-214</t>
  </si>
  <si>
    <t>Victims</t>
  </si>
  <si>
    <t>Colin Andrew, Enid Orc</t>
  </si>
  <si>
    <t>Chris Roberson</t>
  </si>
  <si>
    <t>The End of Now</t>
  </si>
  <si>
    <t>ST23:12</t>
  </si>
  <si>
    <t>ST2:13</t>
  </si>
  <si>
    <t>Return of the Spiders</t>
  </si>
  <si>
    <t>The Little Things</t>
  </si>
  <si>
    <t>The Clanging Chimes of Doom</t>
  </si>
  <si>
    <t>Present Tense</t>
  </si>
  <si>
    <t>Special Occasions 1: The Not-So-Sinister Sponge</t>
  </si>
  <si>
    <t>ST3:03</t>
  </si>
  <si>
    <t>The Faithful Rocket Pack!</t>
  </si>
  <si>
    <t>TVC 828-831</t>
  </si>
  <si>
    <t>Flower Power!</t>
  </si>
  <si>
    <t>TVC 832-836</t>
  </si>
  <si>
    <t>EDA48</t>
  </si>
  <si>
    <t>Dark Progeny</t>
  </si>
  <si>
    <t>EDA49</t>
  </si>
  <si>
    <t>The City of the Dead</t>
  </si>
  <si>
    <t>EDA50</t>
  </si>
  <si>
    <t>Grimm Reality</t>
  </si>
  <si>
    <t>EDA51</t>
  </si>
  <si>
    <t>The Adventuress of Henrietta Street</t>
  </si>
  <si>
    <t>Peri and the Piscon Paradox</t>
  </si>
  <si>
    <t>Nev Fountain</t>
  </si>
  <si>
    <t>Darin Henry</t>
  </si>
  <si>
    <t>Paul Cornell, Mike Maddox</t>
  </si>
  <si>
    <t>6H/A</t>
  </si>
  <si>
    <t>6H/B</t>
  </si>
  <si>
    <t>6H/C</t>
  </si>
  <si>
    <t>6H/D</t>
  </si>
  <si>
    <t>6H/E</t>
  </si>
  <si>
    <t>6H/F</t>
  </si>
  <si>
    <t>DWM11</t>
  </si>
  <si>
    <t>Freakshow</t>
  </si>
  <si>
    <t>David Richardson</t>
  </si>
  <si>
    <t>Barnaby Edwards</t>
  </si>
  <si>
    <t>Cobwebs</t>
  </si>
  <si>
    <t>The Whispering Forest</t>
  </si>
  <si>
    <t>The Cradle of the Snake</t>
  </si>
  <si>
    <t>Heroes of Sontar</t>
  </si>
  <si>
    <t>Kiss of Death</t>
  </si>
  <si>
    <t>Rat Trap</t>
  </si>
  <si>
    <t>Tony Lee</t>
  </si>
  <si>
    <t>TVC 864-867</t>
  </si>
  <si>
    <t>The Jokers!</t>
  </si>
  <si>
    <t>TVC 868-871</t>
  </si>
  <si>
    <t>The Time of My Life</t>
  </si>
  <si>
    <t>Kris Carter, Ceri Carter</t>
  </si>
  <si>
    <t>Richard Starkings, Gary Russell</t>
  </si>
  <si>
    <t>Cold-Blooded War!</t>
  </si>
  <si>
    <t>DWM 399</t>
  </si>
  <si>
    <t>The Doctor's Cross Word</t>
  </si>
  <si>
    <t>J.J. Secker</t>
  </si>
  <si>
    <t>The Price of Conviction</t>
  </si>
  <si>
    <t>Richard C. White</t>
  </si>
  <si>
    <t>ST6:03</t>
  </si>
  <si>
    <t>Ash</t>
  </si>
  <si>
    <t>DWMSS 1992</t>
  </si>
  <si>
    <t>Playtime</t>
  </si>
  <si>
    <t>Vanessa Bishop</t>
  </si>
  <si>
    <t>Lavinia</t>
  </si>
  <si>
    <t>ST21:02</t>
  </si>
  <si>
    <t>The Ruins of Time</t>
  </si>
  <si>
    <t>Philip Purser-Hallard</t>
  </si>
  <si>
    <t>1-84435-235-8</t>
  </si>
  <si>
    <t>ST25:04</t>
  </si>
  <si>
    <t>Tell Me You Love Me</t>
  </si>
  <si>
    <t>Tales from the Vault: The Painting</t>
  </si>
  <si>
    <t>Mary Tamm</t>
  </si>
  <si>
    <t>Tales from the Vault</t>
  </si>
  <si>
    <t>Daphne Ashbrook, Yee Jee Tso</t>
  </si>
  <si>
    <t>CC6.01d</t>
  </si>
  <si>
    <t>CC6.01c</t>
  </si>
  <si>
    <t>CC6.01a</t>
  </si>
  <si>
    <t>CC6.01b</t>
  </si>
  <si>
    <t>8AAA</t>
  </si>
  <si>
    <t>The Silver Turk</t>
  </si>
  <si>
    <t>7T</t>
  </si>
  <si>
    <t>Dust Breeding</t>
  </si>
  <si>
    <t>7U</t>
  </si>
  <si>
    <t>Colditz</t>
  </si>
  <si>
    <t>7V</t>
  </si>
  <si>
    <t>The Rapture</t>
  </si>
  <si>
    <t>7W</t>
  </si>
  <si>
    <t>The Only Good Dalek</t>
  </si>
  <si>
    <t>Game</t>
  </si>
  <si>
    <t>City of the Daleks</t>
  </si>
  <si>
    <t>Blood of the Cybermen</t>
  </si>
  <si>
    <t>TARDIS</t>
  </si>
  <si>
    <t>Shadows of the Vashta Nerada</t>
  </si>
  <si>
    <t>EDA3.1</t>
  </si>
  <si>
    <t>Orbis</t>
  </si>
  <si>
    <t>EDA3.2</t>
  </si>
  <si>
    <t>Hothouse</t>
  </si>
  <si>
    <t>EDA3.3</t>
  </si>
  <si>
    <t>The Beast of Orlok</t>
  </si>
  <si>
    <t>EDA3.4</t>
  </si>
  <si>
    <t>EDA3.5</t>
  </si>
  <si>
    <t>The Scapegoat</t>
  </si>
  <si>
    <t>EDA3.6</t>
  </si>
  <si>
    <t>The Cannibalists</t>
  </si>
  <si>
    <t>Worldwide Web</t>
  </si>
  <si>
    <t>EDA4.1</t>
  </si>
  <si>
    <t>Death in Blackpool</t>
  </si>
  <si>
    <t>?</t>
  </si>
  <si>
    <t>TEL09</t>
  </si>
  <si>
    <t>The Cabinet of Light</t>
  </si>
  <si>
    <t>DWUN3</t>
  </si>
  <si>
    <t>Full Fathom Five</t>
  </si>
  <si>
    <t>The Dalek Factor</t>
  </si>
  <si>
    <t>1.1</t>
  </si>
  <si>
    <t>Rose</t>
  </si>
  <si>
    <t>Russell T Davies</t>
  </si>
  <si>
    <t>Keith Boak</t>
  </si>
  <si>
    <t>Phil Collinson</t>
  </si>
  <si>
    <t>Ed Cross, Mat Fidell</t>
  </si>
  <si>
    <t>Richard Whitaker</t>
  </si>
  <si>
    <t>DWM 185-187</t>
  </si>
  <si>
    <t>Vincent Danks, Adolfo Buylla, Robin Riggs</t>
  </si>
  <si>
    <t>Richard Piers Rayner, Vincent Danks</t>
  </si>
  <si>
    <t>DWMAHS 1993</t>
  </si>
  <si>
    <t>DWM 188-190</t>
  </si>
  <si>
    <t>Brian Williamson, Cam Smith</t>
  </si>
  <si>
    <t>DWM 191</t>
  </si>
  <si>
    <t>DWM 192</t>
  </si>
  <si>
    <t>DWM 193-196</t>
  </si>
  <si>
    <t>DWM 197-202</t>
  </si>
  <si>
    <t>Marina Graham</t>
  </si>
  <si>
    <t>DWM 203-206</t>
  </si>
  <si>
    <t>DWM 207</t>
  </si>
  <si>
    <t>John Ridgway, Paul Vyse</t>
  </si>
  <si>
    <t>1-6</t>
  </si>
  <si>
    <t>DWM 208-210</t>
  </si>
  <si>
    <t>DWM 211</t>
  </si>
  <si>
    <t>DWM 238-242</t>
  </si>
  <si>
    <t>Martin Geraghty, Bambos Georgiou</t>
  </si>
  <si>
    <t>DWM 305</t>
  </si>
  <si>
    <t>DWMWS 1992</t>
  </si>
  <si>
    <t>A Thousand Tiny Wings</t>
  </si>
  <si>
    <t>7Z/F</t>
  </si>
  <si>
    <t>7Z/G</t>
  </si>
  <si>
    <t>Klein's Story</t>
  </si>
  <si>
    <t>Survival of the Fittest</t>
  </si>
  <si>
    <t>The Architects of History</t>
  </si>
  <si>
    <t>7Z/H</t>
  </si>
  <si>
    <t>7Z/AA</t>
  </si>
  <si>
    <t>7Z/AB</t>
  </si>
  <si>
    <t>Radio Program</t>
  </si>
  <si>
    <t>Editor / Showrunner</t>
  </si>
  <si>
    <t>DE1</t>
  </si>
  <si>
    <t>DE1.1</t>
  </si>
  <si>
    <t>Dalek Empire: Invasion of the Daleks</t>
  </si>
  <si>
    <t>DE1.2</t>
  </si>
  <si>
    <t>DE1.3</t>
  </si>
  <si>
    <t>DE1.4</t>
  </si>
  <si>
    <t>1-903654-378</t>
  </si>
  <si>
    <t>ST11:03</t>
  </si>
  <si>
    <t>The Rag and Bone Man's Story</t>
  </si>
  <si>
    <t>DWM 167</t>
  </si>
  <si>
    <t>The Meeting</t>
  </si>
  <si>
    <t>Sheila Cranna</t>
  </si>
  <si>
    <t>ST19:14</t>
  </si>
  <si>
    <t>The Three Paths</t>
  </si>
  <si>
    <t>Ian Potter</t>
  </si>
  <si>
    <t>Rise and Fall</t>
  </si>
  <si>
    <t>Nicholas Briggs, Ken Bentley</t>
  </si>
  <si>
    <t>William Russell</t>
  </si>
  <si>
    <t>ST9:09</t>
  </si>
  <si>
    <t>Bide-a-Wee</t>
  </si>
  <si>
    <t>Anthony Keetch</t>
  </si>
  <si>
    <t>1-844-35046-0</t>
  </si>
  <si>
    <t>ST18:19</t>
  </si>
  <si>
    <t>The False Planet</t>
  </si>
  <si>
    <t>The Fire Feeders</t>
  </si>
  <si>
    <t>Kling Dynasty</t>
  </si>
  <si>
    <t>The Sky Warrior</t>
  </si>
  <si>
    <t>TVC 1312-1317</t>
  </si>
  <si>
    <t>TVC 1318-1325</t>
  </si>
  <si>
    <t>TVC 1326-1333</t>
  </si>
  <si>
    <t>TVCHS 1977</t>
  </si>
  <si>
    <t>UNITed We Fall</t>
  </si>
  <si>
    <t>DEC3:05</t>
  </si>
  <si>
    <t>Mark Stevens</t>
  </si>
  <si>
    <t>The Northern Heights</t>
  </si>
  <si>
    <t>The Baron Wastes</t>
  </si>
  <si>
    <t>Earth</t>
  </si>
  <si>
    <t>Callanhuanca</t>
  </si>
  <si>
    <t>Direct Action</t>
  </si>
  <si>
    <t>My Hero</t>
  </si>
  <si>
    <t>In Case of Emergencies</t>
  </si>
  <si>
    <t>Gareth Roberts</t>
  </si>
  <si>
    <t>Ashley Way</t>
  </si>
  <si>
    <t>Revolution Man</t>
  </si>
  <si>
    <t>EDA22</t>
  </si>
  <si>
    <t>Dominion</t>
  </si>
  <si>
    <t>EDA23</t>
  </si>
  <si>
    <t>Unnatural History</t>
  </si>
  <si>
    <t>EDA24</t>
  </si>
  <si>
    <t>Autumn Mist</t>
  </si>
  <si>
    <t>EDA25</t>
  </si>
  <si>
    <t>Interference 1: Shock Tactics</t>
  </si>
  <si>
    <t>ST13:06</t>
  </si>
  <si>
    <t>ST25:08</t>
  </si>
  <si>
    <t>6'</t>
  </si>
  <si>
    <t>DWMWS 1994</t>
  </si>
  <si>
    <t>ST2:09</t>
  </si>
  <si>
    <t>Ante Bellum</t>
  </si>
  <si>
    <t>The Ghost's Story</t>
  </si>
  <si>
    <t>Paul Smith</t>
  </si>
  <si>
    <t>DWM 210</t>
  </si>
  <si>
    <t>David Jackson</t>
  </si>
  <si>
    <t>DWM 212</t>
  </si>
  <si>
    <t>Useless Things</t>
  </si>
  <si>
    <t>DWM 213</t>
  </si>
  <si>
    <t>The Gallery</t>
  </si>
  <si>
    <t>Paul D. Smith</t>
  </si>
  <si>
    <t>Listening Watch</t>
  </si>
  <si>
    <t>DWMHS 1992</t>
  </si>
  <si>
    <t>Girls' Night In</t>
  </si>
  <si>
    <t>Liz</t>
  </si>
  <si>
    <t>Tegan, Ace</t>
  </si>
  <si>
    <t>A Wee Deoch An...?</t>
  </si>
  <si>
    <t>Fond Memories</t>
  </si>
  <si>
    <t>Nicholas Courtney</t>
  </si>
  <si>
    <t>The Changeling Years</t>
  </si>
  <si>
    <t>Rescue</t>
  </si>
  <si>
    <t>The Beast Inside</t>
  </si>
  <si>
    <t>Work is Hell</t>
  </si>
  <si>
    <t>ST26:15</t>
  </si>
  <si>
    <t>ST22:04</t>
  </si>
  <si>
    <t>Mark Magrs</t>
  </si>
  <si>
    <t>ST25:24</t>
  </si>
  <si>
    <t>ST25:02</t>
  </si>
  <si>
    <t>Gary A. Braunbeck, Lucy A. Snyder</t>
  </si>
  <si>
    <t>ST23:17</t>
  </si>
  <si>
    <t>ST26:02</t>
  </si>
  <si>
    <t>ST26:04</t>
  </si>
  <si>
    <t>ST26:05</t>
  </si>
  <si>
    <t>ST10:16</t>
  </si>
  <si>
    <t>Sarah Groenewegen</t>
  </si>
  <si>
    <t>ST7:05</t>
  </si>
  <si>
    <t>Polyhymnia: Hymn of the City</t>
  </si>
  <si>
    <t>ST12:03</t>
  </si>
  <si>
    <t>ST18:17</t>
  </si>
  <si>
    <t>DWMSS 1991</t>
  </si>
  <si>
    <t>TDW</t>
  </si>
  <si>
    <t>The Mechanical Planet</t>
  </si>
  <si>
    <t>Treasure of the Daleks</t>
  </si>
  <si>
    <t>The Invisible Invaders</t>
  </si>
  <si>
    <t>The Orbitus</t>
  </si>
  <si>
    <t>The World That Waits</t>
  </si>
  <si>
    <t>Masters of the World</t>
  </si>
  <si>
    <t>Manhunt</t>
  </si>
  <si>
    <t>The Log of the "Gypsy Joe"</t>
  </si>
  <si>
    <t>The Five-Leaf Clover</t>
  </si>
  <si>
    <t>The Secret Struggle</t>
  </si>
  <si>
    <t>TDOSB</t>
  </si>
  <si>
    <t>The Dalek Trap</t>
  </si>
  <si>
    <t>David Auger</t>
  </si>
  <si>
    <t>DEC3:03</t>
  </si>
  <si>
    <t>Tarnished Image</t>
  </si>
  <si>
    <t>Guy Clapperton</t>
  </si>
  <si>
    <t>0-426-20478-6</t>
  </si>
  <si>
    <t>ST1:09</t>
  </si>
  <si>
    <t>There are Fairies at the Bottom of the Garden</t>
  </si>
  <si>
    <t>Sam Lester</t>
  </si>
  <si>
    <t>ST28:15</t>
  </si>
  <si>
    <t>iNtRUsioNs</t>
  </si>
  <si>
    <t>Dave Hoskin</t>
  </si>
  <si>
    <t>The King of Terror</t>
  </si>
  <si>
    <t>6N</t>
  </si>
  <si>
    <t>Frontios</t>
  </si>
  <si>
    <t>EX01</t>
  </si>
  <si>
    <t>Excelis Dawns</t>
  </si>
  <si>
    <t>Iris</t>
  </si>
  <si>
    <t>6P</t>
  </si>
  <si>
    <t>This is My Life</t>
  </si>
  <si>
    <t>William Keith</t>
  </si>
  <si>
    <t>ST1:08</t>
  </si>
  <si>
    <t>21 feb o7</t>
  </si>
  <si>
    <t>Lonely Planet</t>
  </si>
  <si>
    <t>Bob Baker, Paul Tams</t>
  </si>
  <si>
    <t>Brian Williamson</t>
  </si>
  <si>
    <t>DWMWS 1991</t>
  </si>
  <si>
    <t>Harry Lindfield</t>
  </si>
  <si>
    <t>Polystyle Publications</t>
  </si>
  <si>
    <t>Gerry Haylock</t>
  </si>
  <si>
    <t>Dennis Hooper</t>
  </si>
  <si>
    <t>Target Practice</t>
  </si>
  <si>
    <t>DWM 234</t>
  </si>
  <si>
    <t>Adrian Salmon</t>
  </si>
  <si>
    <t>BBCQR1</t>
  </si>
  <si>
    <t>JIF1</t>
  </si>
  <si>
    <t>RB01</t>
  </si>
  <si>
    <t>TEL15</t>
  </si>
  <si>
    <t>EDA60</t>
  </si>
  <si>
    <t>Time Zero</t>
  </si>
  <si>
    <t>EDA61</t>
  </si>
  <si>
    <t>Infinity Race</t>
  </si>
  <si>
    <t>EDA62</t>
  </si>
  <si>
    <t>Domino Effect</t>
  </si>
  <si>
    <t>EDA63</t>
  </si>
  <si>
    <t>Never Seen Cairo</t>
  </si>
  <si>
    <t>ST14:32</t>
  </si>
  <si>
    <t>Epilogue: A Christmas Treasury</t>
  </si>
  <si>
    <t>ST14:30</t>
  </si>
  <si>
    <t>ST14:29</t>
  </si>
  <si>
    <t>ST14:26</t>
  </si>
  <si>
    <t>All Our Christmases</t>
  </si>
  <si>
    <t>ST14:21</t>
  </si>
  <si>
    <t>Cordell Raby</t>
  </si>
  <si>
    <t>DWM 185</t>
  </si>
  <si>
    <t>Ships</t>
  </si>
  <si>
    <t>Jamie Woolley</t>
  </si>
  <si>
    <t>Andy Lambert</t>
  </si>
  <si>
    <t>DWM 186</t>
  </si>
  <si>
    <t>Cathedral Heart</t>
  </si>
  <si>
    <t>Brian Hudd</t>
  </si>
  <si>
    <t>DWM 187</t>
  </si>
  <si>
    <t>A Romantic Evening</t>
  </si>
  <si>
    <t>Alex Fowles</t>
  </si>
  <si>
    <t>Paul Griffin</t>
  </si>
  <si>
    <t>DWM 188</t>
  </si>
  <si>
    <t>The Useful Pile</t>
  </si>
  <si>
    <t>DWM 189</t>
  </si>
  <si>
    <t>Time, Love and TARDIS</t>
  </si>
  <si>
    <t>Ron Plath</t>
  </si>
  <si>
    <t>David Carroll</t>
  </si>
  <si>
    <t>John Molyneaux</t>
  </si>
  <si>
    <t>Games</t>
  </si>
  <si>
    <t>DWM 193</t>
  </si>
  <si>
    <t>Toy</t>
  </si>
  <si>
    <t>Colin Varney</t>
  </si>
  <si>
    <t>DWM 194</t>
  </si>
  <si>
    <t>Tautology</t>
  </si>
  <si>
    <t>Glenn Langford</t>
  </si>
  <si>
    <t>Paul Cockburn</t>
  </si>
  <si>
    <t>DWM 195</t>
  </si>
  <si>
    <t>In the Community</t>
  </si>
  <si>
    <t>DWM 196</t>
  </si>
  <si>
    <t>The Stranger, the Writer, his Wife and the Mixed Metaphor</t>
  </si>
  <si>
    <t>Graham Cox</t>
  </si>
  <si>
    <t>DWM 197</t>
  </si>
  <si>
    <t>A Time &amp; a Place</t>
  </si>
  <si>
    <t>Andrew Pixley</t>
  </si>
  <si>
    <t>DWM 198</t>
  </si>
  <si>
    <t>Three Steps to the Left</t>
  </si>
  <si>
    <t>DWM 199</t>
  </si>
  <si>
    <t>Doctor Who Files Story</t>
  </si>
  <si>
    <t>1-40590-311-0</t>
  </si>
  <si>
    <t>DWF11</t>
  </si>
  <si>
    <t>Birth of a Legend</t>
  </si>
  <si>
    <t>1-40590-312-7</t>
  </si>
  <si>
    <t>DWF12</t>
  </si>
  <si>
    <t>The Secret of the Stones</t>
  </si>
  <si>
    <t>1-40590-310-3</t>
  </si>
  <si>
    <t>DWF13</t>
  </si>
  <si>
    <t>Blind Terror</t>
  </si>
  <si>
    <t>1-4059-0444-5</t>
  </si>
  <si>
    <t>DWF14</t>
  </si>
  <si>
    <t>Disappearing Act</t>
  </si>
  <si>
    <t>1-40590-442-1</t>
  </si>
  <si>
    <t>DWF15</t>
  </si>
  <si>
    <t>Speech Day</t>
  </si>
  <si>
    <t>Sir Justin</t>
  </si>
  <si>
    <t>Lackaday Express</t>
  </si>
  <si>
    <t>Seven Keys to Doomsday</t>
  </si>
  <si>
    <t>Richard Fox, Lauren Yason</t>
  </si>
  <si>
    <t>Jenny</t>
  </si>
  <si>
    <t>Vanderdeken's Children</t>
  </si>
  <si>
    <t>Andy Goddard</t>
  </si>
  <si>
    <t>Susie Liggat</t>
  </si>
  <si>
    <t>The Sontaran Games</t>
  </si>
  <si>
    <t>The Darksmith Legacy 1: The Dust of Ages</t>
  </si>
  <si>
    <t>The Aquarius Condition</t>
  </si>
  <si>
    <t>Glum Culture</t>
  </si>
  <si>
    <t>The Great Rain Robbery</t>
  </si>
  <si>
    <t>The Parrian Proposal</t>
  </si>
  <si>
    <t>Hitching Point</t>
  </si>
  <si>
    <t>Store Wars</t>
  </si>
  <si>
    <t>The Submariners</t>
  </si>
  <si>
    <t>The Greed of the Gavulav</t>
  </si>
  <si>
    <t>The Secret Army</t>
  </si>
  <si>
    <t>The Silver Bullet</t>
  </si>
  <si>
    <t>The Invisibles</t>
  </si>
  <si>
    <t>Good Old Days</t>
  </si>
  <si>
    <t>T.R.O.L.</t>
  </si>
  <si>
    <t>Cyclops</t>
  </si>
  <si>
    <t>The Crystal Palace</t>
  </si>
  <si>
    <t>The Spirit of Ashgar</t>
  </si>
  <si>
    <t>Monster Idol</t>
  </si>
  <si>
    <t>The Slakken Cat</t>
  </si>
  <si>
    <t>Code Freeze</t>
  </si>
  <si>
    <t>Hear No Evil</t>
  </si>
  <si>
    <t>Terror in the TARDIS</t>
  </si>
  <si>
    <t>The Ball and Chain Gang</t>
  </si>
  <si>
    <t>The Memory Collective</t>
  </si>
  <si>
    <t>The Blue Star Bomb</t>
  </si>
  <si>
    <t>Booked Up</t>
  </si>
  <si>
    <t>Bad Vibrations</t>
  </si>
  <si>
    <t>About Face</t>
  </si>
  <si>
    <t>Captain Jack and the Selkie</t>
  </si>
  <si>
    <t>Gordian</t>
  </si>
  <si>
    <t>TWM14.1</t>
  </si>
  <si>
    <t>TWM14.2</t>
  </si>
  <si>
    <t>Tommy Lee Edwards</t>
  </si>
  <si>
    <t>Broken</t>
  </si>
  <si>
    <t>Gary Russell, Nick Abadzis</t>
  </si>
  <si>
    <t>The Devil and Miss Carew</t>
  </si>
  <si>
    <t>RDTW5</t>
  </si>
  <si>
    <t>1-4458-6095-4</t>
  </si>
  <si>
    <t>RDTW6</t>
  </si>
  <si>
    <t>Submission</t>
  </si>
  <si>
    <t>Ryan Scott</t>
  </si>
  <si>
    <t>RDTW7</t>
  </si>
  <si>
    <t>The House of the Dead</t>
  </si>
  <si>
    <t>Kai Owen</t>
  </si>
  <si>
    <t>Department X</t>
  </si>
  <si>
    <t>TWA06</t>
  </si>
  <si>
    <t>TWA05</t>
  </si>
  <si>
    <t>1-4084-6665-1</t>
  </si>
  <si>
    <t>1-4084-6666-X</t>
  </si>
  <si>
    <t>They Keep Killing Andy</t>
  </si>
  <si>
    <t>Flotsam and Jetsam</t>
  </si>
  <si>
    <t>TWM19.1</t>
  </si>
  <si>
    <t>TWM19.3</t>
  </si>
  <si>
    <t>Stakes on a Plane</t>
  </si>
  <si>
    <t>I May Be Some Time</t>
  </si>
  <si>
    <t>TWM18.3</t>
  </si>
  <si>
    <t>TWM18.1</t>
  </si>
  <si>
    <t>Fated to Pretend</t>
  </si>
  <si>
    <t>Happy New Year</t>
  </si>
  <si>
    <t>TWM20.2</t>
  </si>
  <si>
    <t>TWM20.1</t>
  </si>
  <si>
    <t>TWM20.3</t>
  </si>
  <si>
    <t>Steve Yeowell</t>
  </si>
  <si>
    <t>Long Time Dead</t>
  </si>
  <si>
    <t>TWN17</t>
  </si>
  <si>
    <t>The Men Who Sold the World</t>
  </si>
  <si>
    <t>TWN18</t>
  </si>
  <si>
    <t>TWN16</t>
  </si>
  <si>
    <t>1-84990-283-6</t>
  </si>
  <si>
    <t>1-84990-285-2</t>
  </si>
  <si>
    <t>1-84990-284-4</t>
  </si>
  <si>
    <t>Rebecca Levene, Simon Winstone</t>
  </si>
  <si>
    <t>Mark Clapham, Jon de Burgh Miller</t>
  </si>
  <si>
    <t>0-426-20507-3</t>
  </si>
  <si>
    <t>BS01.1</t>
  </si>
  <si>
    <t>1-903654-300</t>
  </si>
  <si>
    <t>BS01</t>
  </si>
  <si>
    <t>BF Bernice Summerfield Audio</t>
  </si>
  <si>
    <t>BS01.6</t>
  </si>
  <si>
    <t>BS01.2</t>
  </si>
  <si>
    <t>BS01.3</t>
  </si>
  <si>
    <t>1-903654-34-3</t>
  </si>
  <si>
    <t>1-903654-19X</t>
  </si>
  <si>
    <t>1-903654 033</t>
  </si>
  <si>
    <t>0-426-20515-4</t>
  </si>
  <si>
    <t>1-903654-35-1</t>
  </si>
  <si>
    <t>Kate Orman, Jacqueline Rayner</t>
  </si>
  <si>
    <t>Justin Richards, Jacqueline Rayner</t>
  </si>
  <si>
    <t>Paul Cornell, Jacqueline Rayner</t>
  </si>
  <si>
    <t>0-426-20508-1</t>
  </si>
  <si>
    <t>0-426-20511-1</t>
  </si>
  <si>
    <t>0-426-20510-3</t>
  </si>
  <si>
    <t>0-426-20512-X</t>
  </si>
  <si>
    <t>0-426-20513-8</t>
  </si>
  <si>
    <t>0-426-20514-6</t>
  </si>
  <si>
    <t>0-426-20519-7</t>
  </si>
  <si>
    <t>0-426-20523-5</t>
  </si>
  <si>
    <t>0-426-20521-9</t>
  </si>
  <si>
    <t>0-426-20522-7</t>
  </si>
  <si>
    <t>0-426-20524-3</t>
  </si>
  <si>
    <t>0-426-20525-1</t>
  </si>
  <si>
    <t>0-426-20526-X</t>
  </si>
  <si>
    <t>0-426-20528-6</t>
  </si>
  <si>
    <t>0-426-20529-4</t>
  </si>
  <si>
    <t>0-426-20530-8</t>
  </si>
  <si>
    <t>0-426-20531-6</t>
  </si>
  <si>
    <t>0-426-20532-4</t>
  </si>
  <si>
    <t>0-426-20533-2</t>
  </si>
  <si>
    <t>0-426-20534-0</t>
  </si>
  <si>
    <t>0-426-20535-9</t>
  </si>
  <si>
    <t>0-426-20536-7</t>
  </si>
  <si>
    <t>The Weapon</t>
  </si>
  <si>
    <t>Return of the Electrids</t>
  </si>
  <si>
    <t>The Sleeping Guardians</t>
  </si>
  <si>
    <t>Brian Dooley</t>
  </si>
  <si>
    <t>The Glarn Strategy</t>
  </si>
  <si>
    <t>ST24:18</t>
  </si>
  <si>
    <t>Good Queen, Bad Queen, I Queen, You Queen</t>
  </si>
  <si>
    <t>Follow that TARDIS!</t>
  </si>
  <si>
    <t>Invaders from Gantac</t>
  </si>
  <si>
    <t>Nemesis of the Daleks</t>
  </si>
  <si>
    <t>Stairway to Heaven</t>
  </si>
  <si>
    <t>Once in a Lifetime</t>
  </si>
  <si>
    <t>Hunger From the End of Time</t>
  </si>
  <si>
    <t>War World</t>
  </si>
  <si>
    <t>Technical Hitch</t>
  </si>
  <si>
    <t>A Switch in Time</t>
  </si>
  <si>
    <t>The Sentinel</t>
  </si>
  <si>
    <t>Who's That Girl</t>
  </si>
  <si>
    <t>The Mutant Turnip</t>
  </si>
  <si>
    <t>The Secret Star Trail</t>
  </si>
  <si>
    <t>First Night</t>
  </si>
  <si>
    <t>Last Night</t>
  </si>
  <si>
    <t>Tuesday</t>
  </si>
  <si>
    <t>Body Snatched</t>
  </si>
  <si>
    <t>Convention Special</t>
  </si>
  <si>
    <t>EDA53</t>
  </si>
  <si>
    <t>ST24:10</t>
  </si>
  <si>
    <t>ST25:21</t>
  </si>
  <si>
    <t>ST26:10</t>
  </si>
  <si>
    <t>ST10:01</t>
  </si>
  <si>
    <t>ST6:15</t>
  </si>
  <si>
    <t>ST8:03</t>
  </si>
  <si>
    <t>ST9:02</t>
  </si>
  <si>
    <t>ST10:11</t>
  </si>
  <si>
    <t>ST19:13</t>
  </si>
  <si>
    <t>ST22:10</t>
  </si>
  <si>
    <t>ST24:13</t>
  </si>
  <si>
    <t>Gary Owen</t>
  </si>
  <si>
    <t>ST25:03</t>
  </si>
  <si>
    <t>ST27:13</t>
  </si>
  <si>
    <t>ST28:06</t>
  </si>
  <si>
    <t>Richard Wright</t>
  </si>
  <si>
    <t>Kelly Hale</t>
  </si>
  <si>
    <t>ST28:12</t>
  </si>
  <si>
    <t>ST10:13</t>
  </si>
  <si>
    <t>DWM 130-133</t>
  </si>
  <si>
    <t>DWM 134</t>
  </si>
  <si>
    <t>Kev Hopgood, Tim Perkins</t>
  </si>
  <si>
    <t>Richard Starkings</t>
  </si>
  <si>
    <t>DWM 135</t>
  </si>
  <si>
    <t>Geoff Senior</t>
  </si>
  <si>
    <t>The Monsters Inside</t>
  </si>
  <si>
    <t>Winner Takes All</t>
  </si>
  <si>
    <t>1.6</t>
  </si>
  <si>
    <t>Dalek</t>
  </si>
  <si>
    <t>Robert Shearman</t>
  </si>
  <si>
    <t>Joe Ahearne</t>
  </si>
  <si>
    <t>1.7</t>
  </si>
  <si>
    <t>The Long Game</t>
  </si>
  <si>
    <t>Brian Grant</t>
  </si>
  <si>
    <t>1.8</t>
  </si>
  <si>
    <t>Father's Day</t>
  </si>
  <si>
    <t>Paul Cornell</t>
  </si>
  <si>
    <t>1.9/10</t>
  </si>
  <si>
    <t>The Empty Child</t>
  </si>
  <si>
    <t>Steven Moffat</t>
  </si>
  <si>
    <t>James Hawes</t>
  </si>
  <si>
    <t>The Deviant Strain</t>
  </si>
  <si>
    <t>Only Human</t>
  </si>
  <si>
    <t>1.11</t>
  </si>
  <si>
    <t>Boom Town</t>
  </si>
  <si>
    <t>The Stealers of Dreams</t>
  </si>
  <si>
    <t>Model Train Set</t>
  </si>
  <si>
    <t>Totem</t>
  </si>
  <si>
    <t>K-91.14</t>
  </si>
  <si>
    <t>K-91.15</t>
  </si>
  <si>
    <t>Katy Manning</t>
  </si>
  <si>
    <t>STA2:03</t>
  </si>
  <si>
    <t>Walls of Confinement</t>
  </si>
  <si>
    <t>7C/MCd</t>
  </si>
  <si>
    <t>100: My Own Private Wolfgang</t>
  </si>
  <si>
    <t>100: 100 BC</t>
  </si>
  <si>
    <t>DWM 363-364</t>
  </si>
  <si>
    <t>Mike Collins, David A. Roach</t>
  </si>
  <si>
    <t>Mike Collins, Kris Justice</t>
  </si>
  <si>
    <t>Ann 2006</t>
  </si>
  <si>
    <t>Mr Nobody</t>
  </si>
  <si>
    <t>John Ross</t>
  </si>
  <si>
    <t>Panini Publishing</t>
  </si>
  <si>
    <t>The Masks of Makassar</t>
  </si>
  <si>
    <t>Martin Geraghty</t>
  </si>
  <si>
    <t>Pitter-Patter</t>
  </si>
  <si>
    <t>Daryl Joyce</t>
  </si>
  <si>
    <t>What I Did on My Christmas Holidays by Sally Sparrow</t>
  </si>
  <si>
    <t>Andy Walker</t>
  </si>
  <si>
    <t>Return of the Elders</t>
  </si>
  <si>
    <t>John Lawrence</t>
  </si>
  <si>
    <t>Marvel Magazines</t>
  </si>
  <si>
    <t>DWM 249-254</t>
  </si>
  <si>
    <t>K-91.25</t>
  </si>
  <si>
    <t>K-91.26</t>
  </si>
  <si>
    <t>Regeneration</t>
  </si>
  <si>
    <t>Liberation</t>
  </si>
  <si>
    <t>The Korven</t>
  </si>
  <si>
    <t>STA1:04</t>
  </si>
  <si>
    <t>STA1:05</t>
  </si>
  <si>
    <t>STA1:06</t>
  </si>
  <si>
    <t>STA1:07</t>
  </si>
  <si>
    <t>STA1:08</t>
  </si>
  <si>
    <t>STA2:04</t>
  </si>
  <si>
    <t>STA2:05</t>
  </si>
  <si>
    <t>STA2:06</t>
  </si>
  <si>
    <t>STA2:07</t>
  </si>
  <si>
    <t>TVC 803-806</t>
  </si>
  <si>
    <t>Philip Segal</t>
  </si>
  <si>
    <t>EDA01</t>
  </si>
  <si>
    <t>The Eight Doctors</t>
  </si>
  <si>
    <t>NA61</t>
  </si>
  <si>
    <t>The Dying Days</t>
  </si>
  <si>
    <t>TEL06</t>
  </si>
  <si>
    <t>Rip Tide</t>
  </si>
  <si>
    <t>8Za</t>
  </si>
  <si>
    <t>The Company of Friends (Benny's Story)</t>
  </si>
  <si>
    <t>EDA02</t>
  </si>
  <si>
    <t>Vampire Science</t>
  </si>
  <si>
    <t>EDA03</t>
  </si>
  <si>
    <t>The Bodysnatchers</t>
  </si>
  <si>
    <t>EDA04</t>
  </si>
  <si>
    <t>Collected Works: The Two-Level Effect</t>
  </si>
  <si>
    <t>BFAn06.14</t>
  </si>
  <si>
    <t>Collected Works: Let There Be Stars</t>
  </si>
  <si>
    <t>BFAn06.15</t>
  </si>
  <si>
    <t>Collected Works: Sleeptalking</t>
  </si>
  <si>
    <t>BFAn06.16</t>
  </si>
  <si>
    <t>Collected Works: Perspectives: Intermissions</t>
  </si>
  <si>
    <t>BFAn06.17</t>
  </si>
  <si>
    <t>Collected Works: False Security</t>
  </si>
  <si>
    <t>BFAn06.18</t>
  </si>
  <si>
    <t>Collected Works: The Painting on the Stair</t>
  </si>
  <si>
    <t>BFAn06.19</t>
  </si>
  <si>
    <t>Collected Works: The Cost for a Collection</t>
  </si>
  <si>
    <t>Collected Works: Lock</t>
  </si>
  <si>
    <t>BFAn06.21</t>
  </si>
  <si>
    <t>Collected Works: Perspectives: The Injured Party</t>
  </si>
  <si>
    <t>BFAn06.22</t>
  </si>
  <si>
    <t>Collected Works: Mother's Ruin</t>
  </si>
  <si>
    <t>BFAn06.23</t>
  </si>
  <si>
    <t>Collected Works: Future Relations</t>
  </si>
  <si>
    <t>Steven Kitson</t>
  </si>
  <si>
    <t>John Fletcher</t>
  </si>
  <si>
    <t>Philip Purser-Hallard, Nick Wallace</t>
  </si>
  <si>
    <t>BFNo3.03</t>
  </si>
  <si>
    <t>BFNo3.02</t>
  </si>
  <si>
    <t>Old Friends: Cheating the Reaper</t>
  </si>
  <si>
    <t>Old Friends: The Soul's Prism</t>
  </si>
  <si>
    <t>1-84435-153-X</t>
  </si>
  <si>
    <t>BFAn05.01</t>
  </si>
  <si>
    <t>Something Changed: Inappropriate Laughter</t>
  </si>
  <si>
    <t>BFAn05.02</t>
  </si>
  <si>
    <t>Something Changed: Siege Mentality</t>
  </si>
  <si>
    <t>BFAn05.03</t>
  </si>
  <si>
    <t>Something Changed: Dead Mice</t>
  </si>
  <si>
    <t>BFAn05.04</t>
  </si>
  <si>
    <t>Something Changed: Acts of Senseless Devotion</t>
  </si>
  <si>
    <t>BFAn05.05</t>
  </si>
  <si>
    <t>Something Changed: Walking Backwards for Christmas</t>
  </si>
  <si>
    <t>BFAn05.06</t>
  </si>
  <si>
    <t>Something Changed: Match of the Deity</t>
  </si>
  <si>
    <t>BFAn05.07</t>
  </si>
  <si>
    <t>Something Changed: Night of the Living Martian</t>
  </si>
  <si>
    <t>BFAn05.08</t>
  </si>
  <si>
    <t>Something Changed: TheGodGene</t>
  </si>
  <si>
    <t>BFAn05.09</t>
  </si>
  <si>
    <t>Something Changed: Writing in Green</t>
  </si>
  <si>
    <t>Something Changed: Showing Initiative</t>
  </si>
  <si>
    <t>BFAn05.11</t>
  </si>
  <si>
    <t>Something Changed: A Murderous Desire</t>
  </si>
  <si>
    <t>BFAn05.12</t>
  </si>
  <si>
    <t>Something Changed: Back and There Again</t>
  </si>
  <si>
    <t>BFAn05.13</t>
  </si>
  <si>
    <t>Something Changed: One of My Turns</t>
  </si>
  <si>
    <t>BFAn05.14</t>
  </si>
  <si>
    <t>Something Changed: The Ice Garden</t>
  </si>
  <si>
    <t>BFAn05.15</t>
  </si>
  <si>
    <t>Something Changed: Family Man</t>
  </si>
  <si>
    <t>BFAn05.16</t>
  </si>
  <si>
    <t>Something Changed: After Life</t>
  </si>
  <si>
    <t>John Isles</t>
  </si>
  <si>
    <t>BFAn05.10</t>
  </si>
  <si>
    <t>BFAn06.20</t>
  </si>
  <si>
    <t>BFAn06.10</t>
  </si>
  <si>
    <t>Once Upon a Time-Lord...</t>
  </si>
  <si>
    <t>War-Game</t>
  </si>
  <si>
    <t>Funhouse</t>
  </si>
  <si>
    <t>The Eye of the Scorpion</t>
  </si>
  <si>
    <t>6Q/C</t>
  </si>
  <si>
    <t>The Church and the Crown</t>
  </si>
  <si>
    <t>DWM03</t>
  </si>
  <si>
    <t>No Place Like Home</t>
  </si>
  <si>
    <t>6Q/D</t>
  </si>
  <si>
    <t>Nekromanteia</t>
  </si>
  <si>
    <t>BBC</t>
  </si>
  <si>
    <t>Big Finish Productions</t>
  </si>
  <si>
    <t>BBC Radio</t>
  </si>
  <si>
    <t>Argo Records</t>
  </si>
  <si>
    <t>BBC Audio</t>
  </si>
  <si>
    <t>Audio GO</t>
  </si>
  <si>
    <t>BBC Wales Interactive</t>
  </si>
  <si>
    <t>BBC Books</t>
  </si>
  <si>
    <t>BBC Children's Books</t>
  </si>
  <si>
    <t>Sophie Fante</t>
  </si>
  <si>
    <t>Curse of the Daleks</t>
  </si>
  <si>
    <t>David Whitaker, Terry Nation</t>
  </si>
  <si>
    <t>BFSP03</t>
  </si>
  <si>
    <t>Shayde</t>
  </si>
  <si>
    <t>6R/B</t>
  </si>
  <si>
    <t>The Destroyer of Delights</t>
  </si>
  <si>
    <t>6R/C</t>
  </si>
  <si>
    <t>The Chaos Pool</t>
  </si>
  <si>
    <t>PDA53</t>
  </si>
  <si>
    <t>Kelly Yates, Kris Carter</t>
  </si>
  <si>
    <t>IDWTF5a</t>
  </si>
  <si>
    <t>The Forgotten 5a</t>
  </si>
  <si>
    <t>IDWTF5b</t>
  </si>
  <si>
    <t>The Forgotten 5b</t>
  </si>
  <si>
    <t>The Forgotten</t>
  </si>
  <si>
    <t>IDWTF 1-6</t>
  </si>
  <si>
    <t>Pia Guerra, Kent Archer, etc</t>
  </si>
  <si>
    <t>Charlie Kirchoff, Kris Carter</t>
  </si>
  <si>
    <t>Midnight in the Cafe of the Black Madonna</t>
  </si>
  <si>
    <t>ST25:01</t>
  </si>
  <si>
    <t>Storybook Story</t>
  </si>
  <si>
    <t>The Woman Who Sold the World</t>
  </si>
  <si>
    <t>Bus Stop</t>
  </si>
  <si>
    <t>The First</t>
  </si>
  <si>
    <t>Universal Monsters</t>
  </si>
  <si>
    <t>Hotel Historia</t>
  </si>
  <si>
    <t xml:space="preserve">A Life of Surprises: Cuckoo </t>
  </si>
  <si>
    <t xml:space="preserve">A Life of Surprises: A la Recherche du Temps Perdu </t>
  </si>
  <si>
    <t xml:space="preserve">A Life of Surprises: Squadborronfell </t>
  </si>
  <si>
    <t xml:space="preserve">A Life of Surprises: Taken by the Muses </t>
  </si>
  <si>
    <t xml:space="preserve">A Life of Surprises: The Spartacus Syndrome </t>
  </si>
  <si>
    <t xml:space="preserve">A Life of Surprises: Might </t>
  </si>
  <si>
    <t xml:space="preserve">A Life of Surprises: Paydirt </t>
  </si>
  <si>
    <t xml:space="preserve">A Life of Surprises: Dear Friend </t>
  </si>
  <si>
    <t xml:space="preserve">A Life of Surprises: Afterword </t>
  </si>
  <si>
    <t>1-84435-109-2</t>
  </si>
  <si>
    <t>BFAn04:01</t>
  </si>
  <si>
    <t>BFAn04:02</t>
  </si>
  <si>
    <t>Sin Deniz</t>
  </si>
  <si>
    <t>BFAn04:03</t>
  </si>
  <si>
    <t>Cameron Mason</t>
  </si>
  <si>
    <t>BFAn04:04</t>
  </si>
  <si>
    <t>BFAn04:05</t>
  </si>
  <si>
    <t>BFAn04:06</t>
  </si>
  <si>
    <t>BFAn04:07</t>
  </si>
  <si>
    <t>BFAn04:08</t>
  </si>
  <si>
    <t>BFAn04:09</t>
  </si>
  <si>
    <t>BFAn04:10</t>
  </si>
  <si>
    <t>BFAn04:11</t>
  </si>
  <si>
    <t>BFAn04:12</t>
  </si>
  <si>
    <t>BFAn04:13</t>
  </si>
  <si>
    <t>BFAn04:14</t>
  </si>
  <si>
    <t xml:space="preserve">A Life Worth Living: Misplaced Spring </t>
  </si>
  <si>
    <t xml:space="preserve">A Life Worth Living: Welcome to the Machine </t>
  </si>
  <si>
    <t xml:space="preserve">A Life Worth Living: Final Draft </t>
  </si>
  <si>
    <t xml:space="preserve">A Life Worth Living: Against Gardens </t>
  </si>
  <si>
    <t xml:space="preserve">A Life Worth Living: A Summer Affair </t>
  </si>
  <si>
    <t xml:space="preserve">A Life Worth Living: Denial </t>
  </si>
  <si>
    <t xml:space="preserve">A Life Worth Living: Sex Secrets of the Robot Replicants </t>
  </si>
  <si>
    <t xml:space="preserve">A Life Worth Living: The Blame of the Nose </t>
  </si>
  <si>
    <t xml:space="preserve">A Life Worth Living: Reparation </t>
  </si>
  <si>
    <t xml:space="preserve">A Life Worth Living: Nothing Up My Sleeve </t>
  </si>
  <si>
    <t xml:space="preserve">A Life Worth Living: Buried Alive </t>
  </si>
  <si>
    <t xml:space="preserve">A Life Worth Living: There Never Need Be Longing In Your Eyes </t>
  </si>
  <si>
    <t xml:space="preserve">A Life Worth Living: Mentioning the War </t>
  </si>
  <si>
    <t xml:space="preserve">A Life Worth Living: Fragments </t>
  </si>
  <si>
    <t>1-84435-108-4</t>
  </si>
  <si>
    <t>BFNo01:01</t>
  </si>
  <si>
    <t>BFNo01:02</t>
  </si>
  <si>
    <t>A Life In Pieces: Zardox Break</t>
  </si>
  <si>
    <t>A Life In Pieces: On Trial</t>
  </si>
  <si>
    <t>A Life In Pieces: The Purpura Pawn</t>
  </si>
  <si>
    <t>BFHB02</t>
  </si>
  <si>
    <t>The Tree of Life</t>
  </si>
  <si>
    <t>1-84435-152-1</t>
  </si>
  <si>
    <t>Craig Hinton</t>
  </si>
  <si>
    <t>Trevor Baxendale</t>
  </si>
  <si>
    <t>Mark Morris</t>
  </si>
  <si>
    <t>Nick Walters</t>
  </si>
  <si>
    <t>Iain McLaughlin</t>
  </si>
  <si>
    <t>The Fishmen of Carpantha</t>
  </si>
  <si>
    <t>TVC 965-969</t>
  </si>
  <si>
    <t>TVC 970-976</t>
  </si>
  <si>
    <t>Alan Fennell</t>
  </si>
  <si>
    <t>Castaway</t>
  </si>
  <si>
    <t>Levitation</t>
  </si>
  <si>
    <t>Mike Amberry</t>
  </si>
  <si>
    <t>Second Chances</t>
  </si>
  <si>
    <t>Bernard O'Toole</t>
  </si>
  <si>
    <t>Child's Play</t>
  </si>
  <si>
    <t>Relativity</t>
  </si>
  <si>
    <t>EDA21</t>
  </si>
  <si>
    <t>Gerry Mill</t>
  </si>
  <si>
    <t>LL</t>
  </si>
  <si>
    <t>The Evil of the Daleks</t>
  </si>
  <si>
    <t>5</t>
  </si>
  <si>
    <t>MM</t>
  </si>
  <si>
    <t>One Perfect Twilight</t>
  </si>
  <si>
    <t>Perfect Day</t>
  </si>
  <si>
    <t>One Last Try</t>
  </si>
  <si>
    <t>A Victorian Interlude</t>
  </si>
  <si>
    <t>Catalogue of Events</t>
  </si>
  <si>
    <t>Chris Wing</t>
  </si>
  <si>
    <t>The Final Star</t>
  </si>
  <si>
    <t>Freedom By Fire</t>
  </si>
  <si>
    <t>Alan McKensie</t>
  </si>
  <si>
    <t>Marvel Comics UK</t>
  </si>
  <si>
    <t>DWMSS 1994</t>
  </si>
  <si>
    <t>End of Days</t>
  </si>
  <si>
    <t>Peter J. Hammond</t>
  </si>
  <si>
    <t>Paul Tomalin, Dan McCulloch</t>
  </si>
  <si>
    <t>Jacquetta May</t>
  </si>
  <si>
    <t>Catherine Tregenna</t>
  </si>
  <si>
    <t>Noel Clarke</t>
  </si>
  <si>
    <t>James Erskine</t>
  </si>
  <si>
    <t>TWN01</t>
  </si>
  <si>
    <t>Another Life</t>
  </si>
  <si>
    <t>Border Princes</t>
  </si>
  <si>
    <t>Slow Decay</t>
  </si>
  <si>
    <t>TW02</t>
  </si>
  <si>
    <t>TW03</t>
  </si>
  <si>
    <t>TW04</t>
  </si>
  <si>
    <t>TW05</t>
  </si>
  <si>
    <t>TW06</t>
  </si>
  <si>
    <t>TW07</t>
  </si>
  <si>
    <t>TW08</t>
  </si>
  <si>
    <t>TW09</t>
  </si>
  <si>
    <t>TW10</t>
  </si>
  <si>
    <t>TW11</t>
  </si>
  <si>
    <t>TW12</t>
  </si>
  <si>
    <t>TW13</t>
  </si>
  <si>
    <t>TWN02</t>
  </si>
  <si>
    <t>TWN03</t>
  </si>
  <si>
    <t>TW2</t>
  </si>
  <si>
    <t>TW14</t>
  </si>
  <si>
    <t>TW15</t>
  </si>
  <si>
    <t>TW16</t>
  </si>
  <si>
    <t>TW17</t>
  </si>
  <si>
    <t>TW18</t>
  </si>
  <si>
    <t>TW19</t>
  </si>
  <si>
    <t>TW20</t>
  </si>
  <si>
    <t>The Man on the Phone</t>
  </si>
  <si>
    <t>Mark Smith</t>
  </si>
  <si>
    <t>The Monster in the Wardrobe</t>
  </si>
  <si>
    <t>James C. McFetridge</t>
  </si>
  <si>
    <t>Einar Olgeirsson</t>
  </si>
  <si>
    <t>Suns and Mothers</t>
  </si>
  <si>
    <t>The Love Invasion</t>
  </si>
  <si>
    <t>Panini Comics</t>
  </si>
  <si>
    <t>Clayton Hickman</t>
  </si>
  <si>
    <t>Art Attack!</t>
  </si>
  <si>
    <t>Bringer of Darkness</t>
  </si>
  <si>
    <t>Martin Geraghty (letters Simon Weston)</t>
  </si>
  <si>
    <t>David Napier</t>
  </si>
  <si>
    <t>Mark DeFriest</t>
  </si>
  <si>
    <t>James Bogle</t>
  </si>
  <si>
    <t>David Caesar, Mark DeFriest</t>
  </si>
  <si>
    <t>David Caesar, David Napier</t>
  </si>
  <si>
    <t>Daniel Nettheim</t>
  </si>
  <si>
    <t>Dale Bradley</t>
  </si>
  <si>
    <t>Catherine Harvey</t>
  </si>
  <si>
    <t>Paradoxicide</t>
  </si>
  <si>
    <t>A Most Excellent Match</t>
  </si>
  <si>
    <t>Question Marks</t>
  </si>
  <si>
    <t>Gallifrey: Square One</t>
  </si>
  <si>
    <t>Gallifrey: The Inquiry</t>
  </si>
  <si>
    <t>Twilight's End</t>
  </si>
  <si>
    <t>Notre Dame du Temps</t>
  </si>
  <si>
    <t>Kalendorf</t>
  </si>
  <si>
    <t>Alby</t>
  </si>
  <si>
    <t>DE4</t>
  </si>
  <si>
    <t>DE4.1</t>
  </si>
  <si>
    <t>DE4.2</t>
  </si>
  <si>
    <t>DE4.3</t>
  </si>
  <si>
    <t>DE4.4</t>
  </si>
  <si>
    <t>Dale Smith</t>
  </si>
  <si>
    <t>Dan Abnett</t>
  </si>
  <si>
    <t>NSAA1</t>
  </si>
  <si>
    <t>NSAA2</t>
  </si>
  <si>
    <t>NSAA3</t>
  </si>
  <si>
    <t>NSAA9</t>
  </si>
  <si>
    <t>NSAA10</t>
  </si>
  <si>
    <t>Mike Collins</t>
  </si>
  <si>
    <t>David Roden</t>
  </si>
  <si>
    <t>NSAA4</t>
  </si>
  <si>
    <t>NSAA5</t>
  </si>
  <si>
    <t>The Day of the Troll</t>
  </si>
  <si>
    <t>The Taking of Chelsea 426</t>
  </si>
  <si>
    <t>The Krillitane Storm</t>
  </si>
  <si>
    <t>Autonomy</t>
  </si>
  <si>
    <t>David Llewellyn</t>
  </si>
  <si>
    <t>Christopher Cooper</t>
  </si>
  <si>
    <t>Daniel Blythe</t>
  </si>
  <si>
    <t>Dreamland</t>
  </si>
  <si>
    <t>NSAA6</t>
  </si>
  <si>
    <t>The Last Voyage</t>
  </si>
  <si>
    <t>Phil Ford</t>
  </si>
  <si>
    <t>DWM 168</t>
  </si>
  <si>
    <t>An Incident Concerning the Continual Bombardment of the Phobos Colony</t>
  </si>
  <si>
    <t>Paul Richardson</t>
  </si>
  <si>
    <t>DWM 169</t>
  </si>
  <si>
    <t>Revisitations</t>
  </si>
  <si>
    <t>DWM 171</t>
  </si>
  <si>
    <t>Berenyi</t>
  </si>
  <si>
    <t>Michael Bonner</t>
  </si>
  <si>
    <t>Richard Elson</t>
  </si>
  <si>
    <t>DWM 172</t>
  </si>
  <si>
    <t>Andrew Lane</t>
  </si>
  <si>
    <t>Lee Brimmicombe-Wood</t>
  </si>
  <si>
    <t>Under Reykjavik</t>
  </si>
  <si>
    <t>Warren Ellis</t>
  </si>
  <si>
    <t>Pathfinders</t>
  </si>
  <si>
    <t>Michael E. P. Stevens</t>
  </si>
  <si>
    <t>Gary Erskine</t>
  </si>
  <si>
    <t>DWM 176</t>
  </si>
  <si>
    <t>Missing Identity</t>
  </si>
  <si>
    <t>Affirmative</t>
  </si>
  <si>
    <t>Daniel Read</t>
  </si>
  <si>
    <t>Duggan</t>
  </si>
  <si>
    <t>Clio: The Glass Princess</t>
  </si>
  <si>
    <t>ST7:09</t>
  </si>
  <si>
    <t>ST12:06</t>
  </si>
  <si>
    <t>ST16:07</t>
  </si>
  <si>
    <t>ST16:06</t>
  </si>
  <si>
    <t>ST18:07</t>
  </si>
  <si>
    <t>ST22:02</t>
  </si>
  <si>
    <t>ST24:15</t>
  </si>
  <si>
    <t>ST20:06</t>
  </si>
  <si>
    <t>ST23:08</t>
  </si>
  <si>
    <t>DWM 338-342</t>
  </si>
  <si>
    <t>DWM 346-353</t>
  </si>
  <si>
    <t>DWM 343-345</t>
  </si>
  <si>
    <t>Good Companions</t>
  </si>
  <si>
    <t>Revenants</t>
  </si>
  <si>
    <t>ST2:16</t>
  </si>
  <si>
    <t>ST3:08</t>
  </si>
  <si>
    <t>James Offredi, John Ross</t>
  </si>
  <si>
    <t>Blind Fury</t>
  </si>
  <si>
    <t>Tomislav Tomis</t>
  </si>
  <si>
    <t>SJA16</t>
  </si>
  <si>
    <t>SJA17</t>
  </si>
  <si>
    <t>SJA18</t>
  </si>
  <si>
    <t>Prisoner of the Judoon</t>
  </si>
  <si>
    <t>Down to Earth</t>
  </si>
  <si>
    <t>The Moon of Lost Hope</t>
  </si>
  <si>
    <t>Vacuum Packed</t>
  </si>
  <si>
    <t>Funny Phone Call!</t>
  </si>
  <si>
    <t>The Deadly Mutant</t>
  </si>
  <si>
    <t>Timothy Combe</t>
  </si>
  <si>
    <t>Old Soldiers</t>
  </si>
  <si>
    <t>CCC</t>
  </si>
  <si>
    <t>The Ambassadors of Death</t>
  </si>
  <si>
    <t>David Whitaker, Trevor Ray, Malcolm Hulke</t>
  </si>
  <si>
    <t>DDD</t>
  </si>
  <si>
    <t>Inferno</t>
  </si>
  <si>
    <t>Don Houghton</t>
  </si>
  <si>
    <t>Douglas Camfield, Barry Letts</t>
  </si>
  <si>
    <t>MA21</t>
  </si>
  <si>
    <t>The Eye of the Giant</t>
  </si>
  <si>
    <t>The Blue Tooth</t>
  </si>
  <si>
    <t>MA24</t>
  </si>
  <si>
    <t>The Scales of Injustice</t>
  </si>
  <si>
    <t>PDA01</t>
  </si>
  <si>
    <t>The Devil Goblins from Neptune</t>
  </si>
  <si>
    <t>8</t>
  </si>
  <si>
    <t>The Cleverest King</t>
  </si>
  <si>
    <t>Seeing Things</t>
  </si>
  <si>
    <t>Pirates of the Seven Seeds</t>
  </si>
  <si>
    <t>TVC Ann 1970</t>
  </si>
  <si>
    <t>TVA 1-5</t>
  </si>
  <si>
    <t>TVA 6-13</t>
  </si>
  <si>
    <t>TVA 15-22</t>
  </si>
  <si>
    <t>TVA 23-32</t>
  </si>
  <si>
    <t>TVA 33-39</t>
  </si>
  <si>
    <t>Dick O'Neill</t>
  </si>
  <si>
    <t>Frank Langford</t>
  </si>
  <si>
    <t>Jim Baikie</t>
  </si>
  <si>
    <t>TVA Ann 1972</t>
  </si>
  <si>
    <t>TVA 40-46</t>
  </si>
  <si>
    <t>TVA 47-54</t>
  </si>
  <si>
    <t>TVA 55-62</t>
  </si>
  <si>
    <t>TVA 63-70</t>
  </si>
  <si>
    <t>TVA 71-78</t>
  </si>
  <si>
    <t>TVA 79-88</t>
  </si>
  <si>
    <t>TVA 89-93</t>
  </si>
  <si>
    <t>TVA Ann 1973</t>
  </si>
  <si>
    <t>TVA 94-100</t>
  </si>
  <si>
    <t>TVA 101-103</t>
  </si>
  <si>
    <t>TVA 104</t>
  </si>
  <si>
    <t>UNIT: Snake Head</t>
  </si>
  <si>
    <t>UNIT: The Longest Night</t>
  </si>
  <si>
    <t>UNIT: The Wasting</t>
  </si>
  <si>
    <t>ST18:12</t>
  </si>
  <si>
    <t>Ode to Joy</t>
  </si>
  <si>
    <t>K-91.2</t>
  </si>
  <si>
    <t>K-91.3</t>
  </si>
  <si>
    <t>K-91.4</t>
  </si>
  <si>
    <t>K-91.5</t>
  </si>
  <si>
    <t>K-91.6</t>
  </si>
  <si>
    <t>K-91.7</t>
  </si>
  <si>
    <t>K-91.8</t>
  </si>
  <si>
    <t>K-91.9</t>
  </si>
  <si>
    <t>K-91.10</t>
  </si>
  <si>
    <t>K-91.11</t>
  </si>
  <si>
    <t>K-91.12</t>
  </si>
  <si>
    <t>K-91.13</t>
  </si>
  <si>
    <t>MP3/CD</t>
  </si>
  <si>
    <t>BS03</t>
  </si>
  <si>
    <t>BFHB01</t>
  </si>
  <si>
    <t>The Big Hunt</t>
  </si>
  <si>
    <t>BS04</t>
  </si>
  <si>
    <t>BFAn02:01</t>
  </si>
  <si>
    <t>BFAn02:02</t>
  </si>
  <si>
    <t>BFAn02:03</t>
  </si>
  <si>
    <t>BFAn02:04</t>
  </si>
  <si>
    <t>BFAn02:05</t>
  </si>
  <si>
    <t>BFAn02:06</t>
  </si>
  <si>
    <t>BFAn02:07</t>
  </si>
  <si>
    <t>BFAn02:08</t>
  </si>
  <si>
    <t>BFAn02:09</t>
  </si>
  <si>
    <t>BFAn02:10</t>
  </si>
  <si>
    <t>BFAn02:11</t>
  </si>
  <si>
    <t>BFAn02:12</t>
  </si>
  <si>
    <t>Rob Shearman</t>
  </si>
  <si>
    <t>BFAn02:13</t>
  </si>
  <si>
    <t>BFAn02:14</t>
  </si>
  <si>
    <t>BFAn02:15</t>
  </si>
  <si>
    <t>BFAn02:16</t>
  </si>
  <si>
    <t>BFAn02:17</t>
  </si>
  <si>
    <t>BFAn02:18</t>
  </si>
  <si>
    <t>BFAn02:19</t>
  </si>
  <si>
    <t>BFAn02:20</t>
  </si>
  <si>
    <t>BFAn02:21</t>
  </si>
  <si>
    <t>1-903654-44-0</t>
  </si>
  <si>
    <t>1-84435-107-6</t>
  </si>
  <si>
    <t>The Five Doctors</t>
  </si>
  <si>
    <t>Ringpullworld</t>
  </si>
  <si>
    <t>21</t>
  </si>
  <si>
    <t>6L</t>
  </si>
  <si>
    <t>Island of the Cyclopes</t>
  </si>
  <si>
    <t>Day of the Cockroach</t>
  </si>
  <si>
    <t>Trouble on the Orion Express</t>
  </si>
  <si>
    <t>Dummy Run</t>
  </si>
  <si>
    <t>Finders Keepers</t>
  </si>
  <si>
    <t>The Mirror War</t>
  </si>
  <si>
    <t>Ghost Train</t>
  </si>
  <si>
    <t>The Cruel Sea</t>
  </si>
  <si>
    <t>A Groatsworth of Wit</t>
  </si>
  <si>
    <t>DWM 358</t>
  </si>
  <si>
    <t>DWM 359-362</t>
  </si>
  <si>
    <t>SJA12</t>
  </si>
  <si>
    <t>The Temptation of Sarah Jane</t>
  </si>
  <si>
    <t>Gemini Plan</t>
  </si>
  <si>
    <t>Timebenders</t>
  </si>
  <si>
    <t>The Vogan Slaves</t>
  </si>
  <si>
    <t>Celluloid Midas</t>
  </si>
  <si>
    <t>Backtime</t>
  </si>
  <si>
    <t>DWM12</t>
  </si>
  <si>
    <t>The Revenants</t>
  </si>
  <si>
    <t>DWM Special</t>
  </si>
  <si>
    <t>TTC2</t>
  </si>
  <si>
    <t>The Three Companions: Brewster's Story</t>
  </si>
  <si>
    <t>The Ultimate Adventure</t>
  </si>
  <si>
    <t>Jason</t>
  </si>
  <si>
    <t>Crystal</t>
  </si>
  <si>
    <t>Beyond the Ultimate Adventure</t>
  </si>
  <si>
    <t>BFSP01</t>
  </si>
  <si>
    <t>CC6.06</t>
  </si>
  <si>
    <t>CC6.11</t>
  </si>
  <si>
    <t>The Jigsaw War</t>
  </si>
  <si>
    <t>Frazer Hines, Dominic Mafham</t>
  </si>
  <si>
    <t>James Robertson, Nicholas Briggs, Jason Haigh-Ellery</t>
  </si>
  <si>
    <t>BFA0</t>
  </si>
  <si>
    <t>8AAB</t>
  </si>
  <si>
    <t>The Witch from the Well</t>
  </si>
  <si>
    <t>Rick Briggs</t>
  </si>
  <si>
    <t>Army of Death</t>
  </si>
  <si>
    <t>8AAC</t>
  </si>
  <si>
    <t>DWMSS 1993</t>
  </si>
  <si>
    <t>Land of the Blind</t>
  </si>
  <si>
    <t>The Curious Tale of Spring-Heeled Jack</t>
  </si>
  <si>
    <t>The Land of Happy Endings</t>
  </si>
  <si>
    <t>Bad Blood</t>
  </si>
  <si>
    <t>Sins of the Father</t>
  </si>
  <si>
    <t>The Flood</t>
  </si>
  <si>
    <t>Dead Time</t>
  </si>
  <si>
    <t>The People's Temple</t>
  </si>
  <si>
    <t>The Queen of Eros</t>
  </si>
  <si>
    <t>Femme Fatale</t>
  </si>
  <si>
    <t>Evergreen</t>
  </si>
  <si>
    <t>Gazing Void</t>
  </si>
  <si>
    <t>Reversal of Fortune</t>
  </si>
  <si>
    <t>Far From Home</t>
  </si>
  <si>
    <t>Jonah</t>
  </si>
  <si>
    <t>The Wickerwork Man</t>
  </si>
  <si>
    <t>Museum Peace</t>
  </si>
  <si>
    <t>Osskah</t>
  </si>
  <si>
    <t>For the Man Who Has Everything</t>
  </si>
  <si>
    <t>Lonely</t>
  </si>
  <si>
    <t>Nettles</t>
  </si>
  <si>
    <t>The End</t>
  </si>
  <si>
    <t>EDC1</t>
  </si>
  <si>
    <t>EDC2</t>
  </si>
  <si>
    <t>Dinosaurs in New York!</t>
  </si>
  <si>
    <t>Screamers!</t>
  </si>
  <si>
    <t>Grow Your Own</t>
  </si>
  <si>
    <t>The Golesterkol Collection</t>
  </si>
  <si>
    <t>Peril on the Sea</t>
  </si>
  <si>
    <t>1-84435-511-2</t>
  </si>
  <si>
    <t>1-84435-609-6</t>
  </si>
  <si>
    <t>1-84435-612-6</t>
  </si>
  <si>
    <t>1-84435-300-2</t>
  </si>
  <si>
    <t>1-84435-301-9</t>
  </si>
  <si>
    <t>1-84435-302-6</t>
  </si>
  <si>
    <t>Special Occasions 2: Do You Love Anyone Enough?</t>
  </si>
  <si>
    <t>Norman Ashby</t>
  </si>
  <si>
    <t>ST3:17</t>
  </si>
  <si>
    <t>Corridors of Power</t>
  </si>
  <si>
    <t>Stephen Hatcher</t>
  </si>
  <si>
    <t>The Iron Legion</t>
  </si>
  <si>
    <t>City of the Damned</t>
  </si>
  <si>
    <t>The Star Beast</t>
  </si>
  <si>
    <t>The Dogs of Doom</t>
  </si>
  <si>
    <t>TVC 877-880</t>
  </si>
  <si>
    <t>Ice Cap Terror</t>
  </si>
  <si>
    <t>TVC 881-884</t>
  </si>
  <si>
    <t>Jungle of Doom!</t>
  </si>
  <si>
    <t>TVC 885-889</t>
  </si>
  <si>
    <t>The Ancestor Cell</t>
  </si>
  <si>
    <t>EDA37</t>
  </si>
  <si>
    <t>The Burning</t>
  </si>
  <si>
    <t>EDA38</t>
  </si>
  <si>
    <t>EDA39</t>
  </si>
  <si>
    <t>The Turing Test</t>
  </si>
  <si>
    <t>EDA40</t>
  </si>
  <si>
    <t>Endgame</t>
  </si>
  <si>
    <t>EDA41</t>
  </si>
  <si>
    <t>Father Time</t>
  </si>
  <si>
    <t>EDA42</t>
  </si>
  <si>
    <t>Escape Velocity</t>
  </si>
  <si>
    <t>EDA43</t>
  </si>
  <si>
    <t>Earthworld</t>
  </si>
  <si>
    <t>EDA44</t>
  </si>
  <si>
    <t>ST30:03</t>
  </si>
  <si>
    <t>Dateline to Deadline</t>
  </si>
  <si>
    <t>Lance Parkin, Mark Clapham</t>
  </si>
  <si>
    <t>ST3:21</t>
  </si>
  <si>
    <t>Vrs</t>
  </si>
  <si>
    <t>ST3:19</t>
  </si>
  <si>
    <t>Storm in a Tikka</t>
  </si>
  <si>
    <t>Lwrnc Mls</t>
  </si>
  <si>
    <t>Aries: The True and Indisputable Facts in the Matter of the Ram's Skull</t>
  </si>
  <si>
    <t>Gemini: Twin Piques</t>
  </si>
  <si>
    <t>Cancer: Still Lives</t>
  </si>
  <si>
    <t>Leo: Constant Companion</t>
  </si>
  <si>
    <t>Libra: The Switching</t>
  </si>
  <si>
    <t>ST4:08</t>
  </si>
  <si>
    <t>Zombie Motel</t>
  </si>
  <si>
    <t>Sunscreen</t>
  </si>
  <si>
    <t>The Iron Circle</t>
  </si>
  <si>
    <t>Kiss of Life</t>
  </si>
  <si>
    <t>Deep Water</t>
  </si>
  <si>
    <t>Ann 2008</t>
  </si>
  <si>
    <t>SB 2008</t>
  </si>
  <si>
    <t>1-40590-355-4</t>
  </si>
  <si>
    <t>1-84653-030-X</t>
  </si>
  <si>
    <t>Davey Moore</t>
  </si>
  <si>
    <t>The Frozen</t>
  </si>
  <si>
    <t>Iain McLaughlin, Claire Bartlett</t>
  </si>
  <si>
    <t>Joseph Lidster</t>
  </si>
  <si>
    <t>DWUN5</t>
  </si>
  <si>
    <t>Deadline</t>
  </si>
  <si>
    <t>0</t>
  </si>
  <si>
    <t>DWUN1</t>
  </si>
  <si>
    <t>Auld Mortality</t>
  </si>
  <si>
    <t>DWUN7</t>
  </si>
  <si>
    <t>A Storm of Angels</t>
  </si>
  <si>
    <t>TAoK9-1</t>
  </si>
  <si>
    <t>TAoK9-2</t>
  </si>
  <si>
    <t>TAoK9-3</t>
  </si>
  <si>
    <t>TAoK9-4</t>
  </si>
  <si>
    <t>K9 and the Time Trap</t>
  </si>
  <si>
    <t>K9 and the Beasts of Vega</t>
  </si>
  <si>
    <t>David Martin</t>
  </si>
  <si>
    <t>R.C.S. Graphics</t>
  </si>
  <si>
    <t>09-924470-5</t>
  </si>
  <si>
    <t>7M</t>
  </si>
  <si>
    <t>Russell T. Davies</t>
  </si>
  <si>
    <t>Dennis Spooner</t>
  </si>
  <si>
    <t>Henric Hirsch, John Gome</t>
  </si>
  <si>
    <t>PDA25</t>
  </si>
  <si>
    <t>City at World's End</t>
  </si>
  <si>
    <t>PDA09</t>
  </si>
  <si>
    <t>The Witch Hunters</t>
  </si>
  <si>
    <t>Here There Be Monsters</t>
  </si>
  <si>
    <t>J</t>
  </si>
  <si>
    <t>Planet of Giants</t>
  </si>
  <si>
    <t>Louis Marks</t>
  </si>
  <si>
    <t>Mervyn Pinfield, Douglas Camfield</t>
  </si>
  <si>
    <t>PDA75</t>
  </si>
  <si>
    <t>The Time Travellers</t>
  </si>
  <si>
    <t>K</t>
  </si>
  <si>
    <t>The Dalek Invasion of Earth</t>
  </si>
  <si>
    <t>Richard Martin</t>
  </si>
  <si>
    <t>MA03</t>
  </si>
  <si>
    <t>UNIT: The Coup</t>
  </si>
  <si>
    <t>UNIT: Time Heals</t>
  </si>
  <si>
    <t>TVA 107-111</t>
  </si>
  <si>
    <t>Rich Morris, Hilary Doda</t>
  </si>
  <si>
    <t>TVA 112</t>
  </si>
  <si>
    <t>TVA 116-119</t>
  </si>
  <si>
    <t>Alex Badia</t>
  </si>
  <si>
    <t>TVA 120</t>
  </si>
  <si>
    <t>TVA 123</t>
  </si>
  <si>
    <t>TVA 125-129</t>
  </si>
  <si>
    <t>TVA 131</t>
  </si>
  <si>
    <t>Listen - The Stars!</t>
  </si>
  <si>
    <t>Out of the Green Mist</t>
  </si>
  <si>
    <t>The Time Thief</t>
  </si>
  <si>
    <t>The Fathom Trap</t>
  </si>
  <si>
    <t>Menace of the Molags</t>
  </si>
  <si>
    <t>Talons of Terror</t>
  </si>
  <si>
    <t>Old Father Saturn</t>
  </si>
  <si>
    <t>Galactic Gangster</t>
  </si>
  <si>
    <t>The Cold Equations</t>
  </si>
  <si>
    <t>Atoms Infinite</t>
  </si>
  <si>
    <t>The Electrodes</t>
  </si>
  <si>
    <t>The Time Museum</t>
  </si>
  <si>
    <t>TVC 890-893</t>
  </si>
  <si>
    <t>Martha the Mechanical Housemaid</t>
  </si>
  <si>
    <t>TVC 894-898</t>
  </si>
  <si>
    <t>The Duellists</t>
  </si>
  <si>
    <t>TVC 899-902</t>
  </si>
  <si>
    <t>Eskimo Joe</t>
  </si>
  <si>
    <t>TVC 903-906</t>
  </si>
  <si>
    <t>Peril At 60 Fathoms</t>
  </si>
  <si>
    <t>TVC 907-910</t>
  </si>
  <si>
    <t>Operation Wurlitzer!</t>
  </si>
  <si>
    <t>TVC 911-915</t>
  </si>
  <si>
    <t>The Champion</t>
  </si>
  <si>
    <t>TVCHS 1969</t>
  </si>
  <si>
    <t>The Entertainer</t>
  </si>
  <si>
    <t>Action In Exile</t>
  </si>
  <si>
    <t>TVC 916-920</t>
  </si>
  <si>
    <t>The Mark of Terror</t>
  </si>
  <si>
    <t>TVC 921-924</t>
  </si>
  <si>
    <t>The Brotherhood</t>
  </si>
  <si>
    <t>TVC 925-928</t>
  </si>
  <si>
    <t>U.F.O.</t>
  </si>
  <si>
    <t>The Robot</t>
  </si>
  <si>
    <t>TVC 977-984</t>
  </si>
  <si>
    <t>TVC 985-991</t>
  </si>
  <si>
    <t>Trial of Fire</t>
  </si>
  <si>
    <t>BiT 12-15</t>
  </si>
  <si>
    <t>BiT 16</t>
  </si>
  <si>
    <t>Claire Lister</t>
  </si>
  <si>
    <t>ST17:07</t>
  </si>
  <si>
    <t>Aquarius: The Invertebrates of Doom</t>
  </si>
  <si>
    <t>ST4:11</t>
  </si>
  <si>
    <t>LS3.8</t>
  </si>
  <si>
    <t>The Rosemariners</t>
  </si>
  <si>
    <t>Molly</t>
  </si>
  <si>
    <t>The Great War</t>
  </si>
  <si>
    <t>Fugitives</t>
  </si>
  <si>
    <t>Tangled Web</t>
  </si>
  <si>
    <t>X' and the Daleks</t>
  </si>
  <si>
    <t>4A</t>
  </si>
  <si>
    <t>Robot</t>
  </si>
  <si>
    <t>4C</t>
  </si>
  <si>
    <t>Needle Point</t>
  </si>
  <si>
    <t>1-40590-309-7</t>
  </si>
  <si>
    <t>The Darksmith Legacy 2: The Graves of Mordane</t>
  </si>
  <si>
    <t>S2S1</t>
  </si>
  <si>
    <t>Circular Time: Winter</t>
  </si>
  <si>
    <t>6C/Ha</t>
  </si>
  <si>
    <t>6C/Hb</t>
  </si>
  <si>
    <t>6C/Hc</t>
  </si>
  <si>
    <t>6C/Hd</t>
  </si>
  <si>
    <t>Wetworld</t>
  </si>
  <si>
    <t>Wishing Well</t>
  </si>
  <si>
    <t>The Pirate Loop</t>
  </si>
  <si>
    <t>Peacemaker</t>
  </si>
  <si>
    <t>3.10</t>
  </si>
  <si>
    <t>Blink</t>
  </si>
  <si>
    <t>Hettie McDonald</t>
  </si>
  <si>
    <t>Warmonger</t>
  </si>
  <si>
    <t>6R</t>
  </si>
  <si>
    <t>The Caves of Androzani</t>
  </si>
  <si>
    <t>Graeme Harper</t>
  </si>
  <si>
    <t>6S</t>
  </si>
  <si>
    <t>The Twin Dilemma</t>
  </si>
  <si>
    <t>Anthony Steven</t>
  </si>
  <si>
    <t>22</t>
  </si>
  <si>
    <t>Nicholas Briggs</t>
  </si>
  <si>
    <t>CC5.11</t>
  </si>
  <si>
    <t>Peter Anghelides</t>
  </si>
  <si>
    <t>Jacqueline Rayner</t>
  </si>
  <si>
    <t>Mark J. Thompson</t>
  </si>
  <si>
    <t>The Suffering</t>
  </si>
  <si>
    <t>The Emperor of Eternity</t>
  </si>
  <si>
    <t>Nigel Robinson</t>
  </si>
  <si>
    <t>Shadow of the Past</t>
  </si>
  <si>
    <t>DWA 175</t>
  </si>
  <si>
    <t>DWA 177</t>
  </si>
  <si>
    <t>DWA 176</t>
  </si>
  <si>
    <t>In the Stars</t>
  </si>
  <si>
    <t>Most Haunted</t>
  </si>
  <si>
    <t>The Living Storm</t>
  </si>
  <si>
    <t>The Scarecrow</t>
  </si>
  <si>
    <t>Sky Scraper</t>
  </si>
  <si>
    <t>The Purrfect Crime</t>
  </si>
  <si>
    <t>The Steel Web</t>
  </si>
  <si>
    <t>In the Can</t>
  </si>
  <si>
    <t>Snow Globe</t>
  </si>
  <si>
    <t>Wave Machine</t>
  </si>
  <si>
    <t>A Fairytale Life</t>
  </si>
  <si>
    <t>Umwelts for Hire</t>
  </si>
  <si>
    <t>Cell Shock</t>
  </si>
  <si>
    <t>The Trick</t>
  </si>
  <si>
    <t>The Lunar Tyk</t>
  </si>
  <si>
    <t>Pencil Pusher</t>
  </si>
  <si>
    <t>The Lampblack Wars</t>
  </si>
  <si>
    <t>ST21:01</t>
  </si>
  <si>
    <t>ST28:09</t>
  </si>
  <si>
    <t>Link</t>
  </si>
  <si>
    <t>Pete Kempshall</t>
  </si>
  <si>
    <t>ST19:04</t>
  </si>
  <si>
    <t>Separation Day</t>
  </si>
  <si>
    <t>Andy Campbell</t>
  </si>
  <si>
    <t>ST10:02</t>
  </si>
  <si>
    <t>Primitives</t>
  </si>
  <si>
    <t>John Seavey</t>
  </si>
  <si>
    <t>ST6:06</t>
  </si>
  <si>
    <t>The Discourse of Flies</t>
  </si>
  <si>
    <t>Jeremy Daw</t>
  </si>
  <si>
    <t>ST28:05</t>
  </si>
  <si>
    <t>Generation Gap</t>
  </si>
  <si>
    <t>Lou Anders</t>
  </si>
  <si>
    <t>TVC 944-949</t>
  </si>
  <si>
    <t>ST11:17</t>
  </si>
  <si>
    <t>The Power of Kroll</t>
  </si>
  <si>
    <t>5F</t>
  </si>
  <si>
    <t>Virgin Decalog</t>
  </si>
  <si>
    <t>DWM Brief Encounter</t>
  </si>
  <si>
    <t>Annual Story</t>
  </si>
  <si>
    <t>TV Comic Story</t>
  </si>
  <si>
    <t>TV Action Story</t>
  </si>
  <si>
    <t>TVCHS 1970</t>
  </si>
  <si>
    <t>Rich's Comic Blog Story</t>
  </si>
  <si>
    <t>So Vile a Sin</t>
  </si>
  <si>
    <t>NA57</t>
  </si>
  <si>
    <t>Bad Therapy</t>
  </si>
  <si>
    <t>Culture Shock!</t>
  </si>
  <si>
    <t>DWM 139</t>
  </si>
  <si>
    <t>DWM 140</t>
  </si>
  <si>
    <t>John Higgins</t>
  </si>
  <si>
    <t>DWM 141-142</t>
  </si>
  <si>
    <t>DWM 143-144</t>
  </si>
  <si>
    <t>DWM 145-146</t>
  </si>
  <si>
    <t>Richard Alan, John Carnell</t>
  </si>
  <si>
    <t>Dougie Braithwaite, David Elliott</t>
  </si>
  <si>
    <t>John Carnell</t>
  </si>
  <si>
    <t>Andy Lanning, etc</t>
  </si>
  <si>
    <t>DWM 147</t>
  </si>
  <si>
    <t>DWM 148-150</t>
  </si>
  <si>
    <t>Alan Grant</t>
  </si>
  <si>
    <t>Martin Griffiths, Cam Smith</t>
  </si>
  <si>
    <t>Art Wetherell, Steve Parkhouse</t>
  </si>
  <si>
    <t>Louise Cassell</t>
  </si>
  <si>
    <t>Steve White</t>
  </si>
  <si>
    <t>Death's Head Comic</t>
  </si>
  <si>
    <t>Richard Alan, Steve Alan</t>
  </si>
  <si>
    <t>DWM 152-155</t>
  </si>
  <si>
    <t>DH8</t>
  </si>
  <si>
    <t>HK1</t>
  </si>
  <si>
    <t>Andy Seddon</t>
  </si>
  <si>
    <t>Hulk Strip</t>
  </si>
  <si>
    <t>HK 2-3</t>
  </si>
  <si>
    <t>HK 4</t>
  </si>
  <si>
    <t>Art Wetherell, Dave Hardwood</t>
  </si>
  <si>
    <t>HK 5</t>
  </si>
  <si>
    <t>HK 6</t>
  </si>
  <si>
    <t>Art Wetherell, Cam Smith</t>
  </si>
  <si>
    <t>Andy Wildman</t>
  </si>
  <si>
    <t>Bill Baggs</t>
  </si>
  <si>
    <t>P.R.O.B.E.</t>
  </si>
  <si>
    <t>PROBE1</t>
  </si>
  <si>
    <t>PROBE2</t>
  </si>
  <si>
    <t>PROBE3</t>
  </si>
  <si>
    <t>PROBE4</t>
  </si>
  <si>
    <t>The Zero Imperative</t>
  </si>
  <si>
    <t>The Devil of Winterborne</t>
  </si>
  <si>
    <t>Unnatural Selection</t>
  </si>
  <si>
    <t>Ghosts of Winterborne</t>
  </si>
  <si>
    <t>Andy Grant</t>
  </si>
  <si>
    <t>1-4 (Ghosts of Winterborne)</t>
  </si>
  <si>
    <t>The Choice</t>
  </si>
  <si>
    <t>Love &amp; Monsters</t>
  </si>
  <si>
    <t>Dan Zeff</t>
  </si>
  <si>
    <t>2.11</t>
  </si>
  <si>
    <t>Fear Her</t>
  </si>
  <si>
    <t>Matthew Graham</t>
  </si>
  <si>
    <t>2.12/13</t>
  </si>
  <si>
    <t>Doomsday</t>
  </si>
  <si>
    <t>S3</t>
  </si>
  <si>
    <t>3.X</t>
  </si>
  <si>
    <t>The Runaway Bride</t>
  </si>
  <si>
    <t>DWA 151</t>
  </si>
  <si>
    <t>DWA 152</t>
  </si>
  <si>
    <t>DWA 153</t>
  </si>
  <si>
    <t>DWA 154</t>
  </si>
  <si>
    <t>DWA 155</t>
  </si>
  <si>
    <t>DWA 156</t>
  </si>
  <si>
    <t>DWA 157</t>
  </si>
  <si>
    <t>DWA 158</t>
  </si>
  <si>
    <t>DWA 159</t>
  </si>
  <si>
    <t>Craig Donaghy</t>
  </si>
  <si>
    <t>The Abomination Game</t>
  </si>
  <si>
    <t>Brain Train</t>
  </si>
  <si>
    <t>7 0ct 09</t>
  </si>
  <si>
    <t>Skydive!</t>
  </si>
  <si>
    <t>1.12/13</t>
  </si>
  <si>
    <t>The Parting of the Ways</t>
  </si>
  <si>
    <t>Pip and Jane Baker</t>
  </si>
  <si>
    <t>Sarah Hellings</t>
  </si>
  <si>
    <t>PDA21</t>
  </si>
  <si>
    <t>Players</t>
  </si>
  <si>
    <t>6W</t>
  </si>
  <si>
    <t>The Two Doctors</t>
  </si>
  <si>
    <t>PDA59</t>
  </si>
  <si>
    <t>Blue Box</t>
  </si>
  <si>
    <t>6W/A</t>
  </si>
  <si>
    <t>Davros</t>
  </si>
  <si>
    <t>6W/B</t>
  </si>
  <si>
    <t>Cryptobiosis</t>
  </si>
  <si>
    <t>6Y</t>
  </si>
  <si>
    <t>Timelash</t>
  </si>
  <si>
    <t>Glen McCoy</t>
  </si>
  <si>
    <t>6Y/A</t>
  </si>
  <si>
    <t>Year of the Pig</t>
  </si>
  <si>
    <t>6Z</t>
  </si>
  <si>
    <t>Revelation of the Daleks</t>
  </si>
  <si>
    <t>Slipback</t>
  </si>
  <si>
    <t>MA05</t>
  </si>
  <si>
    <t>State of Change</t>
  </si>
  <si>
    <t>6Y/AA</t>
  </si>
  <si>
    <t>The Nightmare Fair</t>
  </si>
  <si>
    <t>6Y/AB</t>
  </si>
  <si>
    <t>Doctor Who and the Invasion from Space</t>
  </si>
  <si>
    <t>World Distributors, Ltd</t>
  </si>
  <si>
    <t>Audio</t>
  </si>
  <si>
    <t>Web</t>
  </si>
  <si>
    <t>House Pests</t>
  </si>
  <si>
    <t>DWM 381-384</t>
  </si>
  <si>
    <t>DWM 385</t>
  </si>
  <si>
    <t>DWM 386-389</t>
  </si>
  <si>
    <t>Death to the Doctor!</t>
  </si>
  <si>
    <t>DWM 390</t>
  </si>
  <si>
    <t>Ian Edgington</t>
  </si>
  <si>
    <t>DWM 394</t>
  </si>
  <si>
    <t>DWM 395-398</t>
  </si>
  <si>
    <t>Shipwreck!</t>
  </si>
  <si>
    <t>BiT 17</t>
  </si>
  <si>
    <t>BiT 18-21</t>
  </si>
  <si>
    <t>Wrath of the Warrior</t>
  </si>
  <si>
    <t>BiT 22-25</t>
  </si>
  <si>
    <t>Ben Robinson, Claire Lister</t>
  </si>
  <si>
    <t>Jewel of the Vile</t>
  </si>
  <si>
    <t>Dead of Night</t>
  </si>
  <si>
    <t>Escape to L.A.</t>
  </si>
  <si>
    <t>The Categories of Life</t>
  </si>
  <si>
    <t>The Middle Men</t>
  </si>
  <si>
    <t>Immortal Sins</t>
  </si>
  <si>
    <t>End of the Road</t>
  </si>
  <si>
    <t>The Blood Line</t>
  </si>
  <si>
    <t>Russell T. Davies, Jane Espenson</t>
  </si>
  <si>
    <t>Ben Aaronovich</t>
  </si>
  <si>
    <t>Neil Penswick</t>
  </si>
  <si>
    <t>Jim Mortimore, Andy Lane</t>
  </si>
  <si>
    <t>David Banks</t>
  </si>
  <si>
    <t>Bernice Summerfield and the Criminal Code</t>
  </si>
  <si>
    <t>SLEEPY</t>
  </si>
  <si>
    <t>Simon Bucher-Jones</t>
  </si>
  <si>
    <t>Ben Aaronovitch, Kate Orman</t>
  </si>
  <si>
    <t>Matthew Jones</t>
  </si>
  <si>
    <t>BBCi01</t>
  </si>
  <si>
    <t>The Masters of Luxor</t>
  </si>
  <si>
    <t>Anthony Coburn, Nigel Robinson</t>
  </si>
  <si>
    <t>Moris Farhi, Nigel Robinson</t>
  </si>
  <si>
    <t>Lisa Bowerman, John Ainsworth</t>
  </si>
  <si>
    <t>LS2.1b</t>
  </si>
  <si>
    <t>LS2.1a</t>
  </si>
  <si>
    <t>LS3.7</t>
  </si>
  <si>
    <t>LS2.2</t>
  </si>
  <si>
    <t>33.1</t>
  </si>
  <si>
    <t>33.2</t>
  </si>
  <si>
    <t>Asylum of the Daleks</t>
  </si>
  <si>
    <t>Dinosaurs on a Spaceship</t>
  </si>
  <si>
    <t>33.3</t>
  </si>
  <si>
    <t>33.4</t>
  </si>
  <si>
    <t>33.5</t>
  </si>
  <si>
    <t>Martin Asbury</t>
  </si>
  <si>
    <t>TVC 1215-1222</t>
  </si>
  <si>
    <t>Return of the Daleks!</t>
  </si>
  <si>
    <t>TVC 1223-1231</t>
  </si>
  <si>
    <t>The Wreckers</t>
  </si>
  <si>
    <t>The Emperor's Spy</t>
  </si>
  <si>
    <t>Zeitgeist</t>
  </si>
  <si>
    <t>DEC3:10</t>
  </si>
  <si>
    <t>Matt Kimpton</t>
  </si>
  <si>
    <t>ST19:09</t>
  </si>
  <si>
    <t>ST25:23</t>
  </si>
  <si>
    <t>Marcus Flavin</t>
  </si>
  <si>
    <t>ST18:04</t>
  </si>
  <si>
    <t>Neil Perryman</t>
  </si>
  <si>
    <t>White Man's Burden</t>
  </si>
  <si>
    <t>Observation</t>
  </si>
  <si>
    <t>Flashpoint</t>
  </si>
  <si>
    <t>One Wednesday Afternoon</t>
  </si>
  <si>
    <t>Rennigan's Record</t>
  </si>
  <si>
    <t>ST24:19</t>
  </si>
  <si>
    <t>ST6:14</t>
  </si>
  <si>
    <t>Short Trips</t>
  </si>
  <si>
    <t>More Short Trips</t>
  </si>
  <si>
    <t>Short Trips and Side Steps</t>
  </si>
  <si>
    <t>Zodiac</t>
  </si>
  <si>
    <t>Companions</t>
  </si>
  <si>
    <t>A Universe of Terrors</t>
  </si>
  <si>
    <t>The Muses</t>
  </si>
  <si>
    <t>Steel Skies</t>
  </si>
  <si>
    <t>Past Tense</t>
  </si>
  <si>
    <t>Life Science</t>
  </si>
  <si>
    <t>Repercussions</t>
  </si>
  <si>
    <t>A Christmas Treasury</t>
  </si>
  <si>
    <t>A Day in the Life</t>
  </si>
  <si>
    <t>Mirror Image</t>
  </si>
  <si>
    <t>BiT 1-6</t>
  </si>
  <si>
    <t>BiT 7</t>
  </si>
  <si>
    <t>Ben Robinson</t>
  </si>
  <si>
    <t>Battles in Time Strip</t>
  </si>
  <si>
    <t>DWA Strip</t>
  </si>
  <si>
    <t>Steve Cole</t>
  </si>
  <si>
    <t>G.E. Fabbri Ltd</t>
  </si>
  <si>
    <t>Under the Volcano</t>
  </si>
  <si>
    <t>The Germ War</t>
  </si>
  <si>
    <t>Warfreekz!</t>
  </si>
  <si>
    <t>A Delicate Operation</t>
  </si>
  <si>
    <t>Blood and Tears</t>
  </si>
  <si>
    <t>Bizarre Zero</t>
  </si>
  <si>
    <t>Save the Humans!</t>
  </si>
  <si>
    <t>Bat Attack!</t>
  </si>
  <si>
    <t>Triskaidekaphobia</t>
  </si>
  <si>
    <t>Pinball Wizard</t>
  </si>
  <si>
    <t>Si Spence</t>
  </si>
  <si>
    <t>Fried Death</t>
  </si>
  <si>
    <t>Ann 2012</t>
  </si>
  <si>
    <t>Masterminds of Space</t>
  </si>
  <si>
    <t>The Celestial Toyshop</t>
  </si>
  <si>
    <t>Valley of Dragon</t>
  </si>
  <si>
    <t>Planet of Nowhere</t>
  </si>
  <si>
    <t>Happy as Queeg</t>
  </si>
  <si>
    <t>World of Ice</t>
  </si>
  <si>
    <t>The Microton Men</t>
  </si>
  <si>
    <t>Death to Mufl</t>
  </si>
  <si>
    <t>Horror of Glam Rock</t>
  </si>
  <si>
    <t>EDA1.4</t>
  </si>
  <si>
    <t>Dave Warner</t>
  </si>
  <si>
    <t>Chris Roache</t>
  </si>
  <si>
    <t>Jason Bourque</t>
  </si>
  <si>
    <t>John O'Brien</t>
  </si>
  <si>
    <t>Shayne Armstrong, S.P. Krause, Anthony Morris, Graeme Farmer</t>
  </si>
  <si>
    <t>Chris Ryall, Tom Waltz, Denton J. Shipton</t>
  </si>
  <si>
    <t>24 Crawford Street</t>
  </si>
  <si>
    <t>Plastic Millenium</t>
  </si>
  <si>
    <t>Daisy Chain</t>
  </si>
  <si>
    <t>Uranus</t>
  </si>
  <si>
    <t>Driftwood</t>
  </si>
  <si>
    <t>Special Weapons</t>
  </si>
  <si>
    <t>Echo</t>
  </si>
  <si>
    <t>A Yuletide Tale</t>
  </si>
  <si>
    <t>ST14:06</t>
  </si>
  <si>
    <t>ST10:15</t>
  </si>
  <si>
    <t>Only Connect</t>
  </si>
  <si>
    <t>Alexander Leithes</t>
  </si>
  <si>
    <t>1-84653-001-6</t>
  </si>
  <si>
    <t>Panini, UK</t>
  </si>
  <si>
    <t>SB 2007</t>
  </si>
  <si>
    <t>Once Upon a Time</t>
  </si>
  <si>
    <t>Cuckoo-Spit</t>
  </si>
  <si>
    <t>The Cat Came Back</t>
  </si>
  <si>
    <t>Opera of Doom!</t>
  </si>
  <si>
    <t>Gravestone House</t>
  </si>
  <si>
    <t>Untitled</t>
  </si>
  <si>
    <t>No One Died</t>
  </si>
  <si>
    <t>Ben Willsher</t>
  </si>
  <si>
    <t>Martin Geraghty, Fareed Choudhury</t>
  </si>
  <si>
    <t>Corner of the Eye</t>
  </si>
  <si>
    <t>Deep and Dreamless Sleep</t>
  </si>
  <si>
    <t>Times Newspapers Ltd</t>
  </si>
  <si>
    <t>Myth Maker</t>
  </si>
  <si>
    <t>The Planet that Wept</t>
  </si>
  <si>
    <t>Swarm Enemies</t>
  </si>
  <si>
    <t>Cats and Dogs</t>
  </si>
  <si>
    <t>The Body Bank</t>
  </si>
  <si>
    <t>The Box Under the Tree</t>
  </si>
  <si>
    <t>DWM 235-237</t>
  </si>
  <si>
    <t>Black Destiny</t>
  </si>
  <si>
    <t>Martin Geraghty, Bambos Georgiou, Elitta Fell</t>
  </si>
  <si>
    <t>7-235-0320-6</t>
  </si>
  <si>
    <t>7-235-0369-9</t>
  </si>
  <si>
    <t>Ann 1976</t>
  </si>
  <si>
    <t>Ann 1977</t>
  </si>
  <si>
    <t>A New Life</t>
  </si>
  <si>
    <t>The Hospitality on Hankus</t>
  </si>
  <si>
    <t>The Psychic Jungle</t>
  </si>
  <si>
    <t>The Sinister Sponge</t>
  </si>
  <si>
    <t>Neuronic Nightmare</t>
  </si>
  <si>
    <t>Avast There</t>
  </si>
  <si>
    <t>The Mission</t>
  </si>
  <si>
    <t>War on Aquatica</t>
  </si>
  <si>
    <t>Scarab of Death</t>
  </si>
  <si>
    <t>The Duke of Dominoes</t>
  </si>
  <si>
    <t>DEC1:05</t>
  </si>
  <si>
    <t>DEC1:03</t>
  </si>
  <si>
    <t>Mark Stammers</t>
  </si>
  <si>
    <t>Categorical Imperative</t>
  </si>
  <si>
    <t>Observer Effect</t>
  </si>
  <si>
    <t>ST13:04</t>
  </si>
  <si>
    <t>ST14:31</t>
  </si>
  <si>
    <t>3'</t>
  </si>
  <si>
    <t>3''</t>
  </si>
  <si>
    <t>RP1</t>
  </si>
  <si>
    <t>RP2</t>
  </si>
  <si>
    <t>RP3</t>
  </si>
  <si>
    <t>EE3</t>
  </si>
  <si>
    <t>Bernard Venables</t>
  </si>
  <si>
    <t>Eye-Spiders of Pergross</t>
  </si>
  <si>
    <t>Detour to Diamedes</t>
  </si>
  <si>
    <t>Menace on Metalupiter</t>
  </si>
  <si>
    <t>Garbage Day!</t>
  </si>
  <si>
    <t>The Greedy Gulper</t>
  </si>
  <si>
    <t>The Cornucopia Caper</t>
  </si>
  <si>
    <t>The Broken Man</t>
  </si>
  <si>
    <t>DWM 448-450</t>
  </si>
  <si>
    <t>DWM 451-454</t>
  </si>
  <si>
    <t>DWM 455</t>
  </si>
  <si>
    <t>Imaginary Enemies</t>
  </si>
  <si>
    <t>Ann 2013</t>
  </si>
  <si>
    <t>Lorna's Escape</t>
  </si>
  <si>
    <t>Lorna</t>
  </si>
  <si>
    <t>1-4059-0844-3</t>
  </si>
  <si>
    <t>The Zentrabot Invasion</t>
  </si>
  <si>
    <t>The Tomb of Shemura</t>
  </si>
  <si>
    <t>Danny</t>
  </si>
  <si>
    <t>Houdini and the Space Cuckoos</t>
  </si>
  <si>
    <t>TBB 2012</t>
  </si>
  <si>
    <t>Planet of the Rain Gods</t>
  </si>
  <si>
    <t>1-84990-230-4</t>
  </si>
  <si>
    <t>1-84435-574-7</t>
  </si>
  <si>
    <t>1-84435-575-4</t>
  </si>
  <si>
    <t>Suddenly in a Graveyard…</t>
  </si>
  <si>
    <t>Activity Book Story</t>
  </si>
  <si>
    <t>EDTW</t>
  </si>
  <si>
    <t>Virgo: Virgin Lands</t>
  </si>
  <si>
    <t>Gluttony: Too Rich For My Blood</t>
  </si>
  <si>
    <t>The Time Lord's Story</t>
  </si>
  <si>
    <t>ST1:01</t>
  </si>
  <si>
    <t>ST1:15</t>
  </si>
  <si>
    <t>RT1</t>
  </si>
  <si>
    <t>RT2</t>
  </si>
  <si>
    <t>RT3</t>
  </si>
  <si>
    <t>RT4</t>
  </si>
  <si>
    <t>RT5</t>
  </si>
  <si>
    <t>BBC Magazines</t>
  </si>
  <si>
    <t>Stacy</t>
  </si>
  <si>
    <t>Ssard</t>
  </si>
  <si>
    <t>Earth &amp; Beyond</t>
  </si>
  <si>
    <t>Paul McGann</t>
  </si>
  <si>
    <t>0-563-55890-3</t>
  </si>
  <si>
    <t>The Feast of Seven… Eight (and Nine)</t>
  </si>
  <si>
    <t>2-8</t>
  </si>
  <si>
    <t>ST14:24</t>
  </si>
  <si>
    <t>ST20:01</t>
  </si>
  <si>
    <t>Prologue</t>
  </si>
  <si>
    <t>ST11:10</t>
  </si>
  <si>
    <t>The Juror's Story</t>
  </si>
  <si>
    <t>ST30:20</t>
  </si>
  <si>
    <t>White on White</t>
  </si>
  <si>
    <t>Xanna Eve Chown</t>
  </si>
  <si>
    <t>The Devil Like a Bear</t>
  </si>
  <si>
    <t>Private Investigations</t>
  </si>
  <si>
    <t>Christmas Everyday</t>
  </si>
  <si>
    <t>The Tide and Time</t>
  </si>
  <si>
    <t>One Card for the Curious</t>
  </si>
  <si>
    <t>Seaside Rendezvous</t>
  </si>
  <si>
    <t>A Rose by Any Other Name</t>
  </si>
  <si>
    <t>Fable Fusion</t>
  </si>
  <si>
    <t>But Once a Year</t>
  </si>
  <si>
    <t>Last Rites</t>
  </si>
  <si>
    <t>The Anchorite's Echo</t>
  </si>
  <si>
    <t>Séance</t>
  </si>
  <si>
    <t>ST9:05</t>
  </si>
  <si>
    <t>ST11:02</t>
  </si>
  <si>
    <t>1.2</t>
  </si>
  <si>
    <t>The End of the World</t>
  </si>
  <si>
    <t>Euros Lyn</t>
  </si>
  <si>
    <t>1.3</t>
  </si>
  <si>
    <t>The Unquiet Dead</t>
  </si>
  <si>
    <t>Mark Gatiss</t>
  </si>
  <si>
    <t>1.4/5</t>
  </si>
  <si>
    <t>Aliens of London</t>
  </si>
  <si>
    <t>The Clockwise Man</t>
  </si>
  <si>
    <t>Gary Frank, Stephen Baskerville</t>
  </si>
  <si>
    <t>Stop the Pigeon</t>
  </si>
  <si>
    <t>Ace of Hearts</t>
  </si>
  <si>
    <t>Monsters</t>
  </si>
  <si>
    <t>ST1:05</t>
  </si>
  <si>
    <t>ST1:14</t>
  </si>
  <si>
    <t>ST3:16</t>
  </si>
  <si>
    <t>These Things Take Time</t>
  </si>
  <si>
    <t>The Heroine, the Hero and the Megalomaniac</t>
  </si>
  <si>
    <t>Six Impossible Things Before Breakfast</t>
  </si>
  <si>
    <t>Presence</t>
  </si>
  <si>
    <t>Natalie's Diary</t>
  </si>
  <si>
    <t>The Report</t>
  </si>
  <si>
    <t>Log 384</t>
  </si>
  <si>
    <t>Gallifrey: A Blind Eye</t>
  </si>
  <si>
    <t>Gallifrey: Lies</t>
  </si>
  <si>
    <t>Gallifrey: Spirit</t>
  </si>
  <si>
    <t>Gallifrey: Pandora</t>
  </si>
  <si>
    <t>Gallifrey: Insurgency</t>
  </si>
  <si>
    <t>Gallifrey: Imperiatrix</t>
  </si>
  <si>
    <t>Gallifrey: Fractures</t>
  </si>
  <si>
    <t>Gallifrey: Warfare</t>
  </si>
  <si>
    <t>ST3:01</t>
  </si>
  <si>
    <t>The Longest Story in the World</t>
  </si>
  <si>
    <t>Stephen Cole, Jacqueline Rayner</t>
  </si>
  <si>
    <t>0-563-55599-8</t>
  </si>
  <si>
    <t>ST6:01</t>
  </si>
  <si>
    <t>The Exiles</t>
  </si>
  <si>
    <t>John Binns</t>
  </si>
  <si>
    <t>1-84435-008-8</t>
  </si>
  <si>
    <t>ST18:14</t>
  </si>
  <si>
    <t>The Innocents</t>
  </si>
  <si>
    <t>1-84435-149-1</t>
  </si>
  <si>
    <t>ST3:12</t>
  </si>
  <si>
    <t>Suzy</t>
  </si>
  <si>
    <t>ST16:04</t>
  </si>
  <si>
    <t>Steven Moffat, Piers Wenger</t>
  </si>
  <si>
    <t>The Mahogany Murderers</t>
  </si>
  <si>
    <t>Fallen Gods</t>
  </si>
  <si>
    <t>The Final Sanction</t>
  </si>
  <si>
    <t>PDA24</t>
  </si>
  <si>
    <t>DWatP2</t>
  </si>
  <si>
    <t>The Boy Who Saved the Proms</t>
  </si>
  <si>
    <t>The Mists of Time</t>
  </si>
  <si>
    <t>DWM10</t>
  </si>
  <si>
    <t>The Beast Below</t>
  </si>
  <si>
    <t>Andrew Gunn</t>
  </si>
  <si>
    <t>ST11:15</t>
  </si>
  <si>
    <t>Scott Matthewman</t>
  </si>
  <si>
    <t>ST19:01</t>
  </si>
  <si>
    <t>The Mother Road</t>
  </si>
  <si>
    <t>Gareth Wigmore</t>
  </si>
  <si>
    <t>1-84435-151-3</t>
  </si>
  <si>
    <t>ST23:02</t>
  </si>
  <si>
    <t>Room for Improvement</t>
  </si>
  <si>
    <t>James A. Moore</t>
  </si>
  <si>
    <t>ST1:04</t>
  </si>
  <si>
    <t>A Town Called Mercy</t>
  </si>
  <si>
    <t>The Power of Three</t>
  </si>
  <si>
    <t>Reckless Engineering</t>
  </si>
  <si>
    <t>EDA64</t>
  </si>
  <si>
    <t>Last Resort</t>
  </si>
  <si>
    <t>EDA65</t>
  </si>
  <si>
    <t>32.1/2</t>
  </si>
  <si>
    <t>Kelly Manners, Brian Minchin</t>
  </si>
  <si>
    <t>BBC/Starz</t>
  </si>
  <si>
    <t>TW28.2</t>
  </si>
  <si>
    <t>TW28.3</t>
  </si>
  <si>
    <t>TW28.4</t>
  </si>
  <si>
    <t>TW28.5</t>
  </si>
  <si>
    <t>TW28.6</t>
  </si>
  <si>
    <t>TW28.7</t>
  </si>
  <si>
    <t>TW28.8</t>
  </si>
  <si>
    <t>TW28.9</t>
  </si>
  <si>
    <t>0-563-40560-0</t>
  </si>
  <si>
    <t>Alan Bromly</t>
  </si>
  <si>
    <t>Operation Proteus</t>
  </si>
  <si>
    <t>ST9:10</t>
  </si>
  <si>
    <t>Mortlake</t>
  </si>
  <si>
    <t>Jupiter</t>
  </si>
  <si>
    <t>ST17:05</t>
  </si>
  <si>
    <t>The Eighth Wonder of the World</t>
  </si>
  <si>
    <t>ST22:08</t>
  </si>
  <si>
    <t>Christmas Special</t>
  </si>
  <si>
    <t>The Terror of the Darkness</t>
  </si>
  <si>
    <t>Loose Change</t>
  </si>
  <si>
    <t>Incongruous Details</t>
  </si>
  <si>
    <t>Defining Patern: Linking Material</t>
  </si>
  <si>
    <t>The Book of My Life</t>
  </si>
  <si>
    <t>Gone too Soon</t>
  </si>
  <si>
    <t>Wish You Were Here</t>
  </si>
  <si>
    <t>Whiskey and Water</t>
  </si>
  <si>
    <t>Grand Theft Cosmos</t>
  </si>
  <si>
    <t>EDA2.6</t>
  </si>
  <si>
    <t>The Zygon Who Fell to Earth</t>
  </si>
  <si>
    <t>EDA3</t>
  </si>
  <si>
    <t>Michael Montour</t>
  </si>
  <si>
    <t>The Last Thing You Ever See</t>
  </si>
  <si>
    <t>Richard Goff</t>
  </si>
  <si>
    <t>The Shopping Trolleys of Doom</t>
  </si>
  <si>
    <t>Caleb Woodbridge</t>
  </si>
  <si>
    <t>DWA 11-12</t>
  </si>
  <si>
    <t>DWA 13</t>
  </si>
  <si>
    <t>DWA 14</t>
  </si>
  <si>
    <t>DWA 15</t>
  </si>
  <si>
    <t>DWA 16-17</t>
  </si>
  <si>
    <t>DWA 18-19</t>
  </si>
  <si>
    <t>DWA 20-21</t>
  </si>
  <si>
    <t>DWA 22-23</t>
  </si>
  <si>
    <t>DWA 24-25</t>
  </si>
  <si>
    <t>DWA 26-27</t>
  </si>
  <si>
    <t>DWA 28-29</t>
  </si>
  <si>
    <t>DWA 30-31</t>
  </si>
  <si>
    <t>DWA 32-33</t>
  </si>
  <si>
    <t>DWA 34-35</t>
  </si>
  <si>
    <t>DWA 36-37</t>
  </si>
  <si>
    <t>DWA 38-39</t>
  </si>
  <si>
    <t>DWA 40-41</t>
  </si>
  <si>
    <t>DWA 42-43</t>
  </si>
  <si>
    <t>DWA 44-45</t>
  </si>
  <si>
    <t>DWA 46-47</t>
  </si>
  <si>
    <t>DWA 48-49</t>
  </si>
  <si>
    <t>DWA 50-51</t>
  </si>
  <si>
    <t>DWA 52-53</t>
  </si>
  <si>
    <t>DWA 54-55</t>
  </si>
  <si>
    <t>DWA 56-57</t>
  </si>
  <si>
    <t>DWA 58-60</t>
  </si>
  <si>
    <t>DWA 61</t>
  </si>
  <si>
    <t>DWA 62</t>
  </si>
  <si>
    <t>The Necropolis Express</t>
  </si>
  <si>
    <t>The Theatre of Dreams</t>
  </si>
  <si>
    <t>Book/CD</t>
  </si>
  <si>
    <t>Frazer Hines, Anneke Wills</t>
  </si>
  <si>
    <t>Industrial Evolution</t>
  </si>
  <si>
    <t>S2S2</t>
  </si>
  <si>
    <t>Children of Ashdene School</t>
  </si>
  <si>
    <t>Good as Gold</t>
  </si>
  <si>
    <t>Missing in Action</t>
  </si>
  <si>
    <t>Tim Pieraccini</t>
  </si>
  <si>
    <t>DWM 205</t>
  </si>
  <si>
    <t>TVC Ann 1975</t>
  </si>
  <si>
    <t>TVC 1199-1203</t>
  </si>
  <si>
    <t>RCB02</t>
  </si>
  <si>
    <t>DWHS 1973</t>
  </si>
  <si>
    <t>Dalek Empire: The Human Factor</t>
  </si>
  <si>
    <t>1-903654-386</t>
  </si>
  <si>
    <t>Dalek Empire: "Death to the Daleks!"</t>
  </si>
  <si>
    <t>Dalek Empire: Project Infinity</t>
  </si>
  <si>
    <t>1-903654-394</t>
  </si>
  <si>
    <t>1-903654-408</t>
  </si>
  <si>
    <t>The Hollow Men</t>
  </si>
  <si>
    <t>7P</t>
  </si>
  <si>
    <t>Survival</t>
  </si>
  <si>
    <t>Jonathan Blum, Kate Orman</t>
  </si>
  <si>
    <t>Lawrence Miles</t>
  </si>
  <si>
    <t>Michael Collier</t>
  </si>
  <si>
    <t>Louise Cooper</t>
  </si>
  <si>
    <t>Paul McAuley</t>
  </si>
  <si>
    <t>Paul Magrs, Jeremy Hoad</t>
  </si>
  <si>
    <t>Simon Bucher-Jones, Mark Clapham</t>
  </si>
  <si>
    <t>Stephen Cole, Natalie Dallaire</t>
  </si>
  <si>
    <t>The Doctor Strikes Back</t>
  </si>
  <si>
    <t>TVC 792-795</t>
  </si>
  <si>
    <t>The Zombies</t>
  </si>
  <si>
    <t>TVC 796-798</t>
  </si>
  <si>
    <t>Master of Spiders!</t>
  </si>
  <si>
    <t>TVC 799-802</t>
  </si>
  <si>
    <t>The Exterminator</t>
  </si>
  <si>
    <t>Daleks versus the Martians</t>
  </si>
  <si>
    <t>DWMSpS 1996</t>
  </si>
  <si>
    <t>The Curse of Fenric</t>
  </si>
  <si>
    <t>PDA10</t>
  </si>
  <si>
    <t>Night of the Humans</t>
  </si>
  <si>
    <t>The Forgotten Army</t>
  </si>
  <si>
    <t>The Glamour Chase</t>
  </si>
  <si>
    <t>Nuclear Time</t>
  </si>
  <si>
    <t>The King's Dragon</t>
  </si>
  <si>
    <t>The Four Doctors</t>
  </si>
  <si>
    <t>Cavan Scott, Mark Wright</t>
  </si>
  <si>
    <t>Austen Atkinson</t>
  </si>
  <si>
    <t>Simon Furman</t>
  </si>
  <si>
    <t>Adrian Rigelsford</t>
  </si>
  <si>
    <t>Caroline Symcox</t>
  </si>
  <si>
    <t>Return to the Web Planet</t>
  </si>
  <si>
    <t>19b</t>
  </si>
  <si>
    <t>6C/K</t>
  </si>
  <si>
    <t>The Haunting of Thomas Brewster</t>
  </si>
  <si>
    <t>6C/L</t>
  </si>
  <si>
    <t>The Boy that Time Forgot</t>
  </si>
  <si>
    <t>6C/MA</t>
  </si>
  <si>
    <t>Time Reef</t>
  </si>
  <si>
    <t>6C/MB</t>
  </si>
  <si>
    <t>A Perfect World</t>
  </si>
  <si>
    <t>19c</t>
  </si>
  <si>
    <t>6C/N</t>
  </si>
  <si>
    <t>Castle of Fear</t>
  </si>
  <si>
    <t>6C/O</t>
  </si>
  <si>
    <t>The Eternal Summer</t>
  </si>
  <si>
    <t>6C/P</t>
  </si>
  <si>
    <t>20</t>
  </si>
  <si>
    <t>STA3:08</t>
  </si>
  <si>
    <t>STA4:01</t>
  </si>
  <si>
    <t>TVC 744-747</t>
  </si>
  <si>
    <t>Plague of the Black Scorpi</t>
  </si>
  <si>
    <t>TVC 748-752</t>
  </si>
  <si>
    <t>The Trodos Tyranny</t>
  </si>
  <si>
    <t>John Canning</t>
  </si>
  <si>
    <t>TVC 753-757</t>
  </si>
  <si>
    <t>The Secrets of Gemino</t>
  </si>
  <si>
    <t>TVCHS 1966</t>
  </si>
  <si>
    <t>Guest of King Neptune</t>
  </si>
  <si>
    <t>The Gaze of the Gorgon</t>
  </si>
  <si>
    <t>Change of Mind</t>
  </si>
  <si>
    <t>DWM 221-223</t>
  </si>
  <si>
    <t>Barrie Mitchell</t>
  </si>
  <si>
    <t>World Without Night</t>
  </si>
  <si>
    <t>Vincent Danks, Cam Smith</t>
  </si>
  <si>
    <t>DWM 179</t>
  </si>
  <si>
    <t>Lee Battersby</t>
  </si>
  <si>
    <t>ST24:03</t>
  </si>
  <si>
    <t>All of Beyond</t>
  </si>
  <si>
    <t>ST9:17</t>
  </si>
  <si>
    <t>That Time I Nearly Destroyed the World Whilst Looking for a Dress</t>
  </si>
  <si>
    <t>ST1:10</t>
  </si>
  <si>
    <t>Mother's Little Helper</t>
  </si>
  <si>
    <t>ST2:02</t>
  </si>
  <si>
    <t>Scientific Adviser</t>
  </si>
  <si>
    <t>Ian Atkins</t>
  </si>
  <si>
    <t>ST3:14</t>
  </si>
  <si>
    <t>Reunion</t>
  </si>
  <si>
    <t>Jason Loborik</t>
  </si>
  <si>
    <t>ST8:05</t>
  </si>
  <si>
    <t>Dust</t>
  </si>
  <si>
    <t>Countrycide</t>
  </si>
  <si>
    <t>Greeks Bearing Gifts</t>
  </si>
  <si>
    <t>They Keep Killing Suzie</t>
  </si>
  <si>
    <t>Random Shoes</t>
  </si>
  <si>
    <t>Out of Time</t>
  </si>
  <si>
    <t>Combat</t>
  </si>
  <si>
    <t>Captain Jack Harkness</t>
  </si>
  <si>
    <t>The Last Sontaran</t>
  </si>
  <si>
    <t>The Day of the Clown</t>
  </si>
  <si>
    <t>Secrets of the Stars</t>
  </si>
  <si>
    <t>The Mark of the Berserker</t>
  </si>
  <si>
    <t>100: Bedtime Story</t>
  </si>
  <si>
    <t>Paul Crilley</t>
  </si>
  <si>
    <t>ST26:09</t>
  </si>
  <si>
    <t>DEC1:10</t>
  </si>
  <si>
    <t>Stephen James Walker</t>
  </si>
  <si>
    <t>DEC3:08</t>
  </si>
  <si>
    <t>Robert Perry and Mike Tucker</t>
  </si>
  <si>
    <t>DEC2:10</t>
  </si>
  <si>
    <t>ST4:06</t>
  </si>
  <si>
    <t>ST8:13</t>
  </si>
  <si>
    <t>Rebecca Levene</t>
  </si>
  <si>
    <t>ST14:07</t>
  </si>
  <si>
    <t>ST18:13</t>
  </si>
  <si>
    <t>Darren Sellars</t>
  </si>
  <si>
    <t>ST19:12</t>
  </si>
  <si>
    <t>ST20:16</t>
  </si>
  <si>
    <t>DEC2:04</t>
  </si>
  <si>
    <t>Immortal Beloved</t>
  </si>
  <si>
    <t>EDA1.5</t>
  </si>
  <si>
    <t>Phobos</t>
  </si>
  <si>
    <t>EDA1.6</t>
  </si>
  <si>
    <t>No More Lies</t>
  </si>
  <si>
    <t>EDA1.7-8</t>
  </si>
  <si>
    <t>Human Resources</t>
  </si>
  <si>
    <t>EDA2</t>
  </si>
  <si>
    <t>EDA2.1</t>
  </si>
  <si>
    <t>Dead London</t>
  </si>
  <si>
    <t>EDA2.2</t>
  </si>
  <si>
    <t>Max Warp</t>
  </si>
  <si>
    <t>EDA2.3</t>
  </si>
  <si>
    <t>Brave New Town</t>
  </si>
  <si>
    <t>EDA2.4</t>
  </si>
  <si>
    <t>The Skull of Sobek</t>
  </si>
  <si>
    <t>EDA2.5</t>
  </si>
  <si>
    <t>EDA3.7-8</t>
  </si>
  <si>
    <t>Alan Barnes, Nicholas Briggs</t>
  </si>
  <si>
    <t>John Henderson</t>
  </si>
  <si>
    <t>Sue Vertue</t>
  </si>
  <si>
    <t>Alan W. Lear, Gary Russell</t>
  </si>
  <si>
    <t>Scott Gray</t>
  </si>
  <si>
    <t>Paul Cornell, Caroline Symcox</t>
  </si>
  <si>
    <t>Gary Russell, Alan Barnes</t>
  </si>
  <si>
    <t>Silence in the Library</t>
  </si>
  <si>
    <t>Beautiful Chaos</t>
  </si>
  <si>
    <t>4.8</t>
  </si>
  <si>
    <t>Midnight</t>
  </si>
  <si>
    <t>The Nemonite Invasion</t>
  </si>
  <si>
    <t>4.11</t>
  </si>
  <si>
    <t>Turn Left</t>
  </si>
  <si>
    <t>4.12/13</t>
  </si>
  <si>
    <t>Hugh David</t>
  </si>
  <si>
    <t>GG</t>
  </si>
  <si>
    <t>Spider's Shadow</t>
  </si>
  <si>
    <t>7Z/DA</t>
  </si>
  <si>
    <t>DWM Strip</t>
  </si>
  <si>
    <t>Holiday Special Story</t>
  </si>
  <si>
    <t>Amicus Film</t>
  </si>
  <si>
    <t>Children in Need</t>
  </si>
  <si>
    <t>Comic Relief</t>
  </si>
  <si>
    <t>DW at the Proms</t>
  </si>
  <si>
    <t>K-9 Adventure</t>
  </si>
  <si>
    <t>Sarah Jane Adventure</t>
  </si>
  <si>
    <t>Red Button</t>
  </si>
  <si>
    <t>Totally DW</t>
  </si>
  <si>
    <t>Torchwood</t>
  </si>
  <si>
    <t>Script to Screen</t>
  </si>
  <si>
    <t>BBCi</t>
  </si>
  <si>
    <t>Jim'll Fix It</t>
  </si>
  <si>
    <t>TV Serial</t>
  </si>
  <si>
    <t>The Darksmith Legacy 3: The Colour of Darkness</t>
  </si>
  <si>
    <t>The Darksmith Legacy 4: The Depths of Despair</t>
  </si>
  <si>
    <t>The Darksmith Legacy 5: The Vampire of Paris</t>
  </si>
  <si>
    <t>John Gorrie</t>
  </si>
  <si>
    <t>ST20:10</t>
  </si>
  <si>
    <t>Jago &amp; Lightfoot</t>
  </si>
  <si>
    <t>Jago</t>
  </si>
  <si>
    <t>Lightfoot</t>
  </si>
  <si>
    <t>The Bellova Devil</t>
  </si>
  <si>
    <t>The Bloodless Soldier</t>
  </si>
  <si>
    <t>The Spirit Trap</t>
  </si>
  <si>
    <t>The Similarity Engine</t>
  </si>
  <si>
    <t>Adam Smith</t>
  </si>
  <si>
    <t>The First Wave</t>
  </si>
  <si>
    <t>The Three Companions: Polly's Story</t>
  </si>
  <si>
    <t>Victory of the Daleks</t>
  </si>
  <si>
    <t>Toby Whithouse</t>
  </si>
  <si>
    <t>Jonny Campbell</t>
  </si>
  <si>
    <t>31.4/5</t>
  </si>
  <si>
    <t>Flesh and Stone</t>
  </si>
  <si>
    <t>BFA1</t>
  </si>
  <si>
    <t>BFA2</t>
  </si>
  <si>
    <t>BFA3</t>
  </si>
  <si>
    <t>BFA4</t>
  </si>
  <si>
    <t>BFFA</t>
  </si>
  <si>
    <t>EDA4</t>
  </si>
  <si>
    <t>An Earthly Child</t>
  </si>
  <si>
    <t>Only a Matter of Time</t>
  </si>
  <si>
    <t>Planet of Bones</t>
  </si>
  <si>
    <t>When Starlight Grows Cold</t>
  </si>
  <si>
    <t>H.M.S. TARDIS</t>
  </si>
  <si>
    <t>The King of Golden Death</t>
  </si>
  <si>
    <t>The Dragons of Kekokro</t>
  </si>
  <si>
    <t>The Singing Crystal</t>
  </si>
  <si>
    <t>Ann 2011</t>
  </si>
  <si>
    <t>Buzz!</t>
  </si>
  <si>
    <t>Moray Laing</t>
  </si>
  <si>
    <t>The Grey Hole</t>
  </si>
  <si>
    <t>The Secret of Arkatron</t>
  </si>
  <si>
    <t>100: The 100 Days of the Doctor</t>
  </si>
  <si>
    <t>7C/ME</t>
  </si>
  <si>
    <t>7C/MF</t>
  </si>
  <si>
    <t>7C/MG</t>
  </si>
  <si>
    <t>The Crimes of Thomas Brewster</t>
  </si>
  <si>
    <t>Missing, Part One: Business as Usual</t>
  </si>
  <si>
    <t>LS3.2</t>
  </si>
  <si>
    <t>LS3.3</t>
  </si>
  <si>
    <t>Hexagora</t>
  </si>
  <si>
    <t>The Children of Seth</t>
  </si>
  <si>
    <t>Peter Ling, Hazel Adair, Paul Finch</t>
  </si>
  <si>
    <t>Christopher Bailey, Marc Platt</t>
  </si>
  <si>
    <t>LS3.4</t>
  </si>
  <si>
    <t>LS3.5</t>
  </si>
  <si>
    <t>LS3.6</t>
  </si>
  <si>
    <t>The Guardians of Prophesy</t>
  </si>
  <si>
    <t>The First Sontarans</t>
  </si>
  <si>
    <t>Johnny Byrne, Jonathan Morris</t>
  </si>
  <si>
    <t>Taking the Cure</t>
  </si>
  <si>
    <t>Those Left Behind</t>
  </si>
  <si>
    <t>Violet Addison</t>
  </si>
  <si>
    <t>Andrew K. Purvis</t>
  </si>
  <si>
    <t>Evitability</t>
  </si>
  <si>
    <t>£436</t>
  </si>
  <si>
    <t>Nick May</t>
  </si>
  <si>
    <t>Time Shear</t>
  </si>
  <si>
    <t>Steven Alexander</t>
  </si>
  <si>
    <t>J.R. Loflin</t>
  </si>
  <si>
    <t>L.M. Miles</t>
  </si>
  <si>
    <t>Running on Empty</t>
  </si>
  <si>
    <t>Swamp of Horrors (1957) - Viewing Notes</t>
  </si>
  <si>
    <t>Dann Chinn</t>
  </si>
  <si>
    <t>Insider Dealing</t>
  </si>
  <si>
    <t>The Andrew Invasion</t>
  </si>
  <si>
    <t>John Callaghan</t>
  </si>
  <si>
    <t>ST29:25</t>
  </si>
  <si>
    <t>Stolen Days</t>
  </si>
  <si>
    <t>Arnold T. Blumberg</t>
  </si>
  <si>
    <t>ST30:01</t>
  </si>
  <si>
    <t>ST30:02</t>
  </si>
  <si>
    <t>ST30:04</t>
  </si>
  <si>
    <t>ST30:05</t>
  </si>
  <si>
    <t>ST30:07</t>
  </si>
  <si>
    <t>ST30:08</t>
  </si>
  <si>
    <t>ST30:10</t>
  </si>
  <si>
    <t>ST30:11</t>
  </si>
  <si>
    <t>ST30:13</t>
  </si>
  <si>
    <t>ST30:15</t>
  </si>
  <si>
    <t>ST30:16</t>
  </si>
  <si>
    <t>ST30:17</t>
  </si>
  <si>
    <t>ST30:18</t>
  </si>
  <si>
    <t>ST30:19</t>
  </si>
  <si>
    <t>Planet of the Elves</t>
  </si>
  <si>
    <t>Do You Smell Carrots?</t>
  </si>
  <si>
    <t>Exclave</t>
  </si>
  <si>
    <t>Illumination</t>
  </si>
  <si>
    <t>Companion</t>
  </si>
  <si>
    <t>Instead of You</t>
  </si>
  <si>
    <t>Laurence Donaghy</t>
  </si>
  <si>
    <t>Christmas Every Day</t>
  </si>
  <si>
    <t>Space Vikings!</t>
  </si>
  <si>
    <t>Knock Knock!</t>
  </si>
  <si>
    <t>Rob Davis, I.N.J. Culbard</t>
  </si>
  <si>
    <t>Neill Cameron</t>
  </si>
  <si>
    <t>Rob Davis, Ian Culbard</t>
  </si>
  <si>
    <t>Ann 2010</t>
  </si>
  <si>
    <t>The Vortex Code</t>
  </si>
  <si>
    <t>Health and Safety</t>
  </si>
  <si>
    <t>Ann 2009</t>
  </si>
  <si>
    <t>The Greatest Mall in the Universe</t>
  </si>
  <si>
    <t>The Time Sickness</t>
  </si>
  <si>
    <t>The Daleks' Master Plan I</t>
  </si>
  <si>
    <t>1-84435-627-0</t>
  </si>
  <si>
    <t>1-84435-628-7</t>
  </si>
  <si>
    <t>1-84435-629-4</t>
  </si>
  <si>
    <t>Protect and Survive</t>
  </si>
  <si>
    <t>Gods and Monsters</t>
  </si>
  <si>
    <t>Mike Maddox, Alan Barnes</t>
  </si>
  <si>
    <t>CD</t>
  </si>
  <si>
    <t>Terry Nation, Dennis Spooner</t>
  </si>
  <si>
    <t>The Drowned World</t>
  </si>
  <si>
    <t>Home Truths</t>
  </si>
  <si>
    <t>W</t>
  </si>
  <si>
    <t>John Lucarotti, Donald Tosh</t>
  </si>
  <si>
    <t>Paddy Russell</t>
  </si>
  <si>
    <t>Gerry Davis</t>
  </si>
  <si>
    <t>PDA18</t>
  </si>
  <si>
    <t>Salvation</t>
  </si>
  <si>
    <t>X</t>
  </si>
  <si>
    <t>The Ark</t>
  </si>
  <si>
    <t>Paul Erickson, Lesley Scott</t>
  </si>
  <si>
    <t>Michael Imison</t>
  </si>
  <si>
    <t>Y</t>
  </si>
  <si>
    <t>The Celestial Toymaker</t>
  </si>
  <si>
    <t>Brian Hayles, Donald Tosh</t>
  </si>
  <si>
    <t>Bill Sellars</t>
  </si>
  <si>
    <t>Innes Lloyd</t>
  </si>
  <si>
    <t>Z</t>
  </si>
  <si>
    <t>The Gunfighters</t>
  </si>
  <si>
    <t>Rex Tucker</t>
  </si>
  <si>
    <t>Mother Russia</t>
  </si>
  <si>
    <t>PDA39</t>
  </si>
  <si>
    <t>Bunker Soldiers</t>
  </si>
  <si>
    <t>AA</t>
  </si>
  <si>
    <t>The Savages</t>
  </si>
  <si>
    <t>Ian Stuart Black</t>
  </si>
  <si>
    <t>MA19</t>
  </si>
  <si>
    <t>The Man in the Velvet Mask</t>
  </si>
  <si>
    <t>BB</t>
  </si>
  <si>
    <t>The War Machines</t>
  </si>
  <si>
    <t>Ian Stuart Black, Kit Pedler</t>
  </si>
  <si>
    <t>Michael Ferguson</t>
  </si>
  <si>
    <t>CC</t>
  </si>
  <si>
    <t>The Smugglers</t>
  </si>
  <si>
    <t>Brian Hayles</t>
  </si>
  <si>
    <t>Julia Smith</t>
  </si>
  <si>
    <t>PDA54</t>
  </si>
  <si>
    <t>Ten Little Aliens</t>
  </si>
  <si>
    <t>DD</t>
  </si>
  <si>
    <t>Lily</t>
  </si>
  <si>
    <t>Qualia</t>
  </si>
  <si>
    <t>Lant Land</t>
  </si>
  <si>
    <t>ST3:20</t>
  </si>
  <si>
    <t>David Agnew</t>
  </si>
  <si>
    <t>Special Occasions 4: Playing with Toys</t>
  </si>
  <si>
    <t>Steve Burford</t>
  </si>
  <si>
    <t>Paul Beardsley</t>
  </si>
  <si>
    <t>ST14:14</t>
  </si>
  <si>
    <t>ST14:20</t>
  </si>
  <si>
    <t>ST14:23</t>
  </si>
  <si>
    <t>Glass</t>
  </si>
  <si>
    <t>Colony of Death</t>
  </si>
  <si>
    <t>Alien Mind Games</t>
  </si>
  <si>
    <t>A Midsummer's Nightmare</t>
  </si>
  <si>
    <t>Every Dog Has His Day</t>
  </si>
  <si>
    <t>The Voton Terror</t>
  </si>
  <si>
    <t>Seet Flower of Uthe</t>
  </si>
  <si>
    <t>ST8:11</t>
  </si>
  <si>
    <t>Paul Saint</t>
  </si>
  <si>
    <t>Tom Arden</t>
  </si>
  <si>
    <t>Nicola Bryant</t>
  </si>
  <si>
    <t>TTC3</t>
  </si>
  <si>
    <t>The Three Companions: The Brigadier's Story</t>
  </si>
  <si>
    <t>Phil Clarke</t>
  </si>
  <si>
    <t>Mag</t>
  </si>
  <si>
    <t>The Mad Woman in the Attic</t>
  </si>
  <si>
    <t>The Wedding of Sarah Jane Smith</t>
  </si>
  <si>
    <t>The Eternity Trap</t>
  </si>
  <si>
    <t>BBV19</t>
  </si>
  <si>
    <t>BBV27</t>
  </si>
  <si>
    <t>BBV22</t>
  </si>
  <si>
    <t>BBV17</t>
  </si>
  <si>
    <t>BBV15</t>
  </si>
  <si>
    <t>BBV30</t>
  </si>
  <si>
    <t>BBV18</t>
  </si>
  <si>
    <t>BBV33</t>
  </si>
  <si>
    <t>BBV34</t>
  </si>
  <si>
    <t>Iain Hepburn</t>
  </si>
  <si>
    <t>In 2 Minds</t>
  </si>
  <si>
    <t>The Quality of Mercy</t>
  </si>
  <si>
    <t>BBV35</t>
  </si>
  <si>
    <t>BBV Audio Adventure</t>
  </si>
  <si>
    <t>BBV Video Story</t>
  </si>
  <si>
    <t>various</t>
  </si>
  <si>
    <t>BBV28</t>
  </si>
  <si>
    <t>The Rani Reaps the Whirlwind</t>
  </si>
  <si>
    <t>BBV29</t>
  </si>
  <si>
    <t>BBV26</t>
  </si>
  <si>
    <t>6E</t>
  </si>
  <si>
    <t>Arc of Infinity</t>
  </si>
  <si>
    <t>DWM09</t>
  </si>
  <si>
    <t>Cuddlesome</t>
  </si>
  <si>
    <t>6E/A</t>
  </si>
  <si>
    <t>Omega</t>
  </si>
  <si>
    <t>PDA58</t>
  </si>
  <si>
    <t>Fear of the Dark</t>
  </si>
  <si>
    <t>MA22</t>
  </si>
  <si>
    <t>The Sands of Time</t>
  </si>
  <si>
    <t>PDA13</t>
  </si>
  <si>
    <t>Zeta Major</t>
  </si>
  <si>
    <t>6D</t>
  </si>
  <si>
    <t>Snakedance</t>
  </si>
  <si>
    <t>MA01</t>
  </si>
  <si>
    <t>Goth Opera</t>
  </si>
  <si>
    <t>6F</t>
  </si>
  <si>
    <t>Mawdryn Undead</t>
  </si>
  <si>
    <t>6G</t>
  </si>
  <si>
    <t>Terminus</t>
  </si>
  <si>
    <t>Mary Ridge</t>
  </si>
  <si>
    <t>6H</t>
  </si>
  <si>
    <t>Enlightenment</t>
  </si>
  <si>
    <t>Barbara Clegg</t>
  </si>
  <si>
    <t>6J</t>
  </si>
  <si>
    <t>The King's Demons</t>
  </si>
  <si>
    <t>Tony Virgo</t>
  </si>
  <si>
    <t>The Crystal Bucephalus</t>
  </si>
  <si>
    <t>6K</t>
  </si>
  <si>
    <t>Secret of the Bald Planet</t>
  </si>
  <si>
    <t>To Kill a Nandi Bear</t>
  </si>
  <si>
    <t>The Last Broadcast</t>
  </si>
  <si>
    <t>The Dragons of Prague</t>
  </si>
  <si>
    <t>Todd McCaffrey</t>
  </si>
  <si>
    <t>ST23.20</t>
  </si>
  <si>
    <t>Paul Williams</t>
  </si>
  <si>
    <t>Rights</t>
  </si>
  <si>
    <t>Paul Grice</t>
  </si>
  <si>
    <t>ST1:12</t>
  </si>
  <si>
    <t>The Republican's Story</t>
  </si>
  <si>
    <t>Andy Russell</t>
  </si>
  <si>
    <t>ST11:12</t>
  </si>
  <si>
    <t>CC6.12</t>
  </si>
  <si>
    <t>The Rings of Ikiria</t>
  </si>
  <si>
    <t>1-84435-623-2</t>
  </si>
  <si>
    <t>Richard Franklin, Felicity Duncan</t>
  </si>
  <si>
    <t>CC7.01</t>
  </si>
  <si>
    <t>1-78178-018-3</t>
  </si>
  <si>
    <t>William Russell, Philip Pope</t>
  </si>
  <si>
    <t>Time on a Vine</t>
  </si>
  <si>
    <t>John Lydecker</t>
  </si>
  <si>
    <t>"Dream a Little Dream for Me"</t>
  </si>
  <si>
    <t>Encounter on Burnt Snake Flat</t>
  </si>
  <si>
    <t>The Tourist Invasion</t>
  </si>
  <si>
    <t>An Unfulfilled Dream</t>
  </si>
  <si>
    <t>DWM 178</t>
  </si>
  <si>
    <t>ZZ</t>
  </si>
  <si>
    <t>The War Games</t>
  </si>
  <si>
    <t>Malcolm Hulke, Terrance Dicks</t>
  </si>
  <si>
    <t>PDA74</t>
  </si>
  <si>
    <t>World Game</t>
  </si>
  <si>
    <t>Helicon Prime</t>
  </si>
  <si>
    <t>DWUN6</t>
  </si>
  <si>
    <t>Exile</t>
  </si>
  <si>
    <t>DWUN2</t>
  </si>
  <si>
    <t>Sympathy for the Devil</t>
  </si>
  <si>
    <t>DWUN8</t>
  </si>
  <si>
    <t>Masters of War</t>
  </si>
  <si>
    <t>7</t>
  </si>
  <si>
    <t>Sometime Never…</t>
  </si>
  <si>
    <t>27L</t>
  </si>
  <si>
    <t>Thin Ice</t>
  </si>
  <si>
    <t>Crime of the Century</t>
  </si>
  <si>
    <t>Animal</t>
  </si>
  <si>
    <t>Earth Aid</t>
  </si>
  <si>
    <t>Ben Aaronovitch, Andrew Cartmel</t>
  </si>
  <si>
    <t>Mike Tucker, Robert Perry</t>
  </si>
  <si>
    <t>Andrew Hunt</t>
  </si>
  <si>
    <t>PDA57</t>
  </si>
  <si>
    <t>Heritage</t>
  </si>
  <si>
    <t>NA2</t>
  </si>
  <si>
    <t>The Reaping</t>
  </si>
  <si>
    <t>TEL08</t>
  </si>
  <si>
    <t>Shell Shock</t>
  </si>
  <si>
    <t>Resurrection of the Daleks</t>
  </si>
  <si>
    <t>Matthew Robinson</t>
  </si>
  <si>
    <t>MA17</t>
  </si>
  <si>
    <t>Lords of the Storm</t>
  </si>
  <si>
    <t>6P/A</t>
  </si>
  <si>
    <t>Phantasmagoria</t>
  </si>
  <si>
    <t>PDA34</t>
  </si>
  <si>
    <t>Imperial Moon</t>
  </si>
  <si>
    <t>6P/B</t>
  </si>
  <si>
    <t>Loups-Garoux</t>
  </si>
  <si>
    <t>6P/C</t>
  </si>
  <si>
    <t>Singularity</t>
  </si>
  <si>
    <t>6Q</t>
  </si>
  <si>
    <t>Planet of Fire</t>
  </si>
  <si>
    <t>6Q/A</t>
  </si>
  <si>
    <t>Red Dawn</t>
  </si>
  <si>
    <t>PDA03</t>
  </si>
  <si>
    <t>The Ultimate Treasure</t>
  </si>
  <si>
    <t>PDA43</t>
  </si>
  <si>
    <t>Superior Beings</t>
  </si>
  <si>
    <t>6Q/AA1</t>
  </si>
  <si>
    <t>Exotron</t>
  </si>
  <si>
    <t>6Q/AA2</t>
  </si>
  <si>
    <t>Urban Myths</t>
  </si>
  <si>
    <t>6Q/B</t>
  </si>
  <si>
    <t>System Shock</t>
  </si>
  <si>
    <t>1-84435-550-1</t>
  </si>
  <si>
    <t>1-84435-547-1</t>
  </si>
  <si>
    <t>1-84435-549-5</t>
  </si>
  <si>
    <t>1-84435-267-8</t>
  </si>
  <si>
    <t>1-84435-374-3</t>
  </si>
  <si>
    <t>1-84435-608-9</t>
  </si>
  <si>
    <t>The Enlightenment of Ly-Chee the Wise</t>
  </si>
  <si>
    <t>Slimmer</t>
  </si>
  <si>
    <t>Nineveh</t>
  </si>
  <si>
    <t>Trainflight</t>
  </si>
  <si>
    <t>Fellow Travellers</t>
  </si>
  <si>
    <t>Darkness Falling / Distractions / The Mark of Mandragora</t>
  </si>
  <si>
    <t>Party Animals</t>
  </si>
  <si>
    <t>The Chameleon Factor</t>
  </si>
  <si>
    <t>Under Pressure</t>
  </si>
  <si>
    <t>Sarah Jane Smith: Comeback</t>
  </si>
  <si>
    <t>SJS2</t>
  </si>
  <si>
    <t>SJS2.1</t>
  </si>
  <si>
    <t>SJS2.2</t>
  </si>
  <si>
    <t>SJS2.3</t>
  </si>
  <si>
    <t>SJS2.4</t>
  </si>
  <si>
    <t>SJS1.2</t>
  </si>
  <si>
    <t>SJS1.3</t>
  </si>
  <si>
    <t>SJS1.4</t>
  </si>
  <si>
    <t>SJS1.5</t>
  </si>
  <si>
    <t>The Kchrusivour Gambit</t>
  </si>
  <si>
    <t>Trapped in the Pages of History</t>
  </si>
  <si>
    <t>Dawn of the Living Bread</t>
  </si>
  <si>
    <t>Air Force Gone</t>
  </si>
  <si>
    <t>The Frankenstein Particle</t>
  </si>
  <si>
    <t>Dog of War!</t>
  </si>
  <si>
    <t>Harvest of Doom</t>
  </si>
  <si>
    <t>The Atomon Invasion</t>
  </si>
  <si>
    <t>Wait Until Morning</t>
  </si>
  <si>
    <t>Humans Aren't Just For Christmas</t>
  </si>
  <si>
    <t>Vengeance of the Atomon</t>
  </si>
  <si>
    <t>The Chains of Olympus</t>
  </si>
  <si>
    <t>Vincent and the Doctor</t>
  </si>
  <si>
    <t>31.10</t>
  </si>
  <si>
    <t>31.11</t>
  </si>
  <si>
    <t>31.12/13</t>
  </si>
  <si>
    <t>Simon Nye</t>
  </si>
  <si>
    <t>Richard Curtis</t>
  </si>
  <si>
    <t>Toby Haynes</t>
  </si>
  <si>
    <t>Catherine Morshead</t>
  </si>
  <si>
    <t>MP3</t>
  </si>
  <si>
    <t>Len</t>
  </si>
  <si>
    <t>Dimensions in Time</t>
  </si>
  <si>
    <t>John Nathan-Turner, David Roden</t>
  </si>
  <si>
    <t>Stuart MacDonald</t>
  </si>
  <si>
    <t>Form</t>
  </si>
  <si>
    <t>9'</t>
  </si>
  <si>
    <t>The Curse of Fatal Death</t>
  </si>
  <si>
    <t>The Hungry Earth</t>
  </si>
  <si>
    <t>The Lodger</t>
  </si>
  <si>
    <t>The Pandorica Opens</t>
  </si>
  <si>
    <t>EDA2.7-8</t>
  </si>
  <si>
    <t>.</t>
  </si>
  <si>
    <t>x</t>
  </si>
  <si>
    <t>Score</t>
  </si>
  <si>
    <t>Paul Magrs</t>
  </si>
  <si>
    <t>Kate Thomas</t>
  </si>
  <si>
    <t>Michael Stevens</t>
  </si>
  <si>
    <t>The Invasion of E-Space</t>
  </si>
  <si>
    <t>Lisa Bowerman</t>
  </si>
  <si>
    <t>The Guardian of the Solar System</t>
  </si>
  <si>
    <t>Simon Guerrier</t>
  </si>
  <si>
    <t>Solitaire</t>
  </si>
  <si>
    <t>John Dorney</t>
  </si>
  <si>
    <t>ST10:12</t>
  </si>
  <si>
    <t>Scribbles in Chalk</t>
  </si>
  <si>
    <t>1-84435-047-9</t>
  </si>
  <si>
    <t>ST5:13</t>
  </si>
  <si>
    <t>Robert Holmes, Lewis Greifer</t>
  </si>
  <si>
    <t>4J</t>
  </si>
  <si>
    <t>The Android Invasion</t>
  </si>
  <si>
    <t>4K</t>
  </si>
  <si>
    <t>The Brain of Morbius</t>
  </si>
  <si>
    <t>Terrance Dicks, Robert Holmes</t>
  </si>
  <si>
    <t>MA02</t>
  </si>
  <si>
    <t>Evolution</t>
  </si>
  <si>
    <t>4L</t>
  </si>
  <si>
    <t>The Seeds of Doom</t>
  </si>
  <si>
    <t>Doctor Who and the Pescatons</t>
  </si>
  <si>
    <t>MA11</t>
  </si>
  <si>
    <t>Exodus / Revelation / Genesis</t>
  </si>
  <si>
    <t>Nature of the Beast</t>
  </si>
  <si>
    <t>Time Bomb</t>
  </si>
  <si>
    <t>Salad Daze</t>
  </si>
  <si>
    <t>Changes</t>
  </si>
  <si>
    <t>World Shapers</t>
  </si>
  <si>
    <t>Kane's / Abel's / Warriors' / Frobisher's Story</t>
  </si>
  <si>
    <t>DWM 88-89</t>
  </si>
  <si>
    <t>DWM 90-94</t>
  </si>
  <si>
    <t>DWM 95-97</t>
  </si>
  <si>
    <t>DWM 98-99</t>
  </si>
  <si>
    <t>DWM 100-101</t>
  </si>
  <si>
    <t>DWM 102-103</t>
  </si>
  <si>
    <t>DWM 104-107</t>
  </si>
  <si>
    <t>DWM 108-110</t>
  </si>
  <si>
    <t>DWM 111-113</t>
  </si>
  <si>
    <t>DWM 114-116</t>
  </si>
  <si>
    <t>DWM 117</t>
  </si>
  <si>
    <t>DWM 118-119</t>
  </si>
  <si>
    <t>DWM 120-122</t>
  </si>
  <si>
    <t>DWM 123-126</t>
  </si>
  <si>
    <t>DWM 127-129</t>
  </si>
  <si>
    <t>Ian Rimmer</t>
  </si>
  <si>
    <t>Cefn Ridout</t>
  </si>
  <si>
    <t>Jamie Delano</t>
  </si>
  <si>
    <t>Grant Morrison</t>
  </si>
  <si>
    <t>John Ridgway, Tim Perkins</t>
  </si>
  <si>
    <t>ST12:07</t>
  </si>
  <si>
    <t>ST1:02</t>
  </si>
  <si>
    <t>ST16:14</t>
  </si>
  <si>
    <t>ST9:03</t>
  </si>
  <si>
    <t>ST9:15</t>
  </si>
  <si>
    <t>The Forgotten 4a</t>
  </si>
  <si>
    <t>Kelly Yates</t>
  </si>
  <si>
    <t>Denton J. Shipton</t>
  </si>
  <si>
    <t>IDW Strip</t>
  </si>
  <si>
    <t>IDW Publishing</t>
  </si>
  <si>
    <t>IDWTF4a</t>
  </si>
  <si>
    <t>IDWTF1a</t>
  </si>
  <si>
    <t>The Forgotten 1a</t>
  </si>
  <si>
    <t>Pia Guerra</t>
  </si>
  <si>
    <t>Mitch Gerads</t>
  </si>
  <si>
    <t>Mitch Gerads, Kyle Latino</t>
  </si>
  <si>
    <t>Dan McDaid, Deborah McCumiskey</t>
  </si>
  <si>
    <t>IDW 2.10-2.11</t>
  </si>
  <si>
    <t>IDW 2.12</t>
  </si>
  <si>
    <t>IDW 2.13-2.16</t>
  </si>
  <si>
    <t>J.K. Woodward</t>
  </si>
  <si>
    <t>Scott and David Tipton, Tony Lee</t>
  </si>
  <si>
    <t>IDWSTDWA</t>
  </si>
  <si>
    <t>DWM 446-447</t>
  </si>
  <si>
    <t>NatD3</t>
  </si>
  <si>
    <t>NatD4</t>
  </si>
  <si>
    <t>NatD1</t>
  </si>
  <si>
    <t>NatD2</t>
  </si>
  <si>
    <t>NatD5</t>
  </si>
  <si>
    <t>IDWCS</t>
  </si>
  <si>
    <t>Horacio Domingues</t>
  </si>
  <si>
    <t>DWM 442-445</t>
  </si>
  <si>
    <t>Tom Spilsbury, Peter Ware</t>
  </si>
  <si>
    <t>DE2</t>
  </si>
  <si>
    <t>Dalek War, Chapter 1</t>
  </si>
  <si>
    <t>PDA42</t>
  </si>
  <si>
    <t>Asylum</t>
  </si>
  <si>
    <t>4Q</t>
  </si>
  <si>
    <t>The Face of Evil</t>
  </si>
  <si>
    <t>Chris Boucher</t>
  </si>
  <si>
    <t>Pennant Roberts</t>
  </si>
  <si>
    <t>4R</t>
  </si>
  <si>
    <t>The Robots of Death</t>
  </si>
  <si>
    <t>PDA15</t>
  </si>
  <si>
    <t>See No Evil</t>
  </si>
  <si>
    <t>Trapped!</t>
  </si>
  <si>
    <t>Moon Graffiti</t>
  </si>
  <si>
    <t>House</t>
  </si>
  <si>
    <t>Old Boys</t>
  </si>
  <si>
    <t>The Reproductive Cycle</t>
  </si>
  <si>
    <t>The Stars Our Contamination</t>
  </si>
  <si>
    <t>Timeshare</t>
  </si>
  <si>
    <t>Vigil</t>
  </si>
  <si>
    <t>John Ostrander</t>
  </si>
  <si>
    <t>Almost Perfect</t>
  </si>
  <si>
    <t>Into the Silence</t>
  </si>
  <si>
    <t>ST20:15</t>
  </si>
  <si>
    <t>Ann 1985</t>
  </si>
  <si>
    <t>Battle Planet</t>
  </si>
  <si>
    <t>Day of the Dragon</t>
  </si>
  <si>
    <t>The Real Hereward</t>
  </si>
  <si>
    <t>The Deadly Weed</t>
  </si>
  <si>
    <t>Vorton's Revenge</t>
  </si>
  <si>
    <t>The Time Savers</t>
  </si>
  <si>
    <t>The Mystery of the Rings</t>
  </si>
  <si>
    <t>0-7235-6719-0</t>
  </si>
  <si>
    <t>DEC2:09</t>
  </si>
  <si>
    <t>Graeme Burk</t>
  </si>
  <si>
    <t>ST3:10</t>
  </si>
  <si>
    <t>OotD:3</t>
  </si>
  <si>
    <t>Out of the Dark</t>
  </si>
  <si>
    <t>ST25:22</t>
  </si>
  <si>
    <t>ST10:07</t>
  </si>
  <si>
    <t>Meet the Doctor (BBC 7 Cutaway)</t>
  </si>
  <si>
    <t>Unknown</t>
  </si>
  <si>
    <t>Walter Howarth</t>
  </si>
  <si>
    <t>Mission to Magnus</t>
  </si>
  <si>
    <t>6Y/AC</t>
  </si>
  <si>
    <t>Leviathan</t>
  </si>
  <si>
    <t>6Y/AD</t>
  </si>
  <si>
    <t>The Hollows of Time</t>
  </si>
  <si>
    <t>6Y/AE</t>
  </si>
  <si>
    <t>Paradise 5</t>
  </si>
  <si>
    <t>6Y/AF</t>
  </si>
  <si>
    <t>Point of Entry</t>
  </si>
  <si>
    <t>6Y/AG</t>
  </si>
  <si>
    <t>The Macros</t>
  </si>
  <si>
    <t>6Y/AH</t>
  </si>
  <si>
    <t>6Z/A</t>
  </si>
  <si>
    <t>Whispers of Terror</t>
  </si>
  <si>
    <t>PDA51</t>
  </si>
  <si>
    <t>Palace of the Red Sun</t>
  </si>
  <si>
    <t>6Z/B</t>
  </si>
  <si>
    <t>…ish</t>
  </si>
  <si>
    <t>6Z/C</t>
  </si>
  <si>
    <t>The Coming of the Terraphiles</t>
  </si>
  <si>
    <t>The Ring of Steel</t>
  </si>
  <si>
    <t>The Jade Pyramid</t>
  </si>
  <si>
    <t>Glorious Goodwood</t>
  </si>
  <si>
    <t>Stephen Marley</t>
  </si>
  <si>
    <t>The Straw that Broke the Camel's Back</t>
  </si>
  <si>
    <t>Liz Shaw</t>
  </si>
  <si>
    <t>DEC1:09</t>
  </si>
  <si>
    <t>The Zenith</t>
  </si>
  <si>
    <t>BiT 45-48</t>
  </si>
  <si>
    <t>The Black Sea</t>
  </si>
  <si>
    <t>BiT 49-52</t>
  </si>
  <si>
    <t>BiT 53-56</t>
  </si>
  <si>
    <t>The Time Stealer</t>
  </si>
  <si>
    <t>BiT 43-44</t>
  </si>
  <si>
    <t>Any Old Iron</t>
  </si>
  <si>
    <t>Nightmare on the Boulevard</t>
  </si>
  <si>
    <t>Windswept</t>
  </si>
  <si>
    <t>The Continuity Cap</t>
  </si>
  <si>
    <t>Wormhole</t>
  </si>
  <si>
    <t>The Black Hole Gang</t>
  </si>
  <si>
    <t>Citizen's Arrest</t>
  </si>
  <si>
    <t>The Lavender Hil Blob</t>
  </si>
  <si>
    <t>Attack of the Mange Mites!</t>
  </si>
  <si>
    <t>By Order of the Bonemenders</t>
  </si>
  <si>
    <t>Default Doctor-chronological order</t>
  </si>
  <si>
    <t>Range, No</t>
  </si>
  <si>
    <t>Release/broadcast date</t>
  </si>
  <si>
    <t xml:space="preserve"> (put cursor in Title column first)</t>
  </si>
  <si>
    <t>Organised by range</t>
  </si>
  <si>
    <t>Form, JW Pos</t>
  </si>
  <si>
    <t>my ratings by type</t>
  </si>
  <si>
    <t>DWA 223</t>
  </si>
  <si>
    <t>DWA 224</t>
  </si>
  <si>
    <t>DWA 225</t>
  </si>
  <si>
    <t>DWA 226</t>
  </si>
  <si>
    <t>ST31:04</t>
  </si>
  <si>
    <t>Hiccup in Time</t>
  </si>
  <si>
    <t>Matthew James</t>
  </si>
  <si>
    <t>ST31:11</t>
  </si>
  <si>
    <t>The Science of Magic</t>
  </si>
  <si>
    <t>Michael Rees</t>
  </si>
  <si>
    <t>DWYB 1992</t>
  </si>
  <si>
    <t>Future Imperfect</t>
  </si>
  <si>
    <t>1-85400-238-X</t>
  </si>
  <si>
    <t>Third Doctor</t>
  </si>
  <si>
    <t>Loop the Loup</t>
  </si>
  <si>
    <t>The Fall of the House of Gryffen</t>
  </si>
  <si>
    <t>Jaws of Orthrus</t>
  </si>
  <si>
    <t>Dream-Eaters</t>
  </si>
  <si>
    <t>The Curse of Anubis</t>
  </si>
  <si>
    <t>Oroborus</t>
  </si>
  <si>
    <t>Alien Avatar</t>
  </si>
  <si>
    <t>Aeolian</t>
  </si>
  <si>
    <t>The Last Oak Tree</t>
  </si>
  <si>
    <t>Black Hunger</t>
  </si>
  <si>
    <t>The Cambridge Spy</t>
  </si>
  <si>
    <t>Lost Library of UKKO</t>
  </si>
  <si>
    <t>Mutant Copper</t>
  </si>
  <si>
    <t>The Custodians</t>
  </si>
  <si>
    <t>Taphony and the Time Loop</t>
  </si>
  <si>
    <t>Robot Gladiators</t>
  </si>
  <si>
    <t>Mind Snap</t>
  </si>
  <si>
    <t>Angel of the North</t>
  </si>
  <si>
    <t>The Last Precinct</t>
  </si>
  <si>
    <t>Hound of the Korven</t>
  </si>
  <si>
    <t>The Eclipse of the Korven</t>
  </si>
  <si>
    <t>Tim Pye</t>
  </si>
  <si>
    <t>Ian McFayden</t>
  </si>
  <si>
    <t>Deborah Parsons</t>
  </si>
  <si>
    <t>Everett DeRoche, Graeme Farmer</t>
  </si>
  <si>
    <t>Lindsay James</t>
  </si>
  <si>
    <t>Jim Noble</t>
  </si>
  <si>
    <t>Graeme Farmer</t>
  </si>
  <si>
    <t>ST26:08</t>
  </si>
  <si>
    <t>Numb</t>
  </si>
  <si>
    <t>ST11:05</t>
  </si>
  <si>
    <t>The Dead Man's Story</t>
  </si>
  <si>
    <t>Benjamain Adams</t>
  </si>
  <si>
    <t>ST24:06</t>
  </si>
  <si>
    <t>ST24:12</t>
  </si>
  <si>
    <t>ST24:09</t>
  </si>
  <si>
    <t>Ben Jeapes</t>
  </si>
  <si>
    <t>DEC3:09</t>
  </si>
  <si>
    <t>Alex Leithes</t>
  </si>
  <si>
    <t>ST6:07</t>
  </si>
  <si>
    <t>George Ivanoff</t>
  </si>
  <si>
    <t>ST26:01</t>
  </si>
  <si>
    <t>DWMSS 1995</t>
  </si>
  <si>
    <t>The Seventh Segment</t>
  </si>
  <si>
    <t>Paul Peart</t>
  </si>
  <si>
    <t>0-7235-6549-X</t>
  </si>
  <si>
    <t>Ann 1980</t>
  </si>
  <si>
    <t>X-Rani and the Ugly Mutants</t>
  </si>
  <si>
    <t>Light Fantastic</t>
  </si>
  <si>
    <t>Terror on Xaboi</t>
  </si>
  <si>
    <t>Reluctant Warriors</t>
  </si>
  <si>
    <t>Sean Longcroft, Martin Geraghty</t>
  </si>
  <si>
    <t>Martin Geraghty, Robin Smith</t>
  </si>
  <si>
    <t>DWM 251-255</t>
  </si>
  <si>
    <t>DWM 256</t>
  </si>
  <si>
    <t>Gary Gillatt, Alan Barnes</t>
  </si>
  <si>
    <t>DWM 257-260</t>
  </si>
  <si>
    <t>DWM 262-265</t>
  </si>
  <si>
    <t>Fey</t>
  </si>
  <si>
    <t>Feyde</t>
  </si>
  <si>
    <t>DWM 266-271</t>
  </si>
  <si>
    <t>DWM 272</t>
  </si>
  <si>
    <t>1-7</t>
  </si>
  <si>
    <t>DWM 273-276</t>
  </si>
  <si>
    <t>DWM 278-282</t>
  </si>
  <si>
    <t>DWM 283</t>
  </si>
  <si>
    <t>Adrian Salmon, Fareed Choudhury</t>
  </si>
  <si>
    <t>DWM 284-286</t>
  </si>
  <si>
    <t>DWM 287-296</t>
  </si>
  <si>
    <t>Adrian Salmon, Robin Smith</t>
  </si>
  <si>
    <t>Kroton</t>
  </si>
  <si>
    <t>DWM 297-299</t>
  </si>
  <si>
    <t>EDC3</t>
  </si>
  <si>
    <t>Beautiful Freak</t>
  </si>
  <si>
    <t>DWM 304</t>
  </si>
  <si>
    <t>DWM 300-303</t>
  </si>
  <si>
    <t>Destrii</t>
  </si>
  <si>
    <t>Robin Smith</t>
  </si>
  <si>
    <t>Alan Barnes, Clayton Hickman</t>
  </si>
  <si>
    <t>DWM 306, 308-310</t>
  </si>
  <si>
    <t>DWM 312-317</t>
  </si>
  <si>
    <t>DWM 318</t>
  </si>
  <si>
    <t>Me and My Shadow</t>
  </si>
  <si>
    <t>Uroboros</t>
  </si>
  <si>
    <t>DWM 319-322</t>
  </si>
  <si>
    <t>DWM 323-328</t>
  </si>
  <si>
    <t>EDC4</t>
  </si>
  <si>
    <t>DWM 329</t>
  </si>
  <si>
    <t>Roger Langridge, David A. Roach</t>
  </si>
  <si>
    <t>DWM 330-332</t>
  </si>
  <si>
    <t>Dylan Teague</t>
  </si>
  <si>
    <t>Clayton Hickman, Scott Gray</t>
  </si>
  <si>
    <t>DWM 333</t>
  </si>
  <si>
    <t>DWM 334-336</t>
  </si>
  <si>
    <t>Anthony Williams, David A. Roach</t>
  </si>
  <si>
    <t>DWM 337</t>
  </si>
  <si>
    <t>Martin Geraghty, Faz Choudhury, David A. Roach</t>
  </si>
  <si>
    <t>UNIT Christmas Parties: Ships That Pass</t>
  </si>
  <si>
    <t>Old Flames</t>
  </si>
  <si>
    <t>The Android Maker of Calderon IV</t>
  </si>
  <si>
    <t>ST3:07</t>
  </si>
  <si>
    <t>Miche Docherty</t>
  </si>
  <si>
    <t>Eternity</t>
  </si>
  <si>
    <t>ST8:16</t>
  </si>
  <si>
    <t>7Z/AC</t>
  </si>
  <si>
    <t>Robophobia</t>
  </si>
  <si>
    <t>The Steward's Story</t>
  </si>
  <si>
    <t>ST24:01</t>
  </si>
  <si>
    <t>Golem</t>
  </si>
  <si>
    <t>Lizzie Hopley</t>
  </si>
  <si>
    <t>ST28:07</t>
  </si>
  <si>
    <t>Blue Road Dance</t>
  </si>
  <si>
    <t>James Milton</t>
  </si>
  <si>
    <t>ST14:09</t>
  </si>
  <si>
    <t>TVC 1280-1286</t>
  </si>
  <si>
    <t>Counter-Rotation</t>
  </si>
  <si>
    <t>Mind Snatch</t>
  </si>
  <si>
    <t>TVC 1287-1290</t>
  </si>
  <si>
    <t>The Hoaxers</t>
  </si>
  <si>
    <t>TVC 1291</t>
  </si>
  <si>
    <t>TVC 1292-1297</t>
  </si>
  <si>
    <t>The Mutant Strain</t>
  </si>
  <si>
    <t>Double Trouble</t>
  </si>
  <si>
    <t>The Tansbury Experiment</t>
  </si>
  <si>
    <t>TVC 1298-1304</t>
  </si>
  <si>
    <t>TVC Ann 1977</t>
  </si>
  <si>
    <t>I, Davros</t>
  </si>
  <si>
    <t>1-84435-231-5</t>
  </si>
  <si>
    <t>Steve Foxon</t>
  </si>
  <si>
    <t>1-84435-232-3</t>
  </si>
  <si>
    <t>1-84435-233-1</t>
  </si>
  <si>
    <t>Scott Alan Woodard</t>
  </si>
  <si>
    <t>1-84435-234-X</t>
  </si>
  <si>
    <t>BFPDAVCD01</t>
  </si>
  <si>
    <t>BFPDAVCD02</t>
  </si>
  <si>
    <t>BFPDAVCD03</t>
  </si>
  <si>
    <t>BFPDAVCD04</t>
  </si>
  <si>
    <t>Fury from the Deep</t>
  </si>
  <si>
    <t>SS</t>
  </si>
  <si>
    <t>The Wheel in Space</t>
  </si>
  <si>
    <t>David Whitaker, Kit Pedler</t>
  </si>
  <si>
    <t>Tristan de Vere Cole</t>
  </si>
  <si>
    <t>6</t>
  </si>
  <si>
    <t>Fear of the Daleks</t>
  </si>
  <si>
    <t>TT</t>
  </si>
  <si>
    <t>The Dominators</t>
  </si>
  <si>
    <t>UU</t>
  </si>
  <si>
    <t>The Mind Robber</t>
  </si>
  <si>
    <t>Pyrrhic Pressure</t>
  </si>
  <si>
    <t>PDF</t>
  </si>
  <si>
    <t>Terrance Dicks, Barry Letts</t>
  </si>
  <si>
    <t>The Caterpillar Men</t>
  </si>
  <si>
    <t>TVC 732-735</t>
  </si>
  <si>
    <t>A Christmas Story</t>
  </si>
  <si>
    <t>TVC 736-739</t>
  </si>
  <si>
    <t>DWM 244-247</t>
  </si>
  <si>
    <t>Martin Geraghty, Robin Smith, Robin Riggs</t>
  </si>
  <si>
    <t>DWM 248-249</t>
  </si>
  <si>
    <t>DWM 250</t>
  </si>
  <si>
    <t>Gary Gillatt, Alan Barnes, Scott Gray</t>
  </si>
  <si>
    <t>The Time Witch</t>
  </si>
  <si>
    <t>Dragon's Claw</t>
  </si>
  <si>
    <t>The Collector</t>
  </si>
  <si>
    <t>Dreamers of Death</t>
  </si>
  <si>
    <t>Starbeast II</t>
  </si>
  <si>
    <t>The Life Bringer</t>
  </si>
  <si>
    <t>War of the Words</t>
  </si>
  <si>
    <t>Spider-God</t>
  </si>
  <si>
    <t>The Deal</t>
  </si>
  <si>
    <t>End of the Line</t>
  </si>
  <si>
    <t>The Freefall Warriors</t>
  </si>
  <si>
    <t>Junkyard Demons II</t>
  </si>
  <si>
    <t>Neutron Knights</t>
  </si>
  <si>
    <t>Pat Mills, John Wagner</t>
  </si>
  <si>
    <t>Dave Gibbons</t>
  </si>
  <si>
    <t>Dez Skinn</t>
  </si>
  <si>
    <t>DWM 1-8</t>
  </si>
  <si>
    <t>DWM 19-26</t>
  </si>
  <si>
    <t>DWM 9-16</t>
  </si>
  <si>
    <t>DWM 12</t>
  </si>
  <si>
    <t>Steve Moore</t>
  </si>
  <si>
    <t>DWM 17-18</t>
  </si>
  <si>
    <t>Timeslip</t>
  </si>
  <si>
    <t>John Wagner, Pat Mills</t>
  </si>
  <si>
    <t>Sharon</t>
  </si>
  <si>
    <t>DWM 27-34</t>
  </si>
  <si>
    <t>Dez Skinn, Paul Neary</t>
  </si>
  <si>
    <t>DWM 35-38</t>
  </si>
  <si>
    <t>DWM 39-45</t>
  </si>
  <si>
    <t>DWM 46</t>
  </si>
  <si>
    <t>DWM 47-48</t>
  </si>
  <si>
    <t>DWYB 1996</t>
  </si>
  <si>
    <t>Paul Vyse</t>
  </si>
  <si>
    <t>DWM 49-50</t>
  </si>
  <si>
    <t>DWM 51</t>
  </si>
  <si>
    <t>DWM 52</t>
  </si>
  <si>
    <t>DWM 53</t>
  </si>
  <si>
    <t>DWM 54-55</t>
  </si>
  <si>
    <t>DWM 56-57</t>
  </si>
  <si>
    <t>DWM 58-59</t>
  </si>
  <si>
    <t>DWM 60</t>
  </si>
  <si>
    <t>Steve Parkhouse</t>
  </si>
  <si>
    <t>Wet Walls</t>
  </si>
  <si>
    <t>The Wondrous Box</t>
  </si>
  <si>
    <t>Telos Publishing</t>
  </si>
  <si>
    <t>ST30:09</t>
  </si>
  <si>
    <t>Martin Geraghty, David A. Roach</t>
  </si>
  <si>
    <t>Rob Davis</t>
  </si>
  <si>
    <t>Geraint Ford</t>
  </si>
  <si>
    <t>Dan McDaid</t>
  </si>
  <si>
    <t>David A. Roach</t>
  </si>
  <si>
    <t>Apotheosis</t>
  </si>
  <si>
    <t>Goodwill Toward Men</t>
  </si>
  <si>
    <t>Shaun Lyon</t>
  </si>
  <si>
    <t>ST15:02</t>
  </si>
  <si>
    <t>Derrick Sherwin</t>
  </si>
  <si>
    <t>MA26</t>
  </si>
  <si>
    <t>Twilight of the Gods</t>
  </si>
  <si>
    <t>MA32</t>
  </si>
  <si>
    <t>The Dark Path</t>
  </si>
  <si>
    <t>RR</t>
  </si>
  <si>
    <t>All-Consuming Fire</t>
  </si>
  <si>
    <t>SS1</t>
  </si>
  <si>
    <t>The Shadow of the Scourge</t>
  </si>
  <si>
    <t>SS4</t>
  </si>
  <si>
    <t>The Dark Flame</t>
  </si>
  <si>
    <t>The Prisoner's Dilemma</t>
  </si>
  <si>
    <t>NA28</t>
  </si>
  <si>
    <t>Blood Harvest</t>
  </si>
  <si>
    <t>NA29</t>
  </si>
  <si>
    <t>Strange England</t>
  </si>
  <si>
    <t>NA30</t>
  </si>
  <si>
    <t>First Frontier</t>
  </si>
  <si>
    <t>NA31</t>
  </si>
  <si>
    <t>St. Anthony's Fire</t>
  </si>
  <si>
    <t>NA32</t>
  </si>
  <si>
    <t>Falls the Shadow</t>
  </si>
  <si>
    <t>NA33</t>
  </si>
  <si>
    <t>Parasite</t>
  </si>
  <si>
    <t>NA34</t>
  </si>
  <si>
    <t>Warlock</t>
  </si>
  <si>
    <t>NA35</t>
  </si>
  <si>
    <t>Set Piece</t>
  </si>
  <si>
    <t>NA36</t>
  </si>
  <si>
    <t>Infinite Requiem</t>
  </si>
  <si>
    <t>NA37</t>
  </si>
  <si>
    <t>Sanctuary</t>
  </si>
  <si>
    <t>NA38</t>
  </si>
  <si>
    <t>Human Nature</t>
  </si>
  <si>
    <t>NA39</t>
  </si>
  <si>
    <t>Original Sin</t>
  </si>
  <si>
    <t>NA40</t>
  </si>
  <si>
    <t>Sky Pirates! Or, The Eyes of the Schirron</t>
  </si>
  <si>
    <t>NA41</t>
  </si>
  <si>
    <t>Zamper</t>
  </si>
  <si>
    <t>NA42</t>
  </si>
  <si>
    <t>Toy Soldiers</t>
  </si>
  <si>
    <t>NA43</t>
  </si>
  <si>
    <t>Head Games</t>
  </si>
  <si>
    <t>NA44</t>
  </si>
  <si>
    <t>The Also People</t>
  </si>
  <si>
    <t>NA45</t>
  </si>
  <si>
    <t>Shakedown</t>
  </si>
  <si>
    <t>NA46</t>
  </si>
  <si>
    <t>Just War</t>
  </si>
  <si>
    <t>NA47</t>
  </si>
  <si>
    <t>Warchild</t>
  </si>
  <si>
    <t>NA48</t>
  </si>
  <si>
    <t>NA49</t>
  </si>
  <si>
    <t>Death and Diplomacy</t>
  </si>
  <si>
    <t>NA50</t>
  </si>
  <si>
    <t>Happy Endings</t>
  </si>
  <si>
    <t>NA51</t>
  </si>
  <si>
    <t>Peter Ling, Derrick Sherwin</t>
  </si>
  <si>
    <t>David Maloney</t>
  </si>
  <si>
    <t>32.3</t>
  </si>
  <si>
    <t>32.4</t>
  </si>
  <si>
    <t>32.5/6</t>
  </si>
  <si>
    <t>32.7</t>
  </si>
  <si>
    <t>A Good Man Goes to War</t>
  </si>
  <si>
    <t>The Impossible Astronaut</t>
  </si>
  <si>
    <t>The Curse of the Black Spot</t>
  </si>
  <si>
    <t>The Doctor's Wife</t>
  </si>
  <si>
    <t>The Rebel Flesh</t>
  </si>
  <si>
    <t>TEL11</t>
  </si>
  <si>
    <t>Frayed</t>
  </si>
  <si>
    <t>TEL01</t>
  </si>
  <si>
    <t>Time and Relative</t>
  </si>
  <si>
    <t>A</t>
  </si>
  <si>
    <t>An Unearthly Child</t>
  </si>
  <si>
    <t>DVD</t>
  </si>
  <si>
    <t>Anthony Coburn</t>
  </si>
  <si>
    <t>Waris Hussein</t>
  </si>
  <si>
    <t>Verity Lambert</t>
  </si>
  <si>
    <t>David Whitaker</t>
  </si>
  <si>
    <t>B</t>
  </si>
  <si>
    <t>The Daleks</t>
  </si>
  <si>
    <t>Terry Nation</t>
  </si>
  <si>
    <t>Richard Martin, Christopher Barry</t>
  </si>
  <si>
    <t>C</t>
  </si>
  <si>
    <t>The Edge of Destruction</t>
  </si>
  <si>
    <t>Richard Martin, Frank Cox</t>
  </si>
  <si>
    <t>D</t>
  </si>
  <si>
    <t>3.12/13</t>
  </si>
  <si>
    <t>SJA02</t>
  </si>
  <si>
    <t>SJA0</t>
  </si>
  <si>
    <t>SJA01</t>
  </si>
  <si>
    <t>SJA03</t>
  </si>
  <si>
    <t>SJA04</t>
  </si>
  <si>
    <t>SJA05</t>
  </si>
  <si>
    <t>SJA06</t>
  </si>
  <si>
    <t>SJA1</t>
  </si>
  <si>
    <t>Invasion of the Bane</t>
  </si>
  <si>
    <t>Revenge of the Slitheen</t>
  </si>
  <si>
    <t>DWM 369-371</t>
  </si>
  <si>
    <t>The Futurists</t>
  </si>
  <si>
    <t>DWM 372-374</t>
  </si>
  <si>
    <t>DWM 375-376</t>
  </si>
  <si>
    <t>Interstellar Overdrive</t>
  </si>
  <si>
    <t>DWM 377</t>
  </si>
  <si>
    <t>The Green-Eyed Monster</t>
  </si>
  <si>
    <t>Which Switch?</t>
  </si>
  <si>
    <t>The Platform One Legacy</t>
  </si>
  <si>
    <t>The Glutonoid Menace</t>
  </si>
  <si>
    <t>IDW Ann 2011</t>
  </si>
  <si>
    <t>Joshua Hale Fialkov</t>
  </si>
  <si>
    <t>BiT 26-29</t>
  </si>
  <si>
    <t>Crime After Time</t>
  </si>
  <si>
    <t>BiT 30</t>
  </si>
  <si>
    <t>BiT 31-33</t>
  </si>
  <si>
    <t>Crimes and Punishments</t>
  </si>
  <si>
    <t>Agent Provocateur</t>
  </si>
  <si>
    <t>The Whispering Gallery</t>
  </si>
  <si>
    <t>Black Death White Life</t>
  </si>
  <si>
    <t>Chris Ryall, Denton J. Shipton, Scott Dunbier</t>
  </si>
  <si>
    <t>Nick Roche, etc</t>
  </si>
  <si>
    <t>Charlie Kirchoff, Tom Smith</t>
  </si>
  <si>
    <t>IDWBDWL</t>
  </si>
  <si>
    <t>IDWAP</t>
  </si>
  <si>
    <t>IDWTWG</t>
  </si>
  <si>
    <t>Tom Mandrake</t>
  </si>
  <si>
    <t>Leah Moore, John Reppion</t>
  </si>
  <si>
    <t>Ben Templesmith</t>
  </si>
  <si>
    <t>The Monster Upstairs</t>
  </si>
  <si>
    <t>Hot Metal</t>
  </si>
  <si>
    <t>The Halls of Sacrifice</t>
  </si>
  <si>
    <t>The Old Kings of Skarab</t>
  </si>
  <si>
    <t>The Stone Monkey</t>
  </si>
  <si>
    <t>Every Dog Has its Day</t>
  </si>
  <si>
    <t>The Poison Planet</t>
  </si>
  <si>
    <t>Sea-Rah</t>
  </si>
  <si>
    <t>The Great Mordillo</t>
  </si>
  <si>
    <t>The Creative Spark</t>
  </si>
  <si>
    <t>BiT 34-36</t>
  </si>
  <si>
    <t>Android of Death</t>
  </si>
  <si>
    <t>Kieran Grant</t>
  </si>
  <si>
    <t>BiT 37</t>
  </si>
  <si>
    <t>Blooms of Doom!</t>
  </si>
  <si>
    <t>Litefoot and Sanders</t>
  </si>
  <si>
    <t>Project: Nirvana</t>
  </si>
  <si>
    <t>CC7.03</t>
  </si>
  <si>
    <t>1-84435-948-6</t>
  </si>
  <si>
    <t>Lysandra</t>
  </si>
  <si>
    <t>Sally</t>
  </si>
  <si>
    <t>Project: Valhalla</t>
  </si>
  <si>
    <t>1-84435-157-2</t>
  </si>
  <si>
    <t>New Worlds Novel</t>
  </si>
  <si>
    <t>The Coming of the Queen</t>
  </si>
  <si>
    <t>1-84435-156-4</t>
  </si>
  <si>
    <t>2, 3</t>
  </si>
  <si>
    <t>CC7.05</t>
  </si>
  <si>
    <t>Return of the Rocket Men</t>
  </si>
  <si>
    <t>Sick Building</t>
  </si>
  <si>
    <t>3.8/9</t>
  </si>
  <si>
    <t>3.11</t>
  </si>
  <si>
    <t>Utopia</t>
  </si>
  <si>
    <t>8Zb</t>
  </si>
  <si>
    <t>The Company of Friends (Fitz's Story)</t>
  </si>
  <si>
    <t>EDA47</t>
  </si>
  <si>
    <t>The Slow Empire</t>
  </si>
  <si>
    <t>John Ainsworth</t>
  </si>
  <si>
    <t>Paul Leonard</t>
  </si>
  <si>
    <t>Keith Topping</t>
  </si>
  <si>
    <t>David A. McIntee</t>
  </si>
  <si>
    <t>Martin Day</t>
  </si>
  <si>
    <t>Daniel O'Mahony</t>
  </si>
  <si>
    <t>Stephen Cole</t>
  </si>
  <si>
    <t>The Perpetual Bond</t>
  </si>
  <si>
    <t>CC5.12</t>
  </si>
  <si>
    <t>Jon de Burgh Miller</t>
  </si>
  <si>
    <t>Mark Chadbourn</t>
  </si>
  <si>
    <t>David Lock</t>
  </si>
  <si>
    <t>The Forbidden Time</t>
  </si>
  <si>
    <t>Stephen Cole, Paul Magrs</t>
  </si>
  <si>
    <t>Edward Salt</t>
  </si>
  <si>
    <t>Julian Shortman</t>
  </si>
  <si>
    <t>Sharon Gosling</t>
  </si>
  <si>
    <t>Robert Ross</t>
  </si>
  <si>
    <t>A Town Called Fortune</t>
  </si>
  <si>
    <t>7C/Mca</t>
  </si>
  <si>
    <t>7C/MCb</t>
  </si>
  <si>
    <t>7C/MCc</t>
  </si>
  <si>
    <t>David Ellis, Malcolm Hulke</t>
  </si>
  <si>
    <t>2.1</t>
  </si>
  <si>
    <t>Harry Sullivan's War</t>
  </si>
  <si>
    <t>Ian Marter</t>
  </si>
  <si>
    <t>Wartime</t>
  </si>
  <si>
    <t>Andy Lane, Helen Stirling</t>
  </si>
  <si>
    <t>Keith Barnfather</t>
  </si>
  <si>
    <t>Turnabout is Fair Play</t>
  </si>
  <si>
    <t>Gold and Black Ooze</t>
  </si>
  <si>
    <t>The Ruins of Heaven</t>
  </si>
  <si>
    <t>A Star is Reborn</t>
  </si>
  <si>
    <t>Antony Root</t>
  </si>
  <si>
    <t>5Y</t>
  </si>
  <si>
    <t>Kinda</t>
  </si>
  <si>
    <t>Christopher Bailey</t>
  </si>
  <si>
    <t>5X</t>
  </si>
  <si>
    <t>The Visitation</t>
  </si>
  <si>
    <t>PDA26</t>
  </si>
  <si>
    <t>Divided Loyalties</t>
  </si>
  <si>
    <t>6A</t>
  </si>
  <si>
    <t>Black Orchid</t>
  </si>
  <si>
    <t>Ron Jones</t>
  </si>
  <si>
    <t>The Darkening Eye</t>
  </si>
  <si>
    <t>6B</t>
  </si>
  <si>
    <t>Earthshock</t>
  </si>
  <si>
    <t>The Little Drummer Boy</t>
  </si>
  <si>
    <t>ST7:08</t>
  </si>
  <si>
    <t>Katarina in the Underworld</t>
  </si>
  <si>
    <t>1-84435-009-6</t>
  </si>
  <si>
    <t>ST16:11</t>
  </si>
  <si>
    <t>Making History</t>
  </si>
  <si>
    <t>Charles Martin</t>
  </si>
  <si>
    <t>Lindsay Alford</t>
  </si>
  <si>
    <t>Matthew Bouch</t>
  </si>
  <si>
    <t>SJA2</t>
  </si>
  <si>
    <t>SJA07</t>
  </si>
  <si>
    <t>SJA08</t>
  </si>
  <si>
    <t>SJA09</t>
  </si>
  <si>
    <t>SJA10</t>
  </si>
  <si>
    <t>SJA11</t>
  </si>
  <si>
    <t>John Shiban</t>
  </si>
  <si>
    <t>Jim Gray, John Shiban</t>
  </si>
  <si>
    <t>Doris Egan</t>
  </si>
  <si>
    <t>Bharat Nalluri</t>
  </si>
  <si>
    <t>Guy Ferland</t>
  </si>
  <si>
    <t>Gwyneth Horder-Payton</t>
  </si>
  <si>
    <t>The Monster of Peladon</t>
  </si>
  <si>
    <t>PDA52</t>
  </si>
  <si>
    <t>Amorality Tale</t>
  </si>
  <si>
    <t>ZZZ</t>
  </si>
  <si>
    <t>TAG1</t>
  </si>
  <si>
    <t>TAG2</t>
  </si>
  <si>
    <t>TAG3</t>
  </si>
  <si>
    <t>TAG4</t>
  </si>
  <si>
    <t>TAG0</t>
  </si>
  <si>
    <t>AP2</t>
  </si>
  <si>
    <t>EDA08</t>
  </si>
  <si>
    <t>Option Lock</t>
  </si>
  <si>
    <t>EDA09</t>
  </si>
  <si>
    <t>Longest Day</t>
  </si>
  <si>
    <t>EDA10</t>
  </si>
  <si>
    <t>Legacy of the Daleks</t>
  </si>
  <si>
    <t>EDA11</t>
  </si>
  <si>
    <t>Dreamstone Moon</t>
  </si>
  <si>
    <t>EDA12</t>
  </si>
  <si>
    <t>Seeing I</t>
  </si>
  <si>
    <t>EDA13</t>
  </si>
  <si>
    <t>Placebo Effect</t>
  </si>
  <si>
    <t>EDA14</t>
  </si>
  <si>
    <t>The Demons of Red Lodge</t>
  </si>
  <si>
    <t>6C/Qa</t>
  </si>
  <si>
    <t>6C/Qb</t>
  </si>
  <si>
    <t>6C/Qc</t>
  </si>
  <si>
    <t>6C/Qd</t>
  </si>
  <si>
    <t>The Entropy Composition</t>
  </si>
  <si>
    <t>Doing Time</t>
  </si>
  <si>
    <t>Special Features</t>
  </si>
  <si>
    <t>William Gallagher</t>
  </si>
  <si>
    <t>Peter Hoar</t>
  </si>
  <si>
    <t>Richard Senior</t>
  </si>
  <si>
    <t>K-91</t>
  </si>
  <si>
    <t>K-91.1</t>
  </si>
  <si>
    <t>K-9</t>
  </si>
  <si>
    <t>Penny Wall, Richard Stewart, Simon Barnes</t>
  </si>
  <si>
    <t>Shayne Armstrong, S.P. Krause</t>
  </si>
  <si>
    <t>Wreck of the Titan</t>
  </si>
  <si>
    <t>Legend of the Cybermen</t>
  </si>
  <si>
    <t>Gareth Roberts, Clayton Hickman</t>
  </si>
  <si>
    <t>Scott Alan Woodward</t>
  </si>
  <si>
    <t>Alison Lawson</t>
  </si>
  <si>
    <t>7C/NA</t>
  </si>
  <si>
    <t>7C/NB</t>
  </si>
  <si>
    <t>7C/NC</t>
  </si>
  <si>
    <t>RD2</t>
  </si>
  <si>
    <t>RD1</t>
  </si>
  <si>
    <t>Evan Pritchard</t>
  </si>
  <si>
    <t>TD1</t>
  </si>
  <si>
    <t>Echoes of Grey</t>
  </si>
  <si>
    <t>Martin Day, Keith Topping</t>
  </si>
  <si>
    <t>Jonathan Clements</t>
  </si>
  <si>
    <t>Eddie Robson</t>
  </si>
  <si>
    <t>Jason Haigh-Ellery</t>
  </si>
  <si>
    <t>Colin Brake</t>
  </si>
  <si>
    <t>Simon Messingham</t>
  </si>
  <si>
    <t>EDA52</t>
  </si>
  <si>
    <t>Mad Dogs and Englishmen</t>
  </si>
  <si>
    <t>Sarah Jane Smith: The TAO Connection</t>
  </si>
  <si>
    <t>Sarah Jane Smith: Test of Nerve</t>
  </si>
  <si>
    <t>Sarah Jane Smith: Ghost Town</t>
  </si>
  <si>
    <t>Sarah Jane Smith: Mirror, Signal, Maneuvre</t>
  </si>
  <si>
    <t>Sarah Jane Smith: Buried Secrets</t>
  </si>
  <si>
    <t>Sarah Jane Smith: Snow Blind</t>
  </si>
  <si>
    <t>Sarah Jane Smith: Fatal Consequences</t>
  </si>
  <si>
    <t>Sarah Jane Smith: Dreamland</t>
  </si>
  <si>
    <t>John Ainsworth, Jason Haigh-Ellery</t>
  </si>
  <si>
    <t>The Killing Stone</t>
  </si>
  <si>
    <t>Richard Franklin</t>
  </si>
  <si>
    <t>DWA 143</t>
  </si>
  <si>
    <t>DWA 144</t>
  </si>
  <si>
    <t>DWA 145</t>
  </si>
  <si>
    <t>DWA 179</t>
  </si>
  <si>
    <t>DWA 180</t>
  </si>
  <si>
    <t>DWA 181</t>
  </si>
  <si>
    <t>DWA 182</t>
  </si>
  <si>
    <t>DWA 183</t>
  </si>
  <si>
    <t>DWA 184</t>
  </si>
  <si>
    <t>DWA 185</t>
  </si>
  <si>
    <t>1-4056-7824-0</t>
  </si>
  <si>
    <t>1-4056-7823-2</t>
  </si>
  <si>
    <t>1-4084-0060-9</t>
  </si>
  <si>
    <t>1-4084-0059-3</t>
  </si>
  <si>
    <t>1-4084-6664-3</t>
  </si>
  <si>
    <t>1-4084-6663-6</t>
  </si>
  <si>
    <t>A08</t>
  </si>
  <si>
    <t>A07</t>
  </si>
  <si>
    <t>The White Wolf</t>
  </si>
  <si>
    <t>The Shadow People</t>
  </si>
  <si>
    <t>1-4084-2668-4</t>
  </si>
  <si>
    <t>1-4084-2669-2</t>
  </si>
  <si>
    <t>A09</t>
  </si>
  <si>
    <t>A10</t>
  </si>
  <si>
    <t>Children of Steel</t>
  </si>
  <si>
    <t>Judgement Day</t>
  </si>
  <si>
    <t>Anjli Mohindra</t>
  </si>
  <si>
    <t>1-4084-6996-5</t>
  </si>
  <si>
    <t>Clani</t>
  </si>
  <si>
    <t>1-4084-6995-8</t>
  </si>
  <si>
    <t>Daniel Anthony</t>
  </si>
  <si>
    <t>Elizabeth Sladen</t>
  </si>
  <si>
    <t>1-10 (Judgement Day)</t>
  </si>
  <si>
    <t>Defending Bannerman Road</t>
  </si>
  <si>
    <t>Monster Hunt</t>
  </si>
  <si>
    <t>SJAWeb</t>
  </si>
  <si>
    <t>Return of the Krulius</t>
  </si>
  <si>
    <t>DEC1:07a</t>
  </si>
  <si>
    <t>Mona Lisa's Revenge</t>
  </si>
  <si>
    <t>The Gift</t>
  </si>
  <si>
    <t>Rupert Laight</t>
  </si>
  <si>
    <t>SJA4</t>
  </si>
  <si>
    <t>SJA19</t>
  </si>
  <si>
    <t>SJA20</t>
  </si>
  <si>
    <t>SJA21</t>
  </si>
  <si>
    <t>SJA22</t>
  </si>
  <si>
    <t>SJA23</t>
  </si>
  <si>
    <t>SJA24</t>
  </si>
  <si>
    <t>The Nightmare Man</t>
  </si>
  <si>
    <t>The Vault of Secrets</t>
  </si>
  <si>
    <t>Death of the Doctor</t>
  </si>
  <si>
    <t>The Empty Planet</t>
  </si>
  <si>
    <t>Lost in Time</t>
  </si>
  <si>
    <t>Goodbye, Sarah Jane Smith</t>
  </si>
  <si>
    <t>Eric Saward, Antony Root</t>
  </si>
  <si>
    <t>The Glittering Storm</t>
  </si>
  <si>
    <t>The Thirteenth Stone</t>
  </si>
  <si>
    <t>A01</t>
  </si>
  <si>
    <t>A02</t>
  </si>
  <si>
    <t>A03</t>
  </si>
  <si>
    <t>A04</t>
  </si>
  <si>
    <t>The Ghost House</t>
  </si>
  <si>
    <t>The Time Capsule</t>
  </si>
  <si>
    <t>CC8.01</t>
  </si>
  <si>
    <t>Mastermind</t>
  </si>
  <si>
    <t>Geoffrey Beevers, Daphne Ashbrook, Yee Jee Tso</t>
  </si>
  <si>
    <t>1-78178-083-1</t>
  </si>
  <si>
    <t>ST2:01</t>
  </si>
  <si>
    <t>ST21:09</t>
  </si>
  <si>
    <t>ST28:17</t>
  </si>
  <si>
    <t>ST13:03</t>
  </si>
  <si>
    <t>ST13:14</t>
  </si>
  <si>
    <t>ST14:28</t>
  </si>
  <si>
    <t>ST18:21</t>
  </si>
  <si>
    <t>ST11.01</t>
  </si>
  <si>
    <t>Project: Lazarus (second visit)</t>
  </si>
  <si>
    <t>Project: Lazarus (first visit)</t>
  </si>
  <si>
    <t>The Hunters of Zerox</t>
  </si>
  <si>
    <t>TVC 768-771</t>
  </si>
  <si>
    <t>The Planet that Slept</t>
  </si>
  <si>
    <t>Planet of the Rorys</t>
  </si>
  <si>
    <t>Philip Lawrence</t>
  </si>
  <si>
    <t>Matt Fitton</t>
  </si>
  <si>
    <t>RCB01</t>
  </si>
  <si>
    <t>The Ten Doctors</t>
  </si>
  <si>
    <t>EDA15</t>
  </si>
  <si>
    <t>The Scarlet Empress</t>
  </si>
  <si>
    <t>EDA16</t>
  </si>
  <si>
    <t>Rona Munro</t>
  </si>
  <si>
    <t>TEL02</t>
  </si>
  <si>
    <t>Citadel of Dreams</t>
  </si>
  <si>
    <t>PDA36</t>
  </si>
  <si>
    <t>Independence Day</t>
  </si>
  <si>
    <t>PDA05</t>
  </si>
  <si>
    <t>Illegal Alien</t>
  </si>
  <si>
    <t>PDA16</t>
  </si>
  <si>
    <t>Matrix</t>
  </si>
  <si>
    <t>PDA23</t>
  </si>
  <si>
    <t>Storm Harvest</t>
  </si>
  <si>
    <t>PDA33</t>
  </si>
  <si>
    <t>Prime Time</t>
  </si>
  <si>
    <t>PDA60</t>
  </si>
  <si>
    <t>Loving the Alien</t>
  </si>
  <si>
    <t>PDA76</t>
  </si>
  <si>
    <t>Atom Bomb Blues</t>
  </si>
  <si>
    <t>PDA68</t>
  </si>
  <si>
    <t>The Algebra of Ice</t>
  </si>
  <si>
    <t>NA01</t>
  </si>
  <si>
    <t>DWA 274</t>
  </si>
  <si>
    <t>DWA 275</t>
  </si>
  <si>
    <t>DWA 276</t>
  </si>
  <si>
    <t>DWA 277</t>
  </si>
  <si>
    <t>DWA 278</t>
  </si>
  <si>
    <t>DWA 279</t>
  </si>
  <si>
    <t>DWA 280</t>
  </si>
  <si>
    <t>DWA 281</t>
  </si>
  <si>
    <t>DWA 283</t>
  </si>
  <si>
    <t>DWA 284</t>
  </si>
  <si>
    <t>DWA 285</t>
  </si>
  <si>
    <t>DWA 286</t>
  </si>
  <si>
    <t>DWA 287</t>
  </si>
  <si>
    <t>DWA 288</t>
  </si>
  <si>
    <t>DWA 289</t>
  </si>
  <si>
    <t>DWA 290</t>
  </si>
  <si>
    <t>DWA 291</t>
  </si>
  <si>
    <t>DWA 282</t>
  </si>
  <si>
    <t>DWA 292</t>
  </si>
  <si>
    <t>DWM 243</t>
  </si>
  <si>
    <t>Doctor Who and the Fangs of Time</t>
  </si>
  <si>
    <t>Sean Longcroft</t>
  </si>
  <si>
    <t>Blood Invocation</t>
  </si>
  <si>
    <t>The Five Companions</t>
  </si>
  <si>
    <t>Ian, Sara</t>
  </si>
  <si>
    <t>674-1385 (The Image Makers) + Annuals</t>
  </si>
  <si>
    <t>The Nobility of Faith</t>
  </si>
  <si>
    <t>Mutiny</t>
  </si>
  <si>
    <t>ST28:10</t>
  </si>
  <si>
    <t>The Angels Take Manhattan</t>
  </si>
  <si>
    <t>Saul Metzstein</t>
  </si>
  <si>
    <t>Steven Moffat, Caroline Skinner</t>
  </si>
  <si>
    <t>Pond Life</t>
  </si>
  <si>
    <t>PL</t>
  </si>
  <si>
    <t>7C/NAA</t>
  </si>
  <si>
    <t>7C/NAB</t>
  </si>
  <si>
    <t>7C/NAC</t>
  </si>
  <si>
    <t>The Curse of Davros</t>
  </si>
  <si>
    <t>The Fourth Wall</t>
  </si>
  <si>
    <t>Wirrn Isle</t>
  </si>
  <si>
    <t>1-84435-604-1</t>
  </si>
  <si>
    <t>Flip</t>
  </si>
  <si>
    <t>1-84435-605-8</t>
  </si>
  <si>
    <t>1-84435-606-5</t>
  </si>
  <si>
    <t>The Emerald Tiger</t>
  </si>
  <si>
    <t>DEC1:07b</t>
  </si>
  <si>
    <t>DEC1:01</t>
  </si>
  <si>
    <t>DEC3:02</t>
  </si>
  <si>
    <t>Moving On</t>
  </si>
  <si>
    <t>DEC2:05</t>
  </si>
  <si>
    <t>Housewarming</t>
  </si>
  <si>
    <t>City of Devils</t>
  </si>
  <si>
    <t>Vincent Danks</t>
  </si>
  <si>
    <t>SJA Webcomic</t>
  </si>
  <si>
    <t>1-3 (Defending Bannerman Road)</t>
  </si>
  <si>
    <t>Attack of the Daleks</t>
  </si>
  <si>
    <t>Pursued by the Trods</t>
  </si>
  <si>
    <t>The Witches!</t>
  </si>
  <si>
    <t>TVC 837-841</t>
  </si>
  <si>
    <t>Cyber-Mole</t>
  </si>
  <si>
    <t>TVC 842-845</t>
  </si>
  <si>
    <t>The Sabre Toothed Gorillas!</t>
  </si>
  <si>
    <t>TVC 846-849</t>
  </si>
  <si>
    <t>7C/D</t>
  </si>
  <si>
    <t>Bloodtide</t>
  </si>
  <si>
    <t>7C/E</t>
  </si>
  <si>
    <t>Project: Twilight</t>
  </si>
  <si>
    <t>7C/EA</t>
  </si>
  <si>
    <t>Real Time</t>
  </si>
  <si>
    <t>7C/F</t>
  </si>
  <si>
    <t>Virgin Publishing Ltd</t>
  </si>
  <si>
    <t>ST18:05</t>
  </si>
  <si>
    <t>Set in Stone</t>
  </si>
  <si>
    <t>Charles Auchterlonie, John Isles</t>
  </si>
  <si>
    <t>DEC2:06</t>
  </si>
  <si>
    <t>The Nine-Day Queen</t>
  </si>
  <si>
    <t>0 426 20448 4</t>
  </si>
  <si>
    <t>ST4:01</t>
  </si>
  <si>
    <t>1-84435-006-1</t>
  </si>
  <si>
    <t>ST5:17</t>
  </si>
  <si>
    <t>A Long Night</t>
  </si>
  <si>
    <t>ST2:12</t>
  </si>
  <si>
    <t>Romans Cutaway</t>
  </si>
  <si>
    <t>0-563-55565-3</t>
  </si>
  <si>
    <t>ST14:11</t>
  </si>
  <si>
    <t>Every Day</t>
  </si>
  <si>
    <t>Stephen Fewell</t>
  </si>
  <si>
    <t>1-84435-112-2</t>
  </si>
  <si>
    <t>ST8:01</t>
  </si>
  <si>
    <t>Charlie Kirchoff</t>
  </si>
  <si>
    <t>Tom Waltz, Chris Ryall</t>
  </si>
  <si>
    <t>Pia Guerra, Kent Archer, Shaynne Corbett</t>
  </si>
  <si>
    <t>IDWTF2a</t>
  </si>
  <si>
    <t>The Forgotten 2a</t>
  </si>
  <si>
    <t>Pia Guerra, Kent Archer</t>
  </si>
  <si>
    <t>Denton J. Tipton</t>
  </si>
  <si>
    <t>IDWTF2b</t>
  </si>
  <si>
    <t>The Forgotten 2b</t>
  </si>
  <si>
    <t>Kris Carter</t>
  </si>
  <si>
    <t>IDWTF3a</t>
  </si>
  <si>
    <t>The Forgotten 3a</t>
  </si>
  <si>
    <t>Stefano Martino</t>
  </si>
  <si>
    <t>IDWTF3b</t>
  </si>
  <si>
    <t>The Forgotten 3b</t>
  </si>
  <si>
    <t>IDWTF4b</t>
  </si>
  <si>
    <t>The Forgotten 4b</t>
  </si>
  <si>
    <t>ST8:12</t>
  </si>
  <si>
    <t>ST23:06</t>
  </si>
  <si>
    <t>Robert Hood</t>
  </si>
  <si>
    <t>Ann 1986</t>
  </si>
  <si>
    <t>The Alice in Wonderland Circuit</t>
  </si>
  <si>
    <t>Washed Away!</t>
  </si>
  <si>
    <t>Titanoleum Tourists</t>
  </si>
  <si>
    <t>DWA 227</t>
  </si>
  <si>
    <t>DWA 228</t>
  </si>
  <si>
    <t>DWA 229</t>
  </si>
  <si>
    <t>DWA 230</t>
  </si>
  <si>
    <t>DWA 231</t>
  </si>
  <si>
    <t>DWA 232</t>
  </si>
  <si>
    <t>DWA 233</t>
  </si>
  <si>
    <t>DWA 234</t>
  </si>
  <si>
    <t>DWA 235</t>
  </si>
  <si>
    <t>DWA 236</t>
  </si>
  <si>
    <t>DWA 237</t>
  </si>
  <si>
    <t>DWA 238-239</t>
  </si>
  <si>
    <t>DWA 240</t>
  </si>
  <si>
    <t>DWA 241</t>
  </si>
  <si>
    <t>DWA 242</t>
  </si>
  <si>
    <t>DWA 243</t>
  </si>
  <si>
    <t>DWA 244</t>
  </si>
  <si>
    <t>TVC 1232-1238</t>
  </si>
  <si>
    <t>TVC 1239-1244</t>
  </si>
  <si>
    <t>The Sinister Sea</t>
  </si>
  <si>
    <t>The Space Ghost</t>
  </si>
  <si>
    <t>TVC 1245-50</t>
  </si>
  <si>
    <t>Woden's Warriors</t>
  </si>
  <si>
    <t>TVC Ann 1976</t>
  </si>
  <si>
    <t>John M. Burns</t>
  </si>
  <si>
    <t>TVC 1251-1258</t>
  </si>
  <si>
    <t>The Dalek Revenge</t>
  </si>
  <si>
    <t>TVC 1259-1265</t>
  </si>
  <si>
    <t>Virus</t>
  </si>
  <si>
    <t>TVC 1266-1272</t>
  </si>
  <si>
    <t>Treasure Trail</t>
  </si>
  <si>
    <t>TVC 1273-1279</t>
  </si>
  <si>
    <t>Hubert's Folly</t>
  </si>
  <si>
    <t>EDA4.9-10</t>
  </si>
  <si>
    <t>EDA4.2</t>
  </si>
  <si>
    <t>EDA4.3</t>
  </si>
  <si>
    <t>EDA4.4</t>
  </si>
  <si>
    <t>EDA4.5-6</t>
  </si>
  <si>
    <t>EDA4.7</t>
  </si>
  <si>
    <t>Threshold</t>
  </si>
  <si>
    <t>The Pelage Project</t>
  </si>
  <si>
    <t>CC7.02</t>
  </si>
  <si>
    <t>The Uncertainty Principle</t>
  </si>
  <si>
    <t>1-84435-947-9</t>
  </si>
  <si>
    <t>Night of the Stormcrow</t>
  </si>
  <si>
    <t>1-78178-070-1</t>
  </si>
  <si>
    <t>The Nowhere Place</t>
  </si>
  <si>
    <t>7C/MD</t>
  </si>
  <si>
    <t>Assassin in the Limelight</t>
  </si>
  <si>
    <t>TVC 674-683</t>
  </si>
  <si>
    <t>The Klepton Parasites</t>
  </si>
  <si>
    <t>Roger Noel Cook</t>
  </si>
  <si>
    <t>Neville Main</t>
  </si>
  <si>
    <t>TVC 684-689</t>
  </si>
  <si>
    <t>Certificate of Destruction</t>
  </si>
  <si>
    <t>The Earwig Archipelago</t>
  </si>
  <si>
    <t>The Spindle of Necessity</t>
  </si>
  <si>
    <t>Allyn Gibson</t>
  </si>
  <si>
    <t>ST27:12</t>
  </si>
  <si>
    <t>ST13:11</t>
  </si>
  <si>
    <t>CCS 1994</t>
  </si>
  <si>
    <t>Age of Chaos</t>
  </si>
  <si>
    <t>Steve Whitaker</t>
  </si>
  <si>
    <t>John M. Burns, Barrie Mitchell</t>
  </si>
  <si>
    <t>ST14:08</t>
  </si>
  <si>
    <t>ST16:15</t>
  </si>
  <si>
    <t>ST26:11</t>
  </si>
  <si>
    <t>ST26:18</t>
  </si>
  <si>
    <t>ST26:19</t>
  </si>
  <si>
    <t>ST20:08</t>
  </si>
  <si>
    <t>Christopher M. Wadley</t>
  </si>
  <si>
    <t>ST3:13</t>
  </si>
  <si>
    <t>ST1:13</t>
  </si>
  <si>
    <t>ST6:12</t>
  </si>
  <si>
    <t>ST6:13</t>
  </si>
  <si>
    <t>ST7:01</t>
  </si>
  <si>
    <t>Terpsichore: Teach Yourself Ballroom Dancing</t>
  </si>
  <si>
    <t>ST11:06</t>
  </si>
  <si>
    <t>ST21:08</t>
  </si>
  <si>
    <t>ST21:10</t>
  </si>
  <si>
    <t>William</t>
  </si>
  <si>
    <t>Strange Attractor</t>
  </si>
  <si>
    <t>Pisces: The Stabber</t>
  </si>
  <si>
    <t>ST4:12</t>
  </si>
  <si>
    <t>ST23:05</t>
  </si>
  <si>
    <t>Paul Kupperberg</t>
  </si>
  <si>
    <t>...Up Above the Gods...</t>
  </si>
  <si>
    <t>DWM 227</t>
  </si>
  <si>
    <t>Richard Alan</t>
  </si>
  <si>
    <t>ST9:16</t>
  </si>
  <si>
    <t>Fixing a Hole</t>
  </si>
  <si>
    <t>ST9:04</t>
  </si>
  <si>
    <t>CHAOS</t>
  </si>
  <si>
    <t>Face Value</t>
  </si>
  <si>
    <t>ST3:18</t>
  </si>
  <si>
    <t>The Shape-Shifter</t>
  </si>
  <si>
    <t>Voyager</t>
  </si>
  <si>
    <t>Polly the Glot</t>
  </si>
  <si>
    <t>The Ark in Space</t>
  </si>
  <si>
    <t>Day One</t>
  </si>
  <si>
    <t>Ghost Machine</t>
  </si>
  <si>
    <t>Cyberwoman</t>
  </si>
  <si>
    <t>Small Worlds</t>
  </si>
  <si>
    <t>0-563-53836-8</t>
  </si>
  <si>
    <t>0-563-48614-7</t>
  </si>
  <si>
    <t>1-84435-581-5</t>
  </si>
  <si>
    <t>0-426-20488-6</t>
  </si>
  <si>
    <t>1-84435-548-8</t>
  </si>
  <si>
    <t>1-84435-384-2</t>
  </si>
  <si>
    <t>1-84435-253-6</t>
  </si>
  <si>
    <t>1-84435-270-8</t>
  </si>
  <si>
    <t>1-84435-342-2</t>
  </si>
  <si>
    <t>1-84435-576-1</t>
  </si>
  <si>
    <t>1-84435-271-5</t>
  </si>
  <si>
    <t>1-84435-269-2</t>
  </si>
  <si>
    <t>1-84435-268-5</t>
  </si>
  <si>
    <t>1-84435-341-5</t>
  </si>
  <si>
    <t>ST3:11</t>
  </si>
  <si>
    <t>42: Prologue</t>
  </si>
  <si>
    <t>Peter McKinstry</t>
  </si>
  <si>
    <t>The Betrothal of Sontar</t>
  </si>
  <si>
    <t>DWM 365-367</t>
  </si>
  <si>
    <t>John Tomlinson, Nick Abadzis</t>
  </si>
  <si>
    <t>DWM 368</t>
  </si>
  <si>
    <t>Hello Children, Everywhere</t>
  </si>
  <si>
    <t>Grand Theft Planet!</t>
  </si>
  <si>
    <t>Cold</t>
  </si>
  <si>
    <t>Bing Bong</t>
  </si>
  <si>
    <t>Island of the Sirens</t>
  </si>
  <si>
    <t>BF Bernice Summerfield Short</t>
  </si>
  <si>
    <t>BF Bernice Summerfield Novel</t>
  </si>
  <si>
    <t>1-84435-278-4</t>
  </si>
  <si>
    <t>Andy Boyle</t>
  </si>
  <si>
    <t>Magnus Anderson</t>
  </si>
  <si>
    <t>Andy Owens</t>
  </si>
  <si>
    <t xml:space="preserve">Missing Adventures: Benny and Louise </t>
  </si>
  <si>
    <t xml:space="preserve">Missing Adventures: Charged </t>
  </si>
  <si>
    <t xml:space="preserve">Missing Adventures: Prime Five </t>
  </si>
  <si>
    <t xml:space="preserve">Missing Adventures: Home </t>
  </si>
  <si>
    <t xml:space="preserve">Missing Adventures: The Slight Façade </t>
  </si>
  <si>
    <t xml:space="preserve">Missing Adventures: Bernice Summerfield and the Library of Books </t>
  </si>
  <si>
    <t xml:space="preserve">Missing Adventures: Postcards from the Edge of Reason </t>
  </si>
  <si>
    <t xml:space="preserve">Missing Adventures: Blood on the Tracks </t>
  </si>
  <si>
    <t>Missing Adventures: Thirty Love</t>
  </si>
  <si>
    <t>Missing Adventures: The Tunnels of Heaven</t>
  </si>
  <si>
    <t xml:space="preserve">Missing Adventures: Biology Lesson on Mal Oreille </t>
  </si>
  <si>
    <t xml:space="preserve">Missing Adventures: The Evacuation of Bernice Summerfield Considered as a Short Film by Terry Gilliam </t>
  </si>
  <si>
    <t>BFHB03</t>
  </si>
  <si>
    <t>Genius Loci</t>
  </si>
  <si>
    <t>1-84435-239-0</t>
  </si>
  <si>
    <t>BF Bernice Summerfield Novella</t>
  </si>
  <si>
    <t>1-84435-242-0</t>
  </si>
  <si>
    <t>The Vampire Curse: The Badblood Diaries</t>
  </si>
  <si>
    <t>1-84435-340-8</t>
  </si>
  <si>
    <t>BS01.4</t>
  </si>
  <si>
    <t>BS01.5</t>
  </si>
  <si>
    <t>Nigel Robinson, Jacqueline Rayner</t>
  </si>
  <si>
    <t>1-903654-36-X</t>
  </si>
  <si>
    <t>Lance Parkin, Jacqueline Rayner</t>
  </si>
  <si>
    <t>1-903654-00-9</t>
  </si>
  <si>
    <t>BFAN01:05</t>
  </si>
  <si>
    <t>BFAN01:06</t>
  </si>
  <si>
    <t>BFAN01:07</t>
  </si>
  <si>
    <t>BFAN0:08</t>
  </si>
  <si>
    <t>BFAN01:09</t>
  </si>
  <si>
    <t>BFAN01:10</t>
  </si>
  <si>
    <t>BFAN01:01</t>
  </si>
  <si>
    <t>BFAN01:02</t>
  </si>
  <si>
    <t>BFAN01:03</t>
  </si>
  <si>
    <t>BFAN01:04</t>
  </si>
  <si>
    <t>BFAn07:01</t>
  </si>
  <si>
    <t>The Daleks' Master Plan II</t>
  </si>
  <si>
    <t>Stephen Thompson</t>
  </si>
  <si>
    <t>Neil Gaiman</t>
  </si>
  <si>
    <t>Jeremy Webb</t>
  </si>
  <si>
    <t>Julian Simpson</t>
  </si>
  <si>
    <t>DWA 245</t>
  </si>
  <si>
    <t>DWA 246</t>
  </si>
  <si>
    <t>DWA 247</t>
  </si>
  <si>
    <t>DWA 248</t>
  </si>
  <si>
    <t>DWA 249</t>
  </si>
  <si>
    <t>DWA 250-251</t>
  </si>
  <si>
    <t>DWA 252</t>
  </si>
  <si>
    <t>DWA 253</t>
  </si>
  <si>
    <t>DWA 254</t>
  </si>
  <si>
    <t>DWA 255</t>
  </si>
  <si>
    <t>DWA 256</t>
  </si>
  <si>
    <t>DWA 257</t>
  </si>
  <si>
    <t>DWA 258</t>
  </si>
  <si>
    <t>DWA 259</t>
  </si>
  <si>
    <t>DWA 260</t>
  </si>
  <si>
    <t>DWA 261</t>
  </si>
  <si>
    <t>DWA 262</t>
  </si>
  <si>
    <t>DWA 263</t>
  </si>
  <si>
    <t>DWA 264</t>
  </si>
  <si>
    <t>DWA 265</t>
  </si>
  <si>
    <t>DWA 266</t>
  </si>
  <si>
    <t>DWA 267</t>
  </si>
  <si>
    <t>DWA 268</t>
  </si>
  <si>
    <t>DWA 269</t>
  </si>
  <si>
    <t>DWA 270</t>
  </si>
  <si>
    <t>DWA 271</t>
  </si>
  <si>
    <t>DWA 272</t>
  </si>
  <si>
    <t>New and Improved</t>
  </si>
  <si>
    <t>Malthill Way</t>
  </si>
  <si>
    <t>Darkstar Academy</t>
  </si>
  <si>
    <t>The Demons of Repton Abbey</t>
  </si>
  <si>
    <t>The Punch &amp; Judy Trap</t>
  </si>
  <si>
    <t>Buy, Buy, Baby!</t>
  </si>
  <si>
    <t>Ghosts of the Never-Were</t>
  </si>
  <si>
    <t>Robert Banks Stewart, John Dorney</t>
  </si>
  <si>
    <t>LS4D2</t>
  </si>
  <si>
    <t>The Valley of Death</t>
  </si>
  <si>
    <t>Philip Hinchcliffe, Jonathan Morris</t>
  </si>
  <si>
    <t>The Flight of the Giurgeax</t>
  </si>
  <si>
    <t>Starstruck</t>
  </si>
  <si>
    <t>The Genius Trap</t>
  </si>
  <si>
    <t>The Rising Tide</t>
  </si>
  <si>
    <t>Sweet Dreams</t>
  </si>
  <si>
    <t>Copycat</t>
  </si>
  <si>
    <t>Shasow of the Vapid</t>
  </si>
  <si>
    <t>Snake's Alive</t>
  </si>
  <si>
    <t>The Sparkling Planet</t>
  </si>
  <si>
    <t>The Curse of Vladula</t>
  </si>
  <si>
    <t>Photo Finish</t>
  </si>
  <si>
    <t>Foot Soldiers</t>
  </si>
  <si>
    <t>Bad Wolfie</t>
  </si>
  <si>
    <t>City of Light</t>
  </si>
  <si>
    <t>The Guardian of Murcher</t>
  </si>
  <si>
    <t>Night of the Burnt Toast</t>
  </si>
  <si>
    <t>The Ghost Factory</t>
  </si>
  <si>
    <t>Highway Robbery</t>
  </si>
  <si>
    <t>Doomsilk</t>
  </si>
  <si>
    <t>One Careful Owner</t>
  </si>
  <si>
    <t>The Garden Rebellion</t>
  </si>
  <si>
    <t>The Goats of Christmas Past</t>
  </si>
  <si>
    <t>DWM 400-402</t>
  </si>
  <si>
    <t>SSS</t>
  </si>
  <si>
    <t>ST13:09</t>
  </si>
  <si>
    <t>ST10:03</t>
  </si>
  <si>
    <t>ST17:03</t>
  </si>
  <si>
    <t>ST18:20</t>
  </si>
  <si>
    <t>Ian Mond</t>
  </si>
  <si>
    <t>ST20:03</t>
  </si>
  <si>
    <t>Stuart Manning</t>
  </si>
  <si>
    <t>ST24:08</t>
  </si>
  <si>
    <t>ST24:11</t>
  </si>
  <si>
    <t>ST25:07</t>
  </si>
  <si>
    <t>The Man in the Moon</t>
  </si>
  <si>
    <t>Time Flies</t>
  </si>
  <si>
    <t>The Giant's Ring</t>
  </si>
  <si>
    <t>Frosty the Snowdemon</t>
  </si>
  <si>
    <t>Brendan Sheppard</t>
  </si>
  <si>
    <t>The Darksmith Legacy 6: The Game of Death</t>
  </si>
  <si>
    <t>The Darksmith Legacy 7: The Planet of Oblivion</t>
  </si>
  <si>
    <t>The Darksmith Legacy 8: The Pictures of Emptiness</t>
  </si>
  <si>
    <t>The Darksmith Legacy 9: The Art of War</t>
  </si>
  <si>
    <t>Judgement of the Judoon</t>
  </si>
  <si>
    <t>The Slitheen Excursion</t>
  </si>
  <si>
    <t>Prisoner of the Daleks</t>
  </si>
  <si>
    <t>4.15</t>
  </si>
  <si>
    <t>Planet of the Dead</t>
  </si>
  <si>
    <t>Russell T Davies, Gareth Roberts</t>
  </si>
  <si>
    <t>Tracie Simpson</t>
  </si>
  <si>
    <t>4.16</t>
  </si>
  <si>
    <t>The Waters of Mars</t>
  </si>
  <si>
    <t>Russell T Davies, Phil Ford</t>
  </si>
  <si>
    <t>Nikki Wilson</t>
  </si>
  <si>
    <t>4.17/18</t>
  </si>
  <si>
    <t>Season</t>
  </si>
  <si>
    <t>Dr</t>
  </si>
  <si>
    <t>No</t>
  </si>
  <si>
    <t>Code</t>
  </si>
  <si>
    <t>Title</t>
  </si>
  <si>
    <t>Own</t>
  </si>
  <si>
    <t>Writer</t>
  </si>
  <si>
    <t>Producer</t>
  </si>
  <si>
    <t>Book</t>
  </si>
  <si>
    <t>7'</t>
  </si>
  <si>
    <t>Gallifrey: Appropriation</t>
  </si>
  <si>
    <t>Gallifrey: Mindbomb</t>
  </si>
  <si>
    <t>House of Blue Fire</t>
  </si>
  <si>
    <t>Emma Beeby, Gordon Rennie</t>
  </si>
  <si>
    <t>Jonathan Blum</t>
  </si>
  <si>
    <t>27b</t>
  </si>
  <si>
    <t>Simon Forward</t>
  </si>
  <si>
    <t>James Parsons, Andrew Stirling-Brown</t>
  </si>
  <si>
    <t>Edward Young</t>
  </si>
  <si>
    <t>Gary Russell, Nicholas Briggs, Jason Haigh-Ellery</t>
  </si>
  <si>
    <t>Sharon Gosling, Gary Russell</t>
  </si>
  <si>
    <t>David Quantick</t>
  </si>
  <si>
    <t>Nick Scovell</t>
  </si>
  <si>
    <t>19d</t>
  </si>
  <si>
    <t>ST5:06</t>
  </si>
  <si>
    <t>ST5:09</t>
  </si>
  <si>
    <t>ST5:11</t>
  </si>
  <si>
    <t>ST5:15</t>
  </si>
  <si>
    <t>ST5:16</t>
  </si>
  <si>
    <t>The Man from DOCTO(R )</t>
  </si>
  <si>
    <t>A Boy's Tale</t>
  </si>
  <si>
    <t>Kept Safe and Sound</t>
  </si>
  <si>
    <t>Distance</t>
  </si>
  <si>
    <t>Curriculum Vitae</t>
  </si>
  <si>
    <t>The Canvey Angels</t>
  </si>
  <si>
    <t>Balloon Debate</t>
  </si>
  <si>
    <t>The Sorrows of Vienna</t>
  </si>
  <si>
    <t>Forgotten</t>
  </si>
  <si>
    <t>Remain in Light</t>
  </si>
  <si>
    <t>Decorative Purpose</t>
  </si>
  <si>
    <t>The Great Escapes</t>
  </si>
  <si>
    <t>End Game</t>
  </si>
  <si>
    <t>The Keep</t>
  </si>
  <si>
    <t>A Matter of Life and Death</t>
  </si>
  <si>
    <t>Fire and Brimstone</t>
  </si>
  <si>
    <t>By Hook or By Crook</t>
  </si>
  <si>
    <t>The Final Chapter</t>
  </si>
  <si>
    <t>Wormwood</t>
  </si>
  <si>
    <t>Syntax</t>
  </si>
  <si>
    <t>Happy Deathday</t>
  </si>
  <si>
    <t>The Fallen</t>
  </si>
  <si>
    <t>Unnatural Born Killers</t>
  </si>
  <si>
    <t>The Road to Hell</t>
  </si>
  <si>
    <t>TV Action!</t>
  </si>
  <si>
    <t>The Company of Thieves</t>
  </si>
  <si>
    <t>The Glorious Dead</t>
  </si>
  <si>
    <t>Peter Purves, Tim Treloar</t>
  </si>
  <si>
    <t>1-84435-950-9</t>
  </si>
  <si>
    <t>CC7.04</t>
  </si>
  <si>
    <t>The Last Post</t>
  </si>
  <si>
    <t>1-84435-949-3</t>
  </si>
  <si>
    <t>33.6</t>
  </si>
  <si>
    <t>The Snowmen</t>
  </si>
  <si>
    <t>Clara</t>
  </si>
  <si>
    <t>Vastra</t>
  </si>
  <si>
    <t>Strax</t>
  </si>
  <si>
    <t>K-91.16</t>
  </si>
  <si>
    <t>K-91.17</t>
  </si>
  <si>
    <t>K-91.18</t>
  </si>
  <si>
    <t>K-91.19</t>
  </si>
  <si>
    <t>Mirth, or Walking Spirits</t>
  </si>
  <si>
    <t>STA1:02</t>
  </si>
  <si>
    <t>A Stain of Red in the Sand</t>
  </si>
  <si>
    <t>The Tardis Worshippers!</t>
  </si>
  <si>
    <t>TVC 812-815</t>
  </si>
  <si>
    <t>Space War Two!</t>
  </si>
  <si>
    <t>TVC 816-819</t>
  </si>
  <si>
    <t>Egyptian Escapade</t>
  </si>
  <si>
    <t>TVC 820-823</t>
  </si>
  <si>
    <t>The Coming of the Cybermen</t>
  </si>
  <si>
    <t>TVC 824-827</t>
  </si>
  <si>
    <t>TW21</t>
  </si>
  <si>
    <t>TW22</t>
  </si>
  <si>
    <t>TW23</t>
  </si>
  <si>
    <t>DWM 433-434</t>
  </si>
  <si>
    <t>BiT 65-66</t>
  </si>
  <si>
    <t>2.8/9</t>
  </si>
  <si>
    <t>The Impossible Planet</t>
  </si>
  <si>
    <t>Matt Jones</t>
  </si>
  <si>
    <t>James Strong</t>
  </si>
  <si>
    <t>The Nightmare of Black Island</t>
  </si>
  <si>
    <t>The Art of Destruction</t>
  </si>
  <si>
    <t>The Price of Paradise</t>
  </si>
  <si>
    <t>2.10</t>
  </si>
  <si>
    <t>The Well-Mannered War</t>
  </si>
  <si>
    <t>5M</t>
  </si>
  <si>
    <t>"Shada"</t>
  </si>
  <si>
    <t>The Pyralis Effect</t>
  </si>
  <si>
    <t>18</t>
  </si>
  <si>
    <t>5N</t>
  </si>
  <si>
    <t>The Leisure Hive</t>
  </si>
  <si>
    <t>Lovett Bickford</t>
  </si>
  <si>
    <t>John Nathan-Turner</t>
  </si>
  <si>
    <t>Christopher H. Bidmead</t>
  </si>
  <si>
    <t>5Q</t>
  </si>
  <si>
    <t>Meglos</t>
  </si>
  <si>
    <t>John Flanagan, Andrew McCulloch</t>
  </si>
  <si>
    <t>Terence Dudley</t>
  </si>
  <si>
    <t>5R</t>
  </si>
  <si>
    <t>Full Circle</t>
  </si>
  <si>
    <t>Andrew Smith</t>
  </si>
  <si>
    <t>The Paradise of Death</t>
  </si>
  <si>
    <t>WWW</t>
  </si>
  <si>
    <t>Invasion of the Dinosaurs</t>
  </si>
  <si>
    <t>XXX</t>
  </si>
  <si>
    <t>Death to the Daleks</t>
  </si>
  <si>
    <t>The Ghosts of N-Space</t>
  </si>
  <si>
    <t>PDA71</t>
  </si>
  <si>
    <t>Island of Death</t>
  </si>
  <si>
    <t>YYY</t>
  </si>
  <si>
    <t>Equilibrium</t>
  </si>
  <si>
    <t>TW4</t>
  </si>
  <si>
    <t>TW28.1</t>
  </si>
  <si>
    <t>Most Beautiful Music</t>
  </si>
  <si>
    <t>Death Disco</t>
  </si>
  <si>
    <t>Ann 2007</t>
  </si>
  <si>
    <t>Down the Rabbit Hole</t>
  </si>
  <si>
    <t>1-4059-0199-3</t>
  </si>
  <si>
    <t>BBV Story</t>
  </si>
  <si>
    <t>Reeltime Story</t>
  </si>
  <si>
    <t>Target Companions Story</t>
  </si>
  <si>
    <t>Target Lost Story</t>
  </si>
  <si>
    <t>Lost Story</t>
  </si>
  <si>
    <t>F.A.Q.</t>
  </si>
  <si>
    <t>ST9:06</t>
  </si>
  <si>
    <t>The Thief of Sherwood</t>
  </si>
  <si>
    <t>ST15:01</t>
  </si>
  <si>
    <t>David Bailey</t>
  </si>
  <si>
    <t>1-84435-146-7</t>
  </si>
  <si>
    <t>DEC1:06</t>
  </si>
  <si>
    <t>The Book of Shadows</t>
  </si>
  <si>
    <t>Mark Stammers, Stephen James Walker</t>
  </si>
  <si>
    <t>0-426-20411-5</t>
  </si>
  <si>
    <t>Billy Gierhart</t>
  </si>
  <si>
    <t>EEE</t>
  </si>
  <si>
    <t>Terror of the Autons</t>
  </si>
  <si>
    <t>PDA63</t>
  </si>
  <si>
    <t>Deadly Reunion</t>
  </si>
  <si>
    <t>FFF</t>
  </si>
  <si>
    <t>The Mind of Evil</t>
  </si>
  <si>
    <t>GGG</t>
  </si>
  <si>
    <t>The Claws of Axos</t>
  </si>
  <si>
    <t>Bob Baker, Dave Martin</t>
  </si>
  <si>
    <t>HHH</t>
  </si>
  <si>
    <t>Colony in Space</t>
  </si>
  <si>
    <t>Michael E. Briant</t>
  </si>
  <si>
    <t>JJJ</t>
  </si>
  <si>
    <t>The Dæmons</t>
  </si>
  <si>
    <t>TV</t>
  </si>
  <si>
    <t>Robert Sloman, Barry Letts</t>
  </si>
  <si>
    <t>9</t>
  </si>
  <si>
    <t>The Doll of Death</t>
  </si>
  <si>
    <t>CC3.10</t>
  </si>
  <si>
    <t>The Magician's Oath</t>
  </si>
  <si>
    <t>KKK</t>
  </si>
  <si>
    <t>Day of the Daleks</t>
  </si>
  <si>
    <t>Paul Bernard</t>
  </si>
  <si>
    <t>The Face of the Enemy</t>
  </si>
  <si>
    <t>LLL</t>
  </si>
  <si>
    <t>The Curse of Peladon</t>
  </si>
  <si>
    <t>Lennie Mayne</t>
  </si>
  <si>
    <t>MA?</t>
  </si>
  <si>
    <t>MMM</t>
  </si>
  <si>
    <t>The Sea Devils</t>
  </si>
  <si>
    <t>NNN</t>
  </si>
  <si>
    <t>The Mutants</t>
  </si>
  <si>
    <t>PDA40</t>
  </si>
  <si>
    <t>Rags</t>
  </si>
  <si>
    <t>OOO</t>
  </si>
  <si>
    <t>Michael Hart</t>
  </si>
  <si>
    <t>MA10</t>
  </si>
  <si>
    <t>The Menagerie</t>
  </si>
  <si>
    <t>PDA61</t>
  </si>
  <si>
    <t>The Colony of Lies</t>
  </si>
  <si>
    <t>Legacy of Yesteryear</t>
  </si>
  <si>
    <t>Shadow of Humanity</t>
  </si>
  <si>
    <t>The Emissaries of Jevo</t>
  </si>
  <si>
    <t>The Road to Conflict</t>
  </si>
  <si>
    <t>DC1-3</t>
  </si>
  <si>
    <t>DC4-10</t>
  </si>
  <si>
    <t>DC11-17</t>
  </si>
  <si>
    <t>DC18-24</t>
  </si>
  <si>
    <t>DC25-32</t>
  </si>
  <si>
    <t>DC33-39</t>
  </si>
  <si>
    <t>DC40-46</t>
  </si>
  <si>
    <t>DC47-51</t>
  </si>
  <si>
    <t>DC52-58</t>
  </si>
  <si>
    <t>DC59-62</t>
  </si>
  <si>
    <t>DC63-69</t>
  </si>
  <si>
    <t>DC70-75</t>
  </si>
  <si>
    <t>DC76-85</t>
  </si>
  <si>
    <t>DC86-89</t>
  </si>
  <si>
    <t>DC90-95</t>
  </si>
  <si>
    <t>DC96-104</t>
  </si>
  <si>
    <t>Richard Jennings, Ron Turner</t>
  </si>
  <si>
    <t>Eric Eden</t>
  </si>
  <si>
    <t>The Baby Farmers</t>
  </si>
  <si>
    <t>TWN15:5</t>
  </si>
  <si>
    <t>TWN15:1</t>
  </si>
  <si>
    <t>1-84607-784-5</t>
  </si>
  <si>
    <t>TWN15:2</t>
  </si>
  <si>
    <t>Kaleidoscope</t>
  </si>
  <si>
    <t>TWN15:3</t>
  </si>
  <si>
    <t>TWN15:4</t>
  </si>
  <si>
    <t>The Wrong Hands</t>
  </si>
  <si>
    <t>The Last Voyage of Osiris</t>
  </si>
  <si>
    <t>Titan Magazines</t>
  </si>
  <si>
    <t>Torchwood Magazine Short</t>
  </si>
  <si>
    <t>Simon Hugo</t>
  </si>
  <si>
    <t>TWM17:1</t>
  </si>
  <si>
    <t>Mike Dowling</t>
  </si>
  <si>
    <t>TWM16:1</t>
  </si>
  <si>
    <t>The Man Who Dreamed of Stars</t>
  </si>
  <si>
    <t>Robert Holmes, John Lucarotti</t>
  </si>
  <si>
    <t>Rodney Bennett</t>
  </si>
  <si>
    <t>John Peel</t>
  </si>
  <si>
    <t>Don Norman</t>
  </si>
  <si>
    <t>Daryl Joyce, Adrian Salmon</t>
  </si>
  <si>
    <t>Hope</t>
  </si>
  <si>
    <t>EDA54</t>
  </si>
  <si>
    <t>ST3:04</t>
  </si>
  <si>
    <t>Nothing at the End of the Lane</t>
  </si>
  <si>
    <t>ST6:02</t>
  </si>
  <si>
    <t>Mike McMahon, Adolfo Buylla</t>
  </si>
  <si>
    <t>The Comet's Tail</t>
  </si>
  <si>
    <t>ST6:09</t>
  </si>
  <si>
    <t>Resonance</t>
  </si>
  <si>
    <t>Ben Woodhams</t>
  </si>
  <si>
    <t>ST21:06</t>
  </si>
  <si>
    <t>The Immortals</t>
  </si>
  <si>
    <t>ST9:01</t>
  </si>
  <si>
    <t>First Born</t>
  </si>
  <si>
    <t>In the TARDIS: Christmas Day</t>
  </si>
  <si>
    <t>Hearts of Stone</t>
  </si>
  <si>
    <t>ST10:10</t>
  </si>
  <si>
    <t>Val Douglas</t>
  </si>
  <si>
    <t>ST14:04</t>
  </si>
  <si>
    <t>ST5:08</t>
  </si>
  <si>
    <t>The Wake</t>
  </si>
  <si>
    <t>Jake Elliot</t>
  </si>
  <si>
    <t>ST19:07</t>
  </si>
  <si>
    <t>Ann 1983</t>
  </si>
  <si>
    <t>The Key of Vaga</t>
  </si>
  <si>
    <t>Planet of Fear</t>
  </si>
  <si>
    <t>7-235-6653-4</t>
  </si>
  <si>
    <t>Glenn Rix</t>
  </si>
  <si>
    <t>On the Planet Isopterus</t>
  </si>
  <si>
    <t>Long Term</t>
  </si>
  <si>
    <t>Artificial Intelligence</t>
  </si>
  <si>
    <t>Lonely Days</t>
  </si>
  <si>
    <t>ST6:10</t>
  </si>
  <si>
    <t>ST13:05</t>
  </si>
  <si>
    <t>DEC2:07</t>
  </si>
  <si>
    <t>Past Reckoning</t>
  </si>
  <si>
    <t>Jackie Marshall</t>
  </si>
  <si>
    <t>DEC3:04</t>
  </si>
  <si>
    <t>The Parliament of Rats</t>
  </si>
  <si>
    <t>The Eternity Contract</t>
  </si>
  <si>
    <t>ST1:11</t>
  </si>
  <si>
    <t>ST2:07</t>
  </si>
  <si>
    <t>Erato: Confabula</t>
  </si>
  <si>
    <t>ST7:06</t>
  </si>
  <si>
    <t>Saturn</t>
  </si>
  <si>
    <t>The Church of Saint Sebastian</t>
  </si>
  <si>
    <t>Not So Much a Programme, More a Way of Life</t>
  </si>
  <si>
    <t>ST12:09</t>
  </si>
  <si>
    <t>Pride: The 57th</t>
  </si>
  <si>
    <t>ST15:05</t>
  </si>
  <si>
    <t>ST17:06</t>
  </si>
  <si>
    <t>Robert Smith</t>
  </si>
  <si>
    <t>ST18:09</t>
  </si>
  <si>
    <t>Mary Robinette Kowal</t>
  </si>
  <si>
    <t>Suspension and Disbelief</t>
  </si>
  <si>
    <t>ST23:13</t>
  </si>
  <si>
    <t>God Send Me Well to Keep</t>
  </si>
  <si>
    <t>Tweaker</t>
  </si>
  <si>
    <t>ST28:08</t>
  </si>
  <si>
    <t>Linnea Dodson</t>
  </si>
  <si>
    <t>ST27:07</t>
  </si>
  <si>
    <t>DWM 61-67</t>
  </si>
  <si>
    <t>DWM 68-69</t>
  </si>
  <si>
    <t>DWM 70-75</t>
  </si>
  <si>
    <t>DWM 76-77</t>
  </si>
  <si>
    <t>DWM 78-83</t>
  </si>
  <si>
    <t>DWM 84,86-87</t>
  </si>
  <si>
    <t>The Moderator</t>
  </si>
  <si>
    <t>4-Dimensional Vistas</t>
  </si>
  <si>
    <t>Lunar Lagoon</t>
  </si>
  <si>
    <t>The Stockbridge Horror</t>
  </si>
  <si>
    <t>Stars Fell on Stockbridge</t>
  </si>
  <si>
    <t>The Tides of Time</t>
  </si>
  <si>
    <t>Mick Austin</t>
  </si>
  <si>
    <t>4th Doctor Adventure</t>
  </si>
  <si>
    <t>Destination: Nerva</t>
  </si>
  <si>
    <t>The Renaissance Man</t>
  </si>
  <si>
    <t>The Wrath of the Iceni</t>
  </si>
  <si>
    <t>Energy of the Daleks</t>
  </si>
  <si>
    <t>Trail of the White Worm</t>
  </si>
  <si>
    <t>The Oseidon Adventure</t>
  </si>
  <si>
    <t>4DA1.1</t>
  </si>
  <si>
    <t>4DA1.2</t>
  </si>
  <si>
    <t>4DA1.3</t>
  </si>
  <si>
    <t>4DA1.4</t>
  </si>
  <si>
    <t>4DA1.5</t>
  </si>
  <si>
    <t>4DA1.6</t>
  </si>
  <si>
    <t>LS4D1</t>
  </si>
  <si>
    <t>The Foe from the Future</t>
  </si>
  <si>
    <t>Synthespians</t>
  </si>
  <si>
    <t>MA30</t>
  </si>
  <si>
    <t>Burning Heart</t>
  </si>
  <si>
    <t>6X</t>
  </si>
  <si>
    <t>The Mark of the Rani</t>
  </si>
  <si>
    <t>BS07</t>
  </si>
  <si>
    <t>BFA07.1</t>
  </si>
  <si>
    <t>BFA07.2</t>
  </si>
  <si>
    <t>BFA07.3</t>
  </si>
  <si>
    <t>BFA07.4</t>
  </si>
  <si>
    <t>BFA07.5</t>
  </si>
  <si>
    <t>BFA07.6</t>
  </si>
  <si>
    <t>The Tartarus Gate</t>
  </si>
  <si>
    <t>Timeless Passages</t>
  </si>
  <si>
    <t>The Worst Thing in the World</t>
  </si>
  <si>
    <t>Summer of Love</t>
  </si>
  <si>
    <t>The Oracle of Delphi</t>
  </si>
  <si>
    <t>The Empire State</t>
  </si>
  <si>
    <t>1-84435-129-7</t>
  </si>
  <si>
    <t>David Darlington</t>
  </si>
  <si>
    <t>1-84435-190-8</t>
  </si>
  <si>
    <t>1-84435-059-2</t>
  </si>
  <si>
    <t>1-84435-128-9</t>
  </si>
  <si>
    <t>Matthew Cochrane</t>
  </si>
  <si>
    <t>1-84435-189-0</t>
  </si>
  <si>
    <t>1-84435-254-4</t>
  </si>
  <si>
    <t>1-84435-241-2</t>
  </si>
  <si>
    <t>BFNo2:03</t>
  </si>
  <si>
    <t>BFNo2:00</t>
  </si>
  <si>
    <t>BFNo2:01</t>
  </si>
  <si>
    <t>BFNo2:02</t>
  </si>
  <si>
    <t>BFAn06.01</t>
  </si>
  <si>
    <t>Collected Works: Work in Progress</t>
  </si>
  <si>
    <t>BFAn06.02</t>
  </si>
  <si>
    <t>Collected Works: The Tears of Laughter</t>
  </si>
  <si>
    <t>BFAn06.03</t>
  </si>
  <si>
    <t>Collected Works: Perspectives: Tribal Reservations</t>
  </si>
  <si>
    <t>BFAn06.04</t>
  </si>
  <si>
    <t>Collected Works: Outside the Wall</t>
  </si>
  <si>
    <t>BFAn06.05</t>
  </si>
  <si>
    <t>Collected Works: Key</t>
  </si>
  <si>
    <t>BFAn06.06</t>
  </si>
  <si>
    <t>Collected Works: The Inconstant Gallery</t>
  </si>
  <si>
    <t>BFAn06.07</t>
  </si>
  <si>
    <t>Collected Works: Perspectives: Quire as Folk</t>
  </si>
  <si>
    <t>BFAn06.08</t>
  </si>
  <si>
    <t>Collected Works: Cabinets of Curiosities</t>
  </si>
  <si>
    <t>BFAn06.09</t>
  </si>
  <si>
    <t>Collected Works: Anightintheninthage</t>
  </si>
  <si>
    <t>Collected Works: Grey's Anatomy</t>
  </si>
  <si>
    <t>BFAn06.11</t>
  </si>
  <si>
    <t>Collected Works: The Tree that Was</t>
  </si>
  <si>
    <t>BFAn06.12</t>
  </si>
  <si>
    <t>Collected Works: Perspectives: Forging a Bond</t>
  </si>
  <si>
    <t>BFAn06.13</t>
  </si>
  <si>
    <t>Richard Jennings</t>
  </si>
  <si>
    <t>City Magazines</t>
  </si>
  <si>
    <t>David Whitaker, Alan Fennell</t>
  </si>
  <si>
    <t>Power Play</t>
  </si>
  <si>
    <t>Duel of the Daleks</t>
  </si>
  <si>
    <t>The Amaryll Challenge</t>
  </si>
  <si>
    <t>The Penta Ray Factor</t>
  </si>
  <si>
    <t>Plague of Death</t>
  </si>
  <si>
    <t>The Menace of the Monstrons</t>
  </si>
  <si>
    <t>Eve of War</t>
  </si>
  <si>
    <t>The Archives of Phryne</t>
  </si>
  <si>
    <t>The Rogue Planet</t>
  </si>
  <si>
    <t>Impasse</t>
  </si>
  <si>
    <t>The Terrorkon Harvest</t>
  </si>
  <si>
    <t>Missing, Part Two: Message in a Bottle</t>
  </si>
  <si>
    <t>ST3:02</t>
  </si>
  <si>
    <t>A Town Called Eternity</t>
  </si>
  <si>
    <t>ST18:15</t>
  </si>
  <si>
    <t>ST10:04</t>
  </si>
  <si>
    <t>ST25:12</t>
  </si>
  <si>
    <t>Matt Grady</t>
  </si>
  <si>
    <t>ST12:05</t>
  </si>
  <si>
    <t>ST9:11</t>
  </si>
  <si>
    <t>Alison Jacobs</t>
  </si>
  <si>
    <t>ST16:12</t>
  </si>
  <si>
    <t>ST24:14</t>
  </si>
  <si>
    <t>Light at the End of the Tunnel</t>
  </si>
  <si>
    <t>Black and White</t>
  </si>
  <si>
    <t>The Church of Football</t>
  </si>
  <si>
    <t>Leap Second</t>
  </si>
  <si>
    <t>Hot Ice</t>
  </si>
  <si>
    <t>ST24:05</t>
  </si>
  <si>
    <t>Benjamin Adams</t>
  </si>
  <si>
    <t>ST20:07</t>
  </si>
  <si>
    <t>ST19:10</t>
  </si>
  <si>
    <t>ST4:09</t>
  </si>
  <si>
    <t>Sagittarius: Five Card Draw</t>
  </si>
  <si>
    <t>ST8:06</t>
  </si>
  <si>
    <t>Bev Vincent</t>
  </si>
  <si>
    <t>ST23:14</t>
  </si>
  <si>
    <t>ST2:14</t>
  </si>
  <si>
    <t>Graham Dilley Saves the World</t>
  </si>
  <si>
    <t>The Gangster's Story</t>
  </si>
  <si>
    <t>There's Something About Mary</t>
  </si>
  <si>
    <t>Far Away in a Manger</t>
  </si>
  <si>
    <t>Methuselah</t>
  </si>
  <si>
    <t>ST9:08</t>
  </si>
  <si>
    <t>ST11:07</t>
  </si>
  <si>
    <t>ST24:07</t>
  </si>
  <si>
    <t>ST25:19</t>
  </si>
  <si>
    <t>ST28:11</t>
  </si>
  <si>
    <t>Fascination</t>
  </si>
  <si>
    <t>Amy/Abby</t>
  </si>
  <si>
    <t>The Curse of the Scarab</t>
  </si>
  <si>
    <t>DWM 228-230</t>
  </si>
  <si>
    <t>The Eye of the Jungle</t>
  </si>
  <si>
    <t>NSAA13</t>
  </si>
  <si>
    <t>Darren Jones</t>
  </si>
  <si>
    <t>AudioGo</t>
  </si>
  <si>
    <t>The Stolen Earth</t>
  </si>
  <si>
    <t>Music of the Spheres</t>
  </si>
  <si>
    <t>The Eyeless</t>
  </si>
  <si>
    <t>The Rising Night</t>
  </si>
  <si>
    <t>4.14</t>
  </si>
  <si>
    <t>The Next Doctor</t>
  </si>
  <si>
    <t>14</t>
  </si>
  <si>
    <t>4M</t>
  </si>
  <si>
    <t>The Masque of Mandragora</t>
  </si>
  <si>
    <t>Exploration Earth: The Time Machine</t>
  </si>
  <si>
    <t>4N</t>
  </si>
  <si>
    <t>The Hand of Fear</t>
  </si>
  <si>
    <t>4P</t>
  </si>
  <si>
    <t>The Deadly Assassin</t>
  </si>
  <si>
    <t>TEL04</t>
  </si>
  <si>
    <t>Ghost Ship</t>
  </si>
  <si>
    <t>PDA22</t>
  </si>
  <si>
    <t>Millennium Shock</t>
  </si>
  <si>
    <t>Adric</t>
  </si>
  <si>
    <t>Thomas</t>
  </si>
  <si>
    <t>Erimem</t>
  </si>
  <si>
    <t>Grant</t>
  </si>
  <si>
    <t>Frobisher</t>
  </si>
  <si>
    <t>Evelyn</t>
  </si>
  <si>
    <t>Raine</t>
  </si>
  <si>
    <t>Chris</t>
  </si>
  <si>
    <t>Roz</t>
  </si>
  <si>
    <t>Catherine</t>
  </si>
  <si>
    <t>Grace</t>
  </si>
  <si>
    <t>Mary</t>
  </si>
  <si>
    <t>Sam</t>
  </si>
  <si>
    <t>Fitz</t>
  </si>
  <si>
    <t>Izzy</t>
  </si>
  <si>
    <t>Compassion</t>
  </si>
  <si>
    <t>The Sons of Grekk</t>
  </si>
  <si>
    <t>Terror on Tiro</t>
  </si>
  <si>
    <t>The Devil Birds of Corbo</t>
  </si>
  <si>
    <t>Justice of the Glacians</t>
  </si>
  <si>
    <t>Ten Fathom Pirates</t>
  </si>
  <si>
    <t>ST17:09</t>
  </si>
  <si>
    <t>Gallifrey: Panacea</t>
  </si>
  <si>
    <t>Gallifrey: Reborn</t>
  </si>
  <si>
    <t>The Eyes Have It</t>
  </si>
  <si>
    <t>Curtain Call</t>
  </si>
  <si>
    <t>Colin Harvey</t>
  </si>
  <si>
    <t>ST24:04</t>
  </si>
  <si>
    <t>ST19:11</t>
  </si>
  <si>
    <t>Revenge of the Phantoms</t>
  </si>
  <si>
    <t>Dead on Arrival</t>
  </si>
  <si>
    <t>Fugitive from Chance</t>
  </si>
  <si>
    <t>After the Revolution</t>
  </si>
  <si>
    <t>The Battle Within</t>
  </si>
  <si>
    <t>Keith Miller</t>
  </si>
  <si>
    <t>River</t>
  </si>
  <si>
    <t>Lucie</t>
  </si>
  <si>
    <t>The Janus Conjunction</t>
  </si>
  <si>
    <t>EDA17</t>
  </si>
  <si>
    <t>Beltempest</t>
  </si>
  <si>
    <t>EDA18</t>
  </si>
  <si>
    <t>The Face-Eater</t>
  </si>
  <si>
    <t>EDA19</t>
  </si>
  <si>
    <t>The Taint</t>
  </si>
  <si>
    <t>EDA20</t>
  </si>
  <si>
    <t>Demontage</t>
  </si>
  <si>
    <t>The Widow's Curse</t>
  </si>
  <si>
    <t>The Skrawn Inheritance</t>
  </si>
  <si>
    <t>The Green, The Bad and the Ugly</t>
  </si>
  <si>
    <t>Minus Seven Wonders</t>
  </si>
  <si>
    <t>The Last Soldier</t>
  </si>
  <si>
    <t>Signs of Life</t>
  </si>
  <si>
    <t>Waste Not</t>
  </si>
  <si>
    <t>A Klytode Christmas</t>
  </si>
  <si>
    <t>Exhausting Evil</t>
  </si>
  <si>
    <t>The Art of Death</t>
  </si>
  <si>
    <t>Magic of the Angels</t>
  </si>
  <si>
    <t>As Time Goes By</t>
  </si>
  <si>
    <t>Silent Knight</t>
  </si>
  <si>
    <t>Attack of the Snowmen</t>
  </si>
  <si>
    <t>TAG5</t>
  </si>
  <si>
    <t>Natalie Barnes</t>
  </si>
  <si>
    <t>Agent 99</t>
  </si>
  <si>
    <t>Stephen Greenhorn</t>
  </si>
  <si>
    <t>The Infinite Quest</t>
  </si>
  <si>
    <t>Alan Barnes</t>
  </si>
  <si>
    <t>Gary Russell</t>
  </si>
  <si>
    <t>3.7</t>
  </si>
  <si>
    <t>Chris Chibnall</t>
  </si>
  <si>
    <t>David J. Howe</t>
  </si>
  <si>
    <t>MA18</t>
  </si>
  <si>
    <t>UNIT</t>
  </si>
  <si>
    <t>Ian Farrington</t>
  </si>
  <si>
    <t>Interesting Times</t>
  </si>
  <si>
    <t>ST30:12</t>
  </si>
  <si>
    <t>ST30:14</t>
  </si>
  <si>
    <t>Lost and Founded</t>
  </si>
  <si>
    <t>Andrew Pidoux</t>
  </si>
  <si>
    <t>ST31:15</t>
  </si>
  <si>
    <t>Once upon a Time Machine</t>
  </si>
  <si>
    <t>STA3:03</t>
  </si>
  <si>
    <t>Pop-Up</t>
  </si>
  <si>
    <t>Dave Curran</t>
  </si>
  <si>
    <t>33.7</t>
  </si>
  <si>
    <t>33.8</t>
  </si>
  <si>
    <t>33.9</t>
  </si>
  <si>
    <t>33.10</t>
  </si>
  <si>
    <t>33.11</t>
  </si>
  <si>
    <t>33.12</t>
  </si>
  <si>
    <t>33.13</t>
  </si>
  <si>
    <t>33.14</t>
  </si>
  <si>
    <t>The Bells of Saint John</t>
  </si>
  <si>
    <t>The Rings of Akhaten</t>
  </si>
  <si>
    <t>Hide</t>
  </si>
  <si>
    <t>Journey to the Centre of the TARDIS</t>
  </si>
  <si>
    <t>The Crimson Horror</t>
  </si>
  <si>
    <t>Nightmare in Silver</t>
  </si>
  <si>
    <t>The Name of the Doctor</t>
  </si>
  <si>
    <t>Neil Cross</t>
  </si>
  <si>
    <t>Louise Jameson</t>
  </si>
  <si>
    <t>The Fellowship of Quan</t>
  </si>
  <si>
    <t>Time Wake</t>
  </si>
  <si>
    <t>Interface</t>
  </si>
  <si>
    <t>Beauty and the Beast</t>
  </si>
  <si>
    <t>Retribution</t>
  </si>
  <si>
    <t>Davarrk's Experiment</t>
  </si>
  <si>
    <t>The Radio Waves</t>
  </si>
  <si>
    <t>0-7235-6747-6</t>
  </si>
  <si>
    <t>Gallifrey: Disassembled</t>
  </si>
  <si>
    <t>Gallifrey: Annihilation</t>
  </si>
  <si>
    <t>Gallifrey: Forever</t>
  </si>
  <si>
    <t>Scott Handcock, Gary Russell</t>
  </si>
  <si>
    <t>David Wise</t>
  </si>
  <si>
    <t>G1</t>
  </si>
  <si>
    <t>G2</t>
  </si>
  <si>
    <t>G3</t>
  </si>
  <si>
    <t>G4</t>
  </si>
  <si>
    <t>Samantha Baker</t>
  </si>
  <si>
    <t>Situation Vacant</t>
  </si>
  <si>
    <t>Nevermore</t>
  </si>
  <si>
    <t>The Book of Kells</t>
  </si>
  <si>
    <t>Deimos</t>
  </si>
  <si>
    <t>TW24</t>
  </si>
  <si>
    <t>TW25</t>
  </si>
  <si>
    <t>TW26</t>
  </si>
  <si>
    <t>Kiss Kiss, Bang Bang</t>
  </si>
  <si>
    <t>Sleeper</t>
  </si>
  <si>
    <t>To the Last Man</t>
  </si>
  <si>
    <t>Meat</t>
  </si>
  <si>
    <t>Adam</t>
  </si>
  <si>
    <t>The Time Machination</t>
  </si>
  <si>
    <t>Room with a Déjà View</t>
  </si>
  <si>
    <t>Silver Scream</t>
  </si>
  <si>
    <t>David A McEwan</t>
  </si>
  <si>
    <t>David Troughton</t>
  </si>
  <si>
    <t>STA3:02</t>
  </si>
  <si>
    <t>The Five Dimensional Man</t>
  </si>
  <si>
    <t>ST27:03</t>
  </si>
  <si>
    <t>The Slave War</t>
  </si>
  <si>
    <t>ST29:24</t>
  </si>
  <si>
    <t>Lares Domestici</t>
  </si>
  <si>
    <t>Anna Bratton</t>
  </si>
  <si>
    <t>ST31:03</t>
  </si>
  <si>
    <t>Favourite Star</t>
  </si>
  <si>
    <t>ST31:10</t>
  </si>
  <si>
    <t>Andy Frankham</t>
  </si>
  <si>
    <t>ST17:08</t>
  </si>
  <si>
    <t>Neptune</t>
  </si>
  <si>
    <t>Steven Moffat, Piers Wenger, Caroline Skinner</t>
  </si>
  <si>
    <t>Death is the Only Answer</t>
  </si>
  <si>
    <t>Children of Oakley Junior School</t>
  </si>
  <si>
    <t>The Mystery of the Marie Celeste</t>
  </si>
  <si>
    <t>Grip of Ice</t>
  </si>
  <si>
    <t>Man Friday</t>
  </si>
  <si>
    <t>Slaves of Shran</t>
  </si>
  <si>
    <t>1-903654-122</t>
  </si>
  <si>
    <t>Second Contact</t>
  </si>
  <si>
    <t>DS Al Fine</t>
  </si>
  <si>
    <t>Transmission Ends</t>
  </si>
  <si>
    <t>Thinking Warrior</t>
  </si>
  <si>
    <t>The Ethereal</t>
  </si>
  <si>
    <t>...Be Forgot</t>
  </si>
  <si>
    <t>Not in my Backyard</t>
  </si>
  <si>
    <t>Descendance</t>
  </si>
  <si>
    <t>Ascendance</t>
  </si>
  <si>
    <t>Perceptions</t>
  </si>
  <si>
    <t>Coda</t>
  </si>
  <si>
    <t>Seven Deadly Sins</t>
  </si>
  <si>
    <t>The Long Midwinter</t>
  </si>
  <si>
    <t>Dear John</t>
  </si>
  <si>
    <t>Repercussions...</t>
  </si>
  <si>
    <t>Best Seller</t>
  </si>
  <si>
    <t>War in a Time of Peace</t>
  </si>
  <si>
    <t>You Had Me at Verify User Name and Password</t>
  </si>
  <si>
    <t>They Fell</t>
  </si>
  <si>
    <t>Faithful Friends: Part 3</t>
  </si>
  <si>
    <t>Doctor Who and the Adaptation of Death</t>
  </si>
  <si>
    <t>Lady of the Snows</t>
  </si>
  <si>
    <t>Apocrypha Bipedium</t>
  </si>
  <si>
    <t>A Good Life</t>
  </si>
  <si>
    <t>Venus</t>
  </si>
  <si>
    <t>Be good for Goodness' Sake</t>
  </si>
  <si>
    <t>Round Trip: Before Midnight</t>
  </si>
  <si>
    <t>Round Trip: After Midnight</t>
  </si>
  <si>
    <t>Salva Mea</t>
  </si>
  <si>
    <t>Smart Bombs</t>
  </si>
  <si>
    <t>Gangsters' Paradise</t>
  </si>
  <si>
    <t>A Date to Remember</t>
  </si>
  <si>
    <t>DWM 378-380</t>
  </si>
  <si>
    <t>The Warkeeper's Crown</t>
  </si>
  <si>
    <t>The Power of the Cybermen</t>
  </si>
  <si>
    <t>Plague Panic</t>
  </si>
  <si>
    <t>The Hunters</t>
  </si>
  <si>
    <t>13 O'Clock</t>
  </si>
  <si>
    <t>Green Fingers</t>
  </si>
  <si>
    <t>The Snag Finders</t>
  </si>
  <si>
    <t>BiT 8-11</t>
  </si>
  <si>
    <t>New Earth</t>
  </si>
  <si>
    <t>DL10</t>
  </si>
  <si>
    <t>The Darksmith Legacy 10: The End of Time</t>
  </si>
  <si>
    <t>2.2</t>
  </si>
  <si>
    <t>Tooth and Claw</t>
  </si>
  <si>
    <t>The Stone Rose</t>
  </si>
  <si>
    <t>The Feast of the Drowned</t>
  </si>
  <si>
    <t>The Resurrection Casket</t>
  </si>
  <si>
    <t>I am a Dalek</t>
  </si>
  <si>
    <t>2.3</t>
  </si>
  <si>
    <t>DWM 355-357</t>
  </si>
  <si>
    <t>Kenny McBain</t>
  </si>
  <si>
    <t>PDA35</t>
  </si>
  <si>
    <t>Festival of Death</t>
  </si>
  <si>
    <t>MA33</t>
  </si>
  <si>
    <t>In the Shadows</t>
  </si>
  <si>
    <t>The Sin Eaters</t>
  </si>
  <si>
    <t>TWA03</t>
  </si>
  <si>
    <t>TWA04</t>
  </si>
  <si>
    <t>TW3</t>
  </si>
  <si>
    <t>RDTW1</t>
  </si>
  <si>
    <t>RDTW2</t>
  </si>
  <si>
    <t>RDTW3</t>
  </si>
  <si>
    <t>RDTW4</t>
  </si>
  <si>
    <t>Lost Souls</t>
  </si>
  <si>
    <t>1992-1995</t>
  </si>
  <si>
    <t>ü</t>
  </si>
  <si>
    <t>Special Occasions 3: Better Take Care</t>
  </si>
  <si>
    <t>Timeless</t>
  </si>
  <si>
    <t>EDA66</t>
  </si>
  <si>
    <t>Emotional Chemistry</t>
  </si>
  <si>
    <t>EDA67</t>
  </si>
  <si>
    <t>EDA68</t>
  </si>
  <si>
    <t>Halflife</t>
  </si>
  <si>
    <t>EDA69</t>
  </si>
  <si>
    <t>The Tomorrow Windows</t>
  </si>
  <si>
    <t>EDA70</t>
  </si>
  <si>
    <t>Sleep of Reason</t>
  </si>
  <si>
    <t>EDA71</t>
  </si>
  <si>
    <t>The Deadstone Memorial</t>
  </si>
  <si>
    <t>EDA72</t>
  </si>
  <si>
    <t>To the Slaughter</t>
  </si>
  <si>
    <t>EDA73</t>
  </si>
  <si>
    <t>The Gallifrey Chronicles</t>
  </si>
  <si>
    <t>TEL10</t>
  </si>
  <si>
    <t>∞</t>
  </si>
  <si>
    <t>PDA17</t>
  </si>
  <si>
    <t>The Infinity Doctors</t>
  </si>
  <si>
    <t>EDA1</t>
  </si>
  <si>
    <t>EDA1.1-2</t>
  </si>
  <si>
    <t>Blood of the Daleks</t>
  </si>
  <si>
    <t>EDA1.3</t>
  </si>
  <si>
    <t>The Extortioner</t>
  </si>
  <si>
    <t>TVC 784-787</t>
  </si>
  <si>
    <t>The Trodos Ambush</t>
  </si>
  <si>
    <t>TVC 788-791</t>
  </si>
  <si>
    <t>Survivors in Space</t>
  </si>
  <si>
    <t>CC6.01</t>
  </si>
  <si>
    <t>Peter Purves</t>
  </si>
  <si>
    <t>Tales from the Vault: The Wax Cylinder</t>
  </si>
  <si>
    <t>Tales from the Vault: The Crystal</t>
  </si>
  <si>
    <t>Wendy Padbury</t>
  </si>
  <si>
    <t>Tales from the Vault: The Infantry Jacket</t>
  </si>
  <si>
    <t>Kate McCall</t>
  </si>
  <si>
    <t>Golden Age</t>
  </si>
  <si>
    <t>The Dead Line</t>
  </si>
  <si>
    <t>Anita Sullivan</t>
  </si>
  <si>
    <t>John Fay</t>
  </si>
  <si>
    <t>Return of the Klytode</t>
  </si>
  <si>
    <t>Creature Feature</t>
  </si>
  <si>
    <t>Mudshock</t>
  </si>
  <si>
    <t>Run the Gauntlet</t>
  </si>
  <si>
    <t>A Thousand and One Doors</t>
  </si>
  <si>
    <t>Lords of the Galaxy</t>
  </si>
  <si>
    <t>Follow the Phantoms</t>
  </si>
  <si>
    <t>Added:</t>
  </si>
  <si>
    <t>Range:</t>
  </si>
  <si>
    <t>1-70</t>
  </si>
  <si>
    <t>2 webcasts</t>
  </si>
  <si>
    <t>2 films</t>
  </si>
  <si>
    <t>1-4</t>
  </si>
  <si>
    <t>1-3 (Space and Time)</t>
  </si>
  <si>
    <t>1-3 (Curse of the Daleks)</t>
  </si>
  <si>
    <t>Dalek Chronicle</t>
  </si>
  <si>
    <t>1-104</t>
  </si>
  <si>
    <t>1.1-4.4 (The Fearless, Part 4)</t>
  </si>
  <si>
    <t>1-5 (The Sepulchre)</t>
  </si>
  <si>
    <t>2009-2010</t>
  </si>
  <si>
    <t>1-8 (Masters of War)</t>
  </si>
  <si>
    <t>1-3, 5, 7, 9-12 (The Revenants)</t>
  </si>
  <si>
    <t>1-73 (The Gallifrey Chronicles)</t>
  </si>
  <si>
    <t>1973-1974</t>
  </si>
  <si>
    <t>1-6 (Hive of Horror)</t>
  </si>
  <si>
    <t>1-12 + Doctor Conkerer</t>
  </si>
  <si>
    <t>1-4 (Guilt)</t>
  </si>
  <si>
    <t>1.1-1.26 (The Eclipse of the Korven)</t>
  </si>
  <si>
    <t>3 (Vigil)</t>
  </si>
  <si>
    <t>Pescatons, Slipback</t>
  </si>
  <si>
    <t>1-3 (Glorious Goodwood)</t>
  </si>
  <si>
    <t>The Stalker of Norfolk, The Ten Doctors</t>
  </si>
  <si>
    <t>K9 and Company-The Man Who Never Was</t>
  </si>
  <si>
    <t>1.1-2.4 (Dreamland)</t>
  </si>
  <si>
    <t>2011-2012</t>
  </si>
  <si>
    <t>1-5 (Survivors in Space)</t>
  </si>
  <si>
    <t>1.01-31.17 (Blessed are the Peacemakers)</t>
  </si>
  <si>
    <t>The Monsters are Coming!</t>
  </si>
  <si>
    <t>2007-2010</t>
  </si>
  <si>
    <t>All?</t>
  </si>
  <si>
    <t>1-10 (The End of Time)</t>
  </si>
  <si>
    <t>1-15 (The Dalek Factor)</t>
  </si>
  <si>
    <t>1-2 (Harry Sullivan's War)</t>
  </si>
  <si>
    <t>1-5 (The Gunpowder Plot)</t>
  </si>
  <si>
    <t>1-28.10 (The Blood Line)</t>
  </si>
  <si>
    <t>1-131 (The Unheard Voice) + Annual</t>
  </si>
  <si>
    <t>Life from Lifelessness</t>
  </si>
  <si>
    <t>Keith R.A. DeCandido</t>
  </si>
  <si>
    <t>ST24:02</t>
  </si>
  <si>
    <t>Indian Summer</t>
  </si>
  <si>
    <t>DWYB 1995</t>
  </si>
  <si>
    <t>Urrozdinee</t>
  </si>
  <si>
    <t>Paul Neary</t>
  </si>
  <si>
    <t>1-85400-357-7</t>
  </si>
  <si>
    <t>DWM 181</t>
  </si>
  <si>
    <t>Echoes of Future Past</t>
  </si>
  <si>
    <t>John Summerfield</t>
  </si>
  <si>
    <t>ST26:03</t>
  </si>
  <si>
    <t>Losing the Audience</t>
  </si>
  <si>
    <t>Mat Coward</t>
  </si>
  <si>
    <t>ST27:06</t>
  </si>
  <si>
    <t>ST14:19</t>
  </si>
  <si>
    <t>ST14:15</t>
  </si>
  <si>
    <t>ST14:16</t>
  </si>
  <si>
    <t>ST14:18</t>
  </si>
  <si>
    <t>On Being Five</t>
  </si>
  <si>
    <t>1-846-07909-8</t>
  </si>
  <si>
    <t>TWN19</t>
  </si>
  <si>
    <t>Exodus Code</t>
  </si>
  <si>
    <t>John Barrowman, Carole E. Barrowman</t>
  </si>
  <si>
    <t>1-4458-7192-9</t>
  </si>
  <si>
    <t>TWA07</t>
  </si>
  <si>
    <t>Army of One</t>
  </si>
  <si>
    <t>Tom Price</t>
  </si>
  <si>
    <t>TWA08</t>
  </si>
  <si>
    <t>Fallout</t>
  </si>
  <si>
    <t>John Telfer</t>
  </si>
  <si>
    <t>TWA09</t>
  </si>
  <si>
    <t>TWA10</t>
  </si>
  <si>
    <t>Red Skies</t>
  </si>
  <si>
    <t>Mr Invincible</t>
  </si>
  <si>
    <t>1-4458-7196-7</t>
  </si>
  <si>
    <t>1-4458-7194-3</t>
  </si>
  <si>
    <t>1-4458-7198-1</t>
  </si>
  <si>
    <t>1-10 (Mr Invincible)</t>
  </si>
  <si>
    <t>Ma and Par</t>
  </si>
  <si>
    <t>Watch Website</t>
  </si>
  <si>
    <t>The Return of the Vostok</t>
  </si>
  <si>
    <t>Watch</t>
  </si>
  <si>
    <t>TWWeb</t>
  </si>
  <si>
    <t>NA58</t>
  </si>
  <si>
    <t>Eternity Weeps</t>
  </si>
  <si>
    <t>NA59</t>
  </si>
  <si>
    <t>The Room With No Doors</t>
  </si>
  <si>
    <t>NA60</t>
  </si>
  <si>
    <t>Lungbarrow</t>
  </si>
  <si>
    <t>EX03</t>
  </si>
  <si>
    <t>Excelis Decays</t>
  </si>
  <si>
    <t>7Y</t>
  </si>
  <si>
    <t>Master</t>
  </si>
  <si>
    <t>7Y/A</t>
  </si>
  <si>
    <t>Return of the Daleks</t>
  </si>
  <si>
    <t>7Z</t>
  </si>
  <si>
    <t>The Sirens of Time</t>
  </si>
  <si>
    <t>7Z/A</t>
  </si>
  <si>
    <t>Valhalla</t>
  </si>
  <si>
    <t>7Z/B</t>
  </si>
  <si>
    <t>Frozen Time</t>
  </si>
  <si>
    <t>7Z/CA</t>
  </si>
  <si>
    <t>The Death Collectors</t>
  </si>
  <si>
    <t>7Z/CB</t>
  </si>
  <si>
    <t>Gary Gillatt, Scott Gray</t>
  </si>
  <si>
    <t>BBCN14</t>
  </si>
  <si>
    <t>BBCN15</t>
  </si>
  <si>
    <t>Thinktwice</t>
  </si>
  <si>
    <t>The Stockbridge Child</t>
  </si>
  <si>
    <t>Mortal Beloved</t>
  </si>
  <si>
    <t>The Age of Ice</t>
  </si>
  <si>
    <t>The Deep Hereafter</t>
  </si>
  <si>
    <t>Onomatopeia</t>
  </si>
  <si>
    <t>BBCN19</t>
  </si>
  <si>
    <t>BBCN21</t>
  </si>
  <si>
    <t>BBCQR3</t>
  </si>
  <si>
    <t>BBCN22</t>
  </si>
  <si>
    <t>BBCN23</t>
  </si>
  <si>
    <t>BBCN24</t>
  </si>
  <si>
    <t>BBCN25</t>
  </si>
  <si>
    <t>BBCN26</t>
  </si>
  <si>
    <t>BBCN27</t>
  </si>
  <si>
    <t>BBCN30</t>
  </si>
  <si>
    <t>BBCQR4</t>
  </si>
  <si>
    <t>DL01</t>
  </si>
  <si>
    <t>DL02</t>
  </si>
  <si>
    <t>DL03</t>
  </si>
  <si>
    <t>DL04</t>
  </si>
  <si>
    <t>DL05</t>
  </si>
  <si>
    <t>DL06</t>
  </si>
  <si>
    <t>DL07</t>
  </si>
  <si>
    <t>DL08</t>
  </si>
  <si>
    <t>DL09</t>
  </si>
  <si>
    <t>BBCN31</t>
  </si>
  <si>
    <t>BBCN32</t>
  </si>
  <si>
    <t>BBCN33</t>
  </si>
  <si>
    <t>BBCN34</t>
  </si>
  <si>
    <t>BBCN35</t>
  </si>
  <si>
    <t>BBCN36</t>
  </si>
  <si>
    <t>BBCQR5</t>
  </si>
  <si>
    <t>BBCN37</t>
  </si>
  <si>
    <t>BBCN38</t>
  </si>
  <si>
    <t>BBCN39</t>
  </si>
  <si>
    <t>BBCN40</t>
  </si>
  <si>
    <t>BBCN41</t>
  </si>
  <si>
    <t>BBCN42</t>
  </si>
  <si>
    <t>BBCN29</t>
  </si>
  <si>
    <t>BBCN28</t>
  </si>
  <si>
    <t>BBCQR2</t>
  </si>
  <si>
    <t>BBCN17</t>
  </si>
  <si>
    <t>BBCN20</t>
  </si>
  <si>
    <t>BBCN18</t>
  </si>
  <si>
    <t>BBCN11</t>
  </si>
  <si>
    <t>BBCN07</t>
  </si>
  <si>
    <t>BBCN08</t>
  </si>
  <si>
    <t>BBCN09</t>
  </si>
  <si>
    <t>The Man in the Ion Mask</t>
  </si>
  <si>
    <t>The Vortex</t>
  </si>
  <si>
    <t>TTC1</t>
  </si>
  <si>
    <t>Patrick Chapman</t>
  </si>
  <si>
    <t>Voyage to Venus</t>
  </si>
  <si>
    <t>Voyage to the New World</t>
  </si>
  <si>
    <t>1-84435-978-3</t>
  </si>
  <si>
    <t>8DE.1</t>
  </si>
  <si>
    <t>1-84435-977-6</t>
  </si>
  <si>
    <t>The Therovian Quest</t>
  </si>
  <si>
    <t>TVC 690-692</t>
  </si>
  <si>
    <t>Deadly Vessel</t>
  </si>
  <si>
    <t>Kingdom of Animals</t>
  </si>
  <si>
    <t>Bill Mevin (?)</t>
  </si>
  <si>
    <t>Mission for Duh</t>
  </si>
  <si>
    <t>Tim Quinn</t>
  </si>
  <si>
    <t>The Ruthven Inheritance</t>
  </si>
  <si>
    <t>Dead Men's Tales</t>
  </si>
  <si>
    <t>The Man at the End of the Garden</t>
  </si>
  <si>
    <t>Swan Song</t>
  </si>
  <si>
    <t>Nigel Fairs</t>
  </si>
  <si>
    <t>The Time Vampire</t>
  </si>
  <si>
    <t>S5</t>
  </si>
  <si>
    <t>32.X</t>
  </si>
  <si>
    <t>A Christmas Carol</t>
  </si>
  <si>
    <t>Last of the Time Lords</t>
  </si>
  <si>
    <t>The Creature from the Pit</t>
  </si>
  <si>
    <t>MA06</t>
  </si>
  <si>
    <t>The Romance of Crime</t>
  </si>
  <si>
    <t>MA20</t>
  </si>
  <si>
    <t>The English Way of Death</t>
  </si>
  <si>
    <t>5K</t>
  </si>
  <si>
    <t>School Reunion</t>
  </si>
  <si>
    <t>2.4</t>
  </si>
  <si>
    <t>The Girl in the Fireplace</t>
  </si>
  <si>
    <t>2.5/6</t>
  </si>
  <si>
    <t>The Age of Steel</t>
  </si>
  <si>
    <t>Tom MacRae</t>
  </si>
  <si>
    <t>2.7</t>
  </si>
  <si>
    <t>The Idiot's Lantern</t>
  </si>
  <si>
    <t>Mine, All Mine!</t>
  </si>
  <si>
    <t>Golden Slumbers</t>
  </si>
  <si>
    <t>Sound Bytes</t>
  </si>
  <si>
    <t>Chasing Rainbows</t>
  </si>
  <si>
    <t>Pier Head from Space</t>
  </si>
  <si>
    <t>The Evergreen Death</t>
  </si>
  <si>
    <t>The Rage</t>
  </si>
  <si>
    <t>The Peace Strike</t>
  </si>
  <si>
    <t>They Think It's All Over</t>
  </si>
  <si>
    <t>Good Night</t>
  </si>
  <si>
    <t>When Worlds Collide</t>
  </si>
  <si>
    <t>Your Destiny Awaits</t>
  </si>
  <si>
    <t>Space Squid</t>
  </si>
  <si>
    <t>The War of Art</t>
  </si>
  <si>
    <t>Run, Doctor, Run</t>
  </si>
  <si>
    <t>Vampire Hurricane</t>
  </si>
  <si>
    <t>The Night After Hallowe'en</t>
  </si>
  <si>
    <t>The Monsters Are Coming!</t>
  </si>
  <si>
    <t>Cold Snap</t>
  </si>
  <si>
    <t>Michael Moorcock</t>
  </si>
  <si>
    <t>Una McCormack</t>
  </si>
  <si>
    <t>Richard Dungworth</t>
  </si>
  <si>
    <t>Dave Stone</t>
  </si>
  <si>
    <t>Kate Orman</t>
  </si>
  <si>
    <t>Elliot Thorpe</t>
  </si>
  <si>
    <t>Matthew Sweet</t>
  </si>
  <si>
    <t>The Ultimate Evil</t>
  </si>
  <si>
    <t>The Song of Megaptera</t>
  </si>
  <si>
    <t>Kieran Grant, Neil Corry</t>
  </si>
  <si>
    <t>BiT 69-70</t>
  </si>
  <si>
    <t>The House at the End of the World</t>
  </si>
  <si>
    <t>ST11:14</t>
  </si>
  <si>
    <t>The Diplomat's Story</t>
  </si>
  <si>
    <t>Sparrow Books</t>
  </si>
  <si>
    <t>Adventure of K9</t>
  </si>
  <si>
    <t>09-924480-2</t>
  </si>
  <si>
    <t>09-924460-8</t>
  </si>
  <si>
    <t>EDA57</t>
  </si>
  <si>
    <t>The Crooked World</t>
  </si>
  <si>
    <t>Cyclone Terror</t>
  </si>
  <si>
    <t>Time Snatch</t>
  </si>
  <si>
    <t>The Body Snatcher</t>
  </si>
  <si>
    <t>BFSP02</t>
  </si>
  <si>
    <t>Antimony</t>
  </si>
  <si>
    <t>TEL14</t>
  </si>
  <si>
    <t>Blood and Hope</t>
  </si>
  <si>
    <t>6Q/E</t>
  </si>
  <si>
    <t>The Axis of Insanity</t>
  </si>
  <si>
    <t>6Q/F</t>
  </si>
  <si>
    <t>The Roof of the World</t>
  </si>
  <si>
    <t>6Q/G</t>
  </si>
  <si>
    <t>Three's a Crowd</t>
  </si>
  <si>
    <t>6Q/H</t>
  </si>
  <si>
    <t>The Council of Nicaea</t>
  </si>
  <si>
    <t>6Q/I</t>
  </si>
  <si>
    <t>The Kingmaker</t>
  </si>
  <si>
    <t>6Q/J</t>
  </si>
  <si>
    <t>The Gathering</t>
  </si>
  <si>
    <t>DWM07</t>
  </si>
  <si>
    <t>The Veiled Leopard</t>
  </si>
  <si>
    <t>6Q/K</t>
  </si>
  <si>
    <t>K9 and the Zeta Rescue</t>
  </si>
  <si>
    <t>K9 and the Missing Planet</t>
  </si>
  <si>
    <t>09-924490-X</t>
  </si>
  <si>
    <t>K9Ann 1983</t>
  </si>
  <si>
    <t>K-9 and Company: A Girl's Best Friend</t>
  </si>
  <si>
    <t>7-235-6661-5</t>
  </si>
  <si>
    <t>Mike Wilde</t>
  </si>
  <si>
    <t>Powerstone</t>
  </si>
  <si>
    <t>Sticks &amp; Stones</t>
  </si>
  <si>
    <t>The Parasites</t>
  </si>
  <si>
    <t>Doomland</t>
  </si>
  <si>
    <t>Buying Time</t>
  </si>
  <si>
    <t>Key</t>
  </si>
  <si>
    <t>Performed</t>
  </si>
  <si>
    <t>Bold:</t>
  </si>
  <si>
    <t>Italic:</t>
  </si>
  <si>
    <t>Bold Italic:</t>
  </si>
  <si>
    <t>Visual (beyond text - e.g., TV, comic)</t>
  </si>
  <si>
    <t>Static (e.g., book, comic)</t>
  </si>
  <si>
    <t>Grey:</t>
  </si>
  <si>
    <t>Short form</t>
  </si>
  <si>
    <t>Visual, but some soundtrack-only</t>
  </si>
  <si>
    <t>Generally, the primary form is listed:</t>
  </si>
  <si>
    <t>BS06</t>
  </si>
  <si>
    <t>BFA06.1</t>
  </si>
  <si>
    <t>BFA06.2</t>
  </si>
  <si>
    <t>BFA06.3</t>
  </si>
  <si>
    <t>BFA06.4</t>
  </si>
  <si>
    <t>BFA06.5</t>
  </si>
  <si>
    <t>The Heart's Desire</t>
  </si>
  <si>
    <t>The Kingdom of the Blind</t>
  </si>
  <si>
    <t>The Lost Museum</t>
  </si>
  <si>
    <t>The Goddess Quandary</t>
  </si>
  <si>
    <t>The Crystal of Cantus</t>
  </si>
  <si>
    <t>1-84435-130-0</t>
  </si>
  <si>
    <t>David Bailey, Neil Corry</t>
  </si>
  <si>
    <t>1-84435-131-9</t>
  </si>
  <si>
    <t>1-84435-133-5</t>
  </si>
  <si>
    <t>Daemos Rising</t>
  </si>
  <si>
    <t>Robert Dick</t>
  </si>
  <si>
    <t>ST20:13</t>
  </si>
  <si>
    <t>Childhood Living</t>
  </si>
  <si>
    <t>6C/B</t>
  </si>
  <si>
    <t>Winter for the Adept</t>
  </si>
  <si>
    <t>6C/C</t>
  </si>
  <si>
    <t>The Mutant Phase</t>
  </si>
  <si>
    <t>6C/D</t>
  </si>
  <si>
    <t>Primeval</t>
  </si>
  <si>
    <t>6C/E</t>
  </si>
  <si>
    <t>Spare Parts</t>
  </si>
  <si>
    <t>6C/F</t>
  </si>
  <si>
    <t>Creatures of Beauty</t>
  </si>
  <si>
    <t>6C/G</t>
  </si>
  <si>
    <t>The Game</t>
  </si>
  <si>
    <t>6C/I</t>
  </si>
  <si>
    <t>Renaissance of the Daleks</t>
  </si>
  <si>
    <t>6C/J</t>
  </si>
  <si>
    <t>The Hopes and Fears of all the Years</t>
  </si>
  <si>
    <t>Web Story</t>
  </si>
  <si>
    <t>News2</t>
  </si>
  <si>
    <t>News1</t>
  </si>
  <si>
    <t>Telegraph Group</t>
  </si>
  <si>
    <t>The Lonely Computer</t>
  </si>
  <si>
    <t>Number 1, Gallows Gate Road</t>
  </si>
  <si>
    <t>Gridlock</t>
  </si>
  <si>
    <t>Richard Clark</t>
  </si>
  <si>
    <t>Made of Steel</t>
  </si>
  <si>
    <t>3.4/5</t>
  </si>
  <si>
    <t>Daleks in Manhattan</t>
  </si>
  <si>
    <t>Helen Raynor</t>
  </si>
  <si>
    <t>3.6</t>
  </si>
  <si>
    <t>The Lazarus Experiment</t>
  </si>
  <si>
    <t>Terri Osborne</t>
  </si>
  <si>
    <t>ST27:05</t>
  </si>
  <si>
    <t>1-84990-286-1</t>
  </si>
  <si>
    <t>1-4084-6879-1</t>
  </si>
  <si>
    <t>1-4084-6880-7</t>
  </si>
  <si>
    <t>1-84435-375-0</t>
  </si>
  <si>
    <t>Lepidoptery for Beginners</t>
  </si>
  <si>
    <t>DEC2:01</t>
  </si>
  <si>
    <t>Vortex of Fear</t>
  </si>
  <si>
    <t>ST3:09</t>
  </si>
  <si>
    <t>Please Shut the Gate</t>
  </si>
  <si>
    <t>Stephen Lock</t>
  </si>
  <si>
    <t>ST4:05</t>
  </si>
  <si>
    <t>ST14:17</t>
  </si>
  <si>
    <t>Karl Zwicky</t>
  </si>
  <si>
    <t>The Greatest Show in the Galaxy</t>
  </si>
  <si>
    <t>Alan Wareing</t>
  </si>
  <si>
    <t>26</t>
  </si>
  <si>
    <t>Lee Sullivan</t>
  </si>
  <si>
    <t>DWM 224-226</t>
  </si>
  <si>
    <t>The Vampire Plants</t>
  </si>
  <si>
    <t>David Brian</t>
  </si>
  <si>
    <t>Robot King</t>
  </si>
  <si>
    <t>The Sour Note</t>
  </si>
  <si>
    <t>The Dream Masters</t>
  </si>
  <si>
    <t>The Word of Asiries</t>
  </si>
  <si>
    <t>ST27:01</t>
  </si>
  <si>
    <t>Samson</t>
  </si>
  <si>
    <t>ST20:11</t>
  </si>
  <si>
    <t>ST2:11</t>
  </si>
  <si>
    <t>Andrew Miller</t>
  </si>
  <si>
    <t>ST3:06</t>
  </si>
  <si>
    <t>ST2:18</t>
  </si>
  <si>
    <t>CC8:05</t>
  </si>
  <si>
    <t>The Beginning</t>
  </si>
  <si>
    <t>Carole Ann Ford, Terry Molloy</t>
  </si>
  <si>
    <t>Prelude: The Calm Before the Storm</t>
  </si>
  <si>
    <t>Prelude: Brain Trafficking</t>
  </si>
  <si>
    <t>Prelude: A Message from Amy</t>
  </si>
  <si>
    <t>Prelude: A Message for Amy</t>
  </si>
  <si>
    <t>Prelude: The Hooded Messenger</t>
  </si>
  <si>
    <t>Prelude: The Impossible Girl</t>
  </si>
  <si>
    <t>Prelude: Behind You</t>
  </si>
  <si>
    <t>Meanwhile in the TARDIS 2: Bloke</t>
  </si>
  <si>
    <t>Meanwhile in the TARDIS 1: Frequently Asked Questions</t>
  </si>
  <si>
    <t>TO1</t>
  </si>
  <si>
    <t>TARDISode: Care and Cure</t>
  </si>
  <si>
    <t>TARDISode</t>
  </si>
  <si>
    <t>TO2</t>
  </si>
  <si>
    <t>TARDISode: The Howling</t>
  </si>
  <si>
    <t>TO13</t>
  </si>
  <si>
    <t>TO12</t>
  </si>
  <si>
    <t>TO11</t>
  </si>
  <si>
    <t>TO10</t>
  </si>
  <si>
    <t>TO9</t>
  </si>
  <si>
    <t>TO8</t>
  </si>
  <si>
    <t>TO7</t>
  </si>
  <si>
    <t>TO6</t>
  </si>
  <si>
    <t>TO5</t>
  </si>
  <si>
    <t>TO4</t>
  </si>
  <si>
    <t>TO3</t>
  </si>
  <si>
    <t>TARDISode: Mickey Investigates</t>
  </si>
  <si>
    <t>TARDISode: Tick Tock Goes the Clock</t>
  </si>
  <si>
    <t>TARDISode: The Preachers' Warning</t>
  </si>
  <si>
    <t>TARDISode: The Ultimate Upgrade</t>
  </si>
  <si>
    <t>TARDISode: Beyond the Screen</t>
  </si>
  <si>
    <t>TARDISode: Walker's Mission</t>
  </si>
  <si>
    <t>TARDISode: Symbols of Death</t>
  </si>
  <si>
    <t>TARDISode: Looking for LI'n'DA</t>
  </si>
  <si>
    <t>TARDISode: CrimeCrackers</t>
  </si>
  <si>
    <t>TARDISode: Story of the Century</t>
  </si>
  <si>
    <t>Clarence and the Whispermen</t>
  </si>
  <si>
    <t>1-84435-621-8</t>
  </si>
  <si>
    <t>1-84435-356-9</t>
  </si>
  <si>
    <t>Night of the Doctor</t>
  </si>
  <si>
    <t>John Hayes</t>
  </si>
  <si>
    <t>Denise Paul</t>
  </si>
  <si>
    <t>The Last Day</t>
  </si>
  <si>
    <t>Jamie Stone</t>
  </si>
  <si>
    <t>33.15</t>
  </si>
  <si>
    <t>The Day of the Doctor</t>
  </si>
  <si>
    <t>Steven Moffat, Faith Penhale</t>
  </si>
  <si>
    <t>Prelude: The Making of the Gunslinger</t>
  </si>
  <si>
    <t>Neil Gorton</t>
  </si>
  <si>
    <t>She Said, He Said</t>
  </si>
  <si>
    <t>The Battle of Demon's Run - Two Days Later</t>
  </si>
  <si>
    <t>DWDVD</t>
  </si>
  <si>
    <t>Clara and the TARDIS</t>
  </si>
  <si>
    <t>Rain Gods</t>
  </si>
  <si>
    <t>The Inforarium</t>
  </si>
  <si>
    <t>33.16</t>
  </si>
  <si>
    <t>The Time of the Doctor</t>
  </si>
  <si>
    <t>Steven Moffat, Brian Minchin</t>
  </si>
  <si>
    <t>War</t>
  </si>
  <si>
    <t>11'</t>
  </si>
  <si>
    <t>Summer Falls</t>
  </si>
  <si>
    <t>BBCPN3</t>
  </si>
  <si>
    <t>All 11th Doctor ones</t>
  </si>
  <si>
    <t>P.S.</t>
  </si>
  <si>
    <t>CC8.03</t>
  </si>
  <si>
    <t>Upstairs</t>
  </si>
  <si>
    <t>Maureen O'Brien, Peter Purves</t>
  </si>
  <si>
    <t>1-78178-085-5</t>
  </si>
  <si>
    <t>CC8.04</t>
  </si>
  <si>
    <t>Katy Manning, Benjamin Chikoto</t>
  </si>
  <si>
    <t>1-78178-086-2</t>
  </si>
  <si>
    <t>CC8.06</t>
  </si>
  <si>
    <t>The Dying Light</t>
  </si>
  <si>
    <t>Frazer Hines, Wendy Padbury, Terry Molloy</t>
  </si>
  <si>
    <t>1-78178-088-6</t>
  </si>
  <si>
    <t>CC8.07</t>
  </si>
  <si>
    <t>Luna Romana</t>
  </si>
  <si>
    <t>Lalla Ward, Juliet Landau, Terry Molloy</t>
  </si>
  <si>
    <t>1-78178-089-3</t>
  </si>
  <si>
    <t>Romana Trey</t>
  </si>
  <si>
    <t>Peter Purves, Tony Millan</t>
  </si>
  <si>
    <t>Frazer Hines, Suzanne Procter</t>
  </si>
  <si>
    <t>Nicholas Courtney, Toby Longworth</t>
  </si>
  <si>
    <t>Louise Jameson, Timothy Watson</t>
  </si>
  <si>
    <t>Lalla Ward, Jess Robinson</t>
  </si>
  <si>
    <t>Maureen O'Brien, Keith Drinkel</t>
  </si>
  <si>
    <t>Wendy Padbury, Nicholas Briggs</t>
  </si>
  <si>
    <t>Caroline John, Nicholas Briggs</t>
  </si>
  <si>
    <t>Lalla Ward, Marcia Ashton</t>
  </si>
  <si>
    <t>Carole Ann Ford, Stephen Hancock</t>
  </si>
  <si>
    <t>Deborah Watling, Helen Goldwyn</t>
  </si>
  <si>
    <t>Katy Manning, Jane Goddard</t>
  </si>
  <si>
    <t>Louise Jameson, David Warner</t>
  </si>
  <si>
    <t>Jean Marsh, Niall MacGregor</t>
  </si>
  <si>
    <t>Sarah Sutton, Derek Carlyle</t>
  </si>
  <si>
    <t>William Russell, Ian Hallard</t>
  </si>
  <si>
    <t>Sophie Aldred, Laura Doddington</t>
  </si>
  <si>
    <t>Anneke Wills, John Sackville</t>
  </si>
  <si>
    <t>Richard Franklin, Michael Chance</t>
  </si>
  <si>
    <t>Christopher Benjamin, Trevor Baxter</t>
  </si>
  <si>
    <t>Frazer Hines, Andrew Fettes</t>
  </si>
  <si>
    <t>David Trouhton, Nicholas Briggs</t>
  </si>
  <si>
    <t>Mark Strickson, Alex Howe</t>
  </si>
  <si>
    <t>Lisa Bowerman, Charlie Hayes</t>
  </si>
  <si>
    <t>Deborah Watling, Frazer Hines</t>
  </si>
  <si>
    <t>Caroline John, Lex Shrapnel</t>
  </si>
  <si>
    <t>Louise Jameson, John Leeson</t>
  </si>
  <si>
    <t>Frazer Hines, Hugh Ross</t>
  </si>
  <si>
    <t>India Fisher, David Bailie</t>
  </si>
  <si>
    <t>Katy Manning, Alex Lowe</t>
  </si>
  <si>
    <t>Lalla Ward, Suanne Braun</t>
  </si>
  <si>
    <t>Maggie Stables, Richard Cordery</t>
  </si>
  <si>
    <t>Carole Ann Ford, Tara-Louise Kaye</t>
  </si>
  <si>
    <t>Nicola Bryant, Colin Baker</t>
  </si>
  <si>
    <t>Peter Purves, Tom Allen</t>
  </si>
  <si>
    <t>Caroline John, Duncan Wisbey</t>
  </si>
  <si>
    <t>Mary Tamm, Madeleine Potter</t>
  </si>
  <si>
    <t>Anneke Wills, Nicholas Courtney, John Pickard</t>
  </si>
  <si>
    <t>Katy Manning, Nicholas Asbury</t>
  </si>
  <si>
    <t>Colin Baker, Claire Huckle, Noel Sullivan</t>
  </si>
  <si>
    <t>Caroline John, Joe Coen, Kyle Redmond-Jones</t>
  </si>
  <si>
    <t>William Russell, Tim Chipping</t>
  </si>
  <si>
    <t>Maggie O'Neill, Amy Pemberton, Sylvester McCoy</t>
  </si>
  <si>
    <t>Caroline John, Rowena Cooper</t>
  </si>
  <si>
    <t>CC8.08</t>
  </si>
  <si>
    <t>The Sleeping City</t>
  </si>
  <si>
    <t>William Russell, John Banks</t>
  </si>
  <si>
    <t>William Russell, Gus Brown</t>
  </si>
  <si>
    <t>1-78178-090-9</t>
  </si>
  <si>
    <t>CC8.09</t>
  </si>
  <si>
    <t>Starborn</t>
  </si>
  <si>
    <t>Maureen O'Brien, Jacqueline King</t>
  </si>
  <si>
    <t>1-78178-091-6</t>
  </si>
  <si>
    <t>CC8.10</t>
  </si>
  <si>
    <t>The War to End All Wars</t>
  </si>
  <si>
    <t>Peter Purves, Alice Haig</t>
  </si>
  <si>
    <t>1-78178-092-3</t>
  </si>
  <si>
    <t>4DA3.1</t>
  </si>
  <si>
    <t>4DA3.2</t>
  </si>
  <si>
    <t>4DA3.3</t>
  </si>
  <si>
    <t>4DA3.4</t>
  </si>
  <si>
    <t>4DA3.5</t>
  </si>
  <si>
    <t>4DA2.1</t>
  </si>
  <si>
    <t>4DA2.2</t>
  </si>
  <si>
    <t>4DA2.3</t>
  </si>
  <si>
    <t>4DA2.4</t>
  </si>
  <si>
    <t>4DA2.5</t>
  </si>
  <si>
    <t>4DA2.6</t>
  </si>
  <si>
    <t>4DA2.7</t>
  </si>
  <si>
    <t>The Auntie Matter</t>
  </si>
  <si>
    <t>The Sands of Life</t>
  </si>
  <si>
    <t>War Against the Laan</t>
  </si>
  <si>
    <t>The Justice of Jalxar</t>
  </si>
  <si>
    <t>Phantoms of the Deep</t>
  </si>
  <si>
    <t>The Dalek Contract</t>
  </si>
  <si>
    <t>The Final Phase</t>
  </si>
  <si>
    <t>The King of Sontar</t>
  </si>
  <si>
    <t>White Ghosts</t>
  </si>
  <si>
    <t>The Crooked Man</t>
  </si>
  <si>
    <t>The Evil One</t>
  </si>
  <si>
    <t>Last of the Colophon</t>
  </si>
  <si>
    <t>1-78178-054-1</t>
  </si>
  <si>
    <t>1-78178-055-8</t>
  </si>
  <si>
    <t>1-78178-056-5</t>
  </si>
  <si>
    <t>1-78178-057-2</t>
  </si>
  <si>
    <t>1-78178-058-9</t>
  </si>
  <si>
    <t>1-78178-059-6</t>
  </si>
  <si>
    <t>1-78178-060-2</t>
  </si>
  <si>
    <t>1-78178-290-3</t>
  </si>
  <si>
    <t>1-78178-291-0</t>
  </si>
  <si>
    <t>1-78178-292-7</t>
  </si>
  <si>
    <t>1-78178-293-4</t>
  </si>
  <si>
    <t>1-78178-294-1</t>
  </si>
  <si>
    <t>The Edge</t>
  </si>
  <si>
    <t>The Battle</t>
  </si>
  <si>
    <t>1-78178-104-3</t>
  </si>
  <si>
    <t>Eldrad Must Die!</t>
  </si>
  <si>
    <t>1-78178-072-5</t>
  </si>
  <si>
    <t>The Lady of Mercia</t>
  </si>
  <si>
    <t>1-78178-073-2</t>
  </si>
  <si>
    <t>Prisoners of Fate</t>
  </si>
  <si>
    <t>1-78178-074-9</t>
  </si>
  <si>
    <t>UNIT: Dominion</t>
  </si>
  <si>
    <t>Nicholas Briggs, Jason Arnopp</t>
  </si>
  <si>
    <t>1-84435-976-9</t>
  </si>
  <si>
    <t>Persuasion</t>
  </si>
  <si>
    <t>Jonathan Barnes</t>
  </si>
  <si>
    <t>1-78178-075-6</t>
  </si>
  <si>
    <t>Will</t>
  </si>
  <si>
    <t>Starlight Robbery</t>
  </si>
  <si>
    <t>1-78178-076-3</t>
  </si>
  <si>
    <t>Daleks Among Us</t>
  </si>
  <si>
    <t>1-78178-077-0</t>
  </si>
  <si>
    <t>1963: Fanfare for the Common Men</t>
  </si>
  <si>
    <t>1-78178-078-7</t>
  </si>
  <si>
    <t>1963: The Space Race</t>
  </si>
  <si>
    <t>1-78178-079-4</t>
  </si>
  <si>
    <t>1963: The Assassination Games</t>
  </si>
  <si>
    <t>1-78178-080-0</t>
  </si>
  <si>
    <t>Afterlife</t>
  </si>
  <si>
    <t>1-78178-081-7</t>
  </si>
  <si>
    <t>Antidote to Oblivion</t>
  </si>
  <si>
    <t>The Brood of Erys</t>
  </si>
  <si>
    <t>Scavenger</t>
  </si>
  <si>
    <t>1-78178-298-9</t>
  </si>
  <si>
    <t>1-78178-299-6</t>
  </si>
  <si>
    <t>1-78178-300-9</t>
  </si>
  <si>
    <t>War Doctor</t>
  </si>
  <si>
    <t>TW</t>
  </si>
  <si>
    <t>DVD/MP3</t>
  </si>
  <si>
    <t>S8</t>
  </si>
  <si>
    <t>34.1</t>
  </si>
  <si>
    <t>Deep Breath</t>
  </si>
  <si>
    <t>0-426-20355-0</t>
  </si>
  <si>
    <t>0-426-20357-7</t>
  </si>
  <si>
    <t>0-426-20359-3</t>
  </si>
  <si>
    <t>0-426-20360-7</t>
  </si>
  <si>
    <t>0-426-20365-8</t>
  </si>
  <si>
    <t>0-426-20367-4</t>
  </si>
  <si>
    <t>0-426-20368-2</t>
  </si>
  <si>
    <t>Ben Wheatley</t>
  </si>
  <si>
    <t>34.2</t>
  </si>
  <si>
    <t>34.3</t>
  </si>
  <si>
    <t>34.4</t>
  </si>
  <si>
    <t>34.5</t>
  </si>
  <si>
    <t>34.6</t>
  </si>
  <si>
    <t>Into the Dalek</t>
  </si>
  <si>
    <t>Robot of Sherwood</t>
  </si>
  <si>
    <t>Listen</t>
  </si>
  <si>
    <t>Time Heist</t>
  </si>
  <si>
    <t>The Caretaker</t>
  </si>
  <si>
    <t>34.7</t>
  </si>
  <si>
    <t>34.8</t>
  </si>
  <si>
    <t>34.9</t>
  </si>
  <si>
    <t>34.10</t>
  </si>
  <si>
    <t>Kill the Moon</t>
  </si>
  <si>
    <t>Mummy on the Orient Express</t>
  </si>
  <si>
    <t>Flatline</t>
  </si>
  <si>
    <t>In the Forest of the Night</t>
  </si>
  <si>
    <t>34.11/12</t>
  </si>
  <si>
    <t>Frank Cottrell Boyce</t>
  </si>
  <si>
    <t>Jamie Mathieson</t>
  </si>
  <si>
    <t>Peter Harness</t>
  </si>
  <si>
    <t>Gareth Roberts, Steven Moffat</t>
  </si>
  <si>
    <t>Steve Thompson, Steven Moffat</t>
  </si>
  <si>
    <t>Phil Ford, Steven Moffat</t>
  </si>
  <si>
    <t>Paul Murphy</t>
  </si>
  <si>
    <t>Sheree Folkson</t>
  </si>
  <si>
    <t>Rachel Talalay</t>
  </si>
  <si>
    <t>34.13</t>
  </si>
  <si>
    <t>Paul Wilmshurst</t>
  </si>
  <si>
    <t>Decky</t>
  </si>
  <si>
    <t>DWA 293</t>
  </si>
  <si>
    <t>DWA 294</t>
  </si>
  <si>
    <t>DWA 295</t>
  </si>
  <si>
    <t>DWA 296</t>
  </si>
  <si>
    <t>DWA 297</t>
  </si>
  <si>
    <t>DWA 298</t>
  </si>
  <si>
    <t>DWA 299</t>
  </si>
  <si>
    <t>DWA 300</t>
  </si>
  <si>
    <t>DWA 301</t>
  </si>
  <si>
    <t>DWA 302</t>
  </si>
  <si>
    <t>DWA 303</t>
  </si>
  <si>
    <t>DWA 304</t>
  </si>
  <si>
    <t>DWA 305</t>
  </si>
  <si>
    <t>DWA 306</t>
  </si>
  <si>
    <t>DWA 307</t>
  </si>
  <si>
    <t>DWA 308</t>
  </si>
  <si>
    <t>DWA 309</t>
  </si>
  <si>
    <t>DWA 310</t>
  </si>
  <si>
    <t>DWA 312</t>
  </si>
  <si>
    <t>DWA 313</t>
  </si>
  <si>
    <t>Meteorite Meeting</t>
  </si>
  <si>
    <t>Tower of Power</t>
  </si>
  <si>
    <t>The Shark Shocker</t>
  </si>
  <si>
    <t>The Toybox</t>
  </si>
  <si>
    <t>The Runaway Bogey</t>
  </si>
  <si>
    <t>On the Cards</t>
  </si>
  <si>
    <t>Decky the Halls</t>
  </si>
  <si>
    <t>Snowball!</t>
  </si>
  <si>
    <t>Museum Piece</t>
  </si>
  <si>
    <t>All Change!</t>
  </si>
  <si>
    <t>An Ill Wind</t>
  </si>
  <si>
    <t>The Water World</t>
  </si>
  <si>
    <t>Pet Panic</t>
  </si>
  <si>
    <t>Space Race</t>
  </si>
  <si>
    <t>Love Is in the Air</t>
  </si>
  <si>
    <t>Toothache!</t>
  </si>
  <si>
    <t>Terror in the Taj Mahal</t>
  </si>
  <si>
    <t>Eye Spy</t>
  </si>
  <si>
    <t>Colossus of the Colosseum</t>
  </si>
  <si>
    <t>The Tail of Decky Flamboon</t>
  </si>
  <si>
    <t>DWA 311</t>
  </si>
  <si>
    <t>James Hill</t>
  </si>
  <si>
    <t>DWM 456-461</t>
  </si>
  <si>
    <t>Hunters of the Burning Stone</t>
  </si>
  <si>
    <t>The Egg Hunt</t>
  </si>
  <si>
    <t>DWA 314</t>
  </si>
  <si>
    <t>The Mystery of the Mould</t>
  </si>
  <si>
    <t>DWA 315</t>
  </si>
  <si>
    <t>DWA 329</t>
  </si>
  <si>
    <t>DWA 322</t>
  </si>
  <si>
    <t>DWA 323</t>
  </si>
  <si>
    <t>DWA 324</t>
  </si>
  <si>
    <t>DWA 325</t>
  </si>
  <si>
    <t>DWA 326</t>
  </si>
  <si>
    <t>DWA 327</t>
  </si>
  <si>
    <t>DWA 328</t>
  </si>
  <si>
    <t>DWA 320</t>
  </si>
  <si>
    <t>DWA 321</t>
  </si>
  <si>
    <t>DWA 318</t>
  </si>
  <si>
    <t>DWA 319</t>
  </si>
  <si>
    <t>DWA 316</t>
  </si>
  <si>
    <t>DWA 317</t>
  </si>
  <si>
    <t>The Planet that Went Backwards</t>
  </si>
  <si>
    <t>Teacher's Pet</t>
  </si>
  <si>
    <t>Coral Maze</t>
  </si>
  <si>
    <t>Sandblasted</t>
  </si>
  <si>
    <t>Tunnel Terrors!</t>
  </si>
  <si>
    <t>Line of Battle</t>
  </si>
  <si>
    <t>The Curse of the Gibwyn</t>
  </si>
  <si>
    <t>Gumfight</t>
  </si>
  <si>
    <t>The Hat Trick</t>
  </si>
  <si>
    <t>Gnome Guard</t>
  </si>
  <si>
    <t>Strictly Fight Monsters</t>
  </si>
  <si>
    <t>Planet Void</t>
  </si>
  <si>
    <t>Reprogramme</t>
  </si>
  <si>
    <t>Shipwrecked</t>
  </si>
  <si>
    <t>Glenn Dakin</t>
  </si>
  <si>
    <t>Rik Hoskin</t>
  </si>
  <si>
    <t>Christoher Cooper</t>
  </si>
  <si>
    <t>DWA 330</t>
  </si>
  <si>
    <t>DWA 331</t>
  </si>
  <si>
    <t>DWA 332</t>
  </si>
  <si>
    <t>Eye of the Storm</t>
  </si>
  <si>
    <t>Whale Tale</t>
  </si>
  <si>
    <t>Faceache</t>
  </si>
  <si>
    <t>9 0ct 13</t>
  </si>
  <si>
    <t>The Door to a Winter Long Ago</t>
  </si>
  <si>
    <t>Ann 50th</t>
  </si>
  <si>
    <t>Penguin Group</t>
  </si>
  <si>
    <t>1-4059-1179-5</t>
  </si>
  <si>
    <t>The Fifty-Year Delay</t>
  </si>
  <si>
    <t>Night Light</t>
  </si>
  <si>
    <t>DWM 462-464</t>
  </si>
  <si>
    <t>A Wing and a Prayer</t>
  </si>
  <si>
    <t>Mike Collins, David A Roach</t>
  </si>
  <si>
    <t>DWM 465-466</t>
  </si>
  <si>
    <t>Welcome to Tickle Town</t>
  </si>
  <si>
    <t>DWM 467</t>
  </si>
  <si>
    <t>John Smith and the Common Men</t>
  </si>
  <si>
    <t>DWM 468-469</t>
  </si>
  <si>
    <t>Pay the Piper</t>
  </si>
  <si>
    <t>The Blood of Azrael</t>
  </si>
  <si>
    <t>DWM 470-474</t>
  </si>
  <si>
    <t>The Birthday Boy</t>
  </si>
  <si>
    <t>Horacio Domingues, Ruben Gonzales</t>
  </si>
  <si>
    <t>IDWMSBD</t>
  </si>
  <si>
    <t>BBCN52</t>
  </si>
  <si>
    <t>Plague of the Cybermen</t>
  </si>
  <si>
    <t>1-84990-574-9</t>
  </si>
  <si>
    <t>BBCN53</t>
  </si>
  <si>
    <t>The Dalek Generation</t>
  </si>
  <si>
    <t>0-385-34674-0</t>
  </si>
  <si>
    <t>BBCN54</t>
  </si>
  <si>
    <t>Shroud of Sorrow</t>
  </si>
  <si>
    <t>Tommy Donbavand</t>
  </si>
  <si>
    <t>1-84990-576-3</t>
  </si>
  <si>
    <t>DotD7</t>
  </si>
  <si>
    <t>Shockwave</t>
  </si>
  <si>
    <t>Sophie Aldred, Ian Brooker</t>
  </si>
  <si>
    <t>1-4713-1173-4</t>
  </si>
  <si>
    <t>DotD8</t>
  </si>
  <si>
    <t>Enemy Aliens</t>
  </si>
  <si>
    <t>1-4713-1174-1</t>
  </si>
  <si>
    <t>DotD9</t>
  </si>
  <si>
    <t>Night of the Whisper</t>
  </si>
  <si>
    <t>DotD10</t>
  </si>
  <si>
    <t>Death's Deal</t>
  </si>
  <si>
    <t>1-4713-1176-5</t>
  </si>
  <si>
    <t>DotD11</t>
  </si>
  <si>
    <t>The Time Machine</t>
  </si>
  <si>
    <t>1-4713-1177-2</t>
  </si>
  <si>
    <t>1-11 (The Time Machine)</t>
  </si>
  <si>
    <t>Space Oddity</t>
  </si>
  <si>
    <t>Andres Ponce, Horacio Domingues, Ruben Gonzalez</t>
  </si>
  <si>
    <t>IDWPoT11</t>
  </si>
  <si>
    <t>IDWPoT12</t>
  </si>
  <si>
    <t>Scott Tipton, David Tipton</t>
  </si>
  <si>
    <t>1-10</t>
  </si>
  <si>
    <t>Prisoners of Time: The Choice</t>
  </si>
  <si>
    <t>Prisoners of Time: Endgame</t>
  </si>
  <si>
    <t>Lots</t>
  </si>
  <si>
    <t>IDWPoT10</t>
  </si>
  <si>
    <t>Prisoners of Time: Quiet on the Set</t>
  </si>
  <si>
    <t>Elena Casagrande</t>
  </si>
  <si>
    <t>IDWPoT9</t>
  </si>
  <si>
    <t>Prisoners of Time: Mystery Date</t>
  </si>
  <si>
    <t>David Messina</t>
  </si>
  <si>
    <t>IDWPoT8</t>
  </si>
  <si>
    <t>Prisoners of Time: The Body Politic</t>
  </si>
  <si>
    <t>IDWPoT7</t>
  </si>
  <si>
    <t>Prisoners of Time: Cat and Mouse</t>
  </si>
  <si>
    <t>Kev Hopsgood</t>
  </si>
  <si>
    <t>IDWPoT6</t>
  </si>
  <si>
    <t>Prisoners of Time: Facades</t>
  </si>
  <si>
    <t>IDWPoT5</t>
  </si>
  <si>
    <t>Prisoners of Time: In Their Nature</t>
  </si>
  <si>
    <t>Philip Bond</t>
  </si>
  <si>
    <t>Prisoners of Time: A Rare Gem</t>
  </si>
  <si>
    <t>IDWPoT3</t>
  </si>
  <si>
    <t>Prisoners of Time: In With the Tide</t>
  </si>
  <si>
    <t>IDWPoT2</t>
  </si>
  <si>
    <t>Prisoners of Time: Bazaar Adventures</t>
  </si>
  <si>
    <t>IDWPoT1</t>
  </si>
  <si>
    <t>Simon Frazer</t>
  </si>
  <si>
    <t>Gary Caldwell</t>
  </si>
  <si>
    <t>Prisoners of Time: Unnatural Selection</t>
  </si>
  <si>
    <t>Verdigris</t>
  </si>
  <si>
    <t>I</t>
  </si>
  <si>
    <t>CC8.11</t>
  </si>
  <si>
    <t>The Elixir of Doom</t>
  </si>
  <si>
    <t>1-78178-093-0</t>
  </si>
  <si>
    <t>Katy Manning, Derek Fowlds</t>
  </si>
  <si>
    <t>CC8.12</t>
  </si>
  <si>
    <t>Engines of War</t>
  </si>
  <si>
    <t>1-84990-848-1</t>
  </si>
  <si>
    <t>PDA79</t>
  </si>
  <si>
    <t>PDA78</t>
  </si>
  <si>
    <t>Harvest of Time</t>
  </si>
  <si>
    <t>Alastair Reynolds</t>
  </si>
  <si>
    <t>0-385-34680-1</t>
  </si>
  <si>
    <t>Bonus Story</t>
  </si>
  <si>
    <t>ToT1</t>
  </si>
  <si>
    <t>ToT4</t>
  </si>
  <si>
    <t>ToT3</t>
  </si>
  <si>
    <t>ToT2</t>
  </si>
  <si>
    <t>LS4.01</t>
  </si>
  <si>
    <t>Brian Hayles, Matt Fitton</t>
  </si>
  <si>
    <t>1-78178-095-4</t>
  </si>
  <si>
    <t>LS4.02</t>
  </si>
  <si>
    <t>The Queen of Time</t>
  </si>
  <si>
    <t>Brian Hayles, Catherine Harvey</t>
  </si>
  <si>
    <t>1-78178-096-1</t>
  </si>
  <si>
    <t>LS4.03</t>
  </si>
  <si>
    <t>Lords of the Red Planet</t>
  </si>
  <si>
    <t>Brian Hayles, Dorney</t>
  </si>
  <si>
    <t>1-78178-097-8</t>
  </si>
  <si>
    <t>LS4.04</t>
  </si>
  <si>
    <t>The Mega</t>
  </si>
  <si>
    <t>Bill Strutton, Simon Guerrier</t>
  </si>
  <si>
    <t>1-78178-098-5</t>
  </si>
  <si>
    <t>1.1-4.4 (The Mega)</t>
  </si>
  <si>
    <t>31.3</t>
  </si>
  <si>
    <t>VCD</t>
  </si>
  <si>
    <t>First Flight; Red Lightning</t>
  </si>
  <si>
    <t>Wedding Gold; Dahlem Lead</t>
  </si>
  <si>
    <t>An Unearthly Child; The Cave of Skulls; The Forest of Fear; The Firemaker</t>
  </si>
  <si>
    <t>The Dead Planet; The Survivors; The Escape; The Ambush; The Expedition; The Ordeal; The Rescue</t>
  </si>
  <si>
    <t>The Edge of Destruction; The Brink of Disaster</t>
  </si>
  <si>
    <t>The Sea of Death; The Velvet Web; The Screaming Jungle; The Snows of Terror; Sentence of Death; The Keys of Marinus</t>
  </si>
  <si>
    <t>The Temple of Evil; The Warriors of Death; The Bride of Sacrifice; The Day of Darkness</t>
  </si>
  <si>
    <t>The Cannibal Flower; The Mockery of a Man; A Light on the Dead Planet; Tabon of Luxor; An Infinity of Surprises; The Flower Blooms</t>
  </si>
  <si>
    <t>Strangers in Space; The Unwilling Warriors; Hidden Danger; A Race Against Death; Kidnap; A Desperate Venture</t>
  </si>
  <si>
    <t>Voyage of Discovery; Dangerous Endeavours</t>
  </si>
  <si>
    <t>The Dark Pilgrim; The Scorpion Men</t>
  </si>
  <si>
    <t>The Morisco; The Justice of God; The Doleful Knight; The Queen's Pirate</t>
  </si>
  <si>
    <t>The Hole in Space; Messages from the Other Side</t>
  </si>
  <si>
    <t>Planet of Giants; Dangerous Journey; Crisis</t>
  </si>
  <si>
    <t>World's End; The Daleks; Day of Reckoning; The End of Tomorrow; The Waking Ally; Flashpoint</t>
  </si>
  <si>
    <t>The Marsh-Wains; The Wissfornjarl</t>
  </si>
  <si>
    <t>The Powerful Enemy; Desperate Measures</t>
  </si>
  <si>
    <t>The Slave Traders; All Roads Lead to Rome; Conspiracy; Inferno</t>
  </si>
  <si>
    <t>The Web Planet; The Zarbi; Escape to Danger; Crater of Needles; Invasion; The Centre</t>
  </si>
  <si>
    <t>The Space Museum; The Dimensions of Time; The Search; The Final Phase</t>
  </si>
  <si>
    <t>The City; The Dream</t>
  </si>
  <si>
    <t>The Executioners; The Death of Time; Flight Through Eternity; Journey into Terror; The Death of Doctor Who; The Planet of Decision</t>
  </si>
  <si>
    <t>The Cave of Five Hundred Skulls; The Birth of Ian Chesterton</t>
  </si>
  <si>
    <t>The Watcher; The Meddling Monk; A Battle of Wits; Checkmate</t>
  </si>
  <si>
    <t>An Unearthing; The Piltdown Woman; The Female of the Species; The Sharing</t>
  </si>
  <si>
    <t>Dust and Death; Dust and Empire</t>
  </si>
  <si>
    <t>The Island; The Door; The Wall; The Betrayer</t>
  </si>
  <si>
    <t>The Old Men in the Clock; The Guardian of the Solar System</t>
  </si>
  <si>
    <t>The Rising Tide; The Drowned World</t>
  </si>
  <si>
    <t>Dream Home; Home Truths</t>
  </si>
  <si>
    <t>The Impassable Sky; The Cold Equations</t>
  </si>
  <si>
    <t>The First Wave; The Last Wave</t>
  </si>
  <si>
    <t>The Steel Sky; The Plague; The Return; The Bomb</t>
  </si>
  <si>
    <t>A Holiday for the Doctor; Don't Shoot the Pianist; Johnny Ringo; The OK Corral</t>
  </si>
  <si>
    <t>The Scourge of the Skies; The Trail of the Rocket Men</t>
  </si>
  <si>
    <t>The Marriage Prospector; Welcome to the Family</t>
  </si>
  <si>
    <t>The Ocean of Time; Unjust Deserts</t>
  </si>
  <si>
    <t>Anti-Natal Care; Delivery</t>
  </si>
  <si>
    <t>Analysis; Disassembly; Decompilation; Reverse Engineering</t>
  </si>
  <si>
    <t>Ticket to Ride; Illumination</t>
  </si>
  <si>
    <t>The Dusk; The Longest Night; The New Dawn; The End of Days</t>
  </si>
  <si>
    <t>Some Body; Some One; No One; No Body</t>
  </si>
  <si>
    <t>Alternative Employment; Riot Act; The Cost of Living; Mother Knows Best</t>
  </si>
  <si>
    <t>Sisters of the Flame; Vengeance of Morbius</t>
  </si>
  <si>
    <t>The Sound of Silence; Sound of the Underground; Meet the Monsters; Escape to Danger; Trouble on the Move; Hitting the Right Note</t>
  </si>
  <si>
    <t>Aliens of London; World War Three</t>
  </si>
  <si>
    <t>The Empty Child; The Doctor Dances</t>
  </si>
  <si>
    <t>Bad Wolf; The Parting of the Ways</t>
  </si>
  <si>
    <t>Growing Terror; Hyperstar Rising; Death Race Five Billion; The Macrobe Menace; The Hunt of Doom; Reunion of Fear</t>
  </si>
  <si>
    <t>Rise of the Cybermen; The Age of Steel</t>
  </si>
  <si>
    <t>The Impossible Planet; The Satan Pit</t>
  </si>
  <si>
    <t>Bat Attack!; The Battle of Reading Gaol</t>
  </si>
  <si>
    <t>Gangsters' Paradise; Heads You Lose</t>
  </si>
  <si>
    <t>A Date to Remember; Snow Fakes</t>
  </si>
  <si>
    <t>Army of Ghosts; Doomsday</t>
  </si>
  <si>
    <t>The Hunters; Cliffhanger!</t>
  </si>
  <si>
    <t>The Power of the Cybermen; Drones of Doom; Enemy Mine; Time of the Cybermen</t>
  </si>
  <si>
    <t>Beneath the Skin; The Sky Below; Beyond the Sea; Lonely Planet</t>
  </si>
  <si>
    <t>Daleks in Manhattan; Evolution of the Daleks</t>
  </si>
  <si>
    <t>Wrath of the Warrior; The Screaming Prison; Force and Fury; Warrior's Revenge</t>
  </si>
  <si>
    <t>Head Start; Jewel of the Vile; Dock; Stocks; and Barrel; End Game</t>
  </si>
  <si>
    <t>The Millenium Blag; Second Wave; Operation Lock-Up; Crime After Time</t>
  </si>
  <si>
    <t>Minor Trouble; Inhuman Sacrifice; Crimes and Punishments</t>
  </si>
  <si>
    <t>Human Nature; The Family of Blood</t>
  </si>
  <si>
    <t>The Sound of Drums; Last of the Time Lords</t>
  </si>
  <si>
    <t>The Diamonds of Sartor; Quarsian Mission; Android of Death</t>
  </si>
  <si>
    <t>Dusty Death; Cold Assassin; Designs of the Dust</t>
  </si>
  <si>
    <t>The Sontaran Stratagem; The Poison Sky</t>
  </si>
  <si>
    <t>Any Old Iron; Merchant of Menace</t>
  </si>
  <si>
    <t>The Black Sea; Sting of the Serpent; Attack of the Rats; The Zantraan Invasion</t>
  </si>
  <si>
    <t>Pawns of the Zenith; Swarm of the Zenith; Prey of the Zenith; Lair of the Zenith</t>
  </si>
  <si>
    <t>The Time Stealer; School of the Dead; Ghosts From the Past; The Battle for Time</t>
  </si>
  <si>
    <t>Silence in the Library; Forest of the Dead</t>
  </si>
  <si>
    <t>The Stolen Earth; Journey's End</t>
  </si>
  <si>
    <t>Carnage Zoo; Flight and Fury; Living Ghosts; Extermination of the Daleks</t>
  </si>
  <si>
    <t>Da Vinci's Robots; Metal Mania</t>
  </si>
  <si>
    <t>About Last Night; Dark Side of the Moon</t>
  </si>
  <si>
    <t>The Day the Earth Was Sold; The King of Earth</t>
  </si>
  <si>
    <t>The Guardians of Terror; The Rebirth of Corah</t>
  </si>
  <si>
    <t>The House at the End of the World; The End</t>
  </si>
  <si>
    <t>The Time of Angels; Flesh and Stone</t>
  </si>
  <si>
    <t>The Hungry Earth; Cold Blood</t>
  </si>
  <si>
    <t>The Pandorica Opens; The Big Bang</t>
  </si>
  <si>
    <t>The Impossible Astronaut; Day of the Moon</t>
  </si>
  <si>
    <t>The Rebel Flesh; The Almost People</t>
  </si>
  <si>
    <t>Agent 99; Dimension Warp</t>
  </si>
  <si>
    <t>Star Light, Star Bright; Blood Will Tell</t>
  </si>
  <si>
    <t>The City of Silence; The Shadow People; The Doomed Planet; The Caves of Night; The Sun Bomb; Invasion by Darkness</t>
  </si>
  <si>
    <t>Plot Devices; Holes in the Plot; The Plot Thickens; Explaining the Plot</t>
  </si>
  <si>
    <t>Episodes</t>
  </si>
  <si>
    <t>The Purple Cloud Hour; The Green Leaf Hour; The Yellow Moss Hour; The Grey Water Hour; The Burning Sky Hour</t>
  </si>
  <si>
    <t>Break the Chain; The End of the World; Dreaming of the Devil; The Weight of History; Innocent Blood</t>
  </si>
  <si>
    <t>The Rainmaker; The Plain of Despair</t>
  </si>
  <si>
    <t>LXIV, and All That...; Four Sides to the Circle; Window Shopping for a New Crown of Thorns; Infamy, Infamy, They've All Got It in for Me; Four Lane Ends</t>
  </si>
  <si>
    <t>The Pugilist; The Machinery of Justice</t>
  </si>
  <si>
    <t>The Map of Life; The Glass Queen</t>
  </si>
  <si>
    <t>A Man of No Account; Credit Where Credit is Due</t>
  </si>
  <si>
    <t>Dark Light; Digging Up the Past; The Skull of Vilus Krull; Seeing the Dark</t>
  </si>
  <si>
    <t>Cold Open; A Lack of Trust; Extra Vehicular Activity; Genetic Heritage</t>
  </si>
  <si>
    <t>Cold Welcome; The Living Fossil; Sins of the Fathers; Permian Extinction</t>
  </si>
  <si>
    <t>The Midnight News; Wareing's World; Live With; Election Special</t>
  </si>
  <si>
    <t>Shop Talk; Games Without Frontiers</t>
  </si>
  <si>
    <t>The Library of Alexandria/The Great Library; The Pathway to the Stars</t>
  </si>
  <si>
    <t>The Rocket Men/Assault on Platform Five; The Fall</t>
  </si>
  <si>
    <t>The Perpetual Bond/Market Forces; Fair Trade</t>
  </si>
  <si>
    <t>Dark Water; Death in Heaven</t>
  </si>
  <si>
    <t>Runny Science; The Treasury of Knowledge</t>
  </si>
  <si>
    <t>Tribal Warriors; Queen's Gambit</t>
  </si>
  <si>
    <t>Power Games; Dalek Moon Rising</t>
  </si>
  <si>
    <t>Tales of Dark Peak; The Worm's Hole</t>
  </si>
  <si>
    <t xml:space="preserve">The Space Plague; Vengeance of the Drelleran </t>
  </si>
  <si>
    <t>The Android Conundrum; The Master of Me</t>
  </si>
  <si>
    <t>Early Adventure</t>
  </si>
  <si>
    <t>The White Room</t>
  </si>
  <si>
    <t>Time's Horizon</t>
  </si>
  <si>
    <t>Eyes of the Master</t>
  </si>
  <si>
    <t>Liv</t>
  </si>
  <si>
    <t>1-78178-304-7</t>
  </si>
  <si>
    <t>8DE.2</t>
  </si>
  <si>
    <t>5DBS1.1</t>
  </si>
  <si>
    <t>Psychodrome</t>
  </si>
  <si>
    <t>1-78178-340-5</t>
  </si>
  <si>
    <t>5DBS1.2</t>
  </si>
  <si>
    <t>Iterations of I</t>
  </si>
  <si>
    <t>Trial of the Valeyard</t>
  </si>
  <si>
    <t>Alan Barnes, Mike Maddox</t>
  </si>
  <si>
    <t>1-78178-320-7</t>
  </si>
  <si>
    <t>1-12 (Trial of the Valeyard)</t>
  </si>
  <si>
    <t>1-78178-024-4</t>
  </si>
  <si>
    <t>The Light at the End</t>
  </si>
  <si>
    <t>1-78178-116-6</t>
  </si>
  <si>
    <t>1-78178-362-7</t>
  </si>
  <si>
    <t>The Lights of Skaro</t>
  </si>
  <si>
    <t>Random Ghosts</t>
  </si>
  <si>
    <t>Good Night, Sweet Ladies</t>
  </si>
  <si>
    <t>The Revolution</t>
  </si>
  <si>
    <t>TNAoBS1.1</t>
  </si>
  <si>
    <t>TNAoBS1.2</t>
  </si>
  <si>
    <t>TNAoBS1.3</t>
  </si>
  <si>
    <t>TNAoBS1.4</t>
  </si>
  <si>
    <t>4DA3.6</t>
  </si>
  <si>
    <t>4DA3.7</t>
  </si>
  <si>
    <t>4DA3.8</t>
  </si>
  <si>
    <t>Destroy the Infinite</t>
  </si>
  <si>
    <t>The Abandoned</t>
  </si>
  <si>
    <t>Zygon Hunt</t>
  </si>
  <si>
    <t>1-78178-295-8</t>
  </si>
  <si>
    <t>1-78178-296-5</t>
  </si>
  <si>
    <t>Nigel Fairs, Louise Jameson</t>
  </si>
  <si>
    <t>Philip Hinchcliffe, Marc Platt</t>
  </si>
  <si>
    <t>PHP1.1</t>
  </si>
  <si>
    <t>PHP1.2</t>
  </si>
  <si>
    <t>The Ghosts of Gralstead</t>
  </si>
  <si>
    <t>The Devil's Armada</t>
  </si>
  <si>
    <t>TWoDW1.1</t>
  </si>
  <si>
    <t>Mind Games</t>
  </si>
  <si>
    <t>Ken Bentley, Lisa Bowerman</t>
  </si>
  <si>
    <t>1-78178-341-2</t>
  </si>
  <si>
    <t>Continuity</t>
  </si>
  <si>
    <t>J&amp;L6.2</t>
  </si>
  <si>
    <t>TWoDW1.2</t>
  </si>
  <si>
    <t>The Reesinger Process</t>
  </si>
  <si>
    <t>TWoDW1.3</t>
  </si>
  <si>
    <t>The Screaming Skull</t>
  </si>
  <si>
    <t>TWoDW1.4</t>
  </si>
  <si>
    <t>Second Sight</t>
  </si>
  <si>
    <t>Nick Wallace, Justin Richards</t>
  </si>
  <si>
    <t>The Fifth Citadel</t>
  </si>
  <si>
    <t>Peshka</t>
  </si>
  <si>
    <t xml:space="preserve">Sins of the Fathers </t>
  </si>
  <si>
    <t>Changing of the Guard</t>
  </si>
  <si>
    <t>The Concrete Cage</t>
  </si>
  <si>
    <t>The Forgotten Village</t>
  </si>
  <si>
    <t xml:space="preserve">Unto the Breach </t>
  </si>
  <si>
    <t>1-78178-082-4</t>
  </si>
  <si>
    <t>1-78178-322-1</t>
  </si>
  <si>
    <t>EA1.1</t>
  </si>
  <si>
    <t>Domain of the Voord</t>
  </si>
  <si>
    <t>EA1.2</t>
  </si>
  <si>
    <t>The Doctor's Tale</t>
  </si>
  <si>
    <t>1-84435-607-2</t>
  </si>
  <si>
    <t>1-84435-614-0</t>
  </si>
  <si>
    <t>1-84435-615-7</t>
  </si>
  <si>
    <t>1-84435-613-3</t>
  </si>
  <si>
    <t>1-84435-616-4</t>
  </si>
  <si>
    <t>1-84435-617-1</t>
  </si>
  <si>
    <t>0-426-20418-2</t>
  </si>
  <si>
    <t>0-426-20422-0</t>
  </si>
  <si>
    <t>0-426-20424-7</t>
  </si>
  <si>
    <t>0-426-20429-8</t>
  </si>
  <si>
    <t>0-426-20431-X</t>
  </si>
  <si>
    <t>0-426-20435-2</t>
  </si>
  <si>
    <t>0-426-20438-7</t>
  </si>
  <si>
    <t>0-426-20441-7</t>
  </si>
  <si>
    <t>0-426-20449-2</t>
  </si>
  <si>
    <t>0-426-20445-X</t>
  </si>
  <si>
    <t>The Sorcerer's Apprentice</t>
  </si>
  <si>
    <t>0-426-20447-6</t>
  </si>
  <si>
    <t>0-426-20440-9</t>
  </si>
  <si>
    <t>0-426-20453-0</t>
  </si>
  <si>
    <t>0-426-20455-7</t>
  </si>
  <si>
    <t>0-426-20457-3</t>
  </si>
  <si>
    <t>0-426-20460-3</t>
  </si>
  <si>
    <t>0-426-20462-X</t>
  </si>
  <si>
    <t>0-426-20461-1</t>
  </si>
  <si>
    <t>0-426-20466-2</t>
  </si>
  <si>
    <t>0-426-20469-7</t>
  </si>
  <si>
    <t>0-426-20472-7</t>
  </si>
  <si>
    <t>0-426-20474-3</t>
  </si>
  <si>
    <t>0-426-20477-8</t>
  </si>
  <si>
    <t>0-426-20479-4</t>
  </si>
  <si>
    <t>0-426-20480-8</t>
  </si>
  <si>
    <t>0-426-20487-5</t>
  </si>
  <si>
    <t>0-426-20489-1</t>
  </si>
  <si>
    <t>0-426-20498-0</t>
  </si>
  <si>
    <t>0-426-20501-4</t>
  </si>
  <si>
    <t>0-426-20503-0</t>
  </si>
  <si>
    <t>0-426-20506-5</t>
  </si>
  <si>
    <t>0-426-20467-0</t>
  </si>
  <si>
    <t>1-84435-092-4</t>
  </si>
  <si>
    <t>1-84435-114-9</t>
  </si>
  <si>
    <t>1-84435-115-7</t>
  </si>
  <si>
    <t>1-84435-116-5</t>
  </si>
  <si>
    <t>1-904419-73-9</t>
  </si>
  <si>
    <t>1-4059-0798-9</t>
  </si>
  <si>
    <t>0-563-48648-1</t>
  </si>
  <si>
    <t>1-84607-204-8</t>
  </si>
  <si>
    <t>1-84607-372-3</t>
  </si>
  <si>
    <t>1-84607-643-9</t>
  </si>
  <si>
    <t>1-84607-928-3</t>
  </si>
  <si>
    <t>1-903654-78-5</t>
  </si>
  <si>
    <t>1-84435-039-8</t>
  </si>
  <si>
    <t>1-84435-113-0</t>
  </si>
  <si>
    <t>1-903654-90-4</t>
  </si>
  <si>
    <t>1-84435-164-5</t>
  </si>
  <si>
    <t>1-84435-238-8</t>
  </si>
  <si>
    <t>1-84435-252-8</t>
  </si>
  <si>
    <t>1-84435-385-9</t>
  </si>
  <si>
    <t>1-84435-470-2</t>
  </si>
  <si>
    <t>1-84435-373-6</t>
  </si>
  <si>
    <t>1-84435-622-5</t>
  </si>
  <si>
    <t>1-84435-018-5</t>
  </si>
  <si>
    <t>1-84435-019-3</t>
  </si>
  <si>
    <t>1-84435-020-7</t>
  </si>
  <si>
    <t>1-84435-021-5</t>
  </si>
  <si>
    <t>1-84435-082-7</t>
  </si>
  <si>
    <t>1-84435-083-5</t>
  </si>
  <si>
    <t>1-84435-086-X</t>
  </si>
  <si>
    <t>1-84435-087-8</t>
  </si>
  <si>
    <t>Inter-Galactic Cat</t>
  </si>
  <si>
    <t>In the Heat in the Cold; Manoeuvres</t>
  </si>
  <si>
    <t>Contract Disputes; Life's Work</t>
  </si>
  <si>
    <t>The Impregnable Prison; The War Beneath the Sea; The Kurgon Wonder; The Second Empire of Velyshaa</t>
  </si>
  <si>
    <t>The True Masters of the Air; The Passenger in Cabin 43; The Uncreators; No Survivors</t>
  </si>
  <si>
    <t>Salvage Mission; The Metal Menace; Dead in Space; The Orion Legacy</t>
  </si>
  <si>
    <t>Alternative Mentalities; Demon Hunt; The Brig's Doctor; Hellfire</t>
  </si>
  <si>
    <t>Halliday, P.I. and the Case of the Stolen Scientist; The Talents of Miss Glory Bee; The Phantom's Treasure; The Apotheosis of Cosmo Devine</t>
  </si>
  <si>
    <t>The Best Man and the Bear; The Flames of Moscow</t>
  </si>
  <si>
    <t>The Wax Cylinder</t>
  </si>
  <si>
    <t>The Infantry Jacket</t>
  </si>
  <si>
    <t>The Painting</t>
  </si>
  <si>
    <t>The Crystal</t>
  </si>
  <si>
    <t>Too Good to be True; The Complete Makeover; Slim Chances and Narrow Escapes; Live and Let Diet</t>
  </si>
  <si>
    <t>Red Rocket Rising; Purity of the Daleks</t>
  </si>
  <si>
    <t>The Floating City; Return to Terror; Behind the Mask; Fightback</t>
  </si>
  <si>
    <t>The Lord of Misrule; The White Hart; Sanctuary; The Empty Crown</t>
  </si>
  <si>
    <t>The Eye in the Egg; Miss Austen Regrets</t>
  </si>
  <si>
    <t xml:space="preserve">Hate Speech; The Voice of Fear; Panic in the Streets; Going Live </t>
  </si>
  <si>
    <t>Carnivale; Tracks; Shadows and Blood; Spirits of the Forest, Bones of the Earth</t>
  </si>
  <si>
    <t>DWM Yearbook Story</t>
  </si>
  <si>
    <t>Doctor Evelyn Smythe; A Tangled Skein;  Marriage Vows; The Child Growing Within</t>
  </si>
  <si>
    <t>Theatrics; History in Flux; Major Disruption; The Understudy's Moment</t>
  </si>
  <si>
    <t>Not Quite Christmas; Crossing Lines Thisaway; Still Not Quite Christmas; Crossing Lines Thataway</t>
  </si>
  <si>
    <t>The Tower; Doctor Who is Required; Slaves of the Machine; The Power of WOTAN</t>
  </si>
  <si>
    <t xml:space="preserve">The Ice Tombs of Telos; The Vault of Horror; The Conversion; Buried Alive </t>
  </si>
  <si>
    <t xml:space="preserve">A Day by the Sea; Dinner Goes to Plan; Victoria in the Kitchen; Break Out the Wine!; A Tin and a Holiday Liner; An Uninvited Guest </t>
  </si>
  <si>
    <t>The Forbidden Island; Inquisition of the Dominators; Slaves of the Quarks; Guerilla Uprising; The Molten World</t>
  </si>
  <si>
    <t>The Void; The Forest of Words; The Labyrinth and the Tower; The Fact of Fiction; The Master</t>
  </si>
  <si>
    <t>Mindpower; Out of the Dynatrope; Attack of the Krotons; Revenge of the Gonds</t>
  </si>
  <si>
    <t>The Man Who Fell To Earth; Helpless; House of Wax; The Auton Invasion</t>
  </si>
  <si>
    <t>Energy Drain; Memories From Beyond Time; The Cave Monsters; Imprisoned; Homo Reptilia; The Plagues of London; Counterattack</t>
  </si>
  <si>
    <t>Project Inferno; The Primords; The Brigade Leader; The Final Countdown; Penetration Zero; The End Of The Earth; Second Chance</t>
  </si>
  <si>
    <t>Past Master; Plastic Possession; Plastic Revelation; Invasion from Space</t>
  </si>
  <si>
    <t>The Ghosts of Tomorrow; Rule of the Daleks; Mind Probe; Future's End</t>
  </si>
  <si>
    <t>Evil on Peladon; Sabotage; A Fight to the Death; The Legend of Aggedor</t>
  </si>
  <si>
    <t>The Prisoner in the Castle; Hidden Agenda; Return of the Ancient Ones; Exploring the Deep; War or Peace; Owners of the Earth</t>
  </si>
  <si>
    <t>Dream of Oblivion; The Chronovores; The Power of Time; A Dangerous Journey; The Truth of Myth; The Fate of Atlantis</t>
  </si>
  <si>
    <t>The Ship that Vanished; The Creatures of Death; Out of Scope; The Drashig Terror</t>
  </si>
  <si>
    <t>The Green Man; Journey in the Dark; Escape to the Surface; Inside Man; Who's the BOSS; Takeover Bid</t>
  </si>
  <si>
    <t>The Star Knight; The Will of Irongron; Assault on Wessex; The Iron Warrior</t>
  </si>
  <si>
    <t>The Deserted City; The Disappearing Dinosaurs; Secrets and Lies; Trap One; The People; Past and Future</t>
  </si>
  <si>
    <t>The City of the Exxilons; An Uneasy Alliance; The Living Temple; The Maze of the Exxilons</t>
  </si>
  <si>
    <t>The Ghost of Aggedor; The Monster Revealed; A Failure of Diplomacy; Citadel Under Siege; A Traitor Down the Mines; Long Live the Queen</t>
  </si>
  <si>
    <t>Psi Power; The Chase; The Blue Planet; The Web; The Cave of the Great One; The Price</t>
  </si>
  <si>
    <t>Sleeping Out Infinity; Queen of the Wirrn; A Peril on Nerva; Humanity's End</t>
  </si>
  <si>
    <t>The Watcher in the Rocks; Experiments in Fear</t>
  </si>
  <si>
    <t>The Thousand Year War; The Bunker; The Rocket; Out of the Ashes; Visions of the Future; Final Choice</t>
  </si>
  <si>
    <t>The Beacon In Space; The Plague Carriers; The Gold Miners; The Battle for the Beacon</t>
  </si>
  <si>
    <t>Death at Sea; The Hunt on the Moors; Broton; The Loch Ness Monster</t>
  </si>
  <si>
    <t>The Deadly Jungle; The Pit Of Forever; The Amber Trap; The Anti-Man</t>
  </si>
  <si>
    <t>The Face in the Smoke; The Mummy Awakes; Sutekh's Gift; The Pyramid on Mars</t>
  </si>
  <si>
    <t>An Unearthly Village; Styggron; Evaporation; The Double Invasion</t>
  </si>
  <si>
    <t>The Sargasso Planet; Sacred Fire; Under the Knife; Sacred Flame</t>
  </si>
  <si>
    <t>Out of the Snow; The Frozen Wastes; The Second Seed; Flora and Fauna; The Green Cathedral; Age of the Krynoid</t>
  </si>
  <si>
    <t>Sarah and the Hand; Eldrad Must Live!; Return To Kastria; King of the World</t>
  </si>
  <si>
    <t>The Prydonian Candidate; Trail Of A Time Lord; Enter the Matrix; The Sixth Seal</t>
  </si>
  <si>
    <t>The Exile; The Face of the Evil One; The Hand of Xoanon; Citadel of the Tesh</t>
  </si>
  <si>
    <t>Stormfront; Murder; Breakdown; Seige</t>
  </si>
  <si>
    <t>Tong Of The Black Scorpion; Beast Of Darkness; The Jade Key; The Chinese Magician; The Peking Homunculus; The Butcher Of Brisbane</t>
  </si>
  <si>
    <t>In the Dark; Marooned; Chameleon; The Enemy Revealed</t>
  </si>
  <si>
    <t>The Impossible Skull; The Woods Of Death; Myths And Legends; The End Of All Days</t>
  </si>
  <si>
    <t>The Count of Castle Gracht; The Prisoner of Tara; The Princess Android; The Heart of Princess Strella</t>
  </si>
  <si>
    <t>The Familiar Planet; Searching Skaro; The Resurrection of Davros; The Final Strategy</t>
  </si>
  <si>
    <t>The Face of Time; Splinters of the Jagaroth; The Mona Lisa Experience; A Gamble With Time</t>
  </si>
  <si>
    <t>The Stranded Ship; Empire of Skonnos; Power Complex; Out of the Labyrinth</t>
  </si>
  <si>
    <t>Brighton Beach; The Tachyon Regenerator; Amphibian Attack; The Army of Pangol</t>
  </si>
  <si>
    <t>A Real Stickler; Two for the Price of One; Potted or Stoned?; Doppelganger Becomes You</t>
  </si>
  <si>
    <t>The Forbidden Universe; The Creatures From The Mists; The Deciders; Out of the Landfall</t>
  </si>
  <si>
    <t>Twilight; Dark Shadows; True Blood; Angel</t>
  </si>
  <si>
    <t>Zero, Zero, Zero; The Gateway; Mirrors; Backblast</t>
  </si>
  <si>
    <t>The Union of Harmony; The Hidden Enemy; Succession of the Keeper; The Source of Resurrection</t>
  </si>
  <si>
    <t>Dimensions; The City of Logic; Entropy; The Identity of the Watcher</t>
  </si>
  <si>
    <t>Metamorphosis IV; Another World; Convex and Concave; Order and Chaos</t>
  </si>
  <si>
    <t>Bargain of Murder; The Capsule; Time Trap; The Greatest Sacrifice</t>
  </si>
  <si>
    <t>The Museum of Aural Antiquities; The Speed of Sound; Audio Mix; Live Broadcast</t>
  </si>
  <si>
    <t>The Changing of the God; Clerical Concerns; The Tongues of Mortal and Immortal; Divine Vengeance</t>
  </si>
  <si>
    <t>The King is Dead; All's Well; Restoration; Valentine's Massacre</t>
  </si>
  <si>
    <t>Head-Hunted; A Business on the Move</t>
  </si>
  <si>
    <t>Death in Heaven</t>
  </si>
  <si>
    <t>Trapped in the Ghost Academy; Poltergeist; Paranormal Activity; Ghost</t>
  </si>
  <si>
    <t>Strange Matter; Hidden Identities; Plight of the Lakertyans; The Time of the Rani</t>
  </si>
  <si>
    <t>Crash Prizes; Hatching Plans; The Death of Rock'n'Roll</t>
  </si>
  <si>
    <t>Treasure Hunt; Secrets in the Ice; Fire and Ice</t>
  </si>
  <si>
    <t>Runner in the Night; Love Enough for Two;Why Do I Always Get It Wrong?; Making Your Mind Up</t>
  </si>
  <si>
    <t>Nothing and Nobody; Shifty; Edward Grove; Alive or Dead</t>
  </si>
  <si>
    <t>Temporal Powers; The Etra Prime Incident; The Fall of Gallifrey; Dalek Empire</t>
  </si>
  <si>
    <t>Old Friends; Local Legends; Relics; Death on the Moor</t>
  </si>
  <si>
    <t>The Blood of Mithras; Holy Metal; Hellfire Revisited; Season Cycle</t>
  </si>
  <si>
    <t>Into Darkness; An Eye for an Eye?; Blind Leap of Faith; Taste the Light</t>
  </si>
  <si>
    <t>Patronage; Ashes to Ashes; Blank Canvas; Masterpiece</t>
  </si>
  <si>
    <t>The Waiting Zone; The Candy Kitchen; The Doctor Sings the Blues</t>
  </si>
  <si>
    <t>Storm Over Avalion; Merlin; The Lady of the Lake; The Destroyer</t>
  </si>
  <si>
    <t>Cat Flap; Moonwater; Survival</t>
  </si>
  <si>
    <t>Karfel, Now; Borad</t>
  </si>
  <si>
    <t>The Time Destroyers; Two Doctors; Food of the Gods</t>
  </si>
  <si>
    <t>The Death of Sleep; Terror of Redfern Dell</t>
  </si>
  <si>
    <t>The Refugees; Death to the Cybermen</t>
  </si>
  <si>
    <t>Junkyard Terror; Funeral of the Daleks; The Battle of Coal Hill; The Hand of Omega</t>
  </si>
  <si>
    <t>The Fourth Reich;The New Elizabethans; Nemesis of the Cybermen</t>
  </si>
  <si>
    <t xml:space="preserve">The Psychic Circus; Killer Auditions; Moonlight Terror; Power and Performance </t>
  </si>
  <si>
    <t>The Evidence Begins; The Tribe of the Free; The Immortal Remains; Black Light</t>
  </si>
  <si>
    <t>The Caves of Thoros Beta; The Broken Mind; Collaboration of the Doctor; Out of Time</t>
  </si>
  <si>
    <t>Murder on the Hyperion III; Mysterious Creatures; The Black Hole of Tartarus; Rampage of the Vervoids</t>
  </si>
  <si>
    <t xml:space="preserve">Monarch; Dance of Death; Children of God; Howzat! </t>
  </si>
  <si>
    <t>The Enemy Within</t>
  </si>
  <si>
    <t>Time to Die; Ten to Eleven</t>
  </si>
  <si>
    <t>Oflag IV-C; Divergent Paths; Changing History; The Death of Ace</t>
  </si>
  <si>
    <t>Dangerous Undercurrents; The Chains of Fenric; The Soul of the Earth; The Ancient One</t>
  </si>
  <si>
    <t>Wonderland; Heartland; Wasteland</t>
  </si>
  <si>
    <t>Never-Never Land; Homeland</t>
  </si>
  <si>
    <t>Time Out of Joint; History of the Daleks; The Masters of Time; The End of History</t>
  </si>
  <si>
    <t>Conventions; Hotel Buffet; Closed for Renovation; Checking Out</t>
  </si>
  <si>
    <t>Logophile; Logomaniac; Logo…ish; Logorrhea</t>
  </si>
  <si>
    <t>Homecoming; A Deal with the Devil; The Impossible Invasion; The Living God</t>
  </si>
  <si>
    <t>The Golden Hind; Angels; Gloriana; President and Queen</t>
  </si>
  <si>
    <t>Holiday Destination; Ascension; The Great Tribulation; Fallen Angel</t>
  </si>
  <si>
    <t>Knight Takes Queen?; Castling; The King's Bishop; Checkmated</t>
  </si>
  <si>
    <t>The Ziggurat; Deuce; Wetworks; Voices in the Rain</t>
  </si>
  <si>
    <t>The Vulgar End of Time; Attractive, Easy-to-Assemble Treasure; I'll Have to Hurry You; That Doctor</t>
  </si>
  <si>
    <t>Not a Good time; The Wrong Story to Tell; Hoorah for the Pirate King!; Present at the End</t>
  </si>
  <si>
    <t>The Island of Devils; Descent Through Modification; The Food Chain; Selection</t>
  </si>
  <si>
    <t>0-426-20376-3</t>
  </si>
  <si>
    <t>0-426-20385-2</t>
  </si>
  <si>
    <t>0-426-20384-4</t>
  </si>
  <si>
    <t>0-426-20377-1</t>
  </si>
  <si>
    <t>0-426-20378-X</t>
  </si>
  <si>
    <t>0-426-20387-9</t>
  </si>
  <si>
    <t>0-426-20388-7</t>
  </si>
  <si>
    <t>0-426-20395-X</t>
  </si>
  <si>
    <t>0-426-20394-1</t>
  </si>
  <si>
    <t>0-426-20392-5</t>
  </si>
  <si>
    <t>0-426-20399-2</t>
  </si>
  <si>
    <t>0-426-20397-6</t>
  </si>
  <si>
    <t>0-426-20404-2</t>
  </si>
  <si>
    <t>0-426-20408-5</t>
  </si>
  <si>
    <t>0-426-20409-3</t>
  </si>
  <si>
    <t>0-426-20410-7</t>
  </si>
  <si>
    <t>0-426-20412-3</t>
  </si>
  <si>
    <t>0-426-20414-X</t>
  </si>
  <si>
    <t>0-426-20415-8</t>
  </si>
  <si>
    <t>0-426-20417-4</t>
  </si>
  <si>
    <t>0-426-20419-0</t>
  </si>
  <si>
    <t>0-426-20421-2</t>
  </si>
  <si>
    <t>0-426-20423-9</t>
  </si>
  <si>
    <t>0-426-20427-1</t>
  </si>
  <si>
    <t>0-426-20425-5</t>
  </si>
  <si>
    <t>0-426-20433-6</t>
  </si>
  <si>
    <t>0-426-20436-0</t>
  </si>
  <si>
    <t>0-426-20437-9</t>
  </si>
  <si>
    <t>0-426-20439-5</t>
  </si>
  <si>
    <t>0-426-20443-3</t>
  </si>
  <si>
    <t>0-426-20444-1</t>
  </si>
  <si>
    <t>0-426-20446-8</t>
  </si>
  <si>
    <t>0-426-20450-6</t>
  </si>
  <si>
    <t>0-426-20452-2</t>
  </si>
  <si>
    <t>0-426-20454-9</t>
  </si>
  <si>
    <t>0-426-20456-5</t>
  </si>
  <si>
    <t>0-426-20459-X</t>
  </si>
  <si>
    <t>0-426-20463-8</t>
  </si>
  <si>
    <t>0-426-20464-6</t>
  </si>
  <si>
    <t>0-426-20465-4</t>
  </si>
  <si>
    <t>0-426-20468-9</t>
  </si>
  <si>
    <t>0-426-20470-0</t>
  </si>
  <si>
    <t>0-426-20473-5</t>
  </si>
  <si>
    <t>0-426-20476-X</t>
  </si>
  <si>
    <t>0-426-20482-4</t>
  </si>
  <si>
    <t>0-426-20481-6</t>
  </si>
  <si>
    <t>0-426-20483-2</t>
  </si>
  <si>
    <t>0-426-20484-0</t>
  </si>
  <si>
    <t>0-426-20490-5</t>
  </si>
  <si>
    <t>0-426-20497-2</t>
  </si>
  <si>
    <t>0-426-20500-6</t>
  </si>
  <si>
    <t>0-426-20502-2</t>
  </si>
  <si>
    <t>0-426-20504-9</t>
  </si>
  <si>
    <t>0-563-48653-8</t>
  </si>
  <si>
    <t>0-563-48654-6</t>
  </si>
  <si>
    <t>0-563-48655-4</t>
  </si>
  <si>
    <t>1-84607-437-1</t>
  </si>
  <si>
    <t>1-84607-438-7</t>
  </si>
  <si>
    <t>1-84607-439-8</t>
  </si>
  <si>
    <t>1-84607-574-2</t>
  </si>
  <si>
    <t>1-84607-575-0</t>
  </si>
  <si>
    <t>1-84607-573-4</t>
  </si>
  <si>
    <t>1-84607-753-1</t>
  </si>
  <si>
    <t>1-84607-737-1</t>
  </si>
  <si>
    <t>1-84607-739-5</t>
  </si>
  <si>
    <t>1-84607-782-1</t>
  </si>
  <si>
    <t>1-84607-783-8</t>
  </si>
  <si>
    <t>1-4084-2665-4</t>
  </si>
  <si>
    <t>1-4084-2664-7</t>
  </si>
  <si>
    <t>1-4056-8944-1</t>
  </si>
  <si>
    <t>1-4084-2666-1</t>
  </si>
  <si>
    <t>1-4056-7820-9</t>
  </si>
  <si>
    <t>1-4056-7821-6</t>
  </si>
  <si>
    <t>1-4084-2620-3</t>
  </si>
  <si>
    <t>1-4084-2621-0</t>
  </si>
  <si>
    <t>1-4059-0513-8</t>
  </si>
  <si>
    <t>1-4059-0514-5</t>
  </si>
  <si>
    <t>1-4059-0515-2</t>
  </si>
  <si>
    <t>1-4059-0516-9</t>
  </si>
  <si>
    <t>1-4059-0517-6</t>
  </si>
  <si>
    <t>1-4059-0518-3</t>
  </si>
  <si>
    <t>1-4059-0519-0</t>
  </si>
  <si>
    <t>1-4059-0520-4</t>
  </si>
  <si>
    <t>1-4059-0521-3</t>
  </si>
  <si>
    <t>1-4059-0522-0</t>
  </si>
  <si>
    <t>1-903889-02-2</t>
  </si>
  <si>
    <t>1-903889-04-9</t>
  </si>
  <si>
    <t>1-903889-06-5</t>
  </si>
  <si>
    <t>1-903889-08-1</t>
  </si>
  <si>
    <t>1-903889-10-3</t>
  </si>
  <si>
    <t>1-903889-12-X</t>
  </si>
  <si>
    <t>1-903889-14-6</t>
  </si>
  <si>
    <t>1-903889-16-2</t>
  </si>
  <si>
    <t>1-903889-18-9</t>
  </si>
  <si>
    <t>1-903889-20-0</t>
  </si>
  <si>
    <t>1-903889-22-7</t>
  </si>
  <si>
    <t>1-903889-24-3</t>
  </si>
  <si>
    <t>1-903889-26-X</t>
  </si>
  <si>
    <t>1-903889-28-6</t>
  </si>
  <si>
    <t>1-903889-30-8</t>
  </si>
  <si>
    <t>0-426-20347-X</t>
  </si>
  <si>
    <t>0-426-20250-3</t>
  </si>
  <si>
    <t>0-426-20224-4</t>
  </si>
  <si>
    <t xml:space="preserve">1-84435-979-0 </t>
  </si>
  <si>
    <t>1-84435-012-6</t>
  </si>
  <si>
    <t>1-84435-013-4</t>
  </si>
  <si>
    <t>1-84435-014-2</t>
  </si>
  <si>
    <t>1-84435-016-9</t>
  </si>
  <si>
    <t>1-84435-017-7</t>
  </si>
  <si>
    <t>1-84435-015-0</t>
  </si>
  <si>
    <t>1-84435-093-2</t>
  </si>
  <si>
    <t>1-84435-331-6</t>
  </si>
  <si>
    <t>1-4084-2673-9</t>
  </si>
  <si>
    <t>1-4084-2674-6</t>
  </si>
  <si>
    <t>1-4084-2675-3</t>
  </si>
  <si>
    <t>1-60283-869-7</t>
  </si>
  <si>
    <t>1-4084-2677-7</t>
  </si>
  <si>
    <t>1-4084-6667-8</t>
  </si>
  <si>
    <t>1-4084-6668-6</t>
  </si>
  <si>
    <t>1-4084-6669-4</t>
  </si>
  <si>
    <t>1-4084-6670-8</t>
  </si>
  <si>
    <t>1-4084-6671-6</t>
  </si>
  <si>
    <t>1-4084-6885-9</t>
  </si>
  <si>
    <t>1-4084-6886-9</t>
  </si>
  <si>
    <t>1-4084-6887-6</t>
  </si>
  <si>
    <t>1-4084-6888-3</t>
  </si>
  <si>
    <t>1-4084-6889-0</t>
  </si>
  <si>
    <t>1-84990-723-1</t>
  </si>
  <si>
    <t>1-4059-0605-0</t>
  </si>
  <si>
    <t>1-84435-573-0</t>
  </si>
  <si>
    <t>1-84435-586-0</t>
  </si>
  <si>
    <t>1-84435-587-7</t>
  </si>
  <si>
    <t>1-84435-588-4</t>
  </si>
  <si>
    <t>1-84435-589-1</t>
  </si>
  <si>
    <t>1-84435-590-7</t>
  </si>
  <si>
    <t>1-84435-452-8</t>
  </si>
  <si>
    <t>1-84435-453-5</t>
  </si>
  <si>
    <t>1-84435-490-0</t>
  </si>
  <si>
    <t>1-84435-491-7</t>
  </si>
  <si>
    <t>1-84435-492-4</t>
  </si>
  <si>
    <t>1-84435-493-1</t>
  </si>
  <si>
    <t>1-84435-444-3</t>
  </si>
  <si>
    <t>1-84435-445-0</t>
  </si>
  <si>
    <t>1-84435-446-7</t>
  </si>
  <si>
    <t>1-84435-447-4</t>
  </si>
  <si>
    <t>1-84435-448-1</t>
  </si>
  <si>
    <t>1-84435-449-8</t>
  </si>
  <si>
    <t>1-84435-450-4</t>
  </si>
  <si>
    <t>1-84435-451-1</t>
  </si>
  <si>
    <t>1-4056-7819-3</t>
  </si>
  <si>
    <t>1-4084-0678-6</t>
  </si>
  <si>
    <t>1-4084-0679-3</t>
  </si>
  <si>
    <t>1-4084-0938-1</t>
  </si>
  <si>
    <t>1-4084-0940-2</t>
  </si>
  <si>
    <t>1-4084-2749-1</t>
  </si>
  <si>
    <t>0-563-40564-3</t>
  </si>
  <si>
    <t>0-563-40565-1</t>
  </si>
  <si>
    <t>0-563-40571-6</t>
  </si>
  <si>
    <t>0-563-40575-9</t>
  </si>
  <si>
    <t>0-563-40570-8</t>
  </si>
  <si>
    <t>0-563-40576-7</t>
  </si>
  <si>
    <t>0-563-40580-5</t>
  </si>
  <si>
    <t>0-563-40567-8</t>
  </si>
  <si>
    <t>0-563-40579-1</t>
  </si>
  <si>
    <t>0-563-40582-1</t>
  </si>
  <si>
    <t>0-563-40584-8</t>
  </si>
  <si>
    <t>0-563-40592-9</t>
  </si>
  <si>
    <t>0-563-40597-X</t>
  </si>
  <si>
    <t>0-563-40598-8</t>
  </si>
  <si>
    <t>0-563-40594-5</t>
  </si>
  <si>
    <t>0-563-40596-1</t>
  </si>
  <si>
    <t>0-563-40591-0</t>
  </si>
  <si>
    <t>0-563-55566-1</t>
  </si>
  <si>
    <t>0-563-55567-X</t>
  </si>
  <si>
    <t>0-563-55571-8</t>
  </si>
  <si>
    <t>0-563-55573-4</t>
  </si>
  <si>
    <t>0-563-55586-6</t>
  </si>
  <si>
    <t>0-563-55577-7</t>
  </si>
  <si>
    <t>0-563-55583-1</t>
  </si>
  <si>
    <t>0-563-55579-3</t>
  </si>
  <si>
    <t>0-563-55578-5</t>
  </si>
  <si>
    <t>0-563-55575-0</t>
  </si>
  <si>
    <t>0-563-55587-4</t>
  </si>
  <si>
    <t>0-563-55591-2</t>
  </si>
  <si>
    <t>0-563-55592-0</t>
  </si>
  <si>
    <t>0-563-55598-X</t>
  </si>
  <si>
    <t>0-563-55596-3</t>
  </si>
  <si>
    <t>0-563-55597-1</t>
  </si>
  <si>
    <t>0-563-53801-5</t>
  </si>
  <si>
    <t>0-563-53803-1</t>
  </si>
  <si>
    <t>0-563-53804-X</t>
  </si>
  <si>
    <t>0-563-53802-3</t>
  </si>
  <si>
    <t>0-563-53824-4</t>
  </si>
  <si>
    <t>0-563-53819-8</t>
  </si>
  <si>
    <t>0-563-53826-0</t>
  </si>
  <si>
    <t>0-563-53838-4</t>
  </si>
  <si>
    <t>0-563-53833-3</t>
  </si>
  <si>
    <t>0-563-53830-9</t>
  </si>
  <si>
    <t>0-563-53834-1</t>
  </si>
  <si>
    <t>0-563-53814-7</t>
  </si>
  <si>
    <t>0-563-53840-6</t>
  </si>
  <si>
    <t>0-563-53828-7</t>
  </si>
  <si>
    <t>0-563-53844-9</t>
  </si>
  <si>
    <t>0-563-53843-0</t>
  </si>
  <si>
    <t>0-563-53849-X</t>
  </si>
  <si>
    <t>0-563-53850-3</t>
  </si>
  <si>
    <t>0-563-53852-X</t>
  </si>
  <si>
    <t>0-563-53853-8</t>
  </si>
  <si>
    <t>0-563-53855-4</t>
  </si>
  <si>
    <t>0-563-53858-9</t>
  </si>
  <si>
    <t>0-563-53864-3</t>
  </si>
  <si>
    <t>0-563-53865-1</t>
  </si>
  <si>
    <t>0-563-53859-7</t>
  </si>
  <si>
    <t>0-563-48604-X</t>
  </si>
  <si>
    <t>0-563-48606-6</t>
  </si>
  <si>
    <t>0-563-48609-0</t>
  </si>
  <si>
    <t>0-563-48610-4</t>
  </si>
  <si>
    <t>0-563-48619-8</t>
  </si>
  <si>
    <t>0-563-48612-0</t>
  </si>
  <si>
    <t>0-563-48617-1</t>
  </si>
  <si>
    <t>0-563-48621-X</t>
  </si>
  <si>
    <t>0-563-48623-6</t>
  </si>
  <si>
    <t>0-563-48618-X</t>
  </si>
  <si>
    <t>0-563-48631-7</t>
  </si>
  <si>
    <t>0-563-48626-0</t>
  </si>
  <si>
    <t>0-563-48634-1</t>
  </si>
  <si>
    <t>0-563-48636-8</t>
  </si>
  <si>
    <t>0-563-48633-3</t>
  </si>
  <si>
    <t>0-563-48635-X</t>
  </si>
  <si>
    <t>1-84607-984-9</t>
  </si>
  <si>
    <t>1-84607-755-5</t>
  </si>
  <si>
    <t>0-563-47701-6</t>
  </si>
  <si>
    <t>0-563-55323-5</t>
  </si>
  <si>
    <t>0-563-47794-6</t>
  </si>
  <si>
    <t>0-563-52764-1</t>
  </si>
  <si>
    <t>0-563-52621-1</t>
  </si>
  <si>
    <t>1-903654-92-0</t>
  </si>
  <si>
    <t>1-903654-93-9</t>
  </si>
  <si>
    <t>1-903654-94-7</t>
  </si>
  <si>
    <t>1-903654-95-5</t>
  </si>
  <si>
    <t>1-903654-96-3</t>
  </si>
  <si>
    <t>1-84435-200-5</t>
  </si>
  <si>
    <t>1-84435-201-3</t>
  </si>
  <si>
    <t>1-84435-202-1</t>
  </si>
  <si>
    <t>1-84435-203-X</t>
  </si>
  <si>
    <t>0-563-48628-7</t>
  </si>
  <si>
    <t>0-563-48629-5</t>
  </si>
  <si>
    <t>0-563-48627-9</t>
  </si>
  <si>
    <t>0-563-48637-6</t>
  </si>
  <si>
    <t>0-563-48639-2</t>
  </si>
  <si>
    <t>0-563-48638-4</t>
  </si>
  <si>
    <t>0-563-48643-0</t>
  </si>
  <si>
    <t>0-563-48644-9</t>
  </si>
  <si>
    <t>0-563-48642-2</t>
  </si>
  <si>
    <t>0-563-48650-3</t>
  </si>
  <si>
    <t>0-563-48651-1</t>
  </si>
  <si>
    <t>0-563-48652-X</t>
  </si>
  <si>
    <t>1-84607-225-5</t>
  </si>
  <si>
    <t>1-84607-224-3</t>
  </si>
  <si>
    <t>1-84607-226-3</t>
  </si>
  <si>
    <t>1-84607-270-0</t>
  </si>
  <si>
    <t>1-84607-269-7</t>
  </si>
  <si>
    <t>1-84607-271-9</t>
  </si>
  <si>
    <t>1-84607-348-0</t>
  </si>
  <si>
    <t>1-8460-7347-3</t>
  </si>
  <si>
    <t>1-84607-349-6</t>
  </si>
  <si>
    <t>1-84607-420-7</t>
  </si>
  <si>
    <t>1-84607-421-9</t>
  </si>
  <si>
    <t>1-84607-422-6</t>
  </si>
  <si>
    <t>1-84607-559-9</t>
  </si>
  <si>
    <t>1-84607-558-2</t>
  </si>
  <si>
    <t>1-84607-557-5</t>
  </si>
  <si>
    <t>1-84607-561-2</t>
  </si>
  <si>
    <t>1-84607-563-6</t>
  </si>
  <si>
    <t>1-84607-562-9</t>
  </si>
  <si>
    <t>1-84607-639-8</t>
  </si>
  <si>
    <t>1-84607-640-4</t>
  </si>
  <si>
    <t>1-84607-641-2</t>
  </si>
  <si>
    <t>1-84607-758-6</t>
  </si>
  <si>
    <t>1-84607-759-3</t>
  </si>
  <si>
    <t>1-84607-761-6</t>
  </si>
  <si>
    <t>1-84607-200-0</t>
  </si>
  <si>
    <t>1-84607-969-6</t>
  </si>
  <si>
    <t>1-84607-987-0</t>
  </si>
  <si>
    <t>1-84607-989-4</t>
  </si>
  <si>
    <t>1-84607-990-0</t>
  </si>
  <si>
    <t>1-84607-988-7</t>
  </si>
  <si>
    <t>0-563-40563-5</t>
  </si>
  <si>
    <t>0-563-40566-X</t>
  </si>
  <si>
    <t>0-563-40568-6</t>
  </si>
  <si>
    <t>0-563-40572-4</t>
  </si>
  <si>
    <t>0-563-40573-2</t>
  </si>
  <si>
    <t>0-563-40577-5</t>
  </si>
  <si>
    <t>0-563-40578-3</t>
  </si>
  <si>
    <t>0-563-40583-X</t>
  </si>
  <si>
    <t>0-563-40581-3</t>
  </si>
  <si>
    <t>0-563-40574-0</t>
  </si>
  <si>
    <t>0-563-40585-6</t>
  </si>
  <si>
    <t>0-563-40586-4</t>
  </si>
  <si>
    <t>0-563-40587-2</t>
  </si>
  <si>
    <t>0-563-40590-2</t>
  </si>
  <si>
    <t>0-563-40595-3</t>
  </si>
  <si>
    <t>0-563-40599-6</t>
  </si>
  <si>
    <t>0-563-40593-7</t>
  </si>
  <si>
    <t>0-563-55569-6</t>
  </si>
  <si>
    <t>0-563-55568-8</t>
  </si>
  <si>
    <t>0-563-55572-6</t>
  </si>
  <si>
    <t>0-563-55570-X</t>
  </si>
  <si>
    <t>0-563-55574-2</t>
  </si>
  <si>
    <t>0-563-55576-9</t>
  </si>
  <si>
    <t>0-563-55580-7</t>
  </si>
  <si>
    <t>0-563-55582-3</t>
  </si>
  <si>
    <t>0-563-55581-5</t>
  </si>
  <si>
    <t>0-563-55585-8</t>
  </si>
  <si>
    <t>0-563-55589-0</t>
  </si>
  <si>
    <t>0-563-55590-4</t>
  </si>
  <si>
    <t>0-563-55588-2</t>
  </si>
  <si>
    <t>0-563-55594-7</t>
  </si>
  <si>
    <t>0-563-55595-5</t>
  </si>
  <si>
    <t>0-563-53800-7</t>
  </si>
  <si>
    <t>0-563-53808-2</t>
  </si>
  <si>
    <t>0-563-53809-0</t>
  </si>
  <si>
    <t>0-563-53812-0</t>
  </si>
  <si>
    <t>0-563-53805-8</t>
  </si>
  <si>
    <t>0-563-53806-6</t>
  </si>
  <si>
    <t>0-563-53822-8</t>
  </si>
  <si>
    <t>0-563-53810-4</t>
  </si>
  <si>
    <t>0-563-53825-2</t>
  </si>
  <si>
    <t>0-563-53827-9</t>
  </si>
  <si>
    <t>0-563-53829-5</t>
  </si>
  <si>
    <t>0-563-53831-7</t>
  </si>
  <si>
    <t>0-563-53835-X</t>
  </si>
  <si>
    <t>0-563-53839-2</t>
  </si>
  <si>
    <t>0-563-53841-4</t>
  </si>
  <si>
    <t>0-563-53842-2</t>
  </si>
  <si>
    <t>0-563-53845-7</t>
  </si>
  <si>
    <t>0-563-53846-5</t>
  </si>
  <si>
    <t>0-563-53847-3</t>
  </si>
  <si>
    <t>0-563-53848-1</t>
  </si>
  <si>
    <t>0-563-53851-1</t>
  </si>
  <si>
    <t>0-563-53856-2</t>
  </si>
  <si>
    <t>0-563-53854-6</t>
  </si>
  <si>
    <t>0-563-53857-0</t>
  </si>
  <si>
    <t>0-563-53866-X</t>
  </si>
  <si>
    <t>0-563-53863-5</t>
  </si>
  <si>
    <t>0-563-53869-4</t>
  </si>
  <si>
    <t>0-563-48603-1</t>
  </si>
  <si>
    <t>0-563-48605-8</t>
  </si>
  <si>
    <t>0-563-48607-4</t>
  </si>
  <si>
    <t>0-563-48608-2</t>
  </si>
  <si>
    <t>0-563-48611-2</t>
  </si>
  <si>
    <t>0-563-48613-9</t>
  </si>
  <si>
    <t>0-563-48616-3</t>
  </si>
  <si>
    <t>0-563-48620-1</t>
  </si>
  <si>
    <t>0-563-48622-8</t>
  </si>
  <si>
    <t>0-563-48625-2</t>
  </si>
  <si>
    <t>0-563-48624-4</t>
  </si>
  <si>
    <t>1-903654-63-7</t>
  </si>
  <si>
    <t>1-903654-64-5</t>
  </si>
  <si>
    <t>1-903654-65-3</t>
  </si>
  <si>
    <t>0-563-47857-8</t>
  </si>
  <si>
    <t>1-84435-088-6</t>
  </si>
  <si>
    <t>1-84435-089-4</t>
  </si>
  <si>
    <t>1-84435-090-8</t>
  </si>
  <si>
    <t>1-84435-121-1</t>
  </si>
  <si>
    <t>1-84435-122-X</t>
  </si>
  <si>
    <t>1-84435-123-8</t>
  </si>
  <si>
    <t>1-84435-124-6</t>
  </si>
  <si>
    <t>1-84435-125-4</t>
  </si>
  <si>
    <t>1-84435-204-8</t>
  </si>
  <si>
    <t>1-84435-205-6</t>
  </si>
  <si>
    <t>1-84435-206-4</t>
  </si>
  <si>
    <t>1-84435-207-2</t>
  </si>
  <si>
    <t>1-84435-208-0</t>
  </si>
  <si>
    <t>1-84435-556-3</t>
  </si>
  <si>
    <t>1-84435-494-8</t>
  </si>
  <si>
    <t>1-84435-512-9</t>
  </si>
  <si>
    <t>1-84435-561-7</t>
  </si>
  <si>
    <t>1-84435-562-4</t>
  </si>
  <si>
    <t>1-84435-582-2</t>
  </si>
  <si>
    <t>1-84435-583-9</t>
  </si>
  <si>
    <t>1-84435-584-6</t>
  </si>
  <si>
    <t>1-84435-585-3</t>
  </si>
  <si>
    <t>1-84435-611-9</t>
  </si>
  <si>
    <t>1-84335-619-5</t>
  </si>
  <si>
    <t>1-84435-620-1</t>
  </si>
  <si>
    <t>1-84435-263-0</t>
  </si>
  <si>
    <t>1-84435-264-7</t>
  </si>
  <si>
    <t>1-84435-265-4</t>
  </si>
  <si>
    <t>1-84435-266-1</t>
  </si>
  <si>
    <t>1-84435-291-3</t>
  </si>
  <si>
    <t>1-84435-292-0</t>
  </si>
  <si>
    <t>1-84435-293-7</t>
  </si>
  <si>
    <t>1-84435-350-7</t>
  </si>
  <si>
    <t>1-84435-351-4</t>
  </si>
  <si>
    <t>1-84435-352-1</t>
  </si>
  <si>
    <t>1-84435-353-8</t>
  </si>
  <si>
    <t>1-84435-354-5</t>
  </si>
  <si>
    <t>1-84435-355-2</t>
  </si>
  <si>
    <t>1-84435-357-6</t>
  </si>
  <si>
    <t>1-84435-378-1</t>
  </si>
  <si>
    <t>1-84435-379-8</t>
  </si>
  <si>
    <t>1-84435-380-4</t>
  </si>
  <si>
    <t>1-84435-381-1</t>
  </si>
  <si>
    <t>1-84435-424-5</t>
  </si>
  <si>
    <t>Interim Report; The Detainee; The Investigation; The Crime</t>
  </si>
  <si>
    <t>Huldra; Artemis</t>
  </si>
  <si>
    <t>Lazarus; Hades</t>
  </si>
  <si>
    <t>1-84435-425-2</t>
  </si>
  <si>
    <t>1-84435-426-9</t>
  </si>
  <si>
    <t>1-84435-427-6</t>
  </si>
  <si>
    <t>1-84435-428-3</t>
  </si>
  <si>
    <t>1-84435-462-7</t>
  </si>
  <si>
    <t>1-84435-463-4</t>
  </si>
  <si>
    <t>1-84435-464-1</t>
  </si>
  <si>
    <t>1-84435-465-8</t>
  </si>
  <si>
    <t>1-84435-466-5</t>
  </si>
  <si>
    <t>1-84435-467-2</t>
  </si>
  <si>
    <t>1-84435-468-9</t>
  </si>
  <si>
    <t>1-84435-483-2</t>
  </si>
  <si>
    <t>1-84435-484-9</t>
  </si>
  <si>
    <t>1-84435-485-6</t>
  </si>
  <si>
    <t>1-84435-486-3</t>
  </si>
  <si>
    <t>1-84435-487-0</t>
  </si>
  <si>
    <t>1-84435-504-4</t>
  </si>
  <si>
    <t>1-84435-505-1</t>
  </si>
  <si>
    <t>1-84435-506-8</t>
  </si>
  <si>
    <t>1-84435-507-5</t>
  </si>
  <si>
    <t>1-84435-508-2</t>
  </si>
  <si>
    <t>1-84435-509-9</t>
  </si>
  <si>
    <t>1-84435-510-5</t>
  </si>
  <si>
    <t>1-84435-551-8</t>
  </si>
  <si>
    <t>1-78178-087-9</t>
  </si>
  <si>
    <t>1-84435-255-5</t>
  </si>
  <si>
    <t>1-84435-257-9</t>
  </si>
  <si>
    <t>1-84435-258-6</t>
  </si>
  <si>
    <t>1-84435-259-3</t>
  </si>
  <si>
    <t>1-84435-260-9</t>
  </si>
  <si>
    <t>1-84435-261-6</t>
  </si>
  <si>
    <t>1-84435-308-8</t>
  </si>
  <si>
    <t>1-84435-305-7</t>
  </si>
  <si>
    <t>1-84435-304-0</t>
  </si>
  <si>
    <t>1-84435-307-1</t>
  </si>
  <si>
    <t>1-84435-306-4</t>
  </si>
  <si>
    <t>1-84435-309-5</t>
  </si>
  <si>
    <t>1-84435-310-1</t>
  </si>
  <si>
    <t>1-84435-393-4</t>
  </si>
  <si>
    <t>1-84435-394-1</t>
  </si>
  <si>
    <t>1-84435-395-8</t>
  </si>
  <si>
    <t>1-84435-396-5</t>
  </si>
  <si>
    <t>1-84435-397-2</t>
  </si>
  <si>
    <t>1-84435-398-9</t>
  </si>
  <si>
    <t>1-84435-399-6</t>
  </si>
  <si>
    <t>1-84435-401-6</t>
  </si>
  <si>
    <t>1-84435-476-4</t>
  </si>
  <si>
    <t>1-84435-477-1</t>
  </si>
  <si>
    <t>1-84435-478-8</t>
  </si>
  <si>
    <t>1-84435-479-5</t>
  </si>
  <si>
    <t>1-84435-481-8</t>
  </si>
  <si>
    <t>1-84435-482-5</t>
  </si>
  <si>
    <t>1-84435-502-0</t>
  </si>
  <si>
    <t>11D01</t>
  </si>
  <si>
    <t>A Big Hand for the Doctor</t>
  </si>
  <si>
    <t>Eoin Colfer</t>
  </si>
  <si>
    <t>Puffin Books</t>
  </si>
  <si>
    <t>Puffin eShort</t>
  </si>
  <si>
    <t>0-14134-894-0</t>
  </si>
  <si>
    <t>11D02</t>
  </si>
  <si>
    <t>The Nameless City</t>
  </si>
  <si>
    <t>Michael Scott</t>
  </si>
  <si>
    <t>11D03</t>
  </si>
  <si>
    <t>The Spear of Destiny</t>
  </si>
  <si>
    <t>Marcus Sedgwick</t>
  </si>
  <si>
    <t>11D04</t>
  </si>
  <si>
    <t>The Roots of Evil</t>
  </si>
  <si>
    <t>Philip Reeve</t>
  </si>
  <si>
    <t>11D05</t>
  </si>
  <si>
    <t>Tip of the Tongue</t>
  </si>
  <si>
    <t>Patrick Ness</t>
  </si>
  <si>
    <t>11D06</t>
  </si>
  <si>
    <t>Richelle Mead</t>
  </si>
  <si>
    <t>11D07</t>
  </si>
  <si>
    <t>The Ripple Effect</t>
  </si>
  <si>
    <t>Malorie Blackman</t>
  </si>
  <si>
    <t>11D08</t>
  </si>
  <si>
    <t>Spore</t>
  </si>
  <si>
    <t>Alex Scarrow</t>
  </si>
  <si>
    <t>11D09</t>
  </si>
  <si>
    <t>The Beast of Babylon</t>
  </si>
  <si>
    <t>Charlie Higson</t>
  </si>
  <si>
    <t>Ali</t>
  </si>
  <si>
    <t>11D10</t>
  </si>
  <si>
    <t>The Mystery of the Haunted Cottage</t>
  </si>
  <si>
    <t>Derek Landy</t>
  </si>
  <si>
    <t>11D11</t>
  </si>
  <si>
    <t>Nothing O'Clock</t>
  </si>
  <si>
    <t>STA5:01</t>
  </si>
  <si>
    <t>Flywheel Revolution</t>
  </si>
  <si>
    <t>1-78178-392-4</t>
  </si>
  <si>
    <t>EA1.3</t>
  </si>
  <si>
    <t>The Bounty of Ceres</t>
  </si>
  <si>
    <t>1-78178-338-2</t>
  </si>
  <si>
    <t>The Hostile Planet; The Outer Edge; An Otherworldly Intelligence; The Coldest Mind</t>
  </si>
  <si>
    <t>EA1.4</t>
  </si>
  <si>
    <t>An Ordinary Life</t>
  </si>
  <si>
    <t>1-78178-339-9</t>
  </si>
  <si>
    <t>The Dream</t>
  </si>
  <si>
    <t>1-84990-811-5</t>
  </si>
  <si>
    <t>Shakespeare Note</t>
  </si>
  <si>
    <t>SN06</t>
  </si>
  <si>
    <t>Various</t>
  </si>
  <si>
    <t>SN03</t>
  </si>
  <si>
    <t>The True Tragedie of Macbeth</t>
  </si>
  <si>
    <t>STAX:14</t>
  </si>
  <si>
    <t>The Piltdown Men</t>
  </si>
  <si>
    <t>Paul Dale Smith</t>
  </si>
  <si>
    <t>Hugh Ross</t>
  </si>
  <si>
    <t>STAX:20</t>
  </si>
  <si>
    <t>A Home from Home</t>
  </si>
  <si>
    <t>Stephen Critchlow</t>
  </si>
  <si>
    <t>The History; The Legend; The Man; The Myth</t>
  </si>
  <si>
    <t>Best of Enemies; The Quick and the Dead</t>
  </si>
  <si>
    <t>The Good Doctor; The Mysterious Stranger; A Story Told on a Stormy Night; The Twist in the Tale</t>
  </si>
  <si>
    <t>Experiment 2.07; Eutermes; Enslaved in the Biosphere; Queen of the Kromon</t>
  </si>
  <si>
    <t>Brilliance; Definition; Balance; Volume</t>
  </si>
  <si>
    <t>Your State Loves You; Happiness Through Acceptance; This is the Voice of Light City; Welcome to Your New Workday</t>
  </si>
  <si>
    <t>Jungle of Peril; River of Blood; Cavern of Woe; Heart of the Cause</t>
  </si>
  <si>
    <t>Pandora's Box; The Tainted Axis; Infected Timelines; The Destruction of Reality</t>
  </si>
  <si>
    <t>Blame; Love; Responsibility; Decision</t>
  </si>
  <si>
    <t>Accident and Emergency; When Two Worlds Meet; Xenotech; Hospital Security</t>
  </si>
  <si>
    <t>William Hare; William Burke; Robert Knox; Daft Jamie</t>
  </si>
  <si>
    <t>Bianca's; Whose Show Is It?; Transtemporal Shenanegans; The Bottom of the Bottle</t>
  </si>
  <si>
    <t>A Jolly Memorable Match; Funeral for a Pharoah; Mountain Expedition; The Key to the End of Infinity</t>
  </si>
  <si>
    <t>Order of the State; The Cost of War; The Final Shelter; Victory Parade</t>
  </si>
  <si>
    <t>Interzone; The One-Third Doctors; The Monster in the Labyrinth; The Fortress of the Turning Paths</t>
  </si>
  <si>
    <t>All are Welcome; Blessed are the Dreamers; So Much Lucidity!; Miraculite</t>
  </si>
  <si>
    <t>One Life; Perfection; Patriarchy; Tales of the Blue Moon; The End of the Race; Foundation</t>
  </si>
  <si>
    <t>Strange Allies; The Clinging Shards of the Past; Servitors; Fair Dealing</t>
  </si>
  <si>
    <t>Every Bit the Monster; Trapped in the Clutch; Skins; The Second Egg</t>
  </si>
  <si>
    <t>Abode of the Dead; Spawn of the Dead</t>
  </si>
  <si>
    <t>Politics and Poison; The Ascension; Towers of Destiny; Laputa</t>
  </si>
  <si>
    <t>The War to End All Wars; Held Prisoner; Between the Zones; Behind the Lines; The War Chief; Escape Plans; The War Lord; Leaders of the Resistance; The End of the Games; The Time Lords</t>
  </si>
  <si>
    <t>The Age of Aquarius; Devil's Hump; Beyond the Barrier; The Ritual of Summoning; Master of the Earth</t>
  </si>
  <si>
    <t>Regime; Social; Company; New Life</t>
  </si>
  <si>
    <t>The City and the Stars; Dream Commandos; Walking in Eternity; Uluru</t>
  </si>
  <si>
    <t>The Time Capsule; A Kink in Time; Lady Eleanor; A Fixed Timeline</t>
  </si>
  <si>
    <t>The Inmate; Inside Out; Patient History; TARDIS Dreams</t>
  </si>
  <si>
    <t xml:space="preserve">The Beautiful Game; The Match; After-Match Report; Star Players; The New Team; Final Result </t>
  </si>
  <si>
    <t>Religious Differences; Broken Trust; Agents of Rome; The Voice of the People</t>
  </si>
  <si>
    <t>The Road Back; Familiar Places; Unfamiliar Faces; Old Haunts</t>
  </si>
  <si>
    <t>Spring</t>
  </si>
  <si>
    <t>Summer</t>
  </si>
  <si>
    <t>Autumn</t>
  </si>
  <si>
    <t>Winter</t>
  </si>
  <si>
    <t>100 BC</t>
  </si>
  <si>
    <t>My Own Private Wolfgang</t>
  </si>
  <si>
    <t>Bedtime Story</t>
  </si>
  <si>
    <t>The 100 Days of the Doctor</t>
  </si>
  <si>
    <t>False Gods</t>
  </si>
  <si>
    <t>Order of Simplicity</t>
  </si>
  <si>
    <t>The Word Lord</t>
  </si>
  <si>
    <t>Back for a Visit; Proving; Patients; The Last Dance</t>
  </si>
  <si>
    <t>Off Limits; The Garden of Eden; The Problem of Evil; Earth, Air, Water, Memory</t>
  </si>
  <si>
    <t>The Spire; Double Time; Essence; Husk</t>
  </si>
  <si>
    <t>Industry; Time Wasters; Clockworks; Clock Stoppers</t>
  </si>
  <si>
    <t>A Candle to Light You to Bed; Old Bear Stories; Pastimes; An Eye for an Eye</t>
  </si>
  <si>
    <t>Maxie; The Blankness of the Soul; Beach Party; Flim-Flam</t>
  </si>
  <si>
    <t>Contractual Obligations; The Story Changes; Daughters of Time; The Ending Stays the Same</t>
  </si>
  <si>
    <t>Drogheda; Losses; Wexford; A Time to be Born and a Time to Die</t>
  </si>
  <si>
    <t>The Cube; The Brain Cell Augmenter; Brain Worm; Getting Out</t>
  </si>
  <si>
    <t>Red Condition; Diverse Subjects; The Red Tape; White Noise</t>
  </si>
  <si>
    <t>Happy Returns?; Keep Safe</t>
  </si>
  <si>
    <t>Bar 8687; The Cure</t>
  </si>
  <si>
    <t>Zoom; Little Boxes; The Moment of Victory; Cell Division</t>
  </si>
  <si>
    <t>His Majesty's Orders; Morning Hate; Military Intelligence; Perfect Soldiers</t>
  </si>
  <si>
    <t>À la Recherche du Temps Perdu; The Ugliness of Human Nature</t>
  </si>
  <si>
    <t>Far Renaissance; Overwatch; Bioharmonics; Attribution</t>
  </si>
  <si>
    <t>Global Warning; Unwelcome Guests; Three Blind Mice; The New Invasion of Earth</t>
  </si>
  <si>
    <t>Priority Information; Analogic; Rewrite</t>
  </si>
  <si>
    <t>Colonial Preparations; A Secret Project; An Understanding</t>
  </si>
  <si>
    <t>Another Green World; Dreamscapes; Dream Weavers</t>
  </si>
  <si>
    <t>A Lone House in the Woods; Two Wicked Sisters; The Third Child</t>
  </si>
  <si>
    <t>Hannah</t>
  </si>
  <si>
    <t>Moonflesh</t>
  </si>
  <si>
    <t>Tomb Ship</t>
  </si>
  <si>
    <t>1-78178-311-5</t>
  </si>
  <si>
    <t>Gordon Rennie, Emma Beeby</t>
  </si>
  <si>
    <t>1-78178-312-2</t>
  </si>
  <si>
    <t>6C/T</t>
  </si>
  <si>
    <t>6C/S</t>
  </si>
  <si>
    <t>6C/U</t>
  </si>
  <si>
    <t>1-78178-313-9</t>
  </si>
  <si>
    <t>Breaking Bubbles</t>
  </si>
  <si>
    <t>Of Chaos Time The</t>
  </si>
  <si>
    <t>An Eye for Murder</t>
  </si>
  <si>
    <t>The Curious Incident of the Doctor in the Night-Time</t>
  </si>
  <si>
    <t>6Z/AC</t>
  </si>
  <si>
    <t>1-78178-329-0</t>
  </si>
  <si>
    <t>LM Myles</t>
  </si>
  <si>
    <t>Mark Ravenhill</t>
  </si>
  <si>
    <t>1-84435-578-5</t>
  </si>
  <si>
    <t>Revenge of the Swarm</t>
  </si>
  <si>
    <t>Mask of Tragedy</t>
  </si>
  <si>
    <t>Signs and Wonders</t>
  </si>
  <si>
    <t>1-78178-330-6</t>
  </si>
  <si>
    <t>7W/WA</t>
  </si>
  <si>
    <t>7W/WB</t>
  </si>
  <si>
    <t>1-78178-331-3</t>
  </si>
  <si>
    <t>7W/WC</t>
  </si>
  <si>
    <t>1-78178-332-0</t>
  </si>
  <si>
    <t>The Widow's Assassin</t>
  </si>
  <si>
    <t>Masters of Earth</t>
  </si>
  <si>
    <t>The Rani Elite</t>
  </si>
  <si>
    <t>1-78178-333-7</t>
  </si>
  <si>
    <t>Mark Wright, Cavan Scott</t>
  </si>
  <si>
    <t>1-78178-334-4</t>
  </si>
  <si>
    <t>1-78178-335-1</t>
  </si>
  <si>
    <t>Mistfall</t>
  </si>
  <si>
    <t>The Entropy Plague</t>
  </si>
  <si>
    <t>1-78178-445-7</t>
  </si>
  <si>
    <t>1-78178-447-1</t>
  </si>
  <si>
    <t>1-78178-449-5</t>
  </si>
  <si>
    <t>The Defectors</t>
  </si>
  <si>
    <t>1-78178-457-0</t>
  </si>
  <si>
    <t>Last of the Cybermen</t>
  </si>
  <si>
    <t>1-78178-459-4</t>
  </si>
  <si>
    <t>The Secret History</t>
  </si>
  <si>
    <t>1-78178-461-7</t>
  </si>
  <si>
    <t>CC9.01</t>
  </si>
  <si>
    <t>The Sleeping Blood</t>
  </si>
  <si>
    <t>Carole Ann Ford, Darren Strange</t>
  </si>
  <si>
    <t>1-78178-435-8</t>
  </si>
  <si>
    <t>CC9.02</t>
  </si>
  <si>
    <t>The Unwinding World</t>
  </si>
  <si>
    <t>Maureen O'Brien, Alix Dunmore</t>
  </si>
  <si>
    <t>CC9.03</t>
  </si>
  <si>
    <t>The Founding Fathers</t>
  </si>
  <si>
    <t>CC9.04</t>
  </si>
  <si>
    <t>The Locked Room</t>
  </si>
  <si>
    <t>The Gothic War; The Last Roman; The Catastrophe Cure; The Twist of Fate</t>
  </si>
  <si>
    <t>1-78178-377-1</t>
  </si>
  <si>
    <t>`</t>
  </si>
  <si>
    <t>4.4</t>
  </si>
  <si>
    <t>New Horizons</t>
  </si>
  <si>
    <t>Rise and Shine</t>
  </si>
  <si>
    <t>Clean Sweep</t>
  </si>
  <si>
    <t>1.1-4.4 (Clean Sweep)</t>
  </si>
  <si>
    <t>STA5:05</t>
  </si>
  <si>
    <t>The King of the Dead</t>
  </si>
  <si>
    <t>Sarah Sutton</t>
  </si>
  <si>
    <t>1-78178-396-2</t>
  </si>
  <si>
    <t>STA5:02</t>
  </si>
  <si>
    <t>Little Doctors</t>
  </si>
  <si>
    <t>Frazer Hines</t>
  </si>
  <si>
    <t>1-78178-393-1</t>
  </si>
  <si>
    <t>STA5:03</t>
  </si>
  <si>
    <t>Time Tunnel</t>
  </si>
  <si>
    <t>1-78178-394-8</t>
  </si>
  <si>
    <t>STA5:04</t>
  </si>
  <si>
    <t>The Ghost Trap</t>
  </si>
  <si>
    <t>1-78178-395-5</t>
  </si>
  <si>
    <t>STA5:06</t>
  </si>
  <si>
    <t>The Shadows of Serenity</t>
  </si>
  <si>
    <t>1-78178-397-9</t>
  </si>
  <si>
    <t>DWM 475-476</t>
  </si>
  <si>
    <t>The Crystal Throne</t>
  </si>
  <si>
    <t>DWA 333</t>
  </si>
  <si>
    <t>DWA 334</t>
  </si>
  <si>
    <t>DWA 335</t>
  </si>
  <si>
    <t>Time Trick</t>
  </si>
  <si>
    <t>Dragon Attack</t>
  </si>
  <si>
    <t>The Holly and the Ivy</t>
  </si>
  <si>
    <t>DWA 336</t>
  </si>
  <si>
    <t>By the Book</t>
  </si>
  <si>
    <t>Creatures from the Deep</t>
  </si>
  <si>
    <t>Invaders of the Vortex</t>
  </si>
  <si>
    <t>A Tangled Web</t>
  </si>
  <si>
    <t>Ball-Pit Beast</t>
  </si>
  <si>
    <t>T-Shirt Terror</t>
  </si>
  <si>
    <t>Fans</t>
  </si>
  <si>
    <t>DWA 337</t>
  </si>
  <si>
    <t>DWA 338</t>
  </si>
  <si>
    <t>DWA 339</t>
  </si>
  <si>
    <t>DWA 340</t>
  </si>
  <si>
    <t>DWA 341</t>
  </si>
  <si>
    <t>DWA 342</t>
  </si>
  <si>
    <t>DWA 343</t>
  </si>
  <si>
    <t>DWA 344</t>
  </si>
  <si>
    <t>DWA 345</t>
  </si>
  <si>
    <t>DWA 346</t>
  </si>
  <si>
    <t>DWA 347</t>
  </si>
  <si>
    <t>DWA 348</t>
  </si>
  <si>
    <t>DWA 349</t>
  </si>
  <si>
    <t>DWA 350</t>
  </si>
  <si>
    <t>DWA 351</t>
  </si>
  <si>
    <t>Universally Known</t>
  </si>
  <si>
    <t>Thrill-Seeker</t>
  </si>
  <si>
    <t>Wintervention</t>
  </si>
  <si>
    <t>A Long Way Down</t>
  </si>
  <si>
    <t>The Killer Weed</t>
  </si>
  <si>
    <t>Eternity Springs</t>
  </si>
  <si>
    <t>Robot v Robot</t>
  </si>
  <si>
    <t>Jungle Jam</t>
  </si>
  <si>
    <t>Swarm</t>
  </si>
  <si>
    <t>Richard Cookson</t>
  </si>
  <si>
    <t>G5</t>
  </si>
  <si>
    <t>G5.1</t>
  </si>
  <si>
    <t>Gallifrey: Emancipation</t>
  </si>
  <si>
    <t>James Peaty</t>
  </si>
  <si>
    <t>1-84435-958-5</t>
  </si>
  <si>
    <t>G5.2</t>
  </si>
  <si>
    <t>G5.3</t>
  </si>
  <si>
    <t>Gallifrey: Evolution</t>
  </si>
  <si>
    <t>Gallifrey: Arbitration</t>
  </si>
  <si>
    <t>G6</t>
  </si>
  <si>
    <t>G6.1</t>
  </si>
  <si>
    <t>Gallifrey: Extermination</t>
  </si>
  <si>
    <t>1-84435-959-2</t>
  </si>
  <si>
    <t>Gallifrey: Renaissance</t>
  </si>
  <si>
    <t>Romana III</t>
  </si>
  <si>
    <t>Gallifrey: Ascension</t>
  </si>
  <si>
    <t>G7.0</t>
  </si>
  <si>
    <t>Gallifrey: Intervention Earth</t>
  </si>
  <si>
    <t>Scott Handcock, David Llewellyn</t>
  </si>
  <si>
    <t>1-78178-436-5</t>
  </si>
  <si>
    <t>The Death of Hope</t>
  </si>
  <si>
    <t>8DE.3</t>
  </si>
  <si>
    <t>1-78178-305-4</t>
  </si>
  <si>
    <t>The Reviled</t>
  </si>
  <si>
    <t>Masterplan</t>
  </si>
  <si>
    <t>Rule of the Eminence</t>
  </si>
  <si>
    <t>John Dorney, Matt Fitton</t>
  </si>
  <si>
    <t>1-78178-306-1</t>
  </si>
  <si>
    <t>The Monsters of Montmartre</t>
  </si>
  <si>
    <t>Master of the Daleks</t>
  </si>
  <si>
    <t>Eye of Darkness</t>
  </si>
  <si>
    <t>SS11</t>
  </si>
  <si>
    <t>The Arboreals</t>
  </si>
  <si>
    <t>1-84990-938-9</t>
  </si>
  <si>
    <t>Scientific Secret</t>
  </si>
  <si>
    <t>SS03</t>
  </si>
  <si>
    <t>The Room with All the Doors</t>
  </si>
  <si>
    <t>TT08</t>
  </si>
  <si>
    <t>The Anti-Hero</t>
  </si>
  <si>
    <t>Stella Duffy</t>
  </si>
  <si>
    <t>The Reliquary; Limbo; The Pilgrim; The Great Beast</t>
  </si>
  <si>
    <t>Miss Charlotte Pollard; Manifest Cargo; Last Boat Out; Her Final Destination</t>
  </si>
  <si>
    <t>Prime Suspect; House Arrest; Crime Scene Investigation; Dial M</t>
  </si>
  <si>
    <t>Alliance</t>
  </si>
  <si>
    <t>Conflict</t>
  </si>
  <si>
    <t>Betrayal</t>
  </si>
  <si>
    <t>Lost Expedition; Reptile Men from the Dawn  of Time; Fortitude; Global Cooling</t>
  </si>
  <si>
    <t>Perils of Office; Political Maneuvering; Disarmament Now; Starfire</t>
  </si>
  <si>
    <t>Find; Replace</t>
  </si>
  <si>
    <t>The Pledge of Authenticity; Prolepsis</t>
  </si>
  <si>
    <t>The Glass Tablet; Blue Shift</t>
  </si>
  <si>
    <t>Tokens of Esteem; Friend or Foe</t>
  </si>
  <si>
    <t>The Good Soldier; The War to End All Wars/Dulce et Decorum</t>
  </si>
  <si>
    <t>A Monster Hit; Creature Feature</t>
  </si>
  <si>
    <t>The Search for Doctor Who; Let There Be Light</t>
  </si>
  <si>
    <t>Misfortune; The Game of Life</t>
  </si>
  <si>
    <t>Back in the USSR; Retreat from Moscow; Ice Cold; Cold Warriors</t>
  </si>
  <si>
    <t>Safe and Sound; Separate or Soviet;Sword vs. Sword; State Secrets</t>
  </si>
  <si>
    <t>Unified; Green Alternatives; Lab Rats; Contaminated Specimens</t>
  </si>
  <si>
    <t>Captain's Orders; Graine; Pirates' Prize; Just Desserts</t>
  </si>
  <si>
    <t>An Excuse for a Party; Criminal Capers</t>
  </si>
  <si>
    <t>Old Doctor; Storm Season</t>
  </si>
  <si>
    <t>League of Nature; Going Green</t>
  </si>
  <si>
    <t>Plenipotentiary; Babes in the Wood</t>
  </si>
  <si>
    <t>Broken Shells; Indignation</t>
  </si>
  <si>
    <t>The Executioner's Boy; The Theatre of Terror</t>
  </si>
  <si>
    <t>Matters of Protocol; The Reset</t>
  </si>
  <si>
    <t>The Chosen One; The Eighth Truth; The Rebel Sun; All Praise the Great One</t>
  </si>
  <si>
    <t>Slade; The Best Christmas Blackpool's Ever Had</t>
  </si>
  <si>
    <t>Elimination; Final Choice</t>
  </si>
  <si>
    <t>An Ordinary Life; The Unalike; The Sleeping Army; The Enemy Without</t>
  </si>
  <si>
    <t>The Red Death; The Black Cat</t>
  </si>
  <si>
    <t>Liber Columbarum; Clerical Errors</t>
  </si>
  <si>
    <t>Archaeological Remains; The Hard Choices; Truth and Consequences; The Greater Good</t>
  </si>
  <si>
    <t>Family Gathering; Fishing Trip</t>
  </si>
  <si>
    <t>Two Billion Lives; Sunstroke</t>
  </si>
  <si>
    <t>Lucie Miller; To the Death</t>
  </si>
  <si>
    <t>World's End II</t>
  </si>
  <si>
    <t>The Empire of Morbius</t>
  </si>
  <si>
    <t>Redcap; The Great Maw; Dark Satanic Mills; The Overlord</t>
  </si>
  <si>
    <t>Rookwood; The Gypsy Girl; The Open Road; The Legend of Black Bess</t>
  </si>
  <si>
    <t>The Gift of the Silver; The Heart of the Silver; The Curse of the Silver</t>
  </si>
  <si>
    <t>The History of Master Brewster; The Mystery of Thomas Brewster; The Battle for Life; Bleak Times</t>
  </si>
  <si>
    <t>Castaways; Brewster's Millions; The Bride of the Sun</t>
  </si>
  <si>
    <t>Soft Bodies; …Nor Age Wither…; Meet the Grandparents; Star</t>
  </si>
  <si>
    <t>Return to Spiridon;The Thal Project; The Art of Delusion; Brothers in Arms</t>
  </si>
  <si>
    <t>After the Crash; Creatures at an Exposition; Living Doll; Marionettenburg</t>
  </si>
  <si>
    <t>Tracers; The Destruction of Mars; Safe Place; Given Freely</t>
  </si>
  <si>
    <t>Sequential Regression; The Witch Star Configuration; The Judgement of the Witch Pricker; The Witch's Fate</t>
  </si>
  <si>
    <t>City of Fear; The Unstoppable Invaders; Dead Presidents; The Bone Lord</t>
  </si>
  <si>
    <t>Cooperate and Defect; Defect and Cooperate</t>
  </si>
  <si>
    <t>Colloidal Secretions; Per Ardua; The Players Assemble; The Laws of Chaos</t>
  </si>
  <si>
    <t>The Tellers of Unlikely Tales; The Henchmen of Time; The Creature of Subtle Fire; The Shatterer of Hopeful Dreams</t>
  </si>
  <si>
    <t>Bliss; Rorke; Saviour; Atrocity</t>
  </si>
  <si>
    <t>Murder in Paradise; The Golden Section</t>
  </si>
  <si>
    <t>Kriegeskind; Choices Made</t>
  </si>
  <si>
    <t>Rest and Recreation; Taking Turns; Out; The Final Move</t>
  </si>
  <si>
    <t>Reported Deaths; The Men of Guns and Letters; Two Angels; White Box</t>
  </si>
  <si>
    <t>Benny's Story</t>
  </si>
  <si>
    <t>Fitz's Story</t>
  </si>
  <si>
    <t>Izzy's Story</t>
  </si>
  <si>
    <t>Mary's Story</t>
  </si>
  <si>
    <t>Amethyst; Going Viral; Charley, Mila…Mila, Charley; Infection Control</t>
  </si>
  <si>
    <t>The Highest; The Lowest; The Bravest; The Wisest</t>
  </si>
  <si>
    <t>Vaccination Program; Medical Missionaries; Side Effect; The Cleansing of Humanity</t>
  </si>
  <si>
    <t>Disturbances in Time; Wanted; High Stakes; Gambler's Luck</t>
  </si>
  <si>
    <t>The Bell; The Doorway; The Train; Time's End</t>
  </si>
  <si>
    <t>Messengers of Isis; The March of History; Running Out of Time; The Sixth Hour</t>
  </si>
  <si>
    <t>The Last Night of the Century; Her Mortal Remains; The Triumph of the Waters; The Promised Alchemical Wedding</t>
  </si>
  <si>
    <t>The Old Kingdom; Palace Intrigue; The Judgement of Ra;The Shadow of the Sphinx</t>
  </si>
  <si>
    <t>The End of Humanity; Survivor's Guilt; Misalliance; Kill or Cure</t>
  </si>
  <si>
    <t>Absent Friends; The Body Politic; Mortal Remains; A Vision of the Future</t>
  </si>
  <si>
    <t>Notes</t>
  </si>
  <si>
    <t>A Land of Fear; Guests of Madame Guillotine; A Change of Identity; The Tyrant of France; A Bargain of Necessity; Prisoners of Conciergerie</t>
  </si>
  <si>
    <t>4, 5 animated</t>
  </si>
  <si>
    <t>The Lion; The Knight of Jaffa; The Wheel of Fortune; The Warlords</t>
  </si>
  <si>
    <t>All missing</t>
  </si>
  <si>
    <t>The Roof of the World; The Singing Sands; Five Hundred Eyes; The Wall of Lies; Rider from Shang-Tu; Mighty Kublai Khan; Assassin at Peking</t>
  </si>
  <si>
    <t>1, 2, 4 missing</t>
  </si>
  <si>
    <t>Four Hundred Dawns; Trap of Steel; Airlock; The Exploding Planet</t>
  </si>
  <si>
    <t>Temple of Secrets; Small Prophet; Quick Return; Death of a Spy; Horse of Destruction</t>
  </si>
  <si>
    <t>The Nightmare Begins; Day of Armageddon; Devil's Planet; The Traitors; Counter Plot; Coronas of the Sun; The Feast of Steven</t>
  </si>
  <si>
    <t>All missing except 2</t>
  </si>
  <si>
    <t>War of God; The Sea Beggar; Priest of Death; Bell of Doom</t>
  </si>
  <si>
    <t>Volcano; Golden Death; Escape Switch; The Abandoned Planet; Destruction of Time</t>
  </si>
  <si>
    <t>The Celestial Toyroom; The Hall of Dolls; The Dancing Floor; The Final Test</t>
  </si>
  <si>
    <t>1, 2, 3 missing</t>
  </si>
  <si>
    <t>The Traveller from Beyond Time; Secret of the Savages; The Essence of Life; The Valley of Caves</t>
  </si>
  <si>
    <t>A Trip to Cornwall; A Taxing Dilemma; The Pirate's Curse; Treasure the Victory</t>
  </si>
  <si>
    <t>A New Identity; The Experiment; Servants of Masters; The Destiny of Doctor Who; The Awakening; Extermination!</t>
  </si>
  <si>
    <t>4 animated</t>
  </si>
  <si>
    <t>The Troglodyte Cave; Sacrifice; Nothing in the World Can Stop Me Now!; Atlantis Rising</t>
  </si>
  <si>
    <t>1, 3 animated</t>
  </si>
  <si>
    <t>The Highlands of the Moon; The Phantom Piper; Holy Water; March of the Cybermen</t>
  </si>
  <si>
    <t>Holiday Camp; Voices in the Night; Gas Attack; Wrap Party</t>
  </si>
  <si>
    <t>One of those Days; The Mystery of Michelle; The Pen of Death; Everybody Freeze; The Doll Collectors; 20 July 1966, Again</t>
  </si>
  <si>
    <t>2, 4-6 missing</t>
  </si>
  <si>
    <t>To Set a Trap…; The Net Tightens; A Trial of Strength; A Test of Skill; The Human Factor; Return To Skaro; The End of the Daleks</t>
  </si>
  <si>
    <t>1, 3-6 missing</t>
  </si>
  <si>
    <t>Two Minutes to Doomsday; Creature from the Red Planet; The Omega Factor; Under the Moving Mountain; The Martian Ultimatum; Good Vibrations</t>
  </si>
  <si>
    <t>The Haunting Heartbeat; Doctor Who and the Weed; Impeller Shaft; Finding The Weed; The Weed Breaks Free; The Shriek Of Death</t>
  </si>
  <si>
    <t>International Electromatics; Double Trouble; Cloak and Dagger; The Great Escape; Fear of the Cybermen; The Invasion Begins; Now it's Personal; Showdown</t>
  </si>
  <si>
    <t>Who Are You?; The End of Dreams</t>
  </si>
  <si>
    <t>Gender Politics; Extreme Prejudice</t>
  </si>
  <si>
    <t>Herne the Hunter; Feudal Machinations</t>
  </si>
  <si>
    <t>Aura of the All-Flowing Stream; Running Through Corridors</t>
  </si>
  <si>
    <t>The Holiday of a Lifetime; The Guest List; Cherubim and Elohim; A Serpent in Paradise</t>
  </si>
  <si>
    <t>For the Glory of the Elite; The High Priest of Power; The Will of God; The Cleansing Fire</t>
  </si>
  <si>
    <t>The Misplaced City; Consorting with the Enemy; Nursery Crimes; The Royal Wedding</t>
  </si>
  <si>
    <t>Imperial Contract; Agents of Seth; The Lost Souls of Hell; The Face of Darkness</t>
  </si>
  <si>
    <t>The Hanging Gardens of Babylon; O Son, My Son; A Man Must Die; The World Lies Dead at your Feet; In the Arena; Farewell, Great Macedon!</t>
  </si>
  <si>
    <t>A Woman's Place; Men Behaving Badly; Wearing the Trousers; Nothing to Lose but Your Chains</t>
  </si>
  <si>
    <t>Making Myths</t>
  </si>
  <si>
    <t>Closure</t>
  </si>
  <si>
    <t>The Human Factor</t>
  </si>
  <si>
    <t>"Death to the Daleks!"</t>
  </si>
  <si>
    <t>Project Infinity</t>
  </si>
  <si>
    <t>Innocence</t>
  </si>
  <si>
    <t>Purity</t>
  </si>
  <si>
    <t>Corruption</t>
  </si>
  <si>
    <t>Guilt</t>
  </si>
  <si>
    <t>The Herald of the New Age; Smoking Mirror, Stone Knife</t>
  </si>
  <si>
    <t>The Song of the Space Whale; Ship of Fools; Welcome to the Framily; Death of a Titan</t>
  </si>
  <si>
    <t>Philadelphia; Size Matters</t>
  </si>
  <si>
    <t>Tempus Fugitive; Destroy the Doctor; The Power of a Thousand Suns; Meltdown</t>
  </si>
  <si>
    <t>The Summoning; The Purifying; The Feasting; The Harrowing</t>
  </si>
  <si>
    <t>Care and Cure</t>
  </si>
  <si>
    <t>The Howling</t>
  </si>
  <si>
    <t>Mickey Investigates</t>
  </si>
  <si>
    <t>Tick Tock Goes the Clock</t>
  </si>
  <si>
    <t>The Preachers' Warning</t>
  </si>
  <si>
    <t>The Ultimate Upgrade</t>
  </si>
  <si>
    <t>Beyond the Screen</t>
  </si>
  <si>
    <t>Walker's Mission</t>
  </si>
  <si>
    <t>Symbols of Death</t>
  </si>
  <si>
    <t>Looking for LI'n'DA</t>
  </si>
  <si>
    <t>CrimeCrackers</t>
  </si>
  <si>
    <t>Story of the Century</t>
  </si>
  <si>
    <t>Death Comes to Paradise; Breaking the Rules; Bargains in the Basement; Pex Appeal</t>
  </si>
  <si>
    <t>TARDISode: A State of Emergency</t>
  </si>
  <si>
    <t>A State of Emergency</t>
  </si>
  <si>
    <t>A Universal Dilemma; The Black Hole; Omega; Two Freedoms</t>
  </si>
  <si>
    <t>##; ##; ##; ##; The Second Invasion; The Chase for the Key</t>
  </si>
  <si>
    <t>The Key to Time; ##; ##; ##</t>
  </si>
  <si>
    <t>The Signal; Infiltrators; Somebody Else's War; No Going Back</t>
  </si>
  <si>
    <t>Century 21; Flight into Terror; Moon Crash; Foam of Evil; Seeds of Death; The Final Battle</t>
  </si>
  <si>
    <t>Recovery 7; The Landing; Surprise from Space; Death to the Doctor; The Dangerous Journey; The Astronauts; Return to Earth</t>
  </si>
  <si>
    <t>The Village; Malus Comes</t>
  </si>
  <si>
    <t xml:space="preserve">Sentence of Death; The Man in the Mask; Out of the Frying Pan; Desperate Push </t>
  </si>
  <si>
    <t>The Ship of Curiosity; The Vessel of Dreams; The Wrath of Wrack; The Choice of Eternity</t>
  </si>
  <si>
    <t>Castle's Secret; Kamelion's Song</t>
  </si>
  <si>
    <t>Contact Has Been Made; Infection; Battle in the Mind; The Swarm Awakens</t>
  </si>
  <si>
    <t>War of Hell; Know Thine Enemy; The Doomsday Computer; Time Loop; Into The Valley of the Shadow; Day of Armageddon</t>
  </si>
  <si>
    <t>Take Control; Mystery Boy; Dangerous Man; Hello Goodbye</t>
  </si>
  <si>
    <t>The Shell and the Well; The Tythonian Beast; Testing their Mettle; A Chloris of Approval</t>
  </si>
  <si>
    <t>Taxed to Death; Profit and Loss; The Collector's Gross; Revolution</t>
  </si>
  <si>
    <t>Ancient Evil; Killer Stones; Hyperspace; Final Judgement</t>
  </si>
  <si>
    <t>Planet of Dreams; The Box of Terror; The Mara Awakens; Death of Paradise</t>
  </si>
  <si>
    <t>The Nightmare Returns; The Lost Son; Dreams of Avarice; Time of the Mara</t>
  </si>
  <si>
    <t>Falling Star; House of Secrets; Death in the Woods; The Final Visitation</t>
  </si>
  <si>
    <t>Collision; New Highs; March of the Mandrels; Smuggling Tales</t>
  </si>
  <si>
    <t>Culloden Moor; On the Run; Prisoners Below Decks; Battle on the Annabelle</t>
  </si>
  <si>
    <t>A Kellerwork Orange; The Manchurian Assassin; Prison Visit; The Evil of the Mind; The Beta Test; Short a Circuit</t>
  </si>
  <si>
    <t>Spiridon; Mission: Survival; Pursued; Escape or Die; The Day Before Eternity; Whose Victory</t>
  </si>
  <si>
    <t>A Very Odd Arrival; The Man From the Ministry; The Reformation Society; The Giant Robot</t>
  </si>
  <si>
    <t>Cricket on the Lawn; Death in the Manor</t>
  </si>
  <si>
    <t>Caves Of Death; The Deserted Ship; Assault On The Bridge; The Final Sacrifice</t>
  </si>
  <si>
    <t>The Vanishing Aircraft; Early Landing; The Primeval Villain; Power Trap</t>
  </si>
  <si>
    <t>Enter the Renegade; A Capitol Traitor; A Tale of Two Time Lords; Which Doctor?</t>
  </si>
  <si>
    <t xml:space="preserve">The Underwater Base; The Waking Devils; Attack of the Myrka; No Other Way </t>
  </si>
  <si>
    <t>The Frozen Enemy; The Moral Assassin</t>
  </si>
  <si>
    <t>Farewell to the TARDIS; Colony of Death; Turlough's Terror; Gravis</t>
  </si>
  <si>
    <t>Interface; Exposure; Instability; Alleviation</t>
  </si>
  <si>
    <t>Heaven; Winning and Losing</t>
  </si>
  <si>
    <t>BF Novel Adaptation</t>
  </si>
  <si>
    <t>BF Bernice Summerfield NA</t>
  </si>
  <si>
    <t>Gareth Roberts, Jacqueline Rayner</t>
  </si>
  <si>
    <t>1-78178-366-5</t>
  </si>
  <si>
    <t>Gareth Roberts, John Dorney</t>
  </si>
  <si>
    <t>1-78178-342-9</t>
  </si>
  <si>
    <t>1-78178-343-6</t>
  </si>
  <si>
    <t>1-78178-443-3</t>
  </si>
  <si>
    <t>Russell T Davies, Jonathan Morris</t>
  </si>
  <si>
    <t>1-78178-439-6</t>
  </si>
  <si>
    <t>1-78178-699-4</t>
  </si>
  <si>
    <t>Mark Gatiss, Kyle C Szikora</t>
  </si>
  <si>
    <t>1-78178-703-8</t>
  </si>
  <si>
    <t>Andy Lane, Guy Adams</t>
  </si>
  <si>
    <t>1-78178-701-4</t>
  </si>
  <si>
    <t>BF Novel Adaptations</t>
  </si>
  <si>
    <t>S9</t>
  </si>
  <si>
    <t>35.1/2</t>
  </si>
  <si>
    <t>The Magician's Apprentice</t>
  </si>
  <si>
    <t>The Magician's Apprentice; The Witch's Familiar</t>
  </si>
  <si>
    <t>35.3/4</t>
  </si>
  <si>
    <t>35.7/8</t>
  </si>
  <si>
    <t>35.9</t>
  </si>
  <si>
    <t>35.10</t>
  </si>
  <si>
    <t>35.11</t>
  </si>
  <si>
    <t>35.12</t>
  </si>
  <si>
    <t>35.13</t>
  </si>
  <si>
    <t>35.6</t>
  </si>
  <si>
    <t>35.5</t>
  </si>
  <si>
    <t>Under the Lake</t>
  </si>
  <si>
    <t>The Girl Who Died</t>
  </si>
  <si>
    <t>The Zygon Invasion</t>
  </si>
  <si>
    <t>Sleep No More</t>
  </si>
  <si>
    <t>Face the Raven</t>
  </si>
  <si>
    <t>Heaven Sent</t>
  </si>
  <si>
    <t>Hell Bent</t>
  </si>
  <si>
    <t>The Husbands of River Song</t>
  </si>
  <si>
    <t>Jamie Mathieson, Steven Moffat</t>
  </si>
  <si>
    <t>Peter Harness, Steven Moffat</t>
  </si>
  <si>
    <t>Sarah Dollard</t>
  </si>
  <si>
    <t>Hettie MacDonald</t>
  </si>
  <si>
    <t>Daniel O'Hara</t>
  </si>
  <si>
    <t>Ed Bazalgette</t>
  </si>
  <si>
    <t>The Woman Who Lived</t>
  </si>
  <si>
    <t>Justin Molotnikov</t>
  </si>
  <si>
    <t>Under the Lake; Before the Flood</t>
  </si>
  <si>
    <t>The Zygon Invasion; The Zygon Inversion</t>
  </si>
  <si>
    <t>Prologue: The Nature of Friends and Enemies</t>
  </si>
  <si>
    <t>The Doctor's Meditation</t>
  </si>
  <si>
    <t>BBCN55</t>
  </si>
  <si>
    <t>Silhouette</t>
  </si>
  <si>
    <t>The Crawling Terror</t>
  </si>
  <si>
    <t>The Blood Cell</t>
  </si>
  <si>
    <t>Royal Blood</t>
  </si>
  <si>
    <t>Big Bang Generation</t>
  </si>
  <si>
    <t>Deep Time</t>
  </si>
  <si>
    <t>1-84990-774-3</t>
  </si>
  <si>
    <t>Colin McFarlane</t>
  </si>
  <si>
    <t>Dan Starkey</t>
  </si>
  <si>
    <t>1-84990-772-9</t>
  </si>
  <si>
    <t>BBCN57</t>
  </si>
  <si>
    <t>BBCN56</t>
  </si>
  <si>
    <t>1-84990-773-6</t>
  </si>
  <si>
    <t>Neve McIntosh</t>
  </si>
  <si>
    <t>BBCN60</t>
  </si>
  <si>
    <t>BBCN58</t>
  </si>
  <si>
    <t>BBCN59</t>
  </si>
  <si>
    <t>David Warner</t>
  </si>
  <si>
    <t>1-84990-992-1</t>
  </si>
  <si>
    <t>1-84990-991-4</t>
  </si>
  <si>
    <t>11D12</t>
  </si>
  <si>
    <t>Lights Out</t>
  </si>
  <si>
    <t>Holly Black</t>
  </si>
  <si>
    <t>Samuel Anderson</t>
  </si>
  <si>
    <t>1.01-1.12 (Lights Out)</t>
  </si>
  <si>
    <t>SS01</t>
  </si>
  <si>
    <t>Sunset Over Venus</t>
  </si>
  <si>
    <t>All the Empty Towers</t>
  </si>
  <si>
    <t>SS05</t>
  </si>
  <si>
    <t>Jenny Colgan</t>
  </si>
  <si>
    <t>SS07</t>
  </si>
  <si>
    <t>Silver Mosquitoes</t>
  </si>
  <si>
    <t>SS14</t>
  </si>
  <si>
    <t>The Mercy Seats</t>
  </si>
  <si>
    <t>SS15</t>
  </si>
  <si>
    <t>The Constant Doctor</t>
  </si>
  <si>
    <t>SS02</t>
  </si>
  <si>
    <t>The Lost Generation</t>
  </si>
  <si>
    <t>SS10</t>
  </si>
  <si>
    <t>Potential Energy</t>
  </si>
  <si>
    <t>SS13</t>
  </si>
  <si>
    <t>The Girl Who Stole the Stars</t>
  </si>
  <si>
    <t>Natural Regression</t>
  </si>
  <si>
    <t>SS09</t>
  </si>
  <si>
    <t>SS04</t>
  </si>
  <si>
    <t>The Hungry Night</t>
  </si>
  <si>
    <t>SS06</t>
  </si>
  <si>
    <t>Rewriting History</t>
  </si>
  <si>
    <t>SS08</t>
  </si>
  <si>
    <t>In Search of Lost Time</t>
  </si>
  <si>
    <t>1-15 (The Constant Doctor)</t>
  </si>
  <si>
    <t>SS12</t>
  </si>
  <si>
    <t>The Piper</t>
  </si>
  <si>
    <t>Pericles</t>
  </si>
  <si>
    <t>SN14</t>
  </si>
  <si>
    <t>SN05</t>
  </si>
  <si>
    <t>Diary Extract</t>
  </si>
  <si>
    <t>SN18</t>
  </si>
  <si>
    <t>As You Like It</t>
  </si>
  <si>
    <t>Academic Notes</t>
  </si>
  <si>
    <t>SN23</t>
  </si>
  <si>
    <t>Double Falsehood</t>
  </si>
  <si>
    <t>SN19</t>
  </si>
  <si>
    <t>The Last Will</t>
  </si>
  <si>
    <t>SN25</t>
  </si>
  <si>
    <t>SN09</t>
  </si>
  <si>
    <t>The Tempest - A Work in Progress</t>
  </si>
  <si>
    <t>SN08</t>
  </si>
  <si>
    <t>The True and Most Excellent Comedie of Romeo and Juliet</t>
  </si>
  <si>
    <t>SN11</t>
  </si>
  <si>
    <t>The Winter's Tale</t>
  </si>
  <si>
    <t>SN04</t>
  </si>
  <si>
    <t>Cymbeline</t>
  </si>
  <si>
    <t>SN12</t>
  </si>
  <si>
    <t>Antony and Cleopatra</t>
  </si>
  <si>
    <t>SN13</t>
  </si>
  <si>
    <t>Troilus and Cressida</t>
  </si>
  <si>
    <t>SN10</t>
  </si>
  <si>
    <t>Exit, by Another Means</t>
  </si>
  <si>
    <t>SN01</t>
  </si>
  <si>
    <t>Notes on a Play</t>
  </si>
  <si>
    <t>SN02</t>
  </si>
  <si>
    <t>Exits and Entrances</t>
  </si>
  <si>
    <t>SN16</t>
  </si>
  <si>
    <t>Master Faustus</t>
  </si>
  <si>
    <t>SN07</t>
  </si>
  <si>
    <t>A Prologue</t>
  </si>
  <si>
    <t>SN15</t>
  </si>
  <si>
    <t>Coriolanus</t>
  </si>
  <si>
    <t>Relative Time; Preparing for the Future; Remembrance and Reflection; Everybody Dies</t>
  </si>
  <si>
    <t>Purity Bay; The Faithful; The Takers; The Shades</t>
  </si>
  <si>
    <t>SN20</t>
  </si>
  <si>
    <t>Hamlet</t>
  </si>
  <si>
    <t>SN21</t>
  </si>
  <si>
    <t>Timon of Athens</t>
  </si>
  <si>
    <t>SN24</t>
  </si>
  <si>
    <t>Ye Unearthly Child</t>
  </si>
  <si>
    <t>SN22</t>
  </si>
  <si>
    <t>Hamlet's Soliloquy</t>
  </si>
  <si>
    <t>DWM 477-480</t>
  </si>
  <si>
    <t>The Eye of Torment</t>
  </si>
  <si>
    <t>The Instruments of War</t>
  </si>
  <si>
    <t>DWM 481-483</t>
  </si>
  <si>
    <t>John Ainsworth, Scott Gray</t>
  </si>
  <si>
    <t>Space Invaders!</t>
  </si>
  <si>
    <t>DWM 484</t>
  </si>
  <si>
    <t>DWM 485-488</t>
  </si>
  <si>
    <t>Blood and Ice</t>
  </si>
  <si>
    <t>DWM 489-491</t>
  </si>
  <si>
    <t>Spirits of the Jungle</t>
  </si>
  <si>
    <t>Scott Gray, John Ainsworth</t>
  </si>
  <si>
    <t>DWM 492-493</t>
  </si>
  <si>
    <t>The Highgate Horror</t>
  </si>
  <si>
    <t>David A. Roach, Mike Collins</t>
  </si>
  <si>
    <t>DWM 494-495</t>
  </si>
  <si>
    <t>The Dragon Lord</t>
  </si>
  <si>
    <t>DWM 311</t>
  </si>
  <si>
    <t>Character Assassin</t>
  </si>
  <si>
    <t>Chime Time</t>
  </si>
  <si>
    <t>Once Bitten</t>
  </si>
  <si>
    <t>Crash Landing</t>
  </si>
  <si>
    <t>DWA 352</t>
  </si>
  <si>
    <t>DWA 353</t>
  </si>
  <si>
    <t>DWA 354</t>
  </si>
  <si>
    <t>DWA 355</t>
  </si>
  <si>
    <t>DWA 356</t>
  </si>
  <si>
    <t>DWA 357</t>
  </si>
  <si>
    <t>DWA 358</t>
  </si>
  <si>
    <t>The Court of Birds</t>
  </si>
  <si>
    <t>More than Meets the Eye</t>
  </si>
  <si>
    <t>Witch Work</t>
  </si>
  <si>
    <t>Gift Snatched!</t>
  </si>
  <si>
    <t>DWA 359</t>
  </si>
  <si>
    <t>DWA 360</t>
  </si>
  <si>
    <t>DWA 361</t>
  </si>
  <si>
    <t>DWA 362</t>
  </si>
  <si>
    <t>DWA 363</t>
  </si>
  <si>
    <t>The Wheelers</t>
  </si>
  <si>
    <t>Five a Day</t>
  </si>
  <si>
    <t>The Very Hungry Snake</t>
  </si>
  <si>
    <t>Jason Quinn</t>
  </si>
  <si>
    <t>Russ Leach</t>
  </si>
  <si>
    <t>John Burns</t>
  </si>
  <si>
    <t>Panini UK</t>
  </si>
  <si>
    <t>DWA Short Story</t>
  </si>
  <si>
    <t>DWA v2.1</t>
  </si>
  <si>
    <t>DWA v2.2</t>
  </si>
  <si>
    <t>DWA v2.3</t>
  </si>
  <si>
    <t>DWA v2.4</t>
  </si>
  <si>
    <t>DWA v2.5</t>
  </si>
  <si>
    <t>DWA v2.6</t>
  </si>
  <si>
    <t>Empire's Fall</t>
  </si>
  <si>
    <t>The Big Hush</t>
  </si>
  <si>
    <t>The Giant's Heart</t>
  </si>
  <si>
    <t>Doctor in a Bottle</t>
  </si>
  <si>
    <t>Doctor on the Menu</t>
  </si>
  <si>
    <t>Trust</t>
  </si>
  <si>
    <t>Hyperballad</t>
  </si>
  <si>
    <t>DWA Strip v2</t>
  </si>
  <si>
    <t>1-363 (The Very Hungry Snake)</t>
  </si>
  <si>
    <t>1 (The Giant's Heart)</t>
  </si>
  <si>
    <t>Time and PR in Space</t>
  </si>
  <si>
    <t>The Ministry of Time</t>
  </si>
  <si>
    <t>Big in Japan</t>
  </si>
  <si>
    <t>DWA v2.7</t>
  </si>
  <si>
    <t>Beauty Sleep</t>
  </si>
  <si>
    <t>DWA v2.8</t>
  </si>
  <si>
    <t>DWA v2.9</t>
  </si>
  <si>
    <t>DWA v2.10</t>
  </si>
  <si>
    <t>Kieron Moore</t>
  </si>
  <si>
    <t>DWA v2.11</t>
  </si>
  <si>
    <t>DWA v2.12</t>
  </si>
  <si>
    <t>DWA v2.13</t>
  </si>
  <si>
    <t>DWA v2.14</t>
  </si>
  <si>
    <t>The Spice Route</t>
  </si>
  <si>
    <t>Ghosts of the Seas</t>
  </si>
  <si>
    <t>Shock Horror</t>
  </si>
  <si>
    <t>Sky Manor</t>
  </si>
  <si>
    <t>The Winterlac; Master Race; The Natural Order</t>
  </si>
  <si>
    <t>Galactic Reich; Manipulations; The New Masters of Time; In the Shoes of Dead Men</t>
  </si>
  <si>
    <t>British Values; A Tawdry Little Business; A Form of Superiority; Uprising</t>
  </si>
  <si>
    <t>The Return of the Dark Dream; Gathering for the Nest; Spinning the Future; The Empire of the Mara</t>
  </si>
  <si>
    <t>DWM Backup Strip</t>
  </si>
  <si>
    <t>DWM 1-4</t>
  </si>
  <si>
    <t>The Return of the Daleks</t>
  </si>
  <si>
    <t>Paul Neary, David Lloyd</t>
  </si>
  <si>
    <t>DWM 5-7</t>
  </si>
  <si>
    <t>Throwback: The Soul of a Cyberman</t>
  </si>
  <si>
    <t>DWM 8</t>
  </si>
  <si>
    <t>The Final Quest</t>
  </si>
  <si>
    <t>DWM 9-11</t>
  </si>
  <si>
    <t>The Stolen TARDIS</t>
  </si>
  <si>
    <t>K-9's Finest Hour</t>
  </si>
  <si>
    <t>Warlord of the Ogrons</t>
  </si>
  <si>
    <t>DWM 13-14</t>
  </si>
  <si>
    <t>Deathworld</t>
  </si>
  <si>
    <t>DWM 15-16</t>
  </si>
  <si>
    <t>David Lloyd</t>
  </si>
  <si>
    <t>Abslom Daak… Dalek Killer</t>
  </si>
  <si>
    <t>DWM 17-20</t>
  </si>
  <si>
    <t>Twilight of the Silurians</t>
  </si>
  <si>
    <t>DWM 21-22</t>
  </si>
  <si>
    <t>DWM 23-24</t>
  </si>
  <si>
    <t>The Outsider</t>
  </si>
  <si>
    <t>Star Tigers</t>
  </si>
  <si>
    <t>Yonder… The Yeti</t>
  </si>
  <si>
    <t>Black Legacy</t>
  </si>
  <si>
    <t>Business as Usual</t>
  </si>
  <si>
    <t>Star Death</t>
  </si>
  <si>
    <t>Touchdown on Deneb-7</t>
  </si>
  <si>
    <t>Voyage to the Edge of the Universe</t>
  </si>
  <si>
    <t>Crisis on Kaldor</t>
  </si>
  <si>
    <t>4-D War</t>
  </si>
  <si>
    <t>The Greatest Gamble</t>
  </si>
  <si>
    <t>Black Sun Rising</t>
  </si>
  <si>
    <t>Skywatch-7</t>
  </si>
  <si>
    <t>The Gods Walk Among Us</t>
  </si>
  <si>
    <t>Devil of the Deep</t>
  </si>
  <si>
    <t>The Fires Down Below</t>
  </si>
  <si>
    <t>The Fabulous Idiot</t>
  </si>
  <si>
    <t>A Ship Called Sudden Death</t>
  </si>
  <si>
    <t>Conflict of Interests</t>
  </si>
  <si>
    <t>DWM 183</t>
  </si>
  <si>
    <t>DWM 25-26</t>
  </si>
  <si>
    <t>DWM 31-34</t>
  </si>
  <si>
    <t>DWM 40-43</t>
  </si>
  <si>
    <t>DWM 47</t>
  </si>
  <si>
    <t>DWM 49</t>
  </si>
  <si>
    <t>DWM 48</t>
  </si>
  <si>
    <t>DWM 50</t>
  </si>
  <si>
    <t>DWM 56</t>
  </si>
  <si>
    <t>DWM 57</t>
  </si>
  <si>
    <t>DWM 59</t>
  </si>
  <si>
    <t>DWM 61</t>
  </si>
  <si>
    <t>DWM 64</t>
  </si>
  <si>
    <t>DWMWS 1981</t>
  </si>
  <si>
    <t>DWMSS 1982</t>
  </si>
  <si>
    <t>1-31 (Conflict of Interests)</t>
  </si>
  <si>
    <t>Steve Dillon, David Lloyd</t>
  </si>
  <si>
    <t>DWM 27-30/44-46</t>
  </si>
  <si>
    <t>Andy Yanchus</t>
  </si>
  <si>
    <t>Alan Moore</t>
  </si>
  <si>
    <t>John Stokes</t>
  </si>
  <si>
    <t>Mike McMahon</t>
  </si>
  <si>
    <t>DWM 58-WS 1981</t>
  </si>
  <si>
    <t>Maxwell Stockbridge</t>
  </si>
  <si>
    <t>Minatorius</t>
  </si>
  <si>
    <t>Steve Parkhouse, Geoff Senior</t>
  </si>
  <si>
    <t>Richard Whitaker, Cam Smith</t>
  </si>
  <si>
    <t>Always Let the Conscience Be Your Guide</t>
  </si>
  <si>
    <t>4DA4.1</t>
  </si>
  <si>
    <t>4DA4.2</t>
  </si>
  <si>
    <t>4DA4.3</t>
  </si>
  <si>
    <t>4DA4.4</t>
  </si>
  <si>
    <t>4DA4.5</t>
  </si>
  <si>
    <t>4DA4.6</t>
  </si>
  <si>
    <t>4DA4.7</t>
  </si>
  <si>
    <t>4DA4.8</t>
  </si>
  <si>
    <t>The Exxilons</t>
  </si>
  <si>
    <t>The Darkness of Glass</t>
  </si>
  <si>
    <t>Requiem for the Rocket Men</t>
  </si>
  <si>
    <t>Death Match</t>
  </si>
  <si>
    <t>Suburban Hell</t>
  </si>
  <si>
    <t>The Cloisters of Terror</t>
  </si>
  <si>
    <t>The Fate of Krelos</t>
  </si>
  <si>
    <t>Return to Telos</t>
  </si>
  <si>
    <t>1-78178-349-8</t>
  </si>
  <si>
    <t>1-78178-347-4</t>
  </si>
  <si>
    <t>1-78178-348-1</t>
  </si>
  <si>
    <t>1-78178-350-4</t>
  </si>
  <si>
    <t>1-78178-346-7</t>
  </si>
  <si>
    <t>1-78178-351-1</t>
  </si>
  <si>
    <t>1-78178-352-8</t>
  </si>
  <si>
    <t>The Red House</t>
  </si>
  <si>
    <t>Sixth Doctor Last Adventure</t>
  </si>
  <si>
    <t>Stage Fright</t>
  </si>
  <si>
    <t>The End of the Line</t>
  </si>
  <si>
    <t>Constance</t>
  </si>
  <si>
    <t>The Brink of Death</t>
  </si>
  <si>
    <t>Prisoners of the Lake</t>
  </si>
  <si>
    <t>1-78178-531-7</t>
  </si>
  <si>
    <t>The Havoc of Empires</t>
  </si>
  <si>
    <t>EA2.1</t>
  </si>
  <si>
    <t>The Yes Men</t>
  </si>
  <si>
    <t>1-78178-353-5</t>
  </si>
  <si>
    <t>EA2.2</t>
  </si>
  <si>
    <t>The Forsaken</t>
  </si>
  <si>
    <t>1-78178-354-2</t>
  </si>
  <si>
    <t>EA2.3</t>
  </si>
  <si>
    <t>1-78178-355-9</t>
  </si>
  <si>
    <t>EA2.4</t>
  </si>
  <si>
    <t>The Isos Network</t>
  </si>
  <si>
    <t>1-78178-356-6</t>
  </si>
  <si>
    <t>1-4 (The Brink of Death)</t>
  </si>
  <si>
    <t>8DC.1</t>
  </si>
  <si>
    <t>8DE.4</t>
  </si>
  <si>
    <t>The Eleven</t>
  </si>
  <si>
    <t>1-78178-620-8</t>
  </si>
  <si>
    <t>The Red Lady</t>
  </si>
  <si>
    <t>The Galileo Trap</t>
  </si>
  <si>
    <t>The Satanic Mill</t>
  </si>
  <si>
    <t>Edward Collier</t>
  </si>
  <si>
    <t>8DC.2</t>
  </si>
  <si>
    <t>Beachhead</t>
  </si>
  <si>
    <t>1-78178-621-5</t>
  </si>
  <si>
    <t>Scenes from Her Life</t>
  </si>
  <si>
    <t>The Sonomancer</t>
  </si>
  <si>
    <t>UNIT1.4</t>
  </si>
  <si>
    <t>UNIT1.1</t>
  </si>
  <si>
    <t>UNIT1.2</t>
  </si>
  <si>
    <t>UNIT1.3</t>
  </si>
  <si>
    <t>Vanguard</t>
  </si>
  <si>
    <t>1-78178-612-3</t>
  </si>
  <si>
    <t>Extinction: Vanguard</t>
  </si>
  <si>
    <t>UNIT3.1</t>
  </si>
  <si>
    <t>UNIT3.2</t>
  </si>
  <si>
    <t>UNIT3.3</t>
  </si>
  <si>
    <t>Extinction: Earthfall</t>
  </si>
  <si>
    <t>Earthfall</t>
  </si>
  <si>
    <t>Bridgehead</t>
  </si>
  <si>
    <t>Armageddon</t>
  </si>
  <si>
    <t>Extinction: Armageddon</t>
  </si>
  <si>
    <t>Extinction: Bridgehead</t>
  </si>
  <si>
    <t>TWD1.1</t>
  </si>
  <si>
    <t>1-78575-187-5</t>
  </si>
  <si>
    <t>TWD1.2</t>
  </si>
  <si>
    <t>TWD1.3</t>
  </si>
  <si>
    <t>The Innocent</t>
  </si>
  <si>
    <t>The Thousand Worlds</t>
  </si>
  <si>
    <t>The Heart of the Battle</t>
  </si>
  <si>
    <t>Only the Monstrous: The Heart of the Battle</t>
  </si>
  <si>
    <t>Only the Monstrous: The Thousand Worlds</t>
  </si>
  <si>
    <t>Only the Monstrous: The Innocent</t>
  </si>
  <si>
    <t>TWD2.1</t>
  </si>
  <si>
    <t>TWD2.2</t>
  </si>
  <si>
    <t>TWD2.3</t>
  </si>
  <si>
    <t>Infernal Devices: Legion of the Lost</t>
  </si>
  <si>
    <t>Infernal Devices: A Thing of Guile</t>
  </si>
  <si>
    <t>Infernal Devices: The Neverwhen</t>
  </si>
  <si>
    <t>Phil Mulryne</t>
  </si>
  <si>
    <t>1-78575-189-9</t>
  </si>
  <si>
    <t>H&amp;M1</t>
  </si>
  <si>
    <t>The Stranger</t>
  </si>
  <si>
    <t>1-40592-268-5</t>
  </si>
  <si>
    <t>Heroes and Monsters Story</t>
  </si>
  <si>
    <t>H&amp;M2</t>
  </si>
  <si>
    <t>Normality</t>
  </si>
  <si>
    <t>H&amp;M3</t>
  </si>
  <si>
    <t>Buyer's Remorse</t>
  </si>
  <si>
    <t>I; I I; I I I; I I I I</t>
  </si>
  <si>
    <t>New Companions; Sources and Influences; Mind Maps; The Kingdom of Magus</t>
  </si>
  <si>
    <t>Earth Space Station 454; Rose Dream; The Prison Ship; The Vaccine</t>
  </si>
  <si>
    <t>TDoRS1.1</t>
  </si>
  <si>
    <t>TDoRS1.2</t>
  </si>
  <si>
    <t>TDoRS1.3</t>
  </si>
  <si>
    <t>TDoRS1.4</t>
  </si>
  <si>
    <t>The Boundless Sea</t>
  </si>
  <si>
    <t>I Went to a Marvellous Party</t>
  </si>
  <si>
    <t>Signs</t>
  </si>
  <si>
    <t>The Rulers of the Universe</t>
  </si>
  <si>
    <t>Jenny T Colgan</t>
  </si>
  <si>
    <t>1-78178-943-8</t>
  </si>
  <si>
    <t>Diary Entry of River Song</t>
  </si>
  <si>
    <t>The Evasion Line; Making a Difference</t>
  </si>
  <si>
    <t>Tales of Peladon; The Prisoner Who Must Not Be Released</t>
  </si>
  <si>
    <t>Language Barriers; It Pays to Increase Your Word Power</t>
  </si>
  <si>
    <t>It Came from Outer Space; The Shape of Things to Come</t>
  </si>
  <si>
    <t>The Writing on the Wall/Work Appraisal; The Cleansing/Managed Decline</t>
  </si>
  <si>
    <t>The Fire in the Sky; The Founding Fathers/The Conductor of Lightning</t>
  </si>
  <si>
    <t>The Locked Room/A Mind Forever Voyaging; The Way Out</t>
  </si>
  <si>
    <t>The Sleeping Blood/A Small-Scale Emergency; The Butcher's Citadel</t>
  </si>
  <si>
    <t>The Man and the Hour; Command Decision; Uninvited Guests; A Soldier's Farewell</t>
  </si>
  <si>
    <t>A Slip of the Lip; Nil by Mouth; The Morass; Teenage Romance</t>
  </si>
  <si>
    <t>The Bunker; Off the Map; Laboratory Animals; The Rat King's Tale</t>
  </si>
  <si>
    <t>The Puzzler; Getting the Picture</t>
  </si>
  <si>
    <t>Coming Home to Die; Keeping Friends Safe; Leaving the Past Alone; Rewriting the Future</t>
  </si>
  <si>
    <t>When the River is Gone, Ships Shall Sail in the Sky; Monsters Bring Fire from the Heavens; All Will Fall into a Grey and Endless Sea; And Doomsday has  Come</t>
  </si>
  <si>
    <t>Space; Time</t>
  </si>
  <si>
    <t>Born Again</t>
  </si>
  <si>
    <t>Bloke</t>
  </si>
  <si>
    <t>A Girl's Best Friend</t>
  </si>
  <si>
    <t>Frequently Asked Questions</t>
  </si>
  <si>
    <t>Behind You</t>
  </si>
  <si>
    <t>The Calm Before the Storm</t>
  </si>
  <si>
    <t>Brain Trafficking</t>
  </si>
  <si>
    <t>A Message from Amy</t>
  </si>
  <si>
    <t>Tick Tock</t>
  </si>
  <si>
    <t>A Message for Amy</t>
  </si>
  <si>
    <t>The Hooded Messenger</t>
  </si>
  <si>
    <t>The Nature of Friends and Enemies</t>
  </si>
  <si>
    <t>The Impossible Girl</t>
  </si>
  <si>
    <t>The Making of the Gunslinger</t>
  </si>
  <si>
    <t>Snake Head</t>
  </si>
  <si>
    <t>Meet the Doctor</t>
  </si>
  <si>
    <t>Mirror, Signal, Maneuvre</t>
  </si>
  <si>
    <t>The Longest Night</t>
  </si>
  <si>
    <t>Snow Blind</t>
  </si>
  <si>
    <t>Test of Nerve</t>
  </si>
  <si>
    <t>Buried Secrets</t>
  </si>
  <si>
    <t>The Coup</t>
  </si>
  <si>
    <t>Fatal Consequences</t>
  </si>
  <si>
    <t>The TAO Connection</t>
  </si>
  <si>
    <t>The Wasting</t>
  </si>
  <si>
    <t>Ghost Town</t>
  </si>
  <si>
    <t>Comeback</t>
  </si>
  <si>
    <t>Time Heals</t>
  </si>
  <si>
    <t>Bazaar Adventures</t>
  </si>
  <si>
    <t>In With the Tide</t>
  </si>
  <si>
    <t>A Rare Gem</t>
  </si>
  <si>
    <t>In Their Nature</t>
  </si>
  <si>
    <t>Facades</t>
  </si>
  <si>
    <t>Cat and Mouse</t>
  </si>
  <si>
    <t>The Body Politic</t>
  </si>
  <si>
    <t>Mystery Date</t>
  </si>
  <si>
    <t>Quiet on the Set</t>
  </si>
  <si>
    <t>Doctor Patient Relationship</t>
  </si>
  <si>
    <t>The Graves of Mordane</t>
  </si>
  <si>
    <t>The Art of War</t>
  </si>
  <si>
    <t>The Pictures of Emptiness</t>
  </si>
  <si>
    <t>The Planet of Oblivion</t>
  </si>
  <si>
    <t>The Colour of Darkness</t>
  </si>
  <si>
    <t>The Game of Death</t>
  </si>
  <si>
    <t>The Vampire of Paris</t>
  </si>
  <si>
    <t>The Dust of Ages</t>
  </si>
  <si>
    <t>The Depths of Despair</t>
  </si>
  <si>
    <t>Polly's Story; In Memoriam; The Gathernaut; Cremation Point;</t>
  </si>
  <si>
    <t>The Brigadier's Story; Coffin-Loaders; The Hunting Ground; The Battle of World's End Junction</t>
  </si>
  <si>
    <t>Many Meetings; Brewster's Story; The Hunter; The Sacrifice</t>
  </si>
  <si>
    <t>The Black Hole</t>
  </si>
  <si>
    <t>Blue Fire House; The Master of the House; A Study in Fear; The Mi'en Kalarash</t>
  </si>
  <si>
    <t>The First Step Towards Revelation; How Many Lurkers Dream in the Vault?; How Tall Stands the Fourth Dreamer?; Shuddersome Tales</t>
  </si>
  <si>
    <t>Trouble at t'Mill; Industrial Action; Infernal Devices; Green and Pleasant Land</t>
  </si>
  <si>
    <t>Friends and Other Strangers; Train Fright; Substitute Doctor; Costing the Earth</t>
  </si>
  <si>
    <t>Floating in a Tin Can; Time to Leave the Capsule; Far Above the World; Nothing I Can Do</t>
  </si>
  <si>
    <t>I, Robot; The Rest of the Robots; Robot Dreams; The Robots of Dawn</t>
  </si>
  <si>
    <t>Journey from the Sacred Mountain; The Immortal Emperor</t>
  </si>
  <si>
    <t>Preparation; Aftermath; Cause; Effect</t>
  </si>
  <si>
    <t>Histories; Stories;Legends; Myths</t>
  </si>
  <si>
    <t>Gods; Monsters; Villains; Heroes</t>
  </si>
  <si>
    <t>Maiden Voyage?; Arctic Adventure; Undersea Adventure; Dramatis Personae</t>
  </si>
  <si>
    <t>Setup; Response; Attack; Resolution</t>
  </si>
  <si>
    <t>The Kelpie's Flow; The Bride of Lammermoor</t>
  </si>
  <si>
    <t>I Was Defeated; You Won the War; Couldn't Escape if I Wanted To; Finally Facing My Waterloo</t>
  </si>
  <si>
    <t>Jo is Making a Thing; Killing the Doctor</t>
  </si>
  <si>
    <t>Perseus; Beloved</t>
  </si>
  <si>
    <t>Tiger! Tiger!; A Passage in India; The Jewels of Karabya; The Law of the Jungle</t>
  </si>
  <si>
    <t>A New World; Land Rights; Escalation; The Adjudication; Return to the Old World; The Doomsday Weapon</t>
  </si>
  <si>
    <t>The Web in Space; The Moving Web; Traitor; The Attack; Voice of the Intelligence; Counterstrike</t>
  </si>
  <si>
    <t>Snowcap Station; The Visitors; Countdown; Finale</t>
  </si>
  <si>
    <t xml:space="preserve">A Gift; The Master's Plan; The Space Vampire; Uneasy Allies </t>
  </si>
  <si>
    <t>Planet of the Watchers; Escape to Danger</t>
  </si>
  <si>
    <t>Gabriel Chase; Natural Selection?; Let There Be Light</t>
  </si>
  <si>
    <t>Legion of the Lost</t>
  </si>
  <si>
    <t>A Thing of Guile</t>
  </si>
  <si>
    <t>The Neverwhen</t>
  </si>
  <si>
    <t>High Pressure; The Watch Below</t>
  </si>
  <si>
    <t>Brisbane; The Dead Zone; Peking; Reykjavik</t>
  </si>
  <si>
    <t>Give-a-Show</t>
  </si>
  <si>
    <t>None</t>
  </si>
  <si>
    <t>STA5:09</t>
  </si>
  <si>
    <t>Etheria</t>
  </si>
  <si>
    <t>1-78178-400-6</t>
  </si>
  <si>
    <t>STA6:05</t>
  </si>
  <si>
    <t>This Sporting Life</t>
  </si>
  <si>
    <t>1-78575-108-0</t>
  </si>
  <si>
    <t>The Horror at Bletchington Station</t>
  </si>
  <si>
    <t>CC10.1</t>
  </si>
  <si>
    <t>The Mouthless Dead</t>
  </si>
  <si>
    <t>John Pritchard</t>
  </si>
  <si>
    <t>1-78575-014-4</t>
  </si>
  <si>
    <t>CC10.2</t>
  </si>
  <si>
    <t>The Story of Extinction</t>
  </si>
  <si>
    <t>CC10.3</t>
  </si>
  <si>
    <t>The Integral</t>
  </si>
  <si>
    <t>David Bartlett</t>
  </si>
  <si>
    <t>CC10.4</t>
  </si>
  <si>
    <t>Rob Nisbet</t>
  </si>
  <si>
    <t>STA5:10</t>
  </si>
  <si>
    <t>The Way of the Empty Hand</t>
  </si>
  <si>
    <t>Julian Richards</t>
  </si>
  <si>
    <t>1-78178-401-3</t>
  </si>
  <si>
    <t>STA6:07</t>
  </si>
  <si>
    <t>The Blame Game</t>
  </si>
  <si>
    <t>Rufus Hound</t>
  </si>
  <si>
    <t>1-78575-110-3</t>
  </si>
  <si>
    <t>STA5.11</t>
  </si>
  <si>
    <t>The Other Woman</t>
  </si>
  <si>
    <t>1-78178-402-0</t>
  </si>
  <si>
    <t>Sphinx Lightning</t>
  </si>
  <si>
    <t>TT07</t>
  </si>
  <si>
    <t>The Loneliness of the Long-Distance Time Traveller</t>
  </si>
  <si>
    <t>Joanne Harris</t>
  </si>
  <si>
    <t>1-84990-771-2</t>
  </si>
  <si>
    <t>Time Trip</t>
  </si>
  <si>
    <t>Alice</t>
  </si>
  <si>
    <t>TVCHS 1975</t>
  </si>
  <si>
    <t>Magic Box</t>
  </si>
  <si>
    <t>TVCHS 1976</t>
  </si>
  <si>
    <t>Which Way Out?</t>
  </si>
  <si>
    <t>STA5.12</t>
  </si>
  <si>
    <t>Black Dog</t>
  </si>
  <si>
    <t>1-78178-403-7</t>
  </si>
  <si>
    <t>Sound the Siren and I'll Come to You Comrade</t>
  </si>
  <si>
    <t>String Theory</t>
  </si>
  <si>
    <t>Kini Brown</t>
  </si>
  <si>
    <t>TVC Ann 1979</t>
  </si>
  <si>
    <t>The Sea Devil</t>
  </si>
  <si>
    <t>Milena</t>
  </si>
  <si>
    <t>The Warren Legacy</t>
  </si>
  <si>
    <t>The Doctor's First XI</t>
  </si>
  <si>
    <t>DWM Short</t>
  </si>
  <si>
    <t>DWM 230-232</t>
  </si>
  <si>
    <t>The Final Analysis</t>
  </si>
  <si>
    <t>Phil Bevan</t>
  </si>
  <si>
    <t>Waiting for Gadot</t>
  </si>
  <si>
    <t>The Toy</t>
  </si>
  <si>
    <t>War; Death; Famine; Pestilence</t>
  </si>
  <si>
    <t>A Day in the Life; The Village That Never Changes; The Lord and the Lady; Past, Present, and Future</t>
  </si>
  <si>
    <t>Teaser Trailer; Reel Life; Fridge Logic; End Credits</t>
  </si>
  <si>
    <t>Perfect Union; The Queen's Daughter; The Road to York; Kingdom's Fate</t>
  </si>
  <si>
    <t>Commonmania; The Guru and the Manager; The Way it Was; Bigger than Everyone</t>
  </si>
  <si>
    <t>Lament of the Melkur; Power of Prophesy; All-Pervading Evil; Tomb of the Hero</t>
  </si>
  <si>
    <t>The Stars Are Not Right; Party People</t>
  </si>
  <si>
    <t>Dead or Alive; Dealing in Death</t>
  </si>
  <si>
    <t>The CVE Makers; Two Universes</t>
  </si>
  <si>
    <t>Kettering; Valiador</t>
  </si>
  <si>
    <t>Rewind; Erase</t>
  </si>
  <si>
    <t>Sad Stories of the Death of Kings; Historical Revisionism</t>
  </si>
  <si>
    <t>The Valiant Woman; The Watchers on the Walls; The Only Living Thing</t>
  </si>
  <si>
    <t>The Forsaken Land; War's End; The Bride of Dracula; The Man in the High Castle</t>
  </si>
  <si>
    <t>The Coming of a Queen; A Long Time in Politics; The Avenger; End of a Dynasty</t>
  </si>
  <si>
    <t>The Two Masters</t>
  </si>
  <si>
    <t>Vampire of the Mind</t>
  </si>
  <si>
    <t>And You Will Obey Me</t>
  </si>
  <si>
    <t>The Peterloo Massacre</t>
  </si>
  <si>
    <t>Aquitaine</t>
  </si>
  <si>
    <t>The Waters of Amsterdam</t>
  </si>
  <si>
    <t>You Are the Doctor</t>
  </si>
  <si>
    <t>Dead to the World</t>
  </si>
  <si>
    <t>Come Die With Me</t>
  </si>
  <si>
    <t>Shield of the Jötunn</t>
  </si>
  <si>
    <t>Planet of the Rani</t>
  </si>
  <si>
    <t>Criss-Cross</t>
  </si>
  <si>
    <t>Terror of the Sontarans</t>
  </si>
  <si>
    <t>The Warehouse</t>
  </si>
  <si>
    <t>We Are the Daleks</t>
  </si>
  <si>
    <t>Junkyard Demon</t>
  </si>
  <si>
    <t>Junkyard Demon II</t>
  </si>
  <si>
    <t>Fade Away</t>
  </si>
  <si>
    <t>Paul Hanley</t>
  </si>
  <si>
    <t>Shawn Van Briesen</t>
  </si>
  <si>
    <t>CBZ</t>
  </si>
  <si>
    <t>Deviant Art</t>
  </si>
  <si>
    <t>NA17</t>
  </si>
  <si>
    <t>0-426-20393-3</t>
  </si>
  <si>
    <t>1-78178-541-6</t>
  </si>
  <si>
    <t>1-78178-543-0</t>
  </si>
  <si>
    <t>John Dorney, Dan Starkey</t>
  </si>
  <si>
    <t>1-78178-545-4</t>
  </si>
  <si>
    <t>1-78178-547-8</t>
  </si>
  <si>
    <t>1-78178-549-2</t>
  </si>
  <si>
    <t>1-78178-551-5</t>
  </si>
  <si>
    <t>The Grand Betelgeuse Hotel</t>
  </si>
  <si>
    <t>1-78178-875-2</t>
  </si>
  <si>
    <t>Jamie Anderson</t>
  </si>
  <si>
    <t>Matthew Elliott</t>
  </si>
  <si>
    <t>1-78178-877-6</t>
  </si>
  <si>
    <t>1-78178-879-0</t>
  </si>
  <si>
    <t>1-78178-881-3</t>
  </si>
  <si>
    <t>1-78178-883-7</t>
  </si>
  <si>
    <t>1-78178-885-1</t>
  </si>
  <si>
    <t>1-78178-887-5</t>
  </si>
  <si>
    <t>The Barrier Across Time; The Time Walkers</t>
  </si>
  <si>
    <t>Metal Millie; A Village Under Seige</t>
  </si>
  <si>
    <t>Something Fishy; Self Knowledge; The Piscon Paradox; Peri</t>
  </si>
  <si>
    <t>Dead on Time; The Apocalypse Clock</t>
  </si>
  <si>
    <t>The Janitor; The Price of the Moon; The One About the Twins; The Dark Passenger</t>
  </si>
  <si>
    <t>Arrivals; Economy and Business; Upgrading; Departures</t>
  </si>
  <si>
    <t>Longest Way Up; Shortest Way Down</t>
  </si>
  <si>
    <t>Days of Future, Past; Fellowship; Parenthood; Companionship</t>
  </si>
  <si>
    <t>Cl1</t>
  </si>
  <si>
    <t>Cl</t>
  </si>
  <si>
    <t>Class</t>
  </si>
  <si>
    <t>Cl1.1</t>
  </si>
  <si>
    <t>Cl1.2</t>
  </si>
  <si>
    <t>Cl1.3</t>
  </si>
  <si>
    <t>Cl1.4-5</t>
  </si>
  <si>
    <t>Cl1.6</t>
  </si>
  <si>
    <t>Cl1.7</t>
  </si>
  <si>
    <t>Cl1.8</t>
  </si>
  <si>
    <t>For Tonight We Might Die</t>
  </si>
  <si>
    <t>The Coach with the Dragon Tattoo</t>
  </si>
  <si>
    <t>Nightvisiting</t>
  </si>
  <si>
    <t>Hearts</t>
  </si>
  <si>
    <t>Detained</t>
  </si>
  <si>
    <t>The Metaphysical Engine, or What Quill Did</t>
  </si>
  <si>
    <t>Philippa Langdale</t>
  </si>
  <si>
    <t>Wayne Che Yip</t>
  </si>
  <si>
    <t>Julian Holmes</t>
  </si>
  <si>
    <t>Co-owner of the Lonely Heart; Brave-ish Heart</t>
  </si>
  <si>
    <t>The Quest for the Lost City of Gold; The Pit of Sacrifice; The Refugee Crisis; The Dawn of the Luron Sun</t>
  </si>
  <si>
    <t>The Ghosts from the Grange; Times Change; Citizens of Eternity; The Pantophagians; The Evacuation; A Chronic Solution</t>
  </si>
  <si>
    <t>The Trophy Room; The Carrier</t>
  </si>
  <si>
    <t>The Unreal People; Catharsis</t>
  </si>
  <si>
    <t>Memory Retrieval; The Circle of Life</t>
  </si>
  <si>
    <t>Stormcrow; No-things</t>
  </si>
  <si>
    <t>UNIT3.4</t>
  </si>
  <si>
    <t>Diamond Jack; The Memory Man</t>
  </si>
  <si>
    <t>The Wooden Corpse; Lignum Vitae</t>
  </si>
  <si>
    <t>The Massacre</t>
  </si>
  <si>
    <t>The Master Narrative; The Devil's Deal</t>
  </si>
  <si>
    <t>Diagnostics and Maintenance; Fatal Systems Error</t>
  </si>
  <si>
    <t>The Red Button; The Vanishing Point</t>
  </si>
  <si>
    <t>Intelligence; Acumen</t>
  </si>
  <si>
    <t>First Day on the Job; Last Day on the Planet</t>
  </si>
  <si>
    <t>The Deserted Station; The Unknown Warrior</t>
  </si>
  <si>
    <t>The Monsters; Under Seige</t>
  </si>
  <si>
    <t>A Warning from the Past; Spreading the Word</t>
  </si>
  <si>
    <t>A Polite Invitation; Diverse Amusements; An Evening's Entertainment; A Final Reckoning</t>
  </si>
  <si>
    <t>TTD</t>
  </si>
  <si>
    <t>At the Temple of the Fourth; Planet of Blood; The Child; No Child of Earth; Death Comes to Time</t>
  </si>
  <si>
    <t>The Return of Doctor Mysterio</t>
  </si>
  <si>
    <t>Before the Ice; The Evolutionaries; Hour of the Life-drink; Secrets of the Mines; Inferior Beings; Left Behind</t>
  </si>
  <si>
    <t>Heritage Site; Spring Showers; Rise and Shine; The Fog of War</t>
  </si>
  <si>
    <t>BS08</t>
  </si>
  <si>
    <t>BFA08.1</t>
  </si>
  <si>
    <t>The Tub Full of Cats</t>
  </si>
  <si>
    <t>1-84435-272-2</t>
  </si>
  <si>
    <t>BFA08.2</t>
  </si>
  <si>
    <t>BFA08.3</t>
  </si>
  <si>
    <t>BFA08.4</t>
  </si>
  <si>
    <t>BFA08.5</t>
  </si>
  <si>
    <t>BFA08.6</t>
  </si>
  <si>
    <t>The Judas Gift</t>
  </si>
  <si>
    <t>Freedom of Information</t>
  </si>
  <si>
    <t>The Final Amendment</t>
  </si>
  <si>
    <t>1-84435-273-9</t>
  </si>
  <si>
    <t>BFHB04</t>
  </si>
  <si>
    <t>The Two Jasons</t>
  </si>
  <si>
    <t>1-84435-279-1</t>
  </si>
  <si>
    <t>1-84435-274-6</t>
  </si>
  <si>
    <t>1-84435-281-4</t>
  </si>
  <si>
    <t>BFNo4.01</t>
  </si>
  <si>
    <t>BFNo4.02</t>
  </si>
  <si>
    <t>BFNo4.03</t>
  </si>
  <si>
    <t>Nobody's Children: All Mimsy Were the Borogroves</t>
  </si>
  <si>
    <t>Nobody's Children: The Loyal Left Hand</t>
  </si>
  <si>
    <t>Nobody's Children: Nursery Politics</t>
  </si>
  <si>
    <t>1-84435-275-3</t>
  </si>
  <si>
    <t>1-84435-276-0</t>
  </si>
  <si>
    <t>1-84435-277-7</t>
  </si>
  <si>
    <t>BS09</t>
  </si>
  <si>
    <t>BFA09.1</t>
  </si>
  <si>
    <t>BFA09.2</t>
  </si>
  <si>
    <t>BFA09.3</t>
  </si>
  <si>
    <t>BFA09.4</t>
  </si>
  <si>
    <t>Beyond the Sea</t>
  </si>
  <si>
    <t>The Adolescence of Time</t>
  </si>
  <si>
    <t>The Diet of Worms</t>
  </si>
  <si>
    <t>Jim Smith</t>
  </si>
  <si>
    <t>Toby Longworth</t>
  </si>
  <si>
    <t>1-84435-326-2</t>
  </si>
  <si>
    <t>1-84435-327-9</t>
  </si>
  <si>
    <t>The Adventure of the Diogenes Damsel</t>
  </si>
  <si>
    <t>1-84435-328-6</t>
  </si>
  <si>
    <t>1-84435-329-3</t>
  </si>
  <si>
    <t>BFNo5:2</t>
  </si>
  <si>
    <t>The Vampire Curse: Possum Kingdom</t>
  </si>
  <si>
    <t>BFNo5:3</t>
  </si>
  <si>
    <t>The Vampire Curse: Predating the Predators</t>
  </si>
  <si>
    <t>BS10</t>
  </si>
  <si>
    <t>BS11</t>
  </si>
  <si>
    <t>BFA10.1</t>
  </si>
  <si>
    <t>BFA10.2</t>
  </si>
  <si>
    <t>BFA10.3</t>
  </si>
  <si>
    <t>BFA10.4</t>
  </si>
  <si>
    <t>BFA11.1</t>
  </si>
  <si>
    <t>BFA11.2</t>
  </si>
  <si>
    <t>BFA11.3</t>
  </si>
  <si>
    <t>BFA11.4</t>
  </si>
  <si>
    <t>Glory Days</t>
  </si>
  <si>
    <t>Absence</t>
  </si>
  <si>
    <t>Venus Mantrap</t>
  </si>
  <si>
    <t>Secret Origins</t>
  </si>
  <si>
    <t>Resurrecting the Past</t>
  </si>
  <si>
    <t>Escaping the Future</t>
  </si>
  <si>
    <t>Year Zero</t>
  </si>
  <si>
    <t>Dead Man's Switch</t>
  </si>
  <si>
    <t>Mark Clapham, Lance Parkin</t>
  </si>
  <si>
    <t>John Dorney, Richard Dinnick</t>
  </si>
  <si>
    <t>1-84435-420-7</t>
  </si>
  <si>
    <t>1-84435-421-4</t>
  </si>
  <si>
    <t>1-84435-422-1</t>
  </si>
  <si>
    <t>1-84435-423-8</t>
  </si>
  <si>
    <t>1-84435-471-9</t>
  </si>
  <si>
    <t>BFAn08.01</t>
  </si>
  <si>
    <t>BFAn08.02</t>
  </si>
  <si>
    <t>BFAn08.03</t>
  </si>
  <si>
    <t>BFAn08.04</t>
  </si>
  <si>
    <t>BFAn08.05</t>
  </si>
  <si>
    <t>BFAn08.06</t>
  </si>
  <si>
    <t>BFAn08.07</t>
  </si>
  <si>
    <t>BFAn08.08</t>
  </si>
  <si>
    <t>BFAn08.09</t>
  </si>
  <si>
    <t>Secret Histories: A Game of Soldiers</t>
  </si>
  <si>
    <t>Secret Histories: Cooker Island</t>
  </si>
  <si>
    <t>Secret Histories: A Gallery of Pigeons</t>
  </si>
  <si>
    <t>Secret Histories: The Firing Squad</t>
  </si>
  <si>
    <t>Secret Histories: You Shouldn't Have</t>
  </si>
  <si>
    <t>Secret Histories: The Illuminated Man</t>
  </si>
  <si>
    <t>Secret Histories: Redacted</t>
  </si>
  <si>
    <t>Secret Histories: The Song of Old Man Bunyip</t>
  </si>
  <si>
    <t>Secret Histories: Turn the Light On</t>
  </si>
  <si>
    <t>Cody Schell</t>
  </si>
  <si>
    <t>Jonathan Dennis</t>
  </si>
  <si>
    <t>Richard Freeman</t>
  </si>
  <si>
    <t>BFV11.0</t>
  </si>
  <si>
    <t>Dead and Buried</t>
  </si>
  <si>
    <t>Eddie Robson, John Ainsworth, Alex Mallinson</t>
  </si>
  <si>
    <t>Alex Mallinson</t>
  </si>
  <si>
    <t>BF Bernice Summerfield Video</t>
  </si>
  <si>
    <t>1-84435-526-6</t>
  </si>
  <si>
    <t>1-84435-527-3</t>
  </si>
  <si>
    <t>1-84435-528-0</t>
  </si>
  <si>
    <t>1-84435-529-7</t>
  </si>
  <si>
    <t>BFAn09.01</t>
  </si>
  <si>
    <t>BFAn09.02</t>
  </si>
  <si>
    <t>BFAn09.03</t>
  </si>
  <si>
    <t>BFAn09.04</t>
  </si>
  <si>
    <t>BFAn09.05</t>
  </si>
  <si>
    <t>BFAn09.06</t>
  </si>
  <si>
    <t>BFAn09.07</t>
  </si>
  <si>
    <t>BFAn09.08</t>
  </si>
  <si>
    <t>BFAn09.09</t>
  </si>
  <si>
    <t>BFAn09.10</t>
  </si>
  <si>
    <t>BFAn09.11</t>
  </si>
  <si>
    <t>BFAn09.12</t>
  </si>
  <si>
    <t>BFAn09.13</t>
  </si>
  <si>
    <t>Present Danger: Linking Material</t>
  </si>
  <si>
    <t xml:space="preserve">Present Danger: Winging It </t>
  </si>
  <si>
    <t>Present Danger: Don't Do Something, Just Sit There</t>
  </si>
  <si>
    <t xml:space="preserve">Present Danger: Six Impossible Things </t>
  </si>
  <si>
    <t xml:space="preserve">Present Danger: The War of Art </t>
  </si>
  <si>
    <t xml:space="preserve">Present Danger: The Better Part of Valour </t>
  </si>
  <si>
    <t xml:space="preserve">Present Danger: Digital Dreams </t>
  </si>
  <si>
    <t xml:space="preserve">Present Danger: The Empire Variations </t>
  </si>
  <si>
    <t xml:space="preserve">Present Danger: Past Caring </t>
  </si>
  <si>
    <t xml:space="preserve">Present Danger: The Propaganda War </t>
  </si>
  <si>
    <t xml:space="preserve">Present Danger: In the Ledgers of Madness </t>
  </si>
  <si>
    <t xml:space="preserve">Present Danger: Excalibur of Mars </t>
  </si>
  <si>
    <t xml:space="preserve">Present Danger: The End Times </t>
  </si>
  <si>
    <t>Liz Myles</t>
  </si>
  <si>
    <t>BS00</t>
  </si>
  <si>
    <t>1.1-5.3 (The Vampire Curse: Predating the Predators)</t>
  </si>
  <si>
    <t>BS12</t>
  </si>
  <si>
    <t>BS13</t>
  </si>
  <si>
    <t>1-84435-598-3</t>
  </si>
  <si>
    <t>BFAEp.1</t>
  </si>
  <si>
    <t>BFAEp.2</t>
  </si>
  <si>
    <t>BFAEp.3</t>
  </si>
  <si>
    <t>BFART.1</t>
  </si>
  <si>
    <t>BFART.2</t>
  </si>
  <si>
    <t>BFART.3</t>
  </si>
  <si>
    <t>1-84435-599-0</t>
  </si>
  <si>
    <t>BFHB06</t>
  </si>
  <si>
    <t>The Weather on Persimmon</t>
  </si>
  <si>
    <t>1-84435-618-8</t>
  </si>
  <si>
    <t>BS14</t>
  </si>
  <si>
    <t>1-84435-600-3</t>
  </si>
  <si>
    <t>BS15</t>
  </si>
  <si>
    <t>BFALe.1</t>
  </si>
  <si>
    <t>BFALe.2</t>
  </si>
  <si>
    <t>BFALe.3</t>
  </si>
  <si>
    <t>Miles Richardson</t>
  </si>
  <si>
    <t>1-78178-101-2</t>
  </si>
  <si>
    <t>BS16</t>
  </si>
  <si>
    <t>BFANF.1</t>
  </si>
  <si>
    <t>BFANF.2</t>
  </si>
  <si>
    <t>BFANF.3</t>
  </si>
  <si>
    <t>Alexander Vlahos</t>
  </si>
  <si>
    <t>BFAMP.1</t>
  </si>
  <si>
    <t>BFAMP.2</t>
  </si>
  <si>
    <t>BFAMP.3</t>
  </si>
  <si>
    <t>BFAMP.4</t>
  </si>
  <si>
    <t>BFAMP.5</t>
  </si>
  <si>
    <t xml:space="preserve">Missing Persons: Big Dig </t>
  </si>
  <si>
    <t xml:space="preserve">Missing Persons: The Revenant's Carnival </t>
  </si>
  <si>
    <t xml:space="preserve">Missing Persons: The Brimstone Kid </t>
  </si>
  <si>
    <t xml:space="preserve">Missing Persons: The Winning Side </t>
  </si>
  <si>
    <t xml:space="preserve">Missing Persons: In Living Memory </t>
  </si>
  <si>
    <t xml:space="preserve">Legion: Vesuvius Falling </t>
  </si>
  <si>
    <t xml:space="preserve">Legion: Shades of Gray </t>
  </si>
  <si>
    <t xml:space="preserve">Legion: Everybody Loves Irving </t>
  </si>
  <si>
    <t xml:space="preserve">New Frontiers: A Handful of Dust </t>
  </si>
  <si>
    <t xml:space="preserve">New Frontiers: HMS Surprise </t>
  </si>
  <si>
    <t xml:space="preserve">New Frontiers: The Curse of Fenman </t>
  </si>
  <si>
    <t>Road Trip: Paradise Frost</t>
  </si>
  <si>
    <t>Road Trip: Brand Management</t>
  </si>
  <si>
    <t>Road Trip: Bad Habits</t>
  </si>
  <si>
    <t>Epoch: The Kraken's Lament</t>
  </si>
  <si>
    <t>Epoch: The Temple of Questions</t>
  </si>
  <si>
    <t>Epoch: Private Enemy No. 1</t>
  </si>
  <si>
    <t>Epoch: Judgement Day</t>
  </si>
  <si>
    <t>BFAEp.4</t>
  </si>
  <si>
    <t>Hamish Steele</t>
  </si>
  <si>
    <t>Gary Russell, Scott Handcock</t>
  </si>
  <si>
    <t xml:space="preserve">1-78178-102-9 </t>
  </si>
  <si>
    <t>BFHB07</t>
  </si>
  <si>
    <t>The Slender-Fingered Cats of Bubastis</t>
  </si>
  <si>
    <t>1-84435-635-5</t>
  </si>
  <si>
    <t>BFHB08</t>
  </si>
  <si>
    <t>Filthy Lucre</t>
  </si>
  <si>
    <t>1-78178-114-2</t>
  </si>
  <si>
    <t>BFMHR</t>
  </si>
  <si>
    <t>Many Happy Returns</t>
  </si>
  <si>
    <t>Multiple</t>
  </si>
  <si>
    <t>John Ainsworth, Gary Russell, Scott Handcock</t>
  </si>
  <si>
    <t>BFHB09</t>
  </si>
  <si>
    <t>Adorable Illusion</t>
  </si>
  <si>
    <t>1-78178-117-3</t>
  </si>
  <si>
    <t>1-14 (Adorable Illusion)</t>
  </si>
  <si>
    <t>1.1-16.5 (Missing Persons: In Living Memory)</t>
  </si>
  <si>
    <t>TNAoBS2.1</t>
  </si>
  <si>
    <t>The Pyramid of Sutekh</t>
  </si>
  <si>
    <t>1-78178-540-9</t>
  </si>
  <si>
    <t>TNAoBS2.2</t>
  </si>
  <si>
    <t>TNAoBS2.3</t>
  </si>
  <si>
    <t>TNAoBS2.4</t>
  </si>
  <si>
    <t>The Vaults of Osiris</t>
  </si>
  <si>
    <t>The Eye of Horus</t>
  </si>
  <si>
    <t>The Tears of Isis</t>
  </si>
  <si>
    <t>1-78575-360-2</t>
  </si>
  <si>
    <t>TNAoBS3.1</t>
  </si>
  <si>
    <t>TNAoBS3.2</t>
  </si>
  <si>
    <t>TNAoBS3.3</t>
  </si>
  <si>
    <t>TNAoBS3.4</t>
  </si>
  <si>
    <t>The Library in the Body</t>
  </si>
  <si>
    <t>Planet X</t>
  </si>
  <si>
    <t>The Very Dark Thing</t>
  </si>
  <si>
    <t>The Emporium at the End</t>
  </si>
  <si>
    <t>Emma Reeves</t>
  </si>
  <si>
    <t>4DA5.1</t>
  </si>
  <si>
    <t>4DA5.2</t>
  </si>
  <si>
    <t>4DA5.3</t>
  </si>
  <si>
    <t>4DA5.4</t>
  </si>
  <si>
    <t>4DA5.5</t>
  </si>
  <si>
    <t>4DA5.6</t>
  </si>
  <si>
    <t>4DA5.7</t>
  </si>
  <si>
    <t>4DA5.8</t>
  </si>
  <si>
    <t>Wave of Destruction</t>
  </si>
  <si>
    <t>The Labyrinth of Buda Castle</t>
  </si>
  <si>
    <t>The Paradox Planet</t>
  </si>
  <si>
    <t>Legacy of Death</t>
  </si>
  <si>
    <t>Gallery of Ghouls</t>
  </si>
  <si>
    <t>The Trouble with Drax</t>
  </si>
  <si>
    <t>The Pursuit of History</t>
  </si>
  <si>
    <t>Casualties of Time</t>
  </si>
  <si>
    <t>1-78178-727-4</t>
  </si>
  <si>
    <t>1-78178-729-8</t>
  </si>
  <si>
    <t>1-78178-731-1</t>
  </si>
  <si>
    <t>1-78178-733-5</t>
  </si>
  <si>
    <t>1-78178-735-9</t>
  </si>
  <si>
    <t>1-78178-737-3</t>
  </si>
  <si>
    <t>1-78178-739-7</t>
  </si>
  <si>
    <t>1-78178-741-0</t>
  </si>
  <si>
    <t>BF Torchwood</t>
  </si>
  <si>
    <t>BFTW01</t>
  </si>
  <si>
    <t>BFTW02</t>
  </si>
  <si>
    <t>BFTW05</t>
  </si>
  <si>
    <t>The Conspiracy</t>
  </si>
  <si>
    <t>Fall to Earth</t>
  </si>
  <si>
    <t>Uncanny Valley</t>
  </si>
  <si>
    <t>Zone 10</t>
  </si>
  <si>
    <t>BFTW08</t>
  </si>
  <si>
    <t>BFTW07</t>
  </si>
  <si>
    <t>The Victorian Age</t>
  </si>
  <si>
    <t>BFTW10</t>
  </si>
  <si>
    <t>BFTW04</t>
  </si>
  <si>
    <t>One Rule</t>
  </si>
  <si>
    <t>Moving Target</t>
  </si>
  <si>
    <t>TW0</t>
  </si>
  <si>
    <t>1-78178-922-3</t>
  </si>
  <si>
    <t>BFTW03</t>
  </si>
  <si>
    <t>BFTW06</t>
  </si>
  <si>
    <t>Forgotten Lives</t>
  </si>
  <si>
    <t>More Than This</t>
  </si>
  <si>
    <t>Ghost Mission</t>
  </si>
  <si>
    <t>Made You Look</t>
  </si>
  <si>
    <t>The Torchwood Archive</t>
  </si>
  <si>
    <t>1-78178-920-9</t>
  </si>
  <si>
    <t>1-78178-926-1</t>
  </si>
  <si>
    <t>AK Benedict</t>
  </si>
  <si>
    <t>1-78575-207-0</t>
  </si>
  <si>
    <t>1-78575-209-4</t>
  </si>
  <si>
    <t>1-78178-924-7</t>
  </si>
  <si>
    <t>Neil Gardner</t>
  </si>
  <si>
    <t>1-78178-918-6</t>
  </si>
  <si>
    <t>1-78178-916-2</t>
  </si>
  <si>
    <t>1-78575-211-7</t>
  </si>
  <si>
    <t>BFTW09</t>
  </si>
  <si>
    <t>BFTW12</t>
  </si>
  <si>
    <t>BFTWAr</t>
  </si>
  <si>
    <t>James  Goss</t>
  </si>
  <si>
    <t>1-78575-213-1</t>
  </si>
  <si>
    <t>BFTW11</t>
  </si>
  <si>
    <t>1-78575-215-5</t>
  </si>
  <si>
    <t>1-78575-217-9</t>
  </si>
  <si>
    <t>1-78575-423-4</t>
  </si>
  <si>
    <t>1-78575-760-0</t>
  </si>
  <si>
    <t>Outbreak: Incubation</t>
  </si>
  <si>
    <t>Outbreak: Prodromal</t>
  </si>
  <si>
    <t>Outbreak: Invasion</t>
  </si>
  <si>
    <t>BFTWOb1</t>
  </si>
  <si>
    <t>BFTWOb2</t>
  </si>
  <si>
    <t>BFTWOb3</t>
  </si>
  <si>
    <t>1-78178-614-7</t>
  </si>
  <si>
    <t>UNIT4.1</t>
  </si>
  <si>
    <t>UNIT4.2</t>
  </si>
  <si>
    <t>UNIT4.3</t>
  </si>
  <si>
    <t>UNIT4.4</t>
  </si>
  <si>
    <t>Shutdown: Power Cell</t>
  </si>
  <si>
    <t>Shutdown: Death in Geneva</t>
  </si>
  <si>
    <t>Shutdown: The Battle of the Tower</t>
  </si>
  <si>
    <t>Shutdown: Ice Station Alpha</t>
  </si>
  <si>
    <t>Power Cell</t>
  </si>
  <si>
    <t>Death in Geneva</t>
  </si>
  <si>
    <t>The Battle of the Tower</t>
  </si>
  <si>
    <t>Ice Station Alpha</t>
  </si>
  <si>
    <t>USh</t>
  </si>
  <si>
    <t>UEx</t>
  </si>
  <si>
    <t>Matt Fitton, John Dorney</t>
  </si>
  <si>
    <t>1-78178-616-1</t>
  </si>
  <si>
    <t>USi</t>
  </si>
  <si>
    <t>UNIT5.1</t>
  </si>
  <si>
    <t>UNIT5.2</t>
  </si>
  <si>
    <t>UNIT5.3</t>
  </si>
  <si>
    <t>UNIT5.4</t>
  </si>
  <si>
    <t>Square One</t>
  </si>
  <si>
    <t>Silent Majority</t>
  </si>
  <si>
    <t>Silenced: Silent Majority</t>
  </si>
  <si>
    <t>Silenced: Square One</t>
  </si>
  <si>
    <t>In Memory Alone</t>
  </si>
  <si>
    <t>Silenced: In Memory Alone</t>
  </si>
  <si>
    <t>House of Silents</t>
  </si>
  <si>
    <t>Silenced: House of Silents</t>
  </si>
  <si>
    <t>DWM114</t>
  </si>
  <si>
    <t>Power to the People</t>
  </si>
  <si>
    <t>Ian Marchant</t>
  </si>
  <si>
    <t>22L</t>
  </si>
  <si>
    <t>22M</t>
  </si>
  <si>
    <t>22Z</t>
  </si>
  <si>
    <t>23d</t>
  </si>
  <si>
    <t>23e</t>
  </si>
  <si>
    <t>23f</t>
  </si>
  <si>
    <t>Defining Pattern: Linking Material</t>
  </si>
  <si>
    <t>The Age of Revolution</t>
  </si>
  <si>
    <t>The Case of the Gluttonous Guru</t>
  </si>
  <si>
    <t>The Bloodchild Codex</t>
  </si>
  <si>
    <t>The Final Act</t>
  </si>
  <si>
    <t>The Skeleton Quay</t>
  </si>
  <si>
    <t>Return of the Repressed</t>
  </si>
  <si>
    <t>Military Intelligence</t>
  </si>
  <si>
    <t>The Trial of George Litefoot</t>
  </si>
  <si>
    <t>1-84435-563-1</t>
  </si>
  <si>
    <t>1-78178-103-6</t>
  </si>
  <si>
    <t>23g</t>
  </si>
  <si>
    <t>1-78178-357-3</t>
  </si>
  <si>
    <t>The Monstrous Menagerie</t>
  </si>
  <si>
    <t>The Night of 1000 Stars</t>
  </si>
  <si>
    <t>Murder at Moorsey Manor</t>
  </si>
  <si>
    <t>The Wax Princess</t>
  </si>
  <si>
    <t>1-78178-358-0</t>
  </si>
  <si>
    <t>J&amp;L10</t>
  </si>
  <si>
    <t>J&amp;L01</t>
  </si>
  <si>
    <t>J&amp;L02</t>
  </si>
  <si>
    <t>J&amp;L03</t>
  </si>
  <si>
    <t>J&amp;L04</t>
  </si>
  <si>
    <t>J&amp;L05</t>
  </si>
  <si>
    <t>J&amp;L06</t>
  </si>
  <si>
    <t>J&amp;L07</t>
  </si>
  <si>
    <t>J&amp;L08</t>
  </si>
  <si>
    <t>J&amp;L09</t>
  </si>
  <si>
    <t>J&amp;L01.1</t>
  </si>
  <si>
    <t>J&amp;L01.2</t>
  </si>
  <si>
    <t>J&amp;L01.3</t>
  </si>
  <si>
    <t>J&amp;L01.4</t>
  </si>
  <si>
    <t>J&amp;L02.1</t>
  </si>
  <si>
    <t>J&amp;L02.2</t>
  </si>
  <si>
    <t>J&amp;L02.3</t>
  </si>
  <si>
    <t>J&amp;L02.4</t>
  </si>
  <si>
    <t>J&amp;L03.1</t>
  </si>
  <si>
    <t>J&amp;L03.2</t>
  </si>
  <si>
    <t>J&amp;L03.3</t>
  </si>
  <si>
    <t>J&amp;L03.4</t>
  </si>
  <si>
    <t>J&amp;L04.1</t>
  </si>
  <si>
    <t>J&amp;L04.2</t>
  </si>
  <si>
    <t>J&amp;L04.3</t>
  </si>
  <si>
    <t>J&amp;L04.4</t>
  </si>
  <si>
    <t>J&amp;L05.1</t>
  </si>
  <si>
    <t>J&amp;L05.2</t>
  </si>
  <si>
    <t>J&amp;L05.3</t>
  </si>
  <si>
    <t>J&amp;L05.4</t>
  </si>
  <si>
    <t>J&amp;L06.1</t>
  </si>
  <si>
    <t>J&amp;L06.2</t>
  </si>
  <si>
    <t>J&amp;L06.3</t>
  </si>
  <si>
    <t>J&amp;L06.4</t>
  </si>
  <si>
    <t>J&amp;L07.1</t>
  </si>
  <si>
    <t>J&amp;L07.2</t>
  </si>
  <si>
    <t>J&amp;L07.3</t>
  </si>
  <si>
    <t>J&amp;L07.4</t>
  </si>
  <si>
    <t>J&amp;L08.1</t>
  </si>
  <si>
    <t>J&amp;L08.2</t>
  </si>
  <si>
    <t>J&amp;L08.3</t>
  </si>
  <si>
    <t>J&amp;L08.4</t>
  </si>
  <si>
    <t>Encore of the Scorchies</t>
  </si>
  <si>
    <t>The Backwards Men</t>
  </si>
  <si>
    <t>Jago &amp; Litefoot &amp; Patsy</t>
  </si>
  <si>
    <t>Higson &amp; Quick</t>
  </si>
  <si>
    <t>1-78178-359-7</t>
  </si>
  <si>
    <t>J&amp;L09.1</t>
  </si>
  <si>
    <t>J&amp;L09.2</t>
  </si>
  <si>
    <t>J&amp;L09.3</t>
  </si>
  <si>
    <t>J&amp;L09.4</t>
  </si>
  <si>
    <t>The Flying Frenchmen</t>
  </si>
  <si>
    <t>The Devil's Dicemen</t>
  </si>
  <si>
    <t>Return of the Nightmare</t>
  </si>
  <si>
    <t>1-78178-360-3</t>
  </si>
  <si>
    <t>J&amp;L11</t>
  </si>
  <si>
    <t>J&amp;L10.1</t>
  </si>
  <si>
    <t>J&amp;L10.2</t>
  </si>
  <si>
    <t>J&amp;L10.3</t>
  </si>
  <si>
    <t>J&amp;L10.4</t>
  </si>
  <si>
    <t>The Case of the Missing Gasogene</t>
  </si>
  <si>
    <t>The Year of the Bat</t>
  </si>
  <si>
    <t>The Haunting</t>
  </si>
  <si>
    <t>1-78575-061-8</t>
  </si>
  <si>
    <t>1-78575-205-6</t>
  </si>
  <si>
    <t>J&amp;L12</t>
  </si>
  <si>
    <t>J&amp;L11.1</t>
  </si>
  <si>
    <t>J&amp;L11.2</t>
  </si>
  <si>
    <t>J&amp;L11.3</t>
  </si>
  <si>
    <t>J&amp;L11.4</t>
  </si>
  <si>
    <t>1-78575-362-6</t>
  </si>
  <si>
    <t>J&amp;L12.1</t>
  </si>
  <si>
    <t>J&amp;L12.2</t>
  </si>
  <si>
    <t>J&amp;L12.3</t>
  </si>
  <si>
    <t>J&amp;L12.4</t>
  </si>
  <si>
    <t>The Mourning After</t>
  </si>
  <si>
    <t>The Museum of Curiosities</t>
  </si>
  <si>
    <t>Jago &amp; Son</t>
  </si>
  <si>
    <t>Maurice</t>
  </si>
  <si>
    <t>The Woman in White</t>
  </si>
  <si>
    <t>Masterpiece</t>
  </si>
  <si>
    <t>Picture This</t>
  </si>
  <si>
    <t>The Flickermen</t>
  </si>
  <si>
    <t>School of Blood</t>
  </si>
  <si>
    <t>Warm Blood</t>
  </si>
  <si>
    <t>Paul Morris</t>
  </si>
  <si>
    <t>8DC.3</t>
  </si>
  <si>
    <t>EDADE1.1</t>
  </si>
  <si>
    <t>EDADE1.2</t>
  </si>
  <si>
    <t>EDADE1.3</t>
  </si>
  <si>
    <t>EDADE1.4</t>
  </si>
  <si>
    <t>EDADE2.1</t>
  </si>
  <si>
    <t>EDADE2.2</t>
  </si>
  <si>
    <t>EDADE2.3</t>
  </si>
  <si>
    <t>EDADE2.4</t>
  </si>
  <si>
    <t>EDADE3.1</t>
  </si>
  <si>
    <t>EDADE3.2</t>
  </si>
  <si>
    <t>EDADE3.3</t>
  </si>
  <si>
    <t>EDADE3.4</t>
  </si>
  <si>
    <t>EDADE4.1</t>
  </si>
  <si>
    <t>EDADE4.2</t>
  </si>
  <si>
    <t>EDADE4.3</t>
  </si>
  <si>
    <t>EDADE4.4</t>
  </si>
  <si>
    <t>EDADC1.1</t>
  </si>
  <si>
    <t>EDADC1.2</t>
  </si>
  <si>
    <t>EDADC1.3</t>
  </si>
  <si>
    <t>EDADC1.4</t>
  </si>
  <si>
    <t>EDADC2.1</t>
  </si>
  <si>
    <t>EDADC2.2</t>
  </si>
  <si>
    <t>EDADC2.3</t>
  </si>
  <si>
    <t>EDADC2.4</t>
  </si>
  <si>
    <t>EDADC3.1</t>
  </si>
  <si>
    <t>EDADC3.2</t>
  </si>
  <si>
    <t>EDADC3.3</t>
  </si>
  <si>
    <t>EDADC3.4</t>
  </si>
  <si>
    <t>Absent Friends</t>
  </si>
  <si>
    <t>The Eighth Piece</t>
  </si>
  <si>
    <t>The Doomsday Chronometer</t>
  </si>
  <si>
    <t>The Crucible of Souls</t>
  </si>
  <si>
    <t>1-78178-622-2</t>
  </si>
  <si>
    <t>CDNM1.4</t>
  </si>
  <si>
    <t>The Sontaran Ordeal</t>
  </si>
  <si>
    <t>1-78178-946-9</t>
  </si>
  <si>
    <t>CDNM1.3</t>
  </si>
  <si>
    <t>Harvest of the Sycorax</t>
  </si>
  <si>
    <t>CDNM1.2</t>
  </si>
  <si>
    <t>Judoon in Chains</t>
  </si>
  <si>
    <t>CDNM1.1</t>
  </si>
  <si>
    <t>Fallen Angels</t>
  </si>
  <si>
    <t>DWM 496</t>
  </si>
  <si>
    <t>Theatre of the Mind</t>
  </si>
  <si>
    <t>DWM 497-499</t>
  </si>
  <si>
    <t>Witch Hunt</t>
  </si>
  <si>
    <t>DWM 500</t>
  </si>
  <si>
    <t>The Stockbridge Showdown</t>
  </si>
  <si>
    <t>DWM 501-503</t>
  </si>
  <si>
    <t>DWM 504</t>
  </si>
  <si>
    <t>DWM 505-506</t>
  </si>
  <si>
    <t>DWM 507</t>
  </si>
  <si>
    <t>The Pestilent Heart</t>
  </si>
  <si>
    <t>Moving In</t>
  </si>
  <si>
    <t>Bloodsport</t>
  </si>
  <si>
    <t>Be Forgot</t>
  </si>
  <si>
    <t>Doorway to Hell</t>
  </si>
  <si>
    <t>Scott Gray, Peter Ware</t>
  </si>
  <si>
    <t>Jess</t>
  </si>
  <si>
    <t>Staz Johnson, David A. Roach</t>
  </si>
  <si>
    <t>DWA v2.15</t>
  </si>
  <si>
    <t>DWA v2.16</t>
  </si>
  <si>
    <t>DWA v2.17</t>
  </si>
  <si>
    <t>DWA v2.18</t>
  </si>
  <si>
    <t>Petals</t>
  </si>
  <si>
    <t>Gallery</t>
  </si>
  <si>
    <t>Pirates of Vourakis</t>
  </si>
  <si>
    <t>From the Horse's Mouth</t>
  </si>
  <si>
    <t>DWA v2.19</t>
  </si>
  <si>
    <t>DWA v2.20</t>
  </si>
  <si>
    <t>DWA v2.21</t>
  </si>
  <si>
    <t>Fear Buds</t>
  </si>
  <si>
    <t>Royal Wedding</t>
  </si>
  <si>
    <t>Night of the Worms</t>
  </si>
  <si>
    <t>Jata</t>
  </si>
  <si>
    <t>The Long Con</t>
  </si>
  <si>
    <t>Titan 8th Doctor Strip</t>
  </si>
  <si>
    <t>Titan 9th Doctor Strip</t>
  </si>
  <si>
    <t>Titan 10th Doctor Strip</t>
  </si>
  <si>
    <t>Titan 11th Doctor Strip</t>
  </si>
  <si>
    <t>Titan 12th Doctor Strip</t>
  </si>
  <si>
    <t>Titan Specials Strip</t>
  </si>
  <si>
    <t>SDCC2016</t>
  </si>
  <si>
    <t>Andrew James</t>
  </si>
  <si>
    <t>Leandro Casco, Simon Fraser, Walter Giovanni</t>
  </si>
  <si>
    <t>Rod Fernandes, Gary Caldwell</t>
  </si>
  <si>
    <t>Cindy</t>
  </si>
  <si>
    <t>Gabby</t>
  </si>
  <si>
    <t>SotC1-5</t>
  </si>
  <si>
    <t>Supremacy of the Cybermen</t>
  </si>
  <si>
    <t>George Mann, Cavan Scott</t>
  </si>
  <si>
    <t>Alessandro Vitti, Ivan Rodriguez and Tazio Bettin</t>
  </si>
  <si>
    <t>Nicola Righi</t>
  </si>
  <si>
    <t>10, 11</t>
  </si>
  <si>
    <t>9-11, Rose, Jack</t>
  </si>
  <si>
    <t>S10</t>
  </si>
  <si>
    <t>36.0</t>
  </si>
  <si>
    <t>Ghost Stories</t>
  </si>
  <si>
    <t>Ivan Rodriguez</t>
  </si>
  <si>
    <t>Dijjo Lima</t>
  </si>
  <si>
    <t>Robo Rampage</t>
  </si>
  <si>
    <t>Robbie Morrison</t>
  </si>
  <si>
    <t>Simon Fraser</t>
  </si>
  <si>
    <t>Kate</t>
  </si>
  <si>
    <t>Osgood</t>
  </si>
  <si>
    <t>10, War</t>
  </si>
  <si>
    <t>Four Doctors</t>
  </si>
  <si>
    <t>FD1-5</t>
  </si>
  <si>
    <t>Neil Edwards</t>
  </si>
  <si>
    <t>Ivan Nunes</t>
  </si>
  <si>
    <t>War-11, Rose</t>
  </si>
  <si>
    <t>SDCC2015</t>
  </si>
  <si>
    <t>Selfie</t>
  </si>
  <si>
    <t>Rachael Stott</t>
  </si>
  <si>
    <t>The Body Electric</t>
  </si>
  <si>
    <t>Luis Guerrero</t>
  </si>
  <si>
    <t>Mariano Laclaustra</t>
  </si>
  <si>
    <t>FCBD2016.1</t>
  </si>
  <si>
    <t>FCBD2015.1</t>
  </si>
  <si>
    <t>Terrorformer</t>
  </si>
  <si>
    <t>Dave Taylor</t>
  </si>
  <si>
    <t>Hi-Fi</t>
  </si>
  <si>
    <t>T12DY1 1-2</t>
  </si>
  <si>
    <t>T12DY1 3-5</t>
  </si>
  <si>
    <t>The Swords of Kali</t>
  </si>
  <si>
    <t>Dave Taylor, Mariano Laclaustra</t>
  </si>
  <si>
    <t>T12DY1 6-8</t>
  </si>
  <si>
    <t>T12DY1 9-10</t>
  </si>
  <si>
    <t>The Fractures</t>
  </si>
  <si>
    <t>Gangland</t>
  </si>
  <si>
    <t>Brian Williamson, Mariano Laclaustra</t>
  </si>
  <si>
    <t>T12DY1 11</t>
  </si>
  <si>
    <t>T12DY1 12-15</t>
  </si>
  <si>
    <t>Unearthly Things</t>
  </si>
  <si>
    <t>Daniel Indro, Ronilson Friere</t>
  </si>
  <si>
    <t>Slamet Mujiono</t>
  </si>
  <si>
    <t>T12DY1 16</t>
  </si>
  <si>
    <t>Carlos Cabrera</t>
  </si>
  <si>
    <t>T12DY2 1-4</t>
  </si>
  <si>
    <t>Clara Oswald and the School of Death</t>
  </si>
  <si>
    <t>T12DY2 5</t>
  </si>
  <si>
    <t>Marcio Menys</t>
  </si>
  <si>
    <t>The Twist</t>
  </si>
  <si>
    <t>T12DY2 6-8</t>
  </si>
  <si>
    <t>Playing House</t>
  </si>
  <si>
    <t>T12DY2 9-10</t>
  </si>
  <si>
    <t>Alexandre Siqueria</t>
  </si>
  <si>
    <t>Hattie</t>
  </si>
  <si>
    <t>T12DY2 11-12</t>
  </si>
  <si>
    <t>Terror of the Cabinet Noir</t>
  </si>
  <si>
    <t>Invasion of the Mindmorphs</t>
  </si>
  <si>
    <t>Julie</t>
  </si>
  <si>
    <t>Rod Fernandes</t>
  </si>
  <si>
    <t>FCBD2015.2</t>
  </si>
  <si>
    <t>Give Free or Die</t>
  </si>
  <si>
    <t>Al Ewing, Rob Williams</t>
  </si>
  <si>
    <t>FCBD2016.2</t>
  </si>
  <si>
    <t>Obsessions</t>
  </si>
  <si>
    <t>Si Spurrier, Rob Williams</t>
  </si>
  <si>
    <t>Leonardo Romero</t>
  </si>
  <si>
    <t>T11DY1 1</t>
  </si>
  <si>
    <t>After Life</t>
  </si>
  <si>
    <t>The Friendly Place</t>
  </si>
  <si>
    <t>What He Wants…</t>
  </si>
  <si>
    <t>Space in Dimension Relative and Time</t>
  </si>
  <si>
    <t>Conversion</t>
  </si>
  <si>
    <t>The Comfort of the Good</t>
  </si>
  <si>
    <t>Four Dimensions</t>
  </si>
  <si>
    <t>The Then and the Now</t>
  </si>
  <si>
    <t>T11DY1 2</t>
  </si>
  <si>
    <t>T11DY1 3</t>
  </si>
  <si>
    <t>T11DY1 4-5</t>
  </si>
  <si>
    <t>T11DY1 6</t>
  </si>
  <si>
    <t>T11DY1 7-8</t>
  </si>
  <si>
    <t>T11DY1 9-10</t>
  </si>
  <si>
    <t>T11DY1 11</t>
  </si>
  <si>
    <t>T11DY1 12-13</t>
  </si>
  <si>
    <t>T11DY1 14-15</t>
  </si>
  <si>
    <t>T11DY2 1-2</t>
  </si>
  <si>
    <t>T11DY2 8-10</t>
  </si>
  <si>
    <t>T11DY2 11-15</t>
  </si>
  <si>
    <t>T11DY3 1-2</t>
  </si>
  <si>
    <t>Whodunnit?; The Sound of Our Voices</t>
  </si>
  <si>
    <t>The Eternal Dogfight; The Infinite Astronaut</t>
  </si>
  <si>
    <t>The Rise and Fall; The Other Doctor</t>
  </si>
  <si>
    <t>Downtime; Running to Stay Still; First Rule</t>
  </si>
  <si>
    <t>The Organ Grinder; Kill God; Fast Asleep; Gently Pulls the Strings; Physician, Heal Thyself</t>
  </si>
  <si>
    <t>Remembrance; The Scream</t>
  </si>
  <si>
    <t>Whodunnit?</t>
  </si>
  <si>
    <t>The Eternal Dogfight</t>
  </si>
  <si>
    <t>The Rise and  Fall</t>
  </si>
  <si>
    <t>Pull to Open</t>
  </si>
  <si>
    <t>The Judas Goatee</t>
  </si>
  <si>
    <t>Running to Stay Still</t>
  </si>
  <si>
    <t>The Organ Grinder</t>
  </si>
  <si>
    <t>Remembrance</t>
  </si>
  <si>
    <t>Al Ewing</t>
  </si>
  <si>
    <t>Rob Williams</t>
  </si>
  <si>
    <t>Jones</t>
  </si>
  <si>
    <t>Boo Cook</t>
  </si>
  <si>
    <t>ARC</t>
  </si>
  <si>
    <t>Warren Pleece</t>
  </si>
  <si>
    <t>Boo Cook, Simon Fraser</t>
  </si>
  <si>
    <t>Hi-Fi, Gary Caldwell</t>
  </si>
  <si>
    <t>Daak</t>
  </si>
  <si>
    <t>The Squire</t>
  </si>
  <si>
    <t>War, 1-10</t>
  </si>
  <si>
    <t>Si Spurrier</t>
  </si>
  <si>
    <t>T11DY2 3</t>
  </si>
  <si>
    <t>T11DY2 4</t>
  </si>
  <si>
    <t>Outrun</t>
  </si>
  <si>
    <t>War, 9, 10</t>
  </si>
  <si>
    <t>War, River</t>
  </si>
  <si>
    <t>The One</t>
  </si>
  <si>
    <t>T11DY2 6-7</t>
  </si>
  <si>
    <t>T11DY2 5</t>
  </si>
  <si>
    <t>Simon Fraser, Leandro Casco</t>
  </si>
  <si>
    <t>River, etc</t>
  </si>
  <si>
    <t>Warren Pleece, Simon Fraser</t>
  </si>
  <si>
    <t>Arianna Florean, Nicola Righi, Gary Caldwell</t>
  </si>
  <si>
    <t>Marcio Menys, Gary Caldwell</t>
  </si>
  <si>
    <t>I.N.J. Culbard, Simon Fraser</t>
  </si>
  <si>
    <t>FCBD2015.3</t>
  </si>
  <si>
    <t>Laundro-Room of Doom</t>
  </si>
  <si>
    <t>Nick Abadzis</t>
  </si>
  <si>
    <t>Eleonora Carlini</t>
  </si>
  <si>
    <t>Claudia SG Ianniciello</t>
  </si>
  <si>
    <t>FCBD2016.3</t>
  </si>
  <si>
    <t>Lady of the Blue Box</t>
  </si>
  <si>
    <t>Arianna Florean</t>
  </si>
  <si>
    <t>FCBD2016.4</t>
  </si>
  <si>
    <t>Hacked</t>
  </si>
  <si>
    <t>T10DY1 1-3</t>
  </si>
  <si>
    <t>T10DY1 4-5</t>
  </si>
  <si>
    <t>T10DY1 6-9</t>
  </si>
  <si>
    <t>T10DY1 10</t>
  </si>
  <si>
    <t>T10DY2 1-2</t>
  </si>
  <si>
    <t>T10DY2 3</t>
  </si>
  <si>
    <t>T10DY2 4-5</t>
  </si>
  <si>
    <t>T10DY2 6-7</t>
  </si>
  <si>
    <t>T10DY2 8-9</t>
  </si>
  <si>
    <t>T10DY2 10</t>
  </si>
  <si>
    <t>T10DY2 11-12</t>
  </si>
  <si>
    <t>T10DY2 13-17</t>
  </si>
  <si>
    <t>Revolutions of Terror</t>
  </si>
  <si>
    <t>The Arts in Space</t>
  </si>
  <si>
    <t>The Weeping Angels of Mons</t>
  </si>
  <si>
    <t>The Fountains of Forever</t>
  </si>
  <si>
    <t>The Singer Not the Song</t>
  </si>
  <si>
    <t>Medicine Man</t>
  </si>
  <si>
    <t>Arena of Fear</t>
  </si>
  <si>
    <t>The Wishing Well Witch</t>
  </si>
  <si>
    <t>The Infinite Corridor</t>
  </si>
  <si>
    <t>The Jazz Monster</t>
  </si>
  <si>
    <t>Old Girl</t>
  </si>
  <si>
    <t>The Jazz Monster; Music Man</t>
  </si>
  <si>
    <t>Daniel Indro</t>
  </si>
  <si>
    <t>Elena Casagrande, Eleonora Carlini</t>
  </si>
  <si>
    <t>Spiral Staircase</t>
  </si>
  <si>
    <t>Rachel Stott, Leonardo Romero, Simone Di Meo</t>
  </si>
  <si>
    <t>Elena Casagrande, Simone Di Meo</t>
  </si>
  <si>
    <t>T10DY1 11-12</t>
  </si>
  <si>
    <t>T10DY1 13-14</t>
  </si>
  <si>
    <t>T10DY1 15</t>
  </si>
  <si>
    <t>Cindy, Cleo and the Magic Sketchbook</t>
  </si>
  <si>
    <t>Elena Casagrande, Arianna Florean</t>
  </si>
  <si>
    <t>Azzurra Florean</t>
  </si>
  <si>
    <t>Leonardo Romero, Elena Casagrande</t>
  </si>
  <si>
    <t>Arianna Florean, Azzurra Florean</t>
  </si>
  <si>
    <t>Eleonora Carlini, Elena Casagrande</t>
  </si>
  <si>
    <t>Eleonora Carlini, Iolanda Zanfardino</t>
  </si>
  <si>
    <t>Arianna Florean, Azzurra Florean, Hi-Fi</t>
  </si>
  <si>
    <t>Aftermath; Primeval; The Return of Sutekh; War of Gods; War of Gods - Season Finale</t>
  </si>
  <si>
    <t>##</t>
  </si>
  <si>
    <t>Doctor vs Doctor</t>
  </si>
  <si>
    <t>TWoPD 1-5</t>
  </si>
  <si>
    <t>Weapons of Past Destruction</t>
  </si>
  <si>
    <t>Blair Shedd, Rachel Stott</t>
  </si>
  <si>
    <t>Blair Shedd, Anang Setyawan</t>
  </si>
  <si>
    <t>T9DY1 1-3</t>
  </si>
  <si>
    <t>T9DY1 4-5</t>
  </si>
  <si>
    <t>T9DY1 6-8</t>
  </si>
  <si>
    <t>Doctormania</t>
  </si>
  <si>
    <t>The Transformed</t>
  </si>
  <si>
    <t>Official Secrets</t>
  </si>
  <si>
    <t>Adriana Melo</t>
  </si>
  <si>
    <t>Matheus Lopes</t>
  </si>
  <si>
    <t>Cris Bolson</t>
  </si>
  <si>
    <t>Marco Lesko</t>
  </si>
  <si>
    <t>Harry, Benton</t>
  </si>
  <si>
    <t>1 (The Body Electric)-10 (Hacked)</t>
  </si>
  <si>
    <t>Emma Vieceli</t>
  </si>
  <si>
    <t>Josie</t>
  </si>
  <si>
    <t>T8DMS 1</t>
  </si>
  <si>
    <t>T8DMS 2</t>
  </si>
  <si>
    <t>T8DMS 3</t>
  </si>
  <si>
    <t>T8DMS 4</t>
  </si>
  <si>
    <t>T8DMS 5</t>
  </si>
  <si>
    <t>The Pictures of Josephine Day</t>
  </si>
  <si>
    <t>Music of the Spherions</t>
  </si>
  <si>
    <t>The Silvering</t>
  </si>
  <si>
    <t>Briarwood</t>
  </si>
  <si>
    <t>Holiday Romance; The Wedding Planners; Husband and Wife; Two Weddings and a Funeral</t>
  </si>
  <si>
    <t>Distress Signals; The Rise of Decay; The Death Trade</t>
  </si>
  <si>
    <t>What We Are Meant to Think; The Nostalgia Sickness</t>
  </si>
  <si>
    <t>Incubation</t>
  </si>
  <si>
    <t>Prodromal</t>
  </si>
  <si>
    <t>Invasion</t>
  </si>
  <si>
    <t>In the Line of Duty; Self-Sacrifice</t>
  </si>
  <si>
    <t>Strangers in Town; Wanted, Dead or Alive</t>
  </si>
  <si>
    <t>A Few Wise Men; The Golden Future</t>
  </si>
  <si>
    <t>Remember Everything; Remember Nothing</t>
  </si>
  <si>
    <t>The Discharged; Achromatism</t>
  </si>
  <si>
    <t>Certainty; Superposition</t>
  </si>
  <si>
    <t>First Pass; Final Adjustment</t>
  </si>
  <si>
    <t>T5C</t>
  </si>
  <si>
    <t>T4D</t>
  </si>
  <si>
    <t>AEC</t>
  </si>
  <si>
    <t>NotS</t>
  </si>
  <si>
    <t>TotV</t>
  </si>
  <si>
    <t>TWoDW1.1&lt;</t>
  </si>
  <si>
    <t>TWoDW1.2&lt;</t>
  </si>
  <si>
    <t>G6.3&lt;</t>
  </si>
  <si>
    <t>CC3.05&lt;frm&lt;CC5.01</t>
  </si>
  <si>
    <t>CC4.01&lt;frm&lt;T5C</t>
  </si>
  <si>
    <t>V(2)&lt;frm&lt;CC4.01</t>
  </si>
  <si>
    <t>UNIT2&lt;sfo, MR149&lt;Liv</t>
  </si>
  <si>
    <t>Excelis Stirs; Excelis Quickens</t>
  </si>
  <si>
    <t>G6.2</t>
  </si>
  <si>
    <t>G6.3</t>
  </si>
  <si>
    <t>1.1-1.8 (The Lost)</t>
  </si>
  <si>
    <t>The White Witch of Devil's End</t>
  </si>
  <si>
    <t>Sam Stone, Jan Edwards, David J Howe, Raven Dane, Debbie Bennett, Suzanne J Barbieri</t>
  </si>
  <si>
    <t>Retro-Causation; HannaH</t>
  </si>
  <si>
    <t>The Convicts of Space; The Black Box Mystery; Marooned on Skaro; Treachery!; Prisoners of the Daleks; Controller of the Daleks</t>
  </si>
  <si>
    <t>Audio Visuals Adventure</t>
  </si>
  <si>
    <t>AV0</t>
  </si>
  <si>
    <t>AV01</t>
  </si>
  <si>
    <t>The Space Wail</t>
  </si>
  <si>
    <t>Audio Visuals</t>
  </si>
  <si>
    <t>Audio Visual Adventure</t>
  </si>
  <si>
    <t>Greg</t>
  </si>
  <si>
    <t>Nadia</t>
  </si>
  <si>
    <t>AV1</t>
  </si>
  <si>
    <t>AV2</t>
  </si>
  <si>
    <t>AV3</t>
  </si>
  <si>
    <t>AV4</t>
  </si>
  <si>
    <t>The Time Ravagers</t>
  </si>
  <si>
    <t>Connection 13</t>
  </si>
  <si>
    <t>Conglomerate</t>
  </si>
  <si>
    <t>Cloud of Fear</t>
  </si>
  <si>
    <t>Shadow World</t>
  </si>
  <si>
    <t>Maenad</t>
  </si>
  <si>
    <t>The Destructor Contract</t>
  </si>
  <si>
    <t>Vilgreth</t>
  </si>
  <si>
    <t>The Trilexia Threat</t>
  </si>
  <si>
    <t>Blood Circuit</t>
  </si>
  <si>
    <t>Second Solution</t>
  </si>
  <si>
    <t>The Secret of Nematoda</t>
  </si>
  <si>
    <t>Enclave Irrelative</t>
  </si>
  <si>
    <t>More than a Messiah</t>
  </si>
  <si>
    <t>Carny</t>
  </si>
  <si>
    <t>Planet of Lies</t>
  </si>
  <si>
    <t>Endurance</t>
  </si>
  <si>
    <t>Mythos</t>
  </si>
  <si>
    <t>Truman's Excellent Adventure</t>
  </si>
  <si>
    <t>Subterfuge</t>
  </si>
  <si>
    <t>Geopath</t>
  </si>
  <si>
    <t>Justyce</t>
  </si>
  <si>
    <t>Ria</t>
  </si>
  <si>
    <t>Truman</t>
  </si>
  <si>
    <t>Stuart Palmer</t>
  </si>
  <si>
    <t>Richard Marson, Deborah Marson</t>
  </si>
  <si>
    <t>Nicholas Briggs, John Ainsworth</t>
  </si>
  <si>
    <t>Alan W. Lear</t>
  </si>
  <si>
    <t>Patrick Trethui</t>
  </si>
  <si>
    <t>John Ryan</t>
  </si>
  <si>
    <t>Nicholas Briggs, Richard Marson</t>
  </si>
  <si>
    <t>John Vance</t>
  </si>
  <si>
    <t>Richard Marson</t>
  </si>
  <si>
    <t>AV02</t>
  </si>
  <si>
    <t>AV03</t>
  </si>
  <si>
    <t>AV04</t>
  </si>
  <si>
    <t>AV05</t>
  </si>
  <si>
    <t>AV06</t>
  </si>
  <si>
    <t>AV07</t>
  </si>
  <si>
    <t>AV08</t>
  </si>
  <si>
    <t>AV09</t>
  </si>
  <si>
    <t>AV10</t>
  </si>
  <si>
    <t>AV11</t>
  </si>
  <si>
    <t>AV12</t>
  </si>
  <si>
    <t>AV13</t>
  </si>
  <si>
    <t>AV14</t>
  </si>
  <si>
    <t>AV15</t>
  </si>
  <si>
    <t>AV16</t>
  </si>
  <si>
    <t>AV17</t>
  </si>
  <si>
    <t>AV18</t>
  </si>
  <si>
    <t>AV19</t>
  </si>
  <si>
    <t>AV20</t>
  </si>
  <si>
    <t>AV21</t>
  </si>
  <si>
    <t>AV22</t>
  </si>
  <si>
    <t>AV23</t>
  </si>
  <si>
    <t>AV24</t>
  </si>
  <si>
    <t>AV25</t>
  </si>
  <si>
    <t>AV26</t>
  </si>
  <si>
    <t>AV27</t>
  </si>
  <si>
    <t>AV28</t>
  </si>
  <si>
    <t>AV29</t>
  </si>
  <si>
    <t>Nick Layton</t>
  </si>
  <si>
    <t>Gillian Longdon</t>
  </si>
  <si>
    <t>Neil Douglas</t>
  </si>
  <si>
    <t>1-29 (Justyce)</t>
  </si>
  <si>
    <t>36.1</t>
  </si>
  <si>
    <t>The Pilot</t>
  </si>
  <si>
    <t>Lawrence Gough</t>
  </si>
  <si>
    <t>Bill</t>
  </si>
  <si>
    <t>Smile</t>
  </si>
  <si>
    <t>Bill Anderson</t>
  </si>
  <si>
    <t>36.2</t>
  </si>
  <si>
    <t>36.3</t>
  </si>
  <si>
    <t>36.4</t>
  </si>
  <si>
    <t>Knock Knock</t>
  </si>
  <si>
    <t>Mike Bartlett</t>
  </si>
  <si>
    <t>TH</t>
  </si>
  <si>
    <t>TH01</t>
  </si>
  <si>
    <t>The Winning Side</t>
  </si>
  <si>
    <t>1-903889-35-9</t>
  </si>
  <si>
    <t>TH02</t>
  </si>
  <si>
    <t>TH03</t>
  </si>
  <si>
    <t>TH04</t>
  </si>
  <si>
    <t>TH05</t>
  </si>
  <si>
    <t>TH06</t>
  </si>
  <si>
    <t>TH07</t>
  </si>
  <si>
    <t>TH08</t>
  </si>
  <si>
    <t>TH09</t>
  </si>
  <si>
    <t>TH10</t>
  </si>
  <si>
    <t>TH11</t>
  </si>
  <si>
    <t>The Tunnel at the End of the Light</t>
  </si>
  <si>
    <t>The Clockwork Woman</t>
  </si>
  <si>
    <t>Kitsune</t>
  </si>
  <si>
    <t>The Severed Man</t>
  </si>
  <si>
    <t>Peculiar Lives</t>
  </si>
  <si>
    <t>Deus Le Voit</t>
  </si>
  <si>
    <t>The Albino's Dancer</t>
  </si>
  <si>
    <t>The Sideways Door</t>
  </si>
  <si>
    <t>Child of Time</t>
  </si>
  <si>
    <t>Stefan Petrucha</t>
  </si>
  <si>
    <t>Claire Bott</t>
  </si>
  <si>
    <t>John Paul Catton</t>
  </si>
  <si>
    <t>R. J. Carter, Troy Riser</t>
  </si>
  <si>
    <t>George Mann, David J. Howe</t>
  </si>
  <si>
    <t>Dates</t>
  </si>
  <si>
    <t>1-11 (Child of Time)</t>
  </si>
  <si>
    <t>Time Hunter Novella</t>
  </si>
  <si>
    <t>1-903889-39-1</t>
  </si>
  <si>
    <t>1-903889-41-3</t>
  </si>
  <si>
    <t>1-903889-43-X</t>
  </si>
  <si>
    <t>1-903889-45-6</t>
  </si>
  <si>
    <t>1-903889-47-2</t>
  </si>
  <si>
    <t>1-903889-49-9</t>
  </si>
  <si>
    <t>1-84583-100-4</t>
  </si>
  <si>
    <t>1-84583-102-0</t>
  </si>
  <si>
    <t>1-903889-37-5</t>
  </si>
  <si>
    <t>1-90626-321-8</t>
  </si>
  <si>
    <t>9''</t>
  </si>
  <si>
    <t>The Feast of the Stone</t>
  </si>
  <si>
    <t>Occam's Razor</t>
  </si>
  <si>
    <t>Alan Stevens, Jim Smith</t>
  </si>
  <si>
    <t>Alistair Lock, Alan Stevens</t>
  </si>
  <si>
    <t>Alan Stevens</t>
  </si>
  <si>
    <t>Magic Bullet Productions</t>
  </si>
  <si>
    <t>Kaldor City Tale</t>
  </si>
  <si>
    <t>KC001</t>
  </si>
  <si>
    <t>Metafiction</t>
  </si>
  <si>
    <t>Skulduggery</t>
  </si>
  <si>
    <t>Death's Head</t>
  </si>
  <si>
    <t>KC002</t>
  </si>
  <si>
    <t>KC007a</t>
  </si>
  <si>
    <t>Alan Stevens, Fiona Moore</t>
  </si>
  <si>
    <t>Storm Mine</t>
  </si>
  <si>
    <t>Checkmate</t>
  </si>
  <si>
    <t>The Prisoner</t>
  </si>
  <si>
    <t>Hidden Persuaders</t>
  </si>
  <si>
    <t>Taran Capel</t>
  </si>
  <si>
    <t>Jim Smith, Fiona Moore</t>
  </si>
  <si>
    <t>KC003</t>
  </si>
  <si>
    <t>KC004</t>
  </si>
  <si>
    <t>KC005</t>
  </si>
  <si>
    <t>KC006</t>
  </si>
  <si>
    <t>SL</t>
  </si>
  <si>
    <t>KC</t>
  </si>
  <si>
    <t>1-6 (Storm Mine) + extras</t>
  </si>
  <si>
    <t>The Saviour of Time</t>
  </si>
  <si>
    <t>Skype Game</t>
  </si>
  <si>
    <t>36.5</t>
  </si>
  <si>
    <t>Oxygen</t>
  </si>
  <si>
    <t>Ann 2015</t>
  </si>
  <si>
    <t>The Monsters of Coal Hill School</t>
  </si>
  <si>
    <t>When the Wolves Come</t>
  </si>
  <si>
    <t>Freeze</t>
  </si>
  <si>
    <t>TT09</t>
  </si>
  <si>
    <t>The House of Winter</t>
  </si>
  <si>
    <t>The Gods of Winter</t>
  </si>
  <si>
    <t>Ann 2016</t>
  </si>
  <si>
    <t>The Sins of Winter</t>
  </si>
  <si>
    <t>The Memory of Winter</t>
  </si>
  <si>
    <t>Zorgo the Terrible</t>
  </si>
  <si>
    <t>Super Gran</t>
  </si>
  <si>
    <t>Clare Higgins</t>
  </si>
  <si>
    <t>NSAA22</t>
  </si>
  <si>
    <t>1-78529-138-8</t>
  </si>
  <si>
    <t>NSAA23</t>
  </si>
  <si>
    <t>David Schofield</t>
  </si>
  <si>
    <t>1-78529-104-3</t>
  </si>
  <si>
    <t>NSAA24</t>
  </si>
  <si>
    <t>Robin Soans</t>
  </si>
  <si>
    <t>1-78529-214-9</t>
  </si>
  <si>
    <t>1-78529-249-1</t>
  </si>
  <si>
    <t>NSAA25</t>
  </si>
  <si>
    <t>Jemma Redgrave</t>
  </si>
  <si>
    <t>NSAA26</t>
  </si>
  <si>
    <t>NSAA27</t>
  </si>
  <si>
    <t>NSAA28</t>
  </si>
  <si>
    <t>The Lost Angel</t>
  </si>
  <si>
    <t>The Lost Planet</t>
  </si>
  <si>
    <t>The Lost Magic</t>
  </si>
  <si>
    <t>Kerry Shale</t>
  </si>
  <si>
    <t>1-78529-533-1</t>
  </si>
  <si>
    <t>1-78529-693-2</t>
  </si>
  <si>
    <t>Brandon</t>
  </si>
  <si>
    <t>1-78529-695-6</t>
  </si>
  <si>
    <t>The Temporal Temple; The Price of Life; The Next Cyber-Controller; Power, Dominance, Perfection; The Invisible Man; Phial Machinations</t>
  </si>
  <si>
    <t>Clean Up Space; Zombie Satellite; Anglo-Indian Relations; A Tale of Love and Revenge</t>
  </si>
  <si>
    <t>Infestation; Incubation; Metamorphosis</t>
  </si>
  <si>
    <t>Investigation and Arrest; Interrogation and Remand; Revelation and Adjudgment</t>
  </si>
  <si>
    <t>36.6</t>
  </si>
  <si>
    <t>Extremis</t>
  </si>
  <si>
    <t>Nardole</t>
  </si>
  <si>
    <t>The Spider's Web; The Aqua Planet; The Ice-Age Monster; The Watermen; The Daleks Destroy the Zomites; Escape from the Aquafien; Where Diamonds are Worthless; The Prehistoric Monster; The Nerve Machine; The Daleks are Foiled; Rescued from the Daleks; The Defeat of the Daleks</t>
  </si>
  <si>
    <t>EA3.2</t>
  </si>
  <si>
    <t>The Fifth Traveller</t>
  </si>
  <si>
    <t>1-78178-379-5</t>
  </si>
  <si>
    <t>EA3.3</t>
  </si>
  <si>
    <t>The Ravelli Conspiracy</t>
  </si>
  <si>
    <t>Robert Khan, Tom Salinsky</t>
  </si>
  <si>
    <t>1-78178-380-1</t>
  </si>
  <si>
    <t>EA3.4</t>
  </si>
  <si>
    <t>The Sontarans</t>
  </si>
  <si>
    <t>1-78178-381-8</t>
  </si>
  <si>
    <t>The Sontarans;The Descent; The Blind City; The Rule of War</t>
  </si>
  <si>
    <t>EA3.1</t>
  </si>
  <si>
    <t>The Age of Endurance</t>
  </si>
  <si>
    <t>1-78178-378-8</t>
  </si>
  <si>
    <t>Ship of Death; Hunters in the Breach; A Fight for Survival; The End of Endurance</t>
  </si>
  <si>
    <t>Yes, Missy</t>
  </si>
  <si>
    <t>Ann 2017</t>
  </si>
  <si>
    <t>Paul Lang</t>
  </si>
  <si>
    <t>Arpad Olbey</t>
  </si>
  <si>
    <t>1-4059-2649-2</t>
  </si>
  <si>
    <t>Elephant in the Room</t>
  </si>
  <si>
    <t>The Promise</t>
  </si>
  <si>
    <t>S9b</t>
  </si>
  <si>
    <t>BBCN61</t>
  </si>
  <si>
    <t>The Shining Man</t>
  </si>
  <si>
    <t>1-78594-268-6</t>
  </si>
  <si>
    <t>BBCN62</t>
  </si>
  <si>
    <t>Diamond Dogs</t>
  </si>
  <si>
    <t>1-78594-269-3</t>
  </si>
  <si>
    <t>1-78594-270-9</t>
  </si>
  <si>
    <t>Plague City</t>
  </si>
  <si>
    <t>BBCN63</t>
  </si>
  <si>
    <t>T12DY2 14-15</t>
  </si>
  <si>
    <t>Beneath the Waves</t>
  </si>
  <si>
    <t>T12DY3 2</t>
  </si>
  <si>
    <t>The Boy with the Displaced Smile</t>
  </si>
  <si>
    <t>GS1-8</t>
  </si>
  <si>
    <t>FCBD 2017</t>
  </si>
  <si>
    <t>Alex Parkadel</t>
  </si>
  <si>
    <t>Mariano Laclaustra, Pier Brito, Nico Selma</t>
  </si>
  <si>
    <t>Carlos Cabrera, Brittany Peer</t>
  </si>
  <si>
    <t>The Soul Garden</t>
  </si>
  <si>
    <t>Cindy, 9-11</t>
  </si>
  <si>
    <t>Staz Johnson</t>
  </si>
  <si>
    <t>DWM 508-511</t>
  </si>
  <si>
    <t>DWA v2.22</t>
  </si>
  <si>
    <t>Wings of the Predator</t>
  </si>
  <si>
    <t>DWA v2.23</t>
  </si>
  <si>
    <t>Killer App</t>
  </si>
  <si>
    <t>FN01</t>
  </si>
  <si>
    <t>My Dad, the Doctor</t>
  </si>
  <si>
    <t>First News</t>
  </si>
  <si>
    <t>First News Story</t>
  </si>
  <si>
    <t>Mark Williams</t>
  </si>
  <si>
    <t>Haunted</t>
  </si>
  <si>
    <t>1-9 (A Long Way Down)</t>
  </si>
  <si>
    <t>STA6:06</t>
  </si>
  <si>
    <t>Lost and Found</t>
  </si>
  <si>
    <t>Penelope Faith</t>
  </si>
  <si>
    <t>Anneke Wills</t>
  </si>
  <si>
    <t>1-78575-109-7</t>
  </si>
  <si>
    <t>The Christmas Dimension</t>
  </si>
  <si>
    <t>STAX:30</t>
  </si>
  <si>
    <t>STA6:08</t>
  </si>
  <si>
    <t>Damascus</t>
  </si>
  <si>
    <t>Tim Treloar</t>
  </si>
  <si>
    <t>1-78575-111-0</t>
  </si>
  <si>
    <t>STA7:02</t>
  </si>
  <si>
    <t>Gardeners' Worlds</t>
  </si>
  <si>
    <t>1-78575-117-2</t>
  </si>
  <si>
    <t>3DA2.1</t>
  </si>
  <si>
    <t>The Transcendence of Ephros</t>
  </si>
  <si>
    <t>1-78575-750-1</t>
  </si>
  <si>
    <t>3DA1.1</t>
  </si>
  <si>
    <t>3DA1.2</t>
  </si>
  <si>
    <t>3DA2.2</t>
  </si>
  <si>
    <t>The Hidden Realm</t>
  </si>
  <si>
    <t>David Llewelyn</t>
  </si>
  <si>
    <t>A Delicate Mission; Crash; And Burn; Empire Be Praised</t>
  </si>
  <si>
    <t>The Piecemeal Construction of Small Gods; Magnificat</t>
  </si>
  <si>
    <t>36.7</t>
  </si>
  <si>
    <t>The Pyramid at the End of the World</t>
  </si>
  <si>
    <t>Death or Glory; The Coming of the Wrath; The Undervoid; The Purpose of the Wrath</t>
  </si>
  <si>
    <t>The Spirit of Sohile; The Killing Blow</t>
  </si>
  <si>
    <t>Republica</t>
  </si>
  <si>
    <t>Island of Lost Souls</t>
  </si>
  <si>
    <t>Prosperity Island</t>
  </si>
  <si>
    <t>The Left Hand of Darkness</t>
  </si>
  <si>
    <t>Bill Baggs, Tim Saward</t>
  </si>
  <si>
    <t>The Other Side</t>
  </si>
  <si>
    <t>Guest for the Night</t>
  </si>
  <si>
    <t>BBV06</t>
  </si>
  <si>
    <t>BBV02</t>
  </si>
  <si>
    <t>BBV03</t>
  </si>
  <si>
    <t>BBV04</t>
  </si>
  <si>
    <t>BBV05</t>
  </si>
  <si>
    <t>BBV01</t>
  </si>
  <si>
    <t>BBV13</t>
  </si>
  <si>
    <t>BBV16</t>
  </si>
  <si>
    <t>BBV21</t>
  </si>
  <si>
    <t>Punchline</t>
  </si>
  <si>
    <t>Jeremy Leadbetter</t>
  </si>
  <si>
    <t>27h</t>
  </si>
  <si>
    <t>27i</t>
  </si>
  <si>
    <t>27j</t>
  </si>
  <si>
    <t>27k</t>
  </si>
  <si>
    <t>36.8</t>
  </si>
  <si>
    <t>The Lie of the Land</t>
  </si>
  <si>
    <t>Churchill Year</t>
  </si>
  <si>
    <t>Time Lord Fairy Tale</t>
  </si>
  <si>
    <t>American Adventure</t>
  </si>
  <si>
    <t>To Break a Butterfly upon a Wheel; Butterfly Wings; On a Wing and a Prayer</t>
  </si>
  <si>
    <t>Point Zero</t>
  </si>
  <si>
    <t>Angel of Mercy</t>
  </si>
  <si>
    <t>Dead Hand</t>
  </si>
  <si>
    <t>Recruitment Drive</t>
  </si>
  <si>
    <t>36.9</t>
  </si>
  <si>
    <t>The Empress of Mars</t>
  </si>
  <si>
    <t>Spotify</t>
  </si>
  <si>
    <t>DWMCD06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</si>
  <si>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</si>
  <si>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</si>
  <si>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</si>
  <si>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</si>
  <si>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</si>
  <si>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</si>
  <si>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</si>
  <si>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</si>
  <si>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</si>
  <si>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36.10</t>
  </si>
  <si>
    <t>The Eaters of Light</t>
  </si>
  <si>
    <t>Nuneham Old Girls; Dental Care; Living Metal; To Survive</t>
  </si>
  <si>
    <t>1951 Occupation; 1923 Putsch; 1939 War; 1940 Crisis</t>
  </si>
  <si>
    <t>Assembly; Detonation</t>
  </si>
  <si>
    <t>Five Weeks Away; Five Days to Go; Et In Arcadia...; Landfall; Pool; Mad, Bad, or Merely Dangerous to Know?</t>
  </si>
  <si>
    <t>Astarte; Belial; Moloch; Demogorgon; Lucifer Rising</t>
  </si>
  <si>
    <t>Benny; Ace; Benny &amp; Ace; The TARDIS</t>
  </si>
  <si>
    <t>Future Past; World of no Tomorrows; Call to Colours; Isomorphic; Ground Zero</t>
  </si>
  <si>
    <t>First Slice; Second Slice; Third Slice</t>
  </si>
  <si>
    <t>The Past; The Contemporary; The Future?</t>
  </si>
  <si>
    <t>Act 1; Act 2; Act 3</t>
  </si>
  <si>
    <t>A Phoenix Hour; Broken Land; Mind Citadel; Dark Trinity Ascendant</t>
  </si>
  <si>
    <t>Canto First:
A Sudden Arrival; A Question of Finance; After the Rains; The Ripple Effect; Falling Together</t>
  </si>
  <si>
    <t>Recruitment Parade; Marching Orders; The Front Line</t>
  </si>
  <si>
    <t>Beginnings; Shakedown; Aftermath</t>
  </si>
  <si>
    <t>The Voice of the Turtle; Hit and Missions; The Phoenix and the Turtle</t>
  </si>
  <si>
    <t>The Bringers of War; The Cauldron of Sutekh</t>
  </si>
  <si>
    <t>State of Independence; Madness, Madness, They Call It Madness; Damaged Gods</t>
  </si>
  <si>
    <t>Big Trouble in Little Cauldwell; Loose Threads; The Plots Thicken; The End</t>
  </si>
  <si>
    <t>Iphigenia; Cassandra; Valhalla</t>
  </si>
  <si>
    <t>The Killing Sword; The Life-Giving Sword; No Sword</t>
  </si>
  <si>
    <t>Strike One; Strike Two; Strike Three; Strikeout</t>
  </si>
  <si>
    <t>A Map of Skulls; The Breath of the Serpent; A Labyrinth of Ghosts; The Blood and the Flame</t>
  </si>
  <si>
    <t>Investigation; Discovery; Verdict</t>
  </si>
  <si>
    <t>First Notebook; Second Notebook; Third Notebook</t>
  </si>
  <si>
    <t>The Pest of Paternoster Row</t>
  </si>
  <si>
    <t>Vienna</t>
  </si>
  <si>
    <t>Budget Responsibility; Welfare Cuts; Public Health Inquiry; Change of Government</t>
  </si>
  <si>
    <t>36.11-12</t>
  </si>
  <si>
    <t>Interdiction; The Man in the Moon; The Empty Woman; The Children's Crusade</t>
  </si>
  <si>
    <t>Pease Pottage Hot; Pease Pottage Cold; Pease Pottage in the Pot; Days Old</t>
  </si>
  <si>
    <t>Vostok 7; The First Cosmonaut; The Coldest War; Allowed One Bite</t>
  </si>
  <si>
    <t>Don't Go Under the Bridge; That Which Feeds from Beneath</t>
  </si>
  <si>
    <t>V01</t>
  </si>
  <si>
    <t>V01.0</t>
  </si>
  <si>
    <t>The Memory Box</t>
  </si>
  <si>
    <t>David Richardson, Mark Wright</t>
  </si>
  <si>
    <t xml:space="preserve">1-78178-106-7 </t>
  </si>
  <si>
    <t xml:space="preserve">1-78178-267-5 </t>
  </si>
  <si>
    <t>V02</t>
  </si>
  <si>
    <t>V02.1</t>
  </si>
  <si>
    <t>V01.1</t>
  </si>
  <si>
    <t>V01.2</t>
  </si>
  <si>
    <t>V01.3</t>
  </si>
  <si>
    <t>Dead Drop</t>
  </si>
  <si>
    <t>Bad Faith</t>
  </si>
  <si>
    <t>1-78178-431-0</t>
  </si>
  <si>
    <t>V02.3</t>
  </si>
  <si>
    <t>V03.1</t>
  </si>
  <si>
    <t>V02.2</t>
  </si>
  <si>
    <t>The Vienna Experience</t>
  </si>
  <si>
    <t>Tabula Rasa</t>
  </si>
  <si>
    <t xml:space="preserve">1-78178-432-7 </t>
  </si>
  <si>
    <t xml:space="preserve">1-78178-573-7 </t>
  </si>
  <si>
    <t>WoBF</t>
  </si>
  <si>
    <t>WoBF5</t>
  </si>
  <si>
    <t>The Lady from Callisto Rhys</t>
  </si>
  <si>
    <t>V03</t>
  </si>
  <si>
    <t>V03.2</t>
  </si>
  <si>
    <t>V03.3</t>
  </si>
  <si>
    <t>Self Improvement</t>
  </si>
  <si>
    <t>Impossibly Glamorous</t>
  </si>
  <si>
    <t>Big Society</t>
  </si>
  <si>
    <t>David Richardson, Cavan Scott</t>
  </si>
  <si>
    <t>The Phantom Wreck</t>
  </si>
  <si>
    <t>Worlds of Big Finish</t>
  </si>
  <si>
    <t>WoBF6</t>
  </si>
  <si>
    <t>A/Z</t>
  </si>
  <si>
    <t>WoBF1</t>
  </si>
  <si>
    <t>The Archive</t>
  </si>
  <si>
    <t>The Bomb</t>
  </si>
  <si>
    <t>The Room</t>
  </si>
  <si>
    <t>The Ward</t>
  </si>
  <si>
    <t>The Dance</t>
  </si>
  <si>
    <t>Thirteenth Doctor (JW)</t>
  </si>
  <si>
    <t>First Doctor (WH)</t>
  </si>
  <si>
    <t>Second Doctor (PT)</t>
  </si>
  <si>
    <t>Third Doctor (JP)</t>
  </si>
  <si>
    <t>Fourth Doctor (TB)</t>
  </si>
  <si>
    <t>Fifth Doctor (PD)</t>
  </si>
  <si>
    <t>Sixth Doctor (CB)</t>
  </si>
  <si>
    <t>Seventh Doctor (SM)</t>
  </si>
  <si>
    <t>Eighth Doctor (PM)</t>
  </si>
  <si>
    <t>War Doctor (JH)</t>
  </si>
  <si>
    <t>Ninth Doctor (CE)</t>
  </si>
  <si>
    <t>Tenth Doctor (DT)</t>
  </si>
  <si>
    <t>Eleventh Doctor (MS)</t>
  </si>
  <si>
    <t>Twelfth Doctor (PC)</t>
  </si>
  <si>
    <t>Nth Doctor (Briggs)</t>
  </si>
  <si>
    <t>1-84435-155-6</t>
  </si>
  <si>
    <t>WoT01</t>
  </si>
  <si>
    <t>Wildthyme on Top: Preface</t>
  </si>
  <si>
    <t>WoT02</t>
  </si>
  <si>
    <t>Wildthyme on Top: Most Horrid</t>
  </si>
  <si>
    <t>WoT03</t>
  </si>
  <si>
    <t>Wildthyme on Top: The Sleuth Slayers</t>
  </si>
  <si>
    <t>WoT04</t>
  </si>
  <si>
    <t>Wildthyme on Top: Minions of the Moon</t>
  </si>
  <si>
    <t>WoT05</t>
  </si>
  <si>
    <t>Wildthyme on Top: Beguine</t>
  </si>
  <si>
    <t>WoT06</t>
  </si>
  <si>
    <t>Wildthyme on Top: Blame Iris</t>
  </si>
  <si>
    <t>WoT07</t>
  </si>
  <si>
    <t>Wildthyme on Top: Came to Believe</t>
  </si>
  <si>
    <t>WoT08</t>
  </si>
  <si>
    <t>Wildthyme on Top: Rough Magic</t>
  </si>
  <si>
    <t>WoT09</t>
  </si>
  <si>
    <t>Wildthyme on Top: The Mancunian Candidate</t>
  </si>
  <si>
    <t>WoT10</t>
  </si>
  <si>
    <t>Wildthyme on Top: Iris and Irregularity</t>
  </si>
  <si>
    <t>WoT11</t>
  </si>
  <si>
    <t>Wildthyme on Top: The Evil Little Mother and the Tragic Old Bat</t>
  </si>
  <si>
    <t>Iris Wildthyme Short</t>
  </si>
  <si>
    <t>Wildthyme at Large</t>
  </si>
  <si>
    <t>1-84435-145-9</t>
  </si>
  <si>
    <t>Iris Wildthyme Audio</t>
  </si>
  <si>
    <t>The Devil in Ms. WildThyme</t>
  </si>
  <si>
    <t>1-84435-165-3</t>
  </si>
  <si>
    <t>Paul Magrs, Stuart Douglas</t>
  </si>
  <si>
    <t>Obverse Books</t>
  </si>
  <si>
    <t>TCO01</t>
  </si>
  <si>
    <t>IW and the Celestial Omnibus: A Gamble with Wildthyme</t>
  </si>
  <si>
    <t>TCO02</t>
  </si>
  <si>
    <t>IW and the Celestial Omnibus: Soveriegn</t>
  </si>
  <si>
    <t>TCO03</t>
  </si>
  <si>
    <t>IW and the Celestial Omnibus: The Unhappy Medium</t>
  </si>
  <si>
    <t>TCO04</t>
  </si>
  <si>
    <t>IW and the Celestial Omnibus: Future Legend</t>
  </si>
  <si>
    <t>TCO05</t>
  </si>
  <si>
    <t>IW and the Celestial Omnibus: Battleship Anathema</t>
  </si>
  <si>
    <t>TCO06</t>
  </si>
  <si>
    <t>IW and the Celestial Omnibus: The Dreadful Flap</t>
  </si>
  <si>
    <t>TCO07</t>
  </si>
  <si>
    <t>IW and the Celestial Omnibus: And Not a Drop to Drink</t>
  </si>
  <si>
    <t>TCO08</t>
  </si>
  <si>
    <t>IW and the Celestial Omnibus: Iris Wildthyme y Señor Cientocinco contra Los Monstruos del Fiesta</t>
  </si>
  <si>
    <t>TCO09</t>
  </si>
  <si>
    <t>IW and the Celestial Omnibus: Why? Because We Like You</t>
  </si>
  <si>
    <t>TCO10</t>
  </si>
  <si>
    <t>IW and the Celestial Omnibus: The Scarlet Shadow</t>
  </si>
  <si>
    <t>TCO11</t>
  </si>
  <si>
    <t>IW and the Celestial Omnibus: Only Living Girls</t>
  </si>
  <si>
    <t>Stuart Douglas</t>
  </si>
  <si>
    <t>Steven Wickham</t>
  </si>
  <si>
    <t>TPBoH01</t>
  </si>
  <si>
    <t>The Panda Book of Horror: Iris Wildthyme and the Unholy Ghost</t>
  </si>
  <si>
    <t>TPBoH02</t>
  </si>
  <si>
    <t>The Panda Book of Horror: Framed</t>
  </si>
  <si>
    <t>TPBoH03</t>
  </si>
  <si>
    <t>The Panda Book of Horror: Just the Ticket</t>
  </si>
  <si>
    <t>TPBoH04</t>
  </si>
  <si>
    <t>The Panda Book of Horror: The Party in Room Four</t>
  </si>
  <si>
    <t>TPBoH05</t>
  </si>
  <si>
    <t>The Panda Book of Horror: Party Kill Accelerator!</t>
  </si>
  <si>
    <t>TPBoH06</t>
  </si>
  <si>
    <t>The Panda Book of Horror: Apocalypse Slough</t>
  </si>
  <si>
    <t>TPBoH07</t>
  </si>
  <si>
    <t>The Panda Book of Horror: The Delightful Bag</t>
  </si>
  <si>
    <t>TPBoH08</t>
  </si>
  <si>
    <t>The Panda Book of Horror: Iris Wildthyme's Rainy Day Adventure</t>
  </si>
  <si>
    <t>TPBoH09</t>
  </si>
  <si>
    <t>The Panda Book of Horror: The Colour Scheme</t>
  </si>
  <si>
    <t>TPBoH10</t>
  </si>
  <si>
    <t>TPBoH11</t>
  </si>
  <si>
    <t>The Panda Book of Horror: The Fag Hag from Hell</t>
  </si>
  <si>
    <t>TPBoH12</t>
  </si>
  <si>
    <t>The Panda Book of Horror: The Niceness</t>
  </si>
  <si>
    <t>TPBoH13</t>
  </si>
  <si>
    <t>The Panda Book of Horror: Channel 666</t>
  </si>
  <si>
    <t>Phil Craggs</t>
  </si>
  <si>
    <t>Blair Bidmead</t>
  </si>
  <si>
    <t>Nicholas Nada</t>
  </si>
  <si>
    <t>Jac Rayner, Orna Petit</t>
  </si>
  <si>
    <t>MWaFI01</t>
  </si>
  <si>
    <t>Ms W and Friends Investigate: The Found World</t>
  </si>
  <si>
    <t>MWaFI02</t>
  </si>
  <si>
    <t>Ms W and Friends Investigate: The Irredeemable Love</t>
  </si>
  <si>
    <t>MWaFI03</t>
  </si>
  <si>
    <t>Ms W and Friends Investigate: Elementary, My Dear Sheila</t>
  </si>
  <si>
    <t>MWaFI04</t>
  </si>
  <si>
    <t>Ms W and Friends Investigate: The Shape of Things</t>
  </si>
  <si>
    <t>0-9565605-0-6</t>
  </si>
  <si>
    <t>Iris Wildthyme Novella</t>
  </si>
  <si>
    <t>0-9565605-1-3</t>
  </si>
  <si>
    <t>IA01</t>
  </si>
  <si>
    <t>Annabel Regina</t>
  </si>
  <si>
    <t>IA02</t>
  </si>
  <si>
    <t>Chicken Fried Banana Republic</t>
  </si>
  <si>
    <t>IA03</t>
  </si>
  <si>
    <t>The Midnight Washerwomen</t>
  </si>
  <si>
    <t>IA04</t>
  </si>
  <si>
    <t>The Little Bighorn Casino</t>
  </si>
  <si>
    <t>IA05</t>
  </si>
  <si>
    <t>How to Play Four-dimensional Chinese Checkers, and Win</t>
  </si>
  <si>
    <t>IA06</t>
  </si>
  <si>
    <t>Panda on Ice</t>
  </si>
  <si>
    <t>IA07</t>
  </si>
  <si>
    <t>Couch Potatoes</t>
  </si>
  <si>
    <t>IA08</t>
  </si>
  <si>
    <t>Riviera Shakedown</t>
  </si>
  <si>
    <t>IA09</t>
  </si>
  <si>
    <t>Iris Wildthyme and the Colonic in Space</t>
  </si>
  <si>
    <t>IA10</t>
  </si>
  <si>
    <t>First Meetings</t>
  </si>
  <si>
    <t>IA11</t>
  </si>
  <si>
    <t>The Best Holiday Ever</t>
  </si>
  <si>
    <t>IA12</t>
  </si>
  <si>
    <t>The Story Eater</t>
  </si>
  <si>
    <t>IA13</t>
  </si>
  <si>
    <t>Hospitality</t>
  </si>
  <si>
    <t>Scott Liddell</t>
  </si>
  <si>
    <t>Ian Gregory</t>
  </si>
  <si>
    <t>Iris Abroad: Annabel Regina</t>
  </si>
  <si>
    <t>Iris Abroad: Chicken Fried Banana Republic</t>
  </si>
  <si>
    <t>Iris Abroad: The Midnight Washerwomen</t>
  </si>
  <si>
    <t>Iris Abroad: The Little Bighorn Casino</t>
  </si>
  <si>
    <t>Iris Abroad: How to Play Four-dimensional Chinese Checkers, and Win</t>
  </si>
  <si>
    <t>Iris Abroad: Panda on Ice</t>
  </si>
  <si>
    <t>Iris Abroad: Couch Potatoes</t>
  </si>
  <si>
    <t>Iris Abroad: Riviera Shakedown</t>
  </si>
  <si>
    <t>Iris Abroad: Iris Wildthyme and the Colonic in Space</t>
  </si>
  <si>
    <t>Iris Abroad: First Meetings</t>
  </si>
  <si>
    <t>Iris Abroad: The Best Holiday Ever</t>
  </si>
  <si>
    <t>Iris Abroad: The Story Eater</t>
  </si>
  <si>
    <t>Iris Abroad: Hospitality</t>
  </si>
  <si>
    <t>0-9565605-5-1</t>
  </si>
  <si>
    <t>WiP01</t>
  </si>
  <si>
    <t>The Big Crunch</t>
  </si>
  <si>
    <t>WiP02</t>
  </si>
  <si>
    <t>Frank Reade, Jr's Electric Time Canoe</t>
  </si>
  <si>
    <t>WiP03</t>
  </si>
  <si>
    <t>Dance of the Voodoo Valkyries</t>
  </si>
  <si>
    <t>WiP04</t>
  </si>
  <si>
    <t>Iris in Dead Man's Gulch</t>
  </si>
  <si>
    <t>WiP05</t>
  </si>
  <si>
    <t>Her and Allan</t>
  </si>
  <si>
    <t>WiP06</t>
  </si>
  <si>
    <t>Running with Caesars</t>
  </si>
  <si>
    <t>WiP07</t>
  </si>
  <si>
    <t>Amser Gwyllt</t>
  </si>
  <si>
    <t>WiP08</t>
  </si>
  <si>
    <t>The Bronze Door</t>
  </si>
  <si>
    <t>WiP09</t>
  </si>
  <si>
    <t>Flash Rogers Conquers the Universe</t>
  </si>
  <si>
    <t>WiP10</t>
  </si>
  <si>
    <t>The Web of Terror</t>
  </si>
  <si>
    <t>WiP11</t>
  </si>
  <si>
    <t>The Many Lives of Zorro</t>
  </si>
  <si>
    <t>WiP12</t>
  </si>
  <si>
    <t>Fantômville</t>
  </si>
  <si>
    <t>WiP13</t>
  </si>
  <si>
    <t>The Devil Wears Panda</t>
  </si>
  <si>
    <t>Steve Mollmann</t>
  </si>
  <si>
    <t>Geoffrey Hammell</t>
  </si>
  <si>
    <t>Steffan Alun</t>
  </si>
  <si>
    <t>Nick Campbell</t>
  </si>
  <si>
    <t>Cody Quijano-Schell</t>
  </si>
  <si>
    <t>Enter Wildthyme</t>
  </si>
  <si>
    <t>1-907777-04-2</t>
  </si>
  <si>
    <t>Snowbooks Ltd</t>
  </si>
  <si>
    <t>Iris Wildthyme Novel</t>
  </si>
  <si>
    <t>Wildthyme Beyond!</t>
  </si>
  <si>
    <t>1-907777-67-7</t>
  </si>
  <si>
    <t>LS01</t>
  </si>
  <si>
    <t>Lady Stardust: Up the Hill Backwards</t>
  </si>
  <si>
    <t>LS02</t>
  </si>
  <si>
    <t>Lady Stardust: Low/Profile</t>
  </si>
  <si>
    <t>LS03</t>
  </si>
  <si>
    <t>Lady Stardust: Hang onto Yourself</t>
  </si>
  <si>
    <t>LS04</t>
  </si>
  <si>
    <t>Lady Stardust: Slip Away</t>
  </si>
  <si>
    <t>LS05</t>
  </si>
  <si>
    <t>Lady Stardust: Cracked Actor</t>
  </si>
  <si>
    <t>LS06</t>
  </si>
  <si>
    <t>Lady Stardust: Modern Love</t>
  </si>
  <si>
    <t>IF01</t>
  </si>
  <si>
    <t>Fifteen: The Ninnies on Putney Common</t>
  </si>
  <si>
    <t>IF02</t>
  </si>
  <si>
    <t>Fifteen: Gimme Shelter</t>
  </si>
  <si>
    <t>IF03</t>
  </si>
  <si>
    <t>Fifteen: Time to Exist</t>
  </si>
  <si>
    <t>IF04</t>
  </si>
  <si>
    <t>Fifteen: Party Fears Two</t>
  </si>
  <si>
    <t>IF05</t>
  </si>
  <si>
    <t>Fifteen: God Engine Rhapsody</t>
  </si>
  <si>
    <t>IF06</t>
  </si>
  <si>
    <t>Fifteen: Project: Wildthyme</t>
  </si>
  <si>
    <t>IF07</t>
  </si>
  <si>
    <t>Fifteen: Our Tune</t>
  </si>
  <si>
    <t>IF08</t>
  </si>
  <si>
    <t>Fifteen: The Wildthyme Effect</t>
  </si>
  <si>
    <t>IF09</t>
  </si>
  <si>
    <t>Fifteen: Ouroboros</t>
  </si>
  <si>
    <t>IF10</t>
  </si>
  <si>
    <t>Fifteen: In Passing</t>
  </si>
  <si>
    <t>IF11</t>
  </si>
  <si>
    <t>Fifteen: Iris at the V&amp;A</t>
  </si>
  <si>
    <t>IF12</t>
  </si>
  <si>
    <t>Fifteen: The Golden Hendecahedron</t>
  </si>
  <si>
    <t>IF13</t>
  </si>
  <si>
    <t>Fifteen: Samsara</t>
  </si>
  <si>
    <t>IF14</t>
  </si>
  <si>
    <t>Fifteen: Iris and the Caliphate</t>
  </si>
  <si>
    <t>IF15</t>
  </si>
  <si>
    <t>Fifteen: Mix Her Own Adventure</t>
  </si>
  <si>
    <t>IF16</t>
  </si>
  <si>
    <t>Fifteen: Scream in Blue</t>
  </si>
  <si>
    <t>IF17</t>
  </si>
  <si>
    <t>Fifteen: Dog Days of Summer</t>
  </si>
  <si>
    <t>Andy Smillie</t>
  </si>
  <si>
    <t>Julio Angel Ortiz</t>
  </si>
  <si>
    <t>Ross Douglas</t>
  </si>
  <si>
    <t>Neil Chester</t>
  </si>
  <si>
    <t>James Manley-Buser</t>
  </si>
  <si>
    <t>Eric Brown</t>
  </si>
  <si>
    <t>Patrick Magee</t>
  </si>
  <si>
    <t>Roy Gill</t>
  </si>
  <si>
    <t>The Ninnies on Putney Common</t>
  </si>
  <si>
    <t>Gimme Shelter</t>
  </si>
  <si>
    <t>Time to Exist</t>
  </si>
  <si>
    <t>Party Fears Two</t>
  </si>
  <si>
    <t>God Engine Rhapsody</t>
  </si>
  <si>
    <t>Project: Wildthyme</t>
  </si>
  <si>
    <t>Our Tune</t>
  </si>
  <si>
    <t>The Wildthyme Effect</t>
  </si>
  <si>
    <t>Ouroboros</t>
  </si>
  <si>
    <t>In Passing</t>
  </si>
  <si>
    <t>Iris at the V&amp;A</t>
  </si>
  <si>
    <t>The Golden Hendecahedron</t>
  </si>
  <si>
    <t>Samsara</t>
  </si>
  <si>
    <t>Iris and the Caliphate</t>
  </si>
  <si>
    <t>Mix Her Own Adventure</t>
  </si>
  <si>
    <t>Scream in Blue</t>
  </si>
  <si>
    <t>Dog Days of Summer</t>
  </si>
  <si>
    <t>Up the Hill Backwards</t>
  </si>
  <si>
    <t>Low/Profile</t>
  </si>
  <si>
    <t>Hang onto Yourself</t>
  </si>
  <si>
    <t>Slip Away</t>
  </si>
  <si>
    <t>Cracked Actor</t>
  </si>
  <si>
    <t>Modern Love</t>
  </si>
  <si>
    <t>W in Purple: The Big Crunch</t>
  </si>
  <si>
    <t>W in Purple: Frank Reade, Jr's Electric Time Canoe</t>
  </si>
  <si>
    <t>W in Purple: Dance of the Voodoo Valkyries</t>
  </si>
  <si>
    <t>W in Purple: Iris in Dead Man's Gulch</t>
  </si>
  <si>
    <t>W in Purple: Her and Allan</t>
  </si>
  <si>
    <t>W in Purple: Running with Caesars</t>
  </si>
  <si>
    <t>W in Purple: Amser Gwyllt</t>
  </si>
  <si>
    <t>W in Purple: The Bronze Door</t>
  </si>
  <si>
    <t>W in Purple: Flash Rogers Conquers the Universe</t>
  </si>
  <si>
    <t>W in Purple: The Web of Terror</t>
  </si>
  <si>
    <t>W in Purple: The Many Lives of Zorro</t>
  </si>
  <si>
    <t>W in Purple: Fantômville</t>
  </si>
  <si>
    <t>W in Purple: The Devil Wears Panda</t>
  </si>
  <si>
    <t>Preface</t>
  </si>
  <si>
    <t>Most Horrid</t>
  </si>
  <si>
    <t>The Sleuth Slayers</t>
  </si>
  <si>
    <t>Minions of the Moon</t>
  </si>
  <si>
    <t>Beguine</t>
  </si>
  <si>
    <t>Blame Iris</t>
  </si>
  <si>
    <t>Came to Believe</t>
  </si>
  <si>
    <t>Rough Magic</t>
  </si>
  <si>
    <t>The Mancunian Candidate</t>
  </si>
  <si>
    <t>Iris and Irregularity</t>
  </si>
  <si>
    <t>The Evil Little Mother and the Tragic Old Bat</t>
  </si>
  <si>
    <t>A Gamble with Wildthyme</t>
  </si>
  <si>
    <t>Soveriegn</t>
  </si>
  <si>
    <t>The Unhappy Medium</t>
  </si>
  <si>
    <t>Future Legend</t>
  </si>
  <si>
    <t>Battleship Anathema</t>
  </si>
  <si>
    <t>The Dreadful Flap</t>
  </si>
  <si>
    <t>And Not a Drop to Drink</t>
  </si>
  <si>
    <t>Iris Wildthyme y Señor Cientocinco contra Los Monstruos del Fiesta</t>
  </si>
  <si>
    <t>Why? Because We Like You</t>
  </si>
  <si>
    <t>The Scarlet Shadow</t>
  </si>
  <si>
    <t>Only Living Girls</t>
  </si>
  <si>
    <t>Iris Wildthyme and the Unholy Ghost</t>
  </si>
  <si>
    <t>Framed</t>
  </si>
  <si>
    <t>Just the Ticket</t>
  </si>
  <si>
    <t>The Party in Room Four</t>
  </si>
  <si>
    <t>Party Kill Accelerator!</t>
  </si>
  <si>
    <t>Apocalypse Slough</t>
  </si>
  <si>
    <t>The Delightful Bag</t>
  </si>
  <si>
    <t>Iris Wildthyme's Rainy Day Adventure</t>
  </si>
  <si>
    <t>The Colour Scheme</t>
  </si>
  <si>
    <t>The Fag Hag from Hell</t>
  </si>
  <si>
    <t>The Niceness</t>
  </si>
  <si>
    <t>Channel 666</t>
  </si>
  <si>
    <t>The Found World</t>
  </si>
  <si>
    <t>The Irredeemable Love</t>
  </si>
  <si>
    <t>Elementary, My Dear Sheila</t>
  </si>
  <si>
    <t>The Shape of Things</t>
  </si>
  <si>
    <t>From Wildthyme with Love</t>
  </si>
  <si>
    <t>1-909679-13-9</t>
  </si>
  <si>
    <t>SB01</t>
  </si>
  <si>
    <t>SB02</t>
  </si>
  <si>
    <t>SB03</t>
  </si>
  <si>
    <t>IWoM01</t>
  </si>
  <si>
    <t>IWoM02</t>
  </si>
  <si>
    <t>IWoM03</t>
  </si>
  <si>
    <t>IWoM04</t>
  </si>
  <si>
    <t>IWoM05</t>
  </si>
  <si>
    <t>IWoM06</t>
  </si>
  <si>
    <t>IWoM07</t>
  </si>
  <si>
    <t>IWoM08</t>
  </si>
  <si>
    <t>IWoM09</t>
  </si>
  <si>
    <t>IWoM10</t>
  </si>
  <si>
    <t>IWoM11</t>
  </si>
  <si>
    <t>IWoM12</t>
  </si>
  <si>
    <t>Daniel Tessier</t>
  </si>
  <si>
    <t>Selina Lock</t>
  </si>
  <si>
    <t>Juliet Kemp</t>
  </si>
  <si>
    <t>Rachel Churcher</t>
  </si>
  <si>
    <t>Aditya Bidikar</t>
  </si>
  <si>
    <t>Kronos Vad’s History of Earth (Vol. 36,379)</t>
  </si>
  <si>
    <t>WoBF4</t>
  </si>
  <si>
    <t>1-78178-778-6</t>
  </si>
  <si>
    <t>WR01</t>
  </si>
  <si>
    <t>W Reloaded: Comeback of the Scorchies</t>
  </si>
  <si>
    <t>WR02</t>
  </si>
  <si>
    <t>W Reloaded: Dark Side</t>
  </si>
  <si>
    <t>WR03</t>
  </si>
  <si>
    <t>W Reloaded: Oracle of the Supermarket</t>
  </si>
  <si>
    <t>WR04</t>
  </si>
  <si>
    <t>W Reloaded: Murder at the Abbey</t>
  </si>
  <si>
    <t>WR05</t>
  </si>
  <si>
    <t>W Reloaded: The Slots of Giza</t>
  </si>
  <si>
    <t>WR06</t>
  </si>
  <si>
    <t>W Reloaded: High Spirits</t>
  </si>
  <si>
    <t>WR07</t>
  </si>
  <si>
    <t>W Reloaded: An Extraterrestrial Werewolf in Belgium</t>
  </si>
  <si>
    <t>WR08</t>
  </si>
  <si>
    <t>W Reloaded: Looking for a Friend</t>
  </si>
  <si>
    <t>Comeback of the Scorchies</t>
  </si>
  <si>
    <t>Dark Side</t>
  </si>
  <si>
    <t>Oracle of the Supermarket</t>
  </si>
  <si>
    <t>Murder at the Abbey</t>
  </si>
  <si>
    <t>The Slots of Giza</t>
  </si>
  <si>
    <t>High Spirits</t>
  </si>
  <si>
    <t>An Extraterrestrial Werewolf in Belgium</t>
  </si>
  <si>
    <t>Looking for a Friend</t>
  </si>
  <si>
    <t>Wandering Stars</t>
  </si>
  <si>
    <t>Lieut. Gullivar Jones: His Bad Weekend</t>
  </si>
  <si>
    <t>Chess-Mistress of Mars</t>
  </si>
  <si>
    <t>Death on the Euphrates</t>
  </si>
  <si>
    <t>And a Dog to Walk</t>
  </si>
  <si>
    <t>Talking with Spores</t>
  </si>
  <si>
    <t>Doomed</t>
  </si>
  <si>
    <t>The Last Martian</t>
  </si>
  <si>
    <t>Lilac Mars</t>
  </si>
  <si>
    <t>City of Dust</t>
  </si>
  <si>
    <t>The Calamari-Men of Mare Cimmerium</t>
  </si>
  <si>
    <t>Green Mars Blues</t>
  </si>
  <si>
    <t>IW1.01</t>
  </si>
  <si>
    <t>IW1.02</t>
  </si>
  <si>
    <t>1-909031-31-9</t>
  </si>
  <si>
    <t>TPMW01</t>
  </si>
  <si>
    <t>The Perennial Miss W: Death of the Author</t>
  </si>
  <si>
    <t>TPMW02</t>
  </si>
  <si>
    <t>The Perennial Miss W: Right vs Left vs Wrong</t>
  </si>
  <si>
    <t>TPMW03</t>
  </si>
  <si>
    <t>The Perennial Miss W: Wildthyme and The Wolf</t>
  </si>
  <si>
    <t>TPMW04</t>
  </si>
  <si>
    <t>The Perennial Miss W: Dolores Smith and the Birthday Bear</t>
  </si>
  <si>
    <t>TPMW05</t>
  </si>
  <si>
    <t>The Perennial Miss W: The Girl Who Went Up In Smoke</t>
  </si>
  <si>
    <t>TPMW06</t>
  </si>
  <si>
    <t>The Perennial Miss W: Onesis</t>
  </si>
  <si>
    <t>TPMW07</t>
  </si>
  <si>
    <t>The Perennial Miss W: The Opera of Samhain</t>
  </si>
  <si>
    <t>TPMW08</t>
  </si>
  <si>
    <t>The Perennial Miss W: A Grove Invisible</t>
  </si>
  <si>
    <t>TPMW09</t>
  </si>
  <si>
    <t>The Perennial Miss W: Michael Drake</t>
  </si>
  <si>
    <t>TPMW10</t>
  </si>
  <si>
    <t>The Perennial Miss W: The Midnight Empire</t>
  </si>
  <si>
    <t>TPMW11</t>
  </si>
  <si>
    <t>The Perennial Miss W: Doppler Shift</t>
  </si>
  <si>
    <t>TPMW12</t>
  </si>
  <si>
    <t>The Perennial Miss W: Closure</t>
  </si>
  <si>
    <t>Death of the Author</t>
  </si>
  <si>
    <t>Right vs Left vs Wrong</t>
  </si>
  <si>
    <t>Wildthyme and The Wolf</t>
  </si>
  <si>
    <t>Dolores Smith and the Birthday Bear</t>
  </si>
  <si>
    <t>The Girl Who Went Up In Smoke</t>
  </si>
  <si>
    <t>Onesis</t>
  </si>
  <si>
    <t>The Opera of Samhain</t>
  </si>
  <si>
    <t>A Grove Invisible</t>
  </si>
  <si>
    <t>Michael Drake</t>
  </si>
  <si>
    <t>The Midnight Empire</t>
  </si>
  <si>
    <t>Doppler Shift</t>
  </si>
  <si>
    <t>Jay Eales</t>
  </si>
  <si>
    <t>Paul Vayro</t>
  </si>
  <si>
    <t>Graham Tedesco-Blair</t>
  </si>
  <si>
    <t>Kara Dennison</t>
  </si>
  <si>
    <t>Greg Maughan</t>
  </si>
  <si>
    <t>Steve Palace</t>
  </si>
  <si>
    <t>Donald McCarthy</t>
  </si>
  <si>
    <t>Paul Castle</t>
  </si>
  <si>
    <t>Stuart Douglas, George Mann, Paul Magrs</t>
  </si>
  <si>
    <t>1-909031-50-0</t>
  </si>
  <si>
    <t>ACI01</t>
  </si>
  <si>
    <t>A Clockwork Iris: Flasket Brinner and the Clockwork Heart</t>
  </si>
  <si>
    <t>ACI02</t>
  </si>
  <si>
    <t>A Clockwork Iris: The Woman Who Sold the Moon</t>
  </si>
  <si>
    <t>ACI03</t>
  </si>
  <si>
    <t>A Clockwork Iris: The Story Sorters</t>
  </si>
  <si>
    <t>ACI04</t>
  </si>
  <si>
    <t>A Clockwork Iris: Being</t>
  </si>
  <si>
    <t>ACI05</t>
  </si>
  <si>
    <t>A Clockwork Iris: Iris and the Dame</t>
  </si>
  <si>
    <t>ACI06</t>
  </si>
  <si>
    <t>A Clockwork Iris: Petite Fours, Petite Mort</t>
  </si>
  <si>
    <t>ACI07</t>
  </si>
  <si>
    <t>A Clockwork Iris: Panda and the Airship</t>
  </si>
  <si>
    <t>ACI08</t>
  </si>
  <si>
    <t>A Clockwork Iris: Rattus Erectus</t>
  </si>
  <si>
    <t>ACI09</t>
  </si>
  <si>
    <t>A Clockwork Iris: Tik, Tak. Snick, Snack</t>
  </si>
  <si>
    <t>ACI10</t>
  </si>
  <si>
    <t>A Clockwork Iris: Timepeace</t>
  </si>
  <si>
    <t>ACI11</t>
  </si>
  <si>
    <t>A Clockwork Iris: Parsley, Sage, Rosemary and Wildthyme</t>
  </si>
  <si>
    <t>ACI12</t>
  </si>
  <si>
    <t>A Clockwork Iris: Another Clockwork Iris</t>
  </si>
  <si>
    <t>Flasket Brinner and the Clockwork Heart</t>
  </si>
  <si>
    <t>The Woman Who Sold the Moon</t>
  </si>
  <si>
    <t>The Story Sorters</t>
  </si>
  <si>
    <t>Being</t>
  </si>
  <si>
    <t>Iris and the Dame</t>
  </si>
  <si>
    <t>Petite Fours, Petite Mort</t>
  </si>
  <si>
    <t>Panda and the Airship</t>
  </si>
  <si>
    <t>Rattus Erectus</t>
  </si>
  <si>
    <t>Tik, Tak. Snick, Snack</t>
  </si>
  <si>
    <t>Timepeace</t>
  </si>
  <si>
    <t>Parsley, Sage, Rosemary and Wildthyme</t>
  </si>
  <si>
    <t>Another Clockwork Iris</t>
  </si>
  <si>
    <t>Aaron Starum</t>
  </si>
  <si>
    <t>Paul Driscoll</t>
  </si>
  <si>
    <t>Christopher Bryant</t>
  </si>
  <si>
    <t>Matthew Bright</t>
  </si>
  <si>
    <t>Mark A. Latham</t>
  </si>
  <si>
    <t>John Alice</t>
  </si>
  <si>
    <t>Ian C Douglas</t>
  </si>
  <si>
    <t>Jenna Burtonshaw</t>
  </si>
  <si>
    <t>Simon A Brett</t>
  </si>
  <si>
    <t>Jon DeCles</t>
  </si>
  <si>
    <t>Liesel Schwarz</t>
  </si>
  <si>
    <t>1-78178-105-0</t>
  </si>
  <si>
    <t>IW4.1</t>
  </si>
  <si>
    <t>IW4.2</t>
  </si>
  <si>
    <t>IW4.3</t>
  </si>
  <si>
    <t>Whatever Happened to Iris Wildthyme?</t>
  </si>
  <si>
    <t>Iris at the Oche</t>
  </si>
  <si>
    <t>A Lift in Time</t>
  </si>
  <si>
    <t>David Bryher</t>
  </si>
  <si>
    <t>IW2.01</t>
  </si>
  <si>
    <t>IW2.02</t>
  </si>
  <si>
    <t>IW2.03</t>
  </si>
  <si>
    <t>IW2.04</t>
  </si>
  <si>
    <t>The Sound of Fear</t>
  </si>
  <si>
    <t>The Land of Wonder</t>
  </si>
  <si>
    <t>The Two Irises</t>
  </si>
  <si>
    <t>The Panda Invasion</t>
  </si>
  <si>
    <t>Iris Wildthyme and the Claws of Santa</t>
  </si>
  <si>
    <t>1-84435-366-8</t>
  </si>
  <si>
    <t>1-84435-367-5</t>
  </si>
  <si>
    <t>1-84435-368-2</t>
  </si>
  <si>
    <t>1-84435-369-9</t>
  </si>
  <si>
    <t>1-84435-443-6</t>
  </si>
  <si>
    <t>IW2.0X</t>
  </si>
  <si>
    <t>The Iris Wildthyme Appreciation Society</t>
  </si>
  <si>
    <t>Iris Rides Out</t>
  </si>
  <si>
    <t>Midwinter Murders</t>
  </si>
  <si>
    <t>IW3.1</t>
  </si>
  <si>
    <t>IW3.2</t>
  </si>
  <si>
    <t>IW3.3</t>
  </si>
  <si>
    <t>1-84435-631-7</t>
  </si>
  <si>
    <t>1.1-5.8 (Looking for a Friend)</t>
  </si>
  <si>
    <t>1.1-10.12 (Another Clockwork Iris)</t>
  </si>
  <si>
    <t>1-4 (The Shape of Things)</t>
  </si>
  <si>
    <t>1-3 (From Wildthyme with Love)</t>
  </si>
  <si>
    <t>The Masterson Inheritance; The Trail of a Time Lord; Past Master; The Ghost in the Machine</t>
  </si>
  <si>
    <t>Weapon of Choice</t>
  </si>
  <si>
    <t>The Inquiry</t>
  </si>
  <si>
    <t>A Blind Eye</t>
  </si>
  <si>
    <t>Lies</t>
  </si>
  <si>
    <t>Spirit</t>
  </si>
  <si>
    <t>Pandora</t>
  </si>
  <si>
    <t>Insurgency</t>
  </si>
  <si>
    <t>Fractures</t>
  </si>
  <si>
    <t>Appropriation</t>
  </si>
  <si>
    <t>Mindbomb</t>
  </si>
  <si>
    <t>Panacea</t>
  </si>
  <si>
    <t>Reborn</t>
  </si>
  <si>
    <t>Disassembled</t>
  </si>
  <si>
    <t>Annihilation</t>
  </si>
  <si>
    <t>Forever</t>
  </si>
  <si>
    <t>Emancipation</t>
  </si>
  <si>
    <t>Arbitration</t>
  </si>
  <si>
    <t>Extermination</t>
  </si>
  <si>
    <t>Renaissance</t>
  </si>
  <si>
    <t>Application; Assessment; Welcome Pack; Termination</t>
  </si>
  <si>
    <t>Time Running Out; Self-Loathing; About Face; The Regeneration of the Universe</t>
  </si>
  <si>
    <t>Embarkation; Excursions; A Port of Call; Arrival</t>
  </si>
  <si>
    <t>Hunted; Enemy in the Dark; The Hidden Soldier; A Boy from the Slime</t>
  </si>
  <si>
    <t>A Friend in Need; A Friend in Deed; With Friends Like These…; Who Needs Enemies</t>
  </si>
  <si>
    <t>The Kraken's Lament</t>
  </si>
  <si>
    <t>The Temple of Questions</t>
  </si>
  <si>
    <t>Private Enemy No. 1</t>
  </si>
  <si>
    <t>Brand Management</t>
  </si>
  <si>
    <t>Bad Habits</t>
  </si>
  <si>
    <t>Paradise Frost</t>
  </si>
  <si>
    <t xml:space="preserve">Vesuvius Falling </t>
  </si>
  <si>
    <t xml:space="preserve">Shades of Gray </t>
  </si>
  <si>
    <t xml:space="preserve">Everybody Loves Irving </t>
  </si>
  <si>
    <t xml:space="preserve">A Handful of Dust </t>
  </si>
  <si>
    <t xml:space="preserve">HMS Surprise </t>
  </si>
  <si>
    <t xml:space="preserve">The Curse of Fenman </t>
  </si>
  <si>
    <t xml:space="preserve">Big Dig </t>
  </si>
  <si>
    <t xml:space="preserve">The Revenant's Carnival </t>
  </si>
  <si>
    <t xml:space="preserve">The Brimstone Kid </t>
  </si>
  <si>
    <t xml:space="preserve">The Winning Side </t>
  </si>
  <si>
    <t xml:space="preserve">In Living Memory </t>
  </si>
  <si>
    <t>The Travelling Carnival; Time to Take the Medicine</t>
  </si>
  <si>
    <t>The Masters of Skaro; Common Enemies</t>
  </si>
  <si>
    <t>Secrets of the Doctor; Catharsis of Spurious Morality</t>
  </si>
  <si>
    <t>The Prisoner in the Tower; Relics of the Past; Different Sides of the Same Coin; The Lessons of History</t>
  </si>
  <si>
    <t>The More Things Change</t>
  </si>
  <si>
    <t>Pulling Strings</t>
  </si>
  <si>
    <t>The Renaissance; Catacombs of Terror; Torture!; Dance of Death</t>
  </si>
  <si>
    <t>The Hitch-hiker's Guide to the Solar System; Testimony of the Comet; The Jovian Terror; Independent Movement</t>
  </si>
  <si>
    <t>Old School Ties; Crystalline Fractures; The Eye of Fear; The King of Kastria</t>
  </si>
  <si>
    <t>Missing Home; Past Deciding; The Natural Order; The Pool of Life</t>
  </si>
  <si>
    <t>Colin Baker, Nicola Bryant</t>
  </si>
  <si>
    <t>The Rocks from Venus</t>
  </si>
  <si>
    <t>TVAHS 1971</t>
  </si>
  <si>
    <t>The Thing from Outer Space!</t>
  </si>
  <si>
    <t>Smash Hit</t>
  </si>
  <si>
    <t>"And For My Next Trick…"</t>
  </si>
  <si>
    <t>TVAHS 1972</t>
  </si>
  <si>
    <t>The One Second Hour</t>
  </si>
  <si>
    <t>TVC HS 1974</t>
  </si>
  <si>
    <t>Signal S.O.S.</t>
  </si>
  <si>
    <t>The Heat-Seekers</t>
  </si>
  <si>
    <t>Andrew Lowes</t>
  </si>
  <si>
    <t>Typhoo Tea</t>
  </si>
  <si>
    <t>Amazing World of DW Story</t>
  </si>
  <si>
    <t>AMW01</t>
  </si>
  <si>
    <t>AMW02</t>
  </si>
  <si>
    <t>The Vampires of Crellium</t>
  </si>
  <si>
    <t>On the Slippery Trail</t>
  </si>
  <si>
    <t>Gaze of the Medusa</t>
  </si>
  <si>
    <t>Titan 4th Doctor Strip</t>
  </si>
  <si>
    <t>The Hell Planet</t>
  </si>
  <si>
    <t>Daily Mirror</t>
  </si>
  <si>
    <t>Newspaper Story</t>
  </si>
  <si>
    <t>The Drosten's Curse</t>
  </si>
  <si>
    <t>A. L. Kennedy</t>
  </si>
  <si>
    <t>Clare Corbett</t>
  </si>
  <si>
    <t>1-84990-826-9</t>
  </si>
  <si>
    <t>The Genesis Chamber</t>
  </si>
  <si>
    <t>The Helm of Awe</t>
  </si>
  <si>
    <t>1-78575-454-8</t>
  </si>
  <si>
    <t>1-78575-456-2</t>
  </si>
  <si>
    <t>1-78178-297-2</t>
  </si>
  <si>
    <t>1-78178-336-8</t>
  </si>
  <si>
    <t>1-78178-337-5</t>
  </si>
  <si>
    <t>1-78178-363-4</t>
  </si>
  <si>
    <t>PHP2</t>
  </si>
  <si>
    <t>PHP3</t>
  </si>
  <si>
    <t>DWWS 1977</t>
  </si>
  <si>
    <t>The Living Wax</t>
  </si>
  <si>
    <t>4DA6.1</t>
  </si>
  <si>
    <t>4DA6.8</t>
  </si>
  <si>
    <t>4DA6.9</t>
  </si>
  <si>
    <t>4DA6.2</t>
  </si>
  <si>
    <t>4DA6.3</t>
  </si>
  <si>
    <t>4DA6.4</t>
  </si>
  <si>
    <t>4DA6.5</t>
  </si>
  <si>
    <t>4DA6.6</t>
  </si>
  <si>
    <t>4DA6.7</t>
  </si>
  <si>
    <t>The Beast of Kravenos</t>
  </si>
  <si>
    <t>The Eternal Battle</t>
  </si>
  <si>
    <t>The Silent Scream</t>
  </si>
  <si>
    <t>Dethras</t>
  </si>
  <si>
    <t>The Haunting of Malkin Place</t>
  </si>
  <si>
    <t>Subterranea</t>
  </si>
  <si>
    <t>The Movellan Grave</t>
  </si>
  <si>
    <t>The Skin of the Sleek</t>
  </si>
  <si>
    <t>The Thief Who Stole Time</t>
  </si>
  <si>
    <t>Litefoot</t>
  </si>
  <si>
    <t>Vastra, Jenny</t>
  </si>
  <si>
    <t>1-78178-709-0</t>
  </si>
  <si>
    <t>1-78178-711-3</t>
  </si>
  <si>
    <t>1-78178-715-1</t>
  </si>
  <si>
    <t>Adrian Poynton</t>
  </si>
  <si>
    <t>1-78178-717-5</t>
  </si>
  <si>
    <t>1-78178-719-9</t>
  </si>
  <si>
    <t>1-78178-721-2</t>
  </si>
  <si>
    <t>1-78178-723-6</t>
  </si>
  <si>
    <t>1-78178-725-0</t>
  </si>
  <si>
    <t>STA6.09</t>
  </si>
  <si>
    <t>A Full Life</t>
  </si>
  <si>
    <t>Matthew Waterhouse</t>
  </si>
  <si>
    <t>1-78575-112-7</t>
  </si>
  <si>
    <t>The Hell Planet, Deep and Dreamless Sleep, The Hopes and Fears of All the Years</t>
  </si>
  <si>
    <t>Titan 3rd Doctor Strip</t>
  </si>
  <si>
    <t>T4DY1 1-5</t>
  </si>
  <si>
    <t>T3DY1 1-5</t>
  </si>
  <si>
    <t>The Heralds of Destruction</t>
  </si>
  <si>
    <t>Christopher Jones</t>
  </si>
  <si>
    <t>The Daleks' Occupation of Earth; Prisoners of the Daleks;The Chase; The Doctor's Masterpan</t>
  </si>
  <si>
    <t>Turn and Face the Stranger; Time Running Wild; Not So Sweet; A Different Man</t>
  </si>
  <si>
    <t>DG</t>
  </si>
  <si>
    <t xml:space="preserve">The Picture of Dorian Gray </t>
  </si>
  <si>
    <t xml:space="preserve">Oscar Wilde, David Llewellyn </t>
  </si>
  <si>
    <t>Dorian Gray</t>
  </si>
  <si>
    <t>Dorian</t>
  </si>
  <si>
    <t>DG2.5</t>
  </si>
  <si>
    <t xml:space="preserve">Running Away with You </t>
  </si>
  <si>
    <t xml:space="preserve">Scott Handcock </t>
  </si>
  <si>
    <t>DG5.1</t>
  </si>
  <si>
    <t xml:space="preserve">One Must Not Look At Mirrors </t>
  </si>
  <si>
    <t xml:space="preserve">Guy Adams </t>
  </si>
  <si>
    <t>DG1.1</t>
  </si>
  <si>
    <t xml:space="preserve">This World Our Hell </t>
  </si>
  <si>
    <t xml:space="preserve">David Llewellyn </t>
  </si>
  <si>
    <t>DG4.5</t>
  </si>
  <si>
    <t xml:space="preserve">Banshee </t>
  </si>
  <si>
    <t xml:space="preserve">Xanna Eve Chown </t>
  </si>
  <si>
    <t xml:space="preserve">Ghosts of Christmas Past </t>
  </si>
  <si>
    <t xml:space="preserve">Tony Lee </t>
  </si>
  <si>
    <t>DG2.4</t>
  </si>
  <si>
    <t xml:space="preserve">The Immortal Game </t>
  </si>
  <si>
    <t xml:space="preserve">Nev Fountain </t>
  </si>
  <si>
    <t>DG5.2</t>
  </si>
  <si>
    <t xml:space="preserve">Angel of War </t>
  </si>
  <si>
    <t xml:space="preserve">Roy Gill </t>
  </si>
  <si>
    <t xml:space="preserve">The Prime of Deacon Brodie </t>
  </si>
  <si>
    <t>DG4.4</t>
  </si>
  <si>
    <t xml:space="preserve">His Dying Breath </t>
  </si>
  <si>
    <t xml:space="preserve">George Mann </t>
  </si>
  <si>
    <t>DG2.3</t>
  </si>
  <si>
    <t xml:space="preserve">Murder on 81st Street </t>
  </si>
  <si>
    <t>DG1.2</t>
  </si>
  <si>
    <t xml:space="preserve">The Houses in Between </t>
  </si>
  <si>
    <t xml:space="preserve">Scott Harrison </t>
  </si>
  <si>
    <t>DG3.X</t>
  </si>
  <si>
    <t xml:space="preserve">Frostbite </t>
  </si>
  <si>
    <t xml:space="preserve">Mark B. Oliver </t>
  </si>
  <si>
    <t>DG5.3</t>
  </si>
  <si>
    <t xml:space="preserve">The Valley of Nightmares </t>
  </si>
  <si>
    <t>DG4.8</t>
  </si>
  <si>
    <t xml:space="preserve">The Living Image </t>
  </si>
  <si>
    <t xml:space="preserve">Matt Fitton </t>
  </si>
  <si>
    <t>DG1.3</t>
  </si>
  <si>
    <t xml:space="preserve">The Twittering of Sparrows </t>
  </si>
  <si>
    <t xml:space="preserve">Gary Russell </t>
  </si>
  <si>
    <t>DG2.2</t>
  </si>
  <si>
    <t xml:space="preserve">The Lord of Misrule </t>
  </si>
  <si>
    <t xml:space="preserve">Simon Barnard </t>
  </si>
  <si>
    <t>DG4.1</t>
  </si>
  <si>
    <t xml:space="preserve">The Enigma of Dorian Gray </t>
  </si>
  <si>
    <t>DG4.2</t>
  </si>
  <si>
    <t xml:space="preserve">Freya </t>
  </si>
  <si>
    <t xml:space="preserve">Sam Stone </t>
  </si>
  <si>
    <t>DG4.6</t>
  </si>
  <si>
    <t xml:space="preserve">The Abysmal Sea </t>
  </si>
  <si>
    <t>DG1.4</t>
  </si>
  <si>
    <t xml:space="preserve">The Heart that Lives Alone </t>
  </si>
  <si>
    <t>DG3.Y</t>
  </si>
  <si>
    <t xml:space="preserve">Trick or Treat </t>
  </si>
  <si>
    <t>DG4.3</t>
  </si>
  <si>
    <t xml:space="preserve">Human Remains </t>
  </si>
  <si>
    <t xml:space="preserve">James Goss </t>
  </si>
  <si>
    <t xml:space="preserve">The Mayfair Monster </t>
  </si>
  <si>
    <t xml:space="preserve">Alexander Vlahos, Jolyon Westhorpe </t>
  </si>
  <si>
    <t>DG1.5</t>
  </si>
  <si>
    <t xml:space="preserve">The Fallen King of Britain </t>
  </si>
  <si>
    <t xml:space="preserve">Joseph Lidster </t>
  </si>
  <si>
    <t>DG4.7</t>
  </si>
  <si>
    <t xml:space="preserve">Inner Darkness </t>
  </si>
  <si>
    <t>DG2.1</t>
  </si>
  <si>
    <t xml:space="preserve">The Picture of Loretta Delphine </t>
  </si>
  <si>
    <t>DG3.1</t>
  </si>
  <si>
    <t xml:space="preserve">Blank Canvas </t>
  </si>
  <si>
    <t>DG3.2</t>
  </si>
  <si>
    <t xml:space="preserve">The Needle </t>
  </si>
  <si>
    <t>DG3.3</t>
  </si>
  <si>
    <t xml:space="preserve">We Are Everywhere </t>
  </si>
  <si>
    <t>DG3.4</t>
  </si>
  <si>
    <t xml:space="preserve">Echoes </t>
  </si>
  <si>
    <t>DG3.5</t>
  </si>
  <si>
    <t xml:space="preserve">Pandora </t>
  </si>
  <si>
    <t>DG3.6</t>
  </si>
  <si>
    <t xml:space="preserve">Heart and Soul </t>
  </si>
  <si>
    <t xml:space="preserve">Cavan Scott </t>
  </si>
  <si>
    <t>DG3.7</t>
  </si>
  <si>
    <t xml:space="preserve">Displacement Activity </t>
  </si>
  <si>
    <t>DG3.8</t>
  </si>
  <si>
    <t xml:space="preserve">The Darkest Hour </t>
  </si>
  <si>
    <t>DG4.X</t>
  </si>
  <si>
    <t xml:space="preserve">Desperately Seeking Santa </t>
  </si>
  <si>
    <t xml:space="preserve">Tim Leng </t>
  </si>
  <si>
    <t>DG4.Y</t>
  </si>
  <si>
    <t xml:space="preserve">All Through the House </t>
  </si>
  <si>
    <t xml:space="preserve">Alan Flanagan </t>
  </si>
  <si>
    <t>DG5.4</t>
  </si>
  <si>
    <t xml:space="preserve">Ever After </t>
  </si>
  <si>
    <t>The Adventure of the Bloomsbury Bomber</t>
  </si>
  <si>
    <t>The Feast of Magog</t>
  </si>
  <si>
    <t>SH</t>
  </si>
  <si>
    <t>Sherlock</t>
  </si>
  <si>
    <t xml:space="preserve">1-78575-328-2 </t>
  </si>
  <si>
    <t>1-78178-571-3</t>
  </si>
  <si>
    <t xml:space="preserve">1-78178-569-0 </t>
  </si>
  <si>
    <t xml:space="preserve">1-78575-236-0 </t>
  </si>
  <si>
    <t xml:space="preserve">1-78575-237-7 </t>
  </si>
  <si>
    <t xml:space="preserve">1-78178-384-9 </t>
  </si>
  <si>
    <t>DGX3</t>
  </si>
  <si>
    <t xml:space="preserve">1-78575-087-8 </t>
  </si>
  <si>
    <t xml:space="preserve">1-78575-086-1 </t>
  </si>
  <si>
    <t>DGX2</t>
  </si>
  <si>
    <t xml:space="preserve">1-78178-279-8 </t>
  </si>
  <si>
    <t>DG0</t>
  </si>
  <si>
    <t xml:space="preserve">1-78575-085-4 </t>
  </si>
  <si>
    <t xml:space="preserve">1-78575-084-7 </t>
  </si>
  <si>
    <t>1-78575-083-0</t>
  </si>
  <si>
    <t xml:space="preserve">1-78575-082-3 </t>
  </si>
  <si>
    <t xml:space="preserve">1-78575-081-6 </t>
  </si>
  <si>
    <t xml:space="preserve">1-78178-154-8 </t>
  </si>
  <si>
    <t>DGX1</t>
  </si>
  <si>
    <t xml:space="preserve">1-78178-153-1 </t>
  </si>
  <si>
    <t xml:space="preserve">1-78178-152-4 </t>
  </si>
  <si>
    <t xml:space="preserve">1-78178-151-7 </t>
  </si>
  <si>
    <t xml:space="preserve">1-78178-150-0 </t>
  </si>
  <si>
    <t xml:space="preserve">1-78178-149-4 </t>
  </si>
  <si>
    <t>1-6 (The Phantom Wreck)</t>
  </si>
  <si>
    <t>Off the Shelf; An Uncharitable Deduction; Out of Sight, Out of Mind; Carbon Copies; Gallifrey's Most Wanted; Brought to Book</t>
  </si>
  <si>
    <t>WoBF2</t>
  </si>
  <si>
    <t>WoBF3</t>
  </si>
  <si>
    <t>April; May; June; July; August</t>
  </si>
  <si>
    <t>Moldox; Gallifrey; Into the Eye</t>
  </si>
  <si>
    <t>Series Title</t>
  </si>
  <si>
    <t>Turbulence</t>
  </si>
  <si>
    <t>Wearing a Bit Thin</t>
  </si>
  <si>
    <t>Renewal</t>
  </si>
  <si>
    <t>Monstrous Encounters</t>
  </si>
  <si>
    <t>Running out of Time</t>
  </si>
  <si>
    <t>Flight Through Eternity</t>
  </si>
  <si>
    <t>Wanderers in the Fourth Dimension</t>
  </si>
  <si>
    <t>A Second Chance</t>
  </si>
  <si>
    <t>Exiled to Earth</t>
  </si>
  <si>
    <t>Enter: The Master</t>
  </si>
  <si>
    <t>UNITed We Stand</t>
  </si>
  <si>
    <t>Citizen of the Universe</t>
  </si>
  <si>
    <t>Facing Fears</t>
  </si>
  <si>
    <t>Bohemian Rhapsody</t>
  </si>
  <si>
    <t>Gothic</t>
  </si>
  <si>
    <t>Savagery</t>
  </si>
  <si>
    <t>The Lighter Touch</t>
  </si>
  <si>
    <t>The Key to Time</t>
  </si>
  <si>
    <t>The Time-Traveller’s Guide to the Galaxy</t>
  </si>
  <si>
    <t>Change and Decay</t>
  </si>
  <si>
    <t>Mortal Reminders</t>
  </si>
  <si>
    <t>Old Ghosts</t>
  </si>
  <si>
    <t>Violent Times</t>
  </si>
  <si>
    <t>Instability</t>
  </si>
  <si>
    <t>Development</t>
  </si>
  <si>
    <t>Meeting His Match</t>
  </si>
  <si>
    <t>Carrot Juice</t>
  </si>
  <si>
    <t>Clowning Around</t>
  </si>
  <si>
    <t>Reflections of Darkness</t>
  </si>
  <si>
    <t>Journey's End</t>
  </si>
  <si>
    <t>The Trip of a Lifetime</t>
  </si>
  <si>
    <t>The Lonely Gods</t>
  </si>
  <si>
    <t>The Measure of a Man</t>
  </si>
  <si>
    <t>Lost Horizons</t>
  </si>
  <si>
    <t>Days of Auld Lang Syne</t>
  </si>
  <si>
    <t>Rage Against the Dying of the Light</t>
  </si>
  <si>
    <t>The Deep Midwinter</t>
  </si>
  <si>
    <t>Breakups</t>
  </si>
  <si>
    <t>A Good Man</t>
  </si>
  <si>
    <t>Song for a Winter's Night</t>
  </si>
  <si>
    <t>Deserts of Vast Eternity</t>
  </si>
  <si>
    <t>First Class</t>
  </si>
  <si>
    <t>A Life of Adventure</t>
  </si>
  <si>
    <t>Miracle Day</t>
  </si>
  <si>
    <t>Aliens Among Us</t>
  </si>
  <si>
    <t>TW5</t>
  </si>
  <si>
    <t>The Circle Game</t>
  </si>
  <si>
    <t>All Our Yesterdays</t>
  </si>
  <si>
    <t>All Fall Down</t>
  </si>
  <si>
    <t>Family Matters</t>
  </si>
  <si>
    <t>The Scurf of Yesterday</t>
  </si>
  <si>
    <t>New Beginnings</t>
  </si>
  <si>
    <t>Little Deaths</t>
  </si>
  <si>
    <t>BBCCL01</t>
  </si>
  <si>
    <t>Joyride</t>
  </si>
  <si>
    <t>1-78594-186-0</t>
  </si>
  <si>
    <t>BBCCL02</t>
  </si>
  <si>
    <t>BBCCL03</t>
  </si>
  <si>
    <t>The Stone House</t>
  </si>
  <si>
    <t>What She Does Next Will Astound You</t>
  </si>
  <si>
    <t>A.K. Benedict</t>
  </si>
  <si>
    <t>1-78594-187-9</t>
  </si>
  <si>
    <t>1-78594-188-7</t>
  </si>
  <si>
    <t>T12DY3 1, 3-4</t>
  </si>
  <si>
    <t>T12DY3 5-7</t>
  </si>
  <si>
    <t>The Wolves of Winter</t>
  </si>
  <si>
    <t>DWM 512-514</t>
  </si>
  <si>
    <t>DWM 515-517</t>
  </si>
  <si>
    <t>The Parliament of Fear</t>
  </si>
  <si>
    <t>Staz Johnson, Mike Collins, David A. Roach</t>
  </si>
  <si>
    <t>DWM 518</t>
  </si>
  <si>
    <t>Matildus</t>
  </si>
  <si>
    <t>Peter Ware</t>
  </si>
  <si>
    <t>Loose in the Lane</t>
  </si>
  <si>
    <t>I Am the Doctor</t>
  </si>
  <si>
    <t>The Lost Dimension</t>
  </si>
  <si>
    <t>The Last Action Figure</t>
  </si>
  <si>
    <t>Ann 2018</t>
  </si>
  <si>
    <t>9-11</t>
  </si>
  <si>
    <t>Many</t>
  </si>
  <si>
    <t>TLD1-8</t>
  </si>
  <si>
    <t>Rachael Stott, Cris Bolson, Pasquale Qualano, Elton Thomasi, Klebs Jr, JB Bastos</t>
  </si>
  <si>
    <t>Andrew James, Lauren Bowes, Amoona Saohin</t>
  </si>
  <si>
    <t>Missy Loves Ghostie</t>
  </si>
  <si>
    <t>The Lost Flame</t>
  </si>
  <si>
    <t>NSAA29</t>
  </si>
  <si>
    <t>1-78529-697-0</t>
  </si>
  <si>
    <t>All I Want for Christmas</t>
  </si>
  <si>
    <t>1-4059-2895-3</t>
  </si>
  <si>
    <t>Nick Harris</t>
  </si>
  <si>
    <t>CC11.02</t>
  </si>
  <si>
    <t>Across the Darkened City</t>
  </si>
  <si>
    <t>Helen Goldwyn, Lisa Bowerman</t>
  </si>
  <si>
    <t>Peter Purves, Nicholas Briggs</t>
  </si>
  <si>
    <t>1-78703-007-7</t>
  </si>
  <si>
    <t>Journey into Night; The Chaons</t>
  </si>
  <si>
    <t>Honour of the Sontarans; The Portal to Armageddon</t>
  </si>
  <si>
    <t>Brightest Day; Blackest Night</t>
  </si>
  <si>
    <t>TNAoBS4.1</t>
  </si>
  <si>
    <t>TNAoBS4.2</t>
  </si>
  <si>
    <t>TNAoBS4.3</t>
  </si>
  <si>
    <t>TNAoBS4.4</t>
  </si>
  <si>
    <t>The City and the Clock</t>
  </si>
  <si>
    <t xml:space="preserve">1-78703-250-7 </t>
  </si>
  <si>
    <t>Asking for a Friend</t>
  </si>
  <si>
    <t>Truant</t>
  </si>
  <si>
    <t>The True Saviour of the Universe</t>
  </si>
  <si>
    <t>The Onset of Winter</t>
  </si>
  <si>
    <t>Something Missing</t>
  </si>
  <si>
    <t>TWD3.1</t>
  </si>
  <si>
    <t>TWD3.2</t>
  </si>
  <si>
    <t>TWD3.3</t>
  </si>
  <si>
    <t>TWD4.1</t>
  </si>
  <si>
    <t>TWD4.2</t>
  </si>
  <si>
    <t>TWD4.3</t>
  </si>
  <si>
    <t>Agents of Chaos: The Shadow Vortex</t>
  </si>
  <si>
    <t>Agents of Chaos: The Eternity Cage</t>
  </si>
  <si>
    <t>Agents of Chaos: Eye of Harmony</t>
  </si>
  <si>
    <t xml:space="preserve">1-78575-191-2 </t>
  </si>
  <si>
    <t xml:space="preserve">1-78575-193-6 </t>
  </si>
  <si>
    <t>Pretty Lies</t>
  </si>
  <si>
    <t>The Lady of Obsidian</t>
  </si>
  <si>
    <t>The Enigma Dimension</t>
  </si>
  <si>
    <t>The Shadow Vortex</t>
  </si>
  <si>
    <t>The Eternity Cage</t>
  </si>
  <si>
    <t>Eye of Harmony</t>
  </si>
  <si>
    <t>Casualties of War: Pretty Lies</t>
  </si>
  <si>
    <t>Casualties of War: The Lady of Obsidian</t>
  </si>
  <si>
    <t>Casualties of War: The Enigma Dimension</t>
  </si>
  <si>
    <t>Doctor No More</t>
  </si>
  <si>
    <t>Dark Eyes</t>
  </si>
  <si>
    <t>Doom Coalition</t>
  </si>
  <si>
    <t>Found</t>
  </si>
  <si>
    <t>Lost</t>
  </si>
  <si>
    <t>Witness Protection</t>
  </si>
  <si>
    <t>All True</t>
  </si>
  <si>
    <t>Time Out of Joint</t>
  </si>
  <si>
    <t>A New Universe</t>
  </si>
  <si>
    <t>War in Heaven</t>
  </si>
  <si>
    <t>History at an Angle</t>
  </si>
  <si>
    <t>Who?</t>
  </si>
  <si>
    <t>The Perfect Companion</t>
  </si>
  <si>
    <t>A New Dynamic</t>
  </si>
  <si>
    <t>Finding Our Way</t>
  </si>
  <si>
    <t>Beautiful Freaks</t>
  </si>
  <si>
    <t>Between Disasters</t>
  </si>
  <si>
    <t>Mary, Mary</t>
  </si>
  <si>
    <t>Anomalies</t>
  </si>
  <si>
    <t>Coming Home</t>
  </si>
  <si>
    <t>Stark Reality</t>
  </si>
  <si>
    <t>Alone Again</t>
  </si>
  <si>
    <t>Lady of Traken</t>
  </si>
  <si>
    <t>Time of the Pharoah</t>
  </si>
  <si>
    <t>Tracers</t>
  </si>
  <si>
    <t>Postponing the Inevitable</t>
  </si>
  <si>
    <t>Time Hunter</t>
  </si>
  <si>
    <t>Countermeasures</t>
  </si>
  <si>
    <t>Growing Pains</t>
  </si>
  <si>
    <t>The New Boy</t>
  </si>
  <si>
    <t>The Story of Hex</t>
  </si>
  <si>
    <t>Time's Cradle</t>
  </si>
  <si>
    <t>Difficult People</t>
  </si>
  <si>
    <t>And Then There Were Three</t>
  </si>
  <si>
    <t>Unhappy Endings</t>
  </si>
  <si>
    <t>Loose Ends</t>
  </si>
  <si>
    <t>The End of Time's Champion</t>
  </si>
  <si>
    <t>Unbound</t>
  </si>
  <si>
    <t>Sweet Ladies</t>
  </si>
  <si>
    <t>Justyce Served</t>
  </si>
  <si>
    <t>The Dead Men Diaries</t>
  </si>
  <si>
    <t>A Life of Surprises</t>
  </si>
  <si>
    <t>Life During Wartime</t>
  </si>
  <si>
    <t>A Life Worth Living</t>
  </si>
  <si>
    <t>Collected Works</t>
  </si>
  <si>
    <t>Nobody's Children</t>
  </si>
  <si>
    <t>Secret Histories</t>
  </si>
  <si>
    <t>A Practical Guide to Archaeology for Beginners</t>
  </si>
  <si>
    <t>Gallifray</t>
  </si>
  <si>
    <t>Parallels</t>
  </si>
  <si>
    <t>The Eve of War</t>
  </si>
  <si>
    <t>The Book of Tomorrows</t>
  </si>
  <si>
    <t>IW of Mars: Wandering Stars</t>
  </si>
  <si>
    <t>IW of Mars: Lieut. Gullivar Jones: His Bad Weekend</t>
  </si>
  <si>
    <t>IW of Mars: Chess-Mistress of Mars</t>
  </si>
  <si>
    <t>IW of Mars: Death on the Euphrates</t>
  </si>
  <si>
    <t>IW of Mars: And a Dog to Walk</t>
  </si>
  <si>
    <t>IW of Mars: Talking with Spores</t>
  </si>
  <si>
    <t>IW of Mars: Doomed</t>
  </si>
  <si>
    <t>IW of Mars: The Last Martian</t>
  </si>
  <si>
    <t>IW of Mars: Lilac Mars</t>
  </si>
  <si>
    <t>IW of Mars: City of Dust</t>
  </si>
  <si>
    <t>IW of Mars: The Calamari-Men of Mare Cimmerium</t>
  </si>
  <si>
    <t>IW of Mars: Green Mars Blues</t>
  </si>
  <si>
    <t>The Celestial Omnibus</t>
  </si>
  <si>
    <t>Iris Abroad</t>
  </si>
  <si>
    <t>The Perennial Miss Wildthyme</t>
  </si>
  <si>
    <t>Elsewhere in the Universe</t>
  </si>
  <si>
    <t>Educating Leela</t>
  </si>
  <si>
    <t>Nest Cottage</t>
  </si>
  <si>
    <t>Running Out the Clock</t>
  </si>
  <si>
    <t>Future History</t>
  </si>
  <si>
    <t>Alternatives</t>
  </si>
  <si>
    <t>St. Oscar's</t>
  </si>
  <si>
    <t>Job Satisfaction</t>
  </si>
  <si>
    <t>A Farewell to Dellah</t>
  </si>
  <si>
    <t>The Dalek Chronicles</t>
  </si>
  <si>
    <t>Work to Do</t>
  </si>
  <si>
    <t>Present Danger</t>
  </si>
  <si>
    <t>Epoch</t>
  </si>
  <si>
    <t>Legion</t>
  </si>
  <si>
    <t>Road Trip</t>
  </si>
  <si>
    <t>New Frontiers</t>
  </si>
  <si>
    <t>Missing Persons</t>
  </si>
  <si>
    <t>The Triumph of Sutekh</t>
  </si>
  <si>
    <t>Missing Adventures</t>
  </si>
  <si>
    <t>Unknowns</t>
  </si>
  <si>
    <t>The Monster Files</t>
  </si>
  <si>
    <t>Unspoken; Natural Born Killers</t>
  </si>
  <si>
    <t>Hospice Care; The Hollow Man</t>
  </si>
  <si>
    <t>The Breath of Forever; Infinite Warriors</t>
  </si>
  <si>
    <t>Infernal Investigations</t>
  </si>
  <si>
    <t>UNIT Conversions</t>
  </si>
  <si>
    <t>Imagination; The Point of Stillness</t>
  </si>
  <si>
    <t>1.1-4.4 (The Ruler of the Universe)</t>
  </si>
  <si>
    <t>PDA80</t>
  </si>
  <si>
    <t>Security Consultants; Crash Site Investigation; The Entropy Clock; Cause or Just Impediment</t>
  </si>
  <si>
    <t>The Edifice Beneath the Water; The Stone Robot; Prosecution and Defence; The Escapees</t>
  </si>
  <si>
    <t>Shore Leave; Hunter and Prey</t>
  </si>
  <si>
    <t>Booked Out; A Storybook Ending</t>
  </si>
  <si>
    <t>Regicide; Dynastic Manoeuvres in the Dark; Let's Do the Mind Warp Again; The Body Politic</t>
  </si>
  <si>
    <t>=P</t>
  </si>
  <si>
    <t>c</t>
  </si>
  <si>
    <t>Dead Air</t>
  </si>
  <si>
    <t>David Tennant</t>
  </si>
  <si>
    <t>1-4084-2680-7</t>
  </si>
  <si>
    <t>NSAA12</t>
  </si>
  <si>
    <t>1967, 1969</t>
  </si>
  <si>
    <t>U; 3 missing</t>
  </si>
  <si>
    <t>U; 1, 4 animated</t>
  </si>
  <si>
    <t>U2</t>
  </si>
  <si>
    <t>Uc</t>
  </si>
  <si>
    <t>U5</t>
  </si>
  <si>
    <t>U6</t>
  </si>
  <si>
    <t>Academic Excellence; The Nutty Professor; Student Body; Moral Philosophy</t>
  </si>
  <si>
    <t>Shadows and Light; The Magic Lantern Show</t>
  </si>
  <si>
    <t>The Replacements; National Security; Former Lives; Choosing Sides</t>
  </si>
  <si>
    <t>Funeral for a Friend; Cause of Death; The Prime Designate; The Perfect Society</t>
  </si>
  <si>
    <t>The Grand Hotel; Awaiting Evacuation; Jungle Madness; Fear the Reaper</t>
  </si>
  <si>
    <t>Spacio-Temporal Phenomena; Two Sides of the Law; Secret Identity; Stattenheim</t>
  </si>
  <si>
    <t>The Dead Colony; Invasion Force; We Will Survive; The New Model Army</t>
  </si>
  <si>
    <t>Hiatus</t>
  </si>
  <si>
    <t>The Resurrection Men; Ghost Hunters; The Link; A Medical Wonder; The Great King; The Corona's Choice</t>
  </si>
  <si>
    <t>The Champion and the Challenger; The Teacher and the Pupil</t>
  </si>
  <si>
    <t>Uninvited Guests; Late Arrivals</t>
  </si>
  <si>
    <t>The Three Sisters; Martyrdom</t>
  </si>
  <si>
    <t>The Asteroid; Love and Rockets</t>
  </si>
  <si>
    <t>Scientific Advisors; Rifts; The Umbrella Man; The Doctor's Masterplan</t>
  </si>
  <si>
    <t>The Beacon Builders; The Opening of the Way</t>
  </si>
  <si>
    <t>Breaktime; Established Time</t>
  </si>
  <si>
    <t>Time Revised; Time Revisited</t>
  </si>
  <si>
    <t>The Horror of Coal Hill</t>
  </si>
  <si>
    <t>1DA1.1</t>
  </si>
  <si>
    <t>The Destination Wars</t>
  </si>
  <si>
    <t>1-78703-452-5</t>
  </si>
  <si>
    <t>1st Doctor Adventure</t>
  </si>
  <si>
    <t>Journey to the Future; The Father of Invention; The Destination Wars; Prisoners of Time</t>
  </si>
  <si>
    <t>1DA1.2</t>
  </si>
  <si>
    <t>The Great White Hurricane</t>
  </si>
  <si>
    <t>The Coming Storm; The Frozen City; The Killer in the Snow; The River of Doom</t>
  </si>
  <si>
    <t>CC11.01</t>
  </si>
  <si>
    <t>Fields of Terror</t>
  </si>
  <si>
    <t>Maureen O'Brien, Robert Hands</t>
  </si>
  <si>
    <t>The Column from Hell; The Darkened Road</t>
  </si>
  <si>
    <t>M&amp;L6</t>
  </si>
  <si>
    <t>The Vardon Horse</t>
  </si>
  <si>
    <t>1-78594-249-5</t>
  </si>
  <si>
    <t>Myth &amp; Legend</t>
  </si>
  <si>
    <t>M&amp;L01</t>
  </si>
  <si>
    <t>The Mondas Touch</t>
  </si>
  <si>
    <t>The Terrible Manussa</t>
  </si>
  <si>
    <t>M&amp;L02</t>
  </si>
  <si>
    <t>M&amp;L03</t>
  </si>
  <si>
    <t>The Unwanted Gift of Prophesy</t>
  </si>
  <si>
    <t>M&amp;L04</t>
  </si>
  <si>
    <t>The Evil and the Deep Black Sky</t>
  </si>
  <si>
    <t>M&amp;L05</t>
  </si>
  <si>
    <t>Jorus and the Voganauts</t>
  </si>
  <si>
    <t>Defiance of the New Bloods</t>
  </si>
  <si>
    <t>M&amp;L07</t>
  </si>
  <si>
    <t>M&amp;L08</t>
  </si>
  <si>
    <t>M&amp;L09</t>
  </si>
  <si>
    <t>The Labyrinthine Web</t>
  </si>
  <si>
    <t>M&amp;L10</t>
  </si>
  <si>
    <t>The Angels of Vengeance</t>
  </si>
  <si>
    <t>M&amp;L11</t>
  </si>
  <si>
    <t>The Multi-Faceted War</t>
  </si>
  <si>
    <t>The Jeopardy of Solar Proximity</t>
  </si>
  <si>
    <t>M&amp;L12</t>
  </si>
  <si>
    <t>M&amp;L13</t>
  </si>
  <si>
    <t>The Enigma of Sisterhood</t>
  </si>
  <si>
    <t>M&amp;L14</t>
  </si>
  <si>
    <t>Pandoric's Box</t>
  </si>
  <si>
    <t>1-14 (Pandoric's Box)</t>
  </si>
  <si>
    <t>Helmstone</t>
  </si>
  <si>
    <t>Tony Jones</t>
  </si>
  <si>
    <t>O Tannenbaum</t>
  </si>
  <si>
    <t>1-78575-127-1</t>
  </si>
  <si>
    <t>CC11.03</t>
  </si>
  <si>
    <t>The Bonfires of the Vanities</t>
  </si>
  <si>
    <t>Anneke Wills, Elliot Chapman</t>
  </si>
  <si>
    <t>CC11.04</t>
  </si>
  <si>
    <t>The Plague of Dreams</t>
  </si>
  <si>
    <t>STA7.05</t>
  </si>
  <si>
    <t>Falling</t>
  </si>
  <si>
    <t>1-78575-120-2</t>
  </si>
  <si>
    <t>ToT01</t>
  </si>
  <si>
    <t>Murder in the Dark</t>
  </si>
  <si>
    <t>Rohan Eason</t>
  </si>
  <si>
    <t>David Bailie</t>
  </si>
  <si>
    <t>Tale of Terror</t>
  </si>
  <si>
    <t>1-40593-003-1</t>
  </si>
  <si>
    <t>ToT02</t>
  </si>
  <si>
    <t>Something at the Door</t>
  </si>
  <si>
    <t>Rachael Stirling</t>
  </si>
  <si>
    <t>ToT06</t>
  </si>
  <si>
    <t>Trick or Treat</t>
  </si>
  <si>
    <t>ToT03</t>
  </si>
  <si>
    <t>The Monster in the Woods</t>
  </si>
  <si>
    <t>Derek Jacobi</t>
  </si>
  <si>
    <t>ToT04</t>
  </si>
  <si>
    <t>Toil and Trouble</t>
  </si>
  <si>
    <t>Adjoa Andoh</t>
  </si>
  <si>
    <t>ToT05</t>
  </si>
  <si>
    <t>Mark of the Medusa</t>
  </si>
  <si>
    <t>ToT07</t>
  </si>
  <si>
    <t>The Living Image</t>
  </si>
  <si>
    <t>ToT08</t>
  </si>
  <si>
    <t>Organism 96</t>
  </si>
  <si>
    <t>ToT09</t>
  </si>
  <si>
    <t>The Patchwork Pierrot</t>
  </si>
  <si>
    <t>ToT10</t>
  </si>
  <si>
    <t>Blood Will Out</t>
  </si>
  <si>
    <t>ToT11</t>
  </si>
  <si>
    <t>The Mist of Sorrow</t>
  </si>
  <si>
    <t>ToT12</t>
  </si>
  <si>
    <t>Baby Sleepy Face</t>
  </si>
  <si>
    <t>1-12 (Baby Sleepy Face)</t>
  </si>
  <si>
    <t>EA4.1</t>
  </si>
  <si>
    <t>The Night Witches</t>
  </si>
  <si>
    <t>Roland Moore</t>
  </si>
  <si>
    <t>Helen Goldwyn</t>
  </si>
  <si>
    <t>1-78178-952-0</t>
  </si>
  <si>
    <t>EA4.2</t>
  </si>
  <si>
    <t>The Outliers</t>
  </si>
  <si>
    <t>1-78178-954-4</t>
  </si>
  <si>
    <t>EA4.3</t>
  </si>
  <si>
    <t>The Morton Legacy</t>
  </si>
  <si>
    <t>1-78178-956-8</t>
  </si>
  <si>
    <t>EA4.4</t>
  </si>
  <si>
    <t>The Wreck of the World</t>
  </si>
  <si>
    <t>Timothy X Atack</t>
  </si>
  <si>
    <t>1-78178-958-2</t>
  </si>
  <si>
    <t>The Horror of Hy-Brasil</t>
  </si>
  <si>
    <t>Russell McGee</t>
  </si>
  <si>
    <t>STA7.08</t>
  </si>
  <si>
    <t>The British Invasion</t>
  </si>
  <si>
    <t>1-78575-123-3</t>
  </si>
  <si>
    <t>3DA3.2</t>
  </si>
  <si>
    <t>Storm of the Horofax</t>
  </si>
  <si>
    <t>1-78575-752-5</t>
  </si>
  <si>
    <t>3DA3.1</t>
  </si>
  <si>
    <t>The Conquest of Far</t>
  </si>
  <si>
    <t>7.X</t>
  </si>
  <si>
    <t>STA7.X</t>
  </si>
  <si>
    <t>Landbound</t>
  </si>
  <si>
    <t>Selim Ulug</t>
  </si>
  <si>
    <t>1-78703-528-7</t>
  </si>
  <si>
    <t>Collector's Item</t>
  </si>
  <si>
    <t>Paul J Salamoff</t>
  </si>
  <si>
    <t>STA7.06</t>
  </si>
  <si>
    <t>How to Win Planets and Influence People</t>
  </si>
  <si>
    <t>1-78575-118-9</t>
  </si>
  <si>
    <t>CDNM2.1</t>
  </si>
  <si>
    <t>Night of the Vashta Nerada</t>
  </si>
  <si>
    <t>1-78575-427-2</t>
  </si>
  <si>
    <t>The Krikkitmen</t>
  </si>
  <si>
    <t>0-425-28391-2</t>
  </si>
  <si>
    <t>PDA81</t>
  </si>
  <si>
    <t>The Thing from the Sea</t>
  </si>
  <si>
    <t>Susan Jameson</t>
  </si>
  <si>
    <t>1-78529-981-0</t>
  </si>
  <si>
    <t>BBC Audio Adventure</t>
  </si>
  <si>
    <t>Mrs Wibbsey</t>
  </si>
  <si>
    <t>The Ingenious Gentleman Adric of Alzarius</t>
  </si>
  <si>
    <t>1-78575-125-7</t>
  </si>
  <si>
    <t>TDoRS3.1</t>
  </si>
  <si>
    <t>The Lady in the Lake</t>
  </si>
  <si>
    <t>1-78703-493-8</t>
  </si>
  <si>
    <t>TDoRS3.2</t>
  </si>
  <si>
    <t>TDoRS3.3</t>
  </si>
  <si>
    <t>TDoRS3.4</t>
  </si>
  <si>
    <t>My Dinner with Andrew</t>
  </si>
  <si>
    <t>The Furies</t>
  </si>
  <si>
    <t>A Requiem for the Doctor</t>
  </si>
  <si>
    <t>STA6.01</t>
  </si>
  <si>
    <t>Gardens of the Dead</t>
  </si>
  <si>
    <t>Mark Strickson</t>
  </si>
  <si>
    <t>1-78575-104-2</t>
  </si>
  <si>
    <t>The Monkey House</t>
  </si>
  <si>
    <t>Nic Ford</t>
  </si>
  <si>
    <t>The Star Men</t>
  </si>
  <si>
    <t>The Contingency Club</t>
  </si>
  <si>
    <t>Zaltys</t>
  </si>
  <si>
    <t>Kingdom of Lies</t>
  </si>
  <si>
    <t>Ghost Walk</t>
  </si>
  <si>
    <t>1-78178-791-5</t>
  </si>
  <si>
    <t>1-78178-793-9</t>
  </si>
  <si>
    <t>1-78178-795-3</t>
  </si>
  <si>
    <t>Alien Heart</t>
  </si>
  <si>
    <t>Dalek Soul</t>
  </si>
  <si>
    <t>1-78178-797-7</t>
  </si>
  <si>
    <t>1-78178-817-2</t>
  </si>
  <si>
    <t>1-78178-819-6</t>
  </si>
  <si>
    <t>CDNM2.2</t>
  </si>
  <si>
    <t>Empire of the Racnoss</t>
  </si>
  <si>
    <t>Radio Times Story</t>
  </si>
  <si>
    <t>Birth of a Renegade, Strip 1-5 (Coda)</t>
  </si>
  <si>
    <t>Birth of a Renegade</t>
  </si>
  <si>
    <t>Mark Thomas</t>
  </si>
  <si>
    <t>RT 1983</t>
  </si>
  <si>
    <t>RT 1973</t>
  </si>
  <si>
    <t>We are the Daleks!</t>
  </si>
  <si>
    <t>Time in Office</t>
  </si>
  <si>
    <t>1-78178-805-9</t>
  </si>
  <si>
    <t>1-78178-895-0</t>
  </si>
  <si>
    <t>The Memory Bank</t>
  </si>
  <si>
    <t>The Last Fairy Tale</t>
  </si>
  <si>
    <t>Repeat Offender</t>
  </si>
  <si>
    <t>The Becoming</t>
  </si>
  <si>
    <t>Chris Chapman</t>
  </si>
  <si>
    <t>STA6:10</t>
  </si>
  <si>
    <t>Rulebook</t>
  </si>
  <si>
    <t>1-78575-113-4</t>
  </si>
  <si>
    <t>STA6:02</t>
  </si>
  <si>
    <t>Prime Winner</t>
  </si>
  <si>
    <t>STA8:01</t>
  </si>
  <si>
    <t>The Authentic Experience</t>
  </si>
  <si>
    <t>1-78575-105-9</t>
  </si>
  <si>
    <t>1-78575-994-9</t>
  </si>
  <si>
    <t>Revellers of Doom</t>
  </si>
  <si>
    <t>TDoRS2.3</t>
  </si>
  <si>
    <t>World Enough and Time</t>
  </si>
  <si>
    <t>1-78575-425-8</t>
  </si>
  <si>
    <t>1-78178-799-1</t>
  </si>
  <si>
    <t>Vortex Ice</t>
  </si>
  <si>
    <t>Cortex Fire</t>
  </si>
  <si>
    <t>CDNM2.3</t>
  </si>
  <si>
    <t>The Carrionite Curse</t>
  </si>
  <si>
    <t>Order of the Daleks</t>
  </si>
  <si>
    <t>1-78178-897-4</t>
  </si>
  <si>
    <t>Absolute Power</t>
  </si>
  <si>
    <t>Quicksilver</t>
  </si>
  <si>
    <t>The Behemoth</t>
  </si>
  <si>
    <t>The Middle</t>
  </si>
  <si>
    <t>Static</t>
  </si>
  <si>
    <t>1-78178-899-8</t>
  </si>
  <si>
    <t>1-78178-901-8</t>
  </si>
  <si>
    <t>1-78178-813-4</t>
  </si>
  <si>
    <t>1-78178-815-8</t>
  </si>
  <si>
    <t>Intuition</t>
  </si>
  <si>
    <t>1-78703-497-6</t>
  </si>
  <si>
    <t>STA8:02</t>
  </si>
  <si>
    <t>Mel-evolent</t>
  </si>
  <si>
    <t>Bonnie Langford</t>
  </si>
  <si>
    <t>1-78575-995-6</t>
  </si>
  <si>
    <t>The Best of Days</t>
  </si>
  <si>
    <t>STA5:07</t>
  </si>
  <si>
    <t>Dark Convoy</t>
  </si>
  <si>
    <t>1-78178-398-6</t>
  </si>
  <si>
    <t>Scream of the Silent</t>
  </si>
  <si>
    <t>unknown</t>
  </si>
  <si>
    <t>DWMS25</t>
  </si>
  <si>
    <t>Living in the Past</t>
  </si>
  <si>
    <t>TDoRS2.4</t>
  </si>
  <si>
    <t>TDoRS2.1</t>
  </si>
  <si>
    <t>TDoRS2.2</t>
  </si>
  <si>
    <t>The Unknown</t>
  </si>
  <si>
    <t>Five Twenty-Nine</t>
  </si>
  <si>
    <t>The Eye of the Storm</t>
  </si>
  <si>
    <t>Teenage Kicks</t>
  </si>
  <si>
    <t>DWM 163</t>
  </si>
  <si>
    <t>DWM 151</t>
  </si>
  <si>
    <t>The Infinity Season</t>
  </si>
  <si>
    <t>Gerry Dolan</t>
  </si>
  <si>
    <t>DWM 122</t>
  </si>
  <si>
    <t>The Bird of Fire</t>
  </si>
  <si>
    <t>Stephen Moxon</t>
  </si>
  <si>
    <t>DWM 119</t>
  </si>
  <si>
    <t>Hall of Mirrors</t>
  </si>
  <si>
    <t>Alan McKee</t>
  </si>
  <si>
    <t>DWM 33</t>
  </si>
  <si>
    <t>Breakdown</t>
  </si>
  <si>
    <t>Jenny O'Connor</t>
  </si>
  <si>
    <t>DWM 32</t>
  </si>
  <si>
    <t>The Hole Truth</t>
  </si>
  <si>
    <t>Mind-Jump</t>
  </si>
  <si>
    <t>DWM 31</t>
  </si>
  <si>
    <t>DWM 29-30</t>
  </si>
  <si>
    <t>Sands of Time</t>
  </si>
  <si>
    <t>DWM 28</t>
  </si>
  <si>
    <t>Evil Egg</t>
  </si>
  <si>
    <t>Stowaway</t>
  </si>
  <si>
    <t>DWM 27</t>
  </si>
  <si>
    <t>DWM 26</t>
  </si>
  <si>
    <t>Two-Timer</t>
  </si>
  <si>
    <t>Heliotrope Bouquet</t>
  </si>
  <si>
    <t>DWM 181-182</t>
  </si>
  <si>
    <t>DWM 227-229</t>
  </si>
  <si>
    <t>Meridians</t>
  </si>
  <si>
    <t>DWM 236-238</t>
  </si>
  <si>
    <t>The Dragon of Hyacinth Lodge</t>
  </si>
  <si>
    <t>DWM 289</t>
  </si>
  <si>
    <t>Bafflement and Devotion</t>
  </si>
  <si>
    <t>DWM 364</t>
  </si>
  <si>
    <t>Voice from the Vortex!</t>
  </si>
  <si>
    <t>DWM 1</t>
  </si>
  <si>
    <t>The Doctor's Journal: Entry 2481/B-3</t>
  </si>
  <si>
    <t>The Doctor's Journal: Entry 3512/A-7</t>
  </si>
  <si>
    <t>The Doctor's Journal: Entry 15234/C-4</t>
  </si>
  <si>
    <t>Tom Spilsbury</t>
  </si>
  <si>
    <t>Adventure in a Pocket Universe</t>
  </si>
  <si>
    <t>CDNM2.4</t>
  </si>
  <si>
    <t>Day of the Vashta Nerada</t>
  </si>
  <si>
    <t>G8.0</t>
  </si>
  <si>
    <t>Gallifrey: Enemy Lines</t>
  </si>
  <si>
    <t>1-78178-577-5</t>
  </si>
  <si>
    <t>GTW1.1</t>
  </si>
  <si>
    <t>1-78703-397-9</t>
  </si>
  <si>
    <t>Celestial Intervention</t>
  </si>
  <si>
    <t>GTW1.2</t>
  </si>
  <si>
    <t>GTW1.3</t>
  </si>
  <si>
    <t>GTW1.4</t>
  </si>
  <si>
    <t>Soldier Obscura</t>
  </si>
  <si>
    <t>The Devil You Know</t>
  </si>
  <si>
    <t>Desperate Measures</t>
  </si>
  <si>
    <t>Tim Foley</t>
  </si>
  <si>
    <t>J&amp;L13</t>
  </si>
  <si>
    <t>J&amp;L13.1</t>
  </si>
  <si>
    <t>J&amp;L13.2</t>
  </si>
  <si>
    <t>J&amp;L13.3</t>
  </si>
  <si>
    <t>J&amp;L13.4</t>
  </si>
  <si>
    <t>Chapel of Night</t>
  </si>
  <si>
    <t>How the Other Half Lives</t>
  </si>
  <si>
    <t>Too Much Reality</t>
  </si>
  <si>
    <t>1-78703-012-1</t>
  </si>
  <si>
    <t>8DC.4</t>
  </si>
  <si>
    <t>1-78178-623-9</t>
  </si>
  <si>
    <t>EDADC4.1</t>
  </si>
  <si>
    <t>EDADC4.2</t>
  </si>
  <si>
    <t>EDADC4.3</t>
  </si>
  <si>
    <t>EDADC4.4</t>
  </si>
  <si>
    <t>Ship in a Bottle</t>
  </si>
  <si>
    <t>Songs of Love</t>
  </si>
  <si>
    <t>The Side of the Angels</t>
  </si>
  <si>
    <t>Stop the Clock</t>
  </si>
  <si>
    <t>UNIT6.1</t>
  </si>
  <si>
    <t>1-78178-618-5</t>
  </si>
  <si>
    <t>UNIT6.2</t>
  </si>
  <si>
    <t>UNIT6.3</t>
  </si>
  <si>
    <t>UNIT6.4</t>
  </si>
  <si>
    <t>Assembled: Call to Arms</t>
  </si>
  <si>
    <t>Assembled: Tidal Wave</t>
  </si>
  <si>
    <t>Assembled: Retrieval</t>
  </si>
  <si>
    <t>Assembled: United</t>
  </si>
  <si>
    <t>Call to Arms</t>
  </si>
  <si>
    <t>Tidal Wave</t>
  </si>
  <si>
    <t>Retrieval</t>
  </si>
  <si>
    <t>United</t>
  </si>
  <si>
    <t>Benton/Yates</t>
  </si>
  <si>
    <t>V04</t>
  </si>
  <si>
    <t>1-78703-450-1</t>
  </si>
  <si>
    <t>1.0-4 (Retribution)</t>
  </si>
  <si>
    <t>1-27 (The Doctor's Journal)</t>
  </si>
  <si>
    <t>1.1-8, Time War 1.1-1.4 (Desperate Measures)</t>
  </si>
  <si>
    <t>1.1-13.4 (Too Much Reality)</t>
  </si>
  <si>
    <t>1-62 (Plague City)</t>
  </si>
  <si>
    <t>1-275 (The Doctor Falls)</t>
  </si>
  <si>
    <t>Crystal Ball</t>
  </si>
  <si>
    <t>The Shrine of Sorrows</t>
  </si>
  <si>
    <t>STA6:03</t>
  </si>
  <si>
    <t>Washington Burns</t>
  </si>
  <si>
    <t>1-78575-106-6</t>
  </si>
  <si>
    <t>6.X</t>
  </si>
  <si>
    <t>STA6:X</t>
  </si>
  <si>
    <t>Forever Fallen</t>
  </si>
  <si>
    <t>Joshua Wanisko</t>
  </si>
  <si>
    <t>1-78703-056-5</t>
  </si>
  <si>
    <t>STA6:12</t>
  </si>
  <si>
    <t>The Hesitation Deviation</t>
  </si>
  <si>
    <t>1-78575-115-8</t>
  </si>
  <si>
    <t>The Night Before Christmas</t>
  </si>
  <si>
    <t>EDATW1.1</t>
  </si>
  <si>
    <t>The Starship of Theseus</t>
  </si>
  <si>
    <t>1-78575-195-0</t>
  </si>
  <si>
    <t>EDATW1.2</t>
  </si>
  <si>
    <t>EDATW1.3</t>
  </si>
  <si>
    <t>EDATW1.4</t>
  </si>
  <si>
    <t>Sheena</t>
  </si>
  <si>
    <t>Bliss</t>
  </si>
  <si>
    <t>Echoes of War</t>
  </si>
  <si>
    <t>The Conscript</t>
  </si>
  <si>
    <t>One Life</t>
  </si>
  <si>
    <t>1-78178-801-1</t>
  </si>
  <si>
    <t>Shadow Planet</t>
  </si>
  <si>
    <t>World Apart</t>
  </si>
  <si>
    <t>1-903654-47-5</t>
  </si>
  <si>
    <t>1-903654-33-5</t>
  </si>
  <si>
    <t>1-903654-74-2</t>
  </si>
  <si>
    <t>1-84435-096-7</t>
  </si>
  <si>
    <t>1-84435-136-X</t>
  </si>
  <si>
    <t>1-84435-099-1</t>
  </si>
  <si>
    <t>1-84435-167-X</t>
  </si>
  <si>
    <t>1-84435-171-8</t>
  </si>
  <si>
    <t>1-84435-178-5</t>
  </si>
  <si>
    <t>1-84435-180-7</t>
  </si>
  <si>
    <t>1-84435-315-6</t>
  </si>
  <si>
    <t>1-84435-324-8</t>
  </si>
  <si>
    <t>1-84435-408-5</t>
  </si>
  <si>
    <t>1-84435-409-2</t>
  </si>
  <si>
    <t>1-84435-410-8</t>
  </si>
  <si>
    <t>1-84435-475-7</t>
  </si>
  <si>
    <t>1-84435-499-3</t>
  </si>
  <si>
    <t>1-84435-500-6</t>
  </si>
  <si>
    <t>1-84435-577-8</t>
  </si>
  <si>
    <t>1-84435-579-2</t>
  </si>
  <si>
    <t>1-84435-580-8</t>
  </si>
  <si>
    <t>1-84435-044-4</t>
  </si>
  <si>
    <t>1-84435-069-X</t>
  </si>
  <si>
    <t>1-84435-198-5</t>
  </si>
  <si>
    <t>1-84435-285-2</t>
  </si>
  <si>
    <t>1-84435-318-7</t>
  </si>
  <si>
    <t>1-84435-321-7</t>
  </si>
  <si>
    <t>1-84435-433-7</t>
  </si>
  <si>
    <t>1-84435-434-4</t>
  </si>
  <si>
    <t>1-84435-435-1</t>
  </si>
  <si>
    <t>1-84435-031-2</t>
  </si>
  <si>
    <t>1-84435-027-4</t>
  </si>
  <si>
    <t>1-903654-20-3</t>
  </si>
  <si>
    <t>1-84435-025-8</t>
  </si>
  <si>
    <t>1-903654-28-9</t>
  </si>
  <si>
    <t>1-84435-284-5</t>
  </si>
  <si>
    <t>1-84435-159-9</t>
  </si>
  <si>
    <t>1-903654-56-4</t>
  </si>
  <si>
    <t>1-84435-101-7</t>
  </si>
  <si>
    <t>1-84435-135-1</t>
  </si>
  <si>
    <t>1-84435-158-0</t>
  </si>
  <si>
    <t>1-903654-77-7</t>
  </si>
  <si>
    <t>1-84435-028-2</t>
  </si>
  <si>
    <t>1-903654-02-5</t>
  </si>
  <si>
    <t>1-84435-176-9</t>
  </si>
  <si>
    <t>A Life of Crime</t>
  </si>
  <si>
    <t>Fiesta of the Damned</t>
  </si>
  <si>
    <t>Maker of Demons</t>
  </si>
  <si>
    <t>The High Price of Parking</t>
  </si>
  <si>
    <t>The Blood Furnace</t>
  </si>
  <si>
    <t>The Silurian Candidate</t>
  </si>
  <si>
    <t>1-78178-803-5</t>
  </si>
  <si>
    <t xml:space="preserve">1-78178-807-3 </t>
  </si>
  <si>
    <t>1-78178-889-9</t>
  </si>
  <si>
    <t>1-78178-891-2</t>
  </si>
  <si>
    <t>1-78178-893-6</t>
  </si>
  <si>
    <t>27m</t>
  </si>
  <si>
    <t>Reunions</t>
  </si>
  <si>
    <t>EDC5</t>
  </si>
  <si>
    <t>Reality</t>
  </si>
  <si>
    <t>STA6:11</t>
  </si>
  <si>
    <t>The Man Who Wasn't There</t>
  </si>
  <si>
    <t>1-78575-114-1</t>
  </si>
  <si>
    <t>STA5:08</t>
  </si>
  <si>
    <t>Foreshadowing</t>
  </si>
  <si>
    <t>1-78178-399-3</t>
  </si>
  <si>
    <t>STA7:07</t>
  </si>
  <si>
    <t>Sheridan Smith</t>
  </si>
  <si>
    <t>1-78575-119-6</t>
  </si>
  <si>
    <t>The Young Lions</t>
  </si>
  <si>
    <t>The Caves of Erith</t>
  </si>
  <si>
    <t>1-78703-499-0</t>
  </si>
  <si>
    <t>Alice Cavender</t>
  </si>
  <si>
    <t>Late Night Shopping</t>
  </si>
  <si>
    <t>STA6:04</t>
  </si>
  <si>
    <t>The Curse of the Fugue</t>
  </si>
  <si>
    <t>1-78575-107-3</t>
  </si>
  <si>
    <t>STA7:01</t>
  </si>
  <si>
    <t>The World Beyond the Trees</t>
  </si>
  <si>
    <t>Nicola Walker</t>
  </si>
  <si>
    <t>1-78575-116-5</t>
  </si>
  <si>
    <t>STA7:09</t>
  </si>
  <si>
    <t>A Heart on Both Sides</t>
  </si>
  <si>
    <t>1-78575-124-0</t>
  </si>
  <si>
    <t>STA7:10</t>
  </si>
  <si>
    <t>All Hands on Deck</t>
  </si>
  <si>
    <t>Carole Ann Ford</t>
  </si>
  <si>
    <t>Other Comic</t>
  </si>
  <si>
    <t>Ambush</t>
  </si>
  <si>
    <t>1-78594-252-5</t>
  </si>
  <si>
    <t>Ebury Publishing</t>
  </si>
  <si>
    <t>9DC1.1</t>
  </si>
  <si>
    <t>The Bleeding Heart</t>
  </si>
  <si>
    <t>Nicholas Briggs, Claire Wyatt</t>
  </si>
  <si>
    <t>1-78703-223-1</t>
  </si>
  <si>
    <t>9th Doctor Chronicle</t>
  </si>
  <si>
    <t>9DC1.2</t>
  </si>
  <si>
    <t>The Window on the Moor</t>
  </si>
  <si>
    <t>Nicholas Briggs, Laura Riseborough</t>
  </si>
  <si>
    <t>9DC1.3</t>
  </si>
  <si>
    <t>Nicholas Briggs, Bruno Langley</t>
  </si>
  <si>
    <t>9DC1.4</t>
  </si>
  <si>
    <t>Retail Therapy</t>
  </si>
  <si>
    <t>Nicholas Briggs, Camille Coduri</t>
  </si>
  <si>
    <t>TCY1.1</t>
  </si>
  <si>
    <t>The Oncoming Storm</t>
  </si>
  <si>
    <t>1-78178-944-5</t>
  </si>
  <si>
    <t>TCY1.2</t>
  </si>
  <si>
    <t>I was Churchill's Double</t>
  </si>
  <si>
    <t>TCY2.3</t>
  </si>
  <si>
    <t>1-78575-429-6</t>
  </si>
  <si>
    <t>TCY2.2</t>
  </si>
  <si>
    <t>Human Conflict</t>
  </si>
  <si>
    <t>T9DY1 9-10</t>
  </si>
  <si>
    <t>Slaver's Song</t>
  </si>
  <si>
    <t>Tara</t>
  </si>
  <si>
    <t>T9DY1 11-12</t>
  </si>
  <si>
    <t>Sin-Eaters</t>
  </si>
  <si>
    <t>T9DY1 13</t>
  </si>
  <si>
    <t>Secret Agent Man</t>
  </si>
  <si>
    <t>T9DY1 14-15</t>
  </si>
  <si>
    <t>The Bidding War</t>
  </si>
  <si>
    <t>Cris Bolson, Adriana Melo</t>
  </si>
  <si>
    <t>The Slist Show Christmas Special!</t>
  </si>
  <si>
    <t>10th Doctor Adventure</t>
  </si>
  <si>
    <t>Infamy of the Zaross</t>
  </si>
  <si>
    <t>The Sword of the Chevalier</t>
  </si>
  <si>
    <t>Cold Vengeance</t>
  </si>
  <si>
    <t>10DA2.1</t>
  </si>
  <si>
    <t>10DA2.2</t>
  </si>
  <si>
    <t>10DA2.3</t>
  </si>
  <si>
    <t>1-78703-367-2</t>
  </si>
  <si>
    <t>1-78703-371-9</t>
  </si>
  <si>
    <t>1-78703-373-3</t>
  </si>
  <si>
    <t>Who Ate All the Biscuits?</t>
  </si>
  <si>
    <t>Comic Maker Comic</t>
  </si>
  <si>
    <t>CMC09</t>
  </si>
  <si>
    <t>CMC02</t>
  </si>
  <si>
    <t>Mind Shadows</t>
  </si>
  <si>
    <t>CMC01</t>
  </si>
  <si>
    <t>In-Flight Entertainment</t>
  </si>
  <si>
    <t>Lindsey Alford</t>
  </si>
  <si>
    <t>CMC03</t>
  </si>
  <si>
    <t>Destiny's Door</t>
  </si>
  <si>
    <t>CMC04</t>
  </si>
  <si>
    <t>Fuel</t>
  </si>
  <si>
    <t>CMC05</t>
  </si>
  <si>
    <t>The Beast is Back in Town</t>
  </si>
  <si>
    <t>CMC06</t>
  </si>
  <si>
    <t>Mad Martha</t>
  </si>
  <si>
    <t>CMC07</t>
  </si>
  <si>
    <t>Escape to Penhaxico</t>
  </si>
  <si>
    <t>CMC08</t>
  </si>
  <si>
    <t>Just Another Thursday</t>
  </si>
  <si>
    <t>CMC10</t>
  </si>
  <si>
    <t>The Baktek Illusion</t>
  </si>
  <si>
    <t>ToNE1.2</t>
  </si>
  <si>
    <t>Death in the New Forest</t>
  </si>
  <si>
    <t xml:space="preserve">1-78703-395-5 </t>
  </si>
  <si>
    <t>Tale of New Earth</t>
  </si>
  <si>
    <t>ToNE1.4</t>
  </si>
  <si>
    <t>ToNE1.3</t>
  </si>
  <si>
    <t>ToNE1.1</t>
  </si>
  <si>
    <t>Escape from New New York</t>
  </si>
  <si>
    <t>The Skies of New Earth</t>
  </si>
  <si>
    <t>The Cats of New Cairo</t>
  </si>
  <si>
    <t>Hounded</t>
  </si>
  <si>
    <t>10DA1.1</t>
  </si>
  <si>
    <t>10DA1.2</t>
  </si>
  <si>
    <t>10DA1.3</t>
  </si>
  <si>
    <t>Technophobia</t>
  </si>
  <si>
    <t>Time Reaver</t>
  </si>
  <si>
    <t>Death and the Queen</t>
  </si>
  <si>
    <t>1-78575-230-8</t>
  </si>
  <si>
    <t>1-78575-232-2</t>
  </si>
  <si>
    <t>TCY2.4</t>
  </si>
  <si>
    <t>Churchill Victorious</t>
  </si>
  <si>
    <t>After the Ball</t>
  </si>
  <si>
    <t>S4b</t>
  </si>
  <si>
    <t>S4c</t>
  </si>
  <si>
    <t>TT04</t>
  </si>
  <si>
    <t>Salt of the Earth</t>
  </si>
  <si>
    <t>Trudi Canavan</t>
  </si>
  <si>
    <t>TT01</t>
  </si>
  <si>
    <t>TT02</t>
  </si>
  <si>
    <t>TT03</t>
  </si>
  <si>
    <t>TT05</t>
  </si>
  <si>
    <t>TT06</t>
  </si>
  <si>
    <t>The Death Pit</t>
  </si>
  <si>
    <t>Into the Nowhere</t>
  </si>
  <si>
    <t>Keeping up with the Joneses</t>
  </si>
  <si>
    <t>A Handful of Stardust</t>
  </si>
  <si>
    <t>The Bog Warrior</t>
  </si>
  <si>
    <t>Nick Harkaway</t>
  </si>
  <si>
    <t>Jake Arnott</t>
  </si>
  <si>
    <t>Cecelia Ahern</t>
  </si>
  <si>
    <t>Trevor Baxter, Christopher Benjamin, Lisa Bowerman</t>
  </si>
  <si>
    <t>1-78575-121-9</t>
  </si>
  <si>
    <t>The Jago &amp; Litefoot Revival, Act 1</t>
  </si>
  <si>
    <t>The Jago &amp; Litefoot Revival, Act 2</t>
  </si>
  <si>
    <t>STA7:03</t>
  </si>
  <si>
    <t>STA7:04</t>
  </si>
  <si>
    <t>STAX:02</t>
  </si>
  <si>
    <t>STAX:06</t>
  </si>
  <si>
    <t>STAX:11</t>
  </si>
  <si>
    <t>STAX:15</t>
  </si>
  <si>
    <t>STAX:18</t>
  </si>
  <si>
    <t>STAX:19</t>
  </si>
  <si>
    <t>STAX:22</t>
  </si>
  <si>
    <t>STAX:23</t>
  </si>
  <si>
    <t>STAX:24</t>
  </si>
  <si>
    <t>STAX:25</t>
  </si>
  <si>
    <t>STAX:26</t>
  </si>
  <si>
    <t>STAX:27</t>
  </si>
  <si>
    <t>STAX:28</t>
  </si>
  <si>
    <t>STAX:31</t>
  </si>
  <si>
    <t>STAX:32</t>
  </si>
  <si>
    <t>STAX:33</t>
  </si>
  <si>
    <t>STAX:29</t>
  </si>
  <si>
    <t>STAX:21</t>
  </si>
  <si>
    <t>STAX:X</t>
  </si>
  <si>
    <t>Phoenix</t>
  </si>
  <si>
    <t>ST31:18</t>
  </si>
  <si>
    <t>Duncan Wisbey</t>
  </si>
  <si>
    <t>Beth Chalmers</t>
  </si>
  <si>
    <t>John Banks</t>
  </si>
  <si>
    <t>STAX:12</t>
  </si>
  <si>
    <t>A Room With No View</t>
  </si>
  <si>
    <t>N10</t>
  </si>
  <si>
    <t>N11</t>
  </si>
  <si>
    <t>Andy Lane, John Dorney</t>
  </si>
  <si>
    <t>1-78178-705-2</t>
  </si>
  <si>
    <t>1-78178-707-6</t>
  </si>
  <si>
    <t>Chris, Roz</t>
  </si>
  <si>
    <t>Tegan, Adric</t>
  </si>
  <si>
    <t>BFTW13</t>
  </si>
  <si>
    <t>BFTW14</t>
  </si>
  <si>
    <t>BFTW15</t>
  </si>
  <si>
    <t>BFTW16</t>
  </si>
  <si>
    <t>BFTW17</t>
  </si>
  <si>
    <t>BFTW18</t>
  </si>
  <si>
    <t>The Dollhouse</t>
  </si>
  <si>
    <t>Corpse Day</t>
  </si>
  <si>
    <t>torchwood_cascade_CDRIP.tor</t>
  </si>
  <si>
    <t>The Office of Never Was</t>
  </si>
  <si>
    <t>The Dying Room</t>
  </si>
  <si>
    <t>PDA82</t>
  </si>
  <si>
    <t>In the Blood</t>
  </si>
  <si>
    <t>1-78594-110-8</t>
  </si>
  <si>
    <t>1-78703-008-4</t>
  </si>
  <si>
    <t>New Girl</t>
  </si>
  <si>
    <t>Through the Ruins</t>
  </si>
  <si>
    <t>Uprising</t>
  </si>
  <si>
    <t>1-78575-635-1</t>
  </si>
  <si>
    <t>Juno Dawson</t>
  </si>
  <si>
    <t>1-78575-637-5</t>
  </si>
  <si>
    <t>1-78575-639-9</t>
  </si>
  <si>
    <t>1-78575-642-9</t>
  </si>
  <si>
    <t>1-78575-644-3</t>
  </si>
  <si>
    <t>1-78575-646-7</t>
  </si>
  <si>
    <t>Changes Everything</t>
  </si>
  <si>
    <t>BFTWAAU01</t>
  </si>
  <si>
    <t>BFTWAAU02</t>
  </si>
  <si>
    <t>BFTWAAU03</t>
  </si>
  <si>
    <t>BFTWAAU04</t>
  </si>
  <si>
    <t>BFTWAAU05</t>
  </si>
  <si>
    <t>BFTWAAU06</t>
  </si>
  <si>
    <t>BFTWAAU07</t>
  </si>
  <si>
    <t>BFTWAAU08</t>
  </si>
  <si>
    <t>BFTWAAU09</t>
  </si>
  <si>
    <t>BFTWAAU10</t>
  </si>
  <si>
    <t>BFTWAAU11</t>
  </si>
  <si>
    <t>BFTWAAU12</t>
  </si>
  <si>
    <t>Aliens &amp; Sex &amp; Chips &amp; Gravy</t>
  </si>
  <si>
    <t>Orr</t>
  </si>
  <si>
    <t>Superiority Complex</t>
  </si>
  <si>
    <t>Love Rat</t>
  </si>
  <si>
    <t>A Kill to a View</t>
  </si>
  <si>
    <t>Zero Hour</t>
  </si>
  <si>
    <t>The Empty Hand</t>
  </si>
  <si>
    <t>Janine H Jones</t>
  </si>
  <si>
    <t>Mac Rogers</t>
  </si>
  <si>
    <t xml:space="preserve">1-78703-379-5 </t>
  </si>
  <si>
    <t>Poker Face</t>
  </si>
  <si>
    <t>Tagged</t>
  </si>
  <si>
    <t>Escape Room</t>
  </si>
  <si>
    <t>Herald of the Dawn</t>
  </si>
  <si>
    <t xml:space="preserve">1-78703-381-8 </t>
  </si>
  <si>
    <t>Before the Fall</t>
  </si>
  <si>
    <t>1-78575-945-1</t>
  </si>
  <si>
    <t>TLoCJ1.1</t>
  </si>
  <si>
    <t>TLoCJ1.2</t>
  </si>
  <si>
    <t>TLoCJ1.3</t>
  </si>
  <si>
    <t>TLoCJ1.4</t>
  </si>
  <si>
    <t>The Year After I Died</t>
  </si>
  <si>
    <t>Wednesdays for Beginners</t>
  </si>
  <si>
    <t>One Enchanted Evening</t>
  </si>
  <si>
    <t>Month 25</t>
  </si>
  <si>
    <t>TCY1.3</t>
  </si>
  <si>
    <t>Living History</t>
  </si>
  <si>
    <t>Relations</t>
  </si>
  <si>
    <t>S6a</t>
  </si>
  <si>
    <t>S6b</t>
  </si>
  <si>
    <t>S7a</t>
  </si>
  <si>
    <t>S7b</t>
  </si>
  <si>
    <t>S7c</t>
  </si>
  <si>
    <t>TCY1.4</t>
  </si>
  <si>
    <t>The Chartwell Metamorphosis</t>
  </si>
  <si>
    <t>TCY2.1</t>
  </si>
  <si>
    <t>Young Winston</t>
  </si>
  <si>
    <t>NSAA30</t>
  </si>
  <si>
    <t>Death Among the Stars</t>
  </si>
  <si>
    <t>1-78529-805-9</t>
  </si>
  <si>
    <t>Rhythm of Destruction</t>
  </si>
  <si>
    <t>1-78529-829-5</t>
  </si>
  <si>
    <t>NSAA31</t>
  </si>
  <si>
    <t>Dalek: the Astounding etc</t>
  </si>
  <si>
    <t>DWM 519-523</t>
  </si>
  <si>
    <t>The Phantom Piper</t>
  </si>
  <si>
    <t>Marcus Hearn</t>
  </si>
  <si>
    <t>Story of Martha</t>
  </si>
  <si>
    <t>1-5 (Star-crossed)</t>
  </si>
  <si>
    <t>SoM2</t>
  </si>
  <si>
    <t>The Weeping</t>
  </si>
  <si>
    <t>Freema Agyeman</t>
  </si>
  <si>
    <t>SoM3</t>
  </si>
  <si>
    <t>Breathing Space</t>
  </si>
  <si>
    <t>Steve Lockley, Paul Lewis</t>
  </si>
  <si>
    <t>SoM4</t>
  </si>
  <si>
    <t>The Frozen Wastes</t>
  </si>
  <si>
    <t>SoM5</t>
  </si>
  <si>
    <t>Star-Crossed</t>
  </si>
  <si>
    <t>SoM1</t>
  </si>
  <si>
    <t>Doctor of Christmas Story</t>
  </si>
  <si>
    <t>12DoC10</t>
  </si>
  <si>
    <t>Loose Wire</t>
  </si>
  <si>
    <t>Captain Kris</t>
  </si>
  <si>
    <t>12DoC11</t>
  </si>
  <si>
    <t>12DoC12</t>
  </si>
  <si>
    <t>The Persistence of Memory</t>
  </si>
  <si>
    <t>Tom Duxbury</t>
  </si>
  <si>
    <t>Chris Addison</t>
  </si>
  <si>
    <t>12DoC01</t>
  </si>
  <si>
    <t>12DoC02</t>
  </si>
  <si>
    <t>A Comedy of Terrors</t>
  </si>
  <si>
    <t>Melissa Castrillón</t>
  </si>
  <si>
    <t>12DoC03</t>
  </si>
  <si>
    <t>The Christmas Inversion</t>
  </si>
  <si>
    <t>Sara Gianassi</t>
  </si>
  <si>
    <t>12DoC04</t>
  </si>
  <si>
    <t>Three Wise Men</t>
  </si>
  <si>
    <t>Rob Biddulph</t>
  </si>
  <si>
    <t>12DoC05</t>
  </si>
  <si>
    <t>Sontar's Little Helpers</t>
  </si>
  <si>
    <t>Staffan Gnosspelius</t>
  </si>
  <si>
    <t>12DoC06</t>
  </si>
  <si>
    <t>Fairy Tale of New New York</t>
  </si>
  <si>
    <t>Stewart Easton</t>
  </si>
  <si>
    <t>12DoC07</t>
  </si>
  <si>
    <t>The Grotto</t>
  </si>
  <si>
    <t>Charlie Sutcliffe</t>
  </si>
  <si>
    <t>12DoC08</t>
  </si>
  <si>
    <t>Ghost of Christmas Past</t>
  </si>
  <si>
    <t>Jennifer Skemp</t>
  </si>
  <si>
    <t>12DoC09</t>
  </si>
  <si>
    <t>The Red Bicycle</t>
  </si>
  <si>
    <t>1-12 (The Persistence of Memory)</t>
  </si>
  <si>
    <t>AA01</t>
  </si>
  <si>
    <t>1-4059-2872-4</t>
  </si>
  <si>
    <t>Penguin Books</t>
  </si>
  <si>
    <t>AA02</t>
  </si>
  <si>
    <t>AA03</t>
  </si>
  <si>
    <t>Ghosts of New York</t>
  </si>
  <si>
    <t>Off the Trail</t>
  </si>
  <si>
    <t>All That Glitters</t>
  </si>
  <si>
    <t>AA04</t>
  </si>
  <si>
    <t>AA05</t>
  </si>
  <si>
    <t>AA06</t>
  </si>
  <si>
    <t>Base of Operations</t>
  </si>
  <si>
    <t>Taking the Plunge</t>
  </si>
  <si>
    <t>Spectator Sport</t>
  </si>
  <si>
    <t>1-6 (Base of Operations)</t>
  </si>
  <si>
    <t>1-11 (Cold Fusion)</t>
  </si>
  <si>
    <t>1.1-2.4 (Churchill Victorious)</t>
  </si>
  <si>
    <t>Tale of Trenzalore</t>
  </si>
  <si>
    <t>Let it Snow</t>
  </si>
  <si>
    <t>An Apple a Day</t>
  </si>
  <si>
    <t>Strangers in the Outland</t>
  </si>
  <si>
    <t>The Dreaming</t>
  </si>
  <si>
    <t>1-4 (The Dreaming)</t>
  </si>
  <si>
    <t>1-3 (The Devil in the Smoke)</t>
  </si>
  <si>
    <t>1-78594-057-6</t>
  </si>
  <si>
    <t>Legend of Ashildr</t>
  </si>
  <si>
    <t>LoA1</t>
  </si>
  <si>
    <t>LoA2</t>
  </si>
  <si>
    <t>LoA3</t>
  </si>
  <si>
    <t>LoA4</t>
  </si>
  <si>
    <t>The Arabian Knightmare</t>
  </si>
  <si>
    <t>The Fortunate Isles</t>
  </si>
  <si>
    <t>The Triple Knife</t>
  </si>
  <si>
    <t>The Ghosts of Branscombe Wood</t>
  </si>
  <si>
    <t>Davil Llewellyn</t>
  </si>
  <si>
    <t>LoRS1</t>
  </si>
  <si>
    <t>A Gamble with Time</t>
  </si>
  <si>
    <t>1-4059-2002-5</t>
  </si>
  <si>
    <t>Legend of River Song</t>
  </si>
  <si>
    <t>LoRS3</t>
  </si>
  <si>
    <t>Picnic at Asgard</t>
  </si>
  <si>
    <t>LoRS2</t>
  </si>
  <si>
    <t>Suspicious Minds</t>
  </si>
  <si>
    <t>LoRS4</t>
  </si>
  <si>
    <t>Death in New Venice</t>
  </si>
  <si>
    <t>LoRS5</t>
  </si>
  <si>
    <t>River of Time</t>
  </si>
  <si>
    <t>1-5 (River of Time)</t>
  </si>
  <si>
    <t>1-4 (The Ghosts of Branscombe Wood)</t>
  </si>
  <si>
    <t>1.1-1.4 (Retail Therapy)</t>
  </si>
  <si>
    <t>3rd Doctor Adventure</t>
  </si>
  <si>
    <t>1-9 (The Helm of Awe)</t>
  </si>
  <si>
    <t>1.1-2.4 (Day of the Vashta Nerada)</t>
  </si>
  <si>
    <t>1.01-11.04 (The Plague of Dreams)</t>
  </si>
  <si>
    <t>1.1-4.4 (The Dance)</t>
  </si>
  <si>
    <t>1-31 (Rhythm of Destruction)</t>
  </si>
  <si>
    <t>1.1-1.4 (The Cats of New Cairo)</t>
  </si>
  <si>
    <t>1.1-4.3 (The Enigma Dimension)</t>
  </si>
  <si>
    <t>Class Novel</t>
  </si>
  <si>
    <t>1-3 (What She Does Next Will Astound You)</t>
  </si>
  <si>
    <t>1-82 (The Krikkitmen) + Campaign, Equilibrium</t>
  </si>
  <si>
    <t>1-10 (The Baktek Illusion)</t>
  </si>
  <si>
    <t>1-78703-459-4</t>
  </si>
  <si>
    <t>BFAn10.01</t>
  </si>
  <si>
    <t>BFAn10.02</t>
  </si>
  <si>
    <t>BFAn10.03</t>
  </si>
  <si>
    <t>BFAn10.04</t>
  </si>
  <si>
    <t>BFAn10.05</t>
  </si>
  <si>
    <t>BFAn10.06</t>
  </si>
  <si>
    <t>BFAn10.07</t>
  </si>
  <si>
    <t>Kate Orman, Q</t>
  </si>
  <si>
    <t>Jonathan Blum, Rupert Booth</t>
  </si>
  <si>
    <t>Victoria Simpson</t>
  </si>
  <si>
    <t>Tim Gambrell</t>
  </si>
  <si>
    <t>True Stories: Transmission of Court Session: Bliss City Council Records B116/22/Trial</t>
  </si>
  <si>
    <t>True Stories: Hue and Cry</t>
  </si>
  <si>
    <t>True Stories: Never the Way</t>
  </si>
  <si>
    <t>True Stories: Fast Contact</t>
  </si>
  <si>
    <t>True Stories: Futureproof</t>
  </si>
  <si>
    <t>True Stories: Stockholm From Home</t>
  </si>
  <si>
    <t>True Stories: Bliss</t>
  </si>
  <si>
    <t>1.01-10.6 (True Stories: Bliss)</t>
  </si>
  <si>
    <t>1-3 (Buyer's Remorse)</t>
  </si>
  <si>
    <t>1-16 (Master Faustus), 18-25 (The Last Will)</t>
  </si>
  <si>
    <t>Transmission from Mars</t>
  </si>
  <si>
    <t>Tom Saunders</t>
  </si>
  <si>
    <t>36.13</t>
  </si>
  <si>
    <t>Twice Upon a Time</t>
  </si>
  <si>
    <t>Pos</t>
  </si>
  <si>
    <t>TMC1</t>
  </si>
  <si>
    <t>Dismemberment</t>
  </si>
  <si>
    <t>Missy Chronicle</t>
  </si>
  <si>
    <t>1-78594-323-2</t>
  </si>
  <si>
    <t>TMC6</t>
  </si>
  <si>
    <t>Alit in Underland</t>
  </si>
  <si>
    <t>TMC5</t>
  </si>
  <si>
    <t>Girl Power!</t>
  </si>
  <si>
    <t>S11</t>
  </si>
  <si>
    <t>TMC4</t>
  </si>
  <si>
    <t>The Liar, the Glitch and the War Zone</t>
  </si>
  <si>
    <t>TMC3</t>
  </si>
  <si>
    <t>Teddy Sparkles Must Die!</t>
  </si>
  <si>
    <t>Lords and Masters</t>
  </si>
  <si>
    <t>TMC2</t>
  </si>
  <si>
    <t>Helana and the Beast</t>
  </si>
  <si>
    <t>TLFT11</t>
  </si>
  <si>
    <t>Pippa Bennett-Warner</t>
  </si>
  <si>
    <t>David Wardle</t>
  </si>
  <si>
    <t>Cinderella and the Magic Box</t>
  </si>
  <si>
    <t>TLFT03</t>
  </si>
  <si>
    <t>Ingrid Oliver</t>
  </si>
  <si>
    <t>The Grief Collector</t>
  </si>
  <si>
    <t>TLFT13</t>
  </si>
  <si>
    <t>Michelle Gomez</t>
  </si>
  <si>
    <t>TLFT08</t>
  </si>
  <si>
    <t>Little Rose Riding Hood</t>
  </si>
  <si>
    <t>TLFT01</t>
  </si>
  <si>
    <t>The Garden of Statues</t>
  </si>
  <si>
    <t>Joanna Page</t>
  </si>
  <si>
    <t>TLFT02</t>
  </si>
  <si>
    <t>Frozen Beauty</t>
  </si>
  <si>
    <t>TLFT04</t>
  </si>
  <si>
    <t>The Twins in the Wood</t>
  </si>
  <si>
    <t>Anne Reid</t>
  </si>
  <si>
    <t>TLFT05</t>
  </si>
  <si>
    <t>The Three Little Sontarans</t>
  </si>
  <si>
    <t>TLFT06</t>
  </si>
  <si>
    <t>Jak and the Wormhole</t>
  </si>
  <si>
    <t>Tom Baker</t>
  </si>
  <si>
    <t>TLFT07</t>
  </si>
  <si>
    <t>Snow White and the Seven Keys to Doomsday</t>
  </si>
  <si>
    <t>TLFT09</t>
  </si>
  <si>
    <t>The Gingerbread Trap</t>
  </si>
  <si>
    <t>TLFT10</t>
  </si>
  <si>
    <t>The Scruffy Piper</t>
  </si>
  <si>
    <t>TLFT12</t>
  </si>
  <si>
    <t>Andiba and the Four Slitheen</t>
  </si>
  <si>
    <t>Yasmin Paige</t>
  </si>
  <si>
    <t>TLFT14</t>
  </si>
  <si>
    <t>The Three Brothers Gruff</t>
  </si>
  <si>
    <t>TLFT15</t>
  </si>
  <si>
    <t>Sirgwain and the Green Knight</t>
  </si>
  <si>
    <t>Andrew Brooke</t>
  </si>
  <si>
    <t>1-15 (Sirgwain and the Green Knight)</t>
  </si>
  <si>
    <t>IDW Ann 2012</t>
  </si>
  <si>
    <t>In-fez-station!</t>
  </si>
  <si>
    <t>Len Wein</t>
  </si>
  <si>
    <t>Time Fraud</t>
  </si>
  <si>
    <t>Escape into Alcatraz</t>
  </si>
  <si>
    <t>Eagle of the Reich</t>
  </si>
  <si>
    <t>Andy Diggle</t>
  </si>
  <si>
    <t>IDW 3.01-3.02</t>
  </si>
  <si>
    <t>IDW 3.03-3.04</t>
  </si>
  <si>
    <t>The Doctor and the Nurse</t>
  </si>
  <si>
    <t>Brandon Seifert</t>
  </si>
  <si>
    <t>The Eye of Ashaya</t>
  </si>
  <si>
    <t>IDW 3.05-3.06</t>
  </si>
  <si>
    <t>Josh Adams, Marc Deening</t>
  </si>
  <si>
    <t>IDW 3.07-3.08</t>
  </si>
  <si>
    <t>IDWTGWLDW</t>
  </si>
  <si>
    <t>The Girl Who Loved Doctor Who</t>
  </si>
  <si>
    <t>Jimmy Broxton</t>
  </si>
  <si>
    <t>IDW 3.09-3.12</t>
  </si>
  <si>
    <t>Sky Jacks!</t>
  </si>
  <si>
    <t>Andy Diggle, Eddie Robson</t>
  </si>
  <si>
    <t>Andy Kuhn</t>
  </si>
  <si>
    <t>IDW 3.13-3.16</t>
  </si>
  <si>
    <t>Dead Man's Hand</t>
  </si>
  <si>
    <t>All</t>
  </si>
  <si>
    <t>TTW1</t>
  </si>
  <si>
    <t>Antonio Fuso, Pasquale Qualano</t>
  </si>
  <si>
    <t>Marco Lusko</t>
  </si>
  <si>
    <t>Titan Torchwood Comic</t>
  </si>
  <si>
    <t>TTW2</t>
  </si>
  <si>
    <t>TTW3</t>
  </si>
  <si>
    <t>The Culling</t>
  </si>
  <si>
    <t>World Without End</t>
  </si>
  <si>
    <t>Station Zero</t>
  </si>
  <si>
    <t>Titan Torchwood Strip</t>
  </si>
  <si>
    <t>1-3 (The Culling)</t>
  </si>
  <si>
    <t>I.N.J. Culbard</t>
  </si>
  <si>
    <t>Triona Farrell</t>
  </si>
  <si>
    <t>The Tragical History Tour</t>
  </si>
  <si>
    <t>T11DY3 3-4</t>
  </si>
  <si>
    <t>Alex Paknadel</t>
  </si>
  <si>
    <t>Andrew Leung, Simon Fraser</t>
  </si>
  <si>
    <t>Time of the Ood</t>
  </si>
  <si>
    <t>T11DY3 5</t>
  </si>
  <si>
    <t>I.N.J. Culbard, Andrew Leung</t>
  </si>
  <si>
    <t>Jessica Burton</t>
  </si>
  <si>
    <t>The Sapling</t>
  </si>
  <si>
    <t>The Memory Feast</t>
  </si>
  <si>
    <t>T11DY3 6-7</t>
  </si>
  <si>
    <t>T11DY3 8</t>
  </si>
  <si>
    <t>Fooled</t>
  </si>
  <si>
    <t>Ivan Rodriguez, Wellington Diaz, Klebs Junior, Leandro Casco</t>
  </si>
  <si>
    <t>Stefani Renne, Thiago Riberio</t>
  </si>
  <si>
    <t>Strange Loops</t>
  </si>
  <si>
    <t>Hungry Thirsty Roots</t>
  </si>
  <si>
    <t>Alex Paknadel, Rob Williams</t>
  </si>
  <si>
    <t>Ivan Rodriguez, JB Bastos, Luiz Campello</t>
  </si>
  <si>
    <t xml:space="preserve">
Thiago Ribeiro, Stefani Rennee</t>
  </si>
  <si>
    <t>Andrew James, Jessica Burton</t>
  </si>
  <si>
    <t>Titan backup strips</t>
  </si>
  <si>
    <t>1.01-3.07 (Hungry Thirsty Roots)</t>
  </si>
  <si>
    <t>The Hyperion Empire</t>
  </si>
  <si>
    <t>T12DY3 9</t>
  </si>
  <si>
    <t>The Great Shopping Bill</t>
  </si>
  <si>
    <t>Pasquale Qualano, Andrew Leung</t>
  </si>
  <si>
    <t>A Confusion of Angels</t>
  </si>
  <si>
    <t>T12DY3 10-13</t>
  </si>
  <si>
    <t>Francesco Manna, Andrew Leung</t>
  </si>
  <si>
    <t>Giorgia Sposito</t>
  </si>
  <si>
    <t>Arianna Florean, Azzurra Florean, Mattia de Lulis, Adele Matera</t>
  </si>
  <si>
    <t>Eleonora Carlini, Giorgia Sposito</t>
  </si>
  <si>
    <t>Arianna Florean, Adele Matera, Hi-Fi</t>
  </si>
  <si>
    <t>T10DY3 1-2</t>
  </si>
  <si>
    <t>Breakfast at Tyranny's</t>
  </si>
  <si>
    <t>Noobis</t>
  </si>
  <si>
    <t>T10DY3 3-4</t>
  </si>
  <si>
    <t>Sharper Than a Serpent's Tooth</t>
  </si>
  <si>
    <t>Revolving Doors</t>
  </si>
  <si>
    <t>T10DY3 5</t>
  </si>
  <si>
    <t>T10DY3 6-8,10</t>
  </si>
  <si>
    <t>Vortex Butterflies</t>
  </si>
  <si>
    <t>T10DY3 11-14</t>
  </si>
  <si>
    <t>The Good Companion</t>
  </si>
  <si>
    <t>Adele Matera</t>
  </si>
  <si>
    <t>12, 1</t>
  </si>
  <si>
    <t>1.1-3.5 (The Good Companion)</t>
  </si>
  <si>
    <t>0 (Weapons of Past Destruction)-1.7 (The Bidding War)</t>
  </si>
  <si>
    <t>Minis 1-5 (A Matter of Life and Death)</t>
  </si>
  <si>
    <t>1.1 (Gaze of the Medusa)</t>
  </si>
  <si>
    <t>1.1 (The Heralds of Destruction)</t>
  </si>
  <si>
    <t>1-523 (The Phantom Piper)</t>
  </si>
  <si>
    <t>1976.1</t>
  </si>
  <si>
    <t>Terror Task Force</t>
  </si>
  <si>
    <t>1976.2</t>
  </si>
  <si>
    <t>1976.3</t>
  </si>
  <si>
    <t>Exterminate! Exterminate! Exterminate!</t>
  </si>
  <si>
    <t>Planet of Serpents</t>
  </si>
  <si>
    <t>1976.4</t>
  </si>
  <si>
    <t>1976.5</t>
  </si>
  <si>
    <t>Flood!!!</t>
  </si>
  <si>
    <t>1976.6</t>
  </si>
  <si>
    <t>Timechase</t>
  </si>
  <si>
    <t>1977.1</t>
  </si>
  <si>
    <t>The Doomsday Machine</t>
  </si>
  <si>
    <t>1977.2</t>
  </si>
  <si>
    <t>Report from an Unknown Planet</t>
  </si>
  <si>
    <t>1977.3</t>
  </si>
  <si>
    <t>The Fugitive</t>
  </si>
  <si>
    <t>1978.1</t>
  </si>
  <si>
    <t>The Castaway</t>
  </si>
  <si>
    <t>1978.2</t>
  </si>
  <si>
    <t>The Seeds of Destruction</t>
  </si>
  <si>
    <t>1978.3</t>
  </si>
  <si>
    <t>Assassination Squad</t>
  </si>
  <si>
    <t>1979.1</t>
  </si>
  <si>
    <t>Blockade</t>
  </si>
  <si>
    <t>0-7235-0384-2</t>
  </si>
  <si>
    <t>0-7235-0339-7</t>
  </si>
  <si>
    <t>0-7235-0421-0</t>
  </si>
  <si>
    <t>0-7235-0490-3</t>
  </si>
  <si>
    <t>The Solution</t>
  </si>
  <si>
    <t>1979.2</t>
  </si>
  <si>
    <t>1979.3</t>
  </si>
  <si>
    <t>The Human Bombs</t>
  </si>
  <si>
    <t>1979.4</t>
  </si>
  <si>
    <t>Island of Horror</t>
  </si>
  <si>
    <t>1979.5</t>
  </si>
  <si>
    <t>The Planet That Cried 'Wolf'!</t>
  </si>
  <si>
    <t>1964-1966, 1976-1979</t>
  </si>
  <si>
    <t>TCMHI01</t>
  </si>
  <si>
    <t>Philip Craggs</t>
  </si>
  <si>
    <t>1-909031-07-4</t>
  </si>
  <si>
    <t>TCMHI02</t>
  </si>
  <si>
    <t>TCMHI03</t>
  </si>
  <si>
    <t>TCMHI04</t>
  </si>
  <si>
    <t>The Manleigh Halt Irregulars: The Last Waltz</t>
  </si>
  <si>
    <t>The Manleigh Halt Irregulars: The Mystery of the Drowned Bird</t>
  </si>
  <si>
    <t>The Manleigh Halt Irregulars: Tilting at Windmills</t>
  </si>
  <si>
    <t>TCMHI05</t>
  </si>
  <si>
    <t>The Manleigh Halt Irregulars: Mr, Dogberry's Christmas</t>
  </si>
  <si>
    <t>The Manleigh Halt Irregulars: Auld Lang Syne</t>
  </si>
  <si>
    <t>The Last Waltz</t>
  </si>
  <si>
    <t>The Mystery of the Drowned Bird</t>
  </si>
  <si>
    <t>Tilting at Windmills</t>
  </si>
  <si>
    <t>Mr, Dogberry's Christmas</t>
  </si>
  <si>
    <t>Auld Lang Syne</t>
  </si>
  <si>
    <t>Kati Szaval</t>
  </si>
  <si>
    <t>Nick Mellish</t>
  </si>
  <si>
    <t>Erimem Story</t>
  </si>
  <si>
    <t>Thebes Publishing</t>
  </si>
  <si>
    <t>Antiquities</t>
  </si>
  <si>
    <t>Return of the Queen</t>
  </si>
  <si>
    <t>Auld Acquaintance</t>
  </si>
  <si>
    <t>Message in the Cards</t>
  </si>
  <si>
    <t>The Three Faces of Helena</t>
  </si>
  <si>
    <t>Churchill's Castle</t>
  </si>
  <si>
    <t>The Last Pharoah</t>
  </si>
  <si>
    <t>The Beast of Stalingrad</t>
  </si>
  <si>
    <t>In Search of Doctor X</t>
  </si>
  <si>
    <t>Alone in the Dark</t>
  </si>
  <si>
    <t>The Snow Wolves</t>
  </si>
  <si>
    <t>Wardenclyffe</t>
  </si>
  <si>
    <t>A Bazarr Way to Die</t>
  </si>
  <si>
    <t>Tom's Story</t>
  </si>
  <si>
    <t>The Girl with the Glass Face</t>
  </si>
  <si>
    <t>Spirit in the Tomb</t>
  </si>
  <si>
    <t>Tomorrow's Fish and Chips</t>
  </si>
  <si>
    <t>Tick-Tock</t>
  </si>
  <si>
    <t>Family</t>
  </si>
  <si>
    <t>Serpent's Child</t>
  </si>
  <si>
    <t>Time Welcomes Responsible Travellers</t>
  </si>
  <si>
    <t>Last Respects</t>
  </si>
  <si>
    <t>Life on Mars on Mars</t>
  </si>
  <si>
    <t>Prime Imperative</t>
  </si>
  <si>
    <t>Buccaneer</t>
  </si>
  <si>
    <t>Moments of Passing</t>
  </si>
  <si>
    <t>Lonely This Christmas</t>
  </si>
  <si>
    <t>Night Work</t>
  </si>
  <si>
    <t>Damn You, Bing Crosby</t>
  </si>
  <si>
    <t>Cliff Richard Saves the World</t>
  </si>
  <si>
    <t>I Saw Three Ships</t>
  </si>
  <si>
    <t>A Bleak Midwinter</t>
  </si>
  <si>
    <t>Claire Bartlett</t>
  </si>
  <si>
    <t>Daniel McGachey</t>
  </si>
  <si>
    <t>Arrrr…</t>
  </si>
  <si>
    <t>Home</t>
  </si>
  <si>
    <t>Out Among the Stars</t>
  </si>
  <si>
    <t>Julianne Todd</t>
  </si>
  <si>
    <t>Louise Blaine</t>
  </si>
  <si>
    <t>Beth Jones</t>
  </si>
  <si>
    <t>1-910868-00-3</t>
  </si>
  <si>
    <t>E2.2</t>
  </si>
  <si>
    <t>E2.1</t>
  </si>
  <si>
    <t>E1</t>
  </si>
  <si>
    <t>The One Place</t>
  </si>
  <si>
    <t>Julianne Todd, Claire Bartlett, Iain McLaughlin</t>
  </si>
  <si>
    <t>E5.01</t>
  </si>
  <si>
    <t>E5.02</t>
  </si>
  <si>
    <t>E5.03</t>
  </si>
  <si>
    <t>E5.04</t>
  </si>
  <si>
    <t>E5.05</t>
  </si>
  <si>
    <t>E5.06</t>
  </si>
  <si>
    <t>E5.07</t>
  </si>
  <si>
    <t>E5.08</t>
  </si>
  <si>
    <t>E5.09</t>
  </si>
  <si>
    <t>E5.1</t>
  </si>
  <si>
    <t>E5.11</t>
  </si>
  <si>
    <t>E5.12</t>
  </si>
  <si>
    <t>E5.13</t>
  </si>
  <si>
    <t>E5.14</t>
  </si>
  <si>
    <t>E4</t>
  </si>
  <si>
    <t>E3</t>
  </si>
  <si>
    <t>E6.1</t>
  </si>
  <si>
    <t>E6.2</t>
  </si>
  <si>
    <t>E7</t>
  </si>
  <si>
    <t>E8.1</t>
  </si>
  <si>
    <t>E8.2</t>
  </si>
  <si>
    <t>E9.02</t>
  </si>
  <si>
    <t>E9.03</t>
  </si>
  <si>
    <t>E9.04</t>
  </si>
  <si>
    <t>E9.05</t>
  </si>
  <si>
    <t>E9.06</t>
  </si>
  <si>
    <t>E9.07</t>
  </si>
  <si>
    <t>E9.08</t>
  </si>
  <si>
    <t>E9.09</t>
  </si>
  <si>
    <t>E10</t>
  </si>
  <si>
    <t>E11</t>
  </si>
  <si>
    <t>E12</t>
  </si>
  <si>
    <t>E13</t>
  </si>
  <si>
    <t>E14.1</t>
  </si>
  <si>
    <t>E14.2</t>
  </si>
  <si>
    <t>Chloe McLaughlin</t>
  </si>
  <si>
    <t>Rachel Blake</t>
  </si>
  <si>
    <t>Kaitlin Moore</t>
  </si>
  <si>
    <t>James Maddox</t>
  </si>
  <si>
    <t>1-14.2 (Out Among the Stars)</t>
  </si>
  <si>
    <t>Candy Jar Books</t>
  </si>
  <si>
    <t>The Forgotten Son</t>
  </si>
  <si>
    <t>The Schizoid Earth</t>
  </si>
  <si>
    <t>Beast of Fang Rock</t>
  </si>
  <si>
    <t>Mutually Assured Domination</t>
  </si>
  <si>
    <t>Moon Blink</t>
  </si>
  <si>
    <t>The Showstoppers</t>
  </si>
  <si>
    <t>The Grandfather Infestation</t>
  </si>
  <si>
    <t>Times Squared</t>
  </si>
  <si>
    <t>Blood of Atlantis</t>
  </si>
  <si>
    <t>Mind of Stone</t>
  </si>
  <si>
    <t>Night of the Intelligence</t>
  </si>
  <si>
    <t>The Daughters of Earth</t>
  </si>
  <si>
    <t>The Dreamer's Lament</t>
  </si>
  <si>
    <t>Andy Frankham-Allen</t>
  </si>
  <si>
    <t>Sadie Miller</t>
  </si>
  <si>
    <t>Jonathan Cooper</t>
  </si>
  <si>
    <t>Rick Cross</t>
  </si>
  <si>
    <t>Benjamin Burford-Jones</t>
  </si>
  <si>
    <t>0-9931191-5-6</t>
  </si>
  <si>
    <t>Terry Molloy</t>
  </si>
  <si>
    <t>0-9933221-7-4</t>
  </si>
  <si>
    <t>0-9935192-3-9</t>
  </si>
  <si>
    <t>A Very Private Haunting</t>
  </si>
  <si>
    <t>Sharon Bidwell</t>
  </si>
  <si>
    <t>Lethbridge-Stewart Novella</t>
  </si>
  <si>
    <t>Lethbridge-Stewart Novel</t>
  </si>
  <si>
    <t>The Life of Evans</t>
  </si>
  <si>
    <t>Time and Again</t>
  </si>
  <si>
    <t>Lethbridge-Stewart Short</t>
  </si>
  <si>
    <t>The Flaming Soldier</t>
  </si>
  <si>
    <t>Travers &amp; Wells</t>
  </si>
  <si>
    <t>The Lost Skin</t>
  </si>
  <si>
    <t>The Ambush!</t>
  </si>
  <si>
    <t>1-13 (A Very Private Haunting)</t>
  </si>
  <si>
    <t>1-4 (The Lost Skin)</t>
  </si>
  <si>
    <t>One Cold Step</t>
  </si>
  <si>
    <t>David A. McIntee, Andy Frankham-Allen</t>
  </si>
  <si>
    <t>Legacies</t>
  </si>
  <si>
    <t>The Cult of the Grinning Man</t>
  </si>
  <si>
    <t>The Fright Before Christmas</t>
  </si>
  <si>
    <t>In His Kiss</t>
  </si>
  <si>
    <t>The Black Eggs of Khufu</t>
  </si>
  <si>
    <t>The Enfolded Time</t>
  </si>
  <si>
    <t>Tom Dexter</t>
  </si>
  <si>
    <t>Sue Hampton</t>
  </si>
  <si>
    <t>Norma Ashley</t>
  </si>
  <si>
    <t>The Creatures in the Cave</t>
  </si>
  <si>
    <t>The Lock-In</t>
  </si>
  <si>
    <t>The Band of Evil</t>
  </si>
  <si>
    <t>The Playing Dead</t>
  </si>
  <si>
    <t>The Last Duty</t>
  </si>
  <si>
    <t>House of Giants</t>
  </si>
  <si>
    <t>Schädengeist's First Love</t>
  </si>
  <si>
    <t>Exodus from Venus</t>
  </si>
  <si>
    <t>Eve of the Fomorians</t>
  </si>
  <si>
    <t>The Wishing Bazaar</t>
  </si>
  <si>
    <t>The Feast of Evans</t>
  </si>
  <si>
    <t>Home for Christmas</t>
  </si>
  <si>
    <t>The Bledoe Cadets and the Bald Man of Pengriffen</t>
  </si>
  <si>
    <t>Roger J Simmonds, Shaun Russell</t>
  </si>
  <si>
    <t>Adrian Sherlock</t>
  </si>
  <si>
    <t>Slouching Towards Det-Sen</t>
  </si>
  <si>
    <t>Lucy Wilson</t>
  </si>
  <si>
    <t>Shaun Collins</t>
  </si>
  <si>
    <t>United in Blood</t>
  </si>
  <si>
    <t>Mark Jones</t>
  </si>
  <si>
    <t>The Two Brigadiers</t>
  </si>
  <si>
    <t>Jonathan Macho</t>
  </si>
  <si>
    <t>The Runaway Bomb</t>
  </si>
  <si>
    <t>When Times Change…</t>
  </si>
  <si>
    <t>Cowpats and Comfort</t>
  </si>
  <si>
    <t>The Case of the Missing Fairy</t>
  </si>
  <si>
    <t>What's Past is Prologue</t>
  </si>
  <si>
    <t>The Note</t>
  </si>
  <si>
    <t>Steve Walton</t>
  </si>
  <si>
    <t>Top Secret</t>
  </si>
  <si>
    <t>HAVOC</t>
  </si>
  <si>
    <t>Faction Paradox Audio</t>
  </si>
  <si>
    <t>Faction Paradox Short</t>
  </si>
  <si>
    <t>Faction Paradox Novel</t>
  </si>
  <si>
    <t>1-34 (The Note)</t>
  </si>
  <si>
    <t>Faction Paradox Comic</t>
  </si>
  <si>
    <t>FPC1</t>
  </si>
  <si>
    <t>Political Animals</t>
  </si>
  <si>
    <t>Jim Calafiore, Peter Palmiotti</t>
  </si>
  <si>
    <t>Paul Mounts</t>
  </si>
  <si>
    <t>Lars Pearson</t>
  </si>
  <si>
    <t>Image Comics</t>
  </si>
  <si>
    <t>FPC2</t>
  </si>
  <si>
    <t>Bêtes Noires &amp; Dark Horses</t>
  </si>
  <si>
    <t>1-2 (Bêtes Noires &amp; Dark Horses)</t>
  </si>
  <si>
    <t>FP</t>
  </si>
  <si>
    <t>FPP1</t>
  </si>
  <si>
    <t>The Faction Paradox Protocols</t>
  </si>
  <si>
    <t>FP1</t>
  </si>
  <si>
    <t>FPP3</t>
  </si>
  <si>
    <t>FPP2</t>
  </si>
  <si>
    <t>Sabbath Dei</t>
  </si>
  <si>
    <t>Sabbath Dei; In the Year of the Cat</t>
  </si>
  <si>
    <t>A Labyrinth of Histories</t>
  </si>
  <si>
    <t>Movers; A Labyrinth of Histories</t>
  </si>
  <si>
    <t>FPN01</t>
  </si>
  <si>
    <t>The Book of the War</t>
  </si>
  <si>
    <t>1-57032-905-2</t>
  </si>
  <si>
    <t>Mad Norwegian Press</t>
  </si>
  <si>
    <t>FPN02</t>
  </si>
  <si>
    <t>This Town Will Never Let Us Go</t>
  </si>
  <si>
    <t>0-9725959-2-6</t>
  </si>
  <si>
    <t>FPN03</t>
  </si>
  <si>
    <t>0-9725959-4-5</t>
  </si>
  <si>
    <t>FPN04</t>
  </si>
  <si>
    <t>FPN05</t>
  </si>
  <si>
    <t>FPN06</t>
  </si>
  <si>
    <t>Warlords of Utopia</t>
  </si>
  <si>
    <t>Warring States</t>
  </si>
  <si>
    <t>Erasing Sherlock</t>
  </si>
  <si>
    <t>Of the City of the Saved…</t>
  </si>
  <si>
    <t>0-9725959-6-1</t>
  </si>
  <si>
    <t>0-9725959-8-8</t>
  </si>
  <si>
    <t>0-9759446-8-1</t>
  </si>
  <si>
    <t>FPS01</t>
  </si>
  <si>
    <t>This Town Will Never Let Us Go Prologue</t>
  </si>
  <si>
    <t>FPS02</t>
  </si>
  <si>
    <t>Of the City of the Saved... Prologue</t>
  </si>
  <si>
    <t>FPS03</t>
  </si>
  <si>
    <t>Toy Story</t>
  </si>
  <si>
    <t>FPS04</t>
  </si>
  <si>
    <t>The Cosmology of the Spiral Politic</t>
  </si>
  <si>
    <t>FPS05</t>
  </si>
  <si>
    <t>Grass</t>
  </si>
  <si>
    <t>FPS06</t>
  </si>
  <si>
    <t>Warlords of Utopia Prologue</t>
  </si>
  <si>
    <t>FPS07</t>
  </si>
  <si>
    <t>The Night is Long, and Dreams Are Legion</t>
  </si>
  <si>
    <t>FPS08</t>
  </si>
  <si>
    <t>Warring States Prologue</t>
  </si>
  <si>
    <t>FPS09</t>
  </si>
  <si>
    <t>Erasing Sherlock Prologue</t>
  </si>
  <si>
    <t>FP2</t>
  </si>
  <si>
    <t>TTHoFP01</t>
  </si>
  <si>
    <t>Coming to Dust</t>
  </si>
  <si>
    <t>The True History of Faction Paradox</t>
  </si>
  <si>
    <t>TTHoFP02</t>
  </si>
  <si>
    <t>The Ship of a Billion Years</t>
  </si>
  <si>
    <t>Alan Stevens, Alistair Lock</t>
  </si>
  <si>
    <t>TTHoFP03</t>
  </si>
  <si>
    <t>Body Politic</t>
  </si>
  <si>
    <t>TTHoFP04</t>
  </si>
  <si>
    <t>Words from Nine Divinities</t>
  </si>
  <si>
    <t>TTHoFP05</t>
  </si>
  <si>
    <t>Ozymandias</t>
  </si>
  <si>
    <t>TTHoFP06</t>
  </si>
  <si>
    <t>The Judgment of Sutekh</t>
  </si>
  <si>
    <t>FPS10</t>
  </si>
  <si>
    <t>FPN07</t>
  </si>
  <si>
    <t>Random Static</t>
  </si>
  <si>
    <t>Newton's Sleep</t>
  </si>
  <si>
    <t>The Return of the King</t>
  </si>
  <si>
    <t>0-473-12498-4</t>
  </si>
  <si>
    <t>FP3</t>
  </si>
  <si>
    <t>The Obverse Paradox</t>
  </si>
  <si>
    <t>FPN10</t>
  </si>
  <si>
    <t>FPN08</t>
  </si>
  <si>
    <t>FPN09</t>
  </si>
  <si>
    <t>FPN12</t>
  </si>
  <si>
    <t>FPN11</t>
  </si>
  <si>
    <t>Against Nature</t>
  </si>
  <si>
    <t>The Brakespeare Voyage</t>
  </si>
  <si>
    <t>Head of State</t>
  </si>
  <si>
    <t>Weapons Grade Snake Oil</t>
  </si>
  <si>
    <t>Spinning Jenny</t>
  </si>
  <si>
    <t>Lawrence Burton</t>
  </si>
  <si>
    <t>Simon Bucher-Jones, Jonathan Dennis</t>
  </si>
  <si>
    <t>Andrew Hickey</t>
  </si>
  <si>
    <t>1-909031-11-1</t>
  </si>
  <si>
    <t>1-909031-33-3</t>
  </si>
  <si>
    <t>FPS11</t>
  </si>
  <si>
    <t>ARi12P01</t>
  </si>
  <si>
    <t>Storyteller</t>
  </si>
  <si>
    <t>ARi12P02</t>
  </si>
  <si>
    <t>Gramps</t>
  </si>
  <si>
    <t>ARi12P03</t>
  </si>
  <si>
    <t>Mightier Than the Sword</t>
  </si>
  <si>
    <t>ARi12P04</t>
  </si>
  <si>
    <t>Now or Thereabouts</t>
  </si>
  <si>
    <t>ARi12P05</t>
  </si>
  <si>
    <t>Nothing Lasts Forever</t>
  </si>
  <si>
    <t>David N Smith &amp; Violet Addison</t>
  </si>
  <si>
    <t>ARi12P06</t>
  </si>
  <si>
    <t>Library Pictures</t>
  </si>
  <si>
    <t>ARi12P07</t>
  </si>
  <si>
    <t>Holding Pattern</t>
  </si>
  <si>
    <t>Scott Harrison</t>
  </si>
  <si>
    <t>ARi12P08</t>
  </si>
  <si>
    <t>The Story of the Peace</t>
  </si>
  <si>
    <t>ARi12P09</t>
  </si>
  <si>
    <t>Print the Legend</t>
  </si>
  <si>
    <t>ARi12P10</t>
  </si>
  <si>
    <t>Tonton Macoute</t>
  </si>
  <si>
    <t>ARi12P11</t>
  </si>
  <si>
    <t>Alchemy</t>
  </si>
  <si>
    <t>ARi12P12</t>
  </si>
  <si>
    <t>A Hundred Words from a Civil War</t>
  </si>
  <si>
    <t>Unification Theory</t>
  </si>
  <si>
    <t>0-956-56054-4</t>
  </si>
  <si>
    <t>Stuart Douglas, Lawrence Miles</t>
  </si>
  <si>
    <t>BWOF01</t>
  </si>
  <si>
    <t>Raleigh Dreaming</t>
  </si>
  <si>
    <t>Elizabeth Evershed</t>
  </si>
  <si>
    <t>BWOF02</t>
  </si>
  <si>
    <t>Office Politics</t>
  </si>
  <si>
    <t>BWOF03</t>
  </si>
  <si>
    <t>...and from the Tower She Did Fall</t>
  </si>
  <si>
    <t>Cate Gardner</t>
  </si>
  <si>
    <t>BWOF04</t>
  </si>
  <si>
    <t>La Santa Muerte</t>
  </si>
  <si>
    <t>Daniel Ribot</t>
  </si>
  <si>
    <t>BWOF05</t>
  </si>
  <si>
    <t>Dos Hombres - A Fable</t>
  </si>
  <si>
    <t>BWOF06</t>
  </si>
  <si>
    <t>All the Fun of the Fear</t>
  </si>
  <si>
    <t>BWOF07</t>
  </si>
  <si>
    <t>Wing Finger</t>
  </si>
  <si>
    <t>Helen Angove</t>
  </si>
  <si>
    <t>BWOF08</t>
  </si>
  <si>
    <t>The Strings</t>
  </si>
  <si>
    <t>Jason Worrad</t>
  </si>
  <si>
    <t>BWOF09</t>
  </si>
  <si>
    <t>Squatters Rights</t>
  </si>
  <si>
    <t>BWOF10</t>
  </si>
  <si>
    <t>After the Velvet Eon</t>
  </si>
  <si>
    <t>BWOF11</t>
  </si>
  <si>
    <t>Remake/Remodel</t>
  </si>
  <si>
    <t>BWOF12</t>
  </si>
  <si>
    <t>Dharmayuddha</t>
  </si>
  <si>
    <t>BWOF13</t>
  </si>
  <si>
    <t>A Star’s View of Caroline</t>
  </si>
  <si>
    <t>BWOF14</t>
  </si>
  <si>
    <t>De Umbris Idearum</t>
  </si>
  <si>
    <t>LE01</t>
  </si>
  <si>
    <t>Playing for Time</t>
  </si>
  <si>
    <t>LE02</t>
  </si>
  <si>
    <t>Dreamer in the Dark</t>
  </si>
  <si>
    <t>EH Timms</t>
  </si>
  <si>
    <t>LE03</t>
  </si>
  <si>
    <t>Annie's Arms</t>
  </si>
  <si>
    <t>Xanna Chown</t>
  </si>
  <si>
    <t>LE04</t>
  </si>
  <si>
    <t>The Mountains are Higher at Home</t>
  </si>
  <si>
    <t>LE05</t>
  </si>
  <si>
    <t>Judy's War</t>
  </si>
  <si>
    <t>Rachel Redhead</t>
  </si>
  <si>
    <t>LE06</t>
  </si>
  <si>
    <t>Red Rover Red Rover</t>
  </si>
  <si>
    <t>LE07</t>
  </si>
  <si>
    <t>The Víkingr Mystique</t>
  </si>
  <si>
    <t>Dorothy Ail</t>
  </si>
  <si>
    <t>LE08</t>
  </si>
  <si>
    <t>Life of Julia</t>
  </si>
  <si>
    <t>Tansy Rayner Roberts</t>
  </si>
  <si>
    <t>LE09</t>
  </si>
  <si>
    <t>Project Thunderbird</t>
  </si>
  <si>
    <t>TBotE01</t>
  </si>
  <si>
    <t>The Annotated Autopsy of Agent A</t>
  </si>
  <si>
    <t>TBotE02</t>
  </si>
  <si>
    <t>Cobweb and Ivory</t>
  </si>
  <si>
    <t>Nate Bumber</t>
  </si>
  <si>
    <t>TBotE03</t>
  </si>
  <si>
    <t>The Book of the Enemy</t>
  </si>
  <si>
    <t>TBotE04</t>
  </si>
  <si>
    <t>T.memeticus: A Morphology</t>
  </si>
  <si>
    <t>TBotE05</t>
  </si>
  <si>
    <t>The Short Briefing Sergeant's Tale</t>
  </si>
  <si>
    <t>TBotE06</t>
  </si>
  <si>
    <t>A Bloody (And Public) Domaine</t>
  </si>
  <si>
    <t>Jacob Black</t>
  </si>
  <si>
    <t>TBotE07</t>
  </si>
  <si>
    <t>Life-Cycle</t>
  </si>
  <si>
    <t>Grant Springford</t>
  </si>
  <si>
    <t>TBotE08</t>
  </si>
  <si>
    <t>First Draft</t>
  </si>
  <si>
    <t>TBotE09</t>
  </si>
  <si>
    <t>Eyes</t>
  </si>
  <si>
    <t>Christian Read</t>
  </si>
  <si>
    <t>TBotE10</t>
  </si>
  <si>
    <t>We are the Enemy</t>
  </si>
  <si>
    <t>TBotE11</t>
  </si>
  <si>
    <t>TBotE12</t>
  </si>
  <si>
    <t>A Choice of Houses</t>
  </si>
  <si>
    <t>TBotE13</t>
  </si>
  <si>
    <t>Houses of Cards</t>
  </si>
  <si>
    <t>Lisa Sarah Good</t>
  </si>
  <si>
    <t>TBotE14</t>
  </si>
  <si>
    <t>The Enemy - The Hole in Everything</t>
  </si>
  <si>
    <t>TBotE15</t>
  </si>
  <si>
    <t>The Enemy of My Enemy Is My Enemy</t>
  </si>
  <si>
    <t>TBotE16</t>
  </si>
  <si>
    <t>No Enemy But Despair</t>
  </si>
  <si>
    <t>TBotE17</t>
  </si>
  <si>
    <t>The Map and the Spider</t>
  </si>
  <si>
    <t>Wilhelm Liebknecht</t>
  </si>
  <si>
    <t>1-90903-165-4</t>
  </si>
  <si>
    <t>FP4</t>
  </si>
  <si>
    <t>The City of the Saved</t>
  </si>
  <si>
    <t>TotC01</t>
  </si>
  <si>
    <t>Akroates</t>
  </si>
  <si>
    <t>TotC02</t>
  </si>
  <si>
    <t>Happily Ever After Is a High-Risk Strategy</t>
  </si>
  <si>
    <t>TotC03</t>
  </si>
  <si>
    <t>The Socratic Problem</t>
  </si>
  <si>
    <t>TotC04</t>
  </si>
  <si>
    <t>Lost Ships and Lost Lands</t>
  </si>
  <si>
    <t>TotC05</t>
  </si>
  <si>
    <t>Highbury</t>
  </si>
  <si>
    <t>TotC06</t>
  </si>
  <si>
    <t>Bruises</t>
  </si>
  <si>
    <t>TotC07</t>
  </si>
  <si>
    <t>About a Girl</t>
  </si>
  <si>
    <t>TotC08</t>
  </si>
  <si>
    <t>Apocalypse Day</t>
  </si>
  <si>
    <t>MTotC01</t>
  </si>
  <si>
    <t>The Long-Distance Somnambulist</t>
  </si>
  <si>
    <t>MTotC02</t>
  </si>
  <si>
    <t>Double Trouble at the Parasites on the Proletariat Club</t>
  </si>
  <si>
    <t>MTotC03</t>
  </si>
  <si>
    <t>Eternity is Just for Starters</t>
  </si>
  <si>
    <t>MTotC04</t>
  </si>
  <si>
    <t>Born Among Briars</t>
  </si>
  <si>
    <t>MTotC05</t>
  </si>
  <si>
    <t>The Mystery of the Rose</t>
  </si>
  <si>
    <t>MTotC06</t>
  </si>
  <si>
    <t>The Isis Method</t>
  </si>
  <si>
    <t>MTotC07</t>
  </si>
  <si>
    <t>Linking material</t>
  </si>
  <si>
    <t>TotGD01</t>
  </si>
  <si>
    <t>Saqqaf</t>
  </si>
  <si>
    <t>TotGD02</t>
  </si>
  <si>
    <t>Young Sherlock Holmes and the Mansion of Doom</t>
  </si>
  <si>
    <t>TotGD03</t>
  </si>
  <si>
    <t>Eliminating the Impossible</t>
  </si>
  <si>
    <t>Jess Faraday</t>
  </si>
  <si>
    <t>TotGD04</t>
  </si>
  <si>
    <t>The Case of the Pipe Dream</t>
  </si>
  <si>
    <t>Chantelle Messier</t>
  </si>
  <si>
    <t>TotGD05</t>
  </si>
  <si>
    <t>Art in the Blood</t>
  </si>
  <si>
    <t>TotGD06</t>
  </si>
  <si>
    <t>The Adventure of the Piltdown Prelate</t>
  </si>
  <si>
    <t>TotGD07</t>
  </si>
  <si>
    <t>The Baker Street Dozen</t>
  </si>
  <si>
    <t>TotGD08</t>
  </si>
  <si>
    <t>Sussex</t>
  </si>
  <si>
    <t>FTotC01</t>
  </si>
  <si>
    <t>Salutation</t>
  </si>
  <si>
    <t>FTotC02</t>
  </si>
  <si>
    <t>Weighty Questions</t>
  </si>
  <si>
    <t>FTotC03</t>
  </si>
  <si>
    <t>Sleeping Giants</t>
  </si>
  <si>
    <t>FTotC04</t>
  </si>
  <si>
    <t>Driving Home for Atonatiuh</t>
  </si>
  <si>
    <t>FTotC05</t>
  </si>
  <si>
    <t>The Smallest Spark</t>
  </si>
  <si>
    <t>Paul Hiscock</t>
  </si>
  <si>
    <t>FTotC06</t>
  </si>
  <si>
    <t>The Places Above, Between and Below</t>
  </si>
  <si>
    <t>Louise Sellers</t>
  </si>
  <si>
    <t>FTotC07</t>
  </si>
  <si>
    <t>We Only Live Twice (But the City Is Not Enough)</t>
  </si>
  <si>
    <t>FTotC08</t>
  </si>
  <si>
    <t>God Encompasses</t>
  </si>
  <si>
    <t>TotCW01</t>
  </si>
  <si>
    <t>The Tale of Sir Hedwyn</t>
  </si>
  <si>
    <t>TotCW02</t>
  </si>
  <si>
    <t>The Age of Meeting Ourselves Again</t>
  </si>
  <si>
    <t>TotCW03</t>
  </si>
  <si>
    <t>The Queen of Clubs</t>
  </si>
  <si>
    <t>TotCW04</t>
  </si>
  <si>
    <t>To Die by the Sword</t>
  </si>
  <si>
    <t>TotCW05</t>
  </si>
  <si>
    <t>Just Passing Through</t>
  </si>
  <si>
    <t>TotCW06</t>
  </si>
  <si>
    <t>Angels on a Hoverbike</t>
  </si>
  <si>
    <t>TotCW07</t>
  </si>
  <si>
    <t>Interlude from a Civil War</t>
  </si>
  <si>
    <t>STotC01</t>
  </si>
  <si>
    <t>Farewell to a World</t>
  </si>
  <si>
    <t>Alexandra Marchon</t>
  </si>
  <si>
    <t>STotC02</t>
  </si>
  <si>
    <t>Mourning the Story</t>
  </si>
  <si>
    <t>Robert Shepherd</t>
  </si>
  <si>
    <t>STotC03</t>
  </si>
  <si>
    <t>Riding Shotgun on a Stage from Grief</t>
  </si>
  <si>
    <t>STotC04</t>
  </si>
  <si>
    <t>Bubble People</t>
  </si>
  <si>
    <t>STotC05</t>
  </si>
  <si>
    <t>Philology: The Real Professional Bag of Tricks</t>
  </si>
  <si>
    <t>James Bojaciuk</t>
  </si>
  <si>
    <t>STotC06</t>
  </si>
  <si>
    <t>Buried on Sunday</t>
  </si>
  <si>
    <t>STotC07</t>
  </si>
  <si>
    <t>The Wandering Child</t>
  </si>
  <si>
    <t>STotC08</t>
  </si>
  <si>
    <t>STotC09</t>
  </si>
  <si>
    <t>Postscript</t>
  </si>
  <si>
    <t>James Bojaciuk and Elizabeth Evershed</t>
  </si>
  <si>
    <t>1-63 (The Map and the Spider)</t>
  </si>
  <si>
    <t>1-12 (Spinning Jenny)</t>
  </si>
  <si>
    <t>Faction Paradox Tale of the City</t>
  </si>
  <si>
    <t>1-47 (Postscript)</t>
  </si>
  <si>
    <t>The Piper's Lament</t>
  </si>
  <si>
    <t>Other Short</t>
  </si>
  <si>
    <t>Other Short Story</t>
  </si>
  <si>
    <t>NAP09</t>
  </si>
  <si>
    <t>Nightshade Prelude</t>
  </si>
  <si>
    <t>DWM NA Prelude</t>
  </si>
  <si>
    <t>NAP08</t>
  </si>
  <si>
    <t>Love and War Prelude</t>
  </si>
  <si>
    <t>NAP10</t>
  </si>
  <si>
    <t>Transit Prelude</t>
  </si>
  <si>
    <t>The Highest Science Prelude</t>
  </si>
  <si>
    <t>NAP12</t>
  </si>
  <si>
    <t>NAP11</t>
  </si>
  <si>
    <t>The Pit Prelude</t>
  </si>
  <si>
    <t>NAP13</t>
  </si>
  <si>
    <t>Deceit Prelude</t>
  </si>
  <si>
    <t>NAP14</t>
  </si>
  <si>
    <t>Lucifer Rising Prelude</t>
  </si>
  <si>
    <t>NAP15</t>
  </si>
  <si>
    <t>White Darkness Prelude</t>
  </si>
  <si>
    <t>NAP16</t>
  </si>
  <si>
    <t>Shadowmind Prelude</t>
  </si>
  <si>
    <t>NAP17</t>
  </si>
  <si>
    <t>Birthright Prelude</t>
  </si>
  <si>
    <t>NAP18</t>
  </si>
  <si>
    <t>Iceberg Prelude</t>
  </si>
  <si>
    <t>NAP19</t>
  </si>
  <si>
    <t>Blood Heat Prelude</t>
  </si>
  <si>
    <t>NAP20</t>
  </si>
  <si>
    <t>The Dimension Riders Prelude</t>
  </si>
  <si>
    <t>The Left-Handed Hummingbird Prelude</t>
  </si>
  <si>
    <t>NAP21</t>
  </si>
  <si>
    <t>Conundrum Prelude</t>
  </si>
  <si>
    <t>NAP23</t>
  </si>
  <si>
    <t>NAP22</t>
  </si>
  <si>
    <t>No Future Prelude</t>
  </si>
  <si>
    <t>NAP24</t>
  </si>
  <si>
    <t>Tragedy Day Prelude</t>
  </si>
  <si>
    <t>NAP25</t>
  </si>
  <si>
    <t>Legacy Prelude</t>
  </si>
  <si>
    <t>NAP26</t>
  </si>
  <si>
    <t>Theatre of War Prelude</t>
  </si>
  <si>
    <t>NAP27</t>
  </si>
  <si>
    <t>All-Consuming Fire Prelude</t>
  </si>
  <si>
    <t>NAP28</t>
  </si>
  <si>
    <t>Blood Harvest Prelude</t>
  </si>
  <si>
    <t>NAP29</t>
  </si>
  <si>
    <t>Strange England Prelude</t>
  </si>
  <si>
    <t>First Frontier Prelude</t>
  </si>
  <si>
    <t>NAP30</t>
  </si>
  <si>
    <t>NAP31</t>
  </si>
  <si>
    <t>St. Anthony's Fire Prelude</t>
  </si>
  <si>
    <t>NAP32</t>
  </si>
  <si>
    <t>NAP33</t>
  </si>
  <si>
    <t>Falls the Shadow Prelude</t>
  </si>
  <si>
    <t>Parasite Prelude</t>
  </si>
  <si>
    <t>NAP34</t>
  </si>
  <si>
    <t>Warlock Prelude</t>
  </si>
  <si>
    <t>NAP35</t>
  </si>
  <si>
    <t>Set Piece Prelude</t>
  </si>
  <si>
    <t>NAP36</t>
  </si>
  <si>
    <t>Infinite Requiem Prelude</t>
  </si>
  <si>
    <t>NAP37</t>
  </si>
  <si>
    <t>Sanctuary Prelude</t>
  </si>
  <si>
    <t>NAP38</t>
  </si>
  <si>
    <t>Human Nature Prelude</t>
  </si>
  <si>
    <t>1-31 (Human Nature Prelude)</t>
  </si>
  <si>
    <t>Who Killed Toby Kinsella?</t>
  </si>
  <si>
    <t>The Dead Don't Rise</t>
  </si>
  <si>
    <t>Nothing to See Here</t>
  </si>
  <si>
    <t>Troubled Waters</t>
  </si>
  <si>
    <t>The Phoenix Strain</t>
  </si>
  <si>
    <t>A Gamble With Time</t>
  </si>
  <si>
    <t>The Splintered Man</t>
  </si>
  <si>
    <t>The Ship of the Sleepwalkers</t>
  </si>
  <si>
    <t>My Enemy's Enemy</t>
  </si>
  <si>
    <t>Time of the Intelligence</t>
  </si>
  <si>
    <t>TNCM1.1</t>
  </si>
  <si>
    <t>TNCM1.2</t>
  </si>
  <si>
    <t>TNCM1.3</t>
  </si>
  <si>
    <t>TNCM1.4</t>
  </si>
  <si>
    <t>TNCM2.1</t>
  </si>
  <si>
    <t>TNCM2.2</t>
  </si>
  <si>
    <t>TNCM2.3</t>
  </si>
  <si>
    <t>TNCM2.4</t>
  </si>
  <si>
    <t>1-78575-201-8</t>
  </si>
  <si>
    <t>The New Counter-Measures</t>
  </si>
  <si>
    <t>Christopher Hatherall</t>
  </si>
  <si>
    <t xml:space="preserve">1-78575-203-2 </t>
  </si>
  <si>
    <t>1-78703-090-9</t>
  </si>
  <si>
    <t>DWA v2.24</t>
  </si>
  <si>
    <t>A Cold Snap</t>
  </si>
  <si>
    <t>Mindgame</t>
  </si>
  <si>
    <t>MT1</t>
  </si>
  <si>
    <t>MT2</t>
  </si>
  <si>
    <t>MT3</t>
  </si>
  <si>
    <t>Prisoner 451</t>
  </si>
  <si>
    <t>Scout Ship</t>
  </si>
  <si>
    <t>Roger Stevens</t>
  </si>
  <si>
    <t>MG</t>
  </si>
  <si>
    <t>Wartime, Devil's End, Mindgame Saga</t>
  </si>
  <si>
    <t>Fellowship of the Ink</t>
  </si>
  <si>
    <t>1-909-67971-9</t>
  </si>
  <si>
    <t>Other Novel</t>
  </si>
  <si>
    <t>Vince Cosmos: Glam Rock Detective</t>
  </si>
  <si>
    <t>Simon Barnard</t>
  </si>
  <si>
    <t>Bafflegab Productions</t>
  </si>
  <si>
    <t>Imaginary Boys</t>
  </si>
  <si>
    <t>Other Audio</t>
  </si>
  <si>
    <t>Imaginary Boys, The Dalek Chronicles</t>
  </si>
  <si>
    <t>The Dalek Conquests</t>
  </si>
  <si>
    <t>1-60283-313-5</t>
  </si>
  <si>
    <t>The Paternoster Investigations</t>
  </si>
  <si>
    <t>Paternoster Gang Investigation</t>
  </si>
  <si>
    <t>DWAv2.01</t>
  </si>
  <si>
    <t>The Singular Case of the Blue Men of the Minch</t>
  </si>
  <si>
    <t>DWAv2.02</t>
  </si>
  <si>
    <t>The Phantom of the Music Hall</t>
  </si>
  <si>
    <t>DWAv2.03</t>
  </si>
  <si>
    <t>DWAv2.04</t>
  </si>
  <si>
    <t>The House of Sorrows</t>
  </si>
  <si>
    <t>DWAv2.05</t>
  </si>
  <si>
    <t>The Singular Case of the Time Machine</t>
  </si>
  <si>
    <t>DWAv2.06</t>
  </si>
  <si>
    <t>The Tudor Engagement</t>
  </si>
  <si>
    <t>DWAv2.07</t>
  </si>
  <si>
    <t>The Curious Case of the Misery Diary</t>
  </si>
  <si>
    <t>DWAv2.08</t>
  </si>
  <si>
    <t>The Spectre of Paternoster Row</t>
  </si>
  <si>
    <t>DWAv2.09</t>
  </si>
  <si>
    <t>The Case of the Dissolving Man</t>
  </si>
  <si>
    <t>DWAv2.10</t>
  </si>
  <si>
    <t>The Confounding Case of the Planetary Prankster</t>
  </si>
  <si>
    <t>DWAv2.11</t>
  </si>
  <si>
    <t>The Importance of Being Strax</t>
  </si>
  <si>
    <t>DWAv2.12</t>
  </si>
  <si>
    <t>The Case of the Curious Fugitive</t>
  </si>
  <si>
    <t>DWAv2.13</t>
  </si>
  <si>
    <t>The Pernicious Plots of the Big Game Hunter</t>
  </si>
  <si>
    <t>DWAv2.14</t>
  </si>
  <si>
    <t>The Dangerous Dilemma of the Dream Doorway</t>
  </si>
  <si>
    <t>DWAv2.15</t>
  </si>
  <si>
    <t>The Terror of the Thames</t>
  </si>
  <si>
    <t>DWAv2.16</t>
  </si>
  <si>
    <t>The Pneuman League</t>
  </si>
  <si>
    <t>DWAv2.17</t>
  </si>
  <si>
    <t>The Curious Case of the Miniature Menaces</t>
  </si>
  <si>
    <t>DWAv2.18</t>
  </si>
  <si>
    <t>The Fear Factory</t>
  </si>
  <si>
    <t>DWAv2.19</t>
  </si>
  <si>
    <t>The Insidious Ideas of the Danger Thinkers</t>
  </si>
  <si>
    <t>DWAv2.20</t>
  </si>
  <si>
    <t>The Howling on the Hills</t>
  </si>
  <si>
    <t>DWAv2.21</t>
  </si>
  <si>
    <t>The Evolution Episode</t>
  </si>
  <si>
    <t>DWAv2.22</t>
  </si>
  <si>
    <t>Assassin on the Railroads</t>
  </si>
  <si>
    <t>DWAv2.23</t>
  </si>
  <si>
    <t>The Inscrutable Illusionist</t>
  </si>
  <si>
    <t>DWAv2.24</t>
  </si>
  <si>
    <t xml:space="preserve">The Curious Case of the Weirdling Woods </t>
  </si>
  <si>
    <t>1-24 (The Curious Case of the Weirdling Woods)</t>
  </si>
  <si>
    <t>TPGI</t>
  </si>
  <si>
    <t>M1-3</t>
  </si>
  <si>
    <t>Miranda</t>
  </si>
  <si>
    <t>Allan Bednar, Robert Blancas, Miguel Montenegro, Jon Taylor</t>
  </si>
  <si>
    <t>David Whittam</t>
  </si>
  <si>
    <t>Comeuppance Comics</t>
  </si>
  <si>
    <t>TF01</t>
  </si>
  <si>
    <t>Project: Longinus</t>
  </si>
  <si>
    <t>Bryan Coyle</t>
  </si>
  <si>
    <t>TF02</t>
  </si>
  <si>
    <t>TF03</t>
  </si>
  <si>
    <t>Graveyard Shift Comics</t>
  </si>
  <si>
    <t>Bullies</t>
  </si>
  <si>
    <t>Ambush, Miranda, The Forge</t>
  </si>
  <si>
    <t>Classic Doctor, New Monster</t>
  </si>
  <si>
    <r>
      <t>BS</t>
    </r>
    <r>
      <rPr>
        <sz val="8"/>
        <color indexed="55"/>
        <rFont val="Calibri"/>
        <family val="2"/>
      </rPr>
      <t>∞</t>
    </r>
  </si>
  <si>
    <t>DVD+</t>
  </si>
  <si>
    <t>MP3/LC</t>
  </si>
  <si>
    <t>LC</t>
  </si>
  <si>
    <t>##; ##; ##; ##;</t>
  </si>
  <si>
    <t>##; ##; ##; ##; ##; ##</t>
  </si>
  <si>
    <t>Sticking Together</t>
  </si>
  <si>
    <t>The Papist and the Witch; Vinegar Tom; The Martyrdom of Doctor Who; Behind the Veil</t>
  </si>
  <si>
    <t>PROBE</t>
  </si>
  <si>
    <t>1-24 (A Cold Snap)</t>
  </si>
  <si>
    <t>Foreign Investment; Trading Partners; Controlling Interests; Hostile Takeover</t>
  </si>
  <si>
    <t>Stocktaking; Worker Relations; Customer Satisfaction; Express Delivery</t>
  </si>
  <si>
    <t>Early Release; The Prison Inspectors; The Coming of the Terror; Blooming</t>
  </si>
  <si>
    <t>This Wide and Universal Theatre; Exits and Entrances; The Conscience of the King; The Play's the Thing</t>
  </si>
  <si>
    <t>3DA4.1</t>
  </si>
  <si>
    <t>The Rise of the New Humans</t>
  </si>
  <si>
    <t>1-78703-501-0</t>
  </si>
  <si>
    <t>3DA4.2</t>
  </si>
  <si>
    <t>The Tyrants of Logic</t>
  </si>
  <si>
    <t>1.1-4.2 (The Tyrants of Logic)</t>
  </si>
  <si>
    <t>1.01-3.13 (A Confusion of Angels)</t>
  </si>
  <si>
    <t>8R.1</t>
  </si>
  <si>
    <t>EDAR1.1</t>
  </si>
  <si>
    <t>Their Finest Hour</t>
  </si>
  <si>
    <t>1-78703-550-8</t>
  </si>
  <si>
    <t>Ravenous</t>
  </si>
  <si>
    <t>EDAR1.2</t>
  </si>
  <si>
    <t>EDAR1.3</t>
  </si>
  <si>
    <t>EDAR1.4</t>
  </si>
  <si>
    <t>How to Make a Killing in Time Travel</t>
  </si>
  <si>
    <t>World of Damnation</t>
  </si>
  <si>
    <t>Sweet Salvation</t>
  </si>
  <si>
    <t>1.1-4.10 (To the Death), DE 1-4, DC 1-4, R 1</t>
  </si>
  <si>
    <t>The Helliax Rift</t>
  </si>
  <si>
    <t>1-78178-823-3</t>
  </si>
  <si>
    <t>Serpent in the Silver Mask</t>
  </si>
  <si>
    <t>1-78178-821-9</t>
  </si>
  <si>
    <t>STA8.04</t>
  </si>
  <si>
    <t>Erasure</t>
  </si>
  <si>
    <t>Seán Carlsen</t>
  </si>
  <si>
    <t>1-78575-999-4</t>
  </si>
  <si>
    <t>Ruth</t>
  </si>
  <si>
    <t>Charlie</t>
  </si>
  <si>
    <t>STA8.03</t>
  </si>
  <si>
    <t>The Turn of the Screw</t>
  </si>
  <si>
    <t>Yee Jee Tso</t>
  </si>
  <si>
    <t>1-78575-997-0</t>
  </si>
  <si>
    <t>10DC1.1</t>
  </si>
  <si>
    <t>The Taste of Death</t>
  </si>
  <si>
    <t>Jacob Dudman</t>
  </si>
  <si>
    <t>1-78703-225-5</t>
  </si>
  <si>
    <t>10th Doctor Chronicle</t>
  </si>
  <si>
    <t>10DC1.2</t>
  </si>
  <si>
    <t>Backtrack</t>
  </si>
  <si>
    <t>Matthew J Elliott</t>
  </si>
  <si>
    <t>10DC1.3</t>
  </si>
  <si>
    <t>Wild Pastures</t>
  </si>
  <si>
    <t>10DC1.4</t>
  </si>
  <si>
    <t>Last Chance</t>
  </si>
  <si>
    <t>The Last Beacon</t>
  </si>
  <si>
    <t>1-78703-247-7</t>
  </si>
  <si>
    <t>BFTW20</t>
  </si>
  <si>
    <t>BFTW19</t>
  </si>
  <si>
    <t>The Death of Captain Jack</t>
  </si>
  <si>
    <t>1-78703-241-5</t>
  </si>
  <si>
    <t>BFTWB</t>
  </si>
  <si>
    <t>Believe</t>
  </si>
  <si>
    <t>1-78703-579-9</t>
  </si>
  <si>
    <t>4DA7.1</t>
  </si>
  <si>
    <t>The Sons of Kaldor</t>
  </si>
  <si>
    <t>1-78703-078-7</t>
  </si>
  <si>
    <t>4DA7.2</t>
  </si>
  <si>
    <t>The Crowmarsh Experiment</t>
  </si>
  <si>
    <t>1-78703-079-4</t>
  </si>
  <si>
    <t>4DA7.3</t>
  </si>
  <si>
    <t>The Mind Runners</t>
  </si>
  <si>
    <t>1-78703-080-0</t>
  </si>
  <si>
    <t>4DA7.4</t>
  </si>
  <si>
    <t>The Demon Rises</t>
  </si>
  <si>
    <t>1-78703-081-7</t>
  </si>
  <si>
    <t>1-78575-967-3</t>
  </si>
  <si>
    <t>UEn</t>
  </si>
  <si>
    <t>UAs</t>
  </si>
  <si>
    <t>UCR</t>
  </si>
  <si>
    <t>UNIT7.3</t>
  </si>
  <si>
    <t>UNIT7.4</t>
  </si>
  <si>
    <t>Encounters: The Dalek Transaction</t>
  </si>
  <si>
    <t>The Dalek Transaction</t>
  </si>
  <si>
    <t>Invocation</t>
  </si>
  <si>
    <t>The Sontaran Project</t>
  </si>
  <si>
    <t>False Negative</t>
  </si>
  <si>
    <t>Encounters: False Negative</t>
  </si>
  <si>
    <t>Encounters: The Sontaran Project</t>
  </si>
  <si>
    <t>Encounters: Invocation</t>
  </si>
  <si>
    <t>1-78575-969-7</t>
  </si>
  <si>
    <t>Game Theory</t>
  </si>
  <si>
    <t>Telepresence</t>
  </si>
  <si>
    <t>Code Silver</t>
  </si>
  <si>
    <t>Master of Worlds</t>
  </si>
  <si>
    <t>Cyber-Reality: Game Theory</t>
  </si>
  <si>
    <t>Cyber-Reality: Telepresence</t>
  </si>
  <si>
    <t>Cyber-Reality: Code Silver</t>
  </si>
  <si>
    <t>Cyber-Reality: Master of Worlds</t>
  </si>
  <si>
    <t>1-78703-082-4</t>
  </si>
  <si>
    <t>4DA7.5</t>
  </si>
  <si>
    <t>4DA7.6</t>
  </si>
  <si>
    <t>4DA7.7</t>
  </si>
  <si>
    <t>4DA7.8</t>
  </si>
  <si>
    <t>The Shadow of London</t>
  </si>
  <si>
    <t>The Bad Penny</t>
  </si>
  <si>
    <t>Kill the Doctor!</t>
  </si>
  <si>
    <t>The Age of Sutekh</t>
  </si>
  <si>
    <t>1-78703-083-1</t>
  </si>
  <si>
    <t>1-78703-084-8</t>
  </si>
  <si>
    <t>1-78703-085-5</t>
  </si>
  <si>
    <t>The Lure of the Nomad</t>
  </si>
  <si>
    <t>Mathew</t>
  </si>
  <si>
    <t>BFTW21</t>
  </si>
  <si>
    <t>We Always Get Out Alive</t>
  </si>
  <si>
    <t>1.1-7.8 (The Age of Sutekh)</t>
  </si>
  <si>
    <t>1.0-8.4 (Cyber-Reality: Master of Worlds)</t>
  </si>
  <si>
    <t>1-78703-393-1</t>
  </si>
  <si>
    <t>War Master</t>
  </si>
  <si>
    <t>TWM1.2</t>
  </si>
  <si>
    <t>TWM1.3</t>
  </si>
  <si>
    <t>TWM1.4</t>
  </si>
  <si>
    <t>Janine Jones</t>
  </si>
  <si>
    <t>Beneath the Viscoid</t>
  </si>
  <si>
    <t>The Good Master</t>
  </si>
  <si>
    <t>The Sky Man</t>
  </si>
  <si>
    <t>The Heavenly Paradigm</t>
  </si>
  <si>
    <t>Only the Good: Beneath the Viscoid</t>
  </si>
  <si>
    <t>Only the Good: The Good Master</t>
  </si>
  <si>
    <t>Only the Good: The Sky Man</t>
  </si>
  <si>
    <t>Only the Good: The Heavenly Paradigm</t>
  </si>
  <si>
    <t>1.1-1.4 (The Heavenly Paradigm)</t>
  </si>
  <si>
    <t>J&amp;L14</t>
  </si>
  <si>
    <t>Jago &amp; Litefoot Forever</t>
  </si>
  <si>
    <t>1-78703-547-8</t>
  </si>
  <si>
    <t>The New Unusual</t>
  </si>
  <si>
    <t>The Man from Yesterday</t>
  </si>
  <si>
    <t>LSN16</t>
  </si>
  <si>
    <t>LSN15</t>
  </si>
  <si>
    <t>LSN14</t>
  </si>
  <si>
    <t>Adrian Sherlock, Andy Frankham-Allen</t>
  </si>
  <si>
    <t>LSN01</t>
  </si>
  <si>
    <t>LSN02</t>
  </si>
  <si>
    <t>LSN03</t>
  </si>
  <si>
    <t>LSN04</t>
  </si>
  <si>
    <t>LSN05</t>
  </si>
  <si>
    <t>LSN06</t>
  </si>
  <si>
    <t>LSN07</t>
  </si>
  <si>
    <t>LSN08</t>
  </si>
  <si>
    <t>LSN09</t>
  </si>
  <si>
    <t>LSN10</t>
  </si>
  <si>
    <t>LSN11</t>
  </si>
  <si>
    <t>LSN12</t>
  </si>
  <si>
    <t>LSN13</t>
  </si>
  <si>
    <t>LSNA1</t>
  </si>
  <si>
    <t>LSNA2</t>
  </si>
  <si>
    <t>LSNA3</t>
  </si>
  <si>
    <t>LSNA4</t>
  </si>
  <si>
    <t>LSS2.03</t>
  </si>
  <si>
    <t>LSS1.01</t>
  </si>
  <si>
    <t>LSS1.02</t>
  </si>
  <si>
    <t>LSS1.03</t>
  </si>
  <si>
    <t>LSS1.05</t>
  </si>
  <si>
    <t>LSS1.04</t>
  </si>
  <si>
    <t>LSS1.06</t>
  </si>
  <si>
    <t>LSS1.07</t>
  </si>
  <si>
    <t>LSS1.08</t>
  </si>
  <si>
    <t>LSS2.05</t>
  </si>
  <si>
    <t>LSS2.04</t>
  </si>
  <si>
    <t>LSS2.06</t>
  </si>
  <si>
    <t>LSS2.07</t>
  </si>
  <si>
    <t>LSS2.01</t>
  </si>
  <si>
    <t>LSS2.02</t>
  </si>
  <si>
    <t>LSS2.08</t>
  </si>
  <si>
    <t>LSS2.09</t>
  </si>
  <si>
    <t>LSS3.03</t>
  </si>
  <si>
    <t>LSS4.01</t>
  </si>
  <si>
    <t>LSS4.02</t>
  </si>
  <si>
    <t>LSS4.03</t>
  </si>
  <si>
    <t>LSS4.04</t>
  </si>
  <si>
    <t>LSS3.02</t>
  </si>
  <si>
    <t>LSS3.04</t>
  </si>
  <si>
    <t>LSS3.05</t>
  </si>
  <si>
    <t>LSS3.06</t>
  </si>
  <si>
    <t>LSS3.07</t>
  </si>
  <si>
    <t>LSS3.08</t>
  </si>
  <si>
    <t>LSS4.08</t>
  </si>
  <si>
    <t>LSS4.05</t>
  </si>
  <si>
    <t>LSS4.06</t>
  </si>
  <si>
    <t>LSS4.07</t>
  </si>
  <si>
    <t>The Contented Mind</t>
  </si>
  <si>
    <t>The Cruel Oil</t>
  </si>
  <si>
    <t>All the King's Men</t>
  </si>
  <si>
    <t>The Great Magician and the Spirit of the Vasty Deep</t>
  </si>
  <si>
    <t>The Slow Invasion</t>
  </si>
  <si>
    <t>Wink Taylor</t>
  </si>
  <si>
    <t>Harry Draper</t>
  </si>
  <si>
    <t>Alyson Leeds</t>
  </si>
  <si>
    <t>Gareth Madgwick</t>
  </si>
  <si>
    <t>Andrew Allen</t>
  </si>
  <si>
    <t>All the Kings Men</t>
  </si>
  <si>
    <t>'48 Crash</t>
  </si>
  <si>
    <t>LSS4.09</t>
  </si>
  <si>
    <t>Mark Carton</t>
  </si>
  <si>
    <t>FCBD2018.1</t>
  </si>
  <si>
    <t>Catch a Falling Star</t>
  </si>
  <si>
    <t>FCBD2018.2</t>
  </si>
  <si>
    <t>The Armageddon Gambit</t>
  </si>
  <si>
    <t>Titan 7th Doctor Strip</t>
  </si>
  <si>
    <t>FCBD2018.3</t>
  </si>
  <si>
    <t>Midnight Feast</t>
  </si>
  <si>
    <t>FCBD2018.4</t>
  </si>
  <si>
    <t>And Introducing…</t>
  </si>
  <si>
    <t>Jody Houser</t>
  </si>
  <si>
    <t>Titan 13th Doctor Strip</t>
  </si>
  <si>
    <t>The Clockwise War</t>
  </si>
  <si>
    <t>Peter Ware, Marcus Hearn</t>
  </si>
  <si>
    <t>TDSSTD4</t>
  </si>
  <si>
    <t>Bill and the Three Jackets</t>
  </si>
  <si>
    <t>Kelly Wagner</t>
  </si>
  <si>
    <t>1-40592-997-4</t>
  </si>
  <si>
    <t>Day She Saved the Doctor</t>
  </si>
  <si>
    <t>TDSSTD3</t>
  </si>
  <si>
    <t>Clara and the Maze of Cui Palta</t>
  </si>
  <si>
    <t>Susan Calman</t>
  </si>
  <si>
    <t>Catrin Stewart</t>
  </si>
  <si>
    <t>TDSSTD2</t>
  </si>
  <si>
    <t>Rose and the Snow Window</t>
  </si>
  <si>
    <t>TDSSTD1</t>
  </si>
  <si>
    <t>Sarah Jane and the Temple of Eyes</t>
  </si>
  <si>
    <t>1-4 (Bill and the Three Jackets)</t>
  </si>
  <si>
    <t>LWN01</t>
  </si>
  <si>
    <t>Avatars of the Intelligence</t>
  </si>
  <si>
    <t>Shaun Russell</t>
  </si>
  <si>
    <t>Lucy Wilson Mystery</t>
  </si>
  <si>
    <t>LWN02</t>
  </si>
  <si>
    <t>Curse of the Mirror Clowns</t>
  </si>
  <si>
    <t>Chris Lynch</t>
  </si>
  <si>
    <t>Prelude: Tick Tock</t>
  </si>
  <si>
    <t>1-2 (Curse of the Mirror Clowns)</t>
  </si>
  <si>
    <t>Devil's End</t>
  </si>
  <si>
    <t>James Hudnall</t>
  </si>
  <si>
    <t>Luis Rivera</t>
  </si>
  <si>
    <t>Michael Waggoner, Keith Barnfather</t>
  </si>
  <si>
    <t>Lucky Comics</t>
  </si>
  <si>
    <t>Devil's End Strip</t>
  </si>
  <si>
    <t>1.1-1.4 (Zero Space)</t>
  </si>
  <si>
    <t>JTDD1.1</t>
  </si>
  <si>
    <t>1-78703-239-2</t>
  </si>
  <si>
    <t>Jenny Story</t>
  </si>
  <si>
    <t>Stolen Goods</t>
  </si>
  <si>
    <t>JTDD1.2</t>
  </si>
  <si>
    <t>Prisoner of the Ood</t>
  </si>
  <si>
    <t>JTDD1.3</t>
  </si>
  <si>
    <t>JTDD1.4</t>
  </si>
  <si>
    <t>Neon Reign</t>
  </si>
  <si>
    <t>Zero Space</t>
  </si>
  <si>
    <t>Christian Brassington</t>
  </si>
  <si>
    <t>CC12.1</t>
  </si>
  <si>
    <t>The Curator's Egg</t>
  </si>
  <si>
    <t>1-78703-487-7</t>
  </si>
  <si>
    <t>Lisa Bowerman, Helen Goldwyn</t>
  </si>
  <si>
    <t>CC12.2</t>
  </si>
  <si>
    <t>Dumb Waiter</t>
  </si>
  <si>
    <t>CC12.3</t>
  </si>
  <si>
    <t>CC12.4</t>
  </si>
  <si>
    <t>The Iron Maid</t>
  </si>
  <si>
    <t>The Tactics of Defeat</t>
  </si>
  <si>
    <t>Iron Bright</t>
  </si>
  <si>
    <t>1-78178-827-1</t>
  </si>
  <si>
    <t>BFTW22</t>
  </si>
  <si>
    <t>Goodbye Picadilly</t>
  </si>
  <si>
    <t>1-78703-467-9</t>
  </si>
  <si>
    <t>1-78703-465-5</t>
  </si>
  <si>
    <t>1-78703-010-7</t>
  </si>
  <si>
    <t>1.01-4.04 (Goodbye Picadilly) + Outbreak/AAU/Believe</t>
  </si>
  <si>
    <t>1.01-8.05 (Trap for Fools), X-33 (The Night Before Christmas)</t>
  </si>
  <si>
    <t>STA8.05</t>
  </si>
  <si>
    <t>Trap for Fools</t>
  </si>
  <si>
    <t>1-78703-000-8</t>
  </si>
  <si>
    <t>STA8:06</t>
  </si>
  <si>
    <t>The Seige of Big Ben</t>
  </si>
  <si>
    <t>Camille Coduri</t>
  </si>
  <si>
    <t>10'</t>
  </si>
  <si>
    <t>1-78575-996-3</t>
  </si>
  <si>
    <t>Operation Volcano</t>
  </si>
  <si>
    <t>Gilmore</t>
  </si>
  <si>
    <t>Rachel</t>
  </si>
  <si>
    <t>Allison</t>
  </si>
  <si>
    <t>The Armageddon Gambit, Operation Volcano, etc</t>
  </si>
  <si>
    <t>Hill of Beans</t>
  </si>
  <si>
    <t>Jessica Martin</t>
  </si>
  <si>
    <t>The Quick and the Dead</t>
  </si>
  <si>
    <t>S2a</t>
  </si>
  <si>
    <t>S2b</t>
  </si>
  <si>
    <t>S2c</t>
  </si>
  <si>
    <t>TW4b</t>
  </si>
  <si>
    <t>S1a</t>
  </si>
  <si>
    <t>S1b</t>
  </si>
  <si>
    <t>New Faces</t>
  </si>
  <si>
    <t>1b</t>
  </si>
  <si>
    <t>2a</t>
  </si>
  <si>
    <t>2b</t>
  </si>
  <si>
    <t>2c</t>
  </si>
  <si>
    <t>3a</t>
  </si>
  <si>
    <t>3c</t>
  </si>
  <si>
    <t>3b</t>
  </si>
  <si>
    <t>4a</t>
  </si>
  <si>
    <t>4b</t>
  </si>
  <si>
    <t>The Highlander</t>
  </si>
  <si>
    <t>5b</t>
  </si>
  <si>
    <t>Genius</t>
  </si>
  <si>
    <t>Rejoinders</t>
  </si>
  <si>
    <t>1879</t>
  </si>
  <si>
    <t>1897 on</t>
  </si>
  <si>
    <t>1970s</t>
  </si>
  <si>
    <t>2005</t>
  </si>
  <si>
    <t>2006</t>
  </si>
  <si>
    <t>2007</t>
  </si>
  <si>
    <t>2008</t>
  </si>
  <si>
    <t>2009</t>
  </si>
  <si>
    <t>1940</t>
  </si>
  <si>
    <t>1950s</t>
  </si>
  <si>
    <t>Second Empire</t>
  </si>
  <si>
    <t>Second Empire Story</t>
  </si>
  <si>
    <t>Mechmaster</t>
  </si>
  <si>
    <t>1-78703-383-2</t>
  </si>
  <si>
    <t>EDATW2.1</t>
  </si>
  <si>
    <t>EDATW2.2</t>
  </si>
  <si>
    <t>EDATW2.3</t>
  </si>
  <si>
    <t>EDATW2.4</t>
  </si>
  <si>
    <t>The Lords of Terror</t>
  </si>
  <si>
    <t>Planet of the Ogrons</t>
  </si>
  <si>
    <t>In the Garden of Death</t>
  </si>
  <si>
    <t>1DA2.1</t>
  </si>
  <si>
    <t>1DA2.2</t>
  </si>
  <si>
    <t>The Invention of Death</t>
  </si>
  <si>
    <t>The Barbarians and the Samurai</t>
  </si>
  <si>
    <t>1-78703-454-9</t>
  </si>
  <si>
    <t>The Forbidden Land; Barbarians Among Us; Power Play; Fall of the Samurai</t>
  </si>
  <si>
    <t>Arthur Conan Coyle</t>
  </si>
  <si>
    <t>1893</t>
  </si>
  <si>
    <t>Sidney Paget</t>
  </si>
  <si>
    <t>The Strand Magazine</t>
  </si>
  <si>
    <t>The Adventure of Silver Blaze</t>
  </si>
  <si>
    <t>The Adventure of the Cardboard Box</t>
  </si>
  <si>
    <t>The Adventure of the Yellow Face</t>
  </si>
  <si>
    <t>The Adventure of the Stockbroker's Clerk</t>
  </si>
  <si>
    <t>The Adventure of the Gloria Scott</t>
  </si>
  <si>
    <t>The Adventure of the Musgrave Ritual</t>
  </si>
  <si>
    <t>The Adventure of the Reigate Squire</t>
  </si>
  <si>
    <t>The Adventure of the Crooked Man</t>
  </si>
  <si>
    <t>The Adventure of the Resident Patient</t>
  </si>
  <si>
    <t>The Adventure of the Greek Interpreter</t>
  </si>
  <si>
    <t>The Adventure of the Naval Treaty</t>
  </si>
  <si>
    <t>The Final Problem</t>
  </si>
  <si>
    <t>A Scandal in Bohemia</t>
  </si>
  <si>
    <t>The Red-Headed League</t>
  </si>
  <si>
    <t>A Case of Identity</t>
  </si>
  <si>
    <t>The Boscombe Valley Mystery</t>
  </si>
  <si>
    <t>The Five Orange Pips</t>
  </si>
  <si>
    <t>The Man with the Twisted Lip</t>
  </si>
  <si>
    <t>The Adventure of the Blue Carbuncle</t>
  </si>
  <si>
    <t>The Adventure of the Speckled Band</t>
  </si>
  <si>
    <t>The Adventure of the Engineer's Thumb</t>
  </si>
  <si>
    <t>The Adventure of the Noble Bachelor</t>
  </si>
  <si>
    <t>The Adventure of the Beryl Coronet</t>
  </si>
  <si>
    <t>The Adventure of the Copper Beeches</t>
  </si>
  <si>
    <t>Sherlock Holmes Short</t>
  </si>
  <si>
    <t>A Study in Scarlet</t>
  </si>
  <si>
    <t>Beeton's Christmas Annual</t>
  </si>
  <si>
    <t>Sherlock Holmes Novel</t>
  </si>
  <si>
    <t>The Sign of Four</t>
  </si>
  <si>
    <t>Lipincott's Monthly Magazine</t>
  </si>
  <si>
    <t>STUD</t>
  </si>
  <si>
    <t>SIGN</t>
  </si>
  <si>
    <t>SCAN</t>
  </si>
  <si>
    <t>REDH</t>
  </si>
  <si>
    <t>IDEN</t>
  </si>
  <si>
    <t>BOSC</t>
  </si>
  <si>
    <t>FIVE</t>
  </si>
  <si>
    <t>TWIS</t>
  </si>
  <si>
    <t>BLUE</t>
  </si>
  <si>
    <t>SPEC</t>
  </si>
  <si>
    <t>ENGR</t>
  </si>
  <si>
    <t>NOBL</t>
  </si>
  <si>
    <t>BERY</t>
  </si>
  <si>
    <t>COPP</t>
  </si>
  <si>
    <t>SILV</t>
  </si>
  <si>
    <t>CARD</t>
  </si>
  <si>
    <t>YELL</t>
  </si>
  <si>
    <t>STOC</t>
  </si>
  <si>
    <t>GLOR</t>
  </si>
  <si>
    <t>MUSG</t>
  </si>
  <si>
    <t>REIG</t>
  </si>
  <si>
    <t>CROO</t>
  </si>
  <si>
    <t>RESI</t>
  </si>
  <si>
    <t>GREE</t>
  </si>
  <si>
    <t>NAVA</t>
  </si>
  <si>
    <t>FINA</t>
  </si>
  <si>
    <t>HOUN</t>
  </si>
  <si>
    <t>The Hound of the Baskervilles</t>
  </si>
  <si>
    <t>The Valley of Fear</t>
  </si>
  <si>
    <t>Nov-1893</t>
  </si>
  <si>
    <t>Nov-1887</t>
  </si>
  <si>
    <t>Feb-1890</t>
  </si>
  <si>
    <t>Jul-1891</t>
  </si>
  <si>
    <t>Aug-1891</t>
  </si>
  <si>
    <t>Sep-1891</t>
  </si>
  <si>
    <t>Oct-1891</t>
  </si>
  <si>
    <t>Nov-1891</t>
  </si>
  <si>
    <t>Dec-1891</t>
  </si>
  <si>
    <t>Jan-1892</t>
  </si>
  <si>
    <t>Feb-1892</t>
  </si>
  <si>
    <t>Mar-1892</t>
  </si>
  <si>
    <t>Apr-1892</t>
  </si>
  <si>
    <t>May-1892</t>
  </si>
  <si>
    <t>Jun-1892</t>
  </si>
  <si>
    <t>Dec-1892</t>
  </si>
  <si>
    <t>Jan-1893</t>
  </si>
  <si>
    <t>Feb-1893</t>
  </si>
  <si>
    <t>Mar-1893</t>
  </si>
  <si>
    <t>Apr-1893</t>
  </si>
  <si>
    <t>May-1893</t>
  </si>
  <si>
    <t>Jun-1893</t>
  </si>
  <si>
    <t>Jul-1893</t>
  </si>
  <si>
    <t>Aug-1893</t>
  </si>
  <si>
    <t>Sep-1893</t>
  </si>
  <si>
    <t>Oct-1893</t>
  </si>
  <si>
    <t>Dec-1893</t>
  </si>
  <si>
    <t>VALL</t>
  </si>
  <si>
    <t>The Adventure of the Empty House</t>
  </si>
  <si>
    <t>The Adventure of the Norwood Builder</t>
  </si>
  <si>
    <t>The Adventure of the Dancing Men</t>
  </si>
  <si>
    <t>The Adventure of the Solitary Cyclist</t>
  </si>
  <si>
    <t>The Adventure of the Priory School</t>
  </si>
  <si>
    <t>The Adventure of Black Peter</t>
  </si>
  <si>
    <t>The Adventure of Charles Augustus Milverton</t>
  </si>
  <si>
    <t>The Adventure of the Six Napoleons</t>
  </si>
  <si>
    <t>The Adventure of the Three Students</t>
  </si>
  <si>
    <t>The Adventure of the Golden Pince-Nez</t>
  </si>
  <si>
    <t>The Adventure of the Missing Three-Quarter</t>
  </si>
  <si>
    <t>The Adventure of the Abbey Grange</t>
  </si>
  <si>
    <t>The Adventure of the Second Stain</t>
  </si>
  <si>
    <t>EMPT</t>
  </si>
  <si>
    <t>NORW</t>
  </si>
  <si>
    <t>DANC</t>
  </si>
  <si>
    <t>SOLI</t>
  </si>
  <si>
    <t>PRIO</t>
  </si>
  <si>
    <t>BLAC</t>
  </si>
  <si>
    <t>CHAS</t>
  </si>
  <si>
    <t>SIXN</t>
  </si>
  <si>
    <t>3STU</t>
  </si>
  <si>
    <t>GOLD</t>
  </si>
  <si>
    <t>MISS</t>
  </si>
  <si>
    <t>ABBE</t>
  </si>
  <si>
    <t>SECO</t>
  </si>
  <si>
    <t>Collier's</t>
  </si>
  <si>
    <t>Preface by John H. Watson, M.D.</t>
  </si>
  <si>
    <t>The Adventure of Wisteria Lodge</t>
  </si>
  <si>
    <t>The Adventure of the Red Circle</t>
  </si>
  <si>
    <t>The Adventure of the Bruce-Partington Plans</t>
  </si>
  <si>
    <t>The Adventure of the Dying Detective</t>
  </si>
  <si>
    <t>The Disappearance of Lady Frances Carfax</t>
  </si>
  <si>
    <t>The Adventure of the Devil's Foot</t>
  </si>
  <si>
    <t>His Last Bow. An Epilogue of Sherlock Holmes</t>
  </si>
  <si>
    <t>WIST</t>
  </si>
  <si>
    <t>BRUC</t>
  </si>
  <si>
    <t>DEVI</t>
  </si>
  <si>
    <t>REDC</t>
  </si>
  <si>
    <t>LADY</t>
  </si>
  <si>
    <t>DYIN</t>
  </si>
  <si>
    <t>LAST</t>
  </si>
  <si>
    <t>John Murray</t>
  </si>
  <si>
    <t>The Adventure of the Illustrious Client</t>
  </si>
  <si>
    <t>The Adventure of the Blanched Soldier</t>
  </si>
  <si>
    <t>The Adventure of the Mazarin Stone</t>
  </si>
  <si>
    <t>The Adventure of the Three Gables</t>
  </si>
  <si>
    <t>The Adventure of the Sussex Vampire</t>
  </si>
  <si>
    <t>The Adventure of the Three Garridebs</t>
  </si>
  <si>
    <t>The Problem of Thor Bridge</t>
  </si>
  <si>
    <t>The Adventure of the Creeping Man</t>
  </si>
  <si>
    <t>The Adventure of the Lion's Mane</t>
  </si>
  <si>
    <t>The Adventure of the Veiled Lodger</t>
  </si>
  <si>
    <t>The Adventure of Shoscombe Old Place</t>
  </si>
  <si>
    <t>The Adventure of the Retired Colourman</t>
  </si>
  <si>
    <t>Liberty</t>
  </si>
  <si>
    <t>ILLU</t>
  </si>
  <si>
    <t>BLAN</t>
  </si>
  <si>
    <t>MAZA</t>
  </si>
  <si>
    <t>3GAB</t>
  </si>
  <si>
    <t>SUSS</t>
  </si>
  <si>
    <t>3GAR</t>
  </si>
  <si>
    <t>THOR</t>
  </si>
  <si>
    <t>CREE</t>
  </si>
  <si>
    <t>LION</t>
  </si>
  <si>
    <t>VEIL</t>
  </si>
  <si>
    <t>SHOS</t>
  </si>
  <si>
    <t>RETI</t>
  </si>
  <si>
    <t>Walter Paget</t>
  </si>
  <si>
    <t>Henry M. Brock</t>
  </si>
  <si>
    <t>Gilbert Holiday</t>
  </si>
  <si>
    <t>Alec Ball</t>
  </si>
  <si>
    <t>Arthur Twidle</t>
  </si>
  <si>
    <t>Frank Wiles</t>
  </si>
  <si>
    <t>Alfred Gilbert</t>
  </si>
  <si>
    <t>Howard K. Elcock</t>
  </si>
  <si>
    <t>D. H. Friston</t>
  </si>
  <si>
    <t>1880-07-03</t>
  </si>
  <si>
    <t>1881-06-23</t>
  </si>
  <si>
    <t>1883-04-01</t>
  </si>
  <si>
    <t>1884-03-04</t>
  </si>
  <si>
    <t>1888-09-04</t>
  </si>
  <si>
    <t>1888-03-20</t>
  </si>
  <si>
    <t>1888-04-16</t>
  </si>
  <si>
    <t>1884-03-29</t>
  </si>
  <si>
    <t>1885-01-06</t>
  </si>
  <si>
    <t>1886-02-26</t>
  </si>
  <si>
    <t>1886-10-02</t>
  </si>
  <si>
    <t>1887-04-26</t>
  </si>
  <si>
    <t>1887-07-19</t>
  </si>
  <si>
    <t>1887-07-29</t>
  </si>
  <si>
    <t>1887-08-30</t>
  </si>
  <si>
    <t>1887-09-16</t>
  </si>
  <si>
    <t>1887-10-06</t>
  </si>
  <si>
    <t>1888-01-07</t>
  </si>
  <si>
    <t>1888-06-20</t>
  </si>
  <si>
    <t>1888-10-25</t>
  </si>
  <si>
    <t>1889-06-01</t>
  </si>
  <si>
    <t>1889-06-08</t>
  </si>
  <si>
    <t>1889-06-21</t>
  </si>
  <si>
    <t>1889-06-30</t>
  </si>
  <si>
    <t>1889-08-30</t>
  </si>
  <si>
    <t>1889-10-01</t>
  </si>
  <si>
    <t>1889-12-27</t>
  </si>
  <si>
    <t>1890-03-18</t>
  </si>
  <si>
    <t>1890-10-11</t>
  </si>
  <si>
    <t>1891-01-12</t>
  </si>
  <si>
    <t>1891-04-23</t>
  </si>
  <si>
    <t>1892-03-24</t>
  </si>
  <si>
    <t>1893-03-15</t>
  </si>
  <si>
    <t>1894-04-03</t>
  </si>
  <si>
    <t>1894-06-01</t>
  </si>
  <si>
    <t>1894-08-06</t>
  </si>
  <si>
    <t>1894-11-23</t>
  </si>
  <si>
    <t>1895-04-20</t>
  </si>
  <si>
    <t>1895-05-06</t>
  </si>
  <si>
    <t>1895-07-10</t>
  </si>
  <si>
    <t>1895-11-21</t>
  </si>
  <si>
    <t>1896-09-22</t>
  </si>
  <si>
    <t>1897-02-06</t>
  </si>
  <si>
    <t>1897-02-15</t>
  </si>
  <si>
    <t>1897-03-16</t>
  </si>
  <si>
    <t>1898-07-25</t>
  </si>
  <si>
    <t>1898-08-20</t>
  </si>
  <si>
    <t>1900-10-05</t>
  </si>
  <si>
    <t>1901-05-16</t>
  </si>
  <si>
    <t>1901-11-19</t>
  </si>
  <si>
    <t>1902-06-04</t>
  </si>
  <si>
    <t>1902-06-19</t>
  </si>
  <si>
    <t>1902-07-26</t>
  </si>
  <si>
    <t>1902-09-03</t>
  </si>
  <si>
    <t>1903-01-21</t>
  </si>
  <si>
    <t>1914-08-02</t>
  </si>
  <si>
    <t>1907-07-30</t>
  </si>
  <si>
    <t>1903-05-26</t>
  </si>
  <si>
    <t>1903-09-06</t>
  </si>
  <si>
    <t>1903-11-08</t>
  </si>
  <si>
    <t>The Prophet in the Rain</t>
  </si>
  <si>
    <t>Sherlock Holmes Audio</t>
  </si>
  <si>
    <t>David Stuart Davies</t>
  </si>
  <si>
    <t>1-84435-454-2</t>
  </si>
  <si>
    <t>The Last Act</t>
  </si>
  <si>
    <t>The Death and Life</t>
  </si>
  <si>
    <t>1-84435-455-9</t>
  </si>
  <si>
    <t>Holmes and the Ripper</t>
  </si>
  <si>
    <t>Brian Clemens</t>
  </si>
  <si>
    <t>1-84435-456-6</t>
  </si>
  <si>
    <t>1-78178-629-1</t>
  </si>
  <si>
    <t>The Reification of Hans Gerber</t>
  </si>
  <si>
    <t>1-84435-592-1</t>
  </si>
  <si>
    <t>1-84435-593-8</t>
  </si>
  <si>
    <t>1-84435-591-4</t>
  </si>
  <si>
    <t>The Tangled Skein</t>
  </si>
  <si>
    <t>David Stuart Davies, Richard Dinnick</t>
  </si>
  <si>
    <t>1-84435-594-5</t>
  </si>
  <si>
    <t>The Adventure of the Perfidious Mariner</t>
  </si>
  <si>
    <t>Nicholas Briggs, Martin Montague</t>
  </si>
  <si>
    <t>1-84435-630-0</t>
  </si>
  <si>
    <t>TOoSH1</t>
  </si>
  <si>
    <t>1-78178-155-5</t>
  </si>
  <si>
    <t>TOoSH2</t>
  </si>
  <si>
    <t>TOoSH3</t>
  </si>
  <si>
    <t>TOoSH4</t>
  </si>
  <si>
    <t>The Guttering Candle</t>
  </si>
  <si>
    <t>The Adventure of the Gatekeeper's Folly</t>
  </si>
  <si>
    <t>The Adventure of the Bermondsey Cut-throats</t>
  </si>
  <si>
    <t>The Sowers of Despair</t>
  </si>
  <si>
    <t>1880-08</t>
  </si>
  <si>
    <t>1895-12</t>
  </si>
  <si>
    <t>1903-12</t>
  </si>
  <si>
    <t>1912-08</t>
  </si>
  <si>
    <t>1912-12</t>
  </si>
  <si>
    <t>1888-09</t>
  </si>
  <si>
    <t>1-78178-427-3</t>
  </si>
  <si>
    <t>TJoSH1</t>
  </si>
  <si>
    <t>TJoSH2</t>
  </si>
  <si>
    <t>TJoSH3</t>
  </si>
  <si>
    <t>TJoSH4</t>
  </si>
  <si>
    <t>Poppyland</t>
  </si>
  <si>
    <t>At the Gates of Shambhala</t>
  </si>
  <si>
    <t>The Man in the Moonlight</t>
  </si>
  <si>
    <t>The Tragedy of Pargetter Square</t>
  </si>
  <si>
    <t>1-78178-948-3</t>
  </si>
  <si>
    <t>TSoSH1</t>
  </si>
  <si>
    <t>TSoSH2</t>
  </si>
  <si>
    <t>TSoSH3</t>
  </si>
  <si>
    <t>TSoSH4</t>
  </si>
  <si>
    <t>The Body in the Garret</t>
  </si>
  <si>
    <t>The Beast in the Darkness</t>
  </si>
  <si>
    <t>The Shadow in the Water</t>
  </si>
  <si>
    <t>1921-11</t>
  </si>
  <si>
    <t>The Adventure of the Fleet Street Transparency</t>
  </si>
  <si>
    <t>1899-12-23</t>
  </si>
  <si>
    <t>TMoBG2</t>
  </si>
  <si>
    <t>1-78703-515-7</t>
  </si>
  <si>
    <t>The Master of Blackstone Grange</t>
  </si>
  <si>
    <t>TMoBG1</t>
  </si>
  <si>
    <t>Holmes' Christmas Quest</t>
  </si>
  <si>
    <t>Kris Griffin</t>
  </si>
  <si>
    <t>1900-12-24</t>
  </si>
  <si>
    <t>1887</t>
  </si>
  <si>
    <t>1976-06-19 to 22</t>
  </si>
  <si>
    <t>2006-11 to 12</t>
  </si>
  <si>
    <t>1967-11-07</t>
  </si>
  <si>
    <t>2005, early</t>
  </si>
  <si>
    <t>2005, spring</t>
  </si>
  <si>
    <t>2005-08</t>
  </si>
  <si>
    <t>2005-08 to 09</t>
  </si>
  <si>
    <t>2008-10-24</t>
  </si>
  <si>
    <t>2008-12-24</t>
  </si>
  <si>
    <t>2006-03</t>
  </si>
  <si>
    <t>2006-09</t>
  </si>
  <si>
    <t>2006-12-24 to 25</t>
  </si>
  <si>
    <t>1899-05</t>
  </si>
  <si>
    <t>2006-11-29</t>
  </si>
  <si>
    <t>2006-05-24</t>
  </si>
  <si>
    <t>2007-02-01</t>
  </si>
  <si>
    <t>2007-12-24</t>
  </si>
  <si>
    <t>2007-10</t>
  </si>
  <si>
    <t>2007, late</t>
  </si>
  <si>
    <t>2007-12</t>
  </si>
  <si>
    <t>2007-12-18 to 24</t>
  </si>
  <si>
    <t>2008-01</t>
  </si>
  <si>
    <t>2008-02</t>
  </si>
  <si>
    <t>2008-06</t>
  </si>
  <si>
    <t>2009-10-30 to 31</t>
  </si>
  <si>
    <t>2008-08, late</t>
  </si>
  <si>
    <t>2008-09</t>
  </si>
  <si>
    <t>2008, 1964-07-13</t>
  </si>
  <si>
    <t>2008-12-24 to 25</t>
  </si>
  <si>
    <t>2008-03 or 2009-03</t>
  </si>
  <si>
    <t>2008-11-01</t>
  </si>
  <si>
    <t>2008-10 to 11</t>
  </si>
  <si>
    <t>2009-08</t>
  </si>
  <si>
    <t>2009-03</t>
  </si>
  <si>
    <t>2009-04</t>
  </si>
  <si>
    <t>2009-10-11 to 13</t>
  </si>
  <si>
    <t>2009-11-05 to 07</t>
  </si>
  <si>
    <t>2009-11-13 to 14</t>
  </si>
  <si>
    <t>2009-11-21 to 22</t>
  </si>
  <si>
    <t>2008-12-31</t>
  </si>
  <si>
    <t>2009-09</t>
  </si>
  <si>
    <t>2009-11, early</t>
  </si>
  <si>
    <t>2009-12</t>
  </si>
  <si>
    <t>2010, spring</t>
  </si>
  <si>
    <t>2010-07</t>
  </si>
  <si>
    <t>1965-11-09</t>
  </si>
  <si>
    <t>1963-10, -100,000</t>
  </si>
  <si>
    <t>1963-10</t>
  </si>
  <si>
    <t>1963-04-27 to 05-04</t>
  </si>
  <si>
    <t>1965-03-25 to 04-01</t>
  </si>
  <si>
    <t>1966-07-12 to 20</t>
  </si>
  <si>
    <t>1966-07-20</t>
  </si>
  <si>
    <t>U4</t>
  </si>
  <si>
    <t>U1 summer</t>
  </si>
  <si>
    <t>U1-10</t>
  </si>
  <si>
    <t>U1-2 winter</t>
  </si>
  <si>
    <t>U2 early</t>
  </si>
  <si>
    <t>U2-07</t>
  </si>
  <si>
    <t>U3-5 or 06</t>
  </si>
  <si>
    <t>U3-06</t>
  </si>
  <si>
    <t>U3 summer</t>
  </si>
  <si>
    <t>U3-10</t>
  </si>
  <si>
    <t>U3-12</t>
  </si>
  <si>
    <t>U4-01</t>
  </si>
  <si>
    <t>U4 spring</t>
  </si>
  <si>
    <t>U4-04-29 to 05-01</t>
  </si>
  <si>
    <t>U4 summer</t>
  </si>
  <si>
    <t>U4-07</t>
  </si>
  <si>
    <t>U4 late/U5 early</t>
  </si>
  <si>
    <t>U6-05</t>
  </si>
  <si>
    <t>U6-05 or 06</t>
  </si>
  <si>
    <t>U7 late</t>
  </si>
  <si>
    <t>U8-04-04</t>
  </si>
  <si>
    <t>U9-01</t>
  </si>
  <si>
    <t>1963-12-22</t>
  </si>
  <si>
    <t>1963-07</t>
  </si>
  <si>
    <t>2006-09-22</t>
  </si>
  <si>
    <t>1894-01</t>
  </si>
  <si>
    <t>1902</t>
  </si>
  <si>
    <t>1892</t>
  </si>
  <si>
    <t>1895</t>
  </si>
  <si>
    <t>1.01-6.02 (The Fleet Street Transparency)</t>
  </si>
  <si>
    <t>1-4 (The Valley of Fear)</t>
  </si>
  <si>
    <t>1.1-5.12 (The Retired Colourman)</t>
  </si>
  <si>
    <t>The Picture of Dorian Gray, 1.1-5.4 (Ever After)</t>
  </si>
  <si>
    <t>The Minister of Chance</t>
  </si>
  <si>
    <t>Dan Freeman</t>
  </si>
  <si>
    <t>Radio Static</t>
  </si>
  <si>
    <t>The Pointed Hand; The Broken World; The Forest Shakes; Paludin Fields; The Tiger; In a Bark on the River Hex</t>
  </si>
  <si>
    <t>1-78703-529-4</t>
  </si>
  <si>
    <t>The Law Machines</t>
  </si>
  <si>
    <t>Blind Summit</t>
  </si>
  <si>
    <t>9 to 5</t>
  </si>
  <si>
    <t>TW1M2.1</t>
  </si>
  <si>
    <t>TW1M2.2</t>
  </si>
  <si>
    <t>TW1M2.3</t>
  </si>
  <si>
    <t>TW1BtF1.1</t>
  </si>
  <si>
    <t>TW1BtF1.2</t>
  </si>
  <si>
    <t>TW1BtF1.3</t>
  </si>
  <si>
    <t>BF Torchwood One</t>
  </si>
  <si>
    <t>1.01-2.03 (9 to 5)</t>
  </si>
  <si>
    <t>BFTW23</t>
  </si>
  <si>
    <t>Instant Karma</t>
  </si>
  <si>
    <t>1-78703-469-3</t>
  </si>
  <si>
    <t>David Llewellyn, James Goss, Jonathan Morris</t>
  </si>
  <si>
    <t>BFTW24</t>
  </si>
  <si>
    <t>Deadbeat Escape</t>
  </si>
  <si>
    <t>Five Years</t>
  </si>
  <si>
    <t>1-78703-471-6</t>
  </si>
  <si>
    <t>Hour of the Cybermen</t>
  </si>
  <si>
    <t>1-78178-829-5</t>
  </si>
  <si>
    <t>STA8:07</t>
  </si>
  <si>
    <t>The Darkened Earth</t>
  </si>
  <si>
    <t>Miranda Raison</t>
  </si>
  <si>
    <t>1-78703-001-5</t>
  </si>
  <si>
    <t>STA8:08</t>
  </si>
  <si>
    <t>Flight into Hull!</t>
  </si>
  <si>
    <t>1-78575-998-7</t>
  </si>
  <si>
    <t>Red Planets</t>
  </si>
  <si>
    <t>1-78178-831-8</t>
  </si>
  <si>
    <t>11th Doctor Chronicle</t>
  </si>
  <si>
    <t>11DC1.2</t>
  </si>
  <si>
    <t>The Top of the Tree</t>
  </si>
  <si>
    <t>1-78703-228-6</t>
  </si>
  <si>
    <t>Jacob Dudman, Danny Horn</t>
  </si>
  <si>
    <t>11DC1.1</t>
  </si>
  <si>
    <t>The Calendar Man</t>
  </si>
  <si>
    <t>Jacob Dudman, Eleanor Crooks</t>
  </si>
  <si>
    <t>11DC1.3</t>
  </si>
  <si>
    <t>The Light Keepers</t>
  </si>
  <si>
    <t>Jacob Dudman, Simon Fisher-Becker</t>
  </si>
  <si>
    <t>11DC1.4</t>
  </si>
  <si>
    <t>False Coronets</t>
  </si>
  <si>
    <t>Jacob Dudman, Nathalie Buscombe</t>
  </si>
  <si>
    <t>Past, Present, and Future</t>
  </si>
  <si>
    <t>2003, Event One</t>
  </si>
  <si>
    <t>The Dark Time</t>
  </si>
  <si>
    <t>-5 billion?</t>
  </si>
  <si>
    <t>-3 billion</t>
  </si>
  <si>
    <t>1982, -140 million</t>
  </si>
  <si>
    <t>-100 million</t>
  </si>
  <si>
    <t>', -65 million</t>
  </si>
  <si>
    <t>-2700</t>
  </si>
  <si>
    <t>-2610</t>
  </si>
  <si>
    <t>4000, -2566</t>
  </si>
  <si>
    <t>-2000</t>
  </si>
  <si>
    <t>2009, -1500</t>
  </si>
  <si>
    <t>U5-09-29, -1500</t>
  </si>
  <si>
    <t>-1500</t>
  </si>
  <si>
    <t>-1503</t>
  </si>
  <si>
    <t>-1400</t>
  </si>
  <si>
    <t>-1184</t>
  </si>
  <si>
    <t>-1000</t>
  </si>
  <si>
    <t>-430</t>
  </si>
  <si>
    <t>-323-05 to -323-06-13</t>
  </si>
  <si>
    <t>-210</t>
  </si>
  <si>
    <t>-101-01, -101-10</t>
  </si>
  <si>
    <t>-10</t>
  </si>
  <si>
    <t>64</t>
  </si>
  <si>
    <t>64-06 to 64-07</t>
  </si>
  <si>
    <t>79-08-22 to 79-08-23</t>
  </si>
  <si>
    <t>79-08</t>
  </si>
  <si>
    <t>120</t>
  </si>
  <si>
    <t>325-05</t>
  </si>
  <si>
    <t>683</t>
  </si>
  <si>
    <t>&amp;</t>
  </si>
  <si>
    <t>696</t>
  </si>
  <si>
    <t>709</t>
  </si>
  <si>
    <t>759</t>
  </si>
  <si>
    <t>760</t>
  </si>
  <si>
    <t>800</t>
  </si>
  <si>
    <t>855</t>
  </si>
  <si>
    <t>1966-07-30, 855</t>
  </si>
  <si>
    <t>1001</t>
  </si>
  <si>
    <t>1006</t>
  </si>
  <si>
    <t>1066 late summer</t>
  </si>
  <si>
    <t>1098-05-31 to 06-02</t>
  </si>
  <si>
    <t>1139</t>
  </si>
  <si>
    <t>1190</t>
  </si>
  <si>
    <t>2, 4 missing; c</t>
  </si>
  <si>
    <t>1191</t>
  </si>
  <si>
    <t>1215-03-04 to 05</t>
  </si>
  <si>
    <t>1240</t>
  </si>
  <si>
    <t>1242</t>
  </si>
  <si>
    <t>1245</t>
  </si>
  <si>
    <t>U, c</t>
  </si>
  <si>
    <t>U7 early, 1273</t>
  </si>
  <si>
    <t>1289</t>
  </si>
  <si>
    <t>1984</t>
  </si>
  <si>
    <t>1950</t>
  </si>
  <si>
    <t>1951</t>
  </si>
  <si>
    <t>1995</t>
  </si>
  <si>
    <t>1454</t>
  </si>
  <si>
    <t>1462-06-17 to 1462-07</t>
  </si>
  <si>
    <t>1492</t>
  </si>
  <si>
    <t>1522 summer</t>
  </si>
  <si>
    <t>(=)</t>
  </si>
  <si>
    <t>(=) &amp;</t>
  </si>
  <si>
    <t>-5 million</t>
  </si>
  <si>
    <t>-1 million</t>
  </si>
  <si>
    <t>All missing except 5, 10; c</t>
  </si>
  <si>
    <t>(=)?</t>
  </si>
  <si>
    <t>(=)&amp;</t>
  </si>
  <si>
    <t>All missing, c</t>
  </si>
  <si>
    <t>1536-05-04</t>
  </si>
  <si>
    <t>1550</t>
  </si>
  <si>
    <t>1560 spring</t>
  </si>
  <si>
    <t>1580</t>
  </si>
  <si>
    <t>The Vampires of Venice</t>
  </si>
  <si>
    <t>1592 summer</t>
  </si>
  <si>
    <t>2006, 1592-09</t>
  </si>
  <si>
    <t>1483-04 to 10, 1485-08, 1597</t>
  </si>
  <si>
    <t>1599</t>
  </si>
  <si>
    <t>1600</t>
  </si>
  <si>
    <t>1600-05-05</t>
  </si>
  <si>
    <t>1605</t>
  </si>
  <si>
    <t>1609</t>
  </si>
  <si>
    <t>1626</t>
  </si>
  <si>
    <t>2007, 1636</t>
  </si>
  <si>
    <t>w</t>
  </si>
  <si>
    <t>1648</t>
  </si>
  <si>
    <t>1649-09-12 to 10-11</t>
  </si>
  <si>
    <t>1665</t>
  </si>
  <si>
    <t>1968</t>
  </si>
  <si>
    <t>1666-09 early</t>
  </si>
  <si>
    <t>1669</t>
  </si>
  <si>
    <t>1696</t>
  </si>
  <si>
    <t>1699-04</t>
  </si>
  <si>
    <t>TW6</t>
  </si>
  <si>
    <t>BFTWGAU01</t>
  </si>
  <si>
    <t>BFTWGAU02</t>
  </si>
  <si>
    <t>BFTWGAU03</t>
  </si>
  <si>
    <t>BFTWGAU04</t>
  </si>
  <si>
    <t>BFTWGAU05</t>
  </si>
  <si>
    <t>BFTWGAU06</t>
  </si>
  <si>
    <t>BFTWGAU07</t>
  </si>
  <si>
    <t>BFTWGAU08</t>
  </si>
  <si>
    <t>BFTWGAU09</t>
  </si>
  <si>
    <t>BFTWGAU10</t>
  </si>
  <si>
    <t>BFTWGAU11</t>
  </si>
  <si>
    <t>BFTWGAU12</t>
  </si>
  <si>
    <t>God Among Us</t>
  </si>
  <si>
    <t>The Far Future</t>
  </si>
  <si>
    <t>TW∞</t>
  </si>
  <si>
    <t>Future Pain</t>
  </si>
  <si>
    <t>The Man Who Destroyed Torchwood</t>
  </si>
  <si>
    <t>See Not Evil</t>
  </si>
  <si>
    <t>Night Watch</t>
  </si>
  <si>
    <t>1-78703-642-0</t>
  </si>
  <si>
    <t>Gifted</t>
  </si>
  <si>
    <t>BFCl1.01</t>
  </si>
  <si>
    <t>Class Audio</t>
  </si>
  <si>
    <t>Scott Handcock, James Goss</t>
  </si>
  <si>
    <t>1-78703-638-3</t>
  </si>
  <si>
    <t>BFCl1.02</t>
  </si>
  <si>
    <t>BFCl1.03</t>
  </si>
  <si>
    <t>Life Experience</t>
  </si>
  <si>
    <t>2016</t>
  </si>
  <si>
    <t>BFCl2.01</t>
  </si>
  <si>
    <t>BFCl2.02</t>
  </si>
  <si>
    <t>BFCl2.03</t>
  </si>
  <si>
    <t>Everybody Loves Reagan</t>
  </si>
  <si>
    <t>Now You Know…</t>
  </si>
  <si>
    <t>In Remembrance</t>
  </si>
  <si>
    <t>1-78703-640-6</t>
  </si>
  <si>
    <t>LC1.03</t>
  </si>
  <si>
    <t>1-78703-594-2</t>
  </si>
  <si>
    <t>Tim Dawson</t>
  </si>
  <si>
    <t>Portrait of a Lady</t>
  </si>
  <si>
    <t>Lady Christina Audio</t>
  </si>
  <si>
    <t>1.01-1.04 (Death on the Mile)</t>
  </si>
  <si>
    <t>1.1-2.3 (Remembrance)</t>
  </si>
  <si>
    <t>LC1.04</t>
  </si>
  <si>
    <t>Death on the Mile</t>
  </si>
  <si>
    <t>Donald McLeary</t>
  </si>
  <si>
    <t>LC1.01</t>
  </si>
  <si>
    <t>LC1.02</t>
  </si>
  <si>
    <t>It Takes a Thief</t>
  </si>
  <si>
    <t>Skin Deep</t>
  </si>
  <si>
    <t>Age of Empire</t>
  </si>
  <si>
    <t>The New Century</t>
  </si>
  <si>
    <t>Fin de Siècle</t>
  </si>
  <si>
    <t>DWI01</t>
  </si>
  <si>
    <t>The Dalek Invasion of Time</t>
  </si>
  <si>
    <t>Doctor Who Infinity</t>
  </si>
  <si>
    <t>Tiny Rebel Games</t>
  </si>
  <si>
    <t>DWI02</t>
  </si>
  <si>
    <t>The Lady of the Lake</t>
  </si>
  <si>
    <t>DWI03</t>
  </si>
  <si>
    <t>John-Paul Bove</t>
  </si>
  <si>
    <t>The Orphans of the Polyptera</t>
  </si>
  <si>
    <t>David Roach</t>
  </si>
  <si>
    <t>1942, 1842</t>
  </si>
  <si>
    <t>1-3 (The Lady of the Lake)</t>
  </si>
  <si>
    <t xml:space="preserve">2012, </t>
  </si>
  <si>
    <t>DEC5:8</t>
  </si>
  <si>
    <t>Bibliophage</t>
  </si>
  <si>
    <t>Paul Leonard, Jim Mortimore</t>
  </si>
  <si>
    <t>0-426-20505-7</t>
  </si>
  <si>
    <t>DEC4:01</t>
  </si>
  <si>
    <t>DEC4:02</t>
  </si>
  <si>
    <t>DEC4:03</t>
  </si>
  <si>
    <t>DEC4:04</t>
  </si>
  <si>
    <t>DEC4:05</t>
  </si>
  <si>
    <t>DEC4:06</t>
  </si>
  <si>
    <t>DEC4:07</t>
  </si>
  <si>
    <t>DEC4:08</t>
  </si>
  <si>
    <t>DEC4:09</t>
  </si>
  <si>
    <t>DEC4:10</t>
  </si>
  <si>
    <t>No One Goes to Halfway There</t>
  </si>
  <si>
    <t>Shopping for Eternity</t>
  </si>
  <si>
    <t>Burning Bright</t>
  </si>
  <si>
    <t>C9H13NO3</t>
  </si>
  <si>
    <t>Approximate Time of Death</t>
  </si>
  <si>
    <t>Secrets of the Black Planet</t>
  </si>
  <si>
    <t>Rescue Mission</t>
  </si>
  <si>
    <t>Dependence Day</t>
  </si>
  <si>
    <t>Justin Richards, Andy Lane</t>
  </si>
  <si>
    <t>Alex Stewart</t>
  </si>
  <si>
    <t>Gus Smith</t>
  </si>
  <si>
    <t>Liz Holliday</t>
  </si>
  <si>
    <t>The Lost Sailor</t>
  </si>
  <si>
    <t>Antonia</t>
  </si>
  <si>
    <t>Fan Audio</t>
  </si>
  <si>
    <t>Janine Rivers</t>
  </si>
  <si>
    <t>Stardancer</t>
  </si>
  <si>
    <t>Michelle Coats, Janine Rivers</t>
  </si>
  <si>
    <t>Kevin Burnard, Janine Rivers</t>
  </si>
  <si>
    <t>Unusual Friends</t>
  </si>
  <si>
    <t>Aimee Lavelle</t>
  </si>
  <si>
    <t>12FDA1.01</t>
  </si>
  <si>
    <t>12FDA1.02</t>
  </si>
  <si>
    <t>12FDA1.03</t>
  </si>
  <si>
    <t>12FDA1.04</t>
  </si>
  <si>
    <t>12FDA1.05</t>
  </si>
  <si>
    <t>12FDA1.06</t>
  </si>
  <si>
    <t>12FDA1.07</t>
  </si>
  <si>
    <t>12FDA1.08</t>
  </si>
  <si>
    <t>12FDA1.09</t>
  </si>
  <si>
    <t>12FDA1.10</t>
  </si>
  <si>
    <t>12FDA1.11</t>
  </si>
  <si>
    <t>12FDA1.12</t>
  </si>
  <si>
    <t>Ghosts in the Machine</t>
  </si>
  <si>
    <t>Nightingale</t>
  </si>
  <si>
    <t>Andrew Davis</t>
  </si>
  <si>
    <t>The Walls are Alive</t>
  </si>
  <si>
    <t>Adam Riggio</t>
  </si>
  <si>
    <t>Isabel Pelech</t>
  </si>
  <si>
    <t>The Beautiful</t>
  </si>
  <si>
    <t>Arthur Lockridge</t>
  </si>
  <si>
    <t>Ed Goundrey-Smith, Janine Rivers</t>
  </si>
  <si>
    <t>Hikari's Dream</t>
  </si>
  <si>
    <t>La Lune</t>
  </si>
  <si>
    <t>Elizabeth Smith</t>
  </si>
  <si>
    <t>Among Angels</t>
  </si>
  <si>
    <t>12th Doctor Fan Adventure</t>
  </si>
  <si>
    <t>1.1-1.12 (Among Angels)</t>
  </si>
  <si>
    <t>World Enough and Time; The Doctor Falls</t>
  </si>
  <si>
    <t>FAoLM1.1</t>
  </si>
  <si>
    <t>FAoLM1.2</t>
  </si>
  <si>
    <t>FAoLM1.3</t>
  </si>
  <si>
    <t>FAoLM1.4</t>
  </si>
  <si>
    <t>The Revolution Game</t>
  </si>
  <si>
    <t>The House on the Edge of Chaos</t>
  </si>
  <si>
    <t>Island of the Fendahl</t>
  </si>
  <si>
    <t>Lucie Miller Adventure</t>
  </si>
  <si>
    <t>The Dispossessed</t>
  </si>
  <si>
    <t>1-78178-833-2</t>
  </si>
  <si>
    <t>14a</t>
  </si>
  <si>
    <t>14b</t>
  </si>
  <si>
    <t>14c</t>
  </si>
  <si>
    <t>14d</t>
  </si>
  <si>
    <t>TDoRS4.1</t>
  </si>
  <si>
    <t>TDoRS4.2</t>
  </si>
  <si>
    <t>1-78703-503-4</t>
  </si>
  <si>
    <t>TDoRS4.3</t>
  </si>
  <si>
    <t>TDoRS4.4</t>
  </si>
  <si>
    <t>Emma Reeves, Matt Fitton</t>
  </si>
  <si>
    <t>Time in a Bottle</t>
  </si>
  <si>
    <t>Kings of Infinite Space</t>
  </si>
  <si>
    <t>Someone I Once Knew</t>
  </si>
  <si>
    <t>Rt13D.1</t>
  </si>
  <si>
    <t>The Ghost Ship</t>
  </si>
  <si>
    <t>Iolanda Zanfardina</t>
  </si>
  <si>
    <t>Rt13D.2</t>
  </si>
  <si>
    <t>The Steampunk Conundrum</t>
  </si>
  <si>
    <t>TNCM0.1</t>
  </si>
  <si>
    <t>TNCM0.2</t>
  </si>
  <si>
    <t>Agency; Adherence; Manipulation; Supremacy</t>
  </si>
  <si>
    <t>Object One; Torchwood's End</t>
  </si>
  <si>
    <t>##; ##; ##; ##</t>
  </si>
  <si>
    <t>STA7:11</t>
  </si>
  <si>
    <t>STA7:12</t>
  </si>
  <si>
    <t>EA5.1</t>
  </si>
  <si>
    <t>The Dalek Occupation of Winter</t>
  </si>
  <si>
    <t>David K Barnes</t>
  </si>
  <si>
    <t>1-78178-960-5</t>
  </si>
  <si>
    <t>The Chosen Few; Keep Your Enemies Close; The Blood of the Young; A Spark to Light a Flame</t>
  </si>
  <si>
    <t>EA5.2</t>
  </si>
  <si>
    <t>EA5.3</t>
  </si>
  <si>
    <t>EA5.4</t>
  </si>
  <si>
    <t>An Ideal World</t>
  </si>
  <si>
    <t>1-78178-962-9</t>
  </si>
  <si>
    <t>The Weather Makers; The Life Below; A World in Revolt; A Fight for the Future</t>
  </si>
  <si>
    <t>Entanglement</t>
  </si>
  <si>
    <t>1-78178-964-3</t>
  </si>
  <si>
    <t>The Wall of Death; Photographic Evidence; The Hour of Voting; The Entanglement Machine</t>
  </si>
  <si>
    <t>The Crash of the UK-201</t>
  </si>
  <si>
    <t>1-78178-966-7</t>
  </si>
  <si>
    <t>Return to Yesterday; The Road Not Taken; Bid Time Return; The Crash</t>
  </si>
  <si>
    <t>In-Between Times</t>
  </si>
  <si>
    <t>Titan 1st Doctor Strip</t>
  </si>
  <si>
    <t>1001 Nights; The Interplanetarian; Smuggling Tales; My Brother's Keeper</t>
  </si>
  <si>
    <t>Period of Adjustment; Past Indiscretions; History Repeating; Architect of Destruction</t>
  </si>
  <si>
    <t>Isenfell; The Balancing; The Edge of the World; Closed Systems</t>
  </si>
  <si>
    <t>Dynachronic Energy Emissions; Mrs Multravers' Final Question</t>
  </si>
  <si>
    <t>Tribute; Dusty Death; Interface; Goodbyes</t>
  </si>
  <si>
    <t>Ryan</t>
  </si>
  <si>
    <t>Graham</t>
  </si>
  <si>
    <t>Matt Strevens, Chris Chibnall</t>
  </si>
  <si>
    <t>The Woman Who Fell to Earth</t>
  </si>
  <si>
    <t>The Ghost Monument</t>
  </si>
  <si>
    <t>Rosa</t>
  </si>
  <si>
    <t>Arachnids in the UK</t>
  </si>
  <si>
    <t>The Tsuranga Conundrum</t>
  </si>
  <si>
    <t>Demons of the Punjab</t>
  </si>
  <si>
    <t>Jamie Childs</t>
  </si>
  <si>
    <t>Mark Tonderai</t>
  </si>
  <si>
    <t>Sallie Aprahamian</t>
  </si>
  <si>
    <t>Jennifer Perrott</t>
  </si>
  <si>
    <t>Wayne Yip</t>
  </si>
  <si>
    <t>Malorie Blackman, Chris Chibnall</t>
  </si>
  <si>
    <t>Vinay Patel</t>
  </si>
  <si>
    <t>Yasmin</t>
  </si>
  <si>
    <t>8R.2</t>
  </si>
  <si>
    <t>EDAR2.1</t>
  </si>
  <si>
    <t>EDAR2.2</t>
  </si>
  <si>
    <t>EDAR2.3</t>
  </si>
  <si>
    <t>EDAR2.4</t>
  </si>
  <si>
    <t>Escape from Kaldor</t>
  </si>
  <si>
    <t>Better Watch Out</t>
  </si>
  <si>
    <t>Fairytale of Salzburg</t>
  </si>
  <si>
    <t>Seizure</t>
  </si>
  <si>
    <t>1-78703-552-2</t>
  </si>
  <si>
    <t>The Quantum Possibility Engine</t>
  </si>
  <si>
    <t>1-78178-835-6</t>
  </si>
  <si>
    <t>BFTSSF1.1</t>
  </si>
  <si>
    <t>1-78703-586-7</t>
  </si>
  <si>
    <t>BFTSSF1.2</t>
  </si>
  <si>
    <t>BFTSSF1.3</t>
  </si>
  <si>
    <t>BFTSSF2.1</t>
  </si>
  <si>
    <t>1-78703-588-1</t>
  </si>
  <si>
    <t>BFTSSF2.2</t>
  </si>
  <si>
    <t>BFTSSF2.3</t>
  </si>
  <si>
    <t>T7DY1.1b-1.3b</t>
  </si>
  <si>
    <t>T7DY1.1-1.3</t>
  </si>
  <si>
    <t>T11DY3 12-3.13</t>
  </si>
  <si>
    <t>DWM 524-530</t>
  </si>
  <si>
    <t>Liberty Hall</t>
  </si>
  <si>
    <t>Karen Davies</t>
  </si>
  <si>
    <t>Global Conspiracy?</t>
  </si>
  <si>
    <t>Paul Vanezis</t>
  </si>
  <si>
    <t>Mark Gatiss, Paul Vanezis</t>
  </si>
  <si>
    <t>1915-08</t>
  </si>
  <si>
    <t>Men of War</t>
  </si>
  <si>
    <t>BBCA02</t>
  </si>
  <si>
    <t>BBCA01</t>
  </si>
  <si>
    <t>BBCA03</t>
  </si>
  <si>
    <t>Horrors of War</t>
  </si>
  <si>
    <t>1914</t>
  </si>
  <si>
    <t>1-78753-173-2</t>
  </si>
  <si>
    <t>BBCA04</t>
  </si>
  <si>
    <t>Fortunes of War</t>
  </si>
  <si>
    <t>1-78753-277-9</t>
  </si>
  <si>
    <t>1918-11</t>
  </si>
  <si>
    <t>The Path of Skulls</t>
  </si>
  <si>
    <t>Card Conundrum</t>
  </si>
  <si>
    <t>Titan 2nd Doctor Strip</t>
  </si>
  <si>
    <t>T13D0.01</t>
  </si>
  <si>
    <t>T13D0.02</t>
  </si>
  <si>
    <t>T13D0.03</t>
  </si>
  <si>
    <t>Invasion of the Scorpion Men</t>
  </si>
  <si>
    <t>T13D0.04</t>
  </si>
  <si>
    <t>Time Lady of Means</t>
  </si>
  <si>
    <t>T13D0.05</t>
  </si>
  <si>
    <t>Ophiuchus</t>
  </si>
  <si>
    <t>T13D0.06</t>
  </si>
  <si>
    <t>Virtually Indestructible</t>
  </si>
  <si>
    <t>Titan 6th Doctor Strip</t>
  </si>
  <si>
    <t>Titan 5th Doctor Strip</t>
  </si>
  <si>
    <t>T13D0.07</t>
  </si>
  <si>
    <t>Crossing the Rubicon</t>
  </si>
  <si>
    <t>T13D0.08</t>
  </si>
  <si>
    <t>The Time Ball</t>
  </si>
  <si>
    <t>0.0W</t>
  </si>
  <si>
    <t>T13D0.0W</t>
  </si>
  <si>
    <t>The Whole Thing's Bananas</t>
  </si>
  <si>
    <t>Titan War Doctor Strip</t>
  </si>
  <si>
    <t>T13D0.09</t>
  </si>
  <si>
    <t>Return of the Volsci</t>
  </si>
  <si>
    <t>T13D0.10</t>
  </si>
  <si>
    <t>Nurse Who?</t>
  </si>
  <si>
    <t>T13D0.11</t>
  </si>
  <si>
    <t>Without a Paddle</t>
  </si>
  <si>
    <t>T13D0.12</t>
  </si>
  <si>
    <t>Harvest of the Daleks</t>
  </si>
  <si>
    <t>T13D0.13</t>
  </si>
  <si>
    <t>The Many Lives of Doctor Who</t>
  </si>
  <si>
    <t>Taken for Granted</t>
  </si>
  <si>
    <t>Ian Hidewell</t>
  </si>
  <si>
    <t>STAX:34</t>
  </si>
  <si>
    <t>STAX:35</t>
  </si>
  <si>
    <t>Mission Improbable</t>
  </si>
  <si>
    <t>STAX:36</t>
  </si>
  <si>
    <t>The Smallest Battle</t>
  </si>
  <si>
    <t>Stephen Osbourne</t>
  </si>
  <si>
    <t>21c</t>
  </si>
  <si>
    <t>Divergence</t>
  </si>
  <si>
    <t>Rt13D.3</t>
  </si>
  <si>
    <t>Tulpa</t>
  </si>
  <si>
    <t>Pasquale Qualano</t>
  </si>
  <si>
    <t>The Company of Immortals</t>
  </si>
  <si>
    <t>First Bite; Second Bite; Third Bite</t>
  </si>
  <si>
    <t>A Destiny in the Stars</t>
  </si>
  <si>
    <t>Young Blood</t>
  </si>
  <si>
    <t>Young at Heart</t>
  </si>
  <si>
    <t>Coming Back Down to Earth</t>
  </si>
  <si>
    <t>A Final Walk in Eternity</t>
  </si>
  <si>
    <t>2004-07-18</t>
  </si>
  <si>
    <t>The Angel's Kiss: A Melody Malone Mystery</t>
  </si>
  <si>
    <t>Alex Kingston</t>
  </si>
  <si>
    <t>Speed</t>
  </si>
  <si>
    <t>Default</t>
  </si>
  <si>
    <t>Pondinium!</t>
  </si>
  <si>
    <t>DWM 167-172</t>
  </si>
  <si>
    <t>The Age of Chaos</t>
  </si>
  <si>
    <t>The Hypothetical Gentleman</t>
  </si>
  <si>
    <t>TVC 1170-1176</t>
  </si>
  <si>
    <t>SDCC17</t>
  </si>
  <si>
    <t>T11DY3 9,11</t>
  </si>
  <si>
    <t>The Shadow of the Times Before</t>
  </si>
  <si>
    <t>The Panda Book of Horror: The Shadow of the Times Before</t>
  </si>
  <si>
    <t>TWM8.2-10.2</t>
  </si>
  <si>
    <t>TWM11.2-13.2</t>
  </si>
  <si>
    <t>TWM14.3-15.2</t>
  </si>
  <si>
    <t>TWM16:2-17.3</t>
  </si>
  <si>
    <t>Rift-Raff</t>
  </si>
  <si>
    <t>Ash to Ashes</t>
  </si>
  <si>
    <t>TWM22.1</t>
  </si>
  <si>
    <t>TWM22.2</t>
  </si>
  <si>
    <t>TWM22.3</t>
  </si>
  <si>
    <t>TWM22.4</t>
  </si>
  <si>
    <t>TWM22.6</t>
  </si>
  <si>
    <t>TWM21.2-22.5</t>
  </si>
  <si>
    <t>TWM15.1-19.2</t>
  </si>
  <si>
    <t>TWM4.1-13.1</t>
  </si>
  <si>
    <t>Frozen; The Thaw; Station Pressure</t>
  </si>
  <si>
    <t>Valley of Dragons</t>
  </si>
  <si>
    <t>Planet from Nowhere</t>
  </si>
  <si>
    <t>Listen - The Stars</t>
  </si>
  <si>
    <t>1966-2018</t>
  </si>
  <si>
    <t>The Time Snatch</t>
  </si>
  <si>
    <t>Sweet Flower of Uthe</t>
  </si>
  <si>
    <t>Two Doctors</t>
  </si>
  <si>
    <t>The Eleven Day Empire; The Shadow Play</t>
  </si>
  <si>
    <t>The Eleven Day Empire</t>
  </si>
  <si>
    <t>8th Doctor Audio</t>
  </si>
  <si>
    <t>8th Doctor Time War Audio</t>
  </si>
  <si>
    <t>1.1-4.10 (To the Death), DE 1-4, DC 1-4, R 1-2</t>
  </si>
  <si>
    <t>1.1-2.4 (Jonah)</t>
  </si>
  <si>
    <t>1.1-2.3 (Cold Vengeance)</t>
  </si>
  <si>
    <t>S. Dur.</t>
  </si>
  <si>
    <t>10b</t>
  </si>
  <si>
    <t>10a</t>
  </si>
  <si>
    <t>Growing Apart</t>
  </si>
  <si>
    <t>Before We Begin</t>
  </si>
  <si>
    <t>The Land of Do-As-You-Please</t>
  </si>
  <si>
    <t>Fairytale Endings</t>
  </si>
  <si>
    <t>Time and Space</t>
  </si>
  <si>
    <t>Kerblam!</t>
  </si>
  <si>
    <t>The Witchfinders</t>
  </si>
  <si>
    <t>Joy Wilkinson</t>
  </si>
  <si>
    <t>Pete McTighe</t>
  </si>
  <si>
    <t>Ed Hime</t>
  </si>
  <si>
    <t>STA8.10</t>
  </si>
  <si>
    <t>I Am The Master</t>
  </si>
  <si>
    <t>Geoffrey Beevers</t>
  </si>
  <si>
    <t>1-78703-003-9</t>
  </si>
  <si>
    <t>Radio; Frantic</t>
  </si>
  <si>
    <t>The Vampire Hunt; For the Life is the Blood</t>
  </si>
  <si>
    <t>The Age of Greed; The Age of Regret</t>
  </si>
  <si>
    <t>The Machinations of Machina; The History War</t>
  </si>
  <si>
    <t>Warlock's Cross</t>
  </si>
  <si>
    <t>1-78178-837-0</t>
  </si>
  <si>
    <t>TNCM3.0</t>
  </si>
  <si>
    <t>The Hollow King</t>
  </si>
  <si>
    <t>1-78703-775-5</t>
  </si>
  <si>
    <t>DWM 531-##</t>
  </si>
  <si>
    <t>The Warmonger</t>
  </si>
  <si>
    <t>12AW12</t>
  </si>
  <si>
    <t>The Rhino of Twenty-Three Strand Street</t>
  </si>
  <si>
    <t>Dave Rudden</t>
  </si>
  <si>
    <t>1-40593-827-3</t>
  </si>
  <si>
    <t>Angel Weeping</t>
  </si>
  <si>
    <t>T13D1.01-##</t>
  </si>
  <si>
    <t>A New Beginning</t>
  </si>
  <si>
    <t>Enrica Eren Angiolini</t>
  </si>
  <si>
    <t>BBCN64</t>
  </si>
  <si>
    <t>The Good Doctor</t>
  </si>
  <si>
    <t>1-78594-384-3</t>
  </si>
  <si>
    <t>Molten Heart</t>
  </si>
  <si>
    <t>1-78594-363-8</t>
  </si>
  <si>
    <t>BBCN65</t>
  </si>
  <si>
    <t>Combat Magicks</t>
  </si>
  <si>
    <t>Mandip Gill</t>
  </si>
  <si>
    <t>1-78594-369-3</t>
  </si>
  <si>
    <t>The Secret in Vault 13</t>
  </si>
  <si>
    <t>George Ermos</t>
  </si>
  <si>
    <t>David Solomons</t>
  </si>
  <si>
    <t>1-98489-598-1</t>
  </si>
  <si>
    <t>New Series Children's Adventure</t>
  </si>
  <si>
    <t>12AW02</t>
  </si>
  <si>
    <t>Grey Matter</t>
  </si>
  <si>
    <t>12AW10</t>
  </si>
  <si>
    <t>The King in Glass</t>
  </si>
  <si>
    <t>Queen Amy</t>
  </si>
  <si>
    <t>Cardoo</t>
  </si>
  <si>
    <t>Best Publishing Ever Ltd</t>
  </si>
  <si>
    <t>Clockwork World</t>
  </si>
  <si>
    <t>12AW08</t>
  </si>
  <si>
    <t>The Red-Eyed League</t>
  </si>
  <si>
    <t>Halfway Into the Dark</t>
  </si>
  <si>
    <t>12AW01</t>
  </si>
  <si>
    <t>12AW06</t>
  </si>
  <si>
    <t>Student Bodies</t>
  </si>
  <si>
    <t>12AW09</t>
  </si>
  <si>
    <t>The Heist</t>
  </si>
  <si>
    <t>12AW07</t>
  </si>
  <si>
    <t>A Soldier's Education</t>
  </si>
  <si>
    <t>12AW04</t>
  </si>
  <si>
    <t>Celestial Intervention - A Gallifreyan Noir</t>
  </si>
  <si>
    <t>12AW03</t>
  </si>
  <si>
    <t>Red Planet</t>
  </si>
  <si>
    <t>12AW13</t>
  </si>
  <si>
    <t>Anything You Can Do</t>
  </si>
  <si>
    <t>12AW05</t>
  </si>
  <si>
    <t>12AW11</t>
  </si>
  <si>
    <t>The Third Wise Man</t>
  </si>
  <si>
    <t>1-13 (Anything You Can Do)</t>
  </si>
  <si>
    <t>Mates</t>
  </si>
  <si>
    <t>Blue Moon</t>
  </si>
  <si>
    <t>STA8:09</t>
  </si>
  <si>
    <t>A Small Semblance of Home</t>
  </si>
  <si>
    <t>Paul Phipps</t>
  </si>
  <si>
    <t>1-78703-002-2</t>
  </si>
  <si>
    <t>SPA1</t>
  </si>
  <si>
    <t>The Vortex Crystal</t>
  </si>
  <si>
    <t>Solo-Play Adventure</t>
  </si>
  <si>
    <t>William H. Keith, Jr</t>
  </si>
  <si>
    <t>CYOA</t>
  </si>
  <si>
    <t>FASA</t>
  </si>
  <si>
    <t>SPA2</t>
  </si>
  <si>
    <t>The Rebel's Gamble</t>
  </si>
  <si>
    <t>FYF1</t>
  </si>
  <si>
    <t>Search for the Doctor</t>
  </si>
  <si>
    <t>Severn House</t>
  </si>
  <si>
    <t>0-7278-2087-7</t>
  </si>
  <si>
    <t>FYF2</t>
  </si>
  <si>
    <t>Crisis in Space</t>
  </si>
  <si>
    <t>Michael Holt</t>
  </si>
  <si>
    <t>0-7278-2093-1</t>
  </si>
  <si>
    <t>Find Your Fate</t>
  </si>
  <si>
    <t>FYF3</t>
  </si>
  <si>
    <t>The Garden of Evil</t>
  </si>
  <si>
    <t>0-7278-2113-X</t>
  </si>
  <si>
    <t>FYF4</t>
  </si>
  <si>
    <t>Mission to Venus</t>
  </si>
  <si>
    <t>0-7278-2122-9</t>
  </si>
  <si>
    <t>FYF5</t>
  </si>
  <si>
    <t>Invasion of the Ormazoids</t>
  </si>
  <si>
    <t>0-7278-2100-8</t>
  </si>
  <si>
    <t>FYF6</t>
  </si>
  <si>
    <t>Race Against Time</t>
  </si>
  <si>
    <t>0-7278-2116-4</t>
  </si>
  <si>
    <t>DYD13</t>
  </si>
  <si>
    <t>The Coldest War</t>
  </si>
  <si>
    <t>Decide Your Destiny</t>
  </si>
  <si>
    <t>1-4059-0686-9</t>
  </si>
  <si>
    <t>DYD14</t>
  </si>
  <si>
    <t>Claws of the Macra</t>
  </si>
  <si>
    <t>1-4059-0685-2</t>
  </si>
  <si>
    <t>DYD15</t>
  </si>
  <si>
    <t>Judoon Monsoon</t>
  </si>
  <si>
    <t>1-4059-0697-5</t>
  </si>
  <si>
    <t>DYD16</t>
  </si>
  <si>
    <t>Empire of the Wolf</t>
  </si>
  <si>
    <t>1-4059-0715-6</t>
  </si>
  <si>
    <t>CtF1</t>
  </si>
  <si>
    <t>Night of the Kraken</t>
  </si>
  <si>
    <t>1-4059-2650-8</t>
  </si>
  <si>
    <t>Choose the Future</t>
  </si>
  <si>
    <t>CtF2</t>
  </si>
  <si>
    <t>Terror Moon</t>
  </si>
  <si>
    <t>1-4059-2651-5</t>
  </si>
  <si>
    <t>DYD01</t>
  </si>
  <si>
    <t>The Spaceship Graveyard</t>
  </si>
  <si>
    <t>1-4059-0376-9</t>
  </si>
  <si>
    <t>DYD02</t>
  </si>
  <si>
    <t>Alien Arena</t>
  </si>
  <si>
    <t>1-4059-0352-3</t>
  </si>
  <si>
    <t>DYD03</t>
  </si>
  <si>
    <t>The Time Crocodile</t>
  </si>
  <si>
    <t>1-4059-0350-9</t>
  </si>
  <si>
    <t>DYD04</t>
  </si>
  <si>
    <t>The Corinthian Project</t>
  </si>
  <si>
    <t>1-4059-0345-5</t>
  </si>
  <si>
    <t>DYD05</t>
  </si>
  <si>
    <t>The Crystal Snare</t>
  </si>
  <si>
    <t>1-4059-0381-3</t>
  </si>
  <si>
    <t>DYD06</t>
  </si>
  <si>
    <t>War of the Robots</t>
  </si>
  <si>
    <t>1-4059-0382-0</t>
  </si>
  <si>
    <t>DYD07</t>
  </si>
  <si>
    <t>Dark Planet</t>
  </si>
  <si>
    <t>1-4059-0379-0</t>
  </si>
  <si>
    <t>DYD08</t>
  </si>
  <si>
    <t>The Haunted Wagon Train</t>
  </si>
  <si>
    <t>1-4059-0380-6</t>
  </si>
  <si>
    <t>DYD09</t>
  </si>
  <si>
    <t>Lost Luggage</t>
  </si>
  <si>
    <t>1-4059-0401-8</t>
  </si>
  <si>
    <t>DYD12</t>
  </si>
  <si>
    <t>The Horror of Howling Hill</t>
  </si>
  <si>
    <t>1-4059-0404-9</t>
  </si>
  <si>
    <t>DYD10</t>
  </si>
  <si>
    <t>Second Skin</t>
  </si>
  <si>
    <t>1-4059-0402-5</t>
  </si>
  <si>
    <t>DYD11</t>
  </si>
  <si>
    <t>The Dragon King</t>
  </si>
  <si>
    <t>Evacuation Earth</t>
  </si>
  <si>
    <t>Video Game</t>
  </si>
  <si>
    <t>Asylum Entertainment</t>
  </si>
  <si>
    <t>Return to Earth</t>
  </si>
  <si>
    <t>The Mazes of Time</t>
  </si>
  <si>
    <t>The Christmas Trap</t>
  </si>
  <si>
    <t>Angels in the Shadows</t>
  </si>
  <si>
    <t>The Eternity Clock</t>
  </si>
  <si>
    <t>The Warlord</t>
  </si>
  <si>
    <t>BBC Software</t>
  </si>
  <si>
    <t>Dalek Attack</t>
  </si>
  <si>
    <t>Admiral Software</t>
  </si>
  <si>
    <t>R.D. Hulley</t>
  </si>
  <si>
    <t>Destiny of the Doctors</t>
  </si>
  <si>
    <t>BBC Multimedia</t>
  </si>
  <si>
    <t>The First Adventure</t>
  </si>
  <si>
    <t>The Labyrinth of Death; The Prison; Terrordactyls; The Box of Tantalus</t>
  </si>
  <si>
    <t>6a</t>
  </si>
  <si>
    <t>12a</t>
  </si>
  <si>
    <t>13b</t>
  </si>
  <si>
    <t>15b</t>
  </si>
  <si>
    <t>16b</t>
  </si>
  <si>
    <t>17b</t>
  </si>
  <si>
    <t>17c</t>
  </si>
  <si>
    <t>17d</t>
  </si>
  <si>
    <t>20b</t>
  </si>
  <si>
    <t>21d</t>
  </si>
  <si>
    <t>21e</t>
  </si>
  <si>
    <t>21f</t>
  </si>
  <si>
    <t>24b</t>
  </si>
  <si>
    <t>25b</t>
  </si>
  <si>
    <t>S3b</t>
  </si>
  <si>
    <t>S3c</t>
  </si>
  <si>
    <t>S4d</t>
  </si>
  <si>
    <t>S4e</t>
  </si>
  <si>
    <t>S5b</t>
  </si>
  <si>
    <t>S5c</t>
  </si>
  <si>
    <t>S5d</t>
  </si>
  <si>
    <t>S8b</t>
  </si>
  <si>
    <t>S9c</t>
  </si>
  <si>
    <t>In Days of Old; When Knights were Bold; The Earl was in his Castle; Begone You Rotten Rascal</t>
  </si>
  <si>
    <t>House of Wax; Cellar of Terror</t>
  </si>
  <si>
    <t>The Enigma Casket; Too Many Time Lords</t>
  </si>
  <si>
    <t>Evil Schemes; The Order of the World</t>
  </si>
  <si>
    <t>Good Intentions; The Cataracts of Chaos</t>
  </si>
  <si>
    <t>It Takes You Away</t>
  </si>
  <si>
    <t>The Battle of Ranskoor Av Kolos</t>
  </si>
  <si>
    <t>NNA1.1</t>
  </si>
  <si>
    <t>New New Adventure</t>
  </si>
  <si>
    <t>1-78703-668-0</t>
  </si>
  <si>
    <t>NNA1.2</t>
  </si>
  <si>
    <t>NNA1.3</t>
  </si>
  <si>
    <t>NNA1.4</t>
  </si>
  <si>
    <t>The Trial of a Time Machine</t>
  </si>
  <si>
    <t>The Jabari Countdown</t>
  </si>
  <si>
    <t>The Dread of Night</t>
  </si>
  <si>
    <t>Steve Jordan</t>
  </si>
  <si>
    <t>Alan Flanagan</t>
  </si>
  <si>
    <t>1.1-1.4 (The Dread of Night)</t>
  </si>
  <si>
    <t>1.1-5.3 (Entanglement)</t>
  </si>
  <si>
    <t>UNIT0.0</t>
  </si>
  <si>
    <t>UNIT0.1</t>
  </si>
  <si>
    <t>UNIT0.2</t>
  </si>
  <si>
    <t>UNIT0.3</t>
  </si>
  <si>
    <t>UNIT0.4</t>
  </si>
  <si>
    <t>UNIT2.1</t>
  </si>
  <si>
    <t>UNIT2.2</t>
  </si>
  <si>
    <t>UNIT2.3</t>
  </si>
  <si>
    <t>UNIT2.4</t>
  </si>
  <si>
    <t>UNIT0.5</t>
  </si>
  <si>
    <t>URe</t>
  </si>
  <si>
    <t>UNIT7.1-2</t>
  </si>
  <si>
    <t>Revisitations: Hosts of the Wirrn</t>
  </si>
  <si>
    <t>Revisitations: Breach of Trust</t>
  </si>
  <si>
    <t>Revisitations: Open the Box</t>
  </si>
  <si>
    <t>1-78575-971-0</t>
  </si>
  <si>
    <t>Breach of Trust</t>
  </si>
  <si>
    <t>Open the Box</t>
  </si>
  <si>
    <t>Guy Adams, Matt Fitton</t>
  </si>
  <si>
    <t>Ken Bentley, Matt Fitton</t>
  </si>
  <si>
    <t>1-78703-561-4</t>
  </si>
  <si>
    <t>GTW2.1</t>
  </si>
  <si>
    <t>GTW2.2</t>
  </si>
  <si>
    <t>GTW2.3</t>
  </si>
  <si>
    <t>GTW2.4</t>
  </si>
  <si>
    <t>Havoc</t>
  </si>
  <si>
    <t>Partisans</t>
  </si>
  <si>
    <t>Collateral</t>
  </si>
  <si>
    <t>Assassins</t>
  </si>
  <si>
    <t>Lisa McMullin</t>
  </si>
  <si>
    <t>Where's the Doctor?</t>
  </si>
  <si>
    <t>Ann 2019</t>
  </si>
  <si>
    <t>RTTDC1.1</t>
  </si>
  <si>
    <t>1-78703-808-0</t>
  </si>
  <si>
    <t>Rose Tyler Adventure</t>
  </si>
  <si>
    <t>RTTDC1.2</t>
  </si>
  <si>
    <t>RTTDC1.3</t>
  </si>
  <si>
    <t>RTTDC1.4</t>
  </si>
  <si>
    <t>The Endless Night</t>
  </si>
  <si>
    <t>The Ghost Machines</t>
  </si>
  <si>
    <t>The Last Party on Earth</t>
  </si>
  <si>
    <t>STA8:11</t>
  </si>
  <si>
    <t>The Mistpuddle Murders</t>
  </si>
  <si>
    <t>1-78703-004-6</t>
  </si>
  <si>
    <t>8.7-8</t>
  </si>
  <si>
    <t>4DA8.1</t>
  </si>
  <si>
    <t>4DA8.2</t>
  </si>
  <si>
    <t>4DA8.3</t>
  </si>
  <si>
    <t>4DA8.4</t>
  </si>
  <si>
    <t>4DA8.5</t>
  </si>
  <si>
    <t>4DA8.6</t>
  </si>
  <si>
    <t>4DA8.7-8</t>
  </si>
  <si>
    <t>The Syndicate Master Plan</t>
  </si>
  <si>
    <t>The Sinestran Kill</t>
  </si>
  <si>
    <t>Planet of the Drashigs</t>
  </si>
  <si>
    <t>The Enchantress of Numbers</t>
  </si>
  <si>
    <t>The False Guardian</t>
  </si>
  <si>
    <t>1-78703-289-7</t>
  </si>
  <si>
    <t>Time's Assassin</t>
  </si>
  <si>
    <t>Fever Island</t>
  </si>
  <si>
    <t>The Perfect Prisoners</t>
  </si>
  <si>
    <t>John Dorney, Guy Adams</t>
  </si>
  <si>
    <t>1-78703-291-0</t>
  </si>
  <si>
    <t>Ann Kelso</t>
  </si>
  <si>
    <t>TWM2.1</t>
  </si>
  <si>
    <t>1-78703-662-8</t>
  </si>
  <si>
    <t>TWM2.2</t>
  </si>
  <si>
    <t>TWM2.3</t>
  </si>
  <si>
    <t>TWM2.4</t>
  </si>
  <si>
    <t>Call for the Dead</t>
  </si>
  <si>
    <t>The Glittering Prize</t>
  </si>
  <si>
    <t>The Persistence of Dreams</t>
  </si>
  <si>
    <t>The Master of Callous: Call for the Dead</t>
  </si>
  <si>
    <t>The Master of Callous: The Glittering Prize</t>
  </si>
  <si>
    <t>The Master of Callous: The Persistence of Dreams</t>
  </si>
  <si>
    <t>The Master of Callous: Sins of the Father</t>
  </si>
  <si>
    <t>Resolution</t>
  </si>
  <si>
    <t>Fam</t>
  </si>
  <si>
    <t>TDoRS6.4</t>
  </si>
  <si>
    <t>An Unearthly Woman</t>
  </si>
  <si>
    <t>TDoRS6.1</t>
  </si>
  <si>
    <t>1-78703-507-2</t>
  </si>
  <si>
    <t>TDoRS6.2</t>
  </si>
  <si>
    <t>The Web of Time</t>
  </si>
  <si>
    <t>TDoRS6.3</t>
  </si>
  <si>
    <t>Peepshow</t>
  </si>
  <si>
    <t>The Talents of Greel</t>
  </si>
  <si>
    <t>TDoRS5.1</t>
  </si>
  <si>
    <t>The Bekdel Test</t>
  </si>
  <si>
    <t>1-78703-505-8</t>
  </si>
  <si>
    <t>TDoRS5.4</t>
  </si>
  <si>
    <t>Concealed Weapon</t>
  </si>
  <si>
    <t>TDoRS5.3</t>
  </si>
  <si>
    <t>The Lifeboat and the Deathboat</t>
  </si>
  <si>
    <t>TDoRS5.2</t>
  </si>
  <si>
    <t>Animal Instinct</t>
  </si>
  <si>
    <t>Muse of Fire</t>
  </si>
  <si>
    <t>1-78178-839-4</t>
  </si>
  <si>
    <t>The Hunting Ground</t>
  </si>
  <si>
    <t>1-78178-841-7</t>
  </si>
  <si>
    <t>1-246 (The Hunting Ground)</t>
  </si>
  <si>
    <t>1.1-6.4 The Talents of Greel)</t>
  </si>
  <si>
    <t>A World Without Fear; The First; The Dying Art; The Invention of Life</t>
  </si>
  <si>
    <t>UNIT Testing</t>
  </si>
  <si>
    <t>1-78703-612-3</t>
  </si>
  <si>
    <t>Doris V Sutherland</t>
  </si>
  <si>
    <t>In Time: The Bunny's Curse</t>
  </si>
  <si>
    <t>BFAn11:01</t>
  </si>
  <si>
    <t>BFAn11:02</t>
  </si>
  <si>
    <t>In Time: Oh No, Not Again</t>
  </si>
  <si>
    <t>In Time: The Seventh Fanfic</t>
  </si>
  <si>
    <t>BFAn11:03</t>
  </si>
  <si>
    <t>BFAn11:04</t>
  </si>
  <si>
    <t>In Time: Benny and the Grieving Man</t>
  </si>
  <si>
    <t>BFAn11:05</t>
  </si>
  <si>
    <t>In Time: Wurm Noir</t>
  </si>
  <si>
    <t>Antonio Rastelli</t>
  </si>
  <si>
    <t>BFAn11:06</t>
  </si>
  <si>
    <t>In Time: Legacy Presence</t>
  </si>
  <si>
    <t>BFAn11:07</t>
  </si>
  <si>
    <t>In Time: The Death of Hope</t>
  </si>
  <si>
    <t>BFAn11:08</t>
  </si>
  <si>
    <t>In Time: Old Ruins</t>
  </si>
  <si>
    <t>STA8:12</t>
  </si>
  <si>
    <t>The Devil's Footprints</t>
  </si>
  <si>
    <t>1-78703-005-3</t>
  </si>
  <si>
    <t>U6-07</t>
  </si>
  <si>
    <t>U7</t>
  </si>
  <si>
    <t>U6 late or U7 early</t>
  </si>
  <si>
    <t>1881-10-25 to 10-26</t>
  </si>
  <si>
    <t>U3-05, 1934</t>
  </si>
  <si>
    <t>2002-05</t>
  </si>
  <si>
    <t>2002 early</t>
  </si>
  <si>
    <t>2002</t>
  </si>
  <si>
    <t>2002 late</t>
  </si>
  <si>
    <t>2002-11</t>
  </si>
  <si>
    <t>2003-04</t>
  </si>
  <si>
    <t>2003</t>
  </si>
  <si>
    <t>2000</t>
  </si>
  <si>
    <t>1555-01, 2000</t>
  </si>
  <si>
    <t>2000-10</t>
  </si>
  <si>
    <t>2001-02</t>
  </si>
  <si>
    <t>2001</t>
  </si>
  <si>
    <t>w c</t>
  </si>
  <si>
    <t>(=) c</t>
  </si>
  <si>
    <t>2001-11</t>
  </si>
  <si>
    <t>2002 to 2003</t>
  </si>
  <si>
    <t>2002-06-06</t>
  </si>
  <si>
    <t>2003-04, -6 billion</t>
  </si>
  <si>
    <t>2003-05 late to 2003-06</t>
  </si>
  <si>
    <t>2003-06-14</t>
  </si>
  <si>
    <t>2003-06</t>
  </si>
  <si>
    <t>2003 summer</t>
  </si>
  <si>
    <t>2003-08</t>
  </si>
  <si>
    <t>2003-10-30 to 10-31</t>
  </si>
  <si>
    <t>2003-11</t>
  </si>
  <si>
    <t>1781-12-12 to 1782-06, 2003-12-12</t>
  </si>
  <si>
    <t>1965</t>
  </si>
  <si>
    <t>1485, 2004</t>
  </si>
  <si>
    <t>2004-07</t>
  </si>
  <si>
    <t>2004</t>
  </si>
  <si>
    <t>-1401, 2005</t>
  </si>
  <si>
    <t>2005-03-05 to 03-06</t>
  </si>
  <si>
    <t>= c</t>
  </si>
  <si>
    <t>=</t>
  </si>
  <si>
    <t>2380</t>
  </si>
  <si>
    <t>2005-06</t>
  </si>
  <si>
    <t>1964</t>
  </si>
  <si>
    <t>2006-06-24, 1972, 1948</t>
  </si>
  <si>
    <t>1966</t>
  </si>
  <si>
    <t>2007-10 late</t>
  </si>
  <si>
    <t>2008-02-28 to 02-29</t>
  </si>
  <si>
    <t>2008 to 2009</t>
  </si>
  <si>
    <t>2008-12</t>
  </si>
  <si>
    <t>2008-12 mid</t>
  </si>
  <si>
    <t>2008-06, 2009-06</t>
  </si>
  <si>
    <t>2009-08-04</t>
  </si>
  <si>
    <t>2009-12-24 to 12-25</t>
  </si>
  <si>
    <t>U2 early, 2010</t>
  </si>
  <si>
    <t>2010</t>
  </si>
  <si>
    <t>2010-03</t>
  </si>
  <si>
    <t>2010 spring</t>
  </si>
  <si>
    <t>2010-04 to summer</t>
  </si>
  <si>
    <t>2010 summer</t>
  </si>
  <si>
    <t>2010-09-06 to 09-10</t>
  </si>
  <si>
    <t>2010-09-13 to 09-15</t>
  </si>
  <si>
    <t>dates don't work</t>
  </si>
  <si>
    <t>dates clash with Skypoint</t>
  </si>
  <si>
    <t>2010-11</t>
  </si>
  <si>
    <t>46 winter, 2010-12-22 to 12-23</t>
  </si>
  <si>
    <t>2010-12-24</t>
  </si>
  <si>
    <t>U5 late/U6, 2010-12-24</t>
  </si>
  <si>
    <t>2011</t>
  </si>
  <si>
    <t>1893, 2011</t>
  </si>
  <si>
    <t>1660 autumn, 2011</t>
  </si>
  <si>
    <t>2011-03 early</t>
  </si>
  <si>
    <t>2011-04 early</t>
  </si>
  <si>
    <t>2011-05-15</t>
  </si>
  <si>
    <t>1969-04-08, 1969-07, 2011-04-22</t>
  </si>
  <si>
    <t>1861, 2011-08</t>
  </si>
  <si>
    <t>2011 (late autumn?)</t>
  </si>
  <si>
    <t>2011 (early autumn?)</t>
  </si>
  <si>
    <t>Web of Lies</t>
  </si>
  <si>
    <t>Andy Collen, Jeff Krelitz</t>
  </si>
  <si>
    <t>Jeff Krelitz / ?</t>
  </si>
  <si>
    <t>2007, 2011</t>
  </si>
  <si>
    <t>dating confuses others</t>
  </si>
  <si>
    <t>2017</t>
  </si>
  <si>
    <t>4100s</t>
  </si>
  <si>
    <t>Warfare</t>
  </si>
  <si>
    <t>Terrorism; Presidency</t>
  </si>
  <si>
    <t>Intervention; Abdication; Disruption; Misdirection; Anomaly; Paradox</t>
  </si>
  <si>
    <t>The Glass Palace; Innocents Abroad; Doctor Marlow; The High and the Low</t>
  </si>
  <si>
    <t>8.X</t>
  </si>
  <si>
    <t>STA8:X</t>
  </si>
  <si>
    <t>The Last Day at Work</t>
  </si>
  <si>
    <t>Alfie Shaw</t>
  </si>
  <si>
    <t>1-78703-708-3</t>
  </si>
  <si>
    <t>2619</t>
  </si>
  <si>
    <t>2618</t>
  </si>
  <si>
    <t>2617</t>
  </si>
  <si>
    <t>-1500, 2616</t>
  </si>
  <si>
    <t>2610</t>
  </si>
  <si>
    <t>2619-07</t>
  </si>
  <si>
    <t>Twas the Night Before Christmas</t>
  </si>
  <si>
    <t>Bradley Walsh</t>
  </si>
  <si>
    <t>Flight 405</t>
  </si>
  <si>
    <t>Hostile Environment</t>
  </si>
  <si>
    <t>Another Man's Shoes</t>
  </si>
  <si>
    <t>Lou Morgan</t>
  </si>
  <si>
    <t>Ash Darby</t>
  </si>
  <si>
    <t>1-78703-644-4</t>
  </si>
  <si>
    <t>TW2b</t>
  </si>
  <si>
    <t>Partners in Time</t>
  </si>
  <si>
    <t>The Angel of History</t>
  </si>
  <si>
    <t>Ever After Happy</t>
  </si>
  <si>
    <t>The Grel Invasion of Earth</t>
  </si>
  <si>
    <t>Braxiatel in Love</t>
  </si>
  <si>
    <t>Every Dark Thought</t>
  </si>
  <si>
    <t>Empress of the Drahvins</t>
  </si>
  <si>
    <t>Tesh</t>
  </si>
  <si>
    <t>Postwar Blues</t>
  </si>
  <si>
    <t>CM</t>
  </si>
  <si>
    <t>Devil in the Mist</t>
  </si>
  <si>
    <t>1-78178-843-1</t>
  </si>
  <si>
    <t>Black Thursday</t>
  </si>
  <si>
    <t>Power Game</t>
  </si>
  <si>
    <t>1-78178-845-5</t>
  </si>
  <si>
    <t>The Kamelion Empire</t>
  </si>
  <si>
    <t>1-78178-847-9</t>
  </si>
  <si>
    <t>Interruptions</t>
  </si>
  <si>
    <t>Settling</t>
  </si>
  <si>
    <t>22b</t>
  </si>
  <si>
    <t>Grief</t>
  </si>
  <si>
    <t>NA08a</t>
  </si>
  <si>
    <t>Loss; Hope; Destiny</t>
  </si>
  <si>
    <t>1DA3.1</t>
  </si>
  <si>
    <t>1DA3.2</t>
  </si>
  <si>
    <t>The Phoenicians</t>
  </si>
  <si>
    <t>1-78703-657-4</t>
  </si>
  <si>
    <t>The Graveyard World; The Time Ship; Death in Time; Feast of the Xesto</t>
  </si>
  <si>
    <t>The Purple and the Gold; The Hireling; Legends and Lies; The Bull's Hide</t>
  </si>
  <si>
    <t>Missy Audio</t>
  </si>
  <si>
    <t>A Spoonful of Mayhem</t>
  </si>
  <si>
    <t>Divorced, Beheaded, Regenerated</t>
  </si>
  <si>
    <t>The Broken Clock</t>
  </si>
  <si>
    <t>The Belly of the Beast</t>
  </si>
  <si>
    <t>Uin</t>
  </si>
  <si>
    <t>1-78703-672-7</t>
  </si>
  <si>
    <t>UNIT8.3-4</t>
  </si>
  <si>
    <t>UNIT8.1</t>
  </si>
  <si>
    <t>UNIT8.2</t>
  </si>
  <si>
    <t>Incursions: This Sleep of Death</t>
  </si>
  <si>
    <t>This Sleep of Death</t>
  </si>
  <si>
    <t>Incursions: Tempest</t>
  </si>
  <si>
    <t>Incursions: The Power of River Song</t>
  </si>
  <si>
    <t>1-78575-973-4</t>
  </si>
  <si>
    <t>STA9:01</t>
  </si>
  <si>
    <t>The Revisionists</t>
  </si>
  <si>
    <t>1-78703-714-4</t>
  </si>
  <si>
    <t>Scratchman</t>
  </si>
  <si>
    <t>Tom Baker, James Goss</t>
  </si>
  <si>
    <t>1-785-94390-4</t>
  </si>
  <si>
    <t>1-6 (Alit in Underland)</t>
  </si>
  <si>
    <t>DWAv2.sp</t>
  </si>
  <si>
    <t>The Greatest Movie Never Made</t>
  </si>
  <si>
    <t>The Crystal of All Power; The Masters of Karn</t>
  </si>
  <si>
    <t>1-78703-646-8</t>
  </si>
  <si>
    <t>2008-09-10(!)</t>
  </si>
  <si>
    <t>2011 (winter) or early 2012</t>
  </si>
  <si>
    <t>O</t>
  </si>
  <si>
    <t>N±1th Doctor (Payne/Martin)</t>
  </si>
  <si>
    <t>M, O</t>
  </si>
  <si>
    <t>1.1-3.2 (The Tick-Tock World)</t>
  </si>
  <si>
    <t>1980</t>
  </si>
  <si>
    <t>1979</t>
  </si>
  <si>
    <t>-400 million, 1505, 1979 (spring)</t>
  </si>
  <si>
    <t>1978</t>
  </si>
  <si>
    <t>1977</t>
  </si>
  <si>
    <t>1977-07-30 to 31</t>
  </si>
  <si>
    <t>1977, 1983</t>
  </si>
  <si>
    <t>2010-12-24, 1976-07-12</t>
  </si>
  <si>
    <t>2011, 1976</t>
  </si>
  <si>
    <t>1975</t>
  </si>
  <si>
    <t>c; All missing</t>
  </si>
  <si>
    <t>1974</t>
  </si>
  <si>
    <t>1973</t>
  </si>
  <si>
    <t>1970-03-20</t>
  </si>
  <si>
    <t>c; 1, 4 missing</t>
  </si>
  <si>
    <t>2004-10, 1980-04-30</t>
  </si>
  <si>
    <t>1980-10</t>
  </si>
  <si>
    <t>1981</t>
  </si>
  <si>
    <t>1981-02-28</t>
  </si>
  <si>
    <t>1981-08-28</t>
  </si>
  <si>
    <t>1981-12-18 to 22</t>
  </si>
  <si>
    <t>1981-12-23</t>
  </si>
  <si>
    <t>1982-04</t>
  </si>
  <si>
    <t>1982-07-11</t>
  </si>
  <si>
    <t>1983</t>
  </si>
  <si>
    <t>1983-06-09</t>
  </si>
  <si>
    <t>1983, summer</t>
  </si>
  <si>
    <t>1984-05-01</t>
  </si>
  <si>
    <t>1984-05-09</t>
  </si>
  <si>
    <t>1984-09-24</t>
  </si>
  <si>
    <t>1983, 1984</t>
  </si>
  <si>
    <t>, =c</t>
  </si>
  <si>
    <t>1985</t>
  </si>
  <si>
    <t>1985-12-12</t>
  </si>
  <si>
    <t>1986</t>
  </si>
  <si>
    <t>1986-12</t>
  </si>
  <si>
    <t>1987-07</t>
  </si>
  <si>
    <t>1987-11-07</t>
  </si>
  <si>
    <t>1988-04-08</t>
  </si>
  <si>
    <t>1988-11-22 to 23, 1638-11</t>
  </si>
  <si>
    <t>1988-06, mid</t>
  </si>
  <si>
    <t>1989</t>
  </si>
  <si>
    <t>1989 summer to 1990-08</t>
  </si>
  <si>
    <t>1989-10</t>
  </si>
  <si>
    <t>1980 winter, 1985 spring, 1989-11</t>
  </si>
  <si>
    <t>1990</t>
  </si>
  <si>
    <t>1991</t>
  </si>
  <si>
    <t>1992 early summer</t>
  </si>
  <si>
    <t>1992</t>
  </si>
  <si>
    <t>1992 christmas</t>
  </si>
  <si>
    <t>1993</t>
  </si>
  <si>
    <t>1993-11-02</t>
  </si>
  <si>
    <t>1993-11</t>
  </si>
  <si>
    <t>1993-12-29</t>
  </si>
  <si>
    <t>1994</t>
  </si>
  <si>
    <t>1994-07-08</t>
  </si>
  <si>
    <t>1994-08-08 to 13</t>
  </si>
  <si>
    <t>1995, 1984-08 to 09</t>
  </si>
  <si>
    <t>c,</t>
  </si>
  <si>
    <t>1995-12-20</t>
  </si>
  <si>
    <t>2006, 1996-01-12</t>
  </si>
  <si>
    <t>1996</t>
  </si>
  <si>
    <t>2008-03, 2005-01-01, 2010-06-25, 1996 easter</t>
  </si>
  <si>
    <t>1996-12-19</t>
  </si>
  <si>
    <t>1997-04</t>
  </si>
  <si>
    <t>1997-05</t>
  </si>
  <si>
    <t>1997, etc</t>
  </si>
  <si>
    <t>1997</t>
  </si>
  <si>
    <t>1997, 1976</t>
  </si>
  <si>
    <t>1997, -2,579,868, -3,639,878</t>
  </si>
  <si>
    <t>1998</t>
  </si>
  <si>
    <t>1999</t>
  </si>
  <si>
    <t>1999-07</t>
  </si>
  <si>
    <t>1999, -12 million</t>
  </si>
  <si>
    <t>2000-11-04 to 2003-04-21, 2011-10-07 to 14, 1993-05-08, 1994-06-10 to 11, 1996-04-17, 1997-12-16, 1998-08-11 to 12, 1999-10-29 and 31</t>
  </si>
  <si>
    <t>1999-12-31</t>
  </si>
  <si>
    <t>1999-12-31 to 2000-01-01</t>
  </si>
  <si>
    <t>2000-01-01</t>
  </si>
  <si>
    <t>2012</t>
  </si>
  <si>
    <t>2012, spring</t>
  </si>
  <si>
    <t>2011-04-22, 2012</t>
  </si>
  <si>
    <t>2009-04 early, 2012</t>
  </si>
  <si>
    <t>2012-07-27</t>
  </si>
  <si>
    <t>2012, 2012-06 to 08</t>
  </si>
  <si>
    <t>1360-11, 2012</t>
  </si>
  <si>
    <t>, c</t>
  </si>
  <si>
    <t>2012-11</t>
  </si>
  <si>
    <t>2013</t>
  </si>
  <si>
    <t>U4 summer, 2011, 2014</t>
  </si>
  <si>
    <t>2014 late autumn</t>
  </si>
  <si>
    <t>2015-06-07</t>
  </si>
  <si>
    <t>2015-10-21 to 11-13</t>
  </si>
  <si>
    <t>2020</t>
  </si>
  <si>
    <t>1350, 2020-07-17</t>
  </si>
  <si>
    <t>2021-10-12</t>
  </si>
  <si>
    <t>2025</t>
  </si>
  <si>
    <t>2026-04-18 to 22</t>
  </si>
  <si>
    <t>2026-04-22. 2027-06-24 to 2028-05-24, -7 billion</t>
  </si>
  <si>
    <t>2030 early autumn</t>
  </si>
  <si>
    <t>2040 winter early in year</t>
  </si>
  <si>
    <t>2032-11-30, 2043</t>
  </si>
  <si>
    <t>2044</t>
  </si>
  <si>
    <t>2045</t>
  </si>
  <si>
    <t>2050</t>
  </si>
  <si>
    <t>1963-11-23, 2050</t>
  </si>
  <si>
    <t>1999-07, 2050-09-28</t>
  </si>
  <si>
    <t>2059-11-21</t>
  </si>
  <si>
    <t>2009, 2059</t>
  </si>
  <si>
    <t>2062</t>
  </si>
  <si>
    <t>2069-03-26</t>
  </si>
  <si>
    <t>2068</t>
  </si>
  <si>
    <t>?; All missing except 3</t>
  </si>
  <si>
    <t>2070</t>
  </si>
  <si>
    <t>2080</t>
  </si>
  <si>
    <t>2084</t>
  </si>
  <si>
    <t>2086-04-25</t>
  </si>
  <si>
    <t>2088</t>
  </si>
  <si>
    <t>2090</t>
  </si>
  <si>
    <t>2092-08-29</t>
  </si>
  <si>
    <t>2096</t>
  </si>
  <si>
    <t>2099</t>
  </si>
  <si>
    <t>2100</t>
  </si>
  <si>
    <t>2100-12-24</t>
  </si>
  <si>
    <t>2106</t>
  </si>
  <si>
    <t>2108</t>
  </si>
  <si>
    <t>2108, 39</t>
  </si>
  <si>
    <t>The Orphans of the Polyoptra</t>
  </si>
  <si>
    <t>2109</t>
  </si>
  <si>
    <t>, &amp;</t>
  </si>
  <si>
    <t>, 2109</t>
  </si>
  <si>
    <t>2111</t>
  </si>
  <si>
    <t>2112</t>
  </si>
  <si>
    <t>2112, 2012</t>
  </si>
  <si>
    <t>2116</t>
  </si>
  <si>
    <t>2118-04</t>
  </si>
  <si>
    <t>2110, 2125</t>
  </si>
  <si>
    <t>c, &amp;</t>
  </si>
  <si>
    <t>2130</t>
  </si>
  <si>
    <t>2135</t>
  </si>
  <si>
    <t>?; All missing except 2</t>
  </si>
  <si>
    <t>2146</t>
  </si>
  <si>
    <t>2148</t>
  </si>
  <si>
    <t>2150</t>
  </si>
  <si>
    <t>2157</t>
  </si>
  <si>
    <t>?,</t>
  </si>
  <si>
    <t>U5-09-12 to 13, 2172</t>
  </si>
  <si>
    <t>U, c (=)</t>
  </si>
  <si>
    <t>2185</t>
  </si>
  <si>
    <t>2187 summer</t>
  </si>
  <si>
    <t>2187-12-24</t>
  </si>
  <si>
    <t>2188, 2190</t>
  </si>
  <si>
    <t>2189</t>
  </si>
  <si>
    <t>2190</t>
  </si>
  <si>
    <t>2191-01</t>
  </si>
  <si>
    <t>2191</t>
  </si>
  <si>
    <t>2192</t>
  </si>
  <si>
    <t>2192, 2196</t>
  </si>
  <si>
    <t>2197</t>
  </si>
  <si>
    <t>2199</t>
  </si>
  <si>
    <t>2202</t>
  </si>
  <si>
    <t>2204</t>
  </si>
  <si>
    <t>2202, 2205</t>
  </si>
  <si>
    <t>2211-09</t>
  </si>
  <si>
    <t>2212-05 to 2213-05-10</t>
  </si>
  <si>
    <t>2215 last day</t>
  </si>
  <si>
    <t>2230</t>
  </si>
  <si>
    <t>2231</t>
  </si>
  <si>
    <t>2237</t>
  </si>
  <si>
    <t>2250</t>
  </si>
  <si>
    <t>2257, 2227</t>
  </si>
  <si>
    <t>2263</t>
  </si>
  <si>
    <t>2275</t>
  </si>
  <si>
    <t>2285</t>
  </si>
  <si>
    <t>2287</t>
  </si>
  <si>
    <t>2290, 1980</t>
  </si>
  <si>
    <t>2294</t>
  </si>
  <si>
    <t>2295</t>
  </si>
  <si>
    <t>Dreadnaught</t>
  </si>
  <si>
    <t>2296</t>
  </si>
  <si>
    <t>2301</t>
  </si>
  <si>
    <t>2305</t>
  </si>
  <si>
    <t>2308</t>
  </si>
  <si>
    <t>2309</t>
  </si>
  <si>
    <t>2310-09</t>
  </si>
  <si>
    <t>2311</t>
  </si>
  <si>
    <t>Profits of Doom</t>
  </si>
  <si>
    <t>2321-01-07</t>
  </si>
  <si>
    <t>2345-12 (first Thursday)</t>
  </si>
  <si>
    <t>2346-03</t>
  </si>
  <si>
    <t>2350</t>
  </si>
  <si>
    <t>2351</t>
  </si>
  <si>
    <t>2366</t>
  </si>
  <si>
    <t>?; All missing</t>
  </si>
  <si>
    <t>2371</t>
  </si>
  <si>
    <t>2378</t>
  </si>
  <si>
    <t>2379-07-03</t>
  </si>
  <si>
    <t>2380-04-21 to 22</t>
  </si>
  <si>
    <t>2381-03-29, 1993-11-18</t>
  </si>
  <si>
    <t xml:space="preserve">&amp;, </t>
  </si>
  <si>
    <t>2382</t>
  </si>
  <si>
    <t>2385</t>
  </si>
  <si>
    <t>2388</t>
  </si>
  <si>
    <t>2397</t>
  </si>
  <si>
    <t>2400-09-01 to 16</t>
  </si>
  <si>
    <t>2405</t>
  </si>
  <si>
    <t>2408</t>
  </si>
  <si>
    <t>2429</t>
  </si>
  <si>
    <t>2430</t>
  </si>
  <si>
    <t>2440</t>
  </si>
  <si>
    <t>2450</t>
  </si>
  <si>
    <t>2472-03-03 to 04</t>
  </si>
  <si>
    <t>2484</t>
  </si>
  <si>
    <t>2485</t>
  </si>
  <si>
    <t>2486</t>
  </si>
  <si>
    <t>2486-09</t>
  </si>
  <si>
    <t>2487</t>
  </si>
  <si>
    <t>2493</t>
  </si>
  <si>
    <t>1985, 2495</t>
  </si>
  <si>
    <t>2500</t>
  </si>
  <si>
    <t>2501</t>
  </si>
  <si>
    <t>2502</t>
  </si>
  <si>
    <t>2503</t>
  </si>
  <si>
    <t>2505</t>
  </si>
  <si>
    <t>2509-09-20</t>
  </si>
  <si>
    <t>2514</t>
  </si>
  <si>
    <t>Cyberman Story</t>
  </si>
  <si>
    <t>1.1-2.4 (Extinction)</t>
  </si>
  <si>
    <t>1-84435-117-3</t>
  </si>
  <si>
    <t>CYBE1.1</t>
  </si>
  <si>
    <t>CYBE1.2</t>
  </si>
  <si>
    <t>CYBE1.3</t>
  </si>
  <si>
    <t>CYBE1.4</t>
  </si>
  <si>
    <t>Scorpius</t>
  </si>
  <si>
    <t>Fear</t>
  </si>
  <si>
    <t>1-84435-118-1</t>
  </si>
  <si>
    <t>1-84435-119-X</t>
  </si>
  <si>
    <t>1-84435-120-3</t>
  </si>
  <si>
    <t>Telos</t>
  </si>
  <si>
    <t>1-84435-332-3</t>
  </si>
  <si>
    <t>CYBE2.1</t>
  </si>
  <si>
    <t>CYBE2.2</t>
  </si>
  <si>
    <t>CYBE2.3</t>
  </si>
  <si>
    <t>CYBE2.4</t>
  </si>
  <si>
    <t>Outsiders</t>
  </si>
  <si>
    <t>Terror</t>
  </si>
  <si>
    <t>Machines</t>
  </si>
  <si>
    <t>Extinction</t>
  </si>
  <si>
    <t>2515</t>
  </si>
  <si>
    <t>2516</t>
  </si>
  <si>
    <t>2526, -65 million</t>
  </si>
  <si>
    <t>2534</t>
  </si>
  <si>
    <t>2535</t>
  </si>
  <si>
    <t>2540</t>
  </si>
  <si>
    <t>2550</t>
  </si>
  <si>
    <t>2560</t>
  </si>
  <si>
    <t>2561 to 2562-01-01</t>
  </si>
  <si>
    <t>1926-12</t>
  </si>
  <si>
    <t>Old Friends: The Ship of Painted Shadows</t>
  </si>
  <si>
    <t>2562</t>
  </si>
  <si>
    <t>2565</t>
  </si>
  <si>
    <t>2570-06 late</t>
  </si>
  <si>
    <t>2573</t>
  </si>
  <si>
    <t>2574</t>
  </si>
  <si>
    <t>, ?</t>
  </si>
  <si>
    <t>2576</t>
  </si>
  <si>
    <t>2595, 2562, 2575, 2577, -80 million</t>
  </si>
  <si>
    <t>2580, 2575</t>
  </si>
  <si>
    <t>2583, 2581</t>
  </si>
  <si>
    <t>2585</t>
  </si>
  <si>
    <t xml:space="preserve">=, </t>
  </si>
  <si>
    <t>1983, 2547, 2587</t>
  </si>
  <si>
    <t>2589</t>
  </si>
  <si>
    <t>2590</t>
  </si>
  <si>
    <t>2592-10-31</t>
  </si>
  <si>
    <t>1997-05-06, 2593-05-08</t>
  </si>
  <si>
    <t>2593</t>
  </si>
  <si>
    <t>2594-01</t>
  </si>
  <si>
    <t>2594</t>
  </si>
  <si>
    <t>-570, 2594</t>
  </si>
  <si>
    <t>2545, 2595</t>
  </si>
  <si>
    <t>2595</t>
  </si>
  <si>
    <t>2595-06-21</t>
  </si>
  <si>
    <t>2596</t>
  </si>
  <si>
    <t>2599-12-31 to 2600-01-06</t>
  </si>
  <si>
    <t>2600</t>
  </si>
  <si>
    <t>2600-02</t>
  </si>
  <si>
    <t>2600-03</t>
  </si>
  <si>
    <t>2600-10</t>
  </si>
  <si>
    <t>2601</t>
  </si>
  <si>
    <t>2602</t>
  </si>
  <si>
    <t>2603, -2560, 2022</t>
  </si>
  <si>
    <t>2603</t>
  </si>
  <si>
    <t>2604</t>
  </si>
  <si>
    <t>2604-12-24</t>
  </si>
  <si>
    <t>2605</t>
  </si>
  <si>
    <t>2605-09-23 to 11-14</t>
  </si>
  <si>
    <t>2606</t>
  </si>
  <si>
    <t>2606-01</t>
  </si>
  <si>
    <t>2606-02</t>
  </si>
  <si>
    <t>2607</t>
  </si>
  <si>
    <t>2607 summer</t>
  </si>
  <si>
    <t>2607 autumn</t>
  </si>
  <si>
    <t>2607-10</t>
  </si>
  <si>
    <t>2607-10-23 to 24</t>
  </si>
  <si>
    <t>2607-11</t>
  </si>
  <si>
    <t>2607-12</t>
  </si>
  <si>
    <t>2607-12, 1996</t>
  </si>
  <si>
    <t>2607-12 to 2608</t>
  </si>
  <si>
    <t>2608</t>
  </si>
  <si>
    <t>2609</t>
  </si>
  <si>
    <t>2609, -50 million</t>
  </si>
  <si>
    <t>2650</t>
  </si>
  <si>
    <t>2673</t>
  </si>
  <si>
    <t>2675</t>
  </si>
  <si>
    <t>2680</t>
  </si>
  <si>
    <t>2684</t>
  </si>
  <si>
    <t>2008, 2690</t>
  </si>
  <si>
    <t>2708</t>
  </si>
  <si>
    <t>2725</t>
  </si>
  <si>
    <t>2850, 2750, -200/150 million, 1986</t>
  </si>
  <si>
    <t>2764</t>
  </si>
  <si>
    <t>2775</t>
  </si>
  <si>
    <t>2799</t>
  </si>
  <si>
    <t>2800</t>
  </si>
  <si>
    <t>2820</t>
  </si>
  <si>
    <t>2847</t>
  </si>
  <si>
    <t>2850</t>
  </si>
  <si>
    <t>2875 week 47 day 3</t>
  </si>
  <si>
    <t>2878</t>
  </si>
  <si>
    <t>2881</t>
  </si>
  <si>
    <t>2882</t>
  </si>
  <si>
    <t>2887</t>
  </si>
  <si>
    <t>2889</t>
  </si>
  <si>
    <t>2890</t>
  </si>
  <si>
    <t>2890-05</t>
  </si>
  <si>
    <t>2895</t>
  </si>
  <si>
    <t>2900</t>
  </si>
  <si>
    <t>2944</t>
  </si>
  <si>
    <t>2950</t>
  </si>
  <si>
    <t>2965</t>
  </si>
  <si>
    <t>2970</t>
  </si>
  <si>
    <t>&amp; c</t>
  </si>
  <si>
    <t>2975</t>
  </si>
  <si>
    <t>2982</t>
  </si>
  <si>
    <t>2986-04-16</t>
  </si>
  <si>
    <t>2990</t>
  </si>
  <si>
    <t>2992</t>
  </si>
  <si>
    <t>3012</t>
  </si>
  <si>
    <t>2815, 3012</t>
  </si>
  <si>
    <t>3025</t>
  </si>
  <si>
    <t>3026</t>
  </si>
  <si>
    <t>3090, 3060</t>
  </si>
  <si>
    <t>3064</t>
  </si>
  <si>
    <t>3078</t>
  </si>
  <si>
    <t>3087</t>
  </si>
  <si>
    <t>2994, 3094</t>
  </si>
  <si>
    <t>3100</t>
  </si>
  <si>
    <t>3120</t>
  </si>
  <si>
    <t>3123</t>
  </si>
  <si>
    <t>3150</t>
  </si>
  <si>
    <t>3170</t>
  </si>
  <si>
    <t>3174</t>
  </si>
  <si>
    <t>3210</t>
  </si>
  <si>
    <t>3278</t>
  </si>
  <si>
    <t>3297</t>
  </si>
  <si>
    <t>3312</t>
  </si>
  <si>
    <t>3340</t>
  </si>
  <si>
    <t>3400</t>
  </si>
  <si>
    <t>3410, 1968</t>
  </si>
  <si>
    <t xml:space="preserve">?, </t>
  </si>
  <si>
    <t>3417</t>
  </si>
  <si>
    <t>3426</t>
  </si>
  <si>
    <t>3480</t>
  </si>
  <si>
    <t>3482</t>
  </si>
  <si>
    <t>1278-08-29, 3488</t>
  </si>
  <si>
    <t>3490</t>
  </si>
  <si>
    <t>3500</t>
  </si>
  <si>
    <t>3502</t>
  </si>
  <si>
    <t>3520</t>
  </si>
  <si>
    <t>3492, 3532</t>
  </si>
  <si>
    <t xml:space="preserve">?, ?, </t>
  </si>
  <si>
    <t>3068, 3568</t>
  </si>
  <si>
    <t>3580</t>
  </si>
  <si>
    <t>2585, 3585</t>
  </si>
  <si>
    <t>3606</t>
  </si>
  <si>
    <t>3625</t>
  </si>
  <si>
    <t>3655</t>
  </si>
  <si>
    <t>1996-10, 3788</t>
  </si>
  <si>
    <t>1996, 1799-1801, 3788</t>
  </si>
  <si>
    <t>3800</t>
  </si>
  <si>
    <t>3820</t>
  </si>
  <si>
    <t>3885</t>
  </si>
  <si>
    <t>3890</t>
  </si>
  <si>
    <t>3907</t>
  </si>
  <si>
    <t>3906</t>
  </si>
  <si>
    <t>3920</t>
  </si>
  <si>
    <t>3935</t>
  </si>
  <si>
    <t>3940</t>
  </si>
  <si>
    <t>3950</t>
  </si>
  <si>
    <t>?, c</t>
  </si>
  <si>
    <t>3951, 1969</t>
  </si>
  <si>
    <t>3980</t>
  </si>
  <si>
    <t>3985</t>
  </si>
  <si>
    <t>3994</t>
  </si>
  <si>
    <t>3999-07</t>
  </si>
  <si>
    <t>3999</t>
  </si>
  <si>
    <t>4000</t>
  </si>
  <si>
    <t>c; Missing</t>
  </si>
  <si>
    <t>4009</t>
  </si>
  <si>
    <t>4015</t>
  </si>
  <si>
    <t>4030</t>
  </si>
  <si>
    <t>4039-01, 2008-10</t>
  </si>
  <si>
    <t>4106</t>
  </si>
  <si>
    <t>4120</t>
  </si>
  <si>
    <t>4126</t>
  </si>
  <si>
    <t>4142</t>
  </si>
  <si>
    <t>4150</t>
  </si>
  <si>
    <t>4200</t>
  </si>
  <si>
    <t>2009-12-24 to 26, 4226</t>
  </si>
  <si>
    <t>4300</t>
  </si>
  <si>
    <t>4211, 4411</t>
  </si>
  <si>
    <t>4500</t>
  </si>
  <si>
    <t>1984, 4590</t>
  </si>
  <si>
    <t>4600</t>
  </si>
  <si>
    <t>4615</t>
  </si>
  <si>
    <t>4620</t>
  </si>
  <si>
    <t>4625</t>
  </si>
  <si>
    <t>2550, 4625</t>
  </si>
  <si>
    <t xml:space="preserve">1985, 4635 </t>
  </si>
  <si>
    <t>4650</t>
  </si>
  <si>
    <t>1963-11, 4663</t>
  </si>
  <si>
    <t>4693</t>
  </si>
  <si>
    <t>4703</t>
  </si>
  <si>
    <t>5000</t>
  </si>
  <si>
    <t xml:space="preserve">c, </t>
  </si>
  <si>
    <t>?; 2, 3 animated</t>
  </si>
  <si>
    <t>5020</t>
  </si>
  <si>
    <t>5010</t>
  </si>
  <si>
    <t>5019, 2609-06-18 to 24</t>
  </si>
  <si>
    <t>2007, 5087</t>
  </si>
  <si>
    <t>2008, 5084</t>
  </si>
  <si>
    <t>5200</t>
  </si>
  <si>
    <t>5220</t>
  </si>
  <si>
    <t>2158, 5250</t>
  </si>
  <si>
    <t>5256</t>
  </si>
  <si>
    <t>5257</t>
  </si>
  <si>
    <t>5261</t>
  </si>
  <si>
    <t>5300</t>
  </si>
  <si>
    <t>5325</t>
  </si>
  <si>
    <t>5425</t>
  </si>
  <si>
    <t>5426</t>
  </si>
  <si>
    <t>5430</t>
  </si>
  <si>
    <t>5427</t>
  </si>
  <si>
    <t>U8-03, 5433</t>
  </si>
  <si>
    <t>U, &amp;</t>
  </si>
  <si>
    <t>5500</t>
  </si>
  <si>
    <t>5800</t>
  </si>
  <si>
    <t>5850</t>
  </si>
  <si>
    <t>5895</t>
  </si>
  <si>
    <t>5900</t>
  </si>
  <si>
    <t>5995</t>
  </si>
  <si>
    <t>6012-07-24</t>
  </si>
  <si>
    <t>6048-08-06</t>
  </si>
  <si>
    <t>6050</t>
  </si>
  <si>
    <t>6558</t>
  </si>
  <si>
    <t>6700</t>
  </si>
  <si>
    <t>7000</t>
  </si>
  <si>
    <t>7190</t>
  </si>
  <si>
    <t>7500</t>
  </si>
  <si>
    <t>5441, 7500</t>
  </si>
  <si>
    <t>5436, 7500</t>
  </si>
  <si>
    <t>7520</t>
  </si>
  <si>
    <t>7862</t>
  </si>
  <si>
    <t>7382, 7432, 7932</t>
  </si>
  <si>
    <t>, 7932</t>
  </si>
  <si>
    <t>-8000, 8000</t>
  </si>
  <si>
    <t>8162</t>
  </si>
  <si>
    <t>1963-07-25, 8162</t>
  </si>
  <si>
    <t>=P, c</t>
  </si>
  <si>
    <t>4750, 8162</t>
  </si>
  <si>
    <t>2007-06-05 to 2009-04 early, 8400</t>
  </si>
  <si>
    <t>(=), c</t>
  </si>
  <si>
    <t>9000</t>
  </si>
  <si>
    <t>2012, 9000</t>
  </si>
  <si>
    <t>5950, 9000</t>
  </si>
  <si>
    <t>9200</t>
  </si>
  <si>
    <t>9968</t>
  </si>
  <si>
    <t>10764</t>
  </si>
  <si>
    <t>11000</t>
  </si>
  <si>
    <t>15000</t>
  </si>
  <si>
    <t>16000</t>
  </si>
  <si>
    <t>Wirrn: Race Memory</t>
  </si>
  <si>
    <t>16100</t>
  </si>
  <si>
    <t>, 17150</t>
  </si>
  <si>
    <t>18000</t>
  </si>
  <si>
    <t>20000</t>
  </si>
  <si>
    <t>20192</t>
  </si>
  <si>
    <t>20592</t>
  </si>
  <si>
    <t>22000</t>
  </si>
  <si>
    <t>37166</t>
  </si>
  <si>
    <t>39164</t>
  </si>
  <si>
    <t>42000</t>
  </si>
  <si>
    <t>U9, 1983-07, 50000</t>
  </si>
  <si>
    <t>51007</t>
  </si>
  <si>
    <t>101861, 2010-12-24 to 12-25</t>
  </si>
  <si>
    <t>101881</t>
  </si>
  <si>
    <t>148500</t>
  </si>
  <si>
    <t>200000</t>
  </si>
  <si>
    <t>200000, 2012</t>
  </si>
  <si>
    <t>200100</t>
  </si>
  <si>
    <t>200300</t>
  </si>
  <si>
    <t>200750</t>
  </si>
  <si>
    <t>, 200750</t>
  </si>
  <si>
    <t>199750, 200750</t>
  </si>
  <si>
    <t>&amp;, ?</t>
  </si>
  <si>
    <t>3999, 200760</t>
  </si>
  <si>
    <t>250339-03-14</t>
  </si>
  <si>
    <t>292009, 292029</t>
  </si>
  <si>
    <t>309906, 2068</t>
  </si>
  <si>
    <t>2006, -29,185-05-24, 438533-10-02</t>
  </si>
  <si>
    <t>800000</t>
  </si>
  <si>
    <t>2 million</t>
  </si>
  <si>
    <t>2001, 2000002</t>
  </si>
  <si>
    <t>4 million</t>
  </si>
  <si>
    <t>2610, 4 million</t>
  </si>
  <si>
    <t>4 million, 2450</t>
  </si>
  <si>
    <t>4500000</t>
  </si>
  <si>
    <t>1963-07-25, 1983, 5 million</t>
  </si>
  <si>
    <t>10 million</t>
  </si>
  <si>
    <t>41000, 42000, 10 million</t>
  </si>
  <si>
    <t>?, &amp;, (=) c</t>
  </si>
  <si>
    <t>10000675 winter</t>
  </si>
  <si>
    <t>10 million, 1000700</t>
  </si>
  <si>
    <t>2387-05-29, 1997, 10 million</t>
  </si>
  <si>
    <t>, , c</t>
  </si>
  <si>
    <t>1 billion</t>
  </si>
  <si>
    <t>5 billion</t>
  </si>
  <si>
    <t>2009, 200000, 5 billion</t>
  </si>
  <si>
    <t>5000000023</t>
  </si>
  <si>
    <t>5000000053</t>
  </si>
  <si>
    <t>100 trillion</t>
  </si>
  <si>
    <t>1966-01, 1967-01</t>
  </si>
  <si>
    <t>, , ?; 1, 3-7 missing</t>
  </si>
  <si>
    <t>1572-08-21 to 24, 1965</t>
  </si>
  <si>
    <t>U4 summer, 1963</t>
  </si>
  <si>
    <t>1763</t>
  </si>
  <si>
    <t>1765</t>
  </si>
  <si>
    <t>1768, 1039 midwinter</t>
  </si>
  <si>
    <t>1770-04 to 06</t>
  </si>
  <si>
    <t>1774-12</t>
  </si>
  <si>
    <t>1782-03-20 to 1783-02-13</t>
  </si>
  <si>
    <t>1783-12-04 to 10</t>
  </si>
  <si>
    <t>4850, 1784</t>
  </si>
  <si>
    <t>1688-12-10 to 11, 1786</t>
  </si>
  <si>
    <t>1791, -5 million</t>
  </si>
  <si>
    <t>c, ?</t>
  </si>
  <si>
    <t>1794-07 late</t>
  </si>
  <si>
    <t>1799-11-09 to 12-25, 2012</t>
  </si>
  <si>
    <t>2007, 1707</t>
  </si>
  <si>
    <t>1705</t>
  </si>
  <si>
    <t>1702-03-08 to 10</t>
  </si>
  <si>
    <t>1708-07</t>
  </si>
  <si>
    <t>1642/50/51/65/71/83/89, 1730</t>
  </si>
  <si>
    <t>1738</t>
  </si>
  <si>
    <t>1746-04</t>
  </si>
  <si>
    <t>c, c/&amp;</t>
  </si>
  <si>
    <t>1759, 1997</t>
  </si>
  <si>
    <t>1762</t>
  </si>
  <si>
    <t>w-c, w</t>
  </si>
  <si>
    <t>5000, 1727/28/38/44/45/54/59/64-04-15</t>
  </si>
  <si>
    <t>1804</t>
  </si>
  <si>
    <t>1805-11</t>
  </si>
  <si>
    <t>1812, 2024, 5000</t>
  </si>
  <si>
    <t>, (=)</t>
  </si>
  <si>
    <t>1812 summer to 10-18</t>
  </si>
  <si>
    <t>1813</t>
  </si>
  <si>
    <t>1814-02, -1164</t>
  </si>
  <si>
    <t>1816-06</t>
  </si>
  <si>
    <t>U7-05-20 to 21, 1818, 1500</t>
  </si>
  <si>
    <t>U, , c</t>
  </si>
  <si>
    <t>w, c</t>
  </si>
  <si>
    <t>, =</t>
  </si>
  <si>
    <t>, , &amp;</t>
  </si>
  <si>
    <t>1827</t>
  </si>
  <si>
    <t>1827-1828</t>
  </si>
  <si>
    <t>1832-06, 1768</t>
  </si>
  <si>
    <t>1835</t>
  </si>
  <si>
    <t>1840</t>
  </si>
  <si>
    <t>2003, 1843</t>
  </si>
  <si>
    <t>=, (=)</t>
  </si>
  <si>
    <t>1976, 1847 winter</t>
  </si>
  <si>
    <t>1849-10-03</t>
  </si>
  <si>
    <t>1851</t>
  </si>
  <si>
    <t>1851-09-12</t>
  </si>
  <si>
    <t>1851-12-24 to 25</t>
  </si>
  <si>
    <t>, 1854</t>
  </si>
  <si>
    <t>1854-09-25 to 11-19</t>
  </si>
  <si>
    <t>1855</t>
  </si>
  <si>
    <t>1855-12-13</t>
  </si>
  <si>
    <t>1856-01-27, 1791-12-05</t>
  </si>
  <si>
    <t>, , (=)</t>
  </si>
  <si>
    <t>1858</t>
  </si>
  <si>
    <t>1859</t>
  </si>
  <si>
    <t>1212 late summer, 1860, 2035, 2565, 2579, 5019, 5020</t>
  </si>
  <si>
    <t>1861-06</t>
  </si>
  <si>
    <t>1861, 2010-12-24 to 12-25</t>
  </si>
  <si>
    <t>1861</t>
  </si>
  <si>
    <t>1863-02-14 to 21</t>
  </si>
  <si>
    <t>1864</t>
  </si>
  <si>
    <t>2158, 1320, 1864-07-30, 1967</t>
  </si>
  <si>
    <t xml:space="preserve">(=), c, , </t>
  </si>
  <si>
    <t>1865-02 to 04</t>
  </si>
  <si>
    <t>1865-04-14</t>
  </si>
  <si>
    <t>, , , , (=)</t>
  </si>
  <si>
    <t>1865</t>
  </si>
  <si>
    <t>1794-08, 1805-09-12, 1815-06, 1815-11-18, 1865</t>
  </si>
  <si>
    <t>1866-06-02 to 03, 1966-07-20, 2966</t>
  </si>
  <si>
    <t>1851, 1856 winter, 1861, 1865, 1867-11-14, 2008</t>
  </si>
  <si>
    <t>, , , , , (=)</t>
  </si>
  <si>
    <t>-64,999,500, 1868</t>
  </si>
  <si>
    <t>(=) &amp;, c</t>
  </si>
  <si>
    <t>1869-12-24</t>
  </si>
  <si>
    <t>1870</t>
  </si>
  <si>
    <t>-1366, 1798, 1871, 2495</t>
  </si>
  <si>
    <t>, , , c</t>
  </si>
  <si>
    <t>1872-08 to 12</t>
  </si>
  <si>
    <t>3565, 2170, 1996, 1966, 1965, 1872-11-25</t>
  </si>
  <si>
    <t>1872, 2604</t>
  </si>
  <si>
    <t>1873-09-11</t>
  </si>
  <si>
    <t>1873</t>
  </si>
  <si>
    <t>1875</t>
  </si>
  <si>
    <t>2000, 1878-09</t>
  </si>
  <si>
    <t>1880</t>
  </si>
  <si>
    <t>1882 autumn to 1883-08-26</t>
  </si>
  <si>
    <t>1883</t>
  </si>
  <si>
    <t>2009, 1884</t>
  </si>
  <si>
    <t>1885</t>
  </si>
  <si>
    <t>802701, 1885</t>
  </si>
  <si>
    <t>1888</t>
  </si>
  <si>
    <t>@</t>
  </si>
  <si>
    <t>2400, 1997, 1888-09-30</t>
  </si>
  <si>
    <t>1888-09-30, 1888-11-09, 2011</t>
  </si>
  <si>
    <t>1888-11, 1963-11-12</t>
  </si>
  <si>
    <t>5145, 4037, 1888-11</t>
  </si>
  <si>
    <t>1889</t>
  </si>
  <si>
    <t>1891</t>
  </si>
  <si>
    <t>1890-06 early, 2010</t>
  </si>
  <si>
    <t>1890-06</t>
  </si>
  <si>
    <t>1892 summer</t>
  </si>
  <si>
    <t>1892 autumn</t>
  </si>
  <si>
    <t>1893 spring to 05-08</t>
  </si>
  <si>
    <t>1893-07 to 08</t>
  </si>
  <si>
    <t>1893-08</t>
  </si>
  <si>
    <t>2002-08, 1894</t>
  </si>
  <si>
    <t>1894-06</t>
  </si>
  <si>
    <t>1894-06, 1973-07, 2012 early autumn to late november, 33935, 3 million</t>
  </si>
  <si>
    <t>=, , c, &amp;</t>
  </si>
  <si>
    <t>1895-01</t>
  </si>
  <si>
    <t>1896-11-10, 1996</t>
  </si>
  <si>
    <t>1897-11</t>
  </si>
  <si>
    <t>1898</t>
  </si>
  <si>
    <t>w (=) ?</t>
  </si>
  <si>
    <t>2009-04, 2004, 2007, 1999-12-31, 1899</t>
  </si>
  <si>
    <t>1899</t>
  </si>
  <si>
    <t>1199, 1899-12-26</t>
  </si>
  <si>
    <t>1900-01</t>
  </si>
  <si>
    <t>1898, 1900-05</t>
  </si>
  <si>
    <t>1800-12, 1900-12</t>
  </si>
  <si>
    <t>2009-04, 27, 1901</t>
  </si>
  <si>
    <t>1901-10-20</t>
  </si>
  <si>
    <t>2004, 1903-12</t>
  </si>
  <si>
    <t>1905</t>
  </si>
  <si>
    <t>1906-03</t>
  </si>
  <si>
    <t>1906-12-24</t>
  </si>
  <si>
    <t xml:space="preserve">(=), </t>
  </si>
  <si>
    <t>1908-06-30, 1909-02 to 04-24, 22000</t>
  </si>
  <si>
    <t>1909-09 mid</t>
  </si>
  <si>
    <t>1910, 7932</t>
  </si>
  <si>
    <t>1911</t>
  </si>
  <si>
    <t>1968-12-20 to 1969-01-30, 1487, 1993-10-31, 1912-04-14</t>
  </si>
  <si>
    <t>1912</t>
  </si>
  <si>
    <t>1912-10-30 to 31</t>
  </si>
  <si>
    <t>1913</t>
  </si>
  <si>
    <t>1913-09 to 11-11</t>
  </si>
  <si>
    <t>1914-04, 2575</t>
  </si>
  <si>
    <t>2001-08-23, 1914-10-14</t>
  </si>
  <si>
    <t>1914-12-25</t>
  </si>
  <si>
    <t xml:space="preserve">3562, 1915-05-07, </t>
  </si>
  <si>
    <t>1915-09-12 to 13</t>
  </si>
  <si>
    <t>U6 summer, 1916-12</t>
  </si>
  <si>
    <t>1917</t>
  </si>
  <si>
    <t>2011-10 late, 1917 autumn</t>
  </si>
  <si>
    <t>1918</t>
  </si>
  <si>
    <t>2008, 1918-10</t>
  </si>
  <si>
    <t>2008, 1918, 600</t>
  </si>
  <si>
    <t>1919-08, 2109</t>
  </si>
  <si>
    <t>1919-09 late</t>
  </si>
  <si>
    <t>2007 to 08, 1920-12-05</t>
  </si>
  <si>
    <t>1892, 1921</t>
  </si>
  <si>
    <t>4000, 1965-12-25, 1965-12-31 to 1966-01-01, 1921</t>
  </si>
  <si>
    <t>1910-10-13 to 17, 1923-10-23, 2789-06-10</t>
  </si>
  <si>
    <t>1924-10</t>
  </si>
  <si>
    <t>275, 1925</t>
  </si>
  <si>
    <t>1925-06-11</t>
  </si>
  <si>
    <t>1926</t>
  </si>
  <si>
    <t>1926-06 late</t>
  </si>
  <si>
    <t>2545, 1926-06 late</t>
  </si>
  <si>
    <t>21906, 1906, 1926-06 late</t>
  </si>
  <si>
    <t>1926-12-08/19</t>
  </si>
  <si>
    <t>2011 (early autumn?), 1927-07 on</t>
  </si>
  <si>
    <t>1929</t>
  </si>
  <si>
    <t>1929 summer</t>
  </si>
  <si>
    <t>1930</t>
  </si>
  <si>
    <t>1930-06</t>
  </si>
  <si>
    <t>1930-10-05</t>
  </si>
  <si>
    <t>1930-11-01</t>
  </si>
  <si>
    <t>305, 1806, 1930-12-31</t>
  </si>
  <si>
    <t>1932 summer</t>
  </si>
  <si>
    <t>1933-08</t>
  </si>
  <si>
    <t>1934</t>
  </si>
  <si>
    <t>1935</t>
  </si>
  <si>
    <t>1928-08-14, 1936</t>
  </si>
  <si>
    <t>1936-11/12</t>
  </si>
  <si>
    <t>1899, 1915-11-18, 1936-12</t>
  </si>
  <si>
    <t>1936-12</t>
  </si>
  <si>
    <t>2609, 1937, 2002-06-07, 2212</t>
  </si>
  <si>
    <t>1937</t>
  </si>
  <si>
    <t>1937-08</t>
  </si>
  <si>
    <t>1938</t>
  </si>
  <si>
    <t>1938, 2011 summer late, 5123</t>
  </si>
  <si>
    <t>1938-10-31</t>
  </si>
  <si>
    <t>1939</t>
  </si>
  <si>
    <t>1939-09-03</t>
  </si>
  <si>
    <t>1940-05-26</t>
  </si>
  <si>
    <t>1940-12 end</t>
  </si>
  <si>
    <t>2010-06-26, 102, 1996 easter, 5145, 1941, 1890-06</t>
  </si>
  <si>
    <t>2008-01-20, 1941-01-20</t>
  </si>
  <si>
    <t>1941</t>
  </si>
  <si>
    <t>1941-03-01 to 06</t>
  </si>
  <si>
    <t>2010-11-23, 1941-06-07, 1889, 1533-07-19</t>
  </si>
  <si>
    <t>2607-12-31, 1941-08-07</t>
  </si>
  <si>
    <t>2008-08, 1941-08-18</t>
  </si>
  <si>
    <t>1941-11-02</t>
  </si>
  <si>
    <t>1941-11</t>
  </si>
  <si>
    <t>1938 christmas, 1941 christmas, 5345, 2012 christmas</t>
  </si>
  <si>
    <t>1942-01-15, 2008-01-01, 500002</t>
  </si>
  <si>
    <t>1942</t>
  </si>
  <si>
    <t>1943-05</t>
  </si>
  <si>
    <t>1943-10-26, 2010</t>
  </si>
  <si>
    <t>1944-02</t>
  </si>
  <si>
    <t>1944</t>
  </si>
  <si>
    <t>U3 late, 1944</t>
  </si>
  <si>
    <t>1944-12</t>
  </si>
  <si>
    <t>1943, 1944 to 1945</t>
  </si>
  <si>
    <t>2001, 1942-08, 1944, 1945-04-30</t>
  </si>
  <si>
    <t>1945-05-09</t>
  </si>
  <si>
    <t>1945</t>
  </si>
  <si>
    <t>1947</t>
  </si>
  <si>
    <t>1949</t>
  </si>
  <si>
    <t>1984, 1949-12</t>
  </si>
  <si>
    <t>1950-06</t>
  </si>
  <si>
    <t>1907, 1931, 1951-02-13</t>
  </si>
  <si>
    <t>(=), , (=)</t>
  </si>
  <si>
    <t>2009-11-20 to 21, 1951-08-18</t>
  </si>
  <si>
    <t>1938-04-08, 1951-02-23, 1951-11-04</t>
  </si>
  <si>
    <t>2586, 1951-12-01, 1586</t>
  </si>
  <si>
    <t>1951, 1923-11-09, 1939-09 early, 1940-05</t>
  </si>
  <si>
    <t>1927, 1951, 3286</t>
  </si>
  <si>
    <t xml:space="preserve">(=), (=), </t>
  </si>
  <si>
    <t>1952-09-07, 2197-01-15/16 to 03, Ancient Past</t>
  </si>
  <si>
    <t>1952-10</t>
  </si>
  <si>
    <t>1952-12</t>
  </si>
  <si>
    <t>4398-12-24, 4340-4347 all 12-24, 1952</t>
  </si>
  <si>
    <t>1953-06-01 to 02</t>
  </si>
  <si>
    <t>2008, 1966 late summer, 1941-01-02, 1953-11-20, …</t>
  </si>
  <si>
    <t>1954</t>
  </si>
  <si>
    <t>1692, 1954-11-09</t>
  </si>
  <si>
    <t>1999, 1964, 1957, 1940, 1924, 1908</t>
  </si>
  <si>
    <t>=c</t>
  </si>
  <si>
    <t>1957-09-18, 1974 summer, 4999999999</t>
  </si>
  <si>
    <t>1957-10-04</t>
  </si>
  <si>
    <t>1958</t>
  </si>
  <si>
    <t>1958-10</t>
  </si>
  <si>
    <t>1959</t>
  </si>
  <si>
    <t>2074, 1978, 1960, 1942</t>
  </si>
  <si>
    <t>1960 summer</t>
  </si>
  <si>
    <t>2009, 1961, 1812</t>
  </si>
  <si>
    <t>1962, 1965</t>
  </si>
  <si>
    <t>n/a, 2109</t>
  </si>
  <si>
    <t>Y50</t>
  </si>
  <si>
    <t>Y51, 1763, 1899-03</t>
  </si>
  <si>
    <t>Y51, 1763</t>
  </si>
  <si>
    <t>Y51, -5000, 1764</t>
  </si>
  <si>
    <t>Y51, -5000, 1764-10-16 to 11-08</t>
  </si>
  <si>
    <t>Y51</t>
  </si>
  <si>
    <t>200101</t>
  </si>
  <si>
    <t>1939-12</t>
  </si>
  <si>
    <t>1727-12-14, 1728-01, 1808</t>
  </si>
  <si>
    <t>2008, n/a</t>
  </si>
  <si>
    <t>1845-12-03 to 04</t>
  </si>
  <si>
    <t>2012, 1922-11, 1894</t>
  </si>
  <si>
    <t>1920</t>
  </si>
  <si>
    <t>1876</t>
  </si>
  <si>
    <t>2313</t>
  </si>
  <si>
    <t>3764</t>
  </si>
  <si>
    <t>2016-08</t>
  </si>
  <si>
    <t>U9</t>
  </si>
  <si>
    <t>1682</t>
  </si>
  <si>
    <t>54th century</t>
  </si>
  <si>
    <t>53rd century</t>
  </si>
  <si>
    <t>1336</t>
  </si>
  <si>
    <t>1588</t>
  </si>
  <si>
    <t>-4, 1961</t>
  </si>
  <si>
    <t>= c, '=</t>
  </si>
  <si>
    <t>1900</t>
  </si>
  <si>
    <t>1816 to 1924</t>
  </si>
  <si>
    <t>1933-01</t>
  </si>
  <si>
    <t>2134</t>
  </si>
  <si>
    <t>1521-04</t>
  </si>
  <si>
    <t>1990s</t>
  </si>
  <si>
    <t>1933 summer, 1999</t>
  </si>
  <si>
    <t>1955, 1963</t>
  </si>
  <si>
    <t>1962, 1963</t>
  </si>
  <si>
    <t>1963, U7, 2010s, 1950s</t>
  </si>
  <si>
    <t>2908</t>
  </si>
  <si>
    <t>391</t>
  </si>
  <si>
    <t>1587</t>
  </si>
  <si>
    <t>73</t>
  </si>
  <si>
    <t>1842</t>
  </si>
  <si>
    <t>1888-03-11 to 12</t>
  </si>
  <si>
    <t>2003-03-03</t>
  </si>
  <si>
    <t>1828</t>
  </si>
  <si>
    <t>Tick-Tock World</t>
  </si>
  <si>
    <t>1002</t>
  </si>
  <si>
    <t>1903</t>
  </si>
  <si>
    <t>1415</t>
  </si>
  <si>
    <t>12th century</t>
  </si>
  <si>
    <t>-331, -322</t>
  </si>
  <si>
    <t>1553 to 1554</t>
  </si>
  <si>
    <t>1849-10-02</t>
  </si>
  <si>
    <t>1950 to 1951</t>
  </si>
  <si>
    <t>1956, 2012</t>
  </si>
  <si>
    <t>1964-11-23</t>
  </si>
  <si>
    <t>1963-12-24</t>
  </si>
  <si>
    <t>1963-11-23</t>
  </si>
  <si>
    <t>1868</t>
  </si>
  <si>
    <t>2004-12-25</t>
  </si>
  <si>
    <t>25th century, 1965</t>
  </si>
  <si>
    <t>1400-01</t>
  </si>
  <si>
    <t>1794</t>
  </si>
  <si>
    <t>2348</t>
  </si>
  <si>
    <t>2006 christmas to 2007-01-01</t>
  </si>
  <si>
    <t>1900-07</t>
  </si>
  <si>
    <t>1762 summer, 1983</t>
  </si>
  <si>
    <t>1514</t>
  </si>
  <si>
    <t>c =</t>
  </si>
  <si>
    <t>1921, 1885, 1982, 1946, 1931, 2069, 1914, 1956, 1966 all christmas</t>
  </si>
  <si>
    <t>3916</t>
  </si>
  <si>
    <t>1953, 2005</t>
  </si>
  <si>
    <t>1982</t>
  </si>
  <si>
    <t>christmas</t>
  </si>
  <si>
    <t>2067</t>
  </si>
  <si>
    <t>The Playthings of Fo</t>
  </si>
  <si>
    <t>1966-03</t>
  </si>
  <si>
    <t>1963-12, 1966-07-20</t>
  </si>
  <si>
    <t>U8</t>
  </si>
  <si>
    <t>1957-11-05</t>
  </si>
  <si>
    <t>1990-10</t>
  </si>
  <si>
    <t>, 1986-12</t>
  </si>
  <si>
    <t>23rd century</t>
  </si>
  <si>
    <t>1805-10-21</t>
  </si>
  <si>
    <t>-1323</t>
  </si>
  <si>
    <t>1647-12-25</t>
  </si>
  <si>
    <t>1948</t>
  </si>
  <si>
    <t>1920-11-10</t>
  </si>
  <si>
    <t>-71</t>
  </si>
  <si>
    <t>1942-02</t>
  </si>
  <si>
    <t>7691</t>
  </si>
  <si>
    <t>1864-09-03, 1866-06-05</t>
  </si>
  <si>
    <t>1969-10 to 1970-04</t>
  </si>
  <si>
    <t>1969-10</t>
  </si>
  <si>
    <t>1942-04-27, 1970-04</t>
  </si>
  <si>
    <t>1969-09</t>
  </si>
  <si>
    <t>1969-08</t>
  </si>
  <si>
    <t>1969-07</t>
  </si>
  <si>
    <t>1969-06</t>
  </si>
  <si>
    <t>1969-05, 1823, 1902</t>
  </si>
  <si>
    <t>1969-04, 1959-04</t>
  </si>
  <si>
    <t>1969-03</t>
  </si>
  <si>
    <t>1969-11</t>
  </si>
  <si>
    <t>1969-12</t>
  </si>
  <si>
    <t>1970-01</t>
  </si>
  <si>
    <t>1970</t>
  </si>
  <si>
    <t>1970-02</t>
  </si>
  <si>
    <t>2040</t>
  </si>
  <si>
    <t>19th century</t>
  </si>
  <si>
    <t>13th century</t>
  </si>
  <si>
    <t>1960s</t>
  </si>
  <si>
    <t>1969</t>
  </si>
  <si>
    <t>1906-12-26</t>
  </si>
  <si>
    <t>14th century</t>
  </si>
  <si>
    <t>1776-12-25 to 26</t>
  </si>
  <si>
    <t>1969-04</t>
  </si>
  <si>
    <t>1969-02 to 03</t>
  </si>
  <si>
    <t>1969-05</t>
  </si>
  <si>
    <t>1969-12-24</t>
  </si>
  <si>
    <t>1969-12-24 to 26</t>
  </si>
  <si>
    <t>1969-09-10</t>
  </si>
  <si>
    <t>1969 halloween</t>
  </si>
  <si>
    <t>1970-01-02 to 05</t>
  </si>
  <si>
    <t>2724</t>
  </si>
  <si>
    <t>114th century</t>
  </si>
  <si>
    <t>21st century late</t>
  </si>
  <si>
    <t>1933</t>
  </si>
  <si>
    <t>1969-07-20</t>
  </si>
  <si>
    <t>1959-10-02, 28th century</t>
  </si>
  <si>
    <t>1999-12</t>
  </si>
  <si>
    <t>21st century, -5 billion, 1890, 1930-07-14, 1970, -50 million, -100 million</t>
  </si>
  <si>
    <t>1951 summer</t>
  </si>
  <si>
    <t>21st century</t>
  </si>
  <si>
    <t>1968, ??</t>
  </si>
  <si>
    <t>54010</t>
  </si>
  <si>
    <t>1986-12-31 to 1987-01-01</t>
  </si>
  <si>
    <t>1999-04, etc</t>
  </si>
  <si>
    <t>1170, 970, 1088, 1130, n/a, 24312</t>
  </si>
  <si>
    <t>2007-12 christmas</t>
  </si>
  <si>
    <t>christmas eve</t>
  </si>
  <si>
    <t>-3300</t>
  </si>
  <si>
    <t>20th century</t>
  </si>
  <si>
    <t>Rani, Brigadier</t>
  </si>
  <si>
    <t>LSN17</t>
  </si>
  <si>
    <t>Scary Monsters</t>
  </si>
  <si>
    <t>1981-07, 2011-11</t>
  </si>
  <si>
    <t>LSN18</t>
  </si>
  <si>
    <t>Fear of the Web</t>
  </si>
  <si>
    <t>1969-02</t>
  </si>
  <si>
    <t>LSN19</t>
  </si>
  <si>
    <t>The Danger Men</t>
  </si>
  <si>
    <t>1-91253-515-6</t>
  </si>
  <si>
    <t>1999-09</t>
  </si>
  <si>
    <t>1-91253-507-1</t>
  </si>
  <si>
    <t>1-91253-511-8</t>
  </si>
  <si>
    <t>LSN20</t>
  </si>
  <si>
    <t>Rise of the Dominator</t>
  </si>
  <si>
    <t>The Laughing Gnome</t>
  </si>
  <si>
    <t>U1</t>
  </si>
  <si>
    <t>U2 christmas</t>
  </si>
  <si>
    <t>U2-12-25</t>
  </si>
  <si>
    <t>U1-10 to U2-07</t>
  </si>
  <si>
    <t>Ashes of the Inferno</t>
  </si>
  <si>
    <t>1973 late or 1974 early</t>
  </si>
  <si>
    <t>U2-07-22</t>
  </si>
  <si>
    <t>U3</t>
  </si>
  <si>
    <t>18th century</t>
  </si>
  <si>
    <t>U3 and some years later</t>
  </si>
  <si>
    <t>U&amp;</t>
  </si>
  <si>
    <t>Uc (=)</t>
  </si>
  <si>
    <t>U(=)</t>
  </si>
  <si>
    <t>The Play's the Thing; The Conscience of the Doctor</t>
  </si>
  <si>
    <t>Jurassic Coast; All the Dinosaurs</t>
  </si>
  <si>
    <t>The Doctor's Warriors; Garden Party Held Today</t>
  </si>
  <si>
    <t>The Bonfire Boys; The Guys of Lewes</t>
  </si>
  <si>
    <t>The Visionary; The War of the Centuries</t>
  </si>
  <si>
    <t>Past Danger; Present Death</t>
  </si>
  <si>
    <t>STA9:02</t>
  </si>
  <si>
    <t>The Astrea Conspiracy</t>
  </si>
  <si>
    <t>Lizbeth Myles</t>
  </si>
  <si>
    <t>1-78703-715-1</t>
  </si>
  <si>
    <t>The Big Blue Book</t>
  </si>
  <si>
    <t>TEoM1.2</t>
  </si>
  <si>
    <t>Eighth of March Adventure</t>
  </si>
  <si>
    <t>David Richardson, Emma Haigh</t>
  </si>
  <si>
    <t>1-78703-793-9</t>
  </si>
  <si>
    <t>TEoM1.4</t>
  </si>
  <si>
    <t>Narcissus</t>
  </si>
  <si>
    <t>Sarah Grochala</t>
  </si>
  <si>
    <t>TEoM1.1</t>
  </si>
  <si>
    <t>TEoM1.3</t>
  </si>
  <si>
    <t>Inside Every Warrior</t>
  </si>
  <si>
    <t>Gemma Langford</t>
  </si>
  <si>
    <t>1892 Winter</t>
  </si>
  <si>
    <t>1892 Pre-Christmas</t>
  </si>
  <si>
    <t>1892 Christmas</t>
  </si>
  <si>
    <t>1894</t>
  </si>
  <si>
    <t>1894-09</t>
  </si>
  <si>
    <t>1894-11-15</t>
  </si>
  <si>
    <t>1894-12-12</t>
  </si>
  <si>
    <t>1894-12</t>
  </si>
  <si>
    <t>1895-02-14</t>
  </si>
  <si>
    <t>1896 early</t>
  </si>
  <si>
    <t>1894 early autumn</t>
  </si>
  <si>
    <t>1897 autumn</t>
  </si>
  <si>
    <t>1896 or 7</t>
  </si>
  <si>
    <t>1899-01</t>
  </si>
  <si>
    <t>? (claims 1884 but that doesn't work)</t>
  </si>
  <si>
    <t>1897 summer</t>
  </si>
  <si>
    <t>Day One; Day Two; Day Three; Day Four; Day Five</t>
  </si>
  <si>
    <t>Children of Earth</t>
  </si>
  <si>
    <t>TW27</t>
  </si>
  <si>
    <t>Russell T. Davies, John Fay, James Moran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</si>
</sst>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£&quot;#,##0.00"/>
    <numFmt numFmtId="165" formatCode="0.000"/>
    <numFmt numFmtId="166" formatCode="yyyy"/>
    <numFmt numFmtId="167" formatCode="0.0"/>
    <numFmt numFmtId="168" formatCode="mmm\-yyyy"/>
    <numFmt numFmtId="169" formatCode="[h]\ &quot;h&quot;"/>
    <numFmt numFmtId="170" formatCode="[m]\ &quot;m&quot;"/>
  </numFmts>
  <fonts count="102" x14ac:knownFonts="1">
    <font>
      <sz val="10"/>
      <name val="Arial"/>
    </font>
    <font>
      <i/>
      <sz val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i/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b/>
      <sz val="9"/>
      <color indexed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i/>
      <sz val="9"/>
      <name val="Times New Roman"/>
      <family val="1"/>
    </font>
    <font>
      <b/>
      <sz val="9"/>
      <name val="Times New Roman"/>
      <family val="1"/>
    </font>
    <font>
      <i/>
      <sz val="9"/>
      <name val="Arial"/>
      <family val="2"/>
    </font>
    <font>
      <sz val="9"/>
      <name val="Arial"/>
      <family val="2"/>
    </font>
    <font>
      <b/>
      <sz val="9"/>
      <color indexed="23"/>
      <name val="Times New Roman"/>
      <family val="1"/>
    </font>
    <font>
      <sz val="9"/>
      <color indexed="23"/>
      <name val="Times New Roman"/>
      <family val="1"/>
    </font>
    <font>
      <i/>
      <sz val="9"/>
      <color indexed="23"/>
      <name val="Times New Roman"/>
      <family val="1"/>
    </font>
    <font>
      <sz val="9"/>
      <color indexed="23"/>
      <name val="Arial"/>
      <family val="2"/>
    </font>
    <font>
      <b/>
      <sz val="9"/>
      <color indexed="23"/>
      <name val="Arial"/>
      <family val="2"/>
    </font>
    <font>
      <sz val="9"/>
      <color indexed="9"/>
      <name val="Arial"/>
      <family val="2"/>
    </font>
    <font>
      <b/>
      <sz val="10"/>
      <color indexed="23"/>
      <name val="Times New Roman"/>
      <family val="1"/>
    </font>
    <font>
      <sz val="10"/>
      <color indexed="23"/>
      <name val="Times New Roman"/>
      <family val="1"/>
    </font>
    <font>
      <i/>
      <sz val="10"/>
      <color indexed="23"/>
      <name val="Times New Roman"/>
      <family val="1"/>
    </font>
    <font>
      <b/>
      <i/>
      <sz val="10"/>
      <color indexed="23"/>
      <name val="Times New Roman"/>
      <family val="1"/>
    </font>
    <font>
      <sz val="9"/>
      <color indexed="23"/>
      <name val="Arial"/>
      <family val="2"/>
    </font>
    <font>
      <sz val="9"/>
      <color indexed="63"/>
      <name val="Arial"/>
      <family val="2"/>
    </font>
    <font>
      <sz val="12"/>
      <name val="Wingdings"/>
      <charset val="2"/>
    </font>
    <font>
      <sz val="10"/>
      <color indexed="23"/>
      <name val="Arial"/>
      <family val="2"/>
    </font>
    <font>
      <i/>
      <sz val="10"/>
      <color indexed="23"/>
      <name val="Arial"/>
      <family val="2"/>
    </font>
    <font>
      <b/>
      <sz val="10"/>
      <color indexed="23"/>
      <name val="Arial"/>
      <family val="2"/>
    </font>
    <font>
      <sz val="10"/>
      <color indexed="23"/>
      <name val="Arial"/>
      <family val="2"/>
    </font>
    <font>
      <i/>
      <sz val="9"/>
      <color indexed="23"/>
      <name val="Arial"/>
      <family val="2"/>
    </font>
    <font>
      <sz val="9"/>
      <color theme="0"/>
      <name val="Arial"/>
      <family val="2"/>
    </font>
    <font>
      <sz val="10"/>
      <color theme="1" tint="0.499984740745262"/>
      <name val="Times New Roman"/>
      <family val="1"/>
    </font>
    <font>
      <b/>
      <sz val="10"/>
      <color theme="1" tint="0.499984740745262"/>
      <name val="Arial"/>
      <family val="2"/>
    </font>
    <font>
      <b/>
      <sz val="10"/>
      <color theme="1" tint="0.499984740745262"/>
      <name val="Times New Roman"/>
      <family val="1"/>
    </font>
    <font>
      <i/>
      <sz val="10"/>
      <color theme="1" tint="0.499984740745262"/>
      <name val="Arial"/>
      <family val="2"/>
    </font>
    <font>
      <sz val="12"/>
      <color theme="0" tint="-0.499984740745262"/>
      <name val="Wingdings"/>
      <charset val="2"/>
    </font>
    <font>
      <sz val="9"/>
      <color theme="0" tint="-0.499984740745262"/>
      <name val="Times New Roman"/>
      <family val="1"/>
    </font>
    <font>
      <b/>
      <sz val="12"/>
      <color theme="0" tint="-0.499984740745262"/>
      <name val="Wingdings"/>
      <charset val="2"/>
    </font>
    <font>
      <b/>
      <sz val="9"/>
      <color theme="0" tint="-0.499984740745262"/>
      <name val="Times New Roman"/>
      <family val="1"/>
    </font>
    <font>
      <i/>
      <sz val="9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b/>
      <sz val="9"/>
      <color theme="1" tint="0.499984740745262"/>
      <name val="Arial"/>
      <family val="2"/>
    </font>
    <font>
      <i/>
      <sz val="8"/>
      <name val="Arial"/>
      <family val="2"/>
    </font>
    <font>
      <sz val="8"/>
      <name val="Times New Roman"/>
      <family val="1"/>
    </font>
    <font>
      <i/>
      <sz val="8"/>
      <color indexed="23"/>
      <name val="Times New Roman"/>
      <family val="1"/>
    </font>
    <font>
      <i/>
      <sz val="8"/>
      <name val="Times New Roman"/>
      <family val="1"/>
    </font>
    <font>
      <b/>
      <sz val="8"/>
      <name val="Times New Roman"/>
      <family val="1"/>
    </font>
    <font>
      <b/>
      <sz val="8"/>
      <color indexed="23"/>
      <name val="Times New Roman"/>
      <family val="1"/>
    </font>
    <font>
      <b/>
      <sz val="8"/>
      <color theme="0" tint="-0.499984740745262"/>
      <name val="Times New Roman"/>
      <family val="1"/>
    </font>
    <font>
      <sz val="8"/>
      <color indexed="23"/>
      <name val="Arial"/>
      <family val="2"/>
    </font>
    <font>
      <sz val="8"/>
      <color indexed="63"/>
      <name val="Arial"/>
      <family val="2"/>
    </font>
    <font>
      <sz val="8"/>
      <color indexed="23"/>
      <name val="Times New Roman"/>
      <family val="1"/>
    </font>
    <font>
      <b/>
      <i/>
      <sz val="8"/>
      <name val="Arial"/>
      <family val="2"/>
    </font>
    <font>
      <b/>
      <sz val="8"/>
      <name val="Arial"/>
      <family val="2"/>
    </font>
    <font>
      <b/>
      <sz val="8"/>
      <color theme="1" tint="0.499984740745262"/>
      <name val="Arial"/>
      <family val="2"/>
    </font>
    <font>
      <b/>
      <sz val="8"/>
      <color indexed="23"/>
      <name val="Arial"/>
      <family val="2"/>
    </font>
    <font>
      <i/>
      <sz val="8"/>
      <color theme="0" tint="-0.499984740745262"/>
      <name val="Arial"/>
      <family val="2"/>
    </font>
    <font>
      <sz val="9"/>
      <color theme="0" tint="-0.499984740745262"/>
      <name val="Arial"/>
      <family val="2"/>
    </font>
    <font>
      <b/>
      <i/>
      <sz val="10"/>
      <color indexed="23"/>
      <name val="Arial"/>
      <family val="2"/>
    </font>
    <font>
      <sz val="8"/>
      <color theme="0" tint="-0.499984740745262"/>
      <name val="Times New Roman"/>
      <family val="1"/>
    </font>
    <font>
      <sz val="10"/>
      <color theme="0" tint="-0.499984740745262"/>
      <name val="Times New Roman"/>
      <family val="1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8"/>
      <color indexed="9"/>
      <name val="Arial"/>
      <family val="2"/>
    </font>
    <font>
      <b/>
      <sz val="8"/>
      <color theme="0" tint="-0.499984740745262"/>
      <name val="Arial"/>
      <family val="2"/>
    </font>
    <font>
      <i/>
      <sz val="8"/>
      <color indexed="9"/>
      <name val="Arial"/>
      <family val="2"/>
    </font>
    <font>
      <sz val="8"/>
      <color indexed="55"/>
      <name val="Times New Roman"/>
      <family val="1"/>
    </font>
    <font>
      <sz val="8"/>
      <color indexed="22"/>
      <name val="Times New Roman"/>
      <family val="1"/>
    </font>
    <font>
      <b/>
      <sz val="8"/>
      <color indexed="22"/>
      <name val="Times New Roman"/>
      <family val="1"/>
    </font>
    <font>
      <b/>
      <i/>
      <sz val="8"/>
      <color indexed="9"/>
      <name val="Times New Roman"/>
      <family val="1"/>
    </font>
    <font>
      <b/>
      <sz val="8"/>
      <color indexed="9"/>
      <name val="Times New Roman"/>
      <family val="1"/>
    </font>
    <font>
      <sz val="8"/>
      <color indexed="9"/>
      <name val="Times New Roman"/>
      <family val="1"/>
    </font>
    <font>
      <sz val="8"/>
      <color indexed="9"/>
      <name val="Arial"/>
      <family val="2"/>
    </font>
    <font>
      <i/>
      <sz val="8"/>
      <color indexed="55"/>
      <name val="Times New Roman"/>
      <family val="1"/>
    </font>
    <font>
      <i/>
      <sz val="8"/>
      <color indexed="9"/>
      <name val="Times New Roman"/>
      <family val="1"/>
    </font>
    <font>
      <b/>
      <sz val="8"/>
      <color indexed="55"/>
      <name val="Times New Roman"/>
      <family val="1"/>
    </font>
    <font>
      <sz val="8"/>
      <color indexed="55"/>
      <name val="Calibri"/>
      <family val="2"/>
    </font>
    <font>
      <i/>
      <sz val="8"/>
      <color theme="0"/>
      <name val="Arial"/>
      <family val="2"/>
    </font>
    <font>
      <sz val="8"/>
      <color theme="0"/>
      <name val="Times New Roman"/>
      <family val="1"/>
    </font>
    <font>
      <b/>
      <sz val="8"/>
      <color indexed="22"/>
      <name val="Arial"/>
      <family val="2"/>
    </font>
    <font>
      <i/>
      <sz val="8"/>
      <color indexed="23"/>
      <name val="Arial"/>
      <family val="2"/>
    </font>
    <font>
      <i/>
      <sz val="10"/>
      <color theme="1" tint="0.499984740745262"/>
      <name val="Times New Roman"/>
      <family val="1"/>
    </font>
    <font>
      <i/>
      <sz val="8"/>
      <color theme="0" tint="-0.499984740745262"/>
      <name val="Times New Roman"/>
      <family val="1"/>
    </font>
    <font>
      <i/>
      <sz val="9"/>
      <color theme="0" tint="-0.499984740745262"/>
      <name val="Times New Roman"/>
      <family val="1"/>
    </font>
    <font>
      <i/>
      <sz val="8"/>
      <color theme="0"/>
      <name val="Times New Roman"/>
      <family val="1"/>
    </font>
    <font>
      <i/>
      <sz val="8"/>
      <color indexed="22"/>
      <name val="Times New Roman"/>
      <family val="1"/>
    </font>
    <font>
      <b/>
      <i/>
      <sz val="8"/>
      <name val="Times New Roman"/>
      <family val="1"/>
    </font>
    <font>
      <b/>
      <sz val="8"/>
      <color theme="0"/>
      <name val="Times New Roman"/>
      <family val="1"/>
    </font>
    <font>
      <b/>
      <sz val="9"/>
      <color theme="0" tint="-0.499984740745262"/>
      <name val="Arial"/>
      <family val="2"/>
    </font>
    <font>
      <sz val="8"/>
      <color theme="0" tint="-0.14999847407452621"/>
      <name val="Times New Roman"/>
      <family val="1"/>
    </font>
    <font>
      <b/>
      <sz val="8"/>
      <color theme="0"/>
      <name val="Arial"/>
      <family val="2"/>
    </font>
    <font>
      <sz val="9"/>
      <color theme="1" tint="0.499984740745262"/>
      <name val="Arial"/>
      <family val="2"/>
    </font>
    <font>
      <sz val="5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989">
    <xf numFmtId="0" fontId="0" fillId="0" borderId="0" xfId="0"/>
    <xf numFmtId="0" fontId="3" fillId="0" borderId="0" xfId="0" applyFont="1" applyBorder="1"/>
    <xf numFmtId="0" fontId="1" fillId="0" borderId="0" xfId="0" applyFont="1" applyBorder="1"/>
    <xf numFmtId="0" fontId="2" fillId="0" borderId="0" xfId="0" applyFont="1" applyBorder="1"/>
    <xf numFmtId="0" fontId="5" fillId="2" borderId="0" xfId="0" applyFont="1" applyFill="1" applyBorder="1"/>
    <xf numFmtId="0" fontId="0" fillId="0" borderId="0" xfId="0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9" fillId="0" borderId="0" xfId="0" applyFont="1" applyBorder="1"/>
    <xf numFmtId="0" fontId="1" fillId="0" borderId="0" xfId="0" applyFont="1"/>
    <xf numFmtId="0" fontId="10" fillId="0" borderId="0" xfId="0" applyFont="1" applyBorder="1"/>
    <xf numFmtId="49" fontId="11" fillId="2" borderId="1" xfId="0" applyNumberFormat="1" applyFont="1" applyFill="1" applyBorder="1" applyAlignment="1">
      <alignment horizontal="right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right"/>
    </xf>
    <xf numFmtId="0" fontId="11" fillId="2" borderId="1" xfId="0" applyNumberFormat="1" applyFont="1" applyFill="1" applyBorder="1" applyAlignment="1">
      <alignment horizontal="right"/>
    </xf>
    <xf numFmtId="2" fontId="11" fillId="2" borderId="1" xfId="0" applyNumberFormat="1" applyFont="1" applyFill="1" applyBorder="1" applyAlignment="1">
      <alignment horizontal="right"/>
    </xf>
    <xf numFmtId="0" fontId="11" fillId="2" borderId="1" xfId="0" applyFont="1" applyFill="1" applyBorder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wrapText="1"/>
    </xf>
    <xf numFmtId="0" fontId="11" fillId="2" borderId="2" xfId="0" applyFont="1" applyFill="1" applyBorder="1" applyAlignment="1">
      <alignment horizontal="left"/>
    </xf>
    <xf numFmtId="15" fontId="20" fillId="0" borderId="0" xfId="0" applyNumberFormat="1" applyFont="1"/>
    <xf numFmtId="0" fontId="20" fillId="0" borderId="0" xfId="0" applyFont="1"/>
    <xf numFmtId="1" fontId="11" fillId="2" borderId="3" xfId="0" applyNumberFormat="1" applyFont="1" applyFill="1" applyBorder="1" applyAlignment="1">
      <alignment horizontal="right"/>
    </xf>
    <xf numFmtId="49" fontId="11" fillId="2" borderId="4" xfId="0" applyNumberFormat="1" applyFont="1" applyFill="1" applyBorder="1"/>
    <xf numFmtId="17" fontId="0" fillId="0" borderId="0" xfId="0" applyNumberFormat="1"/>
    <xf numFmtId="0" fontId="12" fillId="0" borderId="0" xfId="0" applyFont="1"/>
    <xf numFmtId="0" fontId="14" fillId="0" borderId="0" xfId="0" applyFont="1"/>
    <xf numFmtId="1" fontId="11" fillId="2" borderId="2" xfId="0" applyNumberFormat="1" applyFont="1" applyFill="1" applyBorder="1" applyAlignment="1">
      <alignment horizontal="left"/>
    </xf>
    <xf numFmtId="0" fontId="27" fillId="0" borderId="0" xfId="0" applyFont="1" applyBorder="1"/>
    <xf numFmtId="1" fontId="11" fillId="2" borderId="1" xfId="0" applyNumberFormat="1" applyFont="1" applyFill="1" applyBorder="1" applyAlignment="1">
      <alignment horizontal="right"/>
    </xf>
    <xf numFmtId="2" fontId="12" fillId="0" borderId="1" xfId="0" applyNumberFormat="1" applyFont="1" applyBorder="1" applyAlignment="1">
      <alignment horizontal="right"/>
    </xf>
    <xf numFmtId="2" fontId="22" fillId="0" borderId="1" xfId="0" applyNumberFormat="1" applyFont="1" applyBorder="1" applyAlignment="1">
      <alignment horizontal="right"/>
    </xf>
    <xf numFmtId="2" fontId="21" fillId="0" borderId="1" xfId="0" applyNumberFormat="1" applyFont="1" applyBorder="1" applyAlignment="1">
      <alignment horizontal="right"/>
    </xf>
    <xf numFmtId="2" fontId="13" fillId="0" borderId="1" xfId="0" applyNumberFormat="1" applyFont="1" applyBorder="1" applyAlignment="1">
      <alignment horizontal="right"/>
    </xf>
    <xf numFmtId="2" fontId="14" fillId="0" borderId="1" xfId="0" applyNumberFormat="1" applyFont="1" applyBorder="1" applyAlignment="1">
      <alignment horizontal="right"/>
    </xf>
    <xf numFmtId="2" fontId="15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right"/>
    </xf>
    <xf numFmtId="2" fontId="18" fillId="0" borderId="1" xfId="0" applyNumberFormat="1" applyFont="1" applyBorder="1" applyAlignment="1">
      <alignment horizontal="right"/>
    </xf>
    <xf numFmtId="2" fontId="17" fillId="0" borderId="1" xfId="0" applyNumberFormat="1" applyFont="1" applyBorder="1" applyAlignment="1">
      <alignment horizontal="right"/>
    </xf>
    <xf numFmtId="2" fontId="19" fillId="0" borderId="1" xfId="0" applyNumberFormat="1" applyFont="1" applyBorder="1" applyAlignment="1">
      <alignment horizontal="right"/>
    </xf>
    <xf numFmtId="2" fontId="20" fillId="0" borderId="1" xfId="0" applyNumberFormat="1" applyFont="1" applyBorder="1" applyAlignment="1">
      <alignment horizontal="right"/>
    </xf>
    <xf numFmtId="2" fontId="0" fillId="0" borderId="1" xfId="0" applyNumberFormat="1" applyBorder="1" applyAlignment="1">
      <alignment horizontal="right"/>
    </xf>
    <xf numFmtId="0" fontId="28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2" fontId="24" fillId="0" borderId="1" xfId="0" applyNumberFormat="1" applyFont="1" applyBorder="1" applyAlignment="1">
      <alignment horizontal="right"/>
    </xf>
    <xf numFmtId="2" fontId="32" fillId="0" borderId="1" xfId="0" applyNumberFormat="1" applyFont="1" applyBorder="1" applyAlignment="1">
      <alignment horizontal="right"/>
    </xf>
    <xf numFmtId="0" fontId="32" fillId="0" borderId="0" xfId="0" applyFont="1"/>
    <xf numFmtId="164" fontId="11" fillId="2" borderId="1" xfId="0" applyNumberFormat="1" applyFont="1" applyFill="1" applyBorder="1" applyAlignment="1">
      <alignment horizontal="center"/>
    </xf>
    <xf numFmtId="164" fontId="5" fillId="2" borderId="0" xfId="0" applyNumberFormat="1" applyFont="1" applyFill="1" applyBorder="1"/>
    <xf numFmtId="0" fontId="0" fillId="0" borderId="0" xfId="0" applyAlignment="1">
      <alignment horizontal="center"/>
    </xf>
    <xf numFmtId="49" fontId="11" fillId="2" borderId="1" xfId="0" applyNumberFormat="1" applyFont="1" applyFill="1" applyBorder="1" applyAlignment="1">
      <alignment horizontal="left"/>
    </xf>
    <xf numFmtId="49" fontId="11" fillId="2" borderId="1" xfId="0" applyNumberFormat="1" applyFont="1" applyFill="1" applyBorder="1" applyAlignment="1">
      <alignment horizontal="center"/>
    </xf>
    <xf numFmtId="0" fontId="33" fillId="0" borderId="0" xfId="0" applyFont="1"/>
    <xf numFmtId="2" fontId="25" fillId="0" borderId="1" xfId="0" applyNumberFormat="1" applyFont="1" applyBorder="1" applyAlignment="1">
      <alignment horizontal="right"/>
    </xf>
    <xf numFmtId="0" fontId="35" fillId="0" borderId="0" xfId="0" applyFont="1" applyBorder="1"/>
    <xf numFmtId="0" fontId="36" fillId="0" borderId="0" xfId="0" applyFont="1" applyBorder="1"/>
    <xf numFmtId="0" fontId="24" fillId="0" borderId="0" xfId="0" applyFont="1"/>
    <xf numFmtId="0" fontId="37" fillId="0" borderId="0" xfId="0" applyFont="1" applyBorder="1"/>
    <xf numFmtId="0" fontId="38" fillId="0" borderId="0" xfId="0" applyFont="1"/>
    <xf numFmtId="0" fontId="35" fillId="0" borderId="0" xfId="0" applyFont="1"/>
    <xf numFmtId="2" fontId="31" fillId="0" borderId="1" xfId="0" applyNumberFormat="1" applyFont="1" applyBorder="1" applyAlignment="1">
      <alignment horizontal="right"/>
    </xf>
    <xf numFmtId="0" fontId="11" fillId="2" borderId="2" xfId="0" applyFont="1" applyFill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0" fillId="0" borderId="5" xfId="0" applyBorder="1" applyAlignment="1">
      <alignment horizontal="right"/>
    </xf>
    <xf numFmtId="0" fontId="2" fillId="0" borderId="5" xfId="0" applyFont="1" applyBorder="1" applyAlignment="1">
      <alignment horizontal="right"/>
    </xf>
    <xf numFmtId="0" fontId="34" fillId="0" borderId="5" xfId="0" applyFont="1" applyBorder="1" applyAlignment="1">
      <alignment horizontal="right"/>
    </xf>
    <xf numFmtId="0" fontId="20" fillId="3" borderId="2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0" fontId="20" fillId="12" borderId="2" xfId="0" applyFont="1" applyFill="1" applyBorder="1" applyAlignment="1">
      <alignment horizontal="center"/>
    </xf>
    <xf numFmtId="0" fontId="20" fillId="14" borderId="2" xfId="0" applyFont="1" applyFill="1" applyBorder="1" applyAlignment="1">
      <alignment horizontal="center"/>
    </xf>
    <xf numFmtId="0" fontId="26" fillId="15" borderId="2" xfId="0" applyFont="1" applyFill="1" applyBorder="1" applyAlignment="1">
      <alignment horizontal="center"/>
    </xf>
    <xf numFmtId="0" fontId="26" fillId="7" borderId="2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right"/>
    </xf>
    <xf numFmtId="0" fontId="0" fillId="0" borderId="6" xfId="0" applyBorder="1"/>
    <xf numFmtId="49" fontId="11" fillId="2" borderId="3" xfId="0" applyNumberFormat="1" applyFont="1" applyFill="1" applyBorder="1"/>
    <xf numFmtId="0" fontId="11" fillId="2" borderId="4" xfId="0" applyFont="1" applyFill="1" applyBorder="1" applyAlignment="1">
      <alignment horizontal="left"/>
    </xf>
    <xf numFmtId="0" fontId="0" fillId="0" borderId="5" xfId="0" applyBorder="1"/>
    <xf numFmtId="49" fontId="0" fillId="0" borderId="6" xfId="0" applyNumberFormat="1" applyBorder="1"/>
    <xf numFmtId="0" fontId="20" fillId="13" borderId="2" xfId="0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0" fontId="20" fillId="10" borderId="2" xfId="0" applyFont="1" applyFill="1" applyBorder="1" applyAlignment="1">
      <alignment horizontal="center"/>
    </xf>
    <xf numFmtId="0" fontId="13" fillId="0" borderId="0" xfId="0" applyFont="1"/>
    <xf numFmtId="0" fontId="20" fillId="16" borderId="2" xfId="0" applyFont="1" applyFill="1" applyBorder="1" applyAlignment="1">
      <alignment horizontal="center"/>
    </xf>
    <xf numFmtId="0" fontId="39" fillId="17" borderId="2" xfId="0" applyFont="1" applyFill="1" applyBorder="1" applyAlignment="1">
      <alignment horizontal="center"/>
    </xf>
    <xf numFmtId="0" fontId="9" fillId="0" borderId="6" xfId="0" applyFont="1" applyBorder="1"/>
    <xf numFmtId="0" fontId="11" fillId="2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2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40" fillId="0" borderId="0" xfId="0" applyNumberFormat="1" applyFont="1" applyAlignment="1">
      <alignment horizontal="left"/>
    </xf>
    <xf numFmtId="49" fontId="42" fillId="0" borderId="0" xfId="0" quotePrefix="1" applyNumberFormat="1" applyFont="1" applyAlignment="1">
      <alignment horizontal="left"/>
    </xf>
    <xf numFmtId="49" fontId="0" fillId="0" borderId="0" xfId="0" applyNumberFormat="1" applyAlignment="1">
      <alignment horizontal="left"/>
    </xf>
    <xf numFmtId="49" fontId="41" fillId="0" borderId="0" xfId="0" applyNumberFormat="1" applyFont="1" applyAlignment="1">
      <alignment horizontal="left"/>
    </xf>
    <xf numFmtId="0" fontId="40" fillId="0" borderId="0" xfId="0" applyFont="1" applyAlignment="1">
      <alignment horizontal="left"/>
    </xf>
    <xf numFmtId="49" fontId="43" fillId="0" borderId="0" xfId="0" applyNumberFormat="1" applyFont="1" applyAlignment="1">
      <alignment horizontal="left"/>
    </xf>
    <xf numFmtId="49" fontId="42" fillId="0" borderId="0" xfId="0" applyNumberFormat="1" applyFont="1" applyAlignment="1">
      <alignment horizontal="left"/>
    </xf>
    <xf numFmtId="49" fontId="40" fillId="0" borderId="0" xfId="0" quotePrefix="1" applyNumberFormat="1" applyFont="1" applyAlignment="1">
      <alignment horizontal="left"/>
    </xf>
    <xf numFmtId="0" fontId="0" fillId="0" borderId="0" xfId="0" applyFill="1" applyBorder="1" applyAlignment="1">
      <alignment horizontal="right"/>
    </xf>
    <xf numFmtId="0" fontId="11" fillId="2" borderId="7" xfId="0" applyFont="1" applyFill="1" applyBorder="1" applyAlignment="1">
      <alignment horizontal="right"/>
    </xf>
    <xf numFmtId="0" fontId="34" fillId="0" borderId="0" xfId="0" applyFont="1" applyBorder="1"/>
    <xf numFmtId="0" fontId="46" fillId="0" borderId="0" xfId="0" applyFont="1"/>
    <xf numFmtId="0" fontId="15" fillId="0" borderId="0" xfId="0" applyFont="1" applyBorder="1" applyAlignment="1">
      <alignment horizontal="left"/>
    </xf>
    <xf numFmtId="0" fontId="16" fillId="0" borderId="0" xfId="0" applyFont="1"/>
    <xf numFmtId="2" fontId="47" fillId="0" borderId="1" xfId="0" applyNumberFormat="1" applyFont="1" applyBorder="1" applyAlignment="1">
      <alignment horizontal="right"/>
    </xf>
    <xf numFmtId="0" fontId="48" fillId="0" borderId="0" xfId="0" applyFont="1" applyBorder="1" applyAlignment="1">
      <alignment horizontal="left"/>
    </xf>
    <xf numFmtId="0" fontId="49" fillId="0" borderId="0" xfId="0" applyFont="1" applyBorder="1"/>
    <xf numFmtId="0" fontId="14" fillId="0" borderId="0" xfId="0" applyFont="1" applyBorder="1" applyAlignment="1">
      <alignment horizontal="left"/>
    </xf>
    <xf numFmtId="2" fontId="50" fillId="0" borderId="1" xfId="0" applyNumberFormat="1" applyFont="1" applyBorder="1" applyAlignment="1">
      <alignment horizontal="right"/>
    </xf>
    <xf numFmtId="0" fontId="50" fillId="0" borderId="0" xfId="0" applyFont="1" applyBorder="1" applyAlignment="1">
      <alignment horizontal="left"/>
    </xf>
    <xf numFmtId="0" fontId="42" fillId="0" borderId="0" xfId="0" applyFont="1" applyBorder="1"/>
    <xf numFmtId="0" fontId="39" fillId="19" borderId="2" xfId="0" applyFont="1" applyFill="1" applyBorder="1" applyAlignment="1">
      <alignment horizontal="center"/>
    </xf>
    <xf numFmtId="0" fontId="16" fillId="20" borderId="2" xfId="0" applyFont="1" applyFill="1" applyBorder="1" applyAlignment="1">
      <alignment horizontal="center"/>
    </xf>
    <xf numFmtId="0" fontId="11" fillId="2" borderId="4" xfId="0" applyFont="1" applyFill="1" applyBorder="1" applyAlignment="1">
      <alignment wrapText="1"/>
    </xf>
    <xf numFmtId="2" fontId="48" fillId="0" borderId="1" xfId="0" applyNumberFormat="1" applyFont="1" applyBorder="1" applyAlignment="1">
      <alignment horizontal="right"/>
    </xf>
    <xf numFmtId="0" fontId="66" fillId="0" borderId="0" xfId="0" applyFont="1"/>
    <xf numFmtId="1" fontId="11" fillId="2" borderId="9" xfId="0" applyNumberFormat="1" applyFont="1" applyFill="1" applyBorder="1" applyAlignment="1">
      <alignment horizontal="right"/>
    </xf>
    <xf numFmtId="2" fontId="16" fillId="0" borderId="1" xfId="0" applyNumberFormat="1" applyFont="1" applyBorder="1" applyAlignment="1">
      <alignment horizontal="right"/>
    </xf>
    <xf numFmtId="0" fontId="16" fillId="21" borderId="2" xfId="0" applyFont="1" applyFill="1" applyBorder="1" applyAlignment="1">
      <alignment horizontal="center"/>
    </xf>
    <xf numFmtId="0" fontId="16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0" fontId="43" fillId="0" borderId="0" xfId="0" applyFont="1" applyBorder="1"/>
    <xf numFmtId="0" fontId="40" fillId="0" borderId="2" xfId="0" applyFont="1" applyBorder="1"/>
    <xf numFmtId="0" fontId="40" fillId="0" borderId="0" xfId="0" applyFont="1" applyBorder="1"/>
    <xf numFmtId="1" fontId="1" fillId="0" borderId="2" xfId="0" applyNumberFormat="1" applyFont="1" applyBorder="1" applyAlignment="1">
      <alignment horizontal="left"/>
    </xf>
    <xf numFmtId="0" fontId="67" fillId="0" borderId="0" xfId="0" applyFont="1" applyBorder="1"/>
    <xf numFmtId="0" fontId="13" fillId="0" borderId="0" xfId="0" applyFont="1" applyBorder="1" applyAlignment="1">
      <alignment horizontal="left"/>
    </xf>
    <xf numFmtId="16" fontId="42" fillId="0" borderId="0" xfId="0" quotePrefix="1" applyNumberFormat="1" applyFont="1" applyAlignment="1">
      <alignment horizontal="left"/>
    </xf>
    <xf numFmtId="2" fontId="45" fillId="0" borderId="1" xfId="0" applyNumberFormat="1" applyFont="1" applyBorder="1" applyAlignment="1">
      <alignment horizontal="right"/>
    </xf>
    <xf numFmtId="0" fontId="69" fillId="0" borderId="0" xfId="0" applyFont="1" applyBorder="1"/>
    <xf numFmtId="0" fontId="70" fillId="0" borderId="0" xfId="0" applyFont="1" applyBorder="1"/>
    <xf numFmtId="0" fontId="2" fillId="0" borderId="0" xfId="0" applyFont="1" applyAlignment="1">
      <alignment horizontal="left"/>
    </xf>
    <xf numFmtId="0" fontId="9" fillId="0" borderId="0" xfId="0" applyFont="1"/>
    <xf numFmtId="49" fontId="9" fillId="0" borderId="0" xfId="0" applyNumberFormat="1" applyFont="1" applyAlignment="1">
      <alignment horizontal="left"/>
    </xf>
    <xf numFmtId="0" fontId="71" fillId="0" borderId="0" xfId="0" applyFont="1"/>
    <xf numFmtId="49" fontId="71" fillId="0" borderId="0" xfId="0" applyNumberFormat="1" applyFont="1" applyAlignment="1">
      <alignment horizontal="left"/>
    </xf>
    <xf numFmtId="0" fontId="7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5" xfId="0" applyFont="1" applyBorder="1" applyAlignment="1">
      <alignment horizontal="right"/>
    </xf>
    <xf numFmtId="0" fontId="9" fillId="0" borderId="5" xfId="0" applyFont="1" applyBorder="1"/>
    <xf numFmtId="0" fontId="60" fillId="0" borderId="1" xfId="0" applyFont="1" applyBorder="1"/>
    <xf numFmtId="0" fontId="56" fillId="0" borderId="1" xfId="0" applyFont="1" applyBorder="1"/>
    <xf numFmtId="0" fontId="53" fillId="0" borderId="1" xfId="0" applyFont="1" applyBorder="1"/>
    <xf numFmtId="0" fontId="53" fillId="0" borderId="1" xfId="0" quotePrefix="1" applyFont="1" applyBorder="1"/>
    <xf numFmtId="0" fontId="54" fillId="0" borderId="1" xfId="0" applyFont="1" applyBorder="1"/>
    <xf numFmtId="0" fontId="52" fillId="0" borderId="1" xfId="0" applyFont="1" applyBorder="1"/>
    <xf numFmtId="0" fontId="56" fillId="0" borderId="1" xfId="0" applyFont="1" applyBorder="1" applyAlignment="1">
      <alignment horizontal="left"/>
    </xf>
    <xf numFmtId="0" fontId="60" fillId="0" borderId="1" xfId="0" applyFont="1" applyBorder="1" applyAlignment="1">
      <alignment horizontal="left"/>
    </xf>
    <xf numFmtId="0" fontId="55" fillId="0" borderId="1" xfId="0" applyFont="1" applyBorder="1"/>
    <xf numFmtId="0" fontId="4" fillId="0" borderId="1" xfId="0" applyFont="1" applyBorder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17" fontId="51" fillId="0" borderId="1" xfId="0" applyNumberFormat="1" applyFont="1" applyBorder="1" applyAlignment="1">
      <alignment horizontal="right"/>
    </xf>
    <xf numFmtId="0" fontId="51" fillId="0" borderId="1" xfId="0" applyFont="1" applyBorder="1" applyAlignment="1">
      <alignment horizontal="right"/>
    </xf>
    <xf numFmtId="0" fontId="51" fillId="0" borderId="2" xfId="0" applyFont="1" applyBorder="1"/>
    <xf numFmtId="1" fontId="51" fillId="0" borderId="2" xfId="0" applyNumberFormat="1" applyFont="1" applyBorder="1" applyAlignment="1">
      <alignment horizontal="left"/>
    </xf>
    <xf numFmtId="0" fontId="60" fillId="0" borderId="1" xfId="0" applyFont="1" applyBorder="1" applyAlignment="1">
      <alignment horizontal="center"/>
    </xf>
    <xf numFmtId="17" fontId="60" fillId="0" borderId="1" xfId="0" applyNumberFormat="1" applyFont="1" applyBorder="1" applyAlignment="1">
      <alignment horizontal="right"/>
    </xf>
    <xf numFmtId="15" fontId="60" fillId="0" borderId="1" xfId="0" applyNumberFormat="1" applyFont="1" applyBorder="1" applyAlignment="1">
      <alignment horizontal="right"/>
    </xf>
    <xf numFmtId="0" fontId="60" fillId="0" borderId="1" xfId="0" applyFont="1" applyBorder="1" applyAlignment="1">
      <alignment horizontal="right"/>
    </xf>
    <xf numFmtId="0" fontId="60" fillId="0" borderId="2" xfId="0" applyFont="1" applyBorder="1" applyAlignment="1">
      <alignment horizontal="left"/>
    </xf>
    <xf numFmtId="0" fontId="52" fillId="0" borderId="1" xfId="0" applyFont="1" applyBorder="1" applyAlignment="1">
      <alignment horizontal="center"/>
    </xf>
    <xf numFmtId="1" fontId="60" fillId="0" borderId="2" xfId="0" applyNumberFormat="1" applyFont="1" applyBorder="1" applyAlignment="1">
      <alignment horizontal="left"/>
    </xf>
    <xf numFmtId="17" fontId="58" fillId="0" borderId="1" xfId="0" applyNumberFormat="1" applyFont="1" applyBorder="1" applyAlignment="1">
      <alignment horizontal="right"/>
    </xf>
    <xf numFmtId="15" fontId="58" fillId="0" borderId="1" xfId="0" applyNumberFormat="1" applyFont="1" applyBorder="1" applyAlignment="1">
      <alignment horizontal="right"/>
    </xf>
    <xf numFmtId="0" fontId="56" fillId="0" borderId="1" xfId="0" applyFont="1" applyBorder="1" applyAlignment="1">
      <alignment horizontal="center"/>
    </xf>
    <xf numFmtId="17" fontId="56" fillId="0" borderId="1" xfId="0" applyNumberFormat="1" applyFont="1" applyBorder="1" applyAlignment="1">
      <alignment horizontal="right"/>
    </xf>
    <xf numFmtId="15" fontId="56" fillId="0" borderId="1" xfId="0" applyNumberFormat="1" applyFont="1" applyBorder="1" applyAlignment="1">
      <alignment horizontal="right"/>
    </xf>
    <xf numFmtId="0" fontId="56" fillId="0" borderId="1" xfId="0" applyFont="1" applyBorder="1" applyAlignment="1">
      <alignment horizontal="right"/>
    </xf>
    <xf numFmtId="0" fontId="56" fillId="0" borderId="2" xfId="0" applyFont="1" applyBorder="1" applyAlignment="1">
      <alignment horizontal="left"/>
    </xf>
    <xf numFmtId="17" fontId="52" fillId="0" borderId="1" xfId="0" applyNumberFormat="1" applyFont="1" applyBorder="1" applyAlignment="1">
      <alignment horizontal="right"/>
    </xf>
    <xf numFmtId="0" fontId="52" fillId="0" borderId="1" xfId="0" applyFont="1" applyBorder="1" applyAlignment="1">
      <alignment horizontal="right"/>
    </xf>
    <xf numFmtId="1" fontId="52" fillId="0" borderId="2" xfId="0" applyNumberFormat="1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7" fontId="53" fillId="0" borderId="1" xfId="0" applyNumberFormat="1" applyFont="1" applyBorder="1" applyAlignment="1">
      <alignment horizontal="right"/>
    </xf>
    <xf numFmtId="0" fontId="53" fillId="0" borderId="1" xfId="0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15" fontId="52" fillId="0" borderId="1" xfId="0" applyNumberFormat="1" applyFont="1" applyBorder="1" applyAlignment="1">
      <alignment horizontal="right"/>
    </xf>
    <xf numFmtId="15" fontId="51" fillId="0" borderId="1" xfId="0" applyNumberFormat="1" applyFont="1" applyBorder="1" applyAlignment="1">
      <alignment horizontal="right"/>
    </xf>
    <xf numFmtId="0" fontId="62" fillId="0" borderId="1" xfId="0" applyFont="1" applyBorder="1" applyAlignment="1">
      <alignment horizontal="center"/>
    </xf>
    <xf numFmtId="15" fontId="62" fillId="0" borderId="1" xfId="0" applyNumberFormat="1" applyFont="1" applyBorder="1" applyAlignment="1">
      <alignment horizontal="right"/>
    </xf>
    <xf numFmtId="0" fontId="62" fillId="0" borderId="1" xfId="0" applyFont="1" applyBorder="1" applyAlignment="1">
      <alignment horizontal="right"/>
    </xf>
    <xf numFmtId="0" fontId="62" fillId="0" borderId="1" xfId="0" applyFont="1" applyBorder="1"/>
    <xf numFmtId="1" fontId="62" fillId="0" borderId="2" xfId="0" applyNumberFormat="1" applyFont="1" applyBorder="1" applyAlignment="1">
      <alignment horizontal="left"/>
    </xf>
    <xf numFmtId="0" fontId="61" fillId="0" borderId="1" xfId="0" applyFont="1" applyBorder="1" applyAlignment="1">
      <alignment horizontal="center"/>
    </xf>
    <xf numFmtId="15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>
      <alignment horizontal="right"/>
    </xf>
    <xf numFmtId="0" fontId="61" fillId="0" borderId="1" xfId="0" applyFont="1" applyBorder="1"/>
    <xf numFmtId="1" fontId="61" fillId="0" borderId="2" xfId="0" applyNumberFormat="1" applyFont="1" applyBorder="1" applyAlignment="1">
      <alignment horizontal="left"/>
    </xf>
    <xf numFmtId="1" fontId="56" fillId="0" borderId="2" xfId="0" applyNumberFormat="1" applyFont="1" applyBorder="1" applyAlignment="1">
      <alignment horizontal="left"/>
    </xf>
    <xf numFmtId="166" fontId="56" fillId="0" borderId="1" xfId="0" applyNumberFormat="1" applyFont="1" applyBorder="1" applyAlignment="1">
      <alignment horizontal="right"/>
    </xf>
    <xf numFmtId="15" fontId="53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49" fontId="56" fillId="0" borderId="1" xfId="0" applyNumberFormat="1" applyFont="1" applyBorder="1" applyAlignment="1">
      <alignment horizontal="left"/>
    </xf>
    <xf numFmtId="0" fontId="54" fillId="0" borderId="1" xfId="0" applyFont="1" applyBorder="1" applyAlignment="1">
      <alignment horizontal="center"/>
    </xf>
    <xf numFmtId="15" fontId="54" fillId="0" borderId="1" xfId="0" applyNumberFormat="1" applyFont="1" applyBorder="1" applyAlignment="1">
      <alignment horizontal="right"/>
    </xf>
    <xf numFmtId="0" fontId="54" fillId="0" borderId="1" xfId="0" applyFont="1" applyBorder="1" applyAlignment="1">
      <alignment horizontal="right"/>
    </xf>
    <xf numFmtId="0" fontId="54" fillId="0" borderId="2" xfId="0" applyFont="1" applyBorder="1" applyAlignment="1">
      <alignment horizontal="left"/>
    </xf>
    <xf numFmtId="0" fontId="54" fillId="0" borderId="1" xfId="0" applyFont="1" applyBorder="1" applyAlignment="1">
      <alignment horizontal="left"/>
    </xf>
    <xf numFmtId="0" fontId="52" fillId="0" borderId="2" xfId="0" applyFont="1" applyBorder="1" applyAlignment="1">
      <alignment horizontal="left"/>
    </xf>
    <xf numFmtId="0" fontId="52" fillId="0" borderId="1" xfId="0" applyFont="1" applyBorder="1" applyAlignment="1">
      <alignment horizontal="left"/>
    </xf>
    <xf numFmtId="15" fontId="4" fillId="0" borderId="1" xfId="0" applyNumberFormat="1" applyFont="1" applyBorder="1" applyAlignment="1">
      <alignment horizontal="right"/>
    </xf>
    <xf numFmtId="0" fontId="56" fillId="0" borderId="0" xfId="0" applyFont="1" applyBorder="1" applyAlignment="1">
      <alignment horizontal="right"/>
    </xf>
    <xf numFmtId="1" fontId="53" fillId="0" borderId="2" xfId="0" applyNumberFormat="1" applyFont="1" applyBorder="1" applyAlignment="1">
      <alignment horizontal="left"/>
    </xf>
    <xf numFmtId="14" fontId="52" fillId="0" borderId="1" xfId="0" applyNumberFormat="1" applyFont="1" applyBorder="1" applyAlignment="1">
      <alignment horizontal="right"/>
    </xf>
    <xf numFmtId="15" fontId="64" fillId="0" borderId="1" xfId="0" applyNumberFormat="1" applyFont="1" applyBorder="1" applyAlignment="1">
      <alignment horizontal="right"/>
    </xf>
    <xf numFmtId="166" fontId="60" fillId="0" borderId="1" xfId="0" applyNumberFormat="1" applyFont="1" applyBorder="1" applyAlignment="1">
      <alignment horizontal="right"/>
    </xf>
    <xf numFmtId="0" fontId="55" fillId="0" borderId="1" xfId="0" applyFont="1" applyBorder="1" applyAlignment="1">
      <alignment horizontal="center"/>
    </xf>
    <xf numFmtId="0" fontId="55" fillId="0" borderId="1" xfId="0" applyFont="1" applyBorder="1" applyAlignment="1">
      <alignment horizontal="right"/>
    </xf>
    <xf numFmtId="0" fontId="55" fillId="0" borderId="2" xfId="0" applyFont="1" applyBorder="1" applyAlignment="1">
      <alignment horizontal="left"/>
    </xf>
    <xf numFmtId="0" fontId="55" fillId="0" borderId="1" xfId="0" applyFont="1" applyBorder="1" applyAlignment="1">
      <alignment horizontal="left"/>
    </xf>
    <xf numFmtId="14" fontId="51" fillId="0" borderId="1" xfId="0" applyNumberFormat="1" applyFont="1" applyBorder="1" applyAlignment="1">
      <alignment horizontal="right"/>
    </xf>
    <xf numFmtId="17" fontId="54" fillId="0" borderId="1" xfId="0" applyNumberFormat="1" applyFont="1" applyBorder="1" applyAlignment="1">
      <alignment horizontal="right"/>
    </xf>
    <xf numFmtId="1" fontId="54" fillId="0" borderId="2" xfId="0" applyNumberFormat="1" applyFont="1" applyBorder="1" applyAlignment="1">
      <alignment horizontal="left"/>
    </xf>
    <xf numFmtId="0" fontId="62" fillId="0" borderId="0" xfId="0" applyFont="1" applyBorder="1"/>
    <xf numFmtId="15" fontId="55" fillId="0" borderId="1" xfId="0" applyNumberFormat="1" applyFont="1" applyBorder="1" applyAlignment="1">
      <alignment horizontal="right"/>
    </xf>
    <xf numFmtId="1" fontId="55" fillId="0" borderId="2" xfId="0" applyNumberFormat="1" applyFont="1" applyBorder="1" applyAlignment="1">
      <alignment horizontal="left"/>
    </xf>
    <xf numFmtId="0" fontId="65" fillId="0" borderId="1" xfId="0" applyFont="1" applyBorder="1" applyAlignment="1">
      <alignment horizontal="center"/>
    </xf>
    <xf numFmtId="17" fontId="65" fillId="0" borderId="1" xfId="0" applyNumberFormat="1" applyFont="1" applyBorder="1" applyAlignment="1">
      <alignment horizontal="right"/>
    </xf>
    <xf numFmtId="0" fontId="65" fillId="0" borderId="1" xfId="0" applyFont="1" applyBorder="1" applyAlignment="1">
      <alignment horizontal="right"/>
    </xf>
    <xf numFmtId="0" fontId="65" fillId="0" borderId="1" xfId="0" applyFont="1" applyBorder="1"/>
    <xf numFmtId="1" fontId="65" fillId="0" borderId="2" xfId="0" applyNumberFormat="1" applyFont="1" applyBorder="1" applyAlignment="1">
      <alignment horizontal="left"/>
    </xf>
    <xf numFmtId="166" fontId="65" fillId="0" borderId="1" xfId="0" applyNumberFormat="1" applyFont="1" applyBorder="1" applyAlignment="1">
      <alignment horizontal="right"/>
    </xf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>
      <alignment horizontal="right"/>
    </xf>
    <xf numFmtId="0" fontId="64" fillId="0" borderId="1" xfId="0" applyFont="1" applyBorder="1"/>
    <xf numFmtId="1" fontId="64" fillId="0" borderId="2" xfId="0" applyNumberFormat="1" applyFont="1" applyBorder="1" applyAlignment="1">
      <alignment horizontal="left"/>
    </xf>
    <xf numFmtId="0" fontId="52" fillId="0" borderId="0" xfId="0" applyFont="1" applyBorder="1"/>
    <xf numFmtId="166" fontId="62" fillId="0" borderId="1" xfId="0" applyNumberFormat="1" applyFont="1" applyBorder="1" applyAlignment="1">
      <alignment horizontal="right"/>
    </xf>
    <xf numFmtId="17" fontId="62" fillId="0" borderId="1" xfId="0" applyNumberFormat="1" applyFont="1" applyBorder="1" applyAlignment="1">
      <alignment horizontal="right"/>
    </xf>
    <xf numFmtId="0" fontId="63" fillId="0" borderId="1" xfId="0" applyFont="1" applyBorder="1" applyAlignment="1">
      <alignment horizontal="center"/>
    </xf>
    <xf numFmtId="15" fontId="63" fillId="0" borderId="1" xfId="0" applyNumberFormat="1" applyFont="1" applyBorder="1" applyAlignment="1">
      <alignment horizontal="right"/>
    </xf>
    <xf numFmtId="0" fontId="63" fillId="0" borderId="1" xfId="0" applyFont="1" applyBorder="1" applyAlignment="1">
      <alignment horizontal="right"/>
    </xf>
    <xf numFmtId="0" fontId="63" fillId="0" borderId="1" xfId="0" applyFont="1" applyBorder="1"/>
    <xf numFmtId="1" fontId="63" fillId="0" borderId="2" xfId="0" applyNumberFormat="1" applyFont="1" applyBorder="1" applyAlignment="1">
      <alignment horizontal="left"/>
    </xf>
    <xf numFmtId="0" fontId="62" fillId="0" borderId="1" xfId="0" applyNumberFormat="1" applyFont="1" applyBorder="1" applyAlignment="1">
      <alignment horizontal="right"/>
    </xf>
    <xf numFmtId="166" fontId="51" fillId="0" borderId="1" xfId="0" applyNumberFormat="1" applyFont="1" applyBorder="1" applyAlignment="1">
      <alignment horizontal="right"/>
    </xf>
    <xf numFmtId="0" fontId="68" fillId="0" borderId="1" xfId="0" applyFont="1" applyBorder="1" applyAlignment="1">
      <alignment horizontal="center"/>
    </xf>
    <xf numFmtId="17" fontId="68" fillId="0" borderId="1" xfId="0" applyNumberFormat="1" applyFont="1" applyBorder="1" applyAlignment="1">
      <alignment horizontal="right"/>
    </xf>
    <xf numFmtId="15" fontId="68" fillId="0" borderId="1" xfId="0" applyNumberFormat="1" applyFont="1" applyBorder="1" applyAlignment="1">
      <alignment horizontal="right"/>
    </xf>
    <xf numFmtId="0" fontId="68" fillId="0" borderId="1" xfId="0" applyFont="1" applyBorder="1" applyAlignment="1">
      <alignment horizontal="right"/>
    </xf>
    <xf numFmtId="0" fontId="68" fillId="0" borderId="1" xfId="0" applyFont="1" applyBorder="1"/>
    <xf numFmtId="1" fontId="68" fillId="0" borderId="2" xfId="0" applyNumberFormat="1" applyFont="1" applyBorder="1" applyAlignment="1">
      <alignment horizontal="left"/>
    </xf>
    <xf numFmtId="166" fontId="68" fillId="0" borderId="1" xfId="0" applyNumberFormat="1" applyFont="1" applyBorder="1" applyAlignment="1">
      <alignment horizontal="right"/>
    </xf>
    <xf numFmtId="0" fontId="58" fillId="0" borderId="1" xfId="0" applyFont="1" applyBorder="1" applyAlignment="1">
      <alignment horizontal="center"/>
    </xf>
    <xf numFmtId="0" fontId="58" fillId="0" borderId="1" xfId="0" applyFont="1" applyBorder="1" applyAlignment="1">
      <alignment horizontal="right"/>
    </xf>
    <xf numFmtId="0" fontId="58" fillId="0" borderId="1" xfId="0" applyFont="1" applyBorder="1"/>
    <xf numFmtId="1" fontId="58" fillId="0" borderId="2" xfId="0" applyNumberFormat="1" applyFont="1" applyBorder="1" applyAlignment="1">
      <alignment horizontal="left"/>
    </xf>
    <xf numFmtId="0" fontId="58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1" fontId="4" fillId="0" borderId="2" xfId="0" applyNumberFormat="1" applyFont="1" applyBorder="1" applyAlignment="1">
      <alignment horizontal="left"/>
    </xf>
    <xf numFmtId="0" fontId="55" fillId="0" borderId="1" xfId="0" applyNumberFormat="1" applyFont="1" applyBorder="1" applyAlignment="1">
      <alignment horizontal="right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52" fillId="0" borderId="1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0" fontId="56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center"/>
    </xf>
    <xf numFmtId="15" fontId="59" fillId="0" borderId="1" xfId="0" applyNumberFormat="1" applyFont="1" applyBorder="1" applyAlignment="1">
      <alignment horizontal="right"/>
    </xf>
    <xf numFmtId="0" fontId="59" fillId="0" borderId="1" xfId="0" applyFont="1" applyBorder="1" applyAlignment="1">
      <alignment horizontal="right"/>
    </xf>
    <xf numFmtId="0" fontId="59" fillId="0" borderId="1" xfId="0" applyFont="1" applyBorder="1" applyAlignment="1">
      <alignment horizontal="left"/>
    </xf>
    <xf numFmtId="0" fontId="51" fillId="0" borderId="1" xfId="0" applyFont="1" applyBorder="1" applyAlignment="1">
      <alignment horizontal="left"/>
    </xf>
    <xf numFmtId="0" fontId="57" fillId="0" borderId="1" xfId="0" applyFont="1" applyBorder="1" applyAlignment="1">
      <alignment horizontal="center"/>
    </xf>
    <xf numFmtId="15" fontId="73" fillId="0" borderId="1" xfId="0" applyNumberFormat="1" applyFont="1" applyBorder="1" applyAlignment="1">
      <alignment horizontal="right"/>
    </xf>
    <xf numFmtId="0" fontId="57" fillId="0" borderId="1" xfId="0" applyFont="1" applyBorder="1" applyAlignment="1">
      <alignment horizontal="right"/>
    </xf>
    <xf numFmtId="0" fontId="57" fillId="0" borderId="2" xfId="0" applyFont="1" applyBorder="1" applyAlignment="1">
      <alignment horizontal="left"/>
    </xf>
    <xf numFmtId="0" fontId="57" fillId="0" borderId="1" xfId="0" applyFont="1" applyBorder="1" applyAlignment="1">
      <alignment horizontal="left"/>
    </xf>
    <xf numFmtId="166" fontId="64" fillId="0" borderId="1" xfId="0" applyNumberFormat="1" applyFont="1" applyBorder="1" applyAlignment="1">
      <alignment horizontal="right"/>
    </xf>
    <xf numFmtId="166" fontId="58" fillId="0" borderId="1" xfId="0" applyNumberFormat="1" applyFont="1" applyBorder="1" applyAlignment="1">
      <alignment horizontal="right"/>
    </xf>
    <xf numFmtId="1" fontId="51" fillId="0" borderId="9" xfId="0" applyNumberFormat="1" applyFont="1" applyBorder="1" applyAlignment="1">
      <alignment horizontal="right"/>
    </xf>
    <xf numFmtId="1" fontId="60" fillId="0" borderId="9" xfId="0" applyNumberFormat="1" applyFont="1" applyBorder="1" applyAlignment="1">
      <alignment horizontal="right"/>
    </xf>
    <xf numFmtId="0" fontId="60" fillId="0" borderId="9" xfId="0" applyFont="1" applyBorder="1" applyAlignment="1">
      <alignment horizontal="right"/>
    </xf>
    <xf numFmtId="0" fontId="56" fillId="0" borderId="9" xfId="0" applyFont="1" applyBorder="1" applyAlignment="1">
      <alignment horizontal="right"/>
    </xf>
    <xf numFmtId="1" fontId="52" fillId="0" borderId="9" xfId="0" applyNumberFormat="1" applyFont="1" applyBorder="1" applyAlignment="1">
      <alignment horizontal="right"/>
    </xf>
    <xf numFmtId="0" fontId="53" fillId="0" borderId="9" xfId="0" applyFont="1" applyBorder="1" applyAlignment="1">
      <alignment horizontal="right"/>
    </xf>
    <xf numFmtId="1" fontId="62" fillId="0" borderId="9" xfId="0" applyNumberFormat="1" applyFont="1" applyBorder="1" applyAlignment="1">
      <alignment horizontal="right"/>
    </xf>
    <xf numFmtId="1" fontId="61" fillId="0" borderId="9" xfId="0" applyNumberFormat="1" applyFont="1" applyBorder="1" applyAlignment="1">
      <alignment horizontal="right"/>
    </xf>
    <xf numFmtId="1" fontId="56" fillId="0" borderId="9" xfId="0" applyNumberFormat="1" applyFont="1" applyBorder="1" applyAlignment="1">
      <alignment horizontal="right"/>
    </xf>
    <xf numFmtId="0" fontId="54" fillId="0" borderId="9" xfId="0" applyFont="1" applyBorder="1" applyAlignment="1">
      <alignment horizontal="right"/>
    </xf>
    <xf numFmtId="0" fontId="52" fillId="0" borderId="9" xfId="0" applyFont="1" applyBorder="1" applyAlignment="1">
      <alignment horizontal="right"/>
    </xf>
    <xf numFmtId="1" fontId="53" fillId="0" borderId="9" xfId="0" applyNumberFormat="1" applyFont="1" applyBorder="1" applyAlignment="1">
      <alignment horizontal="right"/>
    </xf>
    <xf numFmtId="1" fontId="54" fillId="0" borderId="9" xfId="0" applyNumberFormat="1" applyFont="1" applyBorder="1" applyAlignment="1">
      <alignment horizontal="right"/>
    </xf>
    <xf numFmtId="1" fontId="55" fillId="0" borderId="9" xfId="0" applyNumberFormat="1" applyFont="1" applyBorder="1" applyAlignment="1">
      <alignment horizontal="right"/>
    </xf>
    <xf numFmtId="1" fontId="65" fillId="0" borderId="9" xfId="0" applyNumberFormat="1" applyFont="1" applyBorder="1" applyAlignment="1">
      <alignment horizontal="right"/>
    </xf>
    <xf numFmtId="1" fontId="64" fillId="0" borderId="9" xfId="0" applyNumberFormat="1" applyFont="1" applyBorder="1" applyAlignment="1">
      <alignment horizontal="right"/>
    </xf>
    <xf numFmtId="1" fontId="63" fillId="0" borderId="9" xfId="0" applyNumberFormat="1" applyFont="1" applyBorder="1" applyAlignment="1">
      <alignment horizontal="right"/>
    </xf>
    <xf numFmtId="0" fontId="55" fillId="0" borderId="9" xfId="0" applyFont="1" applyBorder="1" applyAlignment="1">
      <alignment horizontal="right"/>
    </xf>
    <xf numFmtId="1" fontId="68" fillId="0" borderId="9" xfId="0" applyNumberFormat="1" applyFont="1" applyBorder="1" applyAlignment="1">
      <alignment horizontal="right"/>
    </xf>
    <xf numFmtId="1" fontId="58" fillId="0" borderId="9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/>
    </xf>
    <xf numFmtId="0" fontId="57" fillId="0" borderId="9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59" fillId="0" borderId="9" xfId="0" applyFont="1" applyBorder="1" applyAlignment="1">
      <alignment horizontal="right"/>
    </xf>
    <xf numFmtId="0" fontId="51" fillId="0" borderId="9" xfId="0" applyFont="1" applyBorder="1" applyAlignment="1">
      <alignment horizontal="right"/>
    </xf>
    <xf numFmtId="0" fontId="51" fillId="0" borderId="4" xfId="0" applyFont="1" applyBorder="1" applyAlignment="1">
      <alignment wrapText="1"/>
    </xf>
    <xf numFmtId="0" fontId="60" fillId="0" borderId="4" xfId="0" applyFont="1" applyBorder="1"/>
    <xf numFmtId="0" fontId="56" fillId="0" borderId="4" xfId="0" applyFont="1" applyBorder="1"/>
    <xf numFmtId="49" fontId="51" fillId="0" borderId="4" xfId="0" applyNumberFormat="1" applyFont="1" applyBorder="1"/>
    <xf numFmtId="49" fontId="52" fillId="0" borderId="4" xfId="0" applyNumberFormat="1" applyFont="1" applyBorder="1"/>
    <xf numFmtId="0" fontId="53" fillId="0" borderId="4" xfId="0" applyFont="1" applyBorder="1"/>
    <xf numFmtId="0" fontId="62" fillId="0" borderId="4" xfId="0" applyFont="1" applyBorder="1" applyAlignment="1">
      <alignment wrapText="1"/>
    </xf>
    <xf numFmtId="49" fontId="62" fillId="0" borderId="4" xfId="0" applyNumberFormat="1" applyFont="1" applyBorder="1"/>
    <xf numFmtId="0" fontId="61" fillId="0" borderId="4" xfId="0" applyFont="1" applyBorder="1" applyAlignment="1">
      <alignment wrapText="1"/>
    </xf>
    <xf numFmtId="0" fontId="56" fillId="0" borderId="4" xfId="0" applyFont="1" applyBorder="1" applyAlignment="1">
      <alignment wrapText="1"/>
    </xf>
    <xf numFmtId="0" fontId="52" fillId="0" borderId="4" xfId="0" applyFont="1" applyBorder="1" applyAlignment="1">
      <alignment wrapText="1"/>
    </xf>
    <xf numFmtId="0" fontId="53" fillId="0" borderId="4" xfId="0" quotePrefix="1" applyFont="1" applyBorder="1"/>
    <xf numFmtId="49" fontId="60" fillId="0" borderId="4" xfId="0" applyNumberFormat="1" applyFont="1" applyBorder="1"/>
    <xf numFmtId="49" fontId="56" fillId="0" borderId="4" xfId="0" applyNumberFormat="1" applyFont="1" applyBorder="1"/>
    <xf numFmtId="0" fontId="54" fillId="0" borderId="4" xfId="0" applyFont="1" applyBorder="1"/>
    <xf numFmtId="0" fontId="52" fillId="0" borderId="4" xfId="0" applyFont="1" applyBorder="1"/>
    <xf numFmtId="0" fontId="56" fillId="0" borderId="4" xfId="0" applyFont="1" applyBorder="1" applyAlignment="1">
      <alignment horizontal="left"/>
    </xf>
    <xf numFmtId="0" fontId="60" fillId="0" borderId="4" xfId="0" applyFont="1" applyBorder="1" applyAlignment="1">
      <alignment horizontal="left"/>
    </xf>
    <xf numFmtId="49" fontId="53" fillId="0" borderId="4" xfId="0" applyNumberFormat="1" applyFont="1" applyBorder="1"/>
    <xf numFmtId="0" fontId="55" fillId="0" borderId="4" xfId="0" applyFont="1" applyBorder="1"/>
    <xf numFmtId="49" fontId="54" fillId="0" borderId="4" xfId="0" applyNumberFormat="1" applyFont="1" applyBorder="1"/>
    <xf numFmtId="49" fontId="55" fillId="0" borderId="4" xfId="0" applyNumberFormat="1" applyFont="1" applyBorder="1"/>
    <xf numFmtId="0" fontId="65" fillId="0" borderId="4" xfId="0" applyFont="1" applyBorder="1" applyAlignment="1">
      <alignment wrapText="1"/>
    </xf>
    <xf numFmtId="49" fontId="64" fillId="0" borderId="4" xfId="0" applyNumberFormat="1" applyFont="1" applyBorder="1"/>
    <xf numFmtId="49" fontId="51" fillId="0" borderId="4" xfId="0" quotePrefix="1" applyNumberFormat="1" applyFont="1" applyBorder="1"/>
    <xf numFmtId="0" fontId="53" fillId="0" borderId="4" xfId="0" applyFont="1" applyBorder="1" applyAlignment="1">
      <alignment wrapText="1"/>
    </xf>
    <xf numFmtId="0" fontId="55" fillId="0" borderId="4" xfId="0" applyFont="1" applyBorder="1" applyAlignment="1">
      <alignment wrapText="1"/>
    </xf>
    <xf numFmtId="0" fontId="64" fillId="0" borderId="4" xfId="0" applyFont="1" applyBorder="1" applyAlignment="1">
      <alignment wrapText="1"/>
    </xf>
    <xf numFmtId="0" fontId="63" fillId="0" borderId="4" xfId="0" applyFont="1" applyBorder="1" applyAlignment="1">
      <alignment wrapText="1"/>
    </xf>
    <xf numFmtId="49" fontId="68" fillId="0" borderId="4" xfId="0" applyNumberFormat="1" applyFont="1" applyBorder="1"/>
    <xf numFmtId="0" fontId="60" fillId="0" borderId="4" xfId="0" applyFont="1" applyBorder="1" applyAlignment="1">
      <alignment wrapText="1"/>
    </xf>
    <xf numFmtId="49" fontId="58" fillId="0" borderId="4" xfId="0" applyNumberFormat="1" applyFont="1" applyBorder="1"/>
    <xf numFmtId="49" fontId="62" fillId="0" borderId="4" xfId="0" applyNumberFormat="1" applyFont="1" applyBorder="1" applyAlignment="1">
      <alignment wrapText="1"/>
    </xf>
    <xf numFmtId="49" fontId="4" fillId="0" borderId="4" xfId="0" applyNumberFormat="1" applyFont="1" applyBorder="1"/>
    <xf numFmtId="0" fontId="4" fillId="0" borderId="4" xfId="0" applyFont="1" applyBorder="1"/>
    <xf numFmtId="0" fontId="59" fillId="0" borderId="4" xfId="0" applyFont="1" applyBorder="1"/>
    <xf numFmtId="0" fontId="51" fillId="0" borderId="4" xfId="0" applyFont="1" applyBorder="1"/>
    <xf numFmtId="0" fontId="57" fillId="0" borderId="4" xfId="0" applyFont="1" applyBorder="1"/>
    <xf numFmtId="0" fontId="4" fillId="0" borderId="4" xfId="0" applyFont="1" applyBorder="1" applyAlignment="1">
      <alignment wrapText="1"/>
    </xf>
    <xf numFmtId="0" fontId="51" fillId="0" borderId="0" xfId="0" applyFont="1" applyBorder="1" applyAlignment="1">
      <alignment horizontal="center"/>
    </xf>
    <xf numFmtId="4" fontId="51" fillId="0" borderId="2" xfId="0" applyNumberFormat="1" applyFont="1" applyBorder="1" applyAlignment="1">
      <alignment horizontal="center"/>
    </xf>
    <xf numFmtId="0" fontId="51" fillId="0" borderId="1" xfId="0" applyNumberFormat="1" applyFont="1" applyBorder="1" applyAlignment="1">
      <alignment horizontal="right"/>
    </xf>
    <xf numFmtId="0" fontId="60" fillId="0" borderId="2" xfId="0" applyFont="1" applyBorder="1" applyAlignment="1">
      <alignment horizontal="center"/>
    </xf>
    <xf numFmtId="0" fontId="56" fillId="0" borderId="2" xfId="0" applyFont="1" applyBorder="1" applyAlignment="1">
      <alignment horizontal="center"/>
    </xf>
    <xf numFmtId="4" fontId="52" fillId="0" borderId="2" xfId="0" applyNumberFormat="1" applyFont="1" applyBorder="1" applyAlignment="1">
      <alignment horizontal="center"/>
    </xf>
    <xf numFmtId="0" fontId="53" fillId="0" borderId="2" xfId="0" applyFont="1" applyBorder="1" applyAlignment="1">
      <alignment horizontal="center"/>
    </xf>
    <xf numFmtId="4" fontId="62" fillId="0" borderId="2" xfId="0" applyNumberFormat="1" applyFont="1" applyBorder="1" applyAlignment="1">
      <alignment horizontal="center"/>
    </xf>
    <xf numFmtId="4" fontId="61" fillId="0" borderId="2" xfId="0" applyNumberFormat="1" applyFont="1" applyBorder="1" applyAlignment="1">
      <alignment horizontal="center"/>
    </xf>
    <xf numFmtId="0" fontId="61" fillId="0" borderId="1" xfId="0" applyNumberFormat="1" applyFont="1" applyBorder="1" applyAlignment="1">
      <alignment horizontal="right"/>
    </xf>
    <xf numFmtId="4" fontId="56" fillId="0" borderId="2" xfId="0" applyNumberFormat="1" applyFont="1" applyBorder="1" applyAlignment="1">
      <alignment horizontal="center"/>
    </xf>
    <xf numFmtId="0" fontId="56" fillId="0" borderId="1" xfId="0" applyNumberFormat="1" applyFont="1" applyBorder="1" applyAlignment="1">
      <alignment horizontal="right"/>
    </xf>
    <xf numFmtId="4" fontId="60" fillId="0" borderId="2" xfId="0" applyNumberFormat="1" applyFont="1" applyBorder="1" applyAlignment="1">
      <alignment horizontal="center"/>
    </xf>
    <xf numFmtId="0" fontId="60" fillId="0" borderId="1" xfId="0" applyNumberFormat="1" applyFont="1" applyBorder="1" applyAlignment="1">
      <alignment horizontal="right"/>
    </xf>
    <xf numFmtId="0" fontId="54" fillId="0" borderId="2" xfId="0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3" fillId="0" borderId="1" xfId="0" applyNumberFormat="1" applyFont="1" applyBorder="1" applyAlignment="1">
      <alignment horizontal="right"/>
    </xf>
    <xf numFmtId="0" fontId="51" fillId="0" borderId="0" xfId="0" applyNumberFormat="1" applyFont="1" applyBorder="1" applyAlignment="1">
      <alignment horizontal="right"/>
    </xf>
    <xf numFmtId="0" fontId="55" fillId="0" borderId="2" xfId="0" applyFont="1" applyBorder="1" applyAlignment="1">
      <alignment horizontal="center"/>
    </xf>
    <xf numFmtId="4" fontId="54" fillId="0" borderId="2" xfId="0" applyNumberFormat="1" applyFont="1" applyBorder="1" applyAlignment="1">
      <alignment horizontal="center"/>
    </xf>
    <xf numFmtId="0" fontId="54" fillId="0" borderId="1" xfId="0" applyNumberFormat="1" applyFont="1" applyBorder="1" applyAlignment="1">
      <alignment horizontal="right"/>
    </xf>
    <xf numFmtId="4" fontId="55" fillId="0" borderId="2" xfId="0" applyNumberFormat="1" applyFont="1" applyBorder="1" applyAlignment="1">
      <alignment horizontal="center"/>
    </xf>
    <xf numFmtId="4" fontId="65" fillId="0" borderId="2" xfId="0" applyNumberFormat="1" applyFont="1" applyBorder="1" applyAlignment="1">
      <alignment horizontal="center"/>
    </xf>
    <xf numFmtId="0" fontId="65" fillId="0" borderId="1" xfId="0" applyNumberFormat="1" applyFont="1" applyBorder="1" applyAlignment="1">
      <alignment horizontal="right"/>
    </xf>
    <xf numFmtId="4" fontId="64" fillId="0" borderId="2" xfId="0" applyNumberFormat="1" applyFont="1" applyBorder="1" applyAlignment="1">
      <alignment horizontal="center"/>
    </xf>
    <xf numFmtId="0" fontId="73" fillId="0" borderId="1" xfId="0" applyNumberFormat="1" applyFont="1" applyBorder="1" applyAlignment="1">
      <alignment horizontal="right"/>
    </xf>
    <xf numFmtId="0" fontId="64" fillId="0" borderId="1" xfId="0" applyNumberFormat="1" applyFont="1" applyBorder="1" applyAlignment="1">
      <alignment horizontal="right"/>
    </xf>
    <xf numFmtId="4" fontId="53" fillId="0" borderId="2" xfId="0" applyNumberFormat="1" applyFont="1" applyBorder="1" applyAlignment="1">
      <alignment horizontal="center"/>
    </xf>
    <xf numFmtId="4" fontId="63" fillId="0" borderId="2" xfId="0" applyNumberFormat="1" applyFont="1" applyBorder="1" applyAlignment="1">
      <alignment horizontal="center"/>
    </xf>
    <xf numFmtId="0" fontId="63" fillId="0" borderId="1" xfId="0" applyNumberFormat="1" applyFont="1" applyBorder="1" applyAlignment="1">
      <alignment horizontal="right"/>
    </xf>
    <xf numFmtId="4" fontId="68" fillId="0" borderId="2" xfId="0" applyNumberFormat="1" applyFont="1" applyBorder="1" applyAlignment="1">
      <alignment horizontal="center"/>
    </xf>
    <xf numFmtId="0" fontId="68" fillId="0" borderId="1" xfId="0" applyNumberFormat="1" applyFont="1" applyBorder="1" applyAlignment="1">
      <alignment horizontal="right"/>
    </xf>
    <xf numFmtId="4" fontId="58" fillId="0" borderId="2" xfId="0" applyNumberFormat="1" applyFont="1" applyBorder="1" applyAlignment="1">
      <alignment horizontal="center"/>
    </xf>
    <xf numFmtId="4" fontId="4" fillId="0" borderId="2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59" fillId="0" borderId="2" xfId="0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7" fillId="0" borderId="2" xfId="0" applyFont="1" applyBorder="1" applyAlignment="1">
      <alignment horizontal="center"/>
    </xf>
    <xf numFmtId="0" fontId="62" fillId="0" borderId="2" xfId="0" applyFont="1" applyBorder="1" applyAlignment="1">
      <alignment horizontal="center"/>
    </xf>
    <xf numFmtId="0" fontId="61" fillId="0" borderId="2" xfId="0" applyFont="1" applyBorder="1" applyAlignment="1">
      <alignment horizontal="center"/>
    </xf>
    <xf numFmtId="16" fontId="60" fillId="0" borderId="2" xfId="0" quotePrefix="1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5" fillId="0" borderId="2" xfId="0" applyFont="1" applyBorder="1" applyAlignment="1">
      <alignment horizontal="center"/>
    </xf>
    <xf numFmtId="0" fontId="64" fillId="0" borderId="2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16" fontId="56" fillId="0" borderId="1" xfId="0" quotePrefix="1" applyNumberFormat="1" applyFont="1" applyBorder="1" applyAlignment="1">
      <alignment horizontal="center"/>
    </xf>
    <xf numFmtId="0" fontId="63" fillId="0" borderId="2" xfId="0" applyFont="1" applyBorder="1" applyAlignment="1">
      <alignment horizontal="center"/>
    </xf>
    <xf numFmtId="49" fontId="56" fillId="0" borderId="1" xfId="0" quotePrefix="1" applyNumberFormat="1" applyFont="1" applyBorder="1" applyAlignment="1">
      <alignment horizontal="center"/>
    </xf>
    <xf numFmtId="0" fontId="51" fillId="0" borderId="1" xfId="0" quotePrefix="1" applyFont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58" fillId="0" borderId="2" xfId="0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16" fontId="55" fillId="0" borderId="2" xfId="0" applyNumberFormat="1" applyFont="1" applyBorder="1" applyAlignment="1">
      <alignment horizontal="center"/>
    </xf>
    <xf numFmtId="0" fontId="74" fillId="7" borderId="1" xfId="0" applyFont="1" applyFill="1" applyBorder="1" applyAlignment="1">
      <alignment horizontal="right"/>
    </xf>
    <xf numFmtId="0" fontId="74" fillId="7" borderId="1" xfId="0" quotePrefix="1" applyFont="1" applyFill="1" applyBorder="1" applyAlignment="1">
      <alignment horizontal="right"/>
    </xf>
    <xf numFmtId="49" fontId="51" fillId="0" borderId="1" xfId="0" applyNumberFormat="1" applyFont="1" applyBorder="1" applyAlignment="1">
      <alignment horizontal="right"/>
    </xf>
    <xf numFmtId="0" fontId="75" fillId="7" borderId="1" xfId="0" applyFont="1" applyFill="1" applyBorder="1" applyAlignment="1">
      <alignment horizontal="right"/>
    </xf>
    <xf numFmtId="0" fontId="76" fillId="7" borderId="1" xfId="0" applyFont="1" applyFill="1" applyBorder="1" applyAlignment="1">
      <alignment horizontal="right"/>
    </xf>
    <xf numFmtId="0" fontId="76" fillId="7" borderId="1" xfId="0" quotePrefix="1" applyFont="1" applyFill="1" applyBorder="1" applyAlignment="1">
      <alignment horizontal="right"/>
    </xf>
    <xf numFmtId="0" fontId="77" fillId="7" borderId="1" xfId="0" quotePrefix="1" applyFont="1" applyFill="1" applyBorder="1" applyAlignment="1">
      <alignment horizontal="right"/>
    </xf>
    <xf numFmtId="0" fontId="51" fillId="3" borderId="1" xfId="0" applyFont="1" applyFill="1" applyBorder="1" applyAlignment="1">
      <alignment horizontal="right"/>
    </xf>
    <xf numFmtId="0" fontId="60" fillId="3" borderId="1" xfId="0" applyFont="1" applyFill="1" applyBorder="1" applyAlignment="1">
      <alignment horizontal="right"/>
    </xf>
    <xf numFmtId="2" fontId="60" fillId="3" borderId="1" xfId="0" applyNumberFormat="1" applyFont="1" applyFill="1" applyBorder="1" applyAlignment="1">
      <alignment horizontal="right"/>
    </xf>
    <xf numFmtId="2" fontId="51" fillId="3" borderId="1" xfId="0" applyNumberFormat="1" applyFont="1" applyFill="1" applyBorder="1" applyAlignment="1">
      <alignment horizontal="right"/>
    </xf>
    <xf numFmtId="0" fontId="52" fillId="3" borderId="1" xfId="0" applyFont="1" applyFill="1" applyBorder="1" applyAlignment="1">
      <alignment horizontal="right"/>
    </xf>
    <xf numFmtId="49" fontId="52" fillId="0" borderId="1" xfId="0" applyNumberFormat="1" applyFont="1" applyBorder="1" applyAlignment="1">
      <alignment horizontal="right"/>
    </xf>
    <xf numFmtId="0" fontId="53" fillId="3" borderId="1" xfId="0" applyFont="1" applyFill="1" applyBorder="1" applyAlignment="1">
      <alignment horizontal="right"/>
    </xf>
    <xf numFmtId="2" fontId="53" fillId="3" borderId="1" xfId="0" applyNumberFormat="1" applyFont="1" applyFill="1" applyBorder="1" applyAlignment="1">
      <alignment horizontal="right"/>
    </xf>
    <xf numFmtId="2" fontId="60" fillId="3" borderId="1" xfId="0" quotePrefix="1" applyNumberFormat="1" applyFont="1" applyFill="1" applyBorder="1" applyAlignment="1">
      <alignment horizontal="right"/>
    </xf>
    <xf numFmtId="0" fontId="56" fillId="3" borderId="1" xfId="0" applyFont="1" applyFill="1" applyBorder="1" applyAlignment="1">
      <alignment horizontal="right"/>
    </xf>
    <xf numFmtId="0" fontId="60" fillId="7" borderId="1" xfId="0" quotePrefix="1" applyFont="1" applyFill="1" applyBorder="1" applyAlignment="1">
      <alignment horizontal="right"/>
    </xf>
    <xf numFmtId="0" fontId="62" fillId="3" borderId="1" xfId="0" applyFont="1" applyFill="1" applyBorder="1" applyAlignment="1">
      <alignment horizontal="right"/>
    </xf>
    <xf numFmtId="49" fontId="62" fillId="0" borderId="1" xfId="0" applyNumberFormat="1" applyFont="1" applyBorder="1" applyAlignment="1">
      <alignment horizontal="right"/>
    </xf>
    <xf numFmtId="0" fontId="61" fillId="3" borderId="1" xfId="0" applyFont="1" applyFill="1" applyBorder="1" applyAlignment="1">
      <alignment horizontal="right"/>
    </xf>
    <xf numFmtId="49" fontId="61" fillId="0" borderId="1" xfId="0" applyNumberFormat="1" applyFont="1" applyBorder="1" applyAlignment="1">
      <alignment horizontal="right"/>
    </xf>
    <xf numFmtId="49" fontId="61" fillId="0" borderId="4" xfId="0" applyNumberFormat="1" applyFont="1" applyBorder="1"/>
    <xf numFmtId="49" fontId="56" fillId="0" borderId="1" xfId="0" applyNumberFormat="1" applyFont="1" applyBorder="1" applyAlignment="1">
      <alignment horizontal="right"/>
    </xf>
    <xf numFmtId="0" fontId="51" fillId="3" borderId="1" xfId="0" quotePrefix="1" applyNumberFormat="1" applyFont="1" applyFill="1" applyBorder="1" applyAlignment="1">
      <alignment horizontal="right"/>
    </xf>
    <xf numFmtId="2" fontId="51" fillId="3" borderId="1" xfId="0" quotePrefix="1" applyNumberFormat="1" applyFont="1" applyFill="1" applyBorder="1" applyAlignment="1">
      <alignment horizontal="right"/>
    </xf>
    <xf numFmtId="2" fontId="56" fillId="3" borderId="1" xfId="0" applyNumberFormat="1" applyFont="1" applyFill="1" applyBorder="1" applyAlignment="1">
      <alignment horizontal="right"/>
    </xf>
    <xf numFmtId="0" fontId="51" fillId="3" borderId="1" xfId="0" applyNumberFormat="1" applyFont="1" applyFill="1" applyBorder="1" applyAlignment="1">
      <alignment horizontal="right"/>
    </xf>
    <xf numFmtId="49" fontId="60" fillId="3" borderId="1" xfId="0" applyNumberFormat="1" applyFont="1" applyFill="1" applyBorder="1" applyAlignment="1">
      <alignment horizontal="right"/>
    </xf>
    <xf numFmtId="49" fontId="60" fillId="0" borderId="1" xfId="0" applyNumberFormat="1" applyFont="1" applyBorder="1" applyAlignment="1">
      <alignment horizontal="right"/>
    </xf>
    <xf numFmtId="0" fontId="56" fillId="7" borderId="1" xfId="0" applyFont="1" applyFill="1" applyBorder="1" applyAlignment="1">
      <alignment horizontal="right"/>
    </xf>
    <xf numFmtId="0" fontId="56" fillId="7" borderId="1" xfId="0" quotePrefix="1" applyFont="1" applyFill="1" applyBorder="1" applyAlignment="1">
      <alignment horizontal="right"/>
    </xf>
    <xf numFmtId="0" fontId="60" fillId="7" borderId="1" xfId="0" applyFont="1" applyFill="1" applyBorder="1" applyAlignment="1">
      <alignment horizontal="right"/>
    </xf>
    <xf numFmtId="2" fontId="60" fillId="7" borderId="1" xfId="0" applyNumberFormat="1" applyFont="1" applyFill="1" applyBorder="1" applyAlignment="1">
      <alignment horizontal="right"/>
    </xf>
    <xf numFmtId="2" fontId="56" fillId="7" borderId="1" xfId="0" applyNumberFormat="1" applyFont="1" applyFill="1" applyBorder="1" applyAlignment="1">
      <alignment horizontal="right"/>
    </xf>
    <xf numFmtId="0" fontId="75" fillId="7" borderId="1" xfId="0" quotePrefix="1" applyFont="1" applyFill="1" applyBorder="1" applyAlignment="1">
      <alignment horizontal="right"/>
    </xf>
    <xf numFmtId="165" fontId="51" fillId="3" borderId="1" xfId="0" applyNumberFormat="1" applyFont="1" applyFill="1" applyBorder="1" applyAlignment="1">
      <alignment horizontal="right"/>
    </xf>
    <xf numFmtId="0" fontId="60" fillId="3" borderId="1" xfId="0" applyNumberFormat="1" applyFont="1" applyFill="1" applyBorder="1" applyAlignment="1">
      <alignment horizontal="right"/>
    </xf>
    <xf numFmtId="0" fontId="61" fillId="4" borderId="1" xfId="0" applyFont="1" applyFill="1" applyBorder="1" applyAlignment="1">
      <alignment horizontal="right"/>
    </xf>
    <xf numFmtId="0" fontId="60" fillId="4" borderId="1" xfId="0" applyFont="1" applyFill="1" applyBorder="1" applyAlignment="1">
      <alignment horizontal="right"/>
    </xf>
    <xf numFmtId="2" fontId="60" fillId="4" borderId="1" xfId="0" applyNumberFormat="1" applyFont="1" applyFill="1" applyBorder="1" applyAlignment="1">
      <alignment horizontal="right"/>
    </xf>
    <xf numFmtId="0" fontId="52" fillId="4" borderId="1" xfId="0" applyFont="1" applyFill="1" applyBorder="1" applyAlignment="1">
      <alignment horizontal="right"/>
    </xf>
    <xf numFmtId="0" fontId="56" fillId="4" borderId="1" xfId="0" applyFont="1" applyFill="1" applyBorder="1" applyAlignment="1">
      <alignment horizontal="right"/>
    </xf>
    <xf numFmtId="0" fontId="53" fillId="4" borderId="1" xfId="0" applyFont="1" applyFill="1" applyBorder="1" applyAlignment="1">
      <alignment horizontal="right"/>
    </xf>
    <xf numFmtId="2" fontId="53" fillId="4" borderId="1" xfId="0" applyNumberFormat="1" applyFont="1" applyFill="1" applyBorder="1" applyAlignment="1">
      <alignment horizontal="right"/>
    </xf>
    <xf numFmtId="1" fontId="53" fillId="4" borderId="1" xfId="0" applyNumberFormat="1" applyFont="1" applyFill="1" applyBorder="1" applyAlignment="1">
      <alignment horizontal="right"/>
    </xf>
    <xf numFmtId="0" fontId="51" fillId="4" borderId="1" xfId="0" applyFont="1" applyFill="1" applyBorder="1" applyAlignment="1">
      <alignment horizontal="right"/>
    </xf>
    <xf numFmtId="2" fontId="51" fillId="4" borderId="1" xfId="0" applyNumberFormat="1" applyFont="1" applyFill="1" applyBorder="1" applyAlignment="1">
      <alignment horizontal="right"/>
    </xf>
    <xf numFmtId="167" fontId="51" fillId="4" borderId="1" xfId="0" applyNumberFormat="1" applyFont="1" applyFill="1" applyBorder="1" applyAlignment="1">
      <alignment horizontal="right"/>
    </xf>
    <xf numFmtId="0" fontId="62" fillId="4" borderId="1" xfId="0" applyFont="1" applyFill="1" applyBorder="1" applyAlignment="1">
      <alignment horizontal="right"/>
    </xf>
    <xf numFmtId="0" fontId="78" fillId="7" borderId="1" xfId="0" quotePrefix="1" applyFont="1" applyFill="1" applyBorder="1" applyAlignment="1">
      <alignment horizontal="right"/>
    </xf>
    <xf numFmtId="0" fontId="78" fillId="7" borderId="1" xfId="0" applyFont="1" applyFill="1" applyBorder="1" applyAlignment="1">
      <alignment horizontal="right"/>
    </xf>
    <xf numFmtId="0" fontId="79" fillId="7" borderId="1" xfId="0" quotePrefix="1" applyFont="1" applyFill="1" applyBorder="1" applyAlignment="1">
      <alignment horizontal="right"/>
    </xf>
    <xf numFmtId="0" fontId="79" fillId="7" borderId="1" xfId="0" applyFont="1" applyFill="1" applyBorder="1" applyAlignment="1">
      <alignment horizontal="right"/>
    </xf>
    <xf numFmtId="0" fontId="60" fillId="4" borderId="1" xfId="0" applyNumberFormat="1" applyFont="1" applyFill="1" applyBorder="1" applyAlignment="1">
      <alignment horizontal="right"/>
    </xf>
    <xf numFmtId="2" fontId="56" fillId="4" borderId="1" xfId="0" applyNumberFormat="1" applyFont="1" applyFill="1" applyBorder="1" applyAlignment="1">
      <alignment horizontal="right"/>
    </xf>
    <xf numFmtId="165" fontId="51" fillId="4" borderId="1" xfId="0" applyNumberFormat="1" applyFont="1" applyFill="1" applyBorder="1" applyAlignment="1">
      <alignment horizontal="right"/>
    </xf>
    <xf numFmtId="0" fontId="53" fillId="7" borderId="1" xfId="0" quotePrefix="1" applyFont="1" applyFill="1" applyBorder="1" applyAlignment="1">
      <alignment horizontal="right"/>
    </xf>
    <xf numFmtId="49" fontId="53" fillId="0" borderId="1" xfId="0" applyNumberFormat="1" applyFont="1" applyBorder="1" applyAlignment="1">
      <alignment horizontal="right"/>
    </xf>
    <xf numFmtId="2" fontId="60" fillId="4" borderId="1" xfId="0" quotePrefix="1" applyNumberFormat="1" applyFont="1" applyFill="1" applyBorder="1" applyAlignment="1">
      <alignment horizontal="right"/>
    </xf>
    <xf numFmtId="0" fontId="51" fillId="5" borderId="1" xfId="0" applyFont="1" applyFill="1" applyBorder="1" applyAlignment="1">
      <alignment horizontal="right"/>
    </xf>
    <xf numFmtId="0" fontId="62" fillId="5" borderId="1" xfId="0" applyFont="1" applyFill="1" applyBorder="1" applyAlignment="1">
      <alignment horizontal="right"/>
    </xf>
    <xf numFmtId="0" fontId="56" fillId="5" borderId="1" xfId="0" applyFont="1" applyFill="1" applyBorder="1" applyAlignment="1">
      <alignment horizontal="right"/>
    </xf>
    <xf numFmtId="0" fontId="52" fillId="5" borderId="1" xfId="0" applyFont="1" applyFill="1" applyBorder="1" applyAlignment="1">
      <alignment horizontal="right"/>
    </xf>
    <xf numFmtId="0" fontId="53" fillId="5" borderId="1" xfId="0" applyFont="1" applyFill="1" applyBorder="1" applyAlignment="1">
      <alignment horizontal="right"/>
    </xf>
    <xf numFmtId="2" fontId="53" fillId="5" borderId="1" xfId="0" applyNumberFormat="1" applyFont="1" applyFill="1" applyBorder="1" applyAlignment="1">
      <alignment horizontal="right"/>
    </xf>
    <xf numFmtId="2" fontId="51" fillId="5" borderId="1" xfId="0" applyNumberFormat="1" applyFont="1" applyFill="1" applyBorder="1" applyAlignment="1">
      <alignment horizontal="right"/>
    </xf>
    <xf numFmtId="0" fontId="60" fillId="5" borderId="1" xfId="0" applyFont="1" applyFill="1" applyBorder="1" applyAlignment="1">
      <alignment horizontal="right"/>
    </xf>
    <xf numFmtId="2" fontId="60" fillId="5" borderId="1" xfId="0" applyNumberFormat="1" applyFont="1" applyFill="1" applyBorder="1" applyAlignment="1">
      <alignment horizontal="right"/>
    </xf>
    <xf numFmtId="0" fontId="80" fillId="7" borderId="1" xfId="0" applyFont="1" applyFill="1" applyBorder="1" applyAlignment="1">
      <alignment horizontal="right"/>
    </xf>
    <xf numFmtId="0" fontId="81" fillId="7" borderId="1" xfId="0" applyFont="1" applyFill="1" applyBorder="1" applyAlignment="1">
      <alignment horizontal="right"/>
    </xf>
    <xf numFmtId="0" fontId="81" fillId="7" borderId="1" xfId="0" quotePrefix="1" applyFont="1" applyFill="1" applyBorder="1" applyAlignment="1">
      <alignment horizontal="right"/>
    </xf>
    <xf numFmtId="2" fontId="51" fillId="5" borderId="1" xfId="0" quotePrefix="1" applyNumberFormat="1" applyFont="1" applyFill="1" applyBorder="1" applyAlignment="1">
      <alignment horizontal="right"/>
    </xf>
    <xf numFmtId="0" fontId="82" fillId="7" borderId="1" xfId="0" applyFont="1" applyFill="1" applyBorder="1" applyAlignment="1">
      <alignment horizontal="right"/>
    </xf>
    <xf numFmtId="167" fontId="51" fillId="5" borderId="1" xfId="0" applyNumberFormat="1" applyFont="1" applyFill="1" applyBorder="1" applyAlignment="1">
      <alignment horizontal="right"/>
    </xf>
    <xf numFmtId="165" fontId="51" fillId="5" borderId="1" xfId="0" applyNumberFormat="1" applyFont="1" applyFill="1" applyBorder="1" applyAlignment="1">
      <alignment horizontal="right"/>
    </xf>
    <xf numFmtId="0" fontId="77" fillId="7" borderId="1" xfId="0" applyFont="1" applyFill="1" applyBorder="1" applyAlignment="1">
      <alignment horizontal="right"/>
    </xf>
    <xf numFmtId="1" fontId="60" fillId="5" borderId="1" xfId="0" applyNumberFormat="1" applyFont="1" applyFill="1" applyBorder="1" applyAlignment="1">
      <alignment horizontal="right"/>
    </xf>
    <xf numFmtId="0" fontId="55" fillId="5" borderId="1" xfId="0" applyFont="1" applyFill="1" applyBorder="1" applyAlignment="1">
      <alignment horizontal="right"/>
    </xf>
    <xf numFmtId="0" fontId="51" fillId="6" borderId="1" xfId="0" applyFont="1" applyFill="1" applyBorder="1" applyAlignment="1">
      <alignment horizontal="right"/>
    </xf>
    <xf numFmtId="0" fontId="54" fillId="6" borderId="1" xfId="0" applyFont="1" applyFill="1" applyBorder="1" applyAlignment="1">
      <alignment horizontal="right"/>
    </xf>
    <xf numFmtId="49" fontId="54" fillId="0" borderId="1" xfId="0" applyNumberFormat="1" applyFont="1" applyBorder="1" applyAlignment="1">
      <alignment horizontal="right"/>
    </xf>
    <xf numFmtId="0" fontId="62" fillId="6" borderId="1" xfId="0" applyFont="1" applyFill="1" applyBorder="1" applyAlignment="1">
      <alignment horizontal="right"/>
    </xf>
    <xf numFmtId="0" fontId="56" fillId="6" borderId="1" xfId="0" applyFont="1" applyFill="1" applyBorder="1" applyAlignment="1">
      <alignment horizontal="right"/>
    </xf>
    <xf numFmtId="0" fontId="58" fillId="6" borderId="1" xfId="0" applyFont="1" applyFill="1" applyBorder="1" applyAlignment="1">
      <alignment horizontal="right"/>
    </xf>
    <xf numFmtId="0" fontId="60" fillId="6" borderId="1" xfId="0" applyFont="1" applyFill="1" applyBorder="1" applyAlignment="1">
      <alignment horizontal="right"/>
    </xf>
    <xf numFmtId="0" fontId="64" fillId="6" borderId="1" xfId="0" applyFont="1" applyFill="1" applyBorder="1" applyAlignment="1">
      <alignment horizontal="right"/>
    </xf>
    <xf numFmtId="0" fontId="52" fillId="6" borderId="1" xfId="0" applyFont="1" applyFill="1" applyBorder="1" applyAlignment="1">
      <alignment horizontal="right"/>
    </xf>
    <xf numFmtId="49" fontId="55" fillId="0" borderId="1" xfId="0" applyNumberFormat="1" applyFont="1" applyBorder="1" applyAlignment="1">
      <alignment horizontal="right"/>
    </xf>
    <xf numFmtId="0" fontId="53" fillId="6" borderId="1" xfId="0" applyFont="1" applyFill="1" applyBorder="1" applyAlignment="1">
      <alignment horizontal="right"/>
    </xf>
    <xf numFmtId="2" fontId="53" fillId="6" borderId="1" xfId="0" applyNumberFormat="1" applyFont="1" applyFill="1" applyBorder="1" applyAlignment="1">
      <alignment horizontal="right"/>
    </xf>
    <xf numFmtId="2" fontId="60" fillId="6" borderId="1" xfId="0" applyNumberFormat="1" applyFont="1" applyFill="1" applyBorder="1" applyAlignment="1">
      <alignment horizontal="right"/>
    </xf>
    <xf numFmtId="2" fontId="75" fillId="7" borderId="1" xfId="0" applyNumberFormat="1" applyFont="1" applyFill="1" applyBorder="1" applyAlignment="1">
      <alignment horizontal="right"/>
    </xf>
    <xf numFmtId="0" fontId="65" fillId="7" borderId="1" xfId="0" applyFont="1" applyFill="1" applyBorder="1" applyAlignment="1">
      <alignment horizontal="right"/>
    </xf>
    <xf numFmtId="0" fontId="65" fillId="7" borderId="1" xfId="0" quotePrefix="1" applyFont="1" applyFill="1" applyBorder="1" applyAlignment="1">
      <alignment horizontal="right"/>
    </xf>
    <xf numFmtId="49" fontId="65" fillId="0" borderId="1" xfId="0" applyNumberFormat="1" applyFont="1" applyBorder="1" applyAlignment="1">
      <alignment horizontal="right"/>
    </xf>
    <xf numFmtId="49" fontId="65" fillId="0" borderId="4" xfId="0" applyNumberFormat="1" applyFont="1" applyBorder="1"/>
    <xf numFmtId="167" fontId="51" fillId="6" borderId="1" xfId="0" applyNumberFormat="1" applyFont="1" applyFill="1" applyBorder="1" applyAlignment="1">
      <alignment horizontal="right"/>
    </xf>
    <xf numFmtId="1" fontId="51" fillId="6" borderId="1" xfId="0" applyNumberFormat="1" applyFont="1" applyFill="1" applyBorder="1" applyAlignment="1">
      <alignment horizontal="right"/>
    </xf>
    <xf numFmtId="0" fontId="51" fillId="6" borderId="1" xfId="0" applyNumberFormat="1" applyFont="1" applyFill="1" applyBorder="1" applyAlignment="1">
      <alignment horizontal="right"/>
    </xf>
    <xf numFmtId="2" fontId="51" fillId="6" borderId="1" xfId="0" applyNumberFormat="1" applyFont="1" applyFill="1" applyBorder="1" applyAlignment="1">
      <alignment horizontal="right"/>
    </xf>
    <xf numFmtId="2" fontId="51" fillId="6" borderId="1" xfId="0" quotePrefix="1" applyNumberFormat="1" applyFont="1" applyFill="1" applyBorder="1" applyAlignment="1">
      <alignment horizontal="right"/>
    </xf>
    <xf numFmtId="0" fontId="80" fillId="7" borderId="1" xfId="0" quotePrefix="1" applyFont="1" applyFill="1" applyBorder="1" applyAlignment="1">
      <alignment horizontal="right"/>
    </xf>
    <xf numFmtId="165" fontId="51" fillId="6" borderId="1" xfId="0" applyNumberFormat="1" applyFont="1" applyFill="1" applyBorder="1" applyAlignment="1">
      <alignment horizontal="right"/>
    </xf>
    <xf numFmtId="49" fontId="64" fillId="0" borderId="1" xfId="0" applyNumberFormat="1" applyFont="1" applyBorder="1" applyAlignment="1">
      <alignment horizontal="right"/>
    </xf>
    <xf numFmtId="0" fontId="83" fillId="7" borderId="1" xfId="0" applyFont="1" applyFill="1" applyBorder="1" applyAlignment="1">
      <alignment horizontal="right"/>
    </xf>
    <xf numFmtId="0" fontId="62" fillId="8" borderId="1" xfId="0" applyFont="1" applyFill="1" applyBorder="1" applyAlignment="1">
      <alignment horizontal="right"/>
    </xf>
    <xf numFmtId="0" fontId="51" fillId="8" borderId="1" xfId="0" applyFont="1" applyFill="1" applyBorder="1" applyAlignment="1">
      <alignment horizontal="right"/>
    </xf>
    <xf numFmtId="0" fontId="51" fillId="8" borderId="1" xfId="0" applyNumberFormat="1" applyFont="1" applyFill="1" applyBorder="1" applyAlignment="1">
      <alignment horizontal="right"/>
    </xf>
    <xf numFmtId="0" fontId="60" fillId="8" borderId="1" xfId="0" applyFont="1" applyFill="1" applyBorder="1" applyAlignment="1">
      <alignment horizontal="right"/>
    </xf>
    <xf numFmtId="0" fontId="52" fillId="8" borderId="1" xfId="0" applyFont="1" applyFill="1" applyBorder="1" applyAlignment="1">
      <alignment horizontal="right"/>
    </xf>
    <xf numFmtId="0" fontId="56" fillId="8" borderId="1" xfId="0" applyFont="1" applyFill="1" applyBorder="1" applyAlignment="1">
      <alignment horizontal="right"/>
    </xf>
    <xf numFmtId="0" fontId="53" fillId="8" borderId="1" xfId="0" applyFont="1" applyFill="1" applyBorder="1" applyAlignment="1">
      <alignment horizontal="right"/>
    </xf>
    <xf numFmtId="2" fontId="53" fillId="8" borderId="1" xfId="0" applyNumberFormat="1" applyFont="1" applyFill="1" applyBorder="1" applyAlignment="1">
      <alignment horizontal="right"/>
    </xf>
    <xf numFmtId="2" fontId="60" fillId="8" borderId="1" xfId="0" applyNumberFormat="1" applyFont="1" applyFill="1" applyBorder="1" applyAlignment="1">
      <alignment horizontal="right"/>
    </xf>
    <xf numFmtId="2" fontId="51" fillId="8" borderId="1" xfId="0" applyNumberFormat="1" applyFont="1" applyFill="1" applyBorder="1" applyAlignment="1">
      <alignment horizontal="right"/>
    </xf>
    <xf numFmtId="0" fontId="62" fillId="9" borderId="1" xfId="0" applyFont="1" applyFill="1" applyBorder="1" applyAlignment="1">
      <alignment horizontal="right"/>
    </xf>
    <xf numFmtId="0" fontId="60" fillId="9" borderId="1" xfId="0" applyFont="1" applyFill="1" applyBorder="1" applyAlignment="1">
      <alignment horizontal="right"/>
    </xf>
    <xf numFmtId="0" fontId="52" fillId="9" borderId="1" xfId="0" applyFont="1" applyFill="1" applyBorder="1" applyAlignment="1">
      <alignment horizontal="right"/>
    </xf>
    <xf numFmtId="0" fontId="53" fillId="9" borderId="1" xfId="0" applyFont="1" applyFill="1" applyBorder="1" applyAlignment="1">
      <alignment horizontal="right"/>
    </xf>
    <xf numFmtId="0" fontId="56" fillId="9" borderId="1" xfId="0" applyFont="1" applyFill="1" applyBorder="1" applyAlignment="1">
      <alignment horizontal="right"/>
    </xf>
    <xf numFmtId="0" fontId="53" fillId="9" borderId="1" xfId="0" applyNumberFormat="1" applyFont="1" applyFill="1" applyBorder="1" applyAlignment="1">
      <alignment horizontal="right"/>
    </xf>
    <xf numFmtId="0" fontId="51" fillId="9" borderId="1" xfId="0" applyFont="1" applyFill="1" applyBorder="1" applyAlignment="1">
      <alignment horizontal="right"/>
    </xf>
    <xf numFmtId="2" fontId="60" fillId="9" borderId="1" xfId="0" applyNumberFormat="1" applyFont="1" applyFill="1" applyBorder="1" applyAlignment="1">
      <alignment horizontal="right"/>
    </xf>
    <xf numFmtId="0" fontId="60" fillId="9" borderId="1" xfId="0" applyNumberFormat="1" applyFont="1" applyFill="1" applyBorder="1" applyAlignment="1">
      <alignment horizontal="right"/>
    </xf>
    <xf numFmtId="2" fontId="53" fillId="9" borderId="1" xfId="0" applyNumberFormat="1" applyFont="1" applyFill="1" applyBorder="1" applyAlignment="1">
      <alignment horizontal="right"/>
    </xf>
    <xf numFmtId="1" fontId="60" fillId="9" borderId="1" xfId="0" applyNumberFormat="1" applyFont="1" applyFill="1" applyBorder="1" applyAlignment="1">
      <alignment horizontal="right"/>
    </xf>
    <xf numFmtId="0" fontId="64" fillId="9" borderId="1" xfId="0" applyFont="1" applyFill="1" applyBorder="1" applyAlignment="1">
      <alignment horizontal="right"/>
    </xf>
    <xf numFmtId="2" fontId="83" fillId="7" borderId="1" xfId="0" applyNumberFormat="1" applyFont="1" applyFill="1" applyBorder="1" applyAlignment="1">
      <alignment horizontal="right"/>
    </xf>
    <xf numFmtId="0" fontId="84" fillId="7" borderId="1" xfId="0" applyFont="1" applyFill="1" applyBorder="1" applyAlignment="1">
      <alignment horizontal="right"/>
    </xf>
    <xf numFmtId="0" fontId="84" fillId="7" borderId="1" xfId="0" quotePrefix="1" applyFont="1" applyFill="1" applyBorder="1" applyAlignment="1">
      <alignment horizontal="right"/>
    </xf>
    <xf numFmtId="2" fontId="51" fillId="9" borderId="1" xfId="0" applyNumberFormat="1" applyFont="1" applyFill="1" applyBorder="1" applyAlignment="1">
      <alignment horizontal="right"/>
    </xf>
    <xf numFmtId="0" fontId="55" fillId="9" borderId="1" xfId="0" applyFont="1" applyFill="1" applyBorder="1" applyAlignment="1">
      <alignment horizontal="right"/>
    </xf>
    <xf numFmtId="0" fontId="62" fillId="10" borderId="1" xfId="0" applyFont="1" applyFill="1" applyBorder="1" applyAlignment="1">
      <alignment horizontal="right"/>
    </xf>
    <xf numFmtId="0" fontId="60" fillId="10" borderId="1" xfId="0" applyFont="1" applyFill="1" applyBorder="1" applyAlignment="1">
      <alignment horizontal="right"/>
    </xf>
    <xf numFmtId="1" fontId="60" fillId="10" borderId="1" xfId="0" applyNumberFormat="1" applyFont="1" applyFill="1" applyBorder="1" applyAlignment="1">
      <alignment horizontal="right"/>
    </xf>
    <xf numFmtId="0" fontId="51" fillId="10" borderId="1" xfId="0" applyFont="1" applyFill="1" applyBorder="1" applyAlignment="1">
      <alignment horizontal="right"/>
    </xf>
    <xf numFmtId="2" fontId="60" fillId="10" borderId="1" xfId="0" applyNumberFormat="1" applyFont="1" applyFill="1" applyBorder="1" applyAlignment="1">
      <alignment horizontal="right"/>
    </xf>
    <xf numFmtId="0" fontId="56" fillId="10" borderId="1" xfId="0" applyFont="1" applyFill="1" applyBorder="1" applyAlignment="1">
      <alignment horizontal="right"/>
    </xf>
    <xf numFmtId="2" fontId="56" fillId="10" borderId="1" xfId="0" applyNumberFormat="1" applyFont="1" applyFill="1" applyBorder="1" applyAlignment="1">
      <alignment horizontal="right"/>
    </xf>
    <xf numFmtId="2" fontId="51" fillId="10" borderId="1" xfId="0" applyNumberFormat="1" applyFont="1" applyFill="1" applyBorder="1" applyAlignment="1">
      <alignment horizontal="right"/>
    </xf>
    <xf numFmtId="0" fontId="53" fillId="10" borderId="1" xfId="0" applyFont="1" applyFill="1" applyBorder="1" applyAlignment="1">
      <alignment horizontal="right"/>
    </xf>
    <xf numFmtId="1" fontId="53" fillId="10" borderId="1" xfId="0" applyNumberFormat="1" applyFont="1" applyFill="1" applyBorder="1" applyAlignment="1">
      <alignment horizontal="right"/>
    </xf>
    <xf numFmtId="2" fontId="53" fillId="10" borderId="1" xfId="0" applyNumberFormat="1" applyFont="1" applyFill="1" applyBorder="1" applyAlignment="1">
      <alignment horizontal="right"/>
    </xf>
    <xf numFmtId="0" fontId="56" fillId="10" borderId="1" xfId="0" applyNumberFormat="1" applyFont="1" applyFill="1" applyBorder="1" applyAlignment="1">
      <alignment horizontal="right"/>
    </xf>
    <xf numFmtId="0" fontId="52" fillId="10" borderId="1" xfId="0" applyFont="1" applyFill="1" applyBorder="1" applyAlignment="1">
      <alignment horizontal="right"/>
    </xf>
    <xf numFmtId="167" fontId="74" fillId="7" borderId="1" xfId="0" applyNumberFormat="1" applyFont="1" applyFill="1" applyBorder="1" applyAlignment="1">
      <alignment horizontal="right"/>
    </xf>
    <xf numFmtId="0" fontId="64" fillId="10" borderId="1" xfId="0" applyFont="1" applyFill="1" applyBorder="1" applyAlignment="1">
      <alignment horizontal="right"/>
    </xf>
    <xf numFmtId="0" fontId="72" fillId="7" borderId="1" xfId="0" applyFont="1" applyFill="1" applyBorder="1" applyAlignment="1">
      <alignment horizontal="right"/>
    </xf>
    <xf numFmtId="0" fontId="72" fillId="7" borderId="1" xfId="0" quotePrefix="1" applyFont="1" applyFill="1" applyBorder="1" applyAlignment="1">
      <alignment horizontal="right"/>
    </xf>
    <xf numFmtId="167" fontId="72" fillId="7" borderId="1" xfId="0" applyNumberFormat="1" applyFont="1" applyFill="1" applyBorder="1" applyAlignment="1">
      <alignment horizontal="right"/>
    </xf>
    <xf numFmtId="2" fontId="76" fillId="7" borderId="1" xfId="0" applyNumberFormat="1" applyFont="1" applyFill="1" applyBorder="1" applyAlignment="1">
      <alignment horizontal="right"/>
    </xf>
    <xf numFmtId="0" fontId="63" fillId="7" borderId="1" xfId="0" applyFont="1" applyFill="1" applyBorder="1" applyAlignment="1">
      <alignment horizontal="right"/>
    </xf>
    <xf numFmtId="167" fontId="63" fillId="7" borderId="1" xfId="0" applyNumberFormat="1" applyFont="1" applyFill="1" applyBorder="1" applyAlignment="1">
      <alignment horizontal="right"/>
    </xf>
    <xf numFmtId="49" fontId="63" fillId="0" borderId="1" xfId="0" applyNumberFormat="1" applyFont="1" applyBorder="1" applyAlignment="1">
      <alignment horizontal="right"/>
    </xf>
    <xf numFmtId="49" fontId="63" fillId="0" borderId="4" xfId="0" applyNumberFormat="1" applyFont="1" applyBorder="1"/>
    <xf numFmtId="0" fontId="76" fillId="15" borderId="1" xfId="0" applyFont="1" applyFill="1" applyBorder="1" applyAlignment="1">
      <alignment horizontal="right"/>
    </xf>
    <xf numFmtId="0" fontId="74" fillId="15" borderId="1" xfId="0" quotePrefix="1" applyFont="1" applyFill="1" applyBorder="1" applyAlignment="1">
      <alignment horizontal="right"/>
    </xf>
    <xf numFmtId="0" fontId="74" fillId="15" borderId="1" xfId="0" applyFont="1" applyFill="1" applyBorder="1" applyAlignment="1">
      <alignment horizontal="right"/>
    </xf>
    <xf numFmtId="0" fontId="80" fillId="15" borderId="1" xfId="0" applyFont="1" applyFill="1" applyBorder="1" applyAlignment="1">
      <alignment horizontal="right"/>
    </xf>
    <xf numFmtId="2" fontId="74" fillId="7" borderId="1" xfId="0" applyNumberFormat="1" applyFont="1" applyFill="1" applyBorder="1" applyAlignment="1">
      <alignment horizontal="right"/>
    </xf>
    <xf numFmtId="0" fontId="86" fillId="19" borderId="1" xfId="0" applyFont="1" applyFill="1" applyBorder="1" applyAlignment="1">
      <alignment horizontal="right"/>
    </xf>
    <xf numFmtId="0" fontId="51" fillId="20" borderId="1" xfId="0" applyFont="1" applyFill="1" applyBorder="1" applyAlignment="1">
      <alignment horizontal="right"/>
    </xf>
    <xf numFmtId="0" fontId="62" fillId="11" borderId="1" xfId="0" applyFont="1" applyFill="1" applyBorder="1" applyAlignment="1">
      <alignment horizontal="right"/>
    </xf>
    <xf numFmtId="0" fontId="52" fillId="11" borderId="1" xfId="0" applyFont="1" applyFill="1" applyBorder="1" applyAlignment="1">
      <alignment horizontal="right"/>
    </xf>
    <xf numFmtId="0" fontId="53" fillId="11" borderId="1" xfId="0" applyFont="1" applyFill="1" applyBorder="1" applyAlignment="1">
      <alignment horizontal="right"/>
    </xf>
    <xf numFmtId="0" fontId="60" fillId="11" borderId="1" xfId="0" applyFont="1" applyFill="1" applyBorder="1" applyAlignment="1">
      <alignment horizontal="right"/>
    </xf>
    <xf numFmtId="0" fontId="56" fillId="11" borderId="1" xfId="0" applyFont="1" applyFill="1" applyBorder="1" applyAlignment="1">
      <alignment horizontal="right"/>
    </xf>
    <xf numFmtId="0" fontId="51" fillId="11" borderId="1" xfId="0" applyFont="1" applyFill="1" applyBorder="1" applyAlignment="1">
      <alignment horizontal="right"/>
    </xf>
    <xf numFmtId="2" fontId="60" fillId="11" borderId="1" xfId="0" applyNumberFormat="1" applyFont="1" applyFill="1" applyBorder="1" applyAlignment="1">
      <alignment horizontal="right"/>
    </xf>
    <xf numFmtId="1" fontId="60" fillId="11" borderId="1" xfId="0" applyNumberFormat="1" applyFont="1" applyFill="1" applyBorder="1" applyAlignment="1">
      <alignment horizontal="right"/>
    </xf>
    <xf numFmtId="2" fontId="53" fillId="11" borderId="1" xfId="0" applyNumberFormat="1" applyFont="1" applyFill="1" applyBorder="1" applyAlignment="1">
      <alignment horizontal="right"/>
    </xf>
    <xf numFmtId="2" fontId="51" fillId="11" borderId="1" xfId="0" applyNumberFormat="1" applyFont="1" applyFill="1" applyBorder="1" applyAlignment="1">
      <alignment horizontal="right"/>
    </xf>
    <xf numFmtId="0" fontId="68" fillId="7" borderId="1" xfId="0" applyFont="1" applyFill="1" applyBorder="1" applyAlignment="1">
      <alignment horizontal="right"/>
    </xf>
    <xf numFmtId="0" fontId="68" fillId="7" borderId="1" xfId="0" quotePrefix="1" applyFont="1" applyFill="1" applyBorder="1" applyAlignment="1">
      <alignment horizontal="right"/>
    </xf>
    <xf numFmtId="49" fontId="68" fillId="0" borderId="1" xfId="0" applyNumberFormat="1" applyFont="1" applyBorder="1" applyAlignment="1">
      <alignment horizontal="right"/>
    </xf>
    <xf numFmtId="167" fontId="56" fillId="11" borderId="1" xfId="0" applyNumberFormat="1" applyFont="1" applyFill="1" applyBorder="1" applyAlignment="1">
      <alignment horizontal="right"/>
    </xf>
    <xf numFmtId="2" fontId="56" fillId="11" borderId="1" xfId="0" applyNumberFormat="1" applyFont="1" applyFill="1" applyBorder="1" applyAlignment="1">
      <alignment horizontal="right"/>
    </xf>
    <xf numFmtId="0" fontId="73" fillId="11" borderId="1" xfId="0" applyFont="1" applyFill="1" applyBorder="1" applyAlignment="1">
      <alignment horizontal="right"/>
    </xf>
    <xf numFmtId="0" fontId="57" fillId="17" borderId="1" xfId="0" applyFont="1" applyFill="1" applyBorder="1" applyAlignment="1">
      <alignment horizontal="right"/>
    </xf>
    <xf numFmtId="0" fontId="87" fillId="17" borderId="1" xfId="0" applyFont="1" applyFill="1" applyBorder="1" applyAlignment="1">
      <alignment horizontal="right"/>
    </xf>
    <xf numFmtId="0" fontId="68" fillId="17" borderId="1" xfId="0" applyFont="1" applyFill="1" applyBorder="1" applyAlignment="1">
      <alignment horizontal="right"/>
    </xf>
    <xf numFmtId="0" fontId="86" fillId="17" borderId="1" xfId="0" applyFont="1" applyFill="1" applyBorder="1" applyAlignment="1">
      <alignment horizontal="right"/>
    </xf>
    <xf numFmtId="0" fontId="88" fillId="7" borderId="1" xfId="0" applyFont="1" applyFill="1" applyBorder="1" applyAlignment="1">
      <alignment horizontal="right"/>
    </xf>
    <xf numFmtId="0" fontId="88" fillId="7" borderId="1" xfId="0" quotePrefix="1" applyFont="1" applyFill="1" applyBorder="1" applyAlignment="1">
      <alignment horizontal="right"/>
    </xf>
    <xf numFmtId="0" fontId="62" fillId="12" borderId="1" xfId="0" applyFont="1" applyFill="1" applyBorder="1" applyAlignment="1">
      <alignment horizontal="right"/>
    </xf>
    <xf numFmtId="0" fontId="60" fillId="12" borderId="1" xfId="0" applyFont="1" applyFill="1" applyBorder="1" applyAlignment="1">
      <alignment horizontal="right"/>
    </xf>
    <xf numFmtId="0" fontId="51" fillId="12" borderId="1" xfId="0" applyFont="1" applyFill="1" applyBorder="1" applyAlignment="1">
      <alignment horizontal="right"/>
    </xf>
    <xf numFmtId="0" fontId="53" fillId="12" borderId="1" xfId="0" applyFont="1" applyFill="1" applyBorder="1" applyAlignment="1">
      <alignment horizontal="right"/>
    </xf>
    <xf numFmtId="0" fontId="56" fillId="12" borderId="1" xfId="0" applyFont="1" applyFill="1" applyBorder="1" applyAlignment="1">
      <alignment horizontal="right"/>
    </xf>
    <xf numFmtId="0" fontId="52" fillId="12" borderId="1" xfId="0" applyFont="1" applyFill="1" applyBorder="1" applyAlignment="1">
      <alignment horizontal="right"/>
    </xf>
    <xf numFmtId="0" fontId="83" fillId="7" borderId="1" xfId="0" quotePrefix="1" applyFont="1" applyFill="1" applyBorder="1" applyAlignment="1">
      <alignment horizontal="right"/>
    </xf>
    <xf numFmtId="167" fontId="83" fillId="7" borderId="1" xfId="0" applyNumberFormat="1" applyFont="1" applyFill="1" applyBorder="1" applyAlignment="1">
      <alignment horizontal="right"/>
    </xf>
    <xf numFmtId="0" fontId="64" fillId="13" borderId="1" xfId="0" applyFont="1" applyFill="1" applyBorder="1" applyAlignment="1">
      <alignment horizontal="right"/>
    </xf>
    <xf numFmtId="0" fontId="62" fillId="13" borderId="1" xfId="0" applyFont="1" applyFill="1" applyBorder="1" applyAlignment="1">
      <alignment horizontal="right"/>
    </xf>
    <xf numFmtId="0" fontId="60" fillId="13" borderId="1" xfId="0" applyFont="1" applyFill="1" applyBorder="1" applyAlignment="1">
      <alignment horizontal="right"/>
    </xf>
    <xf numFmtId="0" fontId="58" fillId="13" borderId="1" xfId="0" applyFont="1" applyFill="1" applyBorder="1" applyAlignment="1">
      <alignment horizontal="right"/>
    </xf>
    <xf numFmtId="49" fontId="58" fillId="0" borderId="1" xfId="0" applyNumberFormat="1" applyFont="1" applyBorder="1" applyAlignment="1">
      <alignment horizontal="right"/>
    </xf>
    <xf numFmtId="0" fontId="56" fillId="13" borderId="1" xfId="0" applyFont="1" applyFill="1" applyBorder="1" applyAlignment="1">
      <alignment horizontal="right"/>
    </xf>
    <xf numFmtId="0" fontId="52" fillId="13" borderId="1" xfId="0" applyFont="1" applyFill="1" applyBorder="1" applyAlignment="1">
      <alignment horizontal="right"/>
    </xf>
    <xf numFmtId="0" fontId="51" fillId="13" borderId="1" xfId="0" applyFont="1" applyFill="1" applyBorder="1" applyAlignment="1">
      <alignment horizontal="right"/>
    </xf>
    <xf numFmtId="0" fontId="55" fillId="13" borderId="1" xfId="0" applyFont="1" applyFill="1" applyBorder="1" applyAlignment="1">
      <alignment horizontal="right"/>
    </xf>
    <xf numFmtId="2" fontId="60" fillId="13" borderId="1" xfId="0" applyNumberFormat="1" applyFont="1" applyFill="1" applyBorder="1" applyAlignment="1">
      <alignment horizontal="right"/>
    </xf>
    <xf numFmtId="0" fontId="53" fillId="13" borderId="1" xfId="0" applyFont="1" applyFill="1" applyBorder="1" applyAlignment="1">
      <alignment horizontal="right"/>
    </xf>
    <xf numFmtId="0" fontId="64" fillId="7" borderId="1" xfId="0" applyFont="1" applyFill="1" applyBorder="1" applyAlignment="1">
      <alignment horizontal="right"/>
    </xf>
    <xf numFmtId="2" fontId="72" fillId="7" borderId="1" xfId="0" applyNumberFormat="1" applyFont="1" applyFill="1" applyBorder="1" applyAlignment="1">
      <alignment horizontal="right"/>
    </xf>
    <xf numFmtId="2" fontId="72" fillId="7" borderId="1" xfId="0" quotePrefix="1" applyNumberFormat="1" applyFont="1" applyFill="1" applyBorder="1" applyAlignment="1">
      <alignment horizontal="right"/>
    </xf>
    <xf numFmtId="0" fontId="62" fillId="14" borderId="1" xfId="0" applyFont="1" applyFill="1" applyBorder="1" applyAlignment="1">
      <alignment horizontal="right"/>
    </xf>
    <xf numFmtId="0" fontId="64" fillId="14" borderId="1" xfId="0" applyFont="1" applyFill="1" applyBorder="1" applyAlignment="1">
      <alignment horizontal="right"/>
    </xf>
    <xf numFmtId="0" fontId="56" fillId="14" borderId="1" xfId="0" applyFont="1" applyFill="1" applyBorder="1" applyAlignment="1">
      <alignment horizontal="right"/>
    </xf>
    <xf numFmtId="0" fontId="52" fillId="14" borderId="1" xfId="0" applyFont="1" applyFill="1" applyBorder="1" applyAlignment="1">
      <alignment horizontal="right"/>
    </xf>
    <xf numFmtId="0" fontId="4" fillId="14" borderId="1" xfId="0" applyFont="1" applyFill="1" applyBorder="1" applyAlignment="1">
      <alignment horizontal="right"/>
    </xf>
    <xf numFmtId="0" fontId="51" fillId="14" borderId="1" xfId="0" applyFont="1" applyFill="1" applyBorder="1" applyAlignment="1">
      <alignment horizontal="right"/>
    </xf>
    <xf numFmtId="0" fontId="60" fillId="14" borderId="1" xfId="0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0" fontId="58" fillId="14" borderId="1" xfId="0" applyFont="1" applyFill="1" applyBorder="1" applyAlignment="1">
      <alignment horizontal="right"/>
    </xf>
    <xf numFmtId="2" fontId="56" fillId="14" borderId="1" xfId="0" applyNumberFormat="1" applyFont="1" applyFill="1" applyBorder="1" applyAlignment="1">
      <alignment horizontal="right"/>
    </xf>
    <xf numFmtId="0" fontId="83" fillId="7" borderId="1" xfId="0" applyNumberFormat="1" applyFont="1" applyFill="1" applyBorder="1" applyAlignment="1">
      <alignment horizontal="right"/>
    </xf>
    <xf numFmtId="0" fontId="59" fillId="14" borderId="1" xfId="0" applyFont="1" applyFill="1" applyBorder="1" applyAlignment="1">
      <alignment horizontal="right"/>
    </xf>
    <xf numFmtId="0" fontId="53" fillId="14" borderId="1" xfId="0" applyFont="1" applyFill="1" applyBorder="1" applyAlignment="1">
      <alignment horizontal="right"/>
    </xf>
    <xf numFmtId="0" fontId="73" fillId="14" borderId="1" xfId="0" applyFont="1" applyFill="1" applyBorder="1" applyAlignment="1">
      <alignment horizontal="right"/>
    </xf>
    <xf numFmtId="0" fontId="62" fillId="18" borderId="1" xfId="0" applyFont="1" applyFill="1" applyBorder="1" applyAlignment="1">
      <alignment horizontal="right"/>
    </xf>
    <xf numFmtId="0" fontId="60" fillId="18" borderId="1" xfId="0" applyFont="1" applyFill="1" applyBorder="1" applyAlignment="1">
      <alignment horizontal="right"/>
    </xf>
    <xf numFmtId="2" fontId="60" fillId="18" borderId="1" xfId="0" applyNumberFormat="1" applyFont="1" applyFill="1" applyBorder="1" applyAlignment="1">
      <alignment horizontal="right"/>
    </xf>
    <xf numFmtId="0" fontId="56" fillId="18" borderId="1" xfId="0" applyFont="1" applyFill="1" applyBorder="1" applyAlignment="1">
      <alignment horizontal="right"/>
    </xf>
    <xf numFmtId="0" fontId="52" fillId="18" borderId="1" xfId="0" applyFont="1" applyFill="1" applyBorder="1" applyAlignment="1">
      <alignment horizontal="right"/>
    </xf>
    <xf numFmtId="0" fontId="53" fillId="18" borderId="1" xfId="0" applyFont="1" applyFill="1" applyBorder="1" applyAlignment="1">
      <alignment horizontal="right"/>
    </xf>
    <xf numFmtId="0" fontId="64" fillId="18" borderId="1" xfId="0" applyFont="1" applyFill="1" applyBorder="1" applyAlignment="1">
      <alignment horizontal="right"/>
    </xf>
    <xf numFmtId="167" fontId="62" fillId="18" borderId="1" xfId="0" applyNumberFormat="1" applyFont="1" applyFill="1" applyBorder="1" applyAlignment="1">
      <alignment horizontal="right"/>
    </xf>
    <xf numFmtId="0" fontId="89" fillId="18" borderId="1" xfId="0" applyFont="1" applyFill="1" applyBorder="1" applyAlignment="1">
      <alignment horizontal="right"/>
    </xf>
    <xf numFmtId="0" fontId="4" fillId="18" borderId="1" xfId="0" applyFont="1" applyFill="1" applyBorder="1" applyAlignment="1">
      <alignment horizontal="right"/>
    </xf>
    <xf numFmtId="0" fontId="60" fillId="21" borderId="1" xfId="0" applyFont="1" applyFill="1" applyBorder="1" applyAlignment="1">
      <alignment horizontal="right"/>
    </xf>
    <xf numFmtId="1" fontId="74" fillId="7" borderId="1" xfId="0" applyNumberFormat="1" applyFont="1" applyFill="1" applyBorder="1" applyAlignment="1">
      <alignment horizontal="right"/>
    </xf>
    <xf numFmtId="0" fontId="60" fillId="0" borderId="4" xfId="0" quotePrefix="1" applyFont="1" applyBorder="1"/>
    <xf numFmtId="0" fontId="56" fillId="21" borderId="1" xfId="0" applyFont="1" applyFill="1" applyBorder="1" applyAlignment="1">
      <alignment horizontal="right"/>
    </xf>
    <xf numFmtId="1" fontId="53" fillId="6" borderId="1" xfId="0" applyNumberFormat="1" applyFont="1" applyFill="1" applyBorder="1" applyAlignment="1">
      <alignment horizontal="right"/>
    </xf>
    <xf numFmtId="0" fontId="90" fillId="0" borderId="0" xfId="0" applyFont="1"/>
    <xf numFmtId="0" fontId="90" fillId="0" borderId="0" xfId="0" applyFont="1" applyAlignment="1">
      <alignment horizontal="left"/>
    </xf>
    <xf numFmtId="0" fontId="11" fillId="2" borderId="9" xfId="0" applyFont="1" applyFill="1" applyBorder="1" applyAlignment="1">
      <alignment wrapText="1"/>
    </xf>
    <xf numFmtId="0" fontId="51" fillId="0" borderId="9" xfId="0" applyFont="1" applyBorder="1" applyAlignment="1">
      <alignment wrapText="1"/>
    </xf>
    <xf numFmtId="0" fontId="60" fillId="0" borderId="9" xfId="0" applyFont="1" applyBorder="1"/>
    <xf numFmtId="0" fontId="56" fillId="0" borderId="9" xfId="0" applyFont="1" applyBorder="1"/>
    <xf numFmtId="49" fontId="51" fillId="0" borderId="9" xfId="0" applyNumberFormat="1" applyFont="1" applyBorder="1"/>
    <xf numFmtId="49" fontId="52" fillId="0" borderId="9" xfId="0" applyNumberFormat="1" applyFont="1" applyBorder="1"/>
    <xf numFmtId="0" fontId="53" fillId="0" borderId="9" xfId="0" applyFont="1" applyBorder="1"/>
    <xf numFmtId="0" fontId="62" fillId="0" borderId="9" xfId="0" applyFont="1" applyBorder="1" applyAlignment="1">
      <alignment wrapText="1"/>
    </xf>
    <xf numFmtId="49" fontId="62" fillId="0" borderId="9" xfId="0" applyNumberFormat="1" applyFont="1" applyBorder="1"/>
    <xf numFmtId="0" fontId="61" fillId="0" borderId="9" xfId="0" applyFont="1" applyBorder="1" applyAlignment="1">
      <alignment wrapText="1"/>
    </xf>
    <xf numFmtId="0" fontId="56" fillId="0" borderId="9" xfId="0" applyFont="1" applyBorder="1" applyAlignment="1">
      <alignment wrapText="1"/>
    </xf>
    <xf numFmtId="0" fontId="52" fillId="0" borderId="9" xfId="0" applyFont="1" applyBorder="1" applyAlignment="1">
      <alignment wrapText="1"/>
    </xf>
    <xf numFmtId="0" fontId="53" fillId="0" borderId="9" xfId="0" quotePrefix="1" applyFont="1" applyBorder="1"/>
    <xf numFmtId="49" fontId="60" fillId="0" borderId="9" xfId="0" applyNumberFormat="1" applyFont="1" applyBorder="1"/>
    <xf numFmtId="49" fontId="56" fillId="0" borderId="9" xfId="0" applyNumberFormat="1" applyFont="1" applyBorder="1"/>
    <xf numFmtId="0" fontId="52" fillId="0" borderId="9" xfId="0" applyFont="1" applyBorder="1"/>
    <xf numFmtId="0" fontId="54" fillId="0" borderId="9" xfId="0" applyFont="1" applyBorder="1"/>
    <xf numFmtId="0" fontId="56" fillId="0" borderId="9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49" fontId="53" fillId="0" borderId="9" xfId="0" applyNumberFormat="1" applyFont="1" applyBorder="1"/>
    <xf numFmtId="0" fontId="55" fillId="0" borderId="9" xfId="0" applyFont="1" applyBorder="1"/>
    <xf numFmtId="49" fontId="54" fillId="0" borderId="9" xfId="0" applyNumberFormat="1" applyFont="1" applyBorder="1"/>
    <xf numFmtId="49" fontId="55" fillId="0" borderId="9" xfId="0" applyNumberFormat="1" applyFont="1" applyBorder="1"/>
    <xf numFmtId="0" fontId="65" fillId="0" borderId="9" xfId="0" applyFont="1" applyBorder="1" applyAlignment="1">
      <alignment wrapText="1"/>
    </xf>
    <xf numFmtId="49" fontId="64" fillId="0" borderId="9" xfId="0" applyNumberFormat="1" applyFont="1" applyBorder="1"/>
    <xf numFmtId="49" fontId="51" fillId="0" borderId="9" xfId="0" quotePrefix="1" applyNumberFormat="1" applyFont="1" applyBorder="1"/>
    <xf numFmtId="0" fontId="53" fillId="0" borderId="9" xfId="0" applyFont="1" applyBorder="1" applyAlignment="1">
      <alignment wrapText="1"/>
    </xf>
    <xf numFmtId="0" fontId="55" fillId="0" borderId="9" xfId="0" applyFont="1" applyBorder="1" applyAlignment="1">
      <alignment wrapText="1"/>
    </xf>
    <xf numFmtId="1" fontId="51" fillId="0" borderId="9" xfId="0" applyNumberFormat="1" applyFont="1" applyBorder="1" applyAlignment="1">
      <alignment horizontal="left"/>
    </xf>
    <xf numFmtId="0" fontId="64" fillId="0" borderId="9" xfId="0" applyFont="1" applyBorder="1" applyAlignment="1">
      <alignment wrapText="1"/>
    </xf>
    <xf numFmtId="49" fontId="52" fillId="0" borderId="9" xfId="0" applyNumberFormat="1" applyFont="1" applyBorder="1" applyAlignment="1">
      <alignment wrapText="1"/>
    </xf>
    <xf numFmtId="0" fontId="63" fillId="0" borderId="9" xfId="0" applyFont="1" applyBorder="1" applyAlignment="1">
      <alignment wrapText="1"/>
    </xf>
    <xf numFmtId="49" fontId="63" fillId="0" borderId="9" xfId="0" applyNumberFormat="1" applyFont="1" applyBorder="1" applyAlignment="1">
      <alignment wrapText="1"/>
    </xf>
    <xf numFmtId="49" fontId="68" fillId="0" borderId="9" xfId="0" applyNumberFormat="1" applyFont="1" applyBorder="1"/>
    <xf numFmtId="0" fontId="60" fillId="0" borderId="9" xfId="0" applyFont="1" applyBorder="1" applyAlignment="1">
      <alignment wrapText="1"/>
    </xf>
    <xf numFmtId="49" fontId="58" fillId="0" borderId="9" xfId="0" applyNumberFormat="1" applyFont="1" applyBorder="1"/>
    <xf numFmtId="49" fontId="62" fillId="0" borderId="9" xfId="0" applyNumberFormat="1" applyFont="1" applyBorder="1" applyAlignment="1">
      <alignment wrapText="1"/>
    </xf>
    <xf numFmtId="49" fontId="4" fillId="0" borderId="9" xfId="0" applyNumberFormat="1" applyFont="1" applyBorder="1"/>
    <xf numFmtId="0" fontId="4" fillId="0" borderId="9" xfId="0" applyFont="1" applyBorder="1"/>
    <xf numFmtId="0" fontId="59" fillId="0" borderId="9" xfId="0" applyFont="1" applyBorder="1"/>
    <xf numFmtId="0" fontId="51" fillId="0" borderId="9" xfId="0" applyFont="1" applyBorder="1"/>
    <xf numFmtId="0" fontId="57" fillId="0" borderId="9" xfId="0" applyFont="1" applyBorder="1"/>
    <xf numFmtId="0" fontId="4" fillId="0" borderId="9" xfId="0" applyFont="1" applyBorder="1" applyAlignment="1">
      <alignment wrapText="1"/>
    </xf>
    <xf numFmtId="0" fontId="55" fillId="7" borderId="1" xfId="0" applyFont="1" applyFill="1" applyBorder="1" applyAlignment="1">
      <alignment horizontal="right"/>
    </xf>
    <xf numFmtId="49" fontId="52" fillId="0" borderId="4" xfId="0" applyNumberFormat="1" applyFont="1" applyBorder="1" applyAlignment="1">
      <alignment wrapText="1"/>
    </xf>
    <xf numFmtId="0" fontId="51" fillId="0" borderId="0" xfId="0" applyFont="1" applyBorder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/>
    <xf numFmtId="0" fontId="91" fillId="7" borderId="1" xfId="0" applyFont="1" applyFill="1" applyBorder="1" applyAlignment="1">
      <alignment horizontal="right"/>
    </xf>
    <xf numFmtId="0" fontId="91" fillId="7" borderId="1" xfId="0" quotePrefix="1" applyFont="1" applyFill="1" applyBorder="1" applyAlignment="1">
      <alignment horizontal="right"/>
    </xf>
    <xf numFmtId="49" fontId="91" fillId="0" borderId="1" xfId="0" applyNumberFormat="1" applyFont="1" applyBorder="1" applyAlignment="1">
      <alignment horizontal="right"/>
    </xf>
    <xf numFmtId="49" fontId="91" fillId="0" borderId="4" xfId="0" applyNumberFormat="1" applyFont="1" applyBorder="1"/>
    <xf numFmtId="0" fontId="91" fillId="0" borderId="1" xfId="0" applyFont="1" applyBorder="1" applyAlignment="1">
      <alignment horizontal="right"/>
    </xf>
    <xf numFmtId="0" fontId="91" fillId="0" borderId="1" xfId="0" applyFont="1" applyBorder="1" applyAlignment="1">
      <alignment horizontal="center"/>
    </xf>
    <xf numFmtId="0" fontId="91" fillId="0" borderId="1" xfId="0" applyFont="1" applyBorder="1"/>
    <xf numFmtId="1" fontId="91" fillId="0" borderId="2" xfId="0" applyNumberFormat="1" applyFont="1" applyBorder="1" applyAlignment="1">
      <alignment horizontal="left"/>
    </xf>
    <xf numFmtId="0" fontId="91" fillId="0" borderId="2" xfId="0" applyFont="1" applyBorder="1" applyAlignment="1">
      <alignment horizontal="center"/>
    </xf>
    <xf numFmtId="49" fontId="91" fillId="0" borderId="9" xfId="0" applyNumberFormat="1" applyFont="1" applyBorder="1"/>
    <xf numFmtId="4" fontId="91" fillId="0" borderId="2" xfId="0" applyNumberFormat="1" applyFont="1" applyBorder="1" applyAlignment="1">
      <alignment horizontal="center"/>
    </xf>
    <xf numFmtId="0" fontId="91" fillId="0" borderId="1" xfId="0" applyNumberFormat="1" applyFont="1" applyBorder="1" applyAlignment="1">
      <alignment horizontal="right"/>
    </xf>
    <xf numFmtId="2" fontId="92" fillId="0" borderId="1" xfId="0" applyNumberFormat="1" applyFont="1" applyBorder="1" applyAlignment="1">
      <alignment horizontal="right"/>
    </xf>
    <xf numFmtId="1" fontId="91" fillId="0" borderId="9" xfId="0" applyNumberFormat="1" applyFont="1" applyBorder="1" applyAlignment="1">
      <alignment horizontal="right"/>
    </xf>
    <xf numFmtId="0" fontId="92" fillId="0" borderId="0" xfId="0" applyFont="1" applyBorder="1" applyAlignment="1">
      <alignment horizontal="left"/>
    </xf>
    <xf numFmtId="0" fontId="92" fillId="0" borderId="0" xfId="0" applyFont="1"/>
    <xf numFmtId="15" fontId="91" fillId="0" borderId="1" xfId="0" quotePrefix="1" applyNumberFormat="1" applyFont="1" applyBorder="1" applyAlignment="1">
      <alignment horizontal="right"/>
    </xf>
    <xf numFmtId="2" fontId="91" fillId="7" borderId="1" xfId="0" applyNumberFormat="1" applyFont="1" applyFill="1" applyBorder="1" applyAlignment="1">
      <alignment horizontal="right"/>
    </xf>
    <xf numFmtId="2" fontId="91" fillId="0" borderId="1" xfId="0" applyNumberFormat="1" applyFont="1" applyBorder="1" applyAlignment="1">
      <alignment horizontal="right"/>
    </xf>
    <xf numFmtId="2" fontId="68" fillId="7" borderId="1" xfId="0" applyNumberFormat="1" applyFont="1" applyFill="1" applyBorder="1" applyAlignment="1">
      <alignment horizontal="right"/>
    </xf>
    <xf numFmtId="15" fontId="68" fillId="0" borderId="1" xfId="0" quotePrefix="1" applyNumberFormat="1" applyFont="1" applyBorder="1" applyAlignment="1">
      <alignment horizontal="right"/>
    </xf>
    <xf numFmtId="0" fontId="45" fillId="0" borderId="0" xfId="0" applyFont="1" applyBorder="1" applyAlignment="1">
      <alignment horizontal="left"/>
    </xf>
    <xf numFmtId="0" fontId="45" fillId="0" borderId="0" xfId="0" applyFont="1"/>
    <xf numFmtId="15" fontId="54" fillId="0" borderId="1" xfId="0" quotePrefix="1" applyNumberFormat="1" applyFont="1" applyBorder="1" applyAlignment="1">
      <alignment horizontal="right"/>
    </xf>
    <xf numFmtId="0" fontId="93" fillId="7" borderId="1" xfId="0" applyFont="1" applyFill="1" applyBorder="1" applyAlignment="1">
      <alignment horizontal="right"/>
    </xf>
    <xf numFmtId="0" fontId="93" fillId="7" borderId="1" xfId="0" quotePrefix="1" applyFont="1" applyFill="1" applyBorder="1" applyAlignment="1">
      <alignment horizontal="right"/>
    </xf>
    <xf numFmtId="1" fontId="93" fillId="7" borderId="1" xfId="0" applyNumberFormat="1" applyFont="1" applyFill="1" applyBorder="1" applyAlignment="1">
      <alignment horizontal="right"/>
    </xf>
    <xf numFmtId="168" fontId="54" fillId="0" borderId="1" xfId="0" quotePrefix="1" applyNumberFormat="1" applyFont="1" applyBorder="1" applyAlignment="1">
      <alignment horizontal="right"/>
    </xf>
    <xf numFmtId="168" fontId="54" fillId="0" borderId="1" xfId="0" applyNumberFormat="1" applyFont="1" applyBorder="1" applyAlignment="1">
      <alignment horizontal="right"/>
    </xf>
    <xf numFmtId="168" fontId="91" fillId="0" borderId="1" xfId="0" quotePrefix="1" applyNumberFormat="1" applyFont="1" applyBorder="1" applyAlignment="1">
      <alignment horizontal="right"/>
    </xf>
    <xf numFmtId="17" fontId="91" fillId="0" borderId="1" xfId="0" applyNumberFormat="1" applyFont="1" applyBorder="1" applyAlignment="1">
      <alignment horizontal="right"/>
    </xf>
    <xf numFmtId="168" fontId="68" fillId="0" borderId="1" xfId="0" quotePrefix="1" applyNumberFormat="1" applyFont="1" applyBorder="1" applyAlignment="1">
      <alignment horizontal="right"/>
    </xf>
    <xf numFmtId="0" fontId="94" fillId="7" borderId="1" xfId="0" applyFont="1" applyFill="1" applyBorder="1" applyAlignment="1">
      <alignment horizontal="right"/>
    </xf>
    <xf numFmtId="0" fontId="94" fillId="7" borderId="1" xfId="0" quotePrefix="1" applyFont="1" applyFill="1" applyBorder="1" applyAlignment="1">
      <alignment horizontal="right"/>
    </xf>
    <xf numFmtId="2" fontId="94" fillId="7" borderId="1" xfId="0" applyNumberFormat="1" applyFont="1" applyFill="1" applyBorder="1" applyAlignment="1">
      <alignment horizontal="right"/>
    </xf>
    <xf numFmtId="2" fontId="82" fillId="7" borderId="1" xfId="0" applyNumberFormat="1" applyFont="1" applyFill="1" applyBorder="1" applyAlignment="1">
      <alignment horizontal="right"/>
    </xf>
    <xf numFmtId="0" fontId="4" fillId="13" borderId="1" xfId="0" applyFont="1" applyFill="1" applyBorder="1" applyAlignment="1">
      <alignment horizontal="right"/>
    </xf>
    <xf numFmtId="0" fontId="4" fillId="5" borderId="1" xfId="0" applyFont="1" applyFill="1" applyBorder="1" applyAlignment="1">
      <alignment horizontal="right"/>
    </xf>
    <xf numFmtId="167" fontId="4" fillId="5" borderId="1" xfId="0" applyNumberFormat="1" applyFont="1" applyFill="1" applyBorder="1" applyAlignment="1">
      <alignment horizontal="right"/>
    </xf>
    <xf numFmtId="0" fontId="62" fillId="21" borderId="1" xfId="0" applyFont="1" applyFill="1" applyBorder="1" applyAlignment="1">
      <alignment horizontal="right"/>
    </xf>
    <xf numFmtId="0" fontId="62" fillId="0" borderId="4" xfId="0" applyFont="1" applyBorder="1"/>
    <xf numFmtId="0" fontId="62" fillId="0" borderId="2" xfId="0" applyFont="1" applyBorder="1" applyAlignment="1">
      <alignment horizontal="left"/>
    </xf>
    <xf numFmtId="0" fontId="62" fillId="0" borderId="1" xfId="0" applyFont="1" applyBorder="1" applyAlignment="1">
      <alignment horizontal="left"/>
    </xf>
    <xf numFmtId="0" fontId="62" fillId="0" borderId="9" xfId="0" applyFont="1" applyBorder="1"/>
    <xf numFmtId="0" fontId="62" fillId="0" borderId="9" xfId="0" applyFont="1" applyBorder="1" applyAlignment="1">
      <alignment horizontal="right"/>
    </xf>
    <xf numFmtId="2" fontId="62" fillId="0" borderId="1" xfId="0" applyNumberFormat="1" applyFont="1" applyBorder="1" applyAlignment="1">
      <alignment horizontal="right"/>
    </xf>
    <xf numFmtId="0" fontId="86" fillId="7" borderId="1" xfId="0" applyFont="1" applyFill="1" applyBorder="1" applyAlignment="1">
      <alignment horizontal="right"/>
    </xf>
    <xf numFmtId="0" fontId="86" fillId="7" borderId="1" xfId="0" quotePrefix="1" applyFont="1" applyFill="1" applyBorder="1" applyAlignment="1">
      <alignment horizontal="right"/>
    </xf>
    <xf numFmtId="2" fontId="86" fillId="7" borderId="1" xfId="0" applyNumberFormat="1" applyFont="1" applyFill="1" applyBorder="1" applyAlignment="1">
      <alignment horizontal="right"/>
    </xf>
    <xf numFmtId="0" fontId="51" fillId="18" borderId="1" xfId="0" applyFont="1" applyFill="1" applyBorder="1" applyAlignment="1">
      <alignment horizontal="right"/>
    </xf>
    <xf numFmtId="2" fontId="51" fillId="18" borderId="1" xfId="0" applyNumberFormat="1" applyFont="1" applyFill="1" applyBorder="1" applyAlignment="1">
      <alignment horizontal="right"/>
    </xf>
    <xf numFmtId="1" fontId="51" fillId="3" borderId="1" xfId="0" applyNumberFormat="1" applyFont="1" applyFill="1" applyBorder="1" applyAlignment="1">
      <alignment horizontal="right"/>
    </xf>
    <xf numFmtId="1" fontId="51" fillId="5" borderId="1" xfId="0" applyNumberFormat="1" applyFont="1" applyFill="1" applyBorder="1" applyAlignment="1">
      <alignment horizontal="right"/>
    </xf>
    <xf numFmtId="2" fontId="56" fillId="13" borderId="1" xfId="0" applyNumberFormat="1" applyFont="1" applyFill="1" applyBorder="1" applyAlignment="1">
      <alignment horizontal="right"/>
    </xf>
    <xf numFmtId="0" fontId="56" fillId="14" borderId="1" xfId="0" applyNumberFormat="1" applyFont="1" applyFill="1" applyBorder="1" applyAlignment="1">
      <alignment horizontal="right"/>
    </xf>
    <xf numFmtId="46" fontId="51" fillId="0" borderId="1" xfId="0" applyNumberFormat="1" applyFont="1" applyBorder="1" applyAlignment="1">
      <alignment horizontal="right"/>
    </xf>
    <xf numFmtId="169" fontId="51" fillId="0" borderId="1" xfId="0" applyNumberFormat="1" applyFont="1" applyBorder="1" applyAlignment="1">
      <alignment horizontal="right"/>
    </xf>
    <xf numFmtId="21" fontId="65" fillId="0" borderId="1" xfId="0" applyNumberFormat="1" applyFont="1" applyBorder="1" applyAlignment="1">
      <alignment horizontal="right"/>
    </xf>
    <xf numFmtId="0" fontId="54" fillId="3" borderId="1" xfId="0" applyFont="1" applyFill="1" applyBorder="1" applyAlignment="1">
      <alignment horizontal="right"/>
    </xf>
    <xf numFmtId="46" fontId="54" fillId="0" borderId="1" xfId="0" applyNumberFormat="1" applyFont="1" applyBorder="1" applyAlignment="1">
      <alignment horizontal="right"/>
    </xf>
    <xf numFmtId="46" fontId="95" fillId="0" borderId="1" xfId="0" applyNumberFormat="1" applyFont="1" applyBorder="1" applyAlignment="1">
      <alignment horizontal="right"/>
    </xf>
    <xf numFmtId="170" fontId="51" fillId="0" borderId="1" xfId="0" applyNumberFormat="1" applyFont="1" applyBorder="1" applyAlignment="1">
      <alignment horizontal="right"/>
    </xf>
    <xf numFmtId="46" fontId="91" fillId="0" borderId="1" xfId="0" applyNumberFormat="1" applyFont="1" applyBorder="1" applyAlignment="1">
      <alignment horizontal="right"/>
    </xf>
    <xf numFmtId="170" fontId="62" fillId="0" borderId="1" xfId="0" applyNumberFormat="1" applyFont="1" applyBorder="1" applyAlignment="1">
      <alignment horizontal="right"/>
    </xf>
    <xf numFmtId="0" fontId="54" fillId="14" borderId="1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69" fontId="0" fillId="0" borderId="0" xfId="0" applyNumberFormat="1" applyAlignment="1">
      <alignment horizontal="right"/>
    </xf>
    <xf numFmtId="45" fontId="0" fillId="0" borderId="0" xfId="0" applyNumberFormat="1" applyAlignment="1">
      <alignment horizontal="right"/>
    </xf>
    <xf numFmtId="170" fontId="0" fillId="0" borderId="0" xfId="0" applyNumberFormat="1" applyAlignment="1">
      <alignment horizontal="right"/>
    </xf>
    <xf numFmtId="49" fontId="60" fillId="0" borderId="1" xfId="0" applyNumberFormat="1" applyFont="1" applyBorder="1" applyAlignment="1">
      <alignment horizontal="left"/>
    </xf>
    <xf numFmtId="0" fontId="96" fillId="7" borderId="1" xfId="0" applyFont="1" applyFill="1" applyBorder="1" applyAlignment="1">
      <alignment horizontal="right"/>
    </xf>
    <xf numFmtId="0" fontId="55" fillId="14" borderId="1" xfId="0" applyFont="1" applyFill="1" applyBorder="1" applyAlignment="1">
      <alignment horizontal="right"/>
    </xf>
    <xf numFmtId="17" fontId="55" fillId="0" borderId="1" xfId="0" applyNumberFormat="1" applyFont="1" applyBorder="1" applyAlignment="1">
      <alignment horizontal="right"/>
    </xf>
    <xf numFmtId="0" fontId="55" fillId="12" borderId="1" xfId="0" applyFont="1" applyFill="1" applyBorder="1" applyAlignment="1">
      <alignment horizontal="right"/>
    </xf>
    <xf numFmtId="0" fontId="55" fillId="6" borderId="1" xfId="0" applyFont="1" applyFill="1" applyBorder="1" applyAlignment="1">
      <alignment horizontal="right"/>
    </xf>
    <xf numFmtId="0" fontId="55" fillId="18" borderId="1" xfId="0" applyFont="1" applyFill="1" applyBorder="1" applyAlignment="1">
      <alignment horizontal="right"/>
    </xf>
    <xf numFmtId="2" fontId="55" fillId="14" borderId="1" xfId="0" applyNumberFormat="1" applyFont="1" applyFill="1" applyBorder="1" applyAlignment="1">
      <alignment horizontal="right"/>
    </xf>
    <xf numFmtId="16" fontId="55" fillId="0" borderId="1" xfId="0" quotePrefix="1" applyNumberFormat="1" applyFont="1" applyBorder="1" applyAlignment="1">
      <alignment horizontal="center"/>
    </xf>
    <xf numFmtId="0" fontId="55" fillId="10" borderId="1" xfId="0" applyFont="1" applyFill="1" applyBorder="1" applyAlignment="1">
      <alignment horizontal="right"/>
    </xf>
    <xf numFmtId="0" fontId="55" fillId="10" borderId="1" xfId="0" applyNumberFormat="1" applyFont="1" applyFill="1" applyBorder="1" applyAlignment="1">
      <alignment horizontal="right"/>
    </xf>
    <xf numFmtId="0" fontId="55" fillId="11" borderId="1" xfId="0" applyFont="1" applyFill="1" applyBorder="1" applyAlignment="1">
      <alignment horizontal="right"/>
    </xf>
    <xf numFmtId="0" fontId="55" fillId="7" borderId="1" xfId="0" quotePrefix="1" applyFont="1" applyFill="1" applyBorder="1" applyAlignment="1">
      <alignment horizontal="right"/>
    </xf>
    <xf numFmtId="0" fontId="57" fillId="14" borderId="1" xfId="0" applyFont="1" applyFill="1" applyBorder="1" applyAlignment="1">
      <alignment horizontal="right"/>
    </xf>
    <xf numFmtId="15" fontId="57" fillId="0" borderId="1" xfId="0" applyNumberFormat="1" applyFont="1" applyBorder="1" applyAlignment="1">
      <alignment horizontal="right"/>
    </xf>
    <xf numFmtId="0" fontId="57" fillId="13" borderId="1" xfId="0" applyFont="1" applyFill="1" applyBorder="1" applyAlignment="1">
      <alignment horizontal="right"/>
    </xf>
    <xf numFmtId="0" fontId="57" fillId="18" borderId="1" xfId="0" applyFont="1" applyFill="1" applyBorder="1" applyAlignment="1">
      <alignment horizontal="right"/>
    </xf>
    <xf numFmtId="0" fontId="97" fillId="0" borderId="0" xfId="0" applyFont="1"/>
    <xf numFmtId="49" fontId="57" fillId="0" borderId="1" xfId="0" applyNumberFormat="1" applyFont="1" applyBorder="1" applyAlignment="1">
      <alignment horizontal="right"/>
    </xf>
    <xf numFmtId="49" fontId="57" fillId="0" borderId="4" xfId="0" applyNumberFormat="1" applyFont="1" applyBorder="1"/>
    <xf numFmtId="0" fontId="57" fillId="0" borderId="1" xfId="0" applyFont="1" applyBorder="1"/>
    <xf numFmtId="1" fontId="57" fillId="0" borderId="2" xfId="0" applyNumberFormat="1" applyFont="1" applyBorder="1" applyAlignment="1">
      <alignment horizontal="left"/>
    </xf>
    <xf numFmtId="0" fontId="57" fillId="0" borderId="4" xfId="0" applyFont="1" applyBorder="1" applyAlignment="1">
      <alignment wrapText="1"/>
    </xf>
    <xf numFmtId="0" fontId="57" fillId="0" borderId="9" xfId="0" applyFont="1" applyBorder="1" applyAlignment="1">
      <alignment wrapText="1"/>
    </xf>
    <xf numFmtId="4" fontId="57" fillId="0" borderId="2" xfId="0" applyNumberFormat="1" applyFont="1" applyBorder="1" applyAlignment="1">
      <alignment horizontal="center"/>
    </xf>
    <xf numFmtId="0" fontId="57" fillId="0" borderId="1" xfId="0" applyNumberFormat="1" applyFont="1" applyBorder="1" applyAlignment="1">
      <alignment horizontal="right"/>
    </xf>
    <xf numFmtId="0" fontId="98" fillId="7" borderId="1" xfId="0" applyFont="1" applyFill="1" applyBorder="1" applyAlignment="1">
      <alignment horizontal="right"/>
    </xf>
    <xf numFmtId="0" fontId="98" fillId="7" borderId="1" xfId="0" quotePrefix="1" applyFont="1" applyFill="1" applyBorder="1" applyAlignment="1">
      <alignment horizontal="right"/>
    </xf>
    <xf numFmtId="46" fontId="62" fillId="0" borderId="1" xfId="0" applyNumberFormat="1" applyFont="1" applyBorder="1" applyAlignment="1">
      <alignment horizontal="right"/>
    </xf>
    <xf numFmtId="46" fontId="64" fillId="0" borderId="1" xfId="0" applyNumberFormat="1" applyFont="1" applyBorder="1" applyAlignment="1">
      <alignment horizontal="right"/>
    </xf>
    <xf numFmtId="46" fontId="55" fillId="0" borderId="1" xfId="0" applyNumberFormat="1" applyFont="1" applyBorder="1" applyAlignment="1">
      <alignment horizontal="right"/>
    </xf>
    <xf numFmtId="46" fontId="58" fillId="0" borderId="1" xfId="0" applyNumberFormat="1" applyFont="1" applyBorder="1" applyAlignment="1">
      <alignment horizontal="right"/>
    </xf>
    <xf numFmtId="46" fontId="57" fillId="0" borderId="9" xfId="0" applyNumberFormat="1" applyFont="1" applyBorder="1" applyAlignment="1">
      <alignment horizontal="right"/>
    </xf>
    <xf numFmtId="170" fontId="91" fillId="0" borderId="1" xfId="0" applyNumberFormat="1" applyFont="1" applyBorder="1" applyAlignment="1">
      <alignment horizontal="right"/>
    </xf>
    <xf numFmtId="0" fontId="56" fillId="0" borderId="1" xfId="0" quotePrefix="1" applyFont="1" applyBorder="1" applyAlignment="1">
      <alignment horizontal="center"/>
    </xf>
    <xf numFmtId="0" fontId="52" fillId="21" borderId="1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17" fontId="4" fillId="0" borderId="1" xfId="0" applyNumberFormat="1" applyFont="1" applyBorder="1" applyAlignment="1">
      <alignment horizontal="right"/>
    </xf>
    <xf numFmtId="0" fontId="4" fillId="9" borderId="1" xfId="0" applyFont="1" applyFill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16" fontId="4" fillId="0" borderId="1" xfId="0" quotePrefix="1" applyNumberFormat="1" applyFont="1" applyBorder="1" applyAlignment="1">
      <alignment horizontal="center"/>
    </xf>
    <xf numFmtId="0" fontId="4" fillId="8" borderId="1" xfId="0" applyFont="1" applyFill="1" applyBorder="1" applyAlignment="1">
      <alignment horizontal="right"/>
    </xf>
    <xf numFmtId="0" fontId="51" fillId="0" borderId="4" xfId="0" applyFont="1" applyBorder="1" applyAlignment="1">
      <alignment horizontal="left" wrapText="1"/>
    </xf>
    <xf numFmtId="0" fontId="24" fillId="0" borderId="1" xfId="0" applyFont="1" applyBorder="1"/>
    <xf numFmtId="0" fontId="60" fillId="0" borderId="0" xfId="0" applyFont="1" applyBorder="1"/>
    <xf numFmtId="0" fontId="11" fillId="2" borderId="1" xfId="0" applyFont="1" applyFill="1" applyBorder="1" applyAlignment="1">
      <alignment horizontal="left" wrapText="1"/>
    </xf>
    <xf numFmtId="49" fontId="11" fillId="2" borderId="1" xfId="0" applyNumberFormat="1" applyFont="1" applyFill="1" applyBorder="1" applyAlignment="1">
      <alignment horizontal="left" wrapText="1"/>
    </xf>
    <xf numFmtId="2" fontId="51" fillId="0" borderId="9" xfId="0" applyNumberFormat="1" applyFont="1" applyBorder="1" applyAlignment="1">
      <alignment horizontal="left"/>
    </xf>
    <xf numFmtId="49" fontId="51" fillId="0" borderId="1" xfId="0" applyNumberFormat="1" applyFont="1" applyBorder="1" applyAlignment="1">
      <alignment horizontal="left"/>
    </xf>
    <xf numFmtId="2" fontId="60" fillId="0" borderId="9" xfId="0" applyNumberFormat="1" applyFont="1" applyBorder="1" applyAlignment="1">
      <alignment horizontal="left"/>
    </xf>
    <xf numFmtId="2" fontId="56" fillId="0" borderId="9" xfId="0" applyNumberFormat="1" applyFont="1" applyBorder="1" applyAlignment="1">
      <alignment horizontal="left"/>
    </xf>
    <xf numFmtId="2" fontId="52" fillId="0" borderId="9" xfId="0" applyNumberFormat="1" applyFont="1" applyBorder="1" applyAlignment="1">
      <alignment horizontal="left"/>
    </xf>
    <xf numFmtId="49" fontId="52" fillId="0" borderId="1" xfId="0" applyNumberFormat="1" applyFont="1" applyBorder="1" applyAlignment="1">
      <alignment horizontal="left"/>
    </xf>
    <xf numFmtId="2" fontId="53" fillId="0" borderId="9" xfId="0" applyNumberFormat="1" applyFont="1" applyBorder="1" applyAlignment="1">
      <alignment horizontal="left"/>
    </xf>
    <xf numFmtId="49" fontId="53" fillId="0" borderId="1" xfId="0" applyNumberFormat="1" applyFont="1" applyBorder="1" applyAlignment="1">
      <alignment horizontal="left"/>
    </xf>
    <xf numFmtId="49" fontId="52" fillId="0" borderId="1" xfId="0" quotePrefix="1" applyNumberFormat="1" applyFont="1" applyBorder="1" applyAlignment="1">
      <alignment horizontal="left"/>
    </xf>
    <xf numFmtId="49" fontId="57" fillId="0" borderId="1" xfId="0" applyNumberFormat="1" applyFont="1" applyBorder="1" applyAlignment="1">
      <alignment horizontal="left"/>
    </xf>
    <xf numFmtId="2" fontId="62" fillId="0" borderId="9" xfId="0" applyNumberFormat="1" applyFont="1" applyBorder="1" applyAlignment="1">
      <alignment horizontal="left"/>
    </xf>
    <xf numFmtId="49" fontId="62" fillId="0" borderId="1" xfId="0" applyNumberFormat="1" applyFont="1" applyBorder="1" applyAlignment="1">
      <alignment horizontal="left"/>
    </xf>
    <xf numFmtId="2" fontId="61" fillId="0" borderId="9" xfId="0" applyNumberFormat="1" applyFont="1" applyBorder="1" applyAlignment="1">
      <alignment horizontal="left"/>
    </xf>
    <xf numFmtId="49" fontId="61" fillId="0" borderId="1" xfId="0" applyNumberFormat="1" applyFont="1" applyBorder="1" applyAlignment="1">
      <alignment horizontal="left"/>
    </xf>
    <xf numFmtId="49" fontId="62" fillId="0" borderId="1" xfId="0" quotePrefix="1" applyNumberFormat="1" applyFont="1" applyBorder="1" applyAlignment="1">
      <alignment horizontal="left"/>
    </xf>
    <xf numFmtId="49" fontId="51" fillId="0" borderId="1" xfId="0" quotePrefix="1" applyNumberFormat="1" applyFont="1" applyBorder="1" applyAlignment="1">
      <alignment horizontal="left"/>
    </xf>
    <xf numFmtId="49" fontId="56" fillId="0" borderId="1" xfId="0" quotePrefix="1" applyNumberFormat="1" applyFont="1" applyBorder="1" applyAlignment="1">
      <alignment horizontal="left"/>
    </xf>
    <xf numFmtId="49" fontId="61" fillId="0" borderId="1" xfId="0" quotePrefix="1" applyNumberFormat="1" applyFont="1" applyBorder="1" applyAlignment="1">
      <alignment horizontal="left"/>
    </xf>
    <xf numFmtId="2" fontId="54" fillId="0" borderId="9" xfId="0" applyNumberFormat="1" applyFont="1" applyBorder="1" applyAlignment="1">
      <alignment horizontal="left"/>
    </xf>
    <xf numFmtId="49" fontId="54" fillId="0" borderId="1" xfId="0" applyNumberFormat="1" applyFont="1" applyBorder="1" applyAlignment="1">
      <alignment horizontal="left"/>
    </xf>
    <xf numFmtId="2" fontId="55" fillId="0" borderId="9" xfId="0" applyNumberFormat="1" applyFont="1" applyBorder="1" applyAlignment="1">
      <alignment horizontal="left"/>
    </xf>
    <xf numFmtId="49" fontId="55" fillId="0" borderId="1" xfId="0" applyNumberFormat="1" applyFont="1" applyBorder="1" applyAlignment="1">
      <alignment horizontal="left"/>
    </xf>
    <xf numFmtId="2" fontId="4" fillId="0" borderId="9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2" fontId="64" fillId="0" borderId="9" xfId="0" applyNumberFormat="1" applyFont="1" applyBorder="1" applyAlignment="1">
      <alignment horizontal="left"/>
    </xf>
    <xf numFmtId="49" fontId="64" fillId="0" borderId="1" xfId="0" applyNumberFormat="1" applyFont="1" applyBorder="1" applyAlignment="1">
      <alignment horizontal="left"/>
    </xf>
    <xf numFmtId="49" fontId="56" fillId="0" borderId="0" xfId="0" applyNumberFormat="1" applyFont="1" applyBorder="1" applyAlignment="1">
      <alignment horizontal="left"/>
    </xf>
    <xf numFmtId="49" fontId="60" fillId="0" borderId="0" xfId="0" applyNumberFormat="1" applyFont="1" applyBorder="1" applyAlignment="1">
      <alignment horizontal="left"/>
    </xf>
    <xf numFmtId="2" fontId="65" fillId="0" borderId="9" xfId="0" applyNumberFormat="1" applyFont="1" applyBorder="1" applyAlignment="1">
      <alignment horizontal="left"/>
    </xf>
    <xf numFmtId="49" fontId="65" fillId="0" borderId="1" xfId="0" applyNumberFormat="1" applyFont="1" applyBorder="1" applyAlignment="1">
      <alignment horizontal="left"/>
    </xf>
    <xf numFmtId="2" fontId="68" fillId="0" borderId="9" xfId="0" applyNumberFormat="1" applyFont="1" applyBorder="1" applyAlignment="1">
      <alignment horizontal="left"/>
    </xf>
    <xf numFmtId="49" fontId="68" fillId="0" borderId="1" xfId="0" applyNumberFormat="1" applyFont="1" applyBorder="1" applyAlignment="1">
      <alignment horizontal="left"/>
    </xf>
    <xf numFmtId="49" fontId="60" fillId="0" borderId="1" xfId="0" quotePrefix="1" applyNumberFormat="1" applyFont="1" applyBorder="1" applyAlignment="1">
      <alignment horizontal="left"/>
    </xf>
    <xf numFmtId="2" fontId="63" fillId="0" borderId="9" xfId="0" applyNumberFormat="1" applyFont="1" applyBorder="1" applyAlignment="1">
      <alignment horizontal="left"/>
    </xf>
    <xf numFmtId="49" fontId="63" fillId="0" borderId="1" xfId="0" applyNumberFormat="1" applyFont="1" applyBorder="1" applyAlignment="1">
      <alignment horizontal="left"/>
    </xf>
    <xf numFmtId="49" fontId="62" fillId="0" borderId="0" xfId="0" applyNumberFormat="1" applyFont="1" applyBorder="1" applyAlignment="1">
      <alignment horizontal="left"/>
    </xf>
    <xf numFmtId="49" fontId="51" fillId="0" borderId="0" xfId="0" applyNumberFormat="1" applyFont="1" applyBorder="1" applyAlignment="1">
      <alignment horizontal="left"/>
    </xf>
    <xf numFmtId="2" fontId="58" fillId="0" borderId="9" xfId="0" applyNumberFormat="1" applyFont="1" applyBorder="1" applyAlignment="1">
      <alignment horizontal="left"/>
    </xf>
    <xf numFmtId="49" fontId="58" fillId="0" borderId="1" xfId="0" applyNumberFormat="1" applyFont="1" applyBorder="1" applyAlignment="1">
      <alignment horizontal="left"/>
    </xf>
    <xf numFmtId="49" fontId="51" fillId="0" borderId="0" xfId="0" quotePrefix="1" applyNumberFormat="1" applyFont="1" applyBorder="1" applyAlignment="1">
      <alignment horizontal="left"/>
    </xf>
    <xf numFmtId="49" fontId="55" fillId="0" borderId="1" xfId="0" quotePrefix="1" applyNumberFormat="1" applyFont="1" applyBorder="1" applyAlignment="1">
      <alignment horizontal="left"/>
    </xf>
    <xf numFmtId="2" fontId="57" fillId="0" borderId="9" xfId="0" applyNumberFormat="1" applyFont="1" applyBorder="1" applyAlignment="1">
      <alignment horizontal="left"/>
    </xf>
    <xf numFmtId="49" fontId="57" fillId="0" borderId="1" xfId="0" quotePrefix="1" applyNumberFormat="1" applyFont="1" applyBorder="1" applyAlignment="1">
      <alignment horizontal="left"/>
    </xf>
    <xf numFmtId="2" fontId="59" fillId="0" borderId="9" xfId="0" applyNumberFormat="1" applyFont="1" applyBorder="1" applyAlignment="1">
      <alignment horizontal="left"/>
    </xf>
    <xf numFmtId="49" fontId="59" fillId="0" borderId="1" xfId="0" applyNumberFormat="1" applyFont="1" applyBorder="1" applyAlignment="1">
      <alignment horizontal="left"/>
    </xf>
    <xf numFmtId="2" fontId="91" fillId="0" borderId="9" xfId="0" applyNumberFormat="1" applyFont="1" applyBorder="1" applyAlignment="1">
      <alignment horizontal="left"/>
    </xf>
    <xf numFmtId="49" fontId="91" fillId="0" borderId="1" xfId="0" applyNumberFormat="1" applyFont="1" applyBorder="1" applyAlignment="1">
      <alignment horizontal="left"/>
    </xf>
    <xf numFmtId="49" fontId="91" fillId="0" borderId="1" xfId="0" quotePrefix="1" applyNumberFormat="1" applyFont="1" applyBorder="1" applyAlignment="1">
      <alignment horizontal="left"/>
    </xf>
    <xf numFmtId="0" fontId="99" fillId="7" borderId="1" xfId="0" applyFont="1" applyFill="1" applyBorder="1" applyAlignment="1">
      <alignment horizontal="right"/>
    </xf>
    <xf numFmtId="0" fontId="63" fillId="21" borderId="1" xfId="0" applyFont="1" applyFill="1" applyBorder="1" applyAlignment="1">
      <alignment horizontal="right"/>
    </xf>
    <xf numFmtId="2" fontId="63" fillId="0" borderId="1" xfId="0" applyNumberFormat="1" applyFont="1" applyBorder="1" applyAlignment="1">
      <alignment horizontal="right"/>
    </xf>
    <xf numFmtId="46" fontId="63" fillId="0" borderId="1" xfId="0" applyNumberFormat="1" applyFont="1" applyBorder="1" applyAlignment="1">
      <alignment horizontal="right"/>
    </xf>
    <xf numFmtId="0" fontId="63" fillId="0" borderId="1" xfId="0" applyFont="1" applyBorder="1" applyAlignment="1">
      <alignment horizontal="left"/>
    </xf>
    <xf numFmtId="0" fontId="63" fillId="0" borderId="9" xfId="0" applyFont="1" applyBorder="1"/>
    <xf numFmtId="0" fontId="63" fillId="0" borderId="9" xfId="0" applyFont="1" applyBorder="1" applyAlignment="1">
      <alignment horizontal="right"/>
    </xf>
    <xf numFmtId="0" fontId="100" fillId="0" borderId="0" xfId="0" applyFont="1" applyBorder="1" applyAlignment="1">
      <alignment horizontal="left"/>
    </xf>
    <xf numFmtId="0" fontId="41" fillId="0" borderId="0" xfId="0" applyFont="1" applyBorder="1"/>
    <xf numFmtId="0" fontId="63" fillId="0" borderId="4" xfId="0" quotePrefix="1" applyFont="1" applyBorder="1"/>
    <xf numFmtId="49" fontId="60" fillId="0" borderId="1" xfId="0" applyNumberFormat="1" applyFont="1" applyBorder="1"/>
    <xf numFmtId="0" fontId="60" fillId="0" borderId="0" xfId="0" applyFont="1" applyBorder="1" applyAlignment="1">
      <alignment horizontal="right"/>
    </xf>
    <xf numFmtId="0" fontId="60" fillId="0" borderId="8" xfId="0" applyFont="1" applyBorder="1" applyAlignment="1">
      <alignment horizontal="left"/>
    </xf>
    <xf numFmtId="49" fontId="52" fillId="0" borderId="0" xfId="0" applyNumberFormat="1" applyFont="1" applyBorder="1" applyAlignment="1">
      <alignment horizontal="left"/>
    </xf>
    <xf numFmtId="49" fontId="56" fillId="0" borderId="1" xfId="0" applyNumberFormat="1" applyFont="1" applyBorder="1"/>
    <xf numFmtId="49" fontId="51" fillId="0" borderId="1" xfId="0" applyNumberFormat="1" applyFont="1" applyBorder="1"/>
    <xf numFmtId="0" fontId="62" fillId="0" borderId="0" xfId="0" applyFont="1" applyBorder="1" applyAlignment="1">
      <alignment horizontal="right"/>
    </xf>
    <xf numFmtId="0" fontId="56" fillId="0" borderId="0" xfId="0" applyFont="1" applyBorder="1" applyAlignment="1">
      <alignment horizontal="left"/>
    </xf>
    <xf numFmtId="0" fontId="51" fillId="0" borderId="0" xfId="0" applyFont="1" applyBorder="1"/>
    <xf numFmtId="0" fontId="53" fillId="0" borderId="7" xfId="0" applyFont="1" applyBorder="1" applyAlignment="1">
      <alignment horizontal="left"/>
    </xf>
    <xf numFmtId="0" fontId="60" fillId="0" borderId="0" xfId="0" applyFont="1" applyBorder="1" applyAlignment="1">
      <alignment horizontal="left"/>
    </xf>
    <xf numFmtId="0" fontId="4" fillId="0" borderId="0" xfId="0" applyFont="1" applyBorder="1"/>
    <xf numFmtId="0" fontId="53" fillId="0" borderId="0" xfId="0" applyFont="1" applyBorder="1" applyAlignment="1">
      <alignment horizontal="left"/>
    </xf>
    <xf numFmtId="0" fontId="53" fillId="0" borderId="0" xfId="0" applyFont="1" applyBorder="1" applyAlignment="1">
      <alignment horizontal="center"/>
    </xf>
    <xf numFmtId="0" fontId="55" fillId="0" borderId="0" xfId="0" quotePrefix="1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8" fillId="0" borderId="0" xfId="0" applyFont="1" applyBorder="1" applyAlignment="1">
      <alignment horizontal="center"/>
    </xf>
    <xf numFmtId="0" fontId="52" fillId="0" borderId="0" xfId="0" applyNumberFormat="1" applyFont="1" applyBorder="1" applyAlignment="1">
      <alignment horizontal="right"/>
    </xf>
    <xf numFmtId="0" fontId="60" fillId="0" borderId="8" xfId="0" applyFont="1" applyBorder="1" applyAlignment="1">
      <alignment horizontal="right"/>
    </xf>
    <xf numFmtId="0" fontId="52" fillId="0" borderId="7" xfId="0" applyNumberFormat="1" applyFont="1" applyBorder="1" applyAlignment="1">
      <alignment horizontal="right"/>
    </xf>
    <xf numFmtId="0" fontId="53" fillId="0" borderId="0" xfId="0" applyFont="1" applyBorder="1" applyAlignment="1">
      <alignment horizontal="right"/>
    </xf>
    <xf numFmtId="0" fontId="60" fillId="0" borderId="0" xfId="0" applyNumberFormat="1" applyFont="1" applyBorder="1" applyAlignment="1">
      <alignment horizontal="right"/>
    </xf>
    <xf numFmtId="49" fontId="91" fillId="0" borderId="0" xfId="0" quotePrefix="1" applyNumberFormat="1" applyFont="1" applyBorder="1" applyAlignment="1">
      <alignment horizontal="left"/>
    </xf>
    <xf numFmtId="49" fontId="68" fillId="0" borderId="0" xfId="0" applyNumberFormat="1" applyFont="1" applyBorder="1" applyAlignment="1">
      <alignment horizontal="left"/>
    </xf>
    <xf numFmtId="49" fontId="91" fillId="0" borderId="0" xfId="0" applyNumberFormat="1" applyFont="1" applyBorder="1" applyAlignment="1">
      <alignment horizontal="left"/>
    </xf>
    <xf numFmtId="49" fontId="53" fillId="0" borderId="0" xfId="0" applyNumberFormat="1" applyFont="1" applyBorder="1" applyAlignment="1">
      <alignment horizontal="left"/>
    </xf>
    <xf numFmtId="49" fontId="57" fillId="0" borderId="0" xfId="0" applyNumberFormat="1" applyFont="1" applyBorder="1" applyAlignment="1">
      <alignment horizontal="left"/>
    </xf>
    <xf numFmtId="49" fontId="54" fillId="0" borderId="0" xfId="0" applyNumberFormat="1" applyFont="1" applyBorder="1" applyAlignment="1">
      <alignment horizontal="left"/>
    </xf>
    <xf numFmtId="49" fontId="68" fillId="0" borderId="0" xfId="0" quotePrefix="1" applyNumberFormat="1" applyFont="1" applyBorder="1" applyAlignment="1">
      <alignment horizontal="left"/>
    </xf>
    <xf numFmtId="2" fontId="101" fillId="0" borderId="1" xfId="0" applyNumberFormat="1" applyFont="1" applyBorder="1" applyAlignment="1">
      <alignment horizontal="right"/>
    </xf>
    <xf numFmtId="0" fontId="11" fillId="2" borderId="4" xfId="0" applyFont="1" applyFill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60" fillId="0" borderId="4" xfId="0" applyFont="1" applyBorder="1" applyAlignment="1">
      <alignment horizontal="center"/>
    </xf>
    <xf numFmtId="0" fontId="56" fillId="0" borderId="4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62" fillId="0" borderId="4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0" fontId="54" fillId="0" borderId="4" xfId="0" applyFont="1" applyBorder="1" applyAlignment="1">
      <alignment horizontal="center"/>
    </xf>
    <xf numFmtId="0" fontId="5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64" fillId="0" borderId="4" xfId="0" applyFont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91" fillId="0" borderId="4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63" fillId="0" borderId="4" xfId="0" applyFont="1" applyBorder="1" applyAlignment="1">
      <alignment horizontal="center"/>
    </xf>
    <xf numFmtId="0" fontId="58" fillId="0" borderId="4" xfId="0" applyFont="1" applyBorder="1" applyAlignment="1">
      <alignment horizontal="center"/>
    </xf>
    <xf numFmtId="0" fontId="57" fillId="0" borderId="4" xfId="0" applyFont="1" applyBorder="1" applyAlignment="1">
      <alignment horizontal="center"/>
    </xf>
    <xf numFmtId="0" fontId="59" fillId="0" borderId="4" xfId="0" applyFont="1" applyBorder="1" applyAlignment="1">
      <alignment horizontal="center"/>
    </xf>
    <xf numFmtId="2" fontId="60" fillId="0" borderId="2" xfId="0" applyNumberFormat="1" applyFont="1" applyBorder="1" applyAlignment="1">
      <alignment horizontal="left"/>
    </xf>
    <xf numFmtId="2" fontId="51" fillId="0" borderId="2" xfId="0" applyNumberFormat="1" applyFont="1" applyBorder="1" applyAlignment="1">
      <alignment horizontal="left"/>
    </xf>
    <xf numFmtId="1" fontId="11" fillId="2" borderId="4" xfId="0" applyNumberFormat="1" applyFont="1" applyFill="1" applyBorder="1" applyAlignment="1">
      <alignment horizontal="right"/>
    </xf>
    <xf numFmtId="46" fontId="51" fillId="0" borderId="4" xfId="0" applyNumberFormat="1" applyFont="1" applyBorder="1" applyAlignment="1">
      <alignment horizontal="right"/>
    </xf>
    <xf numFmtId="46" fontId="60" fillId="0" borderId="4" xfId="0" applyNumberFormat="1" applyFont="1" applyBorder="1" applyAlignment="1">
      <alignment horizontal="right"/>
    </xf>
    <xf numFmtId="46" fontId="56" fillId="0" borderId="4" xfId="0" applyNumberFormat="1" applyFont="1" applyBorder="1" applyAlignment="1">
      <alignment horizontal="right"/>
    </xf>
    <xf numFmtId="46" fontId="52" fillId="0" borderId="4" xfId="0" applyNumberFormat="1" applyFont="1" applyBorder="1" applyAlignment="1">
      <alignment horizontal="right"/>
    </xf>
    <xf numFmtId="46" fontId="53" fillId="0" borderId="4" xfId="0" applyNumberFormat="1" applyFont="1" applyBorder="1" applyAlignment="1">
      <alignment horizontal="right"/>
    </xf>
    <xf numFmtId="46" fontId="62" fillId="0" borderId="4" xfId="0" applyNumberFormat="1" applyFont="1" applyBorder="1" applyAlignment="1">
      <alignment horizontal="right"/>
    </xf>
    <xf numFmtId="46" fontId="61" fillId="0" borderId="4" xfId="0" applyNumberFormat="1" applyFont="1" applyBorder="1" applyAlignment="1">
      <alignment horizontal="right"/>
    </xf>
    <xf numFmtId="46" fontId="54" fillId="0" borderId="4" xfId="0" applyNumberFormat="1" applyFont="1" applyBorder="1" applyAlignment="1">
      <alignment horizontal="right"/>
    </xf>
    <xf numFmtId="46" fontId="55" fillId="0" borderId="4" xfId="0" applyNumberFormat="1" applyFont="1" applyBorder="1" applyAlignment="1">
      <alignment horizontal="right"/>
    </xf>
    <xf numFmtId="46" fontId="4" fillId="0" borderId="4" xfId="0" applyNumberFormat="1" applyFont="1" applyBorder="1" applyAlignment="1">
      <alignment horizontal="right"/>
    </xf>
    <xf numFmtId="46" fontId="64" fillId="0" borderId="4" xfId="0" applyNumberFormat="1" applyFont="1" applyBorder="1" applyAlignment="1">
      <alignment horizontal="right"/>
    </xf>
    <xf numFmtId="46" fontId="65" fillId="0" borderId="4" xfId="0" applyNumberFormat="1" applyFont="1" applyBorder="1" applyAlignment="1">
      <alignment horizontal="right"/>
    </xf>
    <xf numFmtId="46" fontId="91" fillId="0" borderId="4" xfId="0" applyNumberFormat="1" applyFont="1" applyBorder="1" applyAlignment="1">
      <alignment horizontal="right"/>
    </xf>
    <xf numFmtId="46" fontId="68" fillId="0" borderId="4" xfId="0" applyNumberFormat="1" applyFont="1" applyBorder="1" applyAlignment="1">
      <alignment horizontal="right"/>
    </xf>
    <xf numFmtId="46" fontId="63" fillId="0" borderId="4" xfId="0" applyNumberFormat="1" applyFont="1" applyBorder="1" applyAlignment="1">
      <alignment horizontal="right"/>
    </xf>
    <xf numFmtId="46" fontId="58" fillId="0" borderId="4" xfId="0" applyNumberFormat="1" applyFont="1" applyBorder="1" applyAlignment="1">
      <alignment horizontal="right"/>
    </xf>
    <xf numFmtId="46" fontId="57" fillId="0" borderId="4" xfId="0" applyNumberFormat="1" applyFont="1" applyBorder="1" applyAlignment="1">
      <alignment horizontal="right"/>
    </xf>
    <xf numFmtId="46" fontId="59" fillId="0" borderId="4" xfId="0" applyNumberFormat="1" applyFont="1" applyBorder="1" applyAlignment="1">
      <alignment horizontal="right"/>
    </xf>
    <xf numFmtId="1" fontId="4" fillId="0" borderId="4" xfId="0" applyNumberFormat="1" applyFont="1" applyBorder="1" applyAlignment="1">
      <alignment horizontal="right"/>
    </xf>
    <xf numFmtId="0" fontId="11" fillId="2" borderId="0" xfId="0" applyFont="1" applyFill="1" applyBorder="1" applyAlignment="1">
      <alignment wrapText="1"/>
    </xf>
    <xf numFmtId="0" fontId="51" fillId="0" borderId="0" xfId="0" applyFont="1" applyBorder="1" applyAlignment="1">
      <alignment wrapText="1"/>
    </xf>
    <xf numFmtId="0" fontId="56" fillId="0" borderId="0" xfId="0" applyFont="1" applyBorder="1"/>
    <xf numFmtId="0" fontId="52" fillId="0" borderId="0" xfId="0" applyFont="1" applyBorder="1" applyAlignment="1">
      <alignment wrapText="1"/>
    </xf>
    <xf numFmtId="0" fontId="53" fillId="0" borderId="0" xfId="0" applyFont="1" applyBorder="1"/>
    <xf numFmtId="0" fontId="62" fillId="0" borderId="0" xfId="0" applyFont="1" applyBorder="1" applyAlignment="1">
      <alignment wrapText="1"/>
    </xf>
    <xf numFmtId="49" fontId="51" fillId="0" borderId="0" xfId="0" quotePrefix="1" applyNumberFormat="1" applyFont="1" applyBorder="1"/>
    <xf numFmtId="0" fontId="62" fillId="0" borderId="0" xfId="0" applyNumberFormat="1" applyFont="1" applyBorder="1" applyAlignment="1">
      <alignment horizontal="right" wrapText="1"/>
    </xf>
    <xf numFmtId="0" fontId="61" fillId="0" borderId="0" xfId="0" applyFont="1" applyBorder="1" applyAlignment="1">
      <alignment wrapText="1"/>
    </xf>
    <xf numFmtId="49" fontId="51" fillId="0" borderId="0" xfId="0" applyNumberFormat="1" applyFont="1" applyBorder="1"/>
    <xf numFmtId="0" fontId="56" fillId="0" borderId="0" xfId="0" applyFont="1" applyBorder="1" applyAlignment="1">
      <alignment wrapText="1"/>
    </xf>
    <xf numFmtId="0" fontId="52" fillId="0" borderId="0" xfId="0" quotePrefix="1" applyFont="1" applyBorder="1" applyAlignment="1">
      <alignment wrapText="1"/>
    </xf>
    <xf numFmtId="0" fontId="60" fillId="0" borderId="0" xfId="0" applyFont="1" applyBorder="1" applyAlignment="1">
      <alignment wrapText="1"/>
    </xf>
    <xf numFmtId="0" fontId="54" fillId="0" borderId="0" xfId="0" applyFont="1" applyBorder="1" applyAlignment="1">
      <alignment wrapText="1"/>
    </xf>
    <xf numFmtId="0" fontId="55" fillId="0" borderId="0" xfId="0" applyFont="1" applyBorder="1" applyAlignment="1">
      <alignment wrapText="1"/>
    </xf>
    <xf numFmtId="0" fontId="54" fillId="0" borderId="0" xfId="0" applyFont="1" applyBorder="1"/>
    <xf numFmtId="0" fontId="53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64" fillId="0" borderId="0" xfId="0" applyFont="1" applyBorder="1" applyAlignment="1">
      <alignment wrapText="1"/>
    </xf>
    <xf numFmtId="0" fontId="52" fillId="0" borderId="0" xfId="0" quotePrefix="1" applyFont="1" applyBorder="1"/>
    <xf numFmtId="0" fontId="65" fillId="0" borderId="0" xfId="0" applyFont="1" applyBorder="1" applyAlignment="1">
      <alignment wrapText="1"/>
    </xf>
    <xf numFmtId="0" fontId="91" fillId="0" borderId="0" xfId="0" applyFont="1" applyBorder="1" applyAlignment="1">
      <alignment wrapText="1"/>
    </xf>
    <xf numFmtId="0" fontId="68" fillId="0" borderId="0" xfId="0" applyFont="1" applyBorder="1" applyAlignment="1">
      <alignment wrapText="1"/>
    </xf>
    <xf numFmtId="0" fontId="56" fillId="0" borderId="0" xfId="0" quotePrefix="1" applyFont="1" applyBorder="1" applyAlignment="1">
      <alignment wrapText="1"/>
    </xf>
    <xf numFmtId="0" fontId="55" fillId="0" borderId="0" xfId="0" applyFont="1" applyBorder="1"/>
    <xf numFmtId="0" fontId="56" fillId="0" borderId="0" xfId="0" quotePrefix="1" applyFont="1" applyBorder="1"/>
    <xf numFmtId="0" fontId="63" fillId="0" borderId="0" xfId="0" applyFont="1" applyBorder="1" applyAlignment="1">
      <alignment wrapText="1"/>
    </xf>
    <xf numFmtId="0" fontId="55" fillId="0" borderId="0" xfId="0" quotePrefix="1" applyFont="1" applyBorder="1" applyAlignment="1">
      <alignment wrapText="1"/>
    </xf>
    <xf numFmtId="49" fontId="62" fillId="0" borderId="0" xfId="0" applyNumberFormat="1" applyFont="1" applyBorder="1"/>
    <xf numFmtId="0" fontId="58" fillId="0" borderId="0" xfId="0" applyFont="1" applyBorder="1" applyAlignment="1">
      <alignment wrapText="1"/>
    </xf>
    <xf numFmtId="49" fontId="62" fillId="0" borderId="0" xfId="0" quotePrefix="1" applyNumberFormat="1" applyFont="1" applyBorder="1"/>
    <xf numFmtId="0" fontId="62" fillId="0" borderId="0" xfId="0" quotePrefix="1" applyFont="1" applyBorder="1" applyAlignment="1">
      <alignment wrapText="1"/>
    </xf>
    <xf numFmtId="0" fontId="55" fillId="0" borderId="0" xfId="0" applyFont="1" applyBorder="1" applyAlignment="1">
      <alignment horizontal="left"/>
    </xf>
    <xf numFmtId="0" fontId="57" fillId="0" borderId="0" xfId="0" applyFont="1" applyBorder="1"/>
    <xf numFmtId="49" fontId="62" fillId="0" borderId="0" xfId="0" applyNumberFormat="1" applyFont="1" applyBorder="1" applyAlignment="1">
      <alignment wrapText="1"/>
    </xf>
    <xf numFmtId="0" fontId="57" fillId="0" borderId="0" xfId="0" applyFont="1" applyBorder="1" applyAlignment="1">
      <alignment horizontal="left"/>
    </xf>
    <xf numFmtId="0" fontId="59" fillId="0" borderId="0" xfId="0" applyFont="1" applyBorder="1"/>
    <xf numFmtId="0" fontId="63" fillId="0" borderId="0" xfId="0" applyFont="1" applyBorder="1"/>
    <xf numFmtId="0" fontId="60" fillId="0" borderId="0" xfId="0" quotePrefix="1" applyFont="1" applyBorder="1"/>
    <xf numFmtId="0" fontId="51" fillId="0" borderId="0" xfId="0" quotePrefix="1" applyFont="1" applyBorder="1" applyAlignment="1">
      <alignment wrapText="1"/>
    </xf>
    <xf numFmtId="0" fontId="20" fillId="0" borderId="0" xfId="0" applyFont="1" applyBorder="1"/>
    <xf numFmtId="0" fontId="65" fillId="18" borderId="1" xfId="0" applyFont="1" applyFill="1" applyBorder="1" applyAlignment="1">
      <alignment horizontal="right"/>
    </xf>
    <xf numFmtId="49" fontId="64" fillId="0" borderId="1" xfId="0" quotePrefix="1" applyNumberFormat="1" applyFont="1" applyBorder="1" applyAlignment="1">
      <alignment horizontal="left"/>
    </xf>
    <xf numFmtId="1" fontId="62" fillId="0" borderId="1" xfId="0" applyNumberFormat="1" applyFont="1" applyBorder="1" applyAlignment="1">
      <alignment horizontal="left"/>
    </xf>
    <xf numFmtId="49" fontId="62" fillId="0" borderId="0" xfId="0" quotePrefix="1" applyNumberFormat="1" applyFont="1" applyBorder="1" applyAlignment="1">
      <alignment horizontal="left"/>
    </xf>
    <xf numFmtId="0" fontId="52" fillId="0" borderId="0" xfId="0" applyFont="1" applyBorder="1" applyAlignment="1">
      <alignment horizontal="right"/>
    </xf>
    <xf numFmtId="0" fontId="56" fillId="0" borderId="7" xfId="0" applyFont="1" applyBorder="1" applyAlignment="1">
      <alignment horizontal="left"/>
    </xf>
    <xf numFmtId="0" fontId="51" fillId="0" borderId="0" xfId="0" applyFont="1" applyBorder="1" applyAlignment="1">
      <alignment horizontal="left"/>
    </xf>
    <xf numFmtId="0" fontId="51" fillId="0" borderId="8" xfId="0" applyFont="1" applyBorder="1"/>
    <xf numFmtId="1" fontId="51" fillId="0" borderId="1" xfId="0" applyNumberFormat="1" applyFont="1" applyBorder="1" applyAlignment="1">
      <alignment horizontal="left"/>
    </xf>
  </cellXfs>
  <cellStyles count="1">
    <cellStyle name="Normal" xfId="0" builtinId="0"/>
  </cellStyles>
  <dxfs count="6210"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8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tardis.wikia.com/wiki/Special:BookSources/184435041X" TargetMode="External"/><Relationship Id="rId21" Type="http://schemas.openxmlformats.org/officeDocument/2006/relationships/hyperlink" Target="http://tardis.wikia.com/wiki/Special:BookSources/9781471311697" TargetMode="External"/><Relationship Id="rId42" Type="http://schemas.openxmlformats.org/officeDocument/2006/relationships/hyperlink" Target="http://tardis.wikia.com/wiki/Special:BookSources/1903654300" TargetMode="External"/><Relationship Id="rId63" Type="http://schemas.openxmlformats.org/officeDocument/2006/relationships/hyperlink" Target="http://tardis.wikia.com/wiki/Special:BookSources/0426205294" TargetMode="External"/><Relationship Id="rId84" Type="http://schemas.openxmlformats.org/officeDocument/2006/relationships/hyperlink" Target="http://tardis.wikia.com/wiki/Special:BookSources/1844352420" TargetMode="External"/><Relationship Id="rId138" Type="http://schemas.openxmlformats.org/officeDocument/2006/relationships/hyperlink" Target="http://tardis.wikia.com/wiki/Special:BookSources/1844351521" TargetMode="External"/><Relationship Id="rId159" Type="http://schemas.openxmlformats.org/officeDocument/2006/relationships/hyperlink" Target="http://tardis.wikia.com/wiki/Special:BookSources/1844352412" TargetMode="External"/><Relationship Id="rId170" Type="http://schemas.openxmlformats.org/officeDocument/2006/relationships/hyperlink" Target="http://tardis.wikia.com/wiki/Special:BookSources/1844352412" TargetMode="External"/><Relationship Id="rId191" Type="http://schemas.openxmlformats.org/officeDocument/2006/relationships/hyperlink" Target="http://tardis.wikia.com/wiki/Special:BookSources/9781781780671" TargetMode="External"/><Relationship Id="rId205" Type="http://schemas.openxmlformats.org/officeDocument/2006/relationships/hyperlink" Target="http://tardis.wikia.com/wiki/Special:BookSources/1844352420" TargetMode="External"/><Relationship Id="rId226" Type="http://schemas.openxmlformats.org/officeDocument/2006/relationships/hyperlink" Target="http://tardis.wikia.com/wiki/Special:BookSources/0426205154" TargetMode="External"/><Relationship Id="rId247" Type="http://schemas.openxmlformats.org/officeDocument/2006/relationships/printerSettings" Target="../printerSettings/printerSettings2.bin"/><Relationship Id="rId107" Type="http://schemas.openxmlformats.org/officeDocument/2006/relationships/hyperlink" Target="http://tardis.wikia.com/wiki/Special:BookSources/1844351076" TargetMode="External"/><Relationship Id="rId11" Type="http://schemas.openxmlformats.org/officeDocument/2006/relationships/hyperlink" Target="http://tardis.wikia.com/wiki/Special:BookSources/9781844359448" TargetMode="External"/><Relationship Id="rId32" Type="http://schemas.openxmlformats.org/officeDocument/2006/relationships/hyperlink" Target="http://tardis.wikia.com/wiki/Special:BookSources/9781445860954" TargetMode="External"/><Relationship Id="rId53" Type="http://schemas.openxmlformats.org/officeDocument/2006/relationships/hyperlink" Target="http://tardis.wikia.com/wiki/Special:BookSources/0426205138" TargetMode="External"/><Relationship Id="rId74" Type="http://schemas.openxmlformats.org/officeDocument/2006/relationships/hyperlink" Target="http://tardis.wikia.com/wiki/Special:BookSources/9781844352784" TargetMode="External"/><Relationship Id="rId128" Type="http://schemas.openxmlformats.org/officeDocument/2006/relationships/hyperlink" Target="http://tardis.wikia.com/wiki/Special:BookSources/1844351092" TargetMode="External"/><Relationship Id="rId149" Type="http://schemas.openxmlformats.org/officeDocument/2006/relationships/hyperlink" Target="http://tardis.wikia.com/wiki/Special:BookSources/1844352544" TargetMode="External"/><Relationship Id="rId5" Type="http://schemas.openxmlformats.org/officeDocument/2006/relationships/hyperlink" Target="http://tardis.wikia.com/wiki/Special:BookSources/9781781780664" TargetMode="External"/><Relationship Id="rId95" Type="http://schemas.openxmlformats.org/officeDocument/2006/relationships/hyperlink" Target="http://tardis.wikia.com/wiki/Special:BookSources/1903654009" TargetMode="External"/><Relationship Id="rId160" Type="http://schemas.openxmlformats.org/officeDocument/2006/relationships/hyperlink" Target="http://tardis.wikia.com/wiki/Special:BookSources/1844352412" TargetMode="External"/><Relationship Id="rId181" Type="http://schemas.openxmlformats.org/officeDocument/2006/relationships/hyperlink" Target="http://tardis.wikia.com/wiki/Special:BookSources/184435153X" TargetMode="External"/><Relationship Id="rId216" Type="http://schemas.openxmlformats.org/officeDocument/2006/relationships/hyperlink" Target="http://tardis.wikia.com/wiki/Special:BookSources/1844352412" TargetMode="External"/><Relationship Id="rId237" Type="http://schemas.openxmlformats.org/officeDocument/2006/relationships/hyperlink" Target="http://tardis.wikia.com/wiki/Special:BookSources/184435153X" TargetMode="External"/><Relationship Id="rId22" Type="http://schemas.openxmlformats.org/officeDocument/2006/relationships/hyperlink" Target="http://tardis.wikia.com/wiki/Special:BookSources/9781846077845" TargetMode="External"/><Relationship Id="rId43" Type="http://schemas.openxmlformats.org/officeDocument/2006/relationships/hyperlink" Target="http://tardis.wikia.com/wiki/Special:BookSources/1903654343" TargetMode="External"/><Relationship Id="rId64" Type="http://schemas.openxmlformats.org/officeDocument/2006/relationships/hyperlink" Target="http://tardis.wikia.com/wiki/Special:BookSources/0426205308" TargetMode="External"/><Relationship Id="rId118" Type="http://schemas.openxmlformats.org/officeDocument/2006/relationships/hyperlink" Target="http://tardis.wikia.com/wiki/Special:BookSources/1844350738" TargetMode="External"/><Relationship Id="rId139" Type="http://schemas.openxmlformats.org/officeDocument/2006/relationships/hyperlink" Target="http://tardis.wikia.com/wiki/Special:BookSources/1844351300" TargetMode="External"/><Relationship Id="rId85" Type="http://schemas.openxmlformats.org/officeDocument/2006/relationships/hyperlink" Target="http://tardis.wikia.com/wiki/Special:BookSources/9781844353408" TargetMode="External"/><Relationship Id="rId150" Type="http://schemas.openxmlformats.org/officeDocument/2006/relationships/hyperlink" Target="http://tardis.wikia.com/wiki/Special:BookSources/1844352412" TargetMode="External"/><Relationship Id="rId171" Type="http://schemas.openxmlformats.org/officeDocument/2006/relationships/hyperlink" Target="http://tardis.wikia.com/wiki/Special:BookSources/1844352412" TargetMode="External"/><Relationship Id="rId192" Type="http://schemas.openxmlformats.org/officeDocument/2006/relationships/hyperlink" Target="http://tardis.wikia.com/wiki/Special:BookSources/9781781780831" TargetMode="External"/><Relationship Id="rId206" Type="http://schemas.openxmlformats.org/officeDocument/2006/relationships/hyperlink" Target="http://tardis.wikia.com/wiki/Special:BookSources/9781844353408" TargetMode="External"/><Relationship Id="rId227" Type="http://schemas.openxmlformats.org/officeDocument/2006/relationships/hyperlink" Target="http://tardis.wikia.com/wiki/Special:BookSources/0426205154" TargetMode="External"/><Relationship Id="rId12" Type="http://schemas.openxmlformats.org/officeDocument/2006/relationships/hyperlink" Target="http://tardis.wikia.com/wiki/Special:BookSources/9781781780503" TargetMode="External"/><Relationship Id="rId17" Type="http://schemas.openxmlformats.org/officeDocument/2006/relationships/hyperlink" Target="http://tardis.wikia.com/wiki/Special:BookSources/9781471311680" TargetMode="External"/><Relationship Id="rId33" Type="http://schemas.openxmlformats.org/officeDocument/2006/relationships/hyperlink" Target="http://tardis.wikia.com/wiki/Special:BookSources/140846666X" TargetMode="External"/><Relationship Id="rId38" Type="http://schemas.openxmlformats.org/officeDocument/2006/relationships/hyperlink" Target="http://tardis.wikia.com/wiki/Special:BookSources/9781445871967" TargetMode="External"/><Relationship Id="rId59" Type="http://schemas.openxmlformats.org/officeDocument/2006/relationships/hyperlink" Target="http://tardis.wikia.com/wiki/Special:BookSources/0426205243" TargetMode="External"/><Relationship Id="rId103" Type="http://schemas.openxmlformats.org/officeDocument/2006/relationships/hyperlink" Target="http://tardis.wikia.com/wiki/Special:BookSources/1903654114" TargetMode="External"/><Relationship Id="rId108" Type="http://schemas.openxmlformats.org/officeDocument/2006/relationships/hyperlink" Target="http://tardis.wikia.com/wiki/Special:BookSources/1903654661" TargetMode="External"/><Relationship Id="rId124" Type="http://schemas.openxmlformats.org/officeDocument/2006/relationships/hyperlink" Target="http://tardis.wikia.com/wiki/Special:BookSources/1844351092" TargetMode="External"/><Relationship Id="rId129" Type="http://schemas.openxmlformats.org/officeDocument/2006/relationships/hyperlink" Target="http://tardis.wikia.com/wiki/Special:BookSources/1844351092" TargetMode="External"/><Relationship Id="rId54" Type="http://schemas.openxmlformats.org/officeDocument/2006/relationships/hyperlink" Target="http://tardis.wikia.com/wiki/Special:BookSources/0426205146" TargetMode="External"/><Relationship Id="rId70" Type="http://schemas.openxmlformats.org/officeDocument/2006/relationships/hyperlink" Target="http://tardis.wikia.com/wiki/Special:BookSources/0426205367" TargetMode="External"/><Relationship Id="rId75" Type="http://schemas.openxmlformats.org/officeDocument/2006/relationships/hyperlink" Target="http://tardis.wikia.com/wiki/Special:BookSources/9781844352784" TargetMode="External"/><Relationship Id="rId91" Type="http://schemas.openxmlformats.org/officeDocument/2006/relationships/hyperlink" Target="http://tardis.wikia.com/wiki/Special:BookSources/1903654009" TargetMode="External"/><Relationship Id="rId96" Type="http://schemas.openxmlformats.org/officeDocument/2006/relationships/hyperlink" Target="http://tardis.wikia.com/wiki/Special:BookSources/1903654009" TargetMode="External"/><Relationship Id="rId140" Type="http://schemas.openxmlformats.org/officeDocument/2006/relationships/hyperlink" Target="http://tardis.wikia.com/wiki/Special:BookSources/1844351319" TargetMode="External"/><Relationship Id="rId145" Type="http://schemas.openxmlformats.org/officeDocument/2006/relationships/hyperlink" Target="http://tardis.wikia.com/wiki/Special:BookSources/1844351908" TargetMode="External"/><Relationship Id="rId161" Type="http://schemas.openxmlformats.org/officeDocument/2006/relationships/hyperlink" Target="http://tardis.wikia.com/wiki/Special:BookSources/1844352412" TargetMode="External"/><Relationship Id="rId166" Type="http://schemas.openxmlformats.org/officeDocument/2006/relationships/hyperlink" Target="http://tardis.wikia.com/wiki/Special:BookSources/1844352412" TargetMode="External"/><Relationship Id="rId182" Type="http://schemas.openxmlformats.org/officeDocument/2006/relationships/hyperlink" Target="http://tardis.wikia.com/wiki/Special:BookSources/184435153X" TargetMode="External"/><Relationship Id="rId187" Type="http://schemas.openxmlformats.org/officeDocument/2006/relationships/hyperlink" Target="http://tardis.wikia.com/wiki/Special:BookSources/184435153X" TargetMode="External"/><Relationship Id="rId217" Type="http://schemas.openxmlformats.org/officeDocument/2006/relationships/hyperlink" Target="http://tardis.wikia.com/wiki/Special:BookSources/1844351521" TargetMode="External"/><Relationship Id="rId1" Type="http://schemas.openxmlformats.org/officeDocument/2006/relationships/hyperlink" Target="http://tardis.wikia.com/wiki/Special:BookSources/9781781780848" TargetMode="External"/><Relationship Id="rId6" Type="http://schemas.openxmlformats.org/officeDocument/2006/relationships/hyperlink" Target="http://tardis.wikia.com/wiki/Special:BookSources/9781781780640" TargetMode="External"/><Relationship Id="rId212" Type="http://schemas.openxmlformats.org/officeDocument/2006/relationships/hyperlink" Target="http://tardis.wikia.com/wiki/Special:BookSources/1844352412" TargetMode="External"/><Relationship Id="rId233" Type="http://schemas.openxmlformats.org/officeDocument/2006/relationships/hyperlink" Target="http://tardis.wikia.com/wiki/Special:BookSources/184435153X" TargetMode="External"/><Relationship Id="rId238" Type="http://schemas.openxmlformats.org/officeDocument/2006/relationships/hyperlink" Target="http://tardis.wikia.com/wiki/Special:BookSources/9781781780510" TargetMode="External"/><Relationship Id="rId23" Type="http://schemas.openxmlformats.org/officeDocument/2006/relationships/hyperlink" Target="http://tardis.wikia.com/wiki/Special:BookSources/9781846077845" TargetMode="External"/><Relationship Id="rId28" Type="http://schemas.openxmlformats.org/officeDocument/2006/relationships/hyperlink" Target="http://tardis.wikia.com/wiki/Special:BookSources/9781845769369" TargetMode="External"/><Relationship Id="rId49" Type="http://schemas.openxmlformats.org/officeDocument/2006/relationships/hyperlink" Target="http://tardis.wikia.com/wiki/Special:BookSources/0426205081" TargetMode="External"/><Relationship Id="rId114" Type="http://schemas.openxmlformats.org/officeDocument/2006/relationships/hyperlink" Target="http://tardis.wikia.com/wiki/Special:BookSources/1844350673" TargetMode="External"/><Relationship Id="rId119" Type="http://schemas.openxmlformats.org/officeDocument/2006/relationships/hyperlink" Target="http://tardis.wikia.com/wiki/Special:BookSources/1844350746" TargetMode="External"/><Relationship Id="rId44" Type="http://schemas.openxmlformats.org/officeDocument/2006/relationships/hyperlink" Target="http://tardis.wikia.com/wiki/Special:BookSources/190365419X" TargetMode="External"/><Relationship Id="rId60" Type="http://schemas.openxmlformats.org/officeDocument/2006/relationships/hyperlink" Target="http://tardis.wikia.com/wiki/Special:BookSources/0426205251" TargetMode="External"/><Relationship Id="rId65" Type="http://schemas.openxmlformats.org/officeDocument/2006/relationships/hyperlink" Target="http://tardis.wikia.com/wiki/Special:BookSources/0426205316" TargetMode="External"/><Relationship Id="rId81" Type="http://schemas.openxmlformats.org/officeDocument/2006/relationships/hyperlink" Target="http://tardis.wikia.com/wiki/Special:BookSources/9781844352784" TargetMode="External"/><Relationship Id="rId86" Type="http://schemas.openxmlformats.org/officeDocument/2006/relationships/hyperlink" Target="http://tardis.wikia.com/wiki/Special:BookSources/190365436X" TargetMode="External"/><Relationship Id="rId130" Type="http://schemas.openxmlformats.org/officeDocument/2006/relationships/hyperlink" Target="http://tardis.wikia.com/wiki/Special:BookSources/1844351092" TargetMode="External"/><Relationship Id="rId135" Type="http://schemas.openxmlformats.org/officeDocument/2006/relationships/hyperlink" Target="http://tardis.wikia.com/wiki/Special:BookSources/1844351084" TargetMode="External"/><Relationship Id="rId151" Type="http://schemas.openxmlformats.org/officeDocument/2006/relationships/hyperlink" Target="http://tardis.wikia.com/wiki/Special:BookSources/1844352412" TargetMode="External"/><Relationship Id="rId156" Type="http://schemas.openxmlformats.org/officeDocument/2006/relationships/hyperlink" Target="http://tardis.wikia.com/wiki/Special:BookSources/1844352412" TargetMode="External"/><Relationship Id="rId177" Type="http://schemas.openxmlformats.org/officeDocument/2006/relationships/hyperlink" Target="http://tardis.wikia.com/wiki/Special:BookSources/184435153X" TargetMode="External"/><Relationship Id="rId198" Type="http://schemas.openxmlformats.org/officeDocument/2006/relationships/hyperlink" Target="http://tardis.wikia.com/wiki/Special:BookSources/1844352544" TargetMode="External"/><Relationship Id="rId172" Type="http://schemas.openxmlformats.org/officeDocument/2006/relationships/hyperlink" Target="http://tardis.wikia.com/wiki/Special:BookSources/1844352412" TargetMode="External"/><Relationship Id="rId193" Type="http://schemas.openxmlformats.org/officeDocument/2006/relationships/hyperlink" Target="http://tardis.wikia.com/wiki/Special:BookSources/9781844359462" TargetMode="External"/><Relationship Id="rId202" Type="http://schemas.openxmlformats.org/officeDocument/2006/relationships/hyperlink" Target="http://tardis.wikia.com/wiki/Special:BookSources/1844351521" TargetMode="External"/><Relationship Id="rId207" Type="http://schemas.openxmlformats.org/officeDocument/2006/relationships/hyperlink" Target="http://tardis.wikia.com/wiki/Special:BookSources/9781844353408" TargetMode="External"/><Relationship Id="rId223" Type="http://schemas.openxmlformats.org/officeDocument/2006/relationships/hyperlink" Target="http://tardis.wikia.com/wiki/Special:BookSources/0426205154" TargetMode="External"/><Relationship Id="rId228" Type="http://schemas.openxmlformats.org/officeDocument/2006/relationships/hyperlink" Target="http://tardis.wikia.com/wiki/Special:BookSources/0426205154" TargetMode="External"/><Relationship Id="rId244" Type="http://schemas.openxmlformats.org/officeDocument/2006/relationships/hyperlink" Target="http://tardis.wikia.com/wiki/Special:BookSources/9781844352784" TargetMode="External"/><Relationship Id="rId13" Type="http://schemas.openxmlformats.org/officeDocument/2006/relationships/hyperlink" Target="http://tardis.wikia.com/wiki/Special:BookSources/9781781780510" TargetMode="External"/><Relationship Id="rId18" Type="http://schemas.openxmlformats.org/officeDocument/2006/relationships/hyperlink" Target="http://tardis.wikia.com/wiki/Special:BookSources/9781471311697" TargetMode="External"/><Relationship Id="rId39" Type="http://schemas.openxmlformats.org/officeDocument/2006/relationships/hyperlink" Target="http://tardis.wikia.com/wiki/Special:BookSources/9781445871943" TargetMode="External"/><Relationship Id="rId109" Type="http://schemas.openxmlformats.org/officeDocument/2006/relationships/hyperlink" Target="http://tardis.wikia.com/wiki/Special:BookSources/1903654696" TargetMode="External"/><Relationship Id="rId34" Type="http://schemas.openxmlformats.org/officeDocument/2006/relationships/hyperlink" Target="http://tardis.wikia.com/wiki/Special:BookSources/1408466651" TargetMode="External"/><Relationship Id="rId50" Type="http://schemas.openxmlformats.org/officeDocument/2006/relationships/hyperlink" Target="http://tardis.wikia.com/wiki/Special:BookSources/0426205111" TargetMode="External"/><Relationship Id="rId55" Type="http://schemas.openxmlformats.org/officeDocument/2006/relationships/hyperlink" Target="http://tardis.wikia.com/wiki/Special:BookSources/0426205197" TargetMode="External"/><Relationship Id="rId76" Type="http://schemas.openxmlformats.org/officeDocument/2006/relationships/hyperlink" Target="http://tardis.wikia.com/wiki/Special:BookSources/9781844352784" TargetMode="External"/><Relationship Id="rId97" Type="http://schemas.openxmlformats.org/officeDocument/2006/relationships/hyperlink" Target="http://tardis.wikia.com/wiki/Special:BookSources/1903654009" TargetMode="External"/><Relationship Id="rId104" Type="http://schemas.openxmlformats.org/officeDocument/2006/relationships/hyperlink" Target="http://tardis.wikia.com/wiki/Special:BookSources/190365422X" TargetMode="External"/><Relationship Id="rId120" Type="http://schemas.openxmlformats.org/officeDocument/2006/relationships/hyperlink" Target="http://tardis.wikia.com/wiki/Special:BookSources/1844350754" TargetMode="External"/><Relationship Id="rId125" Type="http://schemas.openxmlformats.org/officeDocument/2006/relationships/hyperlink" Target="http://tardis.wikia.com/wiki/Special:BookSources/1844351092" TargetMode="External"/><Relationship Id="rId141" Type="http://schemas.openxmlformats.org/officeDocument/2006/relationships/hyperlink" Target="http://tardis.wikia.com/wiki/Special:BookSources/1844351335" TargetMode="External"/><Relationship Id="rId146" Type="http://schemas.openxmlformats.org/officeDocument/2006/relationships/hyperlink" Target="http://tardis.wikia.com/wiki/Special:BookSources/1844350592" TargetMode="External"/><Relationship Id="rId167" Type="http://schemas.openxmlformats.org/officeDocument/2006/relationships/hyperlink" Target="http://tardis.wikia.com/wiki/Special:BookSources/1844352412" TargetMode="External"/><Relationship Id="rId188" Type="http://schemas.openxmlformats.org/officeDocument/2006/relationships/hyperlink" Target="http://tardis.wikia.com/wiki/Special:BookSources/184435153X" TargetMode="External"/><Relationship Id="rId7" Type="http://schemas.openxmlformats.org/officeDocument/2006/relationships/hyperlink" Target="http://tardis.wikia.com/wiki/Special:BookSources/9781781780206" TargetMode="External"/><Relationship Id="rId71" Type="http://schemas.openxmlformats.org/officeDocument/2006/relationships/hyperlink" Target="http://tardis.wikia.com/wiki/Special:BookSources/9781844352784" TargetMode="External"/><Relationship Id="rId92" Type="http://schemas.openxmlformats.org/officeDocument/2006/relationships/hyperlink" Target="http://tardis.wikia.com/wiki/Special:BookSources/1903654009" TargetMode="External"/><Relationship Id="rId162" Type="http://schemas.openxmlformats.org/officeDocument/2006/relationships/hyperlink" Target="http://tardis.wikia.com/wiki/Special:BookSources/1844352412" TargetMode="External"/><Relationship Id="rId183" Type="http://schemas.openxmlformats.org/officeDocument/2006/relationships/hyperlink" Target="http://tardis.wikia.com/wiki/Special:BookSources/184435153X" TargetMode="External"/><Relationship Id="rId213" Type="http://schemas.openxmlformats.org/officeDocument/2006/relationships/hyperlink" Target="http://tardis.wikia.com/wiki/Special:BookSources/1844352412" TargetMode="External"/><Relationship Id="rId218" Type="http://schemas.openxmlformats.org/officeDocument/2006/relationships/hyperlink" Target="http://tardis.wikia.com/wiki/Special:BookSources/1844351521" TargetMode="External"/><Relationship Id="rId234" Type="http://schemas.openxmlformats.org/officeDocument/2006/relationships/hyperlink" Target="http://tardis.wikia.com/wiki/Special:BookSources/184435153X" TargetMode="External"/><Relationship Id="rId239" Type="http://schemas.openxmlformats.org/officeDocument/2006/relationships/hyperlink" Target="http://tardis.wikia.com/wiki/Special:BookSources/9781844352784" TargetMode="External"/><Relationship Id="rId2" Type="http://schemas.openxmlformats.org/officeDocument/2006/relationships/hyperlink" Target="http://tardis.wikia.com/wiki/Special:BookSources/9781781780619" TargetMode="External"/><Relationship Id="rId29" Type="http://schemas.openxmlformats.org/officeDocument/2006/relationships/hyperlink" Target="http://tardis.wikia.com/wiki/Special:BookSources/9781845769369" TargetMode="External"/><Relationship Id="rId24" Type="http://schemas.openxmlformats.org/officeDocument/2006/relationships/hyperlink" Target="http://tardis.wikia.com/wiki/Special:BookSources/9781846077845" TargetMode="External"/><Relationship Id="rId40" Type="http://schemas.openxmlformats.org/officeDocument/2006/relationships/hyperlink" Target="http://tardis.wikia.com/wiki/Special:BookSources/9781445871981" TargetMode="External"/><Relationship Id="rId45" Type="http://schemas.openxmlformats.org/officeDocument/2006/relationships/hyperlink" Target="http://tardis.wikia.com/wiki/Special:BookSources/1903654033" TargetMode="External"/><Relationship Id="rId66" Type="http://schemas.openxmlformats.org/officeDocument/2006/relationships/hyperlink" Target="http://tardis.wikia.com/wiki/Special:BookSources/0426205324" TargetMode="External"/><Relationship Id="rId87" Type="http://schemas.openxmlformats.org/officeDocument/2006/relationships/hyperlink" Target="http://tardis.wikia.com/wiki/Special:BookSources/1903654351" TargetMode="External"/><Relationship Id="rId110" Type="http://schemas.openxmlformats.org/officeDocument/2006/relationships/hyperlink" Target="http://tardis.wikia.com/wiki/Special:BookSources/190365470X" TargetMode="External"/><Relationship Id="rId115" Type="http://schemas.openxmlformats.org/officeDocument/2006/relationships/hyperlink" Target="http://tardis.wikia.com/wiki/Special:BookSources/1844350428" TargetMode="External"/><Relationship Id="rId131" Type="http://schemas.openxmlformats.org/officeDocument/2006/relationships/hyperlink" Target="http://tardis.wikia.com/wiki/Special:BookSources/1844351092" TargetMode="External"/><Relationship Id="rId136" Type="http://schemas.openxmlformats.org/officeDocument/2006/relationships/hyperlink" Target="http://tardis.wikia.com/wiki/Special:BookSources/1844351084" TargetMode="External"/><Relationship Id="rId157" Type="http://schemas.openxmlformats.org/officeDocument/2006/relationships/hyperlink" Target="http://tardis.wikia.com/wiki/Special:BookSources/1844352412" TargetMode="External"/><Relationship Id="rId178" Type="http://schemas.openxmlformats.org/officeDocument/2006/relationships/hyperlink" Target="http://tardis.wikia.com/wiki/Special:BookSources/184435153X" TargetMode="External"/><Relationship Id="rId61" Type="http://schemas.openxmlformats.org/officeDocument/2006/relationships/hyperlink" Target="http://tardis.wikia.com/wiki/Special:BookSources/042620526X" TargetMode="External"/><Relationship Id="rId82" Type="http://schemas.openxmlformats.org/officeDocument/2006/relationships/hyperlink" Target="http://tardis.wikia.com/wiki/Special:BookSources/9781844352784" TargetMode="External"/><Relationship Id="rId152" Type="http://schemas.openxmlformats.org/officeDocument/2006/relationships/hyperlink" Target="http://tardis.wikia.com/wiki/Special:BookSources/1844352412" TargetMode="External"/><Relationship Id="rId173" Type="http://schemas.openxmlformats.org/officeDocument/2006/relationships/hyperlink" Target="http://tardis.wikia.com/wiki/Special:BookSources/1844352420" TargetMode="External"/><Relationship Id="rId194" Type="http://schemas.openxmlformats.org/officeDocument/2006/relationships/hyperlink" Target="http://tardis.wikia.com/wiki/Special:BookSources/9781471311567" TargetMode="External"/><Relationship Id="rId199" Type="http://schemas.openxmlformats.org/officeDocument/2006/relationships/hyperlink" Target="http://tardis.wikia.com/wiki/Special:BookSources/1844352544" TargetMode="External"/><Relationship Id="rId203" Type="http://schemas.openxmlformats.org/officeDocument/2006/relationships/hyperlink" Target="http://tardis.wikia.com/wiki/Special:BookSources/1844352420" TargetMode="External"/><Relationship Id="rId208" Type="http://schemas.openxmlformats.org/officeDocument/2006/relationships/hyperlink" Target="http://tardis.wikia.com/wiki/Special:BookSources/1844352412" TargetMode="External"/><Relationship Id="rId229" Type="http://schemas.openxmlformats.org/officeDocument/2006/relationships/hyperlink" Target="http://tardis.wikia.com/wiki/Special:BookSources/0426205154" TargetMode="External"/><Relationship Id="rId19" Type="http://schemas.openxmlformats.org/officeDocument/2006/relationships/hyperlink" Target="http://tardis.wikia.com/wiki/Special:BookSources/9781471311703" TargetMode="External"/><Relationship Id="rId224" Type="http://schemas.openxmlformats.org/officeDocument/2006/relationships/hyperlink" Target="http://tardis.wikia.com/wiki/Special:BookSources/0426205154" TargetMode="External"/><Relationship Id="rId240" Type="http://schemas.openxmlformats.org/officeDocument/2006/relationships/hyperlink" Target="http://tardis.wikia.com/wiki/Special:BookSources/9781844352784" TargetMode="External"/><Relationship Id="rId245" Type="http://schemas.openxmlformats.org/officeDocument/2006/relationships/hyperlink" Target="http://tardis.wikia.com/wiki/Special:BookSources/9781844352784" TargetMode="External"/><Relationship Id="rId14" Type="http://schemas.openxmlformats.org/officeDocument/2006/relationships/hyperlink" Target="http://tardis.wikia.com/wiki/Special:BookSources/9781781780527" TargetMode="External"/><Relationship Id="rId30" Type="http://schemas.openxmlformats.org/officeDocument/2006/relationships/hyperlink" Target="http://tardis.wikia.com/wiki/Special:BookSources/9781845769369" TargetMode="External"/><Relationship Id="rId35" Type="http://schemas.openxmlformats.org/officeDocument/2006/relationships/hyperlink" Target="http://tardis.wikia.com/wiki/Special:BookSources/1849902836" TargetMode="External"/><Relationship Id="rId56" Type="http://schemas.openxmlformats.org/officeDocument/2006/relationships/hyperlink" Target="http://tardis.wikia.com/wiki/Special:BookSources/0426205235" TargetMode="External"/><Relationship Id="rId77" Type="http://schemas.openxmlformats.org/officeDocument/2006/relationships/hyperlink" Target="http://tardis.wikia.com/wiki/Special:BookSources/9781844352784" TargetMode="External"/><Relationship Id="rId100" Type="http://schemas.openxmlformats.org/officeDocument/2006/relationships/hyperlink" Target="http://tardis.wikia.com/wiki/Special:BookSources/1903654130" TargetMode="External"/><Relationship Id="rId105" Type="http://schemas.openxmlformats.org/officeDocument/2006/relationships/hyperlink" Target="http://tardis.wikia.com/wiki/Special:BookSources/1903654122" TargetMode="External"/><Relationship Id="rId126" Type="http://schemas.openxmlformats.org/officeDocument/2006/relationships/hyperlink" Target="http://tardis.wikia.com/wiki/Special:BookSources/1844351092" TargetMode="External"/><Relationship Id="rId147" Type="http://schemas.openxmlformats.org/officeDocument/2006/relationships/hyperlink" Target="http://tardis.wikia.com/wiki/Special:BookSources/1844351289" TargetMode="External"/><Relationship Id="rId168" Type="http://schemas.openxmlformats.org/officeDocument/2006/relationships/hyperlink" Target="http://tardis.wikia.com/wiki/Special:BookSources/1844352412" TargetMode="External"/><Relationship Id="rId8" Type="http://schemas.openxmlformats.org/officeDocument/2006/relationships/hyperlink" Target="http://tardis.wikia.com/wiki/Special:BookSources/9781781780190" TargetMode="External"/><Relationship Id="rId51" Type="http://schemas.openxmlformats.org/officeDocument/2006/relationships/hyperlink" Target="http://tardis.wikia.com/wiki/Special:BookSources/0426205103" TargetMode="External"/><Relationship Id="rId72" Type="http://schemas.openxmlformats.org/officeDocument/2006/relationships/hyperlink" Target="http://tardis.wikia.com/wiki/Special:BookSources/9781844352784" TargetMode="External"/><Relationship Id="rId93" Type="http://schemas.openxmlformats.org/officeDocument/2006/relationships/hyperlink" Target="http://tardis.wikia.com/wiki/Special:BookSources/1903654009" TargetMode="External"/><Relationship Id="rId98" Type="http://schemas.openxmlformats.org/officeDocument/2006/relationships/hyperlink" Target="http://tardis.wikia.com/wiki/Special:BookSources/1903654041" TargetMode="External"/><Relationship Id="rId121" Type="http://schemas.openxmlformats.org/officeDocument/2006/relationships/hyperlink" Target="http://tardis.wikia.com/wiki/Special:BookSources/1844351092" TargetMode="External"/><Relationship Id="rId142" Type="http://schemas.openxmlformats.org/officeDocument/2006/relationships/hyperlink" Target="http://tardis.wikia.com/wiki/Special:BookSources/1844351270" TargetMode="External"/><Relationship Id="rId163" Type="http://schemas.openxmlformats.org/officeDocument/2006/relationships/hyperlink" Target="http://tardis.wikia.com/wiki/Special:BookSources/1844352412" TargetMode="External"/><Relationship Id="rId184" Type="http://schemas.openxmlformats.org/officeDocument/2006/relationships/hyperlink" Target="http://tardis.wikia.com/wiki/Special:BookSources/184435153X" TargetMode="External"/><Relationship Id="rId189" Type="http://schemas.openxmlformats.org/officeDocument/2006/relationships/hyperlink" Target="http://tardis.wikia.com/wiki/Special:BookSources/184435153X" TargetMode="External"/><Relationship Id="rId219" Type="http://schemas.openxmlformats.org/officeDocument/2006/relationships/hyperlink" Target="http://tardis.wikia.com/wiki/Special:BookSources/1844351521" TargetMode="External"/><Relationship Id="rId3" Type="http://schemas.openxmlformats.org/officeDocument/2006/relationships/hyperlink" Target="http://tardis.wikia.com/wiki/Special:BookSources/9781844359516" TargetMode="External"/><Relationship Id="rId214" Type="http://schemas.openxmlformats.org/officeDocument/2006/relationships/hyperlink" Target="http://tardis.wikia.com/wiki/Special:BookSources/1844352412" TargetMode="External"/><Relationship Id="rId230" Type="http://schemas.openxmlformats.org/officeDocument/2006/relationships/hyperlink" Target="http://tardis.wikia.com/wiki/Special:BookSources/0426205154" TargetMode="External"/><Relationship Id="rId235" Type="http://schemas.openxmlformats.org/officeDocument/2006/relationships/hyperlink" Target="http://tardis.wikia.com/wiki/Special:BookSources/184435153X" TargetMode="External"/><Relationship Id="rId25" Type="http://schemas.openxmlformats.org/officeDocument/2006/relationships/hyperlink" Target="http://tardis.wikia.com/wiki/Special:BookSources/9781846077845" TargetMode="External"/><Relationship Id="rId46" Type="http://schemas.openxmlformats.org/officeDocument/2006/relationships/hyperlink" Target="http://tardis.wikia.com/wiki/Special:BookSources/0426205154" TargetMode="External"/><Relationship Id="rId67" Type="http://schemas.openxmlformats.org/officeDocument/2006/relationships/hyperlink" Target="http://tardis.wikia.com/wiki/Special:BookSources/0426205332" TargetMode="External"/><Relationship Id="rId116" Type="http://schemas.openxmlformats.org/officeDocument/2006/relationships/hyperlink" Target="http://tardis.wikia.com/wiki/Special:BookSources/1844350436" TargetMode="External"/><Relationship Id="rId137" Type="http://schemas.openxmlformats.org/officeDocument/2006/relationships/hyperlink" Target="http://tardis.wikia.com/wiki/Special:BookSources/1844351084" TargetMode="External"/><Relationship Id="rId158" Type="http://schemas.openxmlformats.org/officeDocument/2006/relationships/hyperlink" Target="http://tardis.wikia.com/wiki/Special:BookSources/1844352412" TargetMode="External"/><Relationship Id="rId20" Type="http://schemas.openxmlformats.org/officeDocument/2006/relationships/hyperlink" Target="http://tardis.wikia.com/wiki/Special:BookSources/9781471311710" TargetMode="External"/><Relationship Id="rId41" Type="http://schemas.openxmlformats.org/officeDocument/2006/relationships/hyperlink" Target="http://tardis.wikia.com/wiki/Special:BookSources/0426205073" TargetMode="External"/><Relationship Id="rId62" Type="http://schemas.openxmlformats.org/officeDocument/2006/relationships/hyperlink" Target="http://tardis.wikia.com/wiki/Special:BookSources/0426205286" TargetMode="External"/><Relationship Id="rId83" Type="http://schemas.openxmlformats.org/officeDocument/2006/relationships/hyperlink" Target="http://tardis.wikia.com/wiki/Special:BookSources/1844352390" TargetMode="External"/><Relationship Id="rId88" Type="http://schemas.openxmlformats.org/officeDocument/2006/relationships/hyperlink" Target="http://tardis.wikia.com/wiki/Special:BookSources/1903654009" TargetMode="External"/><Relationship Id="rId111" Type="http://schemas.openxmlformats.org/officeDocument/2006/relationships/hyperlink" Target="http://tardis.wikia.com/wiki/Special:BookSources/1903654793" TargetMode="External"/><Relationship Id="rId132" Type="http://schemas.openxmlformats.org/officeDocument/2006/relationships/hyperlink" Target="http://tardis.wikia.com/wiki/Special:BookSources/1844351092" TargetMode="External"/><Relationship Id="rId153" Type="http://schemas.openxmlformats.org/officeDocument/2006/relationships/hyperlink" Target="http://tardis.wikia.com/wiki/Special:BookSources/1844352412" TargetMode="External"/><Relationship Id="rId174" Type="http://schemas.openxmlformats.org/officeDocument/2006/relationships/hyperlink" Target="http://tardis.wikia.com/wiki/Special:BookSources/1844352420" TargetMode="External"/><Relationship Id="rId179" Type="http://schemas.openxmlformats.org/officeDocument/2006/relationships/hyperlink" Target="http://tardis.wikia.com/wiki/Special:BookSources/184435153X" TargetMode="External"/><Relationship Id="rId195" Type="http://schemas.openxmlformats.org/officeDocument/2006/relationships/hyperlink" Target="http://tardis.wikia.com/wiki/Special:BookSources/9781781780664" TargetMode="External"/><Relationship Id="rId209" Type="http://schemas.openxmlformats.org/officeDocument/2006/relationships/hyperlink" Target="http://tardis.wikia.com/wiki/Special:BookSources/1844352412" TargetMode="External"/><Relationship Id="rId190" Type="http://schemas.openxmlformats.org/officeDocument/2006/relationships/hyperlink" Target="http://tardis.wikia.com/wiki/Special:BookSources/184435153X" TargetMode="External"/><Relationship Id="rId204" Type="http://schemas.openxmlformats.org/officeDocument/2006/relationships/hyperlink" Target="http://tardis.wikia.com/wiki/Special:BookSources/1844352420" TargetMode="External"/><Relationship Id="rId220" Type="http://schemas.openxmlformats.org/officeDocument/2006/relationships/hyperlink" Target="http://tardis.wikia.com/wiki/Special:BookSources/1844351521" TargetMode="External"/><Relationship Id="rId225" Type="http://schemas.openxmlformats.org/officeDocument/2006/relationships/hyperlink" Target="http://tardis.wikia.com/wiki/Special:BookSources/0426205154" TargetMode="External"/><Relationship Id="rId241" Type="http://schemas.openxmlformats.org/officeDocument/2006/relationships/hyperlink" Target="http://tardis.wikia.com/wiki/Special:BookSources/9781844352784" TargetMode="External"/><Relationship Id="rId246" Type="http://schemas.openxmlformats.org/officeDocument/2006/relationships/hyperlink" Target="http://tardis.wikia.com/wiki/Special:BookSources/9781844352784" TargetMode="External"/><Relationship Id="rId15" Type="http://schemas.openxmlformats.org/officeDocument/2006/relationships/hyperlink" Target="http://tardis.wikia.com/wiki/Special:BookSources/9781781780534" TargetMode="External"/><Relationship Id="rId36" Type="http://schemas.openxmlformats.org/officeDocument/2006/relationships/hyperlink" Target="http://tardis.wikia.com/wiki/Special:BookSources/1849902852" TargetMode="External"/><Relationship Id="rId57" Type="http://schemas.openxmlformats.org/officeDocument/2006/relationships/hyperlink" Target="http://tardis.wikia.com/wiki/Special:BookSources/0426205219" TargetMode="External"/><Relationship Id="rId106" Type="http://schemas.openxmlformats.org/officeDocument/2006/relationships/hyperlink" Target="http://tardis.wikia.com/wiki/Special:BookSources/1903654122" TargetMode="External"/><Relationship Id="rId127" Type="http://schemas.openxmlformats.org/officeDocument/2006/relationships/hyperlink" Target="http://tardis.wikia.com/wiki/Special:BookSources/1844351092" TargetMode="External"/><Relationship Id="rId10" Type="http://schemas.openxmlformats.org/officeDocument/2006/relationships/hyperlink" Target="http://tardis.wikia.com/wiki/Special:BookSources/9781844359431" TargetMode="External"/><Relationship Id="rId31" Type="http://schemas.openxmlformats.org/officeDocument/2006/relationships/hyperlink" Target="http://tardis.wikia.com/wiki/Special:BookSources/9781445860954" TargetMode="External"/><Relationship Id="rId52" Type="http://schemas.openxmlformats.org/officeDocument/2006/relationships/hyperlink" Target="http://tardis.wikia.com/wiki/Special:BookSources/042620512X" TargetMode="External"/><Relationship Id="rId73" Type="http://schemas.openxmlformats.org/officeDocument/2006/relationships/hyperlink" Target="http://tardis.wikia.com/wiki/Special:BookSources/9781844352784" TargetMode="External"/><Relationship Id="rId78" Type="http://schemas.openxmlformats.org/officeDocument/2006/relationships/hyperlink" Target="http://tardis.wikia.com/wiki/Special:BookSources/9781844352784" TargetMode="External"/><Relationship Id="rId94" Type="http://schemas.openxmlformats.org/officeDocument/2006/relationships/hyperlink" Target="http://tardis.wikia.com/wiki/Special:BookSources/1903654009" TargetMode="External"/><Relationship Id="rId99" Type="http://schemas.openxmlformats.org/officeDocument/2006/relationships/hyperlink" Target="http://tardis.wikia.com/wiki/Special:BookSources/1903654238" TargetMode="External"/><Relationship Id="rId101" Type="http://schemas.openxmlformats.org/officeDocument/2006/relationships/hyperlink" Target="http://tardis.wikia.com/wiki/Special:BookSources/1903654165" TargetMode="External"/><Relationship Id="rId122" Type="http://schemas.openxmlformats.org/officeDocument/2006/relationships/hyperlink" Target="http://tardis.wikia.com/wiki/Special:BookSources/1844351092" TargetMode="External"/><Relationship Id="rId143" Type="http://schemas.openxmlformats.org/officeDocument/2006/relationships/hyperlink" Target="http://tardis.wikia.com/wiki/Special:BookSources/1844351327" TargetMode="External"/><Relationship Id="rId148" Type="http://schemas.openxmlformats.org/officeDocument/2006/relationships/hyperlink" Target="http://tardis.wikia.com/wiki/Special:BookSources/1844351890" TargetMode="External"/><Relationship Id="rId164" Type="http://schemas.openxmlformats.org/officeDocument/2006/relationships/hyperlink" Target="http://tardis.wikia.com/wiki/Special:BookSources/1844352412" TargetMode="External"/><Relationship Id="rId169" Type="http://schemas.openxmlformats.org/officeDocument/2006/relationships/hyperlink" Target="http://tardis.wikia.com/wiki/Special:BookSources/1844352412" TargetMode="External"/><Relationship Id="rId185" Type="http://schemas.openxmlformats.org/officeDocument/2006/relationships/hyperlink" Target="http://tardis.wikia.com/wiki/Special:BookSources/184435153X" TargetMode="External"/><Relationship Id="rId4" Type="http://schemas.openxmlformats.org/officeDocument/2006/relationships/hyperlink" Target="http://tardis.wikia.com/wiki/Special:BookSources/9781781780633" TargetMode="External"/><Relationship Id="rId9" Type="http://schemas.openxmlformats.org/officeDocument/2006/relationships/hyperlink" Target="http://tardis.wikia.com/wiki/Special:BookSources/9781781780213" TargetMode="External"/><Relationship Id="rId180" Type="http://schemas.openxmlformats.org/officeDocument/2006/relationships/hyperlink" Target="http://tardis.wikia.com/wiki/Special:BookSources/184435153X" TargetMode="External"/><Relationship Id="rId210" Type="http://schemas.openxmlformats.org/officeDocument/2006/relationships/hyperlink" Target="http://tardis.wikia.com/wiki/Special:BookSources/1844352412" TargetMode="External"/><Relationship Id="rId215" Type="http://schemas.openxmlformats.org/officeDocument/2006/relationships/hyperlink" Target="http://tardis.wikia.com/wiki/Special:BookSources/1844352412" TargetMode="External"/><Relationship Id="rId236" Type="http://schemas.openxmlformats.org/officeDocument/2006/relationships/hyperlink" Target="http://tardis.wikia.com/wiki/Special:BookSources/184435153X" TargetMode="External"/><Relationship Id="rId26" Type="http://schemas.openxmlformats.org/officeDocument/2006/relationships/hyperlink" Target="http://tardis.wikia.com/wiki/Special:BookSources/9781846077845" TargetMode="External"/><Relationship Id="rId231" Type="http://schemas.openxmlformats.org/officeDocument/2006/relationships/hyperlink" Target="http://tardis.wikia.com/wiki/Special:BookSources/0426205154" TargetMode="External"/><Relationship Id="rId47" Type="http://schemas.openxmlformats.org/officeDocument/2006/relationships/hyperlink" Target="http://tardis.wikia.com/wiki/Special:BookSources/1903654351" TargetMode="External"/><Relationship Id="rId68" Type="http://schemas.openxmlformats.org/officeDocument/2006/relationships/hyperlink" Target="http://tardis.wikia.com/wiki/Special:BookSources/0426205340" TargetMode="External"/><Relationship Id="rId89" Type="http://schemas.openxmlformats.org/officeDocument/2006/relationships/hyperlink" Target="http://tardis.wikia.com/wiki/Special:BookSources/1903654009" TargetMode="External"/><Relationship Id="rId112" Type="http://schemas.openxmlformats.org/officeDocument/2006/relationships/hyperlink" Target="http://tardis.wikia.com/wiki/Special:BookSources/1903654718" TargetMode="External"/><Relationship Id="rId133" Type="http://schemas.openxmlformats.org/officeDocument/2006/relationships/hyperlink" Target="http://tardis.wikia.com/wiki/Special:BookSources/1844351092" TargetMode="External"/><Relationship Id="rId154" Type="http://schemas.openxmlformats.org/officeDocument/2006/relationships/hyperlink" Target="http://tardis.wikia.com/wiki/Special:BookSources/1844352412" TargetMode="External"/><Relationship Id="rId175" Type="http://schemas.openxmlformats.org/officeDocument/2006/relationships/hyperlink" Target="http://tardis.wikia.com/wiki/Special:BookSources/184435153X" TargetMode="External"/><Relationship Id="rId196" Type="http://schemas.openxmlformats.org/officeDocument/2006/relationships/hyperlink" Target="http://tardis.wikia.com/wiki/Special:BookSources/1844352544" TargetMode="External"/><Relationship Id="rId200" Type="http://schemas.openxmlformats.org/officeDocument/2006/relationships/hyperlink" Target="http://tardis.wikia.com/wiki/Special:BookSources/1844352544" TargetMode="External"/><Relationship Id="rId16" Type="http://schemas.openxmlformats.org/officeDocument/2006/relationships/hyperlink" Target="http://tardis.wikia.com/wiki/Special:BookSources/9781471311567" TargetMode="External"/><Relationship Id="rId221" Type="http://schemas.openxmlformats.org/officeDocument/2006/relationships/hyperlink" Target="http://tardis.wikia.com/wiki/Special:BookSources/0426205154" TargetMode="External"/><Relationship Id="rId242" Type="http://schemas.openxmlformats.org/officeDocument/2006/relationships/hyperlink" Target="http://tardis.wikia.com/wiki/Special:BookSources/9781844352784" TargetMode="External"/><Relationship Id="rId37" Type="http://schemas.openxmlformats.org/officeDocument/2006/relationships/hyperlink" Target="http://tardis.wikia.com/wiki/Special:BookSources/9781445871929" TargetMode="External"/><Relationship Id="rId58" Type="http://schemas.openxmlformats.org/officeDocument/2006/relationships/hyperlink" Target="http://tardis.wikia.com/wiki/Special:BookSources/0426205227" TargetMode="External"/><Relationship Id="rId79" Type="http://schemas.openxmlformats.org/officeDocument/2006/relationships/hyperlink" Target="http://tardis.wikia.com/wiki/Special:BookSources/9781844352784" TargetMode="External"/><Relationship Id="rId102" Type="http://schemas.openxmlformats.org/officeDocument/2006/relationships/hyperlink" Target="http://tardis.wikia.com/wiki/Special:BookSources/1903645441" TargetMode="External"/><Relationship Id="rId123" Type="http://schemas.openxmlformats.org/officeDocument/2006/relationships/hyperlink" Target="http://tardis.wikia.com/wiki/Special:BookSources/1844351092" TargetMode="External"/><Relationship Id="rId144" Type="http://schemas.openxmlformats.org/officeDocument/2006/relationships/hyperlink" Target="http://tardis.wikia.com/wiki/Special:BookSources/1844351297" TargetMode="External"/><Relationship Id="rId90" Type="http://schemas.openxmlformats.org/officeDocument/2006/relationships/hyperlink" Target="http://tardis.wikia.com/wiki/Special:BookSources/1903654009" TargetMode="External"/><Relationship Id="rId165" Type="http://schemas.openxmlformats.org/officeDocument/2006/relationships/hyperlink" Target="http://tardis.wikia.com/wiki/Special:BookSources/1844352412" TargetMode="External"/><Relationship Id="rId186" Type="http://schemas.openxmlformats.org/officeDocument/2006/relationships/hyperlink" Target="http://tardis.wikia.com/wiki/Special:BookSources/184435153X" TargetMode="External"/><Relationship Id="rId211" Type="http://schemas.openxmlformats.org/officeDocument/2006/relationships/hyperlink" Target="http://tardis.wikia.com/wiki/Special:BookSources/1844352412" TargetMode="External"/><Relationship Id="rId232" Type="http://schemas.openxmlformats.org/officeDocument/2006/relationships/hyperlink" Target="http://tardis.wikia.com/wiki/Special:BookSources/184435153X" TargetMode="External"/><Relationship Id="rId27" Type="http://schemas.openxmlformats.org/officeDocument/2006/relationships/hyperlink" Target="http://tardis.wikia.com/wiki/Special:BookSources/9781845769369" TargetMode="External"/><Relationship Id="rId48" Type="http://schemas.openxmlformats.org/officeDocument/2006/relationships/hyperlink" Target="http://tardis.wikia.com/wiki/Special:BookSources/1903654351" TargetMode="External"/><Relationship Id="rId69" Type="http://schemas.openxmlformats.org/officeDocument/2006/relationships/hyperlink" Target="http://tardis.wikia.com/wiki/Special:BookSources/0426205359" TargetMode="External"/><Relationship Id="rId113" Type="http://schemas.openxmlformats.org/officeDocument/2006/relationships/hyperlink" Target="http://tardis.wikia.com/wiki/Special:BookSources/1844350401" TargetMode="External"/><Relationship Id="rId134" Type="http://schemas.openxmlformats.org/officeDocument/2006/relationships/hyperlink" Target="http://tardis.wikia.com/wiki/Special:BookSources/1844351092" TargetMode="External"/><Relationship Id="rId80" Type="http://schemas.openxmlformats.org/officeDocument/2006/relationships/hyperlink" Target="http://tardis.wikia.com/wiki/Special:BookSources/9781844352784" TargetMode="External"/><Relationship Id="rId155" Type="http://schemas.openxmlformats.org/officeDocument/2006/relationships/hyperlink" Target="http://tardis.wikia.com/wiki/Special:BookSources/1844352412" TargetMode="External"/><Relationship Id="rId176" Type="http://schemas.openxmlformats.org/officeDocument/2006/relationships/hyperlink" Target="http://tardis.wikia.com/wiki/Special:BookSources/184435153X" TargetMode="External"/><Relationship Id="rId197" Type="http://schemas.openxmlformats.org/officeDocument/2006/relationships/hyperlink" Target="http://tardis.wikia.com/wiki/Special:BookSources/1844352544" TargetMode="External"/><Relationship Id="rId201" Type="http://schemas.openxmlformats.org/officeDocument/2006/relationships/hyperlink" Target="http://tardis.wikia.com/wiki/Special:BookSources/1844352544" TargetMode="External"/><Relationship Id="rId222" Type="http://schemas.openxmlformats.org/officeDocument/2006/relationships/hyperlink" Target="http://tardis.wikia.com/wiki/Special:BookSources/0426205154" TargetMode="External"/><Relationship Id="rId243" Type="http://schemas.openxmlformats.org/officeDocument/2006/relationships/hyperlink" Target="http://tardis.wikia.com/wiki/Special:BookSources/97818443527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197"/>
  <sheetViews>
    <sheetView tabSelected="1" workbookViewId="0">
      <pane ySplit="1" topLeftCell="A2" activePane="bottomLeft" state="frozenSplit"/>
      <selection pane="bottomLeft" activeCell="E27" sqref="E27"/>
    </sheetView>
  </sheetViews>
  <sheetFormatPr defaultRowHeight="13.2" x14ac:dyDescent="0.25"/>
  <cols>
    <col min="1" max="1" width="28.21875" bestFit="1" customWidth="1"/>
    <col min="2" max="2" width="47.5546875" style="109" bestFit="1" customWidth="1"/>
    <col min="3" max="3" width="4" style="51" bestFit="1" customWidth="1"/>
    <col min="4" max="4" width="15.44140625" style="67" customWidth="1"/>
    <col min="5" max="5" width="39.44140625" style="81" bestFit="1" customWidth="1"/>
    <col min="6" max="6" width="3" style="84" bestFit="1" customWidth="1"/>
    <col min="7" max="7" width="28.5546875" style="81" bestFit="1" customWidth="1"/>
    <col min="8" max="8" width="6.21875" style="757" bestFit="1" customWidth="1"/>
    <col min="9" max="9" width="5.88671875" style="757" bestFit="1" customWidth="1"/>
    <col min="10" max="10" width="6.21875" style="757" bestFit="1" customWidth="1"/>
    <col min="11" max="11" width="6.44140625" style="757" bestFit="1" customWidth="1"/>
  </cols>
  <sheetData>
    <row r="1" spans="1:34" s="4" customFormat="1" ht="12.75" customHeight="1" x14ac:dyDescent="0.25">
      <c r="A1" s="52" t="s">
        <v>7582</v>
      </c>
      <c r="B1" s="52" t="s">
        <v>7581</v>
      </c>
      <c r="C1" s="53" t="s">
        <v>7613</v>
      </c>
      <c r="D1" s="63" t="s">
        <v>7850</v>
      </c>
      <c r="E1" s="80"/>
      <c r="F1" s="82"/>
      <c r="G1" s="83" t="s">
        <v>215</v>
      </c>
      <c r="H1" s="14" t="s">
        <v>5648</v>
      </c>
      <c r="I1" s="116" t="s">
        <v>15428</v>
      </c>
      <c r="J1" s="63" t="s">
        <v>5648</v>
      </c>
      <c r="K1" s="14" t="s">
        <v>15429</v>
      </c>
      <c r="L1" s="17"/>
      <c r="M1" s="17"/>
      <c r="N1" s="17"/>
      <c r="O1" s="13"/>
      <c r="P1" s="17"/>
      <c r="Q1" s="23"/>
      <c r="R1" s="28"/>
      <c r="S1" s="20"/>
      <c r="T1" s="13"/>
      <c r="U1" s="13"/>
      <c r="V1" s="13"/>
      <c r="W1" s="18"/>
      <c r="X1" s="49"/>
      <c r="Y1" s="15"/>
      <c r="Z1" s="15"/>
      <c r="AA1" s="15"/>
      <c r="AB1" s="16"/>
      <c r="AC1" s="30"/>
      <c r="AD1" s="16"/>
      <c r="AE1" s="30"/>
      <c r="AF1" s="16"/>
      <c r="AG1" s="19"/>
      <c r="AH1" s="50"/>
    </row>
    <row r="2" spans="1:34" ht="12.75" customHeight="1" x14ac:dyDescent="0.25">
      <c r="A2" s="10" t="s">
        <v>12576</v>
      </c>
      <c r="B2" s="104" t="s">
        <v>15989</v>
      </c>
      <c r="C2" s="54"/>
      <c r="D2" s="64" t="s">
        <v>7852</v>
      </c>
      <c r="E2" s="81" t="s">
        <v>7855</v>
      </c>
      <c r="F2" s="84">
        <v>1</v>
      </c>
      <c r="G2" s="81" t="s">
        <v>4778</v>
      </c>
      <c r="H2" s="756" t="s">
        <v>4706</v>
      </c>
      <c r="I2" s="115">
        <v>1</v>
      </c>
      <c r="J2" s="756" t="s">
        <v>4706</v>
      </c>
      <c r="K2" s="760">
        <f>TIME(1,0,0)</f>
        <v>4.1666666666666664E-2</v>
      </c>
    </row>
    <row r="3" spans="1:34" ht="12.75" customHeight="1" x14ac:dyDescent="0.25">
      <c r="A3" s="141" t="s">
        <v>13344</v>
      </c>
      <c r="B3" s="104" t="s">
        <v>14280</v>
      </c>
      <c r="C3" s="54"/>
      <c r="D3" s="65" t="s">
        <v>7853</v>
      </c>
      <c r="E3" s="81" t="s">
        <v>1442</v>
      </c>
      <c r="F3" s="84">
        <v>2</v>
      </c>
      <c r="G3" s="81" t="s">
        <v>4779</v>
      </c>
      <c r="H3" s="758" t="s">
        <v>6868</v>
      </c>
      <c r="I3" s="761">
        <f>TIME(0,1,0)</f>
        <v>6.9444444444444447E-4</v>
      </c>
      <c r="J3" s="758" t="s">
        <v>6868</v>
      </c>
      <c r="K3" s="760">
        <f>TIME(3,0,0)</f>
        <v>0.125</v>
      </c>
    </row>
    <row r="4" spans="1:34" ht="12.75" customHeight="1" x14ac:dyDescent="0.25">
      <c r="A4" s="10" t="s">
        <v>7162</v>
      </c>
      <c r="B4" s="104" t="s">
        <v>14380</v>
      </c>
      <c r="C4" s="54"/>
      <c r="D4" s="66" t="s">
        <v>7854</v>
      </c>
      <c r="E4" s="81" t="s">
        <v>7859</v>
      </c>
      <c r="F4" s="84">
        <v>3</v>
      </c>
      <c r="G4" s="81" t="s">
        <v>4780</v>
      </c>
      <c r="H4" s="759" t="s">
        <v>15556</v>
      </c>
      <c r="I4" s="761">
        <f>TIME(0,0,30)</f>
        <v>3.4722222222222224E-4</v>
      </c>
      <c r="J4" s="759" t="s">
        <v>15556</v>
      </c>
      <c r="K4" s="762">
        <f>TIME(1,30,0)</f>
        <v>6.25E-2</v>
      </c>
    </row>
    <row r="5" spans="1:34" ht="12.75" customHeight="1" x14ac:dyDescent="0.25">
      <c r="A5" s="10" t="s">
        <v>15463</v>
      </c>
      <c r="B5" s="104" t="s">
        <v>15465</v>
      </c>
      <c r="C5" s="54"/>
      <c r="D5" s="67" t="s">
        <v>915</v>
      </c>
      <c r="E5" s="81" t="s">
        <v>7851</v>
      </c>
      <c r="F5" s="84">
        <v>4</v>
      </c>
      <c r="G5" s="81" t="s">
        <v>4781</v>
      </c>
      <c r="H5" s="759" t="s">
        <v>1796</v>
      </c>
      <c r="I5" s="761">
        <f>TIME(0,0,30)</f>
        <v>3.4722222222222224E-4</v>
      </c>
      <c r="J5" s="759" t="s">
        <v>1796</v>
      </c>
      <c r="K5" s="762">
        <f>TIME(0,5,0)</f>
        <v>3.472222222222222E-3</v>
      </c>
    </row>
    <row r="6" spans="1:34" ht="12.75" customHeight="1" x14ac:dyDescent="0.25">
      <c r="A6" s="10" t="s">
        <v>15464</v>
      </c>
      <c r="B6" s="104" t="s">
        <v>15466</v>
      </c>
      <c r="C6" s="54"/>
      <c r="D6" s="68" t="s">
        <v>916</v>
      </c>
      <c r="E6" s="81" t="s">
        <v>7856</v>
      </c>
      <c r="F6" s="84">
        <v>5</v>
      </c>
      <c r="G6" s="81" t="s">
        <v>4782</v>
      </c>
      <c r="H6" s="759" t="s">
        <v>3346</v>
      </c>
      <c r="I6" s="757">
        <v>1</v>
      </c>
      <c r="J6" s="759" t="s">
        <v>3346</v>
      </c>
      <c r="K6" s="760">
        <f>TIME(1,0,0)</f>
        <v>4.1666666666666664E-2</v>
      </c>
    </row>
    <row r="7" spans="1:34" ht="12.75" customHeight="1" x14ac:dyDescent="0.25">
      <c r="A7" s="10" t="s">
        <v>13022</v>
      </c>
      <c r="B7" s="104" t="s">
        <v>13343</v>
      </c>
      <c r="C7" s="54"/>
      <c r="D7" s="69" t="s">
        <v>7857</v>
      </c>
      <c r="E7" s="81" t="s">
        <v>7858</v>
      </c>
      <c r="F7" s="84">
        <v>6</v>
      </c>
      <c r="G7" s="81" t="s">
        <v>4783</v>
      </c>
      <c r="H7" s="759" t="s">
        <v>3117</v>
      </c>
      <c r="I7" s="757">
        <v>1</v>
      </c>
      <c r="J7" s="759" t="s">
        <v>3117</v>
      </c>
      <c r="K7" s="760">
        <f>TIME(1,0,0)</f>
        <v>4.1666666666666664E-2</v>
      </c>
    </row>
    <row r="8" spans="1:34" ht="12.75" customHeight="1" x14ac:dyDescent="0.25">
      <c r="A8" s="10" t="s">
        <v>13051</v>
      </c>
      <c r="B8" s="104" t="s">
        <v>15467</v>
      </c>
      <c r="C8" s="54"/>
      <c r="E8" s="81" t="s">
        <v>7860</v>
      </c>
      <c r="F8" s="84">
        <v>7</v>
      </c>
      <c r="G8" s="81" t="s">
        <v>4784</v>
      </c>
      <c r="H8" s="759" t="s">
        <v>2755</v>
      </c>
      <c r="I8" s="761">
        <f>TIME(0,1,0)</f>
        <v>6.9444444444444447E-4</v>
      </c>
      <c r="J8" s="759" t="s">
        <v>2755</v>
      </c>
      <c r="K8" s="762">
        <f>TIME(0,25,0)</f>
        <v>1.7361111111111112E-2</v>
      </c>
    </row>
    <row r="9" spans="1:34" ht="12.75" customHeight="1" x14ac:dyDescent="0.25">
      <c r="A9" s="10" t="s">
        <v>14312</v>
      </c>
      <c r="B9" s="104"/>
      <c r="C9" s="54"/>
      <c r="E9" s="81" t="s">
        <v>1440</v>
      </c>
      <c r="F9" s="84">
        <v>8</v>
      </c>
      <c r="G9" s="81" t="s">
        <v>4785</v>
      </c>
      <c r="H9" s="759" t="s">
        <v>1588</v>
      </c>
      <c r="I9" s="757">
        <v>1</v>
      </c>
      <c r="J9" s="759" t="s">
        <v>1588</v>
      </c>
      <c r="K9" s="760">
        <f>TIME(1,0,0)</f>
        <v>4.1666666666666664E-2</v>
      </c>
    </row>
    <row r="10" spans="1:34" ht="12.75" customHeight="1" x14ac:dyDescent="0.25">
      <c r="A10" s="10" t="s">
        <v>15017</v>
      </c>
      <c r="B10" s="104"/>
      <c r="C10" s="54"/>
      <c r="E10" s="81" t="s">
        <v>1441</v>
      </c>
      <c r="F10" s="84">
        <v>9</v>
      </c>
      <c r="G10" s="81" t="s">
        <v>4786</v>
      </c>
    </row>
    <row r="11" spans="1:34" ht="12.75" customHeight="1" x14ac:dyDescent="0.25">
      <c r="A11" s="10" t="s">
        <v>15252</v>
      </c>
      <c r="B11" s="104" t="s">
        <v>15253</v>
      </c>
      <c r="C11" s="54"/>
      <c r="F11" s="84">
        <v>10</v>
      </c>
      <c r="G11" s="81" t="s">
        <v>4787</v>
      </c>
    </row>
    <row r="12" spans="1:34" ht="12.75" customHeight="1" x14ac:dyDescent="0.25">
      <c r="A12" s="96" t="s">
        <v>7811</v>
      </c>
      <c r="B12" s="105" t="s">
        <v>7586</v>
      </c>
      <c r="C12" s="54" t="s">
        <v>7532</v>
      </c>
      <c r="D12" s="70">
        <v>1</v>
      </c>
      <c r="E12" s="81" t="s">
        <v>11543</v>
      </c>
      <c r="F12" s="84">
        <v>11</v>
      </c>
      <c r="G12" s="81" t="s">
        <v>4788</v>
      </c>
    </row>
    <row r="13" spans="1:34" ht="12.75" customHeight="1" x14ac:dyDescent="0.25">
      <c r="A13" s="10" t="s">
        <v>12842</v>
      </c>
      <c r="B13" s="104" t="s">
        <v>1187</v>
      </c>
      <c r="C13" s="54" t="s">
        <v>7532</v>
      </c>
      <c r="D13" s="71">
        <v>2</v>
      </c>
      <c r="E13" s="81" t="s">
        <v>11544</v>
      </c>
      <c r="F13" s="84">
        <v>12</v>
      </c>
      <c r="G13" s="81" t="s">
        <v>4971</v>
      </c>
    </row>
    <row r="14" spans="1:34" ht="12.75" customHeight="1" x14ac:dyDescent="0.25">
      <c r="A14" s="98" t="s">
        <v>11448</v>
      </c>
      <c r="B14" s="107" t="s">
        <v>13308</v>
      </c>
      <c r="C14" s="102" t="s">
        <v>7532</v>
      </c>
      <c r="D14" s="87">
        <v>3</v>
      </c>
      <c r="E14" s="81" t="s">
        <v>11545</v>
      </c>
      <c r="F14" s="84">
        <v>13</v>
      </c>
      <c r="G14" s="85">
        <v>2040</v>
      </c>
    </row>
    <row r="15" spans="1:34" ht="12.75" customHeight="1" x14ac:dyDescent="0.25">
      <c r="A15" s="97" t="s">
        <v>5268</v>
      </c>
      <c r="B15" s="106" t="s">
        <v>7585</v>
      </c>
      <c r="C15" s="54" t="s">
        <v>7532</v>
      </c>
      <c r="D15" s="72">
        <v>4</v>
      </c>
      <c r="E15" s="81" t="s">
        <v>11546</v>
      </c>
      <c r="F15" s="84">
        <v>14</v>
      </c>
      <c r="G15" s="81" t="s">
        <v>4789</v>
      </c>
    </row>
    <row r="16" spans="1:34" ht="12.75" customHeight="1" x14ac:dyDescent="0.25">
      <c r="A16" s="98" t="s">
        <v>15500</v>
      </c>
      <c r="B16" s="107" t="s">
        <v>15545</v>
      </c>
      <c r="C16" s="102" t="s">
        <v>7532</v>
      </c>
      <c r="D16" s="73">
        <v>5</v>
      </c>
      <c r="E16" s="81" t="s">
        <v>11547</v>
      </c>
      <c r="F16" s="84">
        <v>15</v>
      </c>
      <c r="G16" s="81" t="s">
        <v>7476</v>
      </c>
    </row>
    <row r="17" spans="1:7" ht="12.75" customHeight="1" x14ac:dyDescent="0.25">
      <c r="A17" s="98" t="s">
        <v>4600</v>
      </c>
      <c r="B17" s="107" t="s">
        <v>15457</v>
      </c>
      <c r="C17" s="102"/>
      <c r="D17" s="74">
        <v>6</v>
      </c>
      <c r="E17" s="81" t="s">
        <v>11548</v>
      </c>
      <c r="F17" s="84">
        <v>16</v>
      </c>
      <c r="G17" s="81" t="s">
        <v>4790</v>
      </c>
    </row>
    <row r="18" spans="1:7" ht="12.75" customHeight="1" x14ac:dyDescent="0.25">
      <c r="A18" s="10" t="s">
        <v>11134</v>
      </c>
      <c r="B18" s="104" t="s">
        <v>11210</v>
      </c>
      <c r="C18" s="54" t="s">
        <v>7532</v>
      </c>
      <c r="D18" s="88">
        <v>7</v>
      </c>
      <c r="E18" s="81" t="s">
        <v>11549</v>
      </c>
      <c r="F18" s="84">
        <v>17</v>
      </c>
      <c r="G18" s="81" t="s">
        <v>201</v>
      </c>
    </row>
    <row r="19" spans="1:7" ht="12.75" customHeight="1" x14ac:dyDescent="0.25">
      <c r="A19" s="100" t="s">
        <v>4795</v>
      </c>
      <c r="B19" s="108" t="s">
        <v>7583</v>
      </c>
      <c r="C19" s="54" t="s">
        <v>7532</v>
      </c>
      <c r="D19" s="75">
        <v>8</v>
      </c>
      <c r="E19" s="81" t="s">
        <v>11550</v>
      </c>
      <c r="F19" s="84">
        <v>18</v>
      </c>
      <c r="G19" s="81" t="s">
        <v>202</v>
      </c>
    </row>
    <row r="20" spans="1:7" ht="12.75" customHeight="1" x14ac:dyDescent="0.25">
      <c r="A20" s="10" t="s">
        <v>12703</v>
      </c>
      <c r="B20" s="104" t="s">
        <v>5483</v>
      </c>
      <c r="C20" s="54"/>
      <c r="D20" s="91" t="s">
        <v>8003</v>
      </c>
      <c r="E20" s="92" t="s">
        <v>11551</v>
      </c>
      <c r="F20" s="84">
        <v>19</v>
      </c>
      <c r="G20" s="81" t="s">
        <v>203</v>
      </c>
    </row>
    <row r="21" spans="1:7" ht="12.75" customHeight="1" x14ac:dyDescent="0.25">
      <c r="A21" s="96" t="s">
        <v>2712</v>
      </c>
      <c r="B21" s="105" t="s">
        <v>2178</v>
      </c>
      <c r="C21" s="54" t="s">
        <v>7532</v>
      </c>
      <c r="D21" s="76">
        <v>9</v>
      </c>
      <c r="E21" s="81" t="s">
        <v>11552</v>
      </c>
      <c r="F21" s="84">
        <v>20</v>
      </c>
      <c r="G21" s="81" t="s">
        <v>204</v>
      </c>
    </row>
    <row r="22" spans="1:7" ht="12.75" customHeight="1" x14ac:dyDescent="0.25">
      <c r="A22" s="97" t="s">
        <v>5278</v>
      </c>
      <c r="B22" s="106" t="s">
        <v>7584</v>
      </c>
      <c r="C22" s="54"/>
      <c r="D22" s="86">
        <v>10</v>
      </c>
      <c r="E22" s="81" t="s">
        <v>11553</v>
      </c>
      <c r="F22" s="84">
        <v>21</v>
      </c>
      <c r="G22" s="81" t="s">
        <v>205</v>
      </c>
    </row>
    <row r="23" spans="1:7" ht="12.75" customHeight="1" x14ac:dyDescent="0.25">
      <c r="A23" s="10" t="s">
        <v>5481</v>
      </c>
      <c r="B23" s="104" t="s">
        <v>5483</v>
      </c>
      <c r="C23" s="54"/>
      <c r="D23" s="77">
        <v>11</v>
      </c>
      <c r="E23" s="81" t="s">
        <v>11554</v>
      </c>
      <c r="F23" s="84">
        <v>22</v>
      </c>
      <c r="G23" s="81" t="s">
        <v>3154</v>
      </c>
    </row>
    <row r="24" spans="1:7" ht="12.75" customHeight="1" x14ac:dyDescent="0.25">
      <c r="A24" t="s">
        <v>6988</v>
      </c>
      <c r="B24" s="109" t="s">
        <v>5483</v>
      </c>
      <c r="C24" s="54"/>
      <c r="D24" s="90">
        <v>12</v>
      </c>
      <c r="E24" s="81" t="s">
        <v>11555</v>
      </c>
      <c r="F24" s="84">
        <v>23</v>
      </c>
      <c r="G24" s="81" t="s">
        <v>206</v>
      </c>
    </row>
    <row r="25" spans="1:7" ht="12.75" customHeight="1" x14ac:dyDescent="0.25">
      <c r="A25" s="97" t="s">
        <v>5482</v>
      </c>
      <c r="B25" s="106" t="s">
        <v>5483</v>
      </c>
      <c r="C25" s="54"/>
      <c r="D25" s="135">
        <v>13</v>
      </c>
      <c r="E25" s="92" t="s">
        <v>11542</v>
      </c>
      <c r="F25" s="84">
        <v>24</v>
      </c>
      <c r="G25" s="81" t="s">
        <v>207</v>
      </c>
    </row>
    <row r="26" spans="1:7" ht="12.75" customHeight="1" x14ac:dyDescent="0.25">
      <c r="A26" s="10" t="s">
        <v>3711</v>
      </c>
      <c r="B26" s="104" t="s">
        <v>10561</v>
      </c>
      <c r="C26" s="54" t="s">
        <v>7532</v>
      </c>
      <c r="D26" s="128" t="s">
        <v>15988</v>
      </c>
      <c r="E26" s="92" t="s">
        <v>15987</v>
      </c>
      <c r="F26" s="84">
        <v>25</v>
      </c>
      <c r="G26" s="81" t="s">
        <v>208</v>
      </c>
    </row>
    <row r="27" spans="1:7" ht="12.75" customHeight="1" x14ac:dyDescent="0.25">
      <c r="A27" s="10" t="s">
        <v>9691</v>
      </c>
      <c r="B27" s="104" t="s">
        <v>12535</v>
      </c>
      <c r="C27" s="54"/>
      <c r="D27" s="129" t="s">
        <v>37</v>
      </c>
      <c r="E27" s="92" t="s">
        <v>11556</v>
      </c>
      <c r="F27" s="84">
        <v>26</v>
      </c>
      <c r="G27" s="81" t="s">
        <v>209</v>
      </c>
    </row>
    <row r="28" spans="1:7" ht="12.75" customHeight="1" x14ac:dyDescent="0.25">
      <c r="A28" s="96" t="s">
        <v>6721</v>
      </c>
      <c r="B28" s="105" t="s">
        <v>10560</v>
      </c>
      <c r="C28" s="54" t="s">
        <v>7532</v>
      </c>
      <c r="D28" s="78" t="s">
        <v>3365</v>
      </c>
      <c r="E28" s="81" t="s">
        <v>1443</v>
      </c>
      <c r="F28" s="84">
        <v>27</v>
      </c>
      <c r="G28" s="81" t="s">
        <v>210</v>
      </c>
    </row>
    <row r="29" spans="1:7" ht="12.75" customHeight="1" x14ac:dyDescent="0.25">
      <c r="A29" s="96" t="s">
        <v>6741</v>
      </c>
      <c r="B29" s="105" t="s">
        <v>10493</v>
      </c>
      <c r="C29" s="102" t="s">
        <v>7532</v>
      </c>
      <c r="D29" s="79" t="s">
        <v>2650</v>
      </c>
      <c r="E29" s="81" t="s">
        <v>1438</v>
      </c>
      <c r="F29" s="84">
        <v>28</v>
      </c>
      <c r="G29" s="81" t="s">
        <v>211</v>
      </c>
    </row>
    <row r="30" spans="1:7" ht="12.75" customHeight="1" x14ac:dyDescent="0.25">
      <c r="A30" s="98" t="s">
        <v>6720</v>
      </c>
      <c r="B30" s="107" t="s">
        <v>13375</v>
      </c>
      <c r="C30" s="102" t="s">
        <v>7532</v>
      </c>
      <c r="E30" s="81" t="s">
        <v>1446</v>
      </c>
      <c r="F30" s="84">
        <v>29</v>
      </c>
      <c r="G30" s="81" t="s">
        <v>212</v>
      </c>
    </row>
    <row r="31" spans="1:7" ht="12.75" customHeight="1" x14ac:dyDescent="0.25">
      <c r="A31" s="10" t="s">
        <v>576</v>
      </c>
      <c r="B31" s="104" t="s">
        <v>8527</v>
      </c>
      <c r="C31" s="54" t="s">
        <v>7532</v>
      </c>
      <c r="E31" s="81" t="s">
        <v>1445</v>
      </c>
      <c r="F31" s="84">
        <v>30</v>
      </c>
      <c r="G31" s="81" t="s">
        <v>213</v>
      </c>
    </row>
    <row r="32" spans="1:7" ht="12.75" customHeight="1" x14ac:dyDescent="0.25">
      <c r="A32" s="10" t="s">
        <v>1377</v>
      </c>
      <c r="B32" s="104" t="s">
        <v>1376</v>
      </c>
      <c r="C32" s="54" t="s">
        <v>7532</v>
      </c>
      <c r="E32" s="81" t="s">
        <v>1444</v>
      </c>
      <c r="F32" s="84">
        <v>31</v>
      </c>
      <c r="G32" s="81" t="s">
        <v>214</v>
      </c>
    </row>
    <row r="33" spans="1:5" ht="12.75" customHeight="1" x14ac:dyDescent="0.25">
      <c r="A33" s="10" t="s">
        <v>3146</v>
      </c>
      <c r="B33" s="104" t="s">
        <v>15796</v>
      </c>
      <c r="C33" s="54"/>
      <c r="E33" s="81" t="s">
        <v>1447</v>
      </c>
    </row>
    <row r="34" spans="1:5" ht="12.75" customHeight="1" x14ac:dyDescent="0.25">
      <c r="A34" s="10" t="s">
        <v>9705</v>
      </c>
      <c r="B34" s="104" t="s">
        <v>13309</v>
      </c>
      <c r="C34" s="54" t="s">
        <v>7532</v>
      </c>
    </row>
    <row r="35" spans="1:5" ht="12.75" customHeight="1" x14ac:dyDescent="0.25">
      <c r="A35" s="10" t="s">
        <v>3147</v>
      </c>
      <c r="B35" s="104" t="s">
        <v>13345</v>
      </c>
      <c r="C35" s="54"/>
      <c r="D35" s="63" t="s">
        <v>1448</v>
      </c>
      <c r="E35" s="83" t="s">
        <v>5833</v>
      </c>
    </row>
    <row r="36" spans="1:5" ht="12.75" customHeight="1" x14ac:dyDescent="0.25">
      <c r="A36" s="10" t="s">
        <v>3152</v>
      </c>
      <c r="B36" s="104" t="s">
        <v>7588</v>
      </c>
      <c r="C36" s="54"/>
      <c r="D36" s="67" t="s">
        <v>3204</v>
      </c>
      <c r="E36" s="81" t="s">
        <v>5830</v>
      </c>
    </row>
    <row r="37" spans="1:5" ht="12.75" customHeight="1" x14ac:dyDescent="0.25">
      <c r="A37" s="10" t="s">
        <v>10605</v>
      </c>
      <c r="B37" s="104" t="s">
        <v>14540</v>
      </c>
      <c r="C37" s="54"/>
      <c r="D37" s="67" t="s">
        <v>39</v>
      </c>
      <c r="E37" s="81" t="s">
        <v>5832</v>
      </c>
    </row>
    <row r="38" spans="1:5" ht="12.75" customHeight="1" x14ac:dyDescent="0.25">
      <c r="A38" s="10" t="s">
        <v>14996</v>
      </c>
      <c r="B38" s="104" t="s">
        <v>14997</v>
      </c>
      <c r="C38" s="54"/>
      <c r="D38" s="67" t="s">
        <v>5831</v>
      </c>
      <c r="E38" s="81" t="s">
        <v>5834</v>
      </c>
    </row>
    <row r="39" spans="1:5" ht="12.75" customHeight="1" x14ac:dyDescent="0.25">
      <c r="A39" s="98" t="s">
        <v>8377</v>
      </c>
      <c r="B39" s="107" t="s">
        <v>13317</v>
      </c>
      <c r="C39" s="54"/>
    </row>
    <row r="40" spans="1:5" ht="12.75" customHeight="1" x14ac:dyDescent="0.25">
      <c r="A40" s="99" t="s">
        <v>5269</v>
      </c>
      <c r="B40" s="110" t="s">
        <v>1546</v>
      </c>
      <c r="C40" s="54"/>
      <c r="E40" s="81" t="s">
        <v>1512</v>
      </c>
    </row>
    <row r="41" spans="1:5" ht="12.75" customHeight="1" x14ac:dyDescent="0.25">
      <c r="A41" s="10" t="s">
        <v>11446</v>
      </c>
      <c r="B41" s="104" t="s">
        <v>13310</v>
      </c>
      <c r="C41" s="54"/>
      <c r="D41" s="67" t="s">
        <v>5835</v>
      </c>
      <c r="E41" s="81" t="s">
        <v>5836</v>
      </c>
    </row>
    <row r="42" spans="1:5" ht="12.75" customHeight="1" x14ac:dyDescent="0.25">
      <c r="A42" s="97" t="s">
        <v>10322</v>
      </c>
      <c r="B42" s="106" t="s">
        <v>11129</v>
      </c>
      <c r="C42" s="54" t="s">
        <v>7532</v>
      </c>
    </row>
    <row r="43" spans="1:5" ht="12.75" customHeight="1" x14ac:dyDescent="0.25">
      <c r="A43" s="10" t="s">
        <v>15148</v>
      </c>
      <c r="B43" s="104" t="s">
        <v>15168</v>
      </c>
      <c r="C43" s="54"/>
      <c r="D43" s="63" t="s">
        <v>10359</v>
      </c>
      <c r="E43" s="83"/>
    </row>
    <row r="44" spans="1:5" ht="12.75" customHeight="1" x14ac:dyDescent="0.25">
      <c r="A44" s="96" t="s">
        <v>13352</v>
      </c>
      <c r="B44" s="105" t="s">
        <v>13353</v>
      </c>
      <c r="C44" s="54" t="s">
        <v>7532</v>
      </c>
      <c r="E44" s="92" t="s">
        <v>13243</v>
      </c>
    </row>
    <row r="45" spans="1:5" ht="12.75" customHeight="1" x14ac:dyDescent="0.25">
      <c r="A45" s="10" t="s">
        <v>14260</v>
      </c>
      <c r="B45" s="104" t="s">
        <v>13346</v>
      </c>
      <c r="C45" s="54"/>
      <c r="E45" s="92" t="s">
        <v>13497</v>
      </c>
    </row>
    <row r="46" spans="1:5" ht="12.75" customHeight="1" x14ac:dyDescent="0.25">
      <c r="A46" s="100" t="s">
        <v>13062</v>
      </c>
      <c r="B46" s="113" t="s">
        <v>13355</v>
      </c>
      <c r="C46" s="118" t="s">
        <v>7532</v>
      </c>
      <c r="E46" s="92"/>
    </row>
    <row r="47" spans="1:5" ht="12.75" customHeight="1" x14ac:dyDescent="0.25">
      <c r="A47" s="99" t="s">
        <v>5270</v>
      </c>
      <c r="B47" s="110" t="s">
        <v>7587</v>
      </c>
      <c r="C47" s="54"/>
      <c r="E47" s="92"/>
    </row>
    <row r="48" spans="1:5" ht="12.75" customHeight="1" x14ac:dyDescent="0.25">
      <c r="A48" s="10" t="s">
        <v>3153</v>
      </c>
      <c r="B48" s="104" t="s">
        <v>13347</v>
      </c>
      <c r="C48" s="54"/>
    </row>
    <row r="49" spans="1:5" ht="12.75" customHeight="1" x14ac:dyDescent="0.25">
      <c r="A49" s="10" t="s">
        <v>536</v>
      </c>
      <c r="B49" s="104" t="s">
        <v>9417</v>
      </c>
      <c r="C49" s="54"/>
      <c r="E49" s="92"/>
    </row>
    <row r="50" spans="1:5" ht="12.75" customHeight="1" x14ac:dyDescent="0.25">
      <c r="A50" s="10" t="s">
        <v>16215</v>
      </c>
      <c r="B50" s="104" t="s">
        <v>16216</v>
      </c>
      <c r="C50" s="54" t="s">
        <v>7532</v>
      </c>
    </row>
    <row r="51" spans="1:5" ht="12.75" customHeight="1" x14ac:dyDescent="0.25">
      <c r="A51" s="98" t="s">
        <v>440</v>
      </c>
      <c r="B51" s="111" t="s">
        <v>13566</v>
      </c>
      <c r="C51" s="102" t="s">
        <v>7532</v>
      </c>
    </row>
    <row r="52" spans="1:5" ht="12.75" customHeight="1" x14ac:dyDescent="0.25">
      <c r="A52" s="100" t="s">
        <v>7589</v>
      </c>
      <c r="B52" s="103" t="s">
        <v>7590</v>
      </c>
      <c r="C52" s="102" t="s">
        <v>7532</v>
      </c>
    </row>
    <row r="53" spans="1:5" ht="12.75" customHeight="1" x14ac:dyDescent="0.25">
      <c r="A53" s="10" t="s">
        <v>3154</v>
      </c>
      <c r="B53" s="104" t="s">
        <v>7591</v>
      </c>
      <c r="C53" s="54" t="s">
        <v>7532</v>
      </c>
    </row>
    <row r="54" spans="1:5" ht="12.75" customHeight="1" x14ac:dyDescent="0.25">
      <c r="A54" s="641" t="s">
        <v>14486</v>
      </c>
      <c r="B54" s="642" t="s">
        <v>14495</v>
      </c>
      <c r="C54" s="102" t="s">
        <v>7532</v>
      </c>
    </row>
    <row r="55" spans="1:5" ht="12.75" customHeight="1" x14ac:dyDescent="0.25">
      <c r="A55" s="100" t="s">
        <v>4626</v>
      </c>
      <c r="B55" s="103">
        <v>8</v>
      </c>
      <c r="C55" s="102" t="s">
        <v>7532</v>
      </c>
    </row>
    <row r="56" spans="1:5" ht="12.75" customHeight="1" x14ac:dyDescent="0.25">
      <c r="A56" s="10" t="s">
        <v>2241</v>
      </c>
      <c r="B56" s="104" t="s">
        <v>7592</v>
      </c>
      <c r="C56" s="54" t="s">
        <v>7532</v>
      </c>
    </row>
    <row r="57" spans="1:5" ht="12.75" customHeight="1" x14ac:dyDescent="0.25">
      <c r="A57" s="10" t="s">
        <v>2092</v>
      </c>
      <c r="B57" s="104" t="s">
        <v>8328</v>
      </c>
      <c r="C57" s="54" t="s">
        <v>7532</v>
      </c>
    </row>
    <row r="58" spans="1:5" ht="12.75" customHeight="1" x14ac:dyDescent="0.25">
      <c r="A58" s="100" t="s">
        <v>10292</v>
      </c>
      <c r="B58" s="103" t="s">
        <v>10288</v>
      </c>
      <c r="C58" s="118"/>
    </row>
    <row r="59" spans="1:5" ht="12.75" customHeight="1" x14ac:dyDescent="0.25">
      <c r="A59" s="10" t="s">
        <v>10102</v>
      </c>
      <c r="B59" s="104" t="s">
        <v>15797</v>
      </c>
      <c r="C59" s="54"/>
    </row>
    <row r="60" spans="1:5" ht="12.75" customHeight="1" x14ac:dyDescent="0.25">
      <c r="A60" s="98" t="s">
        <v>13260</v>
      </c>
      <c r="B60" s="107" t="s">
        <v>13293</v>
      </c>
      <c r="C60" s="102" t="s">
        <v>7532</v>
      </c>
    </row>
    <row r="61" spans="1:5" ht="12.75" customHeight="1" x14ac:dyDescent="0.25">
      <c r="A61" s="98" t="s">
        <v>3609</v>
      </c>
      <c r="B61" s="111" t="s">
        <v>2437</v>
      </c>
      <c r="C61" s="102" t="s">
        <v>7532</v>
      </c>
    </row>
    <row r="62" spans="1:5" ht="12.75" customHeight="1" x14ac:dyDescent="0.25">
      <c r="A62" s="149" t="s">
        <v>15181</v>
      </c>
      <c r="B62" s="150" t="s">
        <v>15190</v>
      </c>
      <c r="C62" s="54"/>
    </row>
    <row r="63" spans="1:5" ht="12.75" customHeight="1" x14ac:dyDescent="0.25">
      <c r="A63" s="10" t="s">
        <v>12184</v>
      </c>
      <c r="B63" s="104" t="s">
        <v>14981</v>
      </c>
      <c r="C63" s="54" t="s">
        <v>7532</v>
      </c>
    </row>
    <row r="64" spans="1:5" ht="12.75" customHeight="1" x14ac:dyDescent="0.25">
      <c r="A64" s="97" t="s">
        <v>237</v>
      </c>
      <c r="B64" s="106" t="s">
        <v>8007</v>
      </c>
      <c r="C64" s="54"/>
    </row>
    <row r="65" spans="1:3" ht="12.75" customHeight="1" x14ac:dyDescent="0.25">
      <c r="A65" s="97" t="s">
        <v>5271</v>
      </c>
      <c r="B65" s="106" t="s">
        <v>7593</v>
      </c>
      <c r="C65" s="54"/>
    </row>
    <row r="66" spans="1:3" ht="12.75" customHeight="1" x14ac:dyDescent="0.25">
      <c r="A66" s="10" t="s">
        <v>3145</v>
      </c>
      <c r="B66" s="104" t="s">
        <v>7594</v>
      </c>
      <c r="C66" s="54" t="s">
        <v>7532</v>
      </c>
    </row>
    <row r="67" spans="1:3" ht="12.75" customHeight="1" x14ac:dyDescent="0.25">
      <c r="A67" s="98" t="s">
        <v>9884</v>
      </c>
      <c r="B67" s="111" t="s">
        <v>9900</v>
      </c>
      <c r="C67" s="102" t="s">
        <v>7532</v>
      </c>
    </row>
    <row r="68" spans="1:3" ht="12.75" customHeight="1" x14ac:dyDescent="0.25">
      <c r="A68" s="100" t="s">
        <v>4796</v>
      </c>
      <c r="B68" s="103" t="s">
        <v>9899</v>
      </c>
      <c r="C68" s="118" t="s">
        <v>7532</v>
      </c>
    </row>
    <row r="69" spans="1:3" ht="12.75" customHeight="1" x14ac:dyDescent="0.25">
      <c r="A69" s="100" t="s">
        <v>9898</v>
      </c>
      <c r="B69" s="103" t="s">
        <v>14270</v>
      </c>
      <c r="C69" s="118" t="s">
        <v>7532</v>
      </c>
    </row>
    <row r="70" spans="1:3" ht="12.75" customHeight="1" x14ac:dyDescent="0.25">
      <c r="A70" s="100" t="s">
        <v>9922</v>
      </c>
      <c r="B70" s="103" t="s">
        <v>9977</v>
      </c>
      <c r="C70" s="118" t="s">
        <v>7532</v>
      </c>
    </row>
    <row r="71" spans="1:3" ht="12.75" customHeight="1" x14ac:dyDescent="0.25">
      <c r="A71" s="98" t="s">
        <v>4599</v>
      </c>
      <c r="B71" s="111" t="s">
        <v>1542</v>
      </c>
      <c r="C71" s="102" t="s">
        <v>7532</v>
      </c>
    </row>
    <row r="72" spans="1:3" ht="12.75" customHeight="1" x14ac:dyDescent="0.25">
      <c r="A72" s="98" t="s">
        <v>14089</v>
      </c>
      <c r="B72" s="111" t="s">
        <v>14150</v>
      </c>
      <c r="C72" s="102" t="s">
        <v>7532</v>
      </c>
    </row>
    <row r="73" spans="1:3" ht="12.75" customHeight="1" x14ac:dyDescent="0.25">
      <c r="A73" s="98" t="s">
        <v>10250</v>
      </c>
      <c r="B73" s="111" t="s">
        <v>12894</v>
      </c>
      <c r="C73" s="102" t="s">
        <v>7532</v>
      </c>
    </row>
    <row r="74" spans="1:3" ht="12.75" customHeight="1" x14ac:dyDescent="0.25">
      <c r="A74" t="s">
        <v>4315</v>
      </c>
      <c r="B74" s="109" t="s">
        <v>7595</v>
      </c>
      <c r="C74" s="54"/>
    </row>
    <row r="75" spans="1:3" ht="12.75" customHeight="1" x14ac:dyDescent="0.25">
      <c r="A75" s="100" t="s">
        <v>5266</v>
      </c>
      <c r="B75" s="103" t="s">
        <v>13528</v>
      </c>
      <c r="C75" s="54"/>
    </row>
    <row r="76" spans="1:3" ht="12.75" customHeight="1" x14ac:dyDescent="0.25">
      <c r="A76" s="98" t="s">
        <v>8669</v>
      </c>
      <c r="B76" s="107" t="s">
        <v>7531</v>
      </c>
      <c r="C76" s="102" t="s">
        <v>7532</v>
      </c>
    </row>
    <row r="77" spans="1:3" ht="12.75" customHeight="1" x14ac:dyDescent="0.25">
      <c r="A77" s="10" t="s">
        <v>8512</v>
      </c>
      <c r="B77" s="104" t="s">
        <v>15695</v>
      </c>
      <c r="C77" s="54"/>
    </row>
    <row r="78" spans="1:3" ht="12.75" customHeight="1" x14ac:dyDescent="0.25">
      <c r="A78" s="101" t="s">
        <v>4932</v>
      </c>
      <c r="B78" s="112"/>
      <c r="C78" s="54"/>
    </row>
    <row r="79" spans="1:3" ht="12.75" customHeight="1" x14ac:dyDescent="0.25">
      <c r="A79" s="96" t="s">
        <v>2714</v>
      </c>
      <c r="B79" s="148" t="s">
        <v>7596</v>
      </c>
      <c r="C79" s="54" t="s">
        <v>7532</v>
      </c>
    </row>
    <row r="80" spans="1:3" ht="12.75" customHeight="1" x14ac:dyDescent="0.25">
      <c r="A80" s="98" t="s">
        <v>13586</v>
      </c>
      <c r="B80" s="107" t="s">
        <v>13673</v>
      </c>
      <c r="C80" s="102"/>
    </row>
    <row r="81" spans="1:3" ht="12.75" customHeight="1" x14ac:dyDescent="0.25">
      <c r="A81" s="10" t="s">
        <v>2239</v>
      </c>
      <c r="B81" s="104" t="s">
        <v>1439</v>
      </c>
      <c r="C81" s="54" t="s">
        <v>7532</v>
      </c>
    </row>
    <row r="82" spans="1:3" ht="12.75" customHeight="1" x14ac:dyDescent="0.25">
      <c r="A82" s="10" t="s">
        <v>2244</v>
      </c>
      <c r="B82" s="104"/>
      <c r="C82" s="54" t="s">
        <v>7532</v>
      </c>
    </row>
    <row r="83" spans="1:3" ht="12.75" customHeight="1" x14ac:dyDescent="0.25">
      <c r="A83" s="10" t="s">
        <v>13752</v>
      </c>
      <c r="B83" s="104"/>
      <c r="C83" s="54"/>
    </row>
    <row r="84" spans="1:3" ht="12.75" customHeight="1" x14ac:dyDescent="0.25">
      <c r="A84" s="100" t="s">
        <v>13756</v>
      </c>
      <c r="B84" s="144" t="s">
        <v>13765</v>
      </c>
      <c r="C84" s="54" t="s">
        <v>7532</v>
      </c>
    </row>
    <row r="85" spans="1:3" ht="12.75" customHeight="1" x14ac:dyDescent="0.25">
      <c r="A85" s="96" t="s">
        <v>13754</v>
      </c>
      <c r="B85" s="148" t="s">
        <v>14081</v>
      </c>
      <c r="C85" s="54"/>
    </row>
    <row r="86" spans="1:3" ht="12.75" customHeight="1" x14ac:dyDescent="0.25">
      <c r="A86" s="98" t="s">
        <v>13753</v>
      </c>
      <c r="B86" s="111" t="s">
        <v>14080</v>
      </c>
      <c r="C86" s="102"/>
    </row>
    <row r="87" spans="1:3" ht="12.75" customHeight="1" x14ac:dyDescent="0.25">
      <c r="A87" s="98" t="s">
        <v>14082</v>
      </c>
      <c r="B87" s="111" t="s">
        <v>14083</v>
      </c>
      <c r="C87" s="102"/>
    </row>
    <row r="88" spans="1:3" ht="12.75" customHeight="1" x14ac:dyDescent="0.25">
      <c r="A88" s="10" t="s">
        <v>2237</v>
      </c>
      <c r="B88" s="104" t="s">
        <v>12895</v>
      </c>
      <c r="C88" s="54"/>
    </row>
    <row r="89" spans="1:3" ht="12.75" customHeight="1" x14ac:dyDescent="0.25">
      <c r="A89" s="10" t="s">
        <v>1582</v>
      </c>
      <c r="B89" s="104" t="s">
        <v>13348</v>
      </c>
      <c r="C89" s="54" t="s">
        <v>7532</v>
      </c>
    </row>
    <row r="90" spans="1:3" ht="12.75" customHeight="1" x14ac:dyDescent="0.25">
      <c r="A90" s="98" t="s">
        <v>10084</v>
      </c>
      <c r="B90" s="107" t="s">
        <v>13376</v>
      </c>
      <c r="C90" s="54"/>
    </row>
    <row r="91" spans="1:3" ht="12.75" customHeight="1" x14ac:dyDescent="0.25">
      <c r="A91" s="98" t="s">
        <v>5267</v>
      </c>
      <c r="B91" s="107" t="s">
        <v>7597</v>
      </c>
      <c r="C91" s="54"/>
    </row>
    <row r="92" spans="1:3" ht="12.75" customHeight="1" x14ac:dyDescent="0.25">
      <c r="A92" s="10" t="s">
        <v>2238</v>
      </c>
      <c r="B92" s="104" t="s">
        <v>7598</v>
      </c>
      <c r="C92" s="54" t="s">
        <v>7532</v>
      </c>
    </row>
    <row r="93" spans="1:3" ht="12.75" customHeight="1" x14ac:dyDescent="0.25">
      <c r="A93" s="100" t="s">
        <v>4632</v>
      </c>
      <c r="B93" s="103" t="s">
        <v>7599</v>
      </c>
      <c r="C93" s="54" t="s">
        <v>7532</v>
      </c>
    </row>
    <row r="94" spans="1:3" ht="15" x14ac:dyDescent="0.25">
      <c r="A94" s="10" t="s">
        <v>5977</v>
      </c>
      <c r="B94" s="104" t="s">
        <v>7600</v>
      </c>
      <c r="C94" s="54" t="s">
        <v>7532</v>
      </c>
    </row>
    <row r="95" spans="1:3" ht="15" x14ac:dyDescent="0.25">
      <c r="A95" s="100" t="s">
        <v>5718</v>
      </c>
      <c r="B95" s="103" t="s">
        <v>13462</v>
      </c>
      <c r="C95" s="118" t="s">
        <v>7532</v>
      </c>
    </row>
    <row r="96" spans="1:3" ht="15" x14ac:dyDescent="0.25">
      <c r="A96" s="10" t="s">
        <v>11583</v>
      </c>
      <c r="B96" s="104" t="s">
        <v>12045</v>
      </c>
      <c r="C96" s="54"/>
    </row>
    <row r="97" spans="1:3" ht="15" x14ac:dyDescent="0.25">
      <c r="A97" s="96" t="s">
        <v>11728</v>
      </c>
      <c r="B97" s="105" t="s">
        <v>12048</v>
      </c>
      <c r="C97" s="54"/>
    </row>
    <row r="98" spans="1:3" ht="15" x14ac:dyDescent="0.25">
      <c r="A98" s="96" t="s">
        <v>11650</v>
      </c>
      <c r="B98" s="105" t="s">
        <v>12047</v>
      </c>
      <c r="C98" s="102"/>
    </row>
    <row r="99" spans="1:3" ht="15" x14ac:dyDescent="0.25">
      <c r="A99" s="98" t="s">
        <v>11580</v>
      </c>
      <c r="B99" s="107" t="s">
        <v>12046</v>
      </c>
      <c r="C99" s="102"/>
    </row>
    <row r="100" spans="1:3" ht="15" x14ac:dyDescent="0.25">
      <c r="A100" s="10" t="s">
        <v>5286</v>
      </c>
      <c r="B100" s="104" t="s">
        <v>12896</v>
      </c>
      <c r="C100" s="54"/>
    </row>
    <row r="101" spans="1:3" ht="15" x14ac:dyDescent="0.25">
      <c r="A101" s="10" t="s">
        <v>14514</v>
      </c>
      <c r="B101" s="104" t="s">
        <v>14511</v>
      </c>
      <c r="C101" s="54"/>
    </row>
    <row r="102" spans="1:3" ht="15" x14ac:dyDescent="0.25">
      <c r="A102" s="97" t="s">
        <v>5279</v>
      </c>
      <c r="B102" s="106" t="s">
        <v>216</v>
      </c>
      <c r="C102" s="54" t="s">
        <v>7532</v>
      </c>
    </row>
    <row r="103" spans="1:3" ht="15" x14ac:dyDescent="0.25">
      <c r="A103" s="97" t="s">
        <v>5272</v>
      </c>
      <c r="B103" s="106" t="s">
        <v>7601</v>
      </c>
      <c r="C103" s="54" t="s">
        <v>7532</v>
      </c>
    </row>
    <row r="104" spans="1:3" ht="15" x14ac:dyDescent="0.25">
      <c r="A104" s="10" t="s">
        <v>11270</v>
      </c>
      <c r="B104" s="104" t="s">
        <v>11290</v>
      </c>
      <c r="C104" s="54" t="s">
        <v>7532</v>
      </c>
    </row>
    <row r="105" spans="1:3" ht="15" x14ac:dyDescent="0.25">
      <c r="A105" s="10" t="s">
        <v>15166</v>
      </c>
      <c r="B105" s="104" t="s">
        <v>15167</v>
      </c>
      <c r="C105" s="54"/>
    </row>
    <row r="106" spans="1:3" ht="15" x14ac:dyDescent="0.25">
      <c r="A106" s="98" t="s">
        <v>13319</v>
      </c>
      <c r="B106" s="107" t="s">
        <v>13342</v>
      </c>
      <c r="C106" s="102" t="s">
        <v>7532</v>
      </c>
    </row>
    <row r="107" spans="1:3" ht="15" x14ac:dyDescent="0.25">
      <c r="A107" s="98" t="s">
        <v>13332</v>
      </c>
      <c r="B107" s="107" t="s">
        <v>13341</v>
      </c>
      <c r="C107" s="102" t="s">
        <v>7532</v>
      </c>
    </row>
    <row r="108" spans="1:3" ht="15" x14ac:dyDescent="0.25">
      <c r="A108" s="96" t="s">
        <v>13700</v>
      </c>
      <c r="B108" s="105" t="s">
        <v>13708</v>
      </c>
      <c r="C108" s="54"/>
    </row>
    <row r="109" spans="1:3" ht="15" x14ac:dyDescent="0.25">
      <c r="A109" s="96" t="s">
        <v>13699</v>
      </c>
      <c r="B109" s="105" t="s">
        <v>13709</v>
      </c>
      <c r="C109" s="54"/>
    </row>
    <row r="110" spans="1:3" ht="15" x14ac:dyDescent="0.25">
      <c r="A110" s="98" t="s">
        <v>13703</v>
      </c>
      <c r="B110" s="107" t="s">
        <v>13755</v>
      </c>
      <c r="C110" s="102"/>
    </row>
    <row r="111" spans="1:3" ht="15" x14ac:dyDescent="0.25">
      <c r="A111" s="10" t="s">
        <v>6992</v>
      </c>
      <c r="B111" s="104" t="s">
        <v>8397</v>
      </c>
      <c r="C111" s="54" t="s">
        <v>7532</v>
      </c>
    </row>
    <row r="112" spans="1:3" ht="15" x14ac:dyDescent="0.25">
      <c r="A112" s="10" t="s">
        <v>15262</v>
      </c>
      <c r="B112" s="104"/>
      <c r="C112" s="54"/>
    </row>
    <row r="113" spans="1:3" ht="15" x14ac:dyDescent="0.25">
      <c r="A113" s="96" t="s">
        <v>14499</v>
      </c>
      <c r="B113" s="105" t="s">
        <v>14504</v>
      </c>
      <c r="C113" s="54"/>
    </row>
    <row r="114" spans="1:3" ht="15" x14ac:dyDescent="0.25">
      <c r="A114" s="10" t="s">
        <v>15958</v>
      </c>
      <c r="B114" s="104"/>
      <c r="C114" s="54"/>
    </row>
    <row r="115" spans="1:3" ht="15" x14ac:dyDescent="0.25">
      <c r="A115" s="98" t="s">
        <v>13385</v>
      </c>
      <c r="B115" s="107" t="s">
        <v>15979</v>
      </c>
      <c r="C115" s="102" t="s">
        <v>7532</v>
      </c>
    </row>
    <row r="116" spans="1:3" ht="15" x14ac:dyDescent="0.25">
      <c r="A116" s="98" t="s">
        <v>12588</v>
      </c>
      <c r="B116" s="107" t="s">
        <v>12614</v>
      </c>
      <c r="C116" s="102" t="s">
        <v>7532</v>
      </c>
    </row>
    <row r="117" spans="1:3" ht="15" x14ac:dyDescent="0.25">
      <c r="A117" s="10" t="s">
        <v>2243</v>
      </c>
      <c r="B117" s="104" t="s">
        <v>14293</v>
      </c>
      <c r="C117" s="54"/>
    </row>
    <row r="118" spans="1:3" ht="15" x14ac:dyDescent="0.25">
      <c r="A118" s="10" t="s">
        <v>15684</v>
      </c>
      <c r="B118" s="104" t="s">
        <v>15694</v>
      </c>
      <c r="C118" s="54"/>
    </row>
    <row r="119" spans="1:3" ht="15" x14ac:dyDescent="0.25">
      <c r="A119" s="96" t="s">
        <v>5</v>
      </c>
      <c r="B119" s="105" t="s">
        <v>2209</v>
      </c>
      <c r="C119" s="54" t="s">
        <v>7532</v>
      </c>
    </row>
    <row r="120" spans="1:3" ht="15" x14ac:dyDescent="0.25">
      <c r="A120" s="96" t="s">
        <v>2711</v>
      </c>
      <c r="B120" s="105" t="s">
        <v>12897</v>
      </c>
      <c r="C120" s="54"/>
    </row>
    <row r="121" spans="1:3" ht="15" x14ac:dyDescent="0.25">
      <c r="A121" s="10" t="s">
        <v>2240</v>
      </c>
      <c r="B121" s="104" t="s">
        <v>13349</v>
      </c>
      <c r="C121" s="54"/>
    </row>
    <row r="122" spans="1:3" ht="15" x14ac:dyDescent="0.25">
      <c r="A122" s="96" t="s">
        <v>6217</v>
      </c>
      <c r="B122" s="105" t="s">
        <v>6220</v>
      </c>
      <c r="C122" s="54"/>
    </row>
    <row r="123" spans="1:3" ht="15" x14ac:dyDescent="0.25">
      <c r="A123" s="98" t="s">
        <v>12123</v>
      </c>
      <c r="B123" s="107" t="s">
        <v>12173</v>
      </c>
      <c r="C123" s="102"/>
    </row>
    <row r="124" spans="1:3" ht="15" x14ac:dyDescent="0.25">
      <c r="A124" s="96" t="s">
        <v>5780</v>
      </c>
      <c r="B124" s="105" t="s">
        <v>7602</v>
      </c>
      <c r="C124" s="54"/>
    </row>
    <row r="125" spans="1:3" ht="15" x14ac:dyDescent="0.25">
      <c r="A125" s="97" t="s">
        <v>4641</v>
      </c>
      <c r="B125" s="106" t="s">
        <v>4651</v>
      </c>
      <c r="C125" s="54" t="s">
        <v>7532</v>
      </c>
    </row>
    <row r="126" spans="1:3" ht="15" x14ac:dyDescent="0.25">
      <c r="A126" s="96" t="s">
        <v>2717</v>
      </c>
      <c r="B126" s="105" t="s">
        <v>13354</v>
      </c>
      <c r="C126" s="54" t="s">
        <v>7532</v>
      </c>
    </row>
    <row r="127" spans="1:3" ht="15" x14ac:dyDescent="0.25">
      <c r="A127" s="98" t="s">
        <v>14197</v>
      </c>
      <c r="B127" s="107" t="s">
        <v>14245</v>
      </c>
      <c r="C127" s="102" t="s">
        <v>7532</v>
      </c>
    </row>
    <row r="128" spans="1:3" ht="15" x14ac:dyDescent="0.25">
      <c r="A128" s="96" t="s">
        <v>895</v>
      </c>
      <c r="B128" s="105" t="s">
        <v>914</v>
      </c>
      <c r="C128" s="54"/>
    </row>
    <row r="129" spans="1:3" ht="15" x14ac:dyDescent="0.25">
      <c r="A129" s="96" t="s">
        <v>9236</v>
      </c>
      <c r="B129" s="105" t="s">
        <v>9764</v>
      </c>
      <c r="C129" s="54" t="s">
        <v>7532</v>
      </c>
    </row>
    <row r="130" spans="1:3" ht="15" x14ac:dyDescent="0.25">
      <c r="A130" s="10" t="s">
        <v>2245</v>
      </c>
      <c r="B130" s="104" t="s">
        <v>7603</v>
      </c>
      <c r="C130" s="54" t="s">
        <v>7532</v>
      </c>
    </row>
    <row r="131" spans="1:3" ht="15" x14ac:dyDescent="0.25">
      <c r="A131" s="10" t="s">
        <v>3408</v>
      </c>
      <c r="B131" s="104" t="s">
        <v>7604</v>
      </c>
      <c r="C131" s="54" t="s">
        <v>7532</v>
      </c>
    </row>
    <row r="132" spans="1:3" ht="15" x14ac:dyDescent="0.25">
      <c r="A132" s="100" t="s">
        <v>12737</v>
      </c>
      <c r="B132" s="113" t="s">
        <v>12738</v>
      </c>
      <c r="C132" s="54" t="s">
        <v>7532</v>
      </c>
    </row>
    <row r="133" spans="1:3" ht="15" x14ac:dyDescent="0.25">
      <c r="A133" s="97" t="s">
        <v>5274</v>
      </c>
      <c r="B133" s="106" t="s">
        <v>4149</v>
      </c>
      <c r="C133" s="54" t="s">
        <v>7532</v>
      </c>
    </row>
    <row r="134" spans="1:3" ht="15" x14ac:dyDescent="0.25">
      <c r="A134" s="97" t="s">
        <v>6989</v>
      </c>
      <c r="B134" s="106" t="s">
        <v>14184</v>
      </c>
      <c r="C134" s="54" t="s">
        <v>7532</v>
      </c>
    </row>
    <row r="135" spans="1:3" ht="15" x14ac:dyDescent="0.25">
      <c r="A135" s="100" t="s">
        <v>4604</v>
      </c>
      <c r="B135" s="113" t="s">
        <v>7605</v>
      </c>
      <c r="C135" s="54"/>
    </row>
    <row r="136" spans="1:3" ht="15" x14ac:dyDescent="0.25">
      <c r="A136" s="97" t="s">
        <v>5273</v>
      </c>
      <c r="B136" s="106" t="s">
        <v>7606</v>
      </c>
      <c r="C136" s="54" t="s">
        <v>7532</v>
      </c>
    </row>
    <row r="137" spans="1:3" ht="15" x14ac:dyDescent="0.25">
      <c r="A137" s="10" t="s">
        <v>3156</v>
      </c>
      <c r="B137" s="104" t="s">
        <v>7607</v>
      </c>
      <c r="C137" s="54" t="s">
        <v>7532</v>
      </c>
    </row>
    <row r="138" spans="1:3" ht="15" x14ac:dyDescent="0.25">
      <c r="A138" s="98" t="s">
        <v>9510</v>
      </c>
      <c r="B138" s="107" t="s">
        <v>9790</v>
      </c>
      <c r="C138" s="102" t="s">
        <v>7532</v>
      </c>
    </row>
    <row r="139" spans="1:3" ht="15" x14ac:dyDescent="0.25">
      <c r="A139" s="97" t="s">
        <v>5277</v>
      </c>
      <c r="B139" s="106" t="s">
        <v>7608</v>
      </c>
      <c r="C139" s="54" t="s">
        <v>7532</v>
      </c>
    </row>
    <row r="140" spans="1:3" ht="15" x14ac:dyDescent="0.25">
      <c r="A140" s="10" t="s">
        <v>3155</v>
      </c>
      <c r="B140" s="104" t="s">
        <v>7609</v>
      </c>
      <c r="C140" s="54" t="s">
        <v>7532</v>
      </c>
    </row>
    <row r="141" spans="1:3" ht="15" x14ac:dyDescent="0.25">
      <c r="A141" s="139" t="s">
        <v>9279</v>
      </c>
      <c r="B141" s="107" t="s">
        <v>13377</v>
      </c>
      <c r="C141" s="102"/>
    </row>
    <row r="142" spans="1:3" ht="15" x14ac:dyDescent="0.25">
      <c r="A142" s="138" t="s">
        <v>14834</v>
      </c>
      <c r="B142" s="112" t="s">
        <v>14978</v>
      </c>
      <c r="C142" s="54"/>
    </row>
    <row r="143" spans="1:3" ht="15" x14ac:dyDescent="0.25">
      <c r="A143" s="149" t="s">
        <v>14636</v>
      </c>
      <c r="B143" s="150" t="s">
        <v>14979</v>
      </c>
      <c r="C143" s="54" t="s">
        <v>7532</v>
      </c>
    </row>
    <row r="144" spans="1:3" ht="15" x14ac:dyDescent="0.25">
      <c r="A144" s="140" t="s">
        <v>14633</v>
      </c>
      <c r="B144" s="107" t="s">
        <v>14980</v>
      </c>
      <c r="C144" s="102" t="s">
        <v>7532</v>
      </c>
    </row>
    <row r="145" spans="1:3" ht="15" x14ac:dyDescent="0.25">
      <c r="A145" s="140" t="s">
        <v>2723</v>
      </c>
      <c r="B145" s="107" t="s">
        <v>7610</v>
      </c>
      <c r="C145" s="54" t="s">
        <v>7532</v>
      </c>
    </row>
    <row r="146" spans="1:3" ht="15" x14ac:dyDescent="0.25">
      <c r="A146" s="138" t="s">
        <v>2722</v>
      </c>
      <c r="B146" s="112" t="s">
        <v>14541</v>
      </c>
      <c r="C146" s="54"/>
    </row>
    <row r="147" spans="1:3" ht="15" x14ac:dyDescent="0.25">
      <c r="A147" s="137" t="s">
        <v>10014</v>
      </c>
      <c r="B147" s="104" t="s">
        <v>10033</v>
      </c>
      <c r="C147" s="54" t="s">
        <v>7532</v>
      </c>
    </row>
    <row r="148" spans="1:3" ht="15" x14ac:dyDescent="0.25">
      <c r="A148" s="10" t="s">
        <v>2242</v>
      </c>
      <c r="B148" s="104" t="s">
        <v>6402</v>
      </c>
      <c r="C148" s="54" t="s">
        <v>7532</v>
      </c>
    </row>
    <row r="149" spans="1:3" ht="15" x14ac:dyDescent="0.25">
      <c r="A149" s="100" t="s">
        <v>6531</v>
      </c>
      <c r="B149" s="103" t="s">
        <v>6532</v>
      </c>
      <c r="C149" s="54" t="s">
        <v>7532</v>
      </c>
    </row>
    <row r="150" spans="1:3" ht="15" x14ac:dyDescent="0.25">
      <c r="A150" s="97" t="s">
        <v>3116</v>
      </c>
      <c r="B150" s="106" t="s">
        <v>7611</v>
      </c>
      <c r="C150" s="54"/>
    </row>
    <row r="151" spans="1:3" ht="15" x14ac:dyDescent="0.25">
      <c r="A151" s="98" t="s">
        <v>13247</v>
      </c>
      <c r="B151" s="107" t="s">
        <v>13248</v>
      </c>
      <c r="C151" s="102" t="s">
        <v>7532</v>
      </c>
    </row>
    <row r="152" spans="1:3" ht="15" x14ac:dyDescent="0.25">
      <c r="A152" s="98" t="s">
        <v>3976</v>
      </c>
      <c r="B152" s="107" t="s">
        <v>7612</v>
      </c>
      <c r="C152" s="102" t="s">
        <v>7532</v>
      </c>
    </row>
    <row r="153" spans="1:3" ht="15" x14ac:dyDescent="0.25">
      <c r="A153" s="10" t="s">
        <v>13086</v>
      </c>
      <c r="B153" s="104" t="s">
        <v>13350</v>
      </c>
      <c r="C153" s="54"/>
    </row>
    <row r="154" spans="1:3" ht="15" x14ac:dyDescent="0.25">
      <c r="A154" s="98" t="s">
        <v>13311</v>
      </c>
      <c r="B154" s="107" t="s">
        <v>13316</v>
      </c>
      <c r="C154" s="102" t="s">
        <v>7532</v>
      </c>
    </row>
    <row r="155" spans="1:3" ht="15" x14ac:dyDescent="0.25">
      <c r="A155" s="98" t="s">
        <v>12631</v>
      </c>
      <c r="B155" s="107" t="s">
        <v>12658</v>
      </c>
      <c r="C155" s="102" t="s">
        <v>7532</v>
      </c>
    </row>
    <row r="156" spans="1:3" ht="15" x14ac:dyDescent="0.25">
      <c r="A156" s="96" t="s">
        <v>6990</v>
      </c>
      <c r="B156" s="105" t="s">
        <v>7616</v>
      </c>
      <c r="C156" s="54" t="s">
        <v>7532</v>
      </c>
    </row>
    <row r="157" spans="1:3" ht="15" x14ac:dyDescent="0.25">
      <c r="A157" s="96" t="s">
        <v>6991</v>
      </c>
      <c r="B157" s="105" t="s">
        <v>7803</v>
      </c>
      <c r="C157" s="54" t="s">
        <v>7532</v>
      </c>
    </row>
    <row r="158" spans="1:3" ht="15" x14ac:dyDescent="0.25">
      <c r="A158" s="96" t="s">
        <v>2718</v>
      </c>
      <c r="B158" s="105" t="s">
        <v>7615</v>
      </c>
      <c r="C158" s="54" t="s">
        <v>7532</v>
      </c>
    </row>
    <row r="159" spans="1:3" ht="15" x14ac:dyDescent="0.25">
      <c r="A159" s="97" t="s">
        <v>2721</v>
      </c>
      <c r="B159" s="106" t="s">
        <v>7617</v>
      </c>
      <c r="C159" s="54" t="s">
        <v>7532</v>
      </c>
    </row>
    <row r="160" spans="1:3" ht="15" x14ac:dyDescent="0.25">
      <c r="A160" s="96" t="s">
        <v>2713</v>
      </c>
      <c r="B160" s="105" t="s">
        <v>7614</v>
      </c>
      <c r="C160" s="54" t="s">
        <v>7532</v>
      </c>
    </row>
    <row r="161" spans="1:11" ht="15" x14ac:dyDescent="0.25">
      <c r="A161" s="96" t="s">
        <v>11252</v>
      </c>
      <c r="B161" s="105" t="s">
        <v>11251</v>
      </c>
      <c r="C161" s="54" t="s">
        <v>7532</v>
      </c>
    </row>
    <row r="162" spans="1:11" ht="15" x14ac:dyDescent="0.25">
      <c r="A162" s="98" t="s">
        <v>11447</v>
      </c>
      <c r="B162" s="107" t="s">
        <v>13437</v>
      </c>
      <c r="C162" s="102" t="s">
        <v>7532</v>
      </c>
    </row>
    <row r="163" spans="1:11" ht="15" x14ac:dyDescent="0.25">
      <c r="A163" s="98" t="s">
        <v>10233</v>
      </c>
      <c r="B163" s="107" t="s">
        <v>11393</v>
      </c>
      <c r="C163" s="102" t="s">
        <v>7532</v>
      </c>
    </row>
    <row r="164" spans="1:11" ht="15" x14ac:dyDescent="0.25">
      <c r="A164" s="100" t="s">
        <v>10877</v>
      </c>
      <c r="B164" s="103" t="s">
        <v>13523</v>
      </c>
      <c r="C164" s="54"/>
    </row>
    <row r="165" spans="1:11" ht="15" x14ac:dyDescent="0.25">
      <c r="A165" s="100" t="s">
        <v>10878</v>
      </c>
      <c r="B165" s="103" t="s">
        <v>13498</v>
      </c>
      <c r="C165" s="54"/>
    </row>
    <row r="166" spans="1:11" ht="15" x14ac:dyDescent="0.25">
      <c r="A166" s="100" t="s">
        <v>10879</v>
      </c>
      <c r="B166" s="103" t="s">
        <v>14281</v>
      </c>
      <c r="C166" s="54"/>
    </row>
    <row r="167" spans="1:11" ht="15" x14ac:dyDescent="0.25">
      <c r="A167" s="100" t="s">
        <v>15308</v>
      </c>
      <c r="B167" s="103" t="s">
        <v>15307</v>
      </c>
      <c r="C167" s="54"/>
    </row>
    <row r="168" spans="1:11" ht="15" x14ac:dyDescent="0.25">
      <c r="A168" s="100" t="s">
        <v>12174</v>
      </c>
      <c r="B168" s="103" t="s">
        <v>13527</v>
      </c>
      <c r="C168" s="118" t="s">
        <v>7532</v>
      </c>
    </row>
    <row r="169" spans="1:11" ht="15" x14ac:dyDescent="0.25">
      <c r="A169" s="100" t="s">
        <v>12120</v>
      </c>
      <c r="B169" s="103" t="s">
        <v>13526</v>
      </c>
      <c r="C169" s="118" t="s">
        <v>7532</v>
      </c>
    </row>
    <row r="170" spans="1:11" s="149" customFormat="1" ht="15" x14ac:dyDescent="0.25">
      <c r="A170" s="100" t="s">
        <v>14473</v>
      </c>
      <c r="B170" s="103" t="s">
        <v>14554</v>
      </c>
      <c r="C170" s="118"/>
      <c r="D170" s="155"/>
      <c r="E170" s="92"/>
      <c r="F170" s="156"/>
      <c r="G170" s="92"/>
      <c r="H170" s="759"/>
      <c r="I170" s="759"/>
      <c r="J170" s="759"/>
      <c r="K170" s="759"/>
    </row>
    <row r="171" spans="1:11" ht="15" x14ac:dyDescent="0.25">
      <c r="A171" s="100" t="s">
        <v>10875</v>
      </c>
      <c r="B171" s="103" t="s">
        <v>13525</v>
      </c>
      <c r="C171" s="118" t="s">
        <v>7532</v>
      </c>
    </row>
    <row r="172" spans="1:11" ht="15" x14ac:dyDescent="0.25">
      <c r="A172" s="100" t="s">
        <v>10876</v>
      </c>
      <c r="B172" s="103" t="s">
        <v>13524</v>
      </c>
      <c r="C172" s="118" t="s">
        <v>7532</v>
      </c>
    </row>
    <row r="173" spans="1:11" ht="15" x14ac:dyDescent="0.25">
      <c r="A173" s="100" t="s">
        <v>10880</v>
      </c>
      <c r="B173" s="103" t="s">
        <v>11089</v>
      </c>
      <c r="C173" s="54"/>
    </row>
    <row r="174" spans="1:11" ht="15" x14ac:dyDescent="0.25">
      <c r="A174" s="100" t="s">
        <v>13472</v>
      </c>
      <c r="B174" s="103" t="s">
        <v>13473</v>
      </c>
      <c r="C174" s="54"/>
    </row>
    <row r="175" spans="1:11" ht="15" x14ac:dyDescent="0.25">
      <c r="A175" s="97" t="s">
        <v>5276</v>
      </c>
      <c r="B175" s="106" t="s">
        <v>7618</v>
      </c>
      <c r="C175" s="54" t="s">
        <v>7532</v>
      </c>
    </row>
    <row r="176" spans="1:11" ht="15" x14ac:dyDescent="0.25">
      <c r="A176" s="10" t="s">
        <v>2710</v>
      </c>
      <c r="B176" s="104" t="s">
        <v>7658</v>
      </c>
      <c r="C176" s="54" t="s">
        <v>7532</v>
      </c>
    </row>
    <row r="177" spans="1:3" ht="15" x14ac:dyDescent="0.25">
      <c r="A177" s="100" t="s">
        <v>74</v>
      </c>
      <c r="B177" s="103" t="s">
        <v>1380</v>
      </c>
      <c r="C177" s="118" t="s">
        <v>7532</v>
      </c>
    </row>
    <row r="178" spans="1:3" ht="15" x14ac:dyDescent="0.25">
      <c r="A178" s="98" t="s">
        <v>7077</v>
      </c>
      <c r="B178" s="114" t="s">
        <v>1380</v>
      </c>
      <c r="C178" s="54" t="s">
        <v>7532</v>
      </c>
    </row>
    <row r="179" spans="1:3" ht="15" x14ac:dyDescent="0.25">
      <c r="A179" s="96" t="s">
        <v>2719</v>
      </c>
      <c r="B179" s="105" t="s">
        <v>1381</v>
      </c>
      <c r="C179" s="54" t="s">
        <v>7532</v>
      </c>
    </row>
    <row r="180" spans="1:3" ht="15" x14ac:dyDescent="0.25">
      <c r="A180" s="10" t="s">
        <v>3157</v>
      </c>
      <c r="B180" s="104" t="s">
        <v>1382</v>
      </c>
      <c r="C180" s="54" t="s">
        <v>7532</v>
      </c>
    </row>
    <row r="181" spans="1:3" ht="15" x14ac:dyDescent="0.25">
      <c r="A181" s="97" t="s">
        <v>5275</v>
      </c>
      <c r="B181" s="106" t="s">
        <v>7373</v>
      </c>
      <c r="C181" s="54" t="s">
        <v>7532</v>
      </c>
    </row>
    <row r="182" spans="1:3" ht="15" x14ac:dyDescent="0.25">
      <c r="A182" s="100" t="s">
        <v>4602</v>
      </c>
      <c r="B182" s="103" t="s">
        <v>7619</v>
      </c>
      <c r="C182" s="54" t="s">
        <v>7532</v>
      </c>
    </row>
    <row r="183" spans="1:3" ht="15" x14ac:dyDescent="0.25">
      <c r="A183" s="100" t="s">
        <v>4601</v>
      </c>
      <c r="B183" s="103" t="s">
        <v>6503</v>
      </c>
      <c r="C183" s="54" t="s">
        <v>7532</v>
      </c>
    </row>
    <row r="184" spans="1:3" ht="15" x14ac:dyDescent="0.25">
      <c r="A184" s="97" t="s">
        <v>5280</v>
      </c>
      <c r="B184" s="106" t="s">
        <v>12898</v>
      </c>
      <c r="C184" s="54"/>
    </row>
    <row r="185" spans="1:3" ht="15" x14ac:dyDescent="0.25">
      <c r="A185" s="10" t="s">
        <v>7380</v>
      </c>
      <c r="B185" s="104" t="s">
        <v>14381</v>
      </c>
      <c r="C185" s="54"/>
    </row>
    <row r="186" spans="1:3" ht="15" x14ac:dyDescent="0.25">
      <c r="A186" s="10" t="s">
        <v>11494</v>
      </c>
      <c r="B186" s="104" t="s">
        <v>12893</v>
      </c>
      <c r="C186" s="54"/>
    </row>
    <row r="187" spans="1:3" ht="15" x14ac:dyDescent="0.25">
      <c r="A187" s="98" t="s">
        <v>4598</v>
      </c>
      <c r="B187" s="107" t="s">
        <v>1379</v>
      </c>
      <c r="C187" s="54" t="s">
        <v>7532</v>
      </c>
    </row>
    <row r="188" spans="1:3" ht="15" x14ac:dyDescent="0.25">
      <c r="A188" s="96" t="s">
        <v>2715</v>
      </c>
      <c r="B188" s="105" t="s">
        <v>2117</v>
      </c>
      <c r="C188" s="54" t="s">
        <v>7532</v>
      </c>
    </row>
    <row r="189" spans="1:3" ht="15" x14ac:dyDescent="0.25">
      <c r="A189" s="96" t="s">
        <v>2716</v>
      </c>
      <c r="B189" s="105" t="s">
        <v>1378</v>
      </c>
      <c r="C189" s="54" t="s">
        <v>7532</v>
      </c>
    </row>
    <row r="190" spans="1:3" ht="15" x14ac:dyDescent="0.25">
      <c r="A190" s="10" t="s">
        <v>8152</v>
      </c>
      <c r="B190" s="104" t="s">
        <v>13351</v>
      </c>
      <c r="C190" s="54" t="s">
        <v>7532</v>
      </c>
    </row>
    <row r="191" spans="1:3" ht="15" x14ac:dyDescent="0.25">
      <c r="A191" s="10" t="s">
        <v>14383</v>
      </c>
      <c r="B191" s="104" t="s">
        <v>14396</v>
      </c>
      <c r="C191" s="54"/>
    </row>
    <row r="192" spans="1:3" ht="15" x14ac:dyDescent="0.25">
      <c r="A192" s="98" t="s">
        <v>7896</v>
      </c>
      <c r="B192" s="107" t="s">
        <v>5483</v>
      </c>
      <c r="C192" s="54"/>
    </row>
    <row r="193" spans="1:3" ht="15" x14ac:dyDescent="0.25">
      <c r="A193" s="10" t="s">
        <v>11533</v>
      </c>
      <c r="B193" s="104" t="s">
        <v>12305</v>
      </c>
      <c r="C193" s="54" t="s">
        <v>7532</v>
      </c>
    </row>
    <row r="194" spans="1:3" ht="15" x14ac:dyDescent="0.25">
      <c r="A194" s="10" t="s">
        <v>14192</v>
      </c>
      <c r="B194" s="104" t="s">
        <v>14193</v>
      </c>
      <c r="C194" s="54"/>
    </row>
    <row r="195" spans="1:3" ht="15" x14ac:dyDescent="0.25">
      <c r="A195" s="100" t="s">
        <v>13014</v>
      </c>
      <c r="B195" s="103" t="s">
        <v>14259</v>
      </c>
      <c r="C195" s="54"/>
    </row>
    <row r="196" spans="1:3" x14ac:dyDescent="0.25">
      <c r="A196" s="149" t="s">
        <v>14187</v>
      </c>
      <c r="B196" s="150" t="s">
        <v>14185</v>
      </c>
      <c r="C196" s="154"/>
    </row>
    <row r="197" spans="1:3" x14ac:dyDescent="0.25">
      <c r="A197" s="151" t="s">
        <v>14085</v>
      </c>
      <c r="B197" s="152" t="s">
        <v>14084</v>
      </c>
      <c r="C197" s="153"/>
    </row>
  </sheetData>
  <sortState ref="A2:C149">
    <sortCondition ref="A2:A149"/>
  </sortState>
  <phoneticPr fontId="4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P5399"/>
  <sheetViews>
    <sheetView zoomScale="130" zoomScaleNormal="130" workbookViewId="0">
      <pane xSplit="5" ySplit="1" topLeftCell="W2" activePane="bottomRight" state="frozenSplit"/>
      <selection pane="topRight" activeCell="F1" sqref="F1"/>
      <selection pane="bottomLeft" activeCell="A920" sqref="A920"/>
      <selection pane="bottomRight" activeCell="X2" sqref="X2"/>
    </sheetView>
  </sheetViews>
  <sheetFormatPr defaultRowHeight="13.2" outlineLevelCol="1" x14ac:dyDescent="0.25"/>
  <cols>
    <col min="1" max="1" width="6.77734375" style="210" bestFit="1" customWidth="1"/>
    <col min="2" max="2" width="4" style="210" bestFit="1" customWidth="1"/>
    <col min="3" max="3" width="6.21875" style="210" bestFit="1" customWidth="1"/>
    <col min="4" max="4" width="10" style="619" customWidth="1"/>
    <col min="5" max="5" width="22.77734375" style="345" customWidth="1"/>
    <col min="6" max="6" width="8.33203125" style="210" hidden="1" customWidth="1" outlineLevel="1"/>
    <col min="7" max="7" width="8.21875" style="210" hidden="1" customWidth="1" outlineLevel="1"/>
    <col min="8" max="8" width="3.88671875" style="210" hidden="1" customWidth="1" outlineLevel="1"/>
    <col min="9" max="9" width="5.88671875" style="210" hidden="1" customWidth="1" outlineLevel="1"/>
    <col min="10" max="10" width="5.21875" style="908" bestFit="1" customWidth="1" collapsed="1"/>
    <col min="11" max="15" width="15" style="166" hidden="1" customWidth="1" outlineLevel="1"/>
    <col min="16" max="16" width="11" style="267" hidden="1" customWidth="1" outlineLevel="1"/>
    <col min="17" max="17" width="17.44140625" style="166" hidden="1" customWidth="1" outlineLevel="1"/>
    <col min="18" max="18" width="18.33203125" style="268" customWidth="1" collapsed="1"/>
    <col min="19" max="19" width="11" style="386" hidden="1" customWidth="1" outlineLevel="1"/>
    <col min="20" max="20" width="10" style="267" hidden="1" customWidth="1" outlineLevel="1"/>
    <col min="21" max="21" width="9.88671875" style="267" hidden="1" customWidth="1" outlineLevel="1"/>
    <col min="22" max="22" width="10.33203125" style="267" hidden="1" customWidth="1" outlineLevel="1"/>
    <col min="23" max="23" width="46.77734375" style="350" customWidth="1" collapsed="1"/>
    <col min="24" max="24" width="32.109375" style="685" bestFit="1" customWidth="1"/>
    <col min="25" max="25" width="8" style="386" hidden="1" customWidth="1" outlineLevel="1"/>
    <col min="26" max="26" width="4.6640625" style="385" hidden="1" customWidth="1" outlineLevel="1"/>
    <col min="27" max="27" width="6" style="385" hidden="1" customWidth="1" outlineLevel="1"/>
    <col min="28" max="28" width="1.77734375" style="42" customWidth="1" collapsed="1"/>
    <col min="29" max="29" width="18" style="832" hidden="1" customWidth="1" outlineLevel="1"/>
    <col min="30" max="30" width="18" style="833" hidden="1" customWidth="1" outlineLevel="1"/>
    <col min="31" max="31" width="21" style="956" hidden="1" customWidth="1" outlineLevel="1"/>
    <col min="32" max="32" width="7" style="938" bestFit="1" customWidth="1" collapsed="1"/>
    <col min="33" max="33" width="4.33203125" style="307" bestFit="1" customWidth="1"/>
    <col min="34" max="35" width="9.109375" style="95"/>
  </cols>
  <sheetData>
    <row r="1" spans="1:36" s="4" customFormat="1" ht="12" customHeight="1" x14ac:dyDescent="0.25">
      <c r="A1" s="12" t="s">
        <v>6860</v>
      </c>
      <c r="B1" s="12" t="s">
        <v>6861</v>
      </c>
      <c r="C1" s="12" t="s">
        <v>6862</v>
      </c>
      <c r="D1" s="12" t="s">
        <v>6863</v>
      </c>
      <c r="E1" s="24" t="s">
        <v>6864</v>
      </c>
      <c r="F1" s="14" t="s">
        <v>39</v>
      </c>
      <c r="G1" s="14" t="s">
        <v>2125</v>
      </c>
      <c r="H1" s="14" t="s">
        <v>2423</v>
      </c>
      <c r="I1" s="14" t="s">
        <v>5644</v>
      </c>
      <c r="J1" s="898" t="s">
        <v>5648</v>
      </c>
      <c r="K1" s="17" t="s">
        <v>6866</v>
      </c>
      <c r="L1" s="17" t="s">
        <v>3202</v>
      </c>
      <c r="M1" s="17" t="s">
        <v>253</v>
      </c>
      <c r="N1" s="17" t="s">
        <v>3409</v>
      </c>
      <c r="O1" s="17" t="s">
        <v>6867</v>
      </c>
      <c r="P1" s="13" t="s">
        <v>3205</v>
      </c>
      <c r="Q1" s="17" t="s">
        <v>3206</v>
      </c>
      <c r="R1" s="28" t="s">
        <v>1040</v>
      </c>
      <c r="S1" s="18" t="s">
        <v>3203</v>
      </c>
      <c r="T1" s="13" t="s">
        <v>638</v>
      </c>
      <c r="U1" s="13" t="s">
        <v>639</v>
      </c>
      <c r="V1" s="13" t="s">
        <v>640</v>
      </c>
      <c r="W1" s="130" t="s">
        <v>8489</v>
      </c>
      <c r="X1" s="643" t="s">
        <v>12311</v>
      </c>
      <c r="Y1" s="18" t="s">
        <v>6865</v>
      </c>
      <c r="Z1" s="15" t="s">
        <v>13382</v>
      </c>
      <c r="AA1" s="15" t="s">
        <v>5657</v>
      </c>
      <c r="AB1" s="16" t="s">
        <v>3365</v>
      </c>
      <c r="AC1" s="808" t="s">
        <v>8558</v>
      </c>
      <c r="AD1" s="809" t="s">
        <v>11250</v>
      </c>
      <c r="AE1" s="939" t="s">
        <v>9588</v>
      </c>
      <c r="AF1" s="919" t="s">
        <v>15468</v>
      </c>
      <c r="AG1" s="133" t="s">
        <v>3204</v>
      </c>
      <c r="AH1" s="93"/>
      <c r="AI1" s="93"/>
    </row>
    <row r="2" spans="1:36" s="2" customFormat="1" ht="12" customHeight="1" x14ac:dyDescent="0.25">
      <c r="A2" s="405"/>
      <c r="B2" s="406" t="s">
        <v>2650</v>
      </c>
      <c r="C2" s="405">
        <v>5</v>
      </c>
      <c r="D2" s="407" t="s">
        <v>4426</v>
      </c>
      <c r="E2" s="315" t="s">
        <v>4427</v>
      </c>
      <c r="F2" s="169">
        <v>37865</v>
      </c>
      <c r="G2" s="170"/>
      <c r="H2" s="170">
        <v>1</v>
      </c>
      <c r="I2" s="746">
        <f>TIME(0,61,8)</f>
        <v>4.2453703703703709E-2</v>
      </c>
      <c r="J2" s="899" t="s">
        <v>4706</v>
      </c>
      <c r="K2" s="167" t="s">
        <v>3800</v>
      </c>
      <c r="L2" s="167" t="s">
        <v>4549</v>
      </c>
      <c r="M2" s="167"/>
      <c r="N2" s="167"/>
      <c r="O2" s="167" t="s">
        <v>546</v>
      </c>
      <c r="P2" s="168" t="s">
        <v>8879</v>
      </c>
      <c r="Q2" s="167" t="s">
        <v>3947</v>
      </c>
      <c r="R2" s="172" t="s">
        <v>3145</v>
      </c>
      <c r="S2" s="388"/>
      <c r="T2" s="168"/>
      <c r="U2" s="168"/>
      <c r="V2" s="168"/>
      <c r="W2" s="312" t="s">
        <v>4427</v>
      </c>
      <c r="X2" s="644" t="s">
        <v>15472</v>
      </c>
      <c r="Y2" s="352" t="s">
        <v>5643</v>
      </c>
      <c r="Z2" s="353">
        <v>242</v>
      </c>
      <c r="AA2" s="353">
        <v>5.5</v>
      </c>
      <c r="AB2" s="31">
        <f t="shared" ref="AB2:AB65" ca="1" si="0">RAND()</f>
        <v>0.61594373356549459</v>
      </c>
      <c r="AC2" s="810"/>
      <c r="AD2" s="811" t="s">
        <v>15833</v>
      </c>
      <c r="AE2" s="978" t="s">
        <v>15860</v>
      </c>
      <c r="AF2" s="920">
        <f>IF(X2=X1,AF1,0)+IF(ISNUMBER(I2),IF(I2&lt;1,I2,I2*VLOOKUP(J2,Summary!$H$2:$I$9,2)),VLOOKUP(J2,Summary!$J$2:$K$9,2)*IF(ISNUMBER(H2),H2,1))</f>
        <v>4.2453703703703709E-2</v>
      </c>
      <c r="AG2" s="287">
        <v>1</v>
      </c>
      <c r="AH2" s="94"/>
      <c r="AI2" s="94"/>
    </row>
    <row r="3" spans="1:36" s="22" customFormat="1" ht="12" customHeight="1" x14ac:dyDescent="0.25">
      <c r="A3" s="409"/>
      <c r="B3" s="410" t="s">
        <v>2650</v>
      </c>
      <c r="C3" s="409">
        <v>14.26</v>
      </c>
      <c r="D3" s="176" t="s">
        <v>3568</v>
      </c>
      <c r="E3" s="313" t="s">
        <v>3569</v>
      </c>
      <c r="F3" s="174">
        <v>38322</v>
      </c>
      <c r="G3" s="174"/>
      <c r="H3" s="176">
        <v>1</v>
      </c>
      <c r="I3" s="176">
        <v>10</v>
      </c>
      <c r="J3" s="900" t="s">
        <v>2755</v>
      </c>
      <c r="K3" s="164" t="s">
        <v>176</v>
      </c>
      <c r="L3" s="164" t="s">
        <v>461</v>
      </c>
      <c r="M3" s="164"/>
      <c r="N3" s="164" t="s">
        <v>3807</v>
      </c>
      <c r="O3" s="164"/>
      <c r="P3" s="173" t="s">
        <v>6565</v>
      </c>
      <c r="Q3" s="164" t="s">
        <v>3947</v>
      </c>
      <c r="R3" s="179" t="s">
        <v>2723</v>
      </c>
      <c r="S3" s="354"/>
      <c r="T3" s="173"/>
      <c r="U3" s="173"/>
      <c r="V3" s="173"/>
      <c r="W3" s="313" t="s">
        <v>3569</v>
      </c>
      <c r="X3" s="645" t="s">
        <v>15472</v>
      </c>
      <c r="Y3" s="354"/>
      <c r="Z3" s="176"/>
      <c r="AA3" s="176"/>
      <c r="AB3" s="32">
        <f t="shared" ca="1" si="0"/>
        <v>0.68153887500371158</v>
      </c>
      <c r="AC3" s="812"/>
      <c r="AD3" s="763"/>
      <c r="AE3" s="977" t="s">
        <v>15860</v>
      </c>
      <c r="AF3" s="921">
        <f>IF(X3=X2,AF2,0)+IF(ISNUMBER(I3),IF(I3&lt;1,I3,I3*VLOOKUP(J3,Summary!$H$2:$I$9,2)),VLOOKUP(J3,Summary!$J$2:$K$9,2)*IF(ISNUMBER(H3),H3,1))</f>
        <v>4.9398148148148156E-2</v>
      </c>
      <c r="AG3" s="288">
        <v>2</v>
      </c>
      <c r="AH3" s="94"/>
      <c r="AI3" s="94"/>
    </row>
    <row r="4" spans="1:36" s="1" customFormat="1" ht="12" customHeight="1" x14ac:dyDescent="0.25">
      <c r="A4" s="408"/>
      <c r="B4" s="408" t="s">
        <v>2650</v>
      </c>
      <c r="C4" s="408">
        <v>1</v>
      </c>
      <c r="D4" s="176" t="s">
        <v>888</v>
      </c>
      <c r="E4" s="313" t="s">
        <v>825</v>
      </c>
      <c r="F4" s="174">
        <v>36100</v>
      </c>
      <c r="G4" s="175"/>
      <c r="H4" s="176" t="s">
        <v>461</v>
      </c>
      <c r="I4" s="176"/>
      <c r="J4" s="900" t="s">
        <v>2755</v>
      </c>
      <c r="K4" s="164" t="s">
        <v>3807</v>
      </c>
      <c r="L4" s="164"/>
      <c r="M4" s="164"/>
      <c r="N4" s="164" t="s">
        <v>819</v>
      </c>
      <c r="O4" s="164"/>
      <c r="P4" s="178" t="s">
        <v>461</v>
      </c>
      <c r="Q4" s="164" t="s">
        <v>820</v>
      </c>
      <c r="R4" s="177" t="s">
        <v>895</v>
      </c>
      <c r="S4" s="354"/>
      <c r="T4" s="173"/>
      <c r="U4" s="173"/>
      <c r="V4" s="173"/>
      <c r="W4" s="313" t="s">
        <v>825</v>
      </c>
      <c r="X4" s="645" t="s">
        <v>15472</v>
      </c>
      <c r="Y4" s="354"/>
      <c r="Z4" s="176"/>
      <c r="AA4" s="176"/>
      <c r="AB4" s="32">
        <f t="shared" ca="1" si="0"/>
        <v>3.9010776098167055E-2</v>
      </c>
      <c r="AC4" s="812"/>
      <c r="AD4" s="763" t="s">
        <v>461</v>
      </c>
      <c r="AE4" s="807"/>
      <c r="AF4" s="921">
        <f>IF(X4=X3,AF3,0)+IF(ISNUMBER(I4),IF(I4&lt;1,I4,I4*VLOOKUP(J4,Summary!$H$2:$I$9,2)),VLOOKUP(J4,Summary!$J$2:$K$9,2)*IF(ISNUMBER(H4),H4,1))</f>
        <v>6.6759259259259268E-2</v>
      </c>
      <c r="AG4" s="289">
        <v>3</v>
      </c>
      <c r="AH4" s="94"/>
      <c r="AI4" s="94"/>
    </row>
    <row r="5" spans="1:36" s="22" customFormat="1" ht="12" customHeight="1" x14ac:dyDescent="0.25">
      <c r="A5" s="410"/>
      <c r="B5" s="410" t="s">
        <v>2650</v>
      </c>
      <c r="C5" s="410"/>
      <c r="D5" s="176" t="s">
        <v>5315</v>
      </c>
      <c r="E5" s="313" t="s">
        <v>4193</v>
      </c>
      <c r="F5" s="174">
        <v>40391</v>
      </c>
      <c r="G5" s="174"/>
      <c r="H5" s="176">
        <v>1</v>
      </c>
      <c r="I5" s="176">
        <v>4</v>
      </c>
      <c r="J5" s="900" t="s">
        <v>2755</v>
      </c>
      <c r="K5" s="164" t="s">
        <v>543</v>
      </c>
      <c r="L5" s="164" t="s">
        <v>4194</v>
      </c>
      <c r="M5" s="164"/>
      <c r="N5" s="164" t="s">
        <v>5317</v>
      </c>
      <c r="O5" s="164"/>
      <c r="P5" s="173" t="s">
        <v>776</v>
      </c>
      <c r="Q5" s="164" t="s">
        <v>3953</v>
      </c>
      <c r="R5" s="177" t="s">
        <v>4600</v>
      </c>
      <c r="S5" s="354"/>
      <c r="T5" s="173"/>
      <c r="U5" s="173"/>
      <c r="V5" s="173"/>
      <c r="W5" s="313" t="s">
        <v>4193</v>
      </c>
      <c r="X5" s="645" t="s">
        <v>15472</v>
      </c>
      <c r="Y5" s="354" t="s">
        <v>6868</v>
      </c>
      <c r="Z5" s="157">
        <v>999</v>
      </c>
      <c r="AA5" s="176"/>
      <c r="AB5" s="32">
        <f t="shared" ca="1" si="0"/>
        <v>0.60403076188792482</v>
      </c>
      <c r="AC5" s="812"/>
      <c r="AD5" s="763" t="s">
        <v>461</v>
      </c>
      <c r="AE5" s="807"/>
      <c r="AF5" s="921">
        <f>IF(X5=X4,AF4,0)+IF(ISNUMBER(I5),IF(I5&lt;1,I5,I5*VLOOKUP(J5,Summary!$H$2:$I$9,2)),VLOOKUP(J5,Summary!$J$2:$K$9,2)*IF(ISNUMBER(H5),H5,1))</f>
        <v>6.953703703703705E-2</v>
      </c>
      <c r="AG5" s="289">
        <v>4</v>
      </c>
      <c r="AH5" s="94"/>
      <c r="AI5" s="94"/>
    </row>
    <row r="6" spans="1:36" s="22" customFormat="1" ht="12" customHeight="1" x14ac:dyDescent="0.25">
      <c r="A6" s="408"/>
      <c r="B6" s="408" t="s">
        <v>2650</v>
      </c>
      <c r="C6" s="408">
        <v>4</v>
      </c>
      <c r="D6" s="176" t="s">
        <v>12595</v>
      </c>
      <c r="E6" s="313" t="s">
        <v>12596</v>
      </c>
      <c r="F6" s="175">
        <v>42915</v>
      </c>
      <c r="G6" s="174"/>
      <c r="H6" s="176" t="s">
        <v>461</v>
      </c>
      <c r="I6" s="176"/>
      <c r="J6" s="900" t="s">
        <v>2755</v>
      </c>
      <c r="K6" s="164" t="s">
        <v>2675</v>
      </c>
      <c r="L6" s="164" t="s">
        <v>3551</v>
      </c>
      <c r="M6" s="164"/>
      <c r="N6" s="164"/>
      <c r="O6" s="164"/>
      <c r="P6" s="173" t="s">
        <v>12587</v>
      </c>
      <c r="Q6" s="164" t="s">
        <v>3953</v>
      </c>
      <c r="R6" s="177" t="s">
        <v>12588</v>
      </c>
      <c r="S6" s="354"/>
      <c r="T6" s="173"/>
      <c r="U6" s="173"/>
      <c r="V6" s="173"/>
      <c r="W6" s="313" t="s">
        <v>12596</v>
      </c>
      <c r="X6" s="645" t="s">
        <v>15472</v>
      </c>
      <c r="Y6" s="354"/>
      <c r="Z6" s="176"/>
      <c r="AA6" s="176"/>
      <c r="AB6" s="32">
        <f t="shared" ca="1" si="0"/>
        <v>0.97466951242301592</v>
      </c>
      <c r="AC6" s="812"/>
      <c r="AD6" s="763" t="s">
        <v>461</v>
      </c>
      <c r="AE6" s="807"/>
      <c r="AF6" s="921">
        <f>IF(X6=X5,AF5,0)+IF(ISNUMBER(I6),IF(I6&lt;1,I6,I6*VLOOKUP(J6,Summary!$H$2:$I$9,2)),VLOOKUP(J6,Summary!$J$2:$K$9,2)*IF(ISNUMBER(H6),H6,1))</f>
        <v>8.6898148148148169E-2</v>
      </c>
      <c r="AG6" s="289">
        <v>5</v>
      </c>
      <c r="AH6" s="94"/>
      <c r="AI6" s="94"/>
    </row>
    <row r="7" spans="1:36" s="2" customFormat="1" ht="12" customHeight="1" x14ac:dyDescent="0.25">
      <c r="A7" s="411"/>
      <c r="B7" s="411" t="s">
        <v>2650</v>
      </c>
      <c r="C7" s="411">
        <v>16</v>
      </c>
      <c r="D7" s="185" t="s">
        <v>9966</v>
      </c>
      <c r="E7" s="314" t="s">
        <v>9948</v>
      </c>
      <c r="F7" s="183">
        <v>29556</v>
      </c>
      <c r="G7" s="184"/>
      <c r="H7" s="185">
        <v>1</v>
      </c>
      <c r="I7" s="185">
        <v>4</v>
      </c>
      <c r="J7" s="901" t="s">
        <v>1796</v>
      </c>
      <c r="K7" s="163" t="s">
        <v>9981</v>
      </c>
      <c r="L7" s="163" t="s">
        <v>9937</v>
      </c>
      <c r="M7" s="163"/>
      <c r="N7" s="163" t="s">
        <v>6026</v>
      </c>
      <c r="O7" s="163"/>
      <c r="P7" s="182" t="s">
        <v>461</v>
      </c>
      <c r="Q7" s="163" t="s">
        <v>4062</v>
      </c>
      <c r="R7" s="186" t="s">
        <v>9922</v>
      </c>
      <c r="S7" s="355"/>
      <c r="T7" s="182"/>
      <c r="U7" s="182"/>
      <c r="V7" s="182"/>
      <c r="W7" s="314" t="s">
        <v>9948</v>
      </c>
      <c r="X7" s="646" t="s">
        <v>15472</v>
      </c>
      <c r="Y7" s="355"/>
      <c r="Z7" s="158"/>
      <c r="AA7" s="185"/>
      <c r="AB7" s="33">
        <f t="shared" ca="1" si="0"/>
        <v>0.96700437017737439</v>
      </c>
      <c r="AC7" s="813"/>
      <c r="AD7" s="211" t="s">
        <v>461</v>
      </c>
      <c r="AE7" s="941"/>
      <c r="AF7" s="922">
        <f>IF(X7=X6,AF6,0)+IF(ISNUMBER(I7),IF(I7&lt;1,I7,I7*VLOOKUP(J7,Summary!$H$2:$I$9,2)),VLOOKUP(J7,Summary!$J$2:$K$9,2)*IF(ISNUMBER(H7),H7,1))</f>
        <v>8.8287037037037053E-2</v>
      </c>
      <c r="AG7" s="290">
        <v>6</v>
      </c>
      <c r="AH7" s="94"/>
      <c r="AI7" s="94"/>
    </row>
    <row r="8" spans="1:36" s="9" customFormat="1" ht="12" customHeight="1" x14ac:dyDescent="0.25">
      <c r="A8" s="411"/>
      <c r="B8" s="411" t="s">
        <v>2650</v>
      </c>
      <c r="C8" s="411">
        <v>20</v>
      </c>
      <c r="D8" s="185" t="s">
        <v>6045</v>
      </c>
      <c r="E8" s="314" t="s">
        <v>9952</v>
      </c>
      <c r="F8" s="183">
        <v>29677</v>
      </c>
      <c r="G8" s="184"/>
      <c r="H8" s="185">
        <v>1</v>
      </c>
      <c r="I8" s="185">
        <v>4</v>
      </c>
      <c r="J8" s="901" t="s">
        <v>1796</v>
      </c>
      <c r="K8" s="163" t="s">
        <v>9981</v>
      </c>
      <c r="L8" s="163" t="s">
        <v>9937</v>
      </c>
      <c r="M8" s="163"/>
      <c r="N8" s="163" t="s">
        <v>6026</v>
      </c>
      <c r="O8" s="163"/>
      <c r="P8" s="182" t="s">
        <v>461</v>
      </c>
      <c r="Q8" s="163" t="s">
        <v>4062</v>
      </c>
      <c r="R8" s="186" t="s">
        <v>9922</v>
      </c>
      <c r="S8" s="355"/>
      <c r="T8" s="182"/>
      <c r="U8" s="182"/>
      <c r="V8" s="182"/>
      <c r="W8" s="314" t="s">
        <v>9952</v>
      </c>
      <c r="X8" s="646" t="s">
        <v>15472</v>
      </c>
      <c r="Y8" s="355"/>
      <c r="Z8" s="158"/>
      <c r="AA8" s="185"/>
      <c r="AB8" s="33">
        <f t="shared" ca="1" si="0"/>
        <v>0.42038116990656638</v>
      </c>
      <c r="AC8" s="813"/>
      <c r="AD8" s="211" t="s">
        <v>461</v>
      </c>
      <c r="AE8" s="941"/>
      <c r="AF8" s="922">
        <f>IF(X8=X7,AF7,0)+IF(ISNUMBER(I8),IF(I8&lt;1,I8,I8*VLOOKUP(J8,Summary!$H$2:$I$9,2)),VLOOKUP(J8,Summary!$J$2:$K$9,2)*IF(ISNUMBER(H8),H8,1))</f>
        <v>8.9675925925925937E-2</v>
      </c>
      <c r="AG8" s="290">
        <v>7</v>
      </c>
      <c r="AH8" s="94"/>
      <c r="AI8" s="94"/>
    </row>
    <row r="9" spans="1:36" s="1" customFormat="1" ht="12" customHeight="1" x14ac:dyDescent="0.25">
      <c r="A9" s="411"/>
      <c r="B9" s="411" t="s">
        <v>2650</v>
      </c>
      <c r="C9" s="411">
        <v>22</v>
      </c>
      <c r="D9" s="185" t="s">
        <v>9971</v>
      </c>
      <c r="E9" s="314" t="s">
        <v>9954</v>
      </c>
      <c r="F9" s="183">
        <v>29860</v>
      </c>
      <c r="G9" s="184"/>
      <c r="H9" s="185">
        <v>1</v>
      </c>
      <c r="I9" s="185">
        <v>4</v>
      </c>
      <c r="J9" s="901" t="s">
        <v>1796</v>
      </c>
      <c r="K9" s="163" t="s">
        <v>9981</v>
      </c>
      <c r="L9" s="163" t="s">
        <v>9937</v>
      </c>
      <c r="M9" s="163"/>
      <c r="N9" s="163" t="s">
        <v>6026</v>
      </c>
      <c r="O9" s="163"/>
      <c r="P9" s="182" t="s">
        <v>461</v>
      </c>
      <c r="Q9" s="163" t="s">
        <v>4062</v>
      </c>
      <c r="R9" s="186" t="s">
        <v>9922</v>
      </c>
      <c r="S9" s="355"/>
      <c r="T9" s="182"/>
      <c r="U9" s="182"/>
      <c r="V9" s="182"/>
      <c r="W9" s="314" t="s">
        <v>9954</v>
      </c>
      <c r="X9" s="646" t="s">
        <v>15472</v>
      </c>
      <c r="Y9" s="355"/>
      <c r="Z9" s="158"/>
      <c r="AA9" s="185"/>
      <c r="AB9" s="33">
        <f t="shared" ca="1" si="0"/>
        <v>0.81940520862859778</v>
      </c>
      <c r="AC9" s="813"/>
      <c r="AD9" s="211" t="s">
        <v>461</v>
      </c>
      <c r="AE9" s="941"/>
      <c r="AF9" s="922">
        <f>IF(X9=X8,AF8,0)+IF(ISNUMBER(I9),IF(I9&lt;1,I9,I9*VLOOKUP(J9,Summary!$H$2:$I$9,2)),VLOOKUP(J9,Summary!$J$2:$K$9,2)*IF(ISNUMBER(H9),H9,1))</f>
        <v>9.1064814814814821E-2</v>
      </c>
      <c r="AG9" s="290">
        <v>8</v>
      </c>
      <c r="AH9" s="94"/>
      <c r="AI9" s="94"/>
    </row>
    <row r="10" spans="1:36" s="22" customFormat="1" ht="12" customHeight="1" x14ac:dyDescent="0.25">
      <c r="A10" s="408"/>
      <c r="B10" s="408" t="s">
        <v>2650</v>
      </c>
      <c r="C10" s="408">
        <v>5</v>
      </c>
      <c r="D10" s="176" t="s">
        <v>12597</v>
      </c>
      <c r="E10" s="313" t="s">
        <v>12598</v>
      </c>
      <c r="F10" s="175">
        <v>42915</v>
      </c>
      <c r="G10" s="174"/>
      <c r="H10" s="176" t="s">
        <v>461</v>
      </c>
      <c r="I10" s="176"/>
      <c r="J10" s="900" t="s">
        <v>2755</v>
      </c>
      <c r="K10" s="164" t="s">
        <v>2675</v>
      </c>
      <c r="L10" s="164" t="s">
        <v>3551</v>
      </c>
      <c r="M10" s="164"/>
      <c r="N10" s="164"/>
      <c r="O10" s="164"/>
      <c r="P10" s="173" t="s">
        <v>12587</v>
      </c>
      <c r="Q10" s="164" t="s">
        <v>3953</v>
      </c>
      <c r="R10" s="177" t="s">
        <v>12588</v>
      </c>
      <c r="S10" s="354"/>
      <c r="T10" s="173"/>
      <c r="U10" s="173"/>
      <c r="V10" s="173"/>
      <c r="W10" s="313" t="s">
        <v>12598</v>
      </c>
      <c r="X10" s="645" t="s">
        <v>15472</v>
      </c>
      <c r="Y10" s="354"/>
      <c r="Z10" s="176"/>
      <c r="AA10" s="176"/>
      <c r="AB10" s="32">
        <f t="shared" ca="1" si="0"/>
        <v>0.68187711562596309</v>
      </c>
      <c r="AC10" s="812"/>
      <c r="AD10" s="763" t="s">
        <v>461</v>
      </c>
      <c r="AE10" s="807"/>
      <c r="AF10" s="921">
        <f>IF(X10=X9,AF9,0)+IF(ISNUMBER(I10),IF(I10&lt;1,I10,I10*VLOOKUP(J10,Summary!$H$2:$I$9,2)),VLOOKUP(J10,Summary!$J$2:$K$9,2)*IF(ISNUMBER(H10),H10,1))</f>
        <v>0.10842592592592593</v>
      </c>
      <c r="AG10" s="289">
        <v>9</v>
      </c>
      <c r="AH10" s="94"/>
      <c r="AI10" s="94"/>
    </row>
    <row r="11" spans="1:36" s="22" customFormat="1" ht="12" customHeight="1" x14ac:dyDescent="0.25">
      <c r="A11" s="408"/>
      <c r="B11" s="408" t="s">
        <v>2650</v>
      </c>
      <c r="C11" s="408">
        <v>12</v>
      </c>
      <c r="D11" s="176" t="s">
        <v>12609</v>
      </c>
      <c r="E11" s="313" t="s">
        <v>12607</v>
      </c>
      <c r="F11" s="175">
        <v>42915</v>
      </c>
      <c r="G11" s="174"/>
      <c r="H11" s="176" t="s">
        <v>461</v>
      </c>
      <c r="I11" s="176"/>
      <c r="J11" s="900" t="s">
        <v>2755</v>
      </c>
      <c r="K11" s="164" t="s">
        <v>2675</v>
      </c>
      <c r="L11" s="164" t="s">
        <v>3551</v>
      </c>
      <c r="M11" s="164"/>
      <c r="N11" s="164"/>
      <c r="O11" s="164"/>
      <c r="P11" s="173" t="s">
        <v>12587</v>
      </c>
      <c r="Q11" s="164" t="s">
        <v>3953</v>
      </c>
      <c r="R11" s="177" t="s">
        <v>12588</v>
      </c>
      <c r="S11" s="354"/>
      <c r="T11" s="173"/>
      <c r="U11" s="173"/>
      <c r="V11" s="173"/>
      <c r="W11" s="313" t="s">
        <v>12607</v>
      </c>
      <c r="X11" s="645" t="s">
        <v>15472</v>
      </c>
      <c r="Y11" s="354"/>
      <c r="Z11" s="176"/>
      <c r="AA11" s="176"/>
      <c r="AB11" s="32">
        <f t="shared" ca="1" si="0"/>
        <v>0.70143480007869308</v>
      </c>
      <c r="AC11" s="812"/>
      <c r="AD11" s="763" t="s">
        <v>461</v>
      </c>
      <c r="AE11" s="807"/>
      <c r="AF11" s="921">
        <f>IF(X11=X10,AF10,0)+IF(ISNUMBER(I11),IF(I11&lt;1,I11,I11*VLOOKUP(J11,Summary!$H$2:$I$9,2)),VLOOKUP(J11,Summary!$J$2:$K$9,2)*IF(ISNUMBER(H11),H11,1))</f>
        <v>0.12578703703703703</v>
      </c>
      <c r="AG11" s="289">
        <v>10</v>
      </c>
      <c r="AH11" s="94"/>
      <c r="AI11" s="94"/>
    </row>
    <row r="12" spans="1:36" s="22" customFormat="1" ht="12" customHeight="1" x14ac:dyDescent="0.25">
      <c r="A12" s="408"/>
      <c r="B12" s="408" t="s">
        <v>2650</v>
      </c>
      <c r="C12" s="408">
        <v>14</v>
      </c>
      <c r="D12" s="176" t="s">
        <v>12612</v>
      </c>
      <c r="E12" s="313" t="s">
        <v>12613</v>
      </c>
      <c r="F12" s="175">
        <v>42915</v>
      </c>
      <c r="G12" s="174"/>
      <c r="H12" s="176" t="s">
        <v>461</v>
      </c>
      <c r="I12" s="176"/>
      <c r="J12" s="900" t="s">
        <v>2755</v>
      </c>
      <c r="K12" s="164" t="s">
        <v>2675</v>
      </c>
      <c r="L12" s="164" t="s">
        <v>3551</v>
      </c>
      <c r="M12" s="164"/>
      <c r="N12" s="164"/>
      <c r="O12" s="164"/>
      <c r="P12" s="173" t="s">
        <v>12587</v>
      </c>
      <c r="Q12" s="164" t="s">
        <v>3953</v>
      </c>
      <c r="R12" s="177" t="s">
        <v>12588</v>
      </c>
      <c r="S12" s="354"/>
      <c r="T12" s="173"/>
      <c r="U12" s="173"/>
      <c r="V12" s="173"/>
      <c r="W12" s="313" t="s">
        <v>12613</v>
      </c>
      <c r="X12" s="645" t="s">
        <v>15472</v>
      </c>
      <c r="Y12" s="354"/>
      <c r="Z12" s="176"/>
      <c r="AA12" s="176"/>
      <c r="AB12" s="32">
        <f t="shared" ca="1" si="0"/>
        <v>0.78001596324051659</v>
      </c>
      <c r="AC12" s="812"/>
      <c r="AD12" s="763" t="s">
        <v>461</v>
      </c>
      <c r="AE12" s="807"/>
      <c r="AF12" s="921">
        <f>IF(X12=X11,AF11,0)+IF(ISNUMBER(I12),IF(I12&lt;1,I12,I12*VLOOKUP(J12,Summary!$H$2:$I$9,2)),VLOOKUP(J12,Summary!$J$2:$K$9,2)*IF(ISNUMBER(H12),H12,1))</f>
        <v>0.14314814814814814</v>
      </c>
      <c r="AG12" s="289">
        <v>11</v>
      </c>
      <c r="AH12" s="94"/>
      <c r="AI12" s="94"/>
    </row>
    <row r="13" spans="1:36" s="2" customFormat="1" ht="12" customHeight="1" x14ac:dyDescent="0.25">
      <c r="A13" s="411"/>
      <c r="B13" s="411" t="s">
        <v>2650</v>
      </c>
      <c r="C13" s="411">
        <v>4</v>
      </c>
      <c r="D13" s="185" t="s">
        <v>9930</v>
      </c>
      <c r="E13" s="314" t="s">
        <v>9931</v>
      </c>
      <c r="F13" s="184">
        <v>29201</v>
      </c>
      <c r="G13" s="184">
        <v>29217</v>
      </c>
      <c r="H13" s="185">
        <v>3</v>
      </c>
      <c r="I13" s="185">
        <v>12</v>
      </c>
      <c r="J13" s="901" t="s">
        <v>1796</v>
      </c>
      <c r="K13" s="163" t="s">
        <v>6031</v>
      </c>
      <c r="L13" s="163" t="s">
        <v>2431</v>
      </c>
      <c r="M13" s="163"/>
      <c r="N13" s="163" t="s">
        <v>6026</v>
      </c>
      <c r="O13" s="163"/>
      <c r="P13" s="182" t="s">
        <v>461</v>
      </c>
      <c r="Q13" s="163" t="s">
        <v>4062</v>
      </c>
      <c r="R13" s="186" t="s">
        <v>9922</v>
      </c>
      <c r="S13" s="355"/>
      <c r="T13" s="182"/>
      <c r="U13" s="182"/>
      <c r="V13" s="182"/>
      <c r="W13" s="314"/>
      <c r="X13" s="646" t="s">
        <v>15472</v>
      </c>
      <c r="Y13" s="355"/>
      <c r="Z13" s="158"/>
      <c r="AA13" s="185"/>
      <c r="AB13" s="33">
        <f t="shared" ca="1" si="0"/>
        <v>0.7509565975252902</v>
      </c>
      <c r="AC13" s="813"/>
      <c r="AD13" s="211" t="s">
        <v>461</v>
      </c>
      <c r="AE13" s="941"/>
      <c r="AF13" s="922">
        <f>IF(X13=X12,AF12,0)+IF(ISNUMBER(I13),IF(I13&lt;1,I13,I13*VLOOKUP(J13,Summary!$H$2:$I$9,2)),VLOOKUP(J13,Summary!$J$2:$K$9,2)*IF(ISNUMBER(H13),H13,1))</f>
        <v>0.14731481481481482</v>
      </c>
      <c r="AG13" s="290">
        <v>12</v>
      </c>
      <c r="AH13" s="94"/>
      <c r="AI13" s="94"/>
    </row>
    <row r="14" spans="1:36" s="22" customFormat="1" ht="12" customHeight="1" x14ac:dyDescent="0.2">
      <c r="A14" s="412">
        <v>0</v>
      </c>
      <c r="B14" s="412" t="s">
        <v>38</v>
      </c>
      <c r="C14" s="412">
        <v>1</v>
      </c>
      <c r="D14" s="407" t="s">
        <v>4429</v>
      </c>
      <c r="E14" s="315" t="s">
        <v>4430</v>
      </c>
      <c r="F14" s="169">
        <v>37742</v>
      </c>
      <c r="G14" s="170"/>
      <c r="H14" s="170">
        <v>1</v>
      </c>
      <c r="I14" s="746">
        <f>TIME(0,79,26)</f>
        <v>5.5162037037037037E-2</v>
      </c>
      <c r="J14" s="899" t="s">
        <v>4706</v>
      </c>
      <c r="K14" s="167" t="s">
        <v>941</v>
      </c>
      <c r="L14" s="167" t="s">
        <v>4549</v>
      </c>
      <c r="M14" s="167"/>
      <c r="N14" s="167"/>
      <c r="O14" s="167" t="s">
        <v>546</v>
      </c>
      <c r="P14" s="168" t="s">
        <v>8875</v>
      </c>
      <c r="Q14" s="167" t="s">
        <v>3947</v>
      </c>
      <c r="R14" s="172" t="s">
        <v>3145</v>
      </c>
      <c r="S14" s="388" t="s">
        <v>2326</v>
      </c>
      <c r="T14" s="168"/>
      <c r="U14" s="168"/>
      <c r="V14" s="168"/>
      <c r="W14" s="315" t="s">
        <v>4430</v>
      </c>
      <c r="X14" s="647" t="s">
        <v>15472</v>
      </c>
      <c r="Y14" s="352" t="s">
        <v>5643</v>
      </c>
      <c r="Z14" s="353">
        <v>9</v>
      </c>
      <c r="AA14" s="353">
        <v>10</v>
      </c>
      <c r="AB14" s="31">
        <f t="shared" ca="1" si="0"/>
        <v>0.11758943080482431</v>
      </c>
      <c r="AC14" s="810"/>
      <c r="AD14" s="811" t="s">
        <v>461</v>
      </c>
      <c r="AE14" s="978" t="s">
        <v>15860</v>
      </c>
      <c r="AF14" s="920">
        <f>IF(X14=X13,AF13,0)+IF(ISNUMBER(I14),IF(I14&lt;1,I14,I14*VLOOKUP(J14,Summary!$H$2:$I$9,2)),VLOOKUP(J14,Summary!$J$2:$K$9,2)*IF(ISNUMBER(H14),H14,1))</f>
        <v>0.20247685185185185</v>
      </c>
      <c r="AG14" s="287">
        <v>13</v>
      </c>
      <c r="AH14" s="94"/>
      <c r="AI14" s="94"/>
    </row>
    <row r="15" spans="1:36" s="22" customFormat="1" ht="12" customHeight="1" x14ac:dyDescent="0.25">
      <c r="A15" s="413">
        <v>0</v>
      </c>
      <c r="B15" s="413" t="s">
        <v>38</v>
      </c>
      <c r="C15" s="414">
        <v>18.14</v>
      </c>
      <c r="D15" s="176" t="s">
        <v>4998</v>
      </c>
      <c r="E15" s="313" t="s">
        <v>4999</v>
      </c>
      <c r="F15" s="174">
        <v>38687</v>
      </c>
      <c r="G15" s="174"/>
      <c r="H15" s="176">
        <v>1</v>
      </c>
      <c r="I15" s="176">
        <v>16</v>
      </c>
      <c r="J15" s="900" t="s">
        <v>2755</v>
      </c>
      <c r="K15" s="164" t="s">
        <v>941</v>
      </c>
      <c r="L15" s="164" t="s">
        <v>461</v>
      </c>
      <c r="M15" s="164"/>
      <c r="N15" s="164" t="s">
        <v>5664</v>
      </c>
      <c r="O15" s="164"/>
      <c r="P15" s="173" t="s">
        <v>5000</v>
      </c>
      <c r="Q15" s="164" t="s">
        <v>3947</v>
      </c>
      <c r="R15" s="177" t="s">
        <v>2723</v>
      </c>
      <c r="S15" s="354" t="s">
        <v>2326</v>
      </c>
      <c r="T15" s="164"/>
      <c r="U15" s="164"/>
      <c r="V15" s="164"/>
      <c r="W15" s="313" t="s">
        <v>4999</v>
      </c>
      <c r="X15" s="645" t="s">
        <v>15472</v>
      </c>
      <c r="Y15" s="354"/>
      <c r="Z15" s="176"/>
      <c r="AA15" s="176"/>
      <c r="AB15" s="32">
        <f t="shared" ca="1" si="0"/>
        <v>0.92797826915513248</v>
      </c>
      <c r="AC15" s="812"/>
      <c r="AD15" s="763" t="s">
        <v>16802</v>
      </c>
      <c r="AE15" s="977" t="s">
        <v>16803</v>
      </c>
      <c r="AF15" s="921">
        <f>IF(X15=X14,AF14,0)+IF(ISNUMBER(I15),IF(I15&lt;1,I15,I15*VLOOKUP(J15,Summary!$H$2:$I$9,2)),VLOOKUP(J15,Summary!$J$2:$K$9,2)*IF(ISNUMBER(H15),H15,1))</f>
        <v>0.21358796296296295</v>
      </c>
      <c r="AG15" s="289">
        <v>14</v>
      </c>
      <c r="AH15" s="94"/>
      <c r="AI15" s="94"/>
      <c r="AJ15" s="2"/>
    </row>
    <row r="16" spans="1:36" s="27" customFormat="1" ht="12" customHeight="1" x14ac:dyDescent="0.25">
      <c r="A16" s="412">
        <v>0</v>
      </c>
      <c r="B16" s="412" t="s">
        <v>38</v>
      </c>
      <c r="C16" s="412">
        <v>7</v>
      </c>
      <c r="D16" s="407" t="s">
        <v>4431</v>
      </c>
      <c r="E16" s="315" t="s">
        <v>4432</v>
      </c>
      <c r="F16" s="169">
        <v>38353</v>
      </c>
      <c r="G16" s="170"/>
      <c r="H16" s="170">
        <v>4</v>
      </c>
      <c r="I16" s="746">
        <f>TIME(0,141,14)</f>
        <v>9.8078703703703696E-2</v>
      </c>
      <c r="J16" s="899" t="s">
        <v>4706</v>
      </c>
      <c r="K16" s="167" t="s">
        <v>941</v>
      </c>
      <c r="L16" s="167" t="s">
        <v>6231</v>
      </c>
      <c r="M16" s="167"/>
      <c r="N16" s="167"/>
      <c r="O16" s="167" t="s">
        <v>546</v>
      </c>
      <c r="P16" s="168" t="s">
        <v>8881</v>
      </c>
      <c r="Q16" s="167" t="s">
        <v>3947</v>
      </c>
      <c r="R16" s="172" t="s">
        <v>3145</v>
      </c>
      <c r="S16" s="388" t="s">
        <v>2326</v>
      </c>
      <c r="T16" s="168"/>
      <c r="U16" s="168"/>
      <c r="V16" s="168"/>
      <c r="W16" s="312" t="s">
        <v>8764</v>
      </c>
      <c r="X16" s="644" t="s">
        <v>15472</v>
      </c>
      <c r="Y16" s="352" t="s">
        <v>5643</v>
      </c>
      <c r="Z16" s="353">
        <v>194</v>
      </c>
      <c r="AA16" s="353">
        <v>6</v>
      </c>
      <c r="AB16" s="31">
        <f t="shared" ca="1" si="0"/>
        <v>0.12857617490626827</v>
      </c>
      <c r="AC16" s="810"/>
      <c r="AD16" s="811" t="s">
        <v>16801</v>
      </c>
      <c r="AE16" s="978" t="s">
        <v>15860</v>
      </c>
      <c r="AF16" s="920">
        <f>IF(X16=X15,AF15,0)+IF(ISNUMBER(I16),IF(I16&lt;1,I16,I16*VLOOKUP(J16,Summary!$H$2:$I$9,2)),VLOOKUP(J16,Summary!$J$2:$K$9,2)*IF(ISNUMBER(H16),H16,1))</f>
        <v>0.31166666666666665</v>
      </c>
      <c r="AG16" s="287">
        <v>15</v>
      </c>
      <c r="AH16" s="119"/>
      <c r="AI16" s="119"/>
    </row>
    <row r="17" spans="1:36" s="2" customFormat="1" ht="12" customHeight="1" x14ac:dyDescent="0.25">
      <c r="A17" s="413">
        <v>0</v>
      </c>
      <c r="B17" s="413">
        <v>1</v>
      </c>
      <c r="C17" s="414">
        <v>12.02</v>
      </c>
      <c r="D17" s="176" t="s">
        <v>2753</v>
      </c>
      <c r="E17" s="313" t="s">
        <v>2754</v>
      </c>
      <c r="F17" s="174">
        <v>38261</v>
      </c>
      <c r="G17" s="174"/>
      <c r="H17" s="176">
        <v>1</v>
      </c>
      <c r="I17" s="176">
        <v>12</v>
      </c>
      <c r="J17" s="900" t="s">
        <v>2755</v>
      </c>
      <c r="K17" s="164" t="s">
        <v>1932</v>
      </c>
      <c r="L17" s="164" t="s">
        <v>461</v>
      </c>
      <c r="M17" s="164"/>
      <c r="N17" s="164" t="s">
        <v>7381</v>
      </c>
      <c r="O17" s="164"/>
      <c r="P17" s="173" t="s">
        <v>2756</v>
      </c>
      <c r="Q17" s="164" t="s">
        <v>3947</v>
      </c>
      <c r="R17" s="177" t="s">
        <v>2723</v>
      </c>
      <c r="S17" s="354"/>
      <c r="T17" s="164"/>
      <c r="U17" s="164"/>
      <c r="V17" s="164"/>
      <c r="W17" s="313" t="s">
        <v>2754</v>
      </c>
      <c r="X17" s="645" t="s">
        <v>15472</v>
      </c>
      <c r="Y17" s="354"/>
      <c r="Z17" s="176"/>
      <c r="AA17" s="176"/>
      <c r="AB17" s="32">
        <f t="shared" ca="1" si="0"/>
        <v>0.53185867450943713</v>
      </c>
      <c r="AC17" s="812"/>
      <c r="AD17" s="763" t="s">
        <v>461</v>
      </c>
      <c r="AE17" s="807"/>
      <c r="AF17" s="921">
        <f>IF(X17=X16,AF16,0)+IF(ISNUMBER(I17),IF(I17&lt;1,I17,I17*VLOOKUP(J17,Summary!$H$2:$I$9,2)),VLOOKUP(J17,Summary!$J$2:$K$9,2)*IF(ISNUMBER(H17),H17,1))</f>
        <v>0.32</v>
      </c>
      <c r="AG17" s="289">
        <v>16</v>
      </c>
      <c r="AH17" s="94"/>
      <c r="AI17" s="94"/>
    </row>
    <row r="18" spans="1:36" s="22" customFormat="1" ht="12" customHeight="1" x14ac:dyDescent="0.25">
      <c r="A18" s="413">
        <v>0</v>
      </c>
      <c r="B18" s="413">
        <v>1</v>
      </c>
      <c r="C18" s="414">
        <v>3.01</v>
      </c>
      <c r="D18" s="176" t="s">
        <v>4990</v>
      </c>
      <c r="E18" s="313" t="s">
        <v>4991</v>
      </c>
      <c r="F18" s="174">
        <v>36586</v>
      </c>
      <c r="G18" s="174"/>
      <c r="H18" s="176">
        <v>1</v>
      </c>
      <c r="I18" s="176">
        <v>5</v>
      </c>
      <c r="J18" s="900" t="s">
        <v>2755</v>
      </c>
      <c r="K18" s="164" t="s">
        <v>5658</v>
      </c>
      <c r="L18" s="164" t="s">
        <v>461</v>
      </c>
      <c r="M18" s="164"/>
      <c r="N18" s="164" t="s">
        <v>4992</v>
      </c>
      <c r="O18" s="164"/>
      <c r="P18" s="173" t="s">
        <v>4993</v>
      </c>
      <c r="Q18" s="164" t="s">
        <v>3953</v>
      </c>
      <c r="R18" s="177" t="s">
        <v>2723</v>
      </c>
      <c r="S18" s="354" t="s">
        <v>2326</v>
      </c>
      <c r="T18" s="164"/>
      <c r="U18" s="164"/>
      <c r="V18" s="164"/>
      <c r="W18" s="313" t="s">
        <v>4991</v>
      </c>
      <c r="X18" s="645" t="s">
        <v>15472</v>
      </c>
      <c r="Y18" s="354" t="s">
        <v>6868</v>
      </c>
      <c r="Z18" s="176">
        <v>26</v>
      </c>
      <c r="AA18" s="176">
        <v>6</v>
      </c>
      <c r="AB18" s="32">
        <f t="shared" ca="1" si="0"/>
        <v>0.33453266329274889</v>
      </c>
      <c r="AC18" s="812"/>
      <c r="AD18" s="763" t="s">
        <v>461</v>
      </c>
      <c r="AE18" s="807"/>
      <c r="AF18" s="921">
        <f>IF(X18=X17,AF17,0)+IF(ISNUMBER(I18),IF(I18&lt;1,I18,I18*VLOOKUP(J18,Summary!$H$2:$I$9,2)),VLOOKUP(J18,Summary!$J$2:$K$9,2)*IF(ISNUMBER(H18),H18,1))</f>
        <v>0.32347222222222222</v>
      </c>
      <c r="AG18" s="289">
        <v>17</v>
      </c>
      <c r="AH18" s="94"/>
      <c r="AI18" s="94"/>
    </row>
    <row r="19" spans="1:36" s="2" customFormat="1" ht="12" customHeight="1" x14ac:dyDescent="0.25">
      <c r="A19" s="412">
        <v>0</v>
      </c>
      <c r="B19" s="412">
        <v>1</v>
      </c>
      <c r="C19" s="415">
        <v>8.0500000000000007</v>
      </c>
      <c r="D19" s="407" t="s">
        <v>7943</v>
      </c>
      <c r="E19" s="315" t="s">
        <v>7944</v>
      </c>
      <c r="F19" s="169">
        <v>41579</v>
      </c>
      <c r="G19" s="170"/>
      <c r="H19" s="170">
        <v>2</v>
      </c>
      <c r="I19" s="746">
        <f>TIME(1,2,34)</f>
        <v>4.3449074074074077E-2</v>
      </c>
      <c r="J19" s="899" t="s">
        <v>4706</v>
      </c>
      <c r="K19" s="167" t="s">
        <v>941</v>
      </c>
      <c r="L19" s="167" t="s">
        <v>5662</v>
      </c>
      <c r="M19" s="167" t="s">
        <v>7945</v>
      </c>
      <c r="N19" s="167"/>
      <c r="O19" s="167"/>
      <c r="P19" s="168" t="s">
        <v>9203</v>
      </c>
      <c r="Q19" s="167" t="s">
        <v>3947</v>
      </c>
      <c r="R19" s="172" t="s">
        <v>3153</v>
      </c>
      <c r="S19" s="388" t="s">
        <v>2326</v>
      </c>
      <c r="T19" s="168"/>
      <c r="U19" s="168"/>
      <c r="V19" s="168"/>
      <c r="W19" s="312" t="s">
        <v>8400</v>
      </c>
      <c r="X19" s="644" t="s">
        <v>15472</v>
      </c>
      <c r="Y19" s="352" t="s">
        <v>5643</v>
      </c>
      <c r="Z19" s="353">
        <v>117</v>
      </c>
      <c r="AA19" s="353">
        <v>7</v>
      </c>
      <c r="AB19" s="31">
        <f t="shared" ca="1" si="0"/>
        <v>5.7470692431583315E-2</v>
      </c>
      <c r="AC19" s="810"/>
      <c r="AD19" s="811"/>
      <c r="AE19" s="940"/>
      <c r="AF19" s="920">
        <f>IF(X19=X18,AF18,0)+IF(ISNUMBER(I19),IF(I19&lt;1,I19,I19*VLOOKUP(J19,Summary!$H$2:$I$9,2)),VLOOKUP(J19,Summary!$J$2:$K$9,2)*IF(ISNUMBER(H19),H19,1))</f>
        <v>0.36692129629629627</v>
      </c>
      <c r="AG19" s="287">
        <v>18</v>
      </c>
      <c r="AH19" s="94"/>
      <c r="AI19" s="94"/>
    </row>
    <row r="20" spans="1:36" s="22" customFormat="1" ht="12" customHeight="1" x14ac:dyDescent="0.25">
      <c r="A20" s="413">
        <v>0</v>
      </c>
      <c r="B20" s="413">
        <v>1</v>
      </c>
      <c r="C20" s="414">
        <v>6.01</v>
      </c>
      <c r="D20" s="176" t="s">
        <v>4994</v>
      </c>
      <c r="E20" s="313" t="s">
        <v>4995</v>
      </c>
      <c r="F20" s="174">
        <v>37773</v>
      </c>
      <c r="G20" s="174"/>
      <c r="H20" s="176">
        <v>1</v>
      </c>
      <c r="I20" s="176">
        <v>11</v>
      </c>
      <c r="J20" s="900" t="s">
        <v>2755</v>
      </c>
      <c r="K20" s="164" t="s">
        <v>2311</v>
      </c>
      <c r="L20" s="164" t="s">
        <v>461</v>
      </c>
      <c r="M20" s="164"/>
      <c r="N20" s="164" t="s">
        <v>4996</v>
      </c>
      <c r="O20" s="164"/>
      <c r="P20" s="173" t="s">
        <v>4997</v>
      </c>
      <c r="Q20" s="164" t="s">
        <v>3947</v>
      </c>
      <c r="R20" s="177" t="s">
        <v>2723</v>
      </c>
      <c r="S20" s="354" t="s">
        <v>2326</v>
      </c>
      <c r="T20" s="164"/>
      <c r="U20" s="164"/>
      <c r="V20" s="164"/>
      <c r="W20" s="313" t="s">
        <v>4995</v>
      </c>
      <c r="X20" s="645" t="s">
        <v>15472</v>
      </c>
      <c r="Y20" s="354"/>
      <c r="Z20" s="157">
        <v>11</v>
      </c>
      <c r="AA20" s="176">
        <v>7</v>
      </c>
      <c r="AB20" s="32">
        <f t="shared" ca="1" si="0"/>
        <v>0.54901347556943991</v>
      </c>
      <c r="AC20" s="812"/>
      <c r="AD20" s="763" t="s">
        <v>461</v>
      </c>
      <c r="AE20" s="807"/>
      <c r="AF20" s="921">
        <f>IF(X20=X19,AF19,0)+IF(ISNUMBER(I20),IF(I20&lt;1,I20,I20*VLOOKUP(J20,Summary!$H$2:$I$9,2)),VLOOKUP(J20,Summary!$J$2:$K$9,2)*IF(ISNUMBER(H20),H20,1))</f>
        <v>0.37456018518518519</v>
      </c>
      <c r="AG20" s="289">
        <v>19</v>
      </c>
      <c r="AH20" s="94"/>
      <c r="AI20" s="94"/>
    </row>
    <row r="21" spans="1:36" s="22" customFormat="1" ht="12" customHeight="1" x14ac:dyDescent="0.25">
      <c r="A21" s="413">
        <v>0</v>
      </c>
      <c r="B21" s="413">
        <v>1</v>
      </c>
      <c r="C21" s="413">
        <v>4</v>
      </c>
      <c r="D21" s="176" t="s">
        <v>15536</v>
      </c>
      <c r="E21" s="313" t="s">
        <v>15537</v>
      </c>
      <c r="F21" s="175">
        <v>43384</v>
      </c>
      <c r="G21" s="174"/>
      <c r="H21" s="176">
        <v>1</v>
      </c>
      <c r="I21" s="176"/>
      <c r="J21" s="900" t="s">
        <v>2755</v>
      </c>
      <c r="K21" s="164" t="s">
        <v>15498</v>
      </c>
      <c r="L21" s="164" t="s">
        <v>461</v>
      </c>
      <c r="M21" s="164"/>
      <c r="N21" s="164"/>
      <c r="O21" s="164"/>
      <c r="P21" s="173" t="s">
        <v>15499</v>
      </c>
      <c r="Q21" s="164" t="s">
        <v>3953</v>
      </c>
      <c r="R21" s="179" t="s">
        <v>15500</v>
      </c>
      <c r="S21" s="354"/>
      <c r="T21" s="173"/>
      <c r="U21" s="173"/>
      <c r="V21" s="173"/>
      <c r="W21" s="313" t="s">
        <v>15537</v>
      </c>
      <c r="X21" s="645" t="s">
        <v>15472</v>
      </c>
      <c r="Y21" s="354"/>
      <c r="Z21" s="176"/>
      <c r="AA21" s="176"/>
      <c r="AB21" s="32">
        <f t="shared" ca="1" si="0"/>
        <v>0.81924005046749615</v>
      </c>
      <c r="AC21" s="812"/>
      <c r="AD21" s="763" t="s">
        <v>461</v>
      </c>
      <c r="AE21" s="807"/>
      <c r="AF21" s="921">
        <f>IF(X21=X20,AF20,0)+IF(ISNUMBER(I21),IF(I21&lt;1,I21,I21*VLOOKUP(J21,Summary!$H$2:$I$9,2)),VLOOKUP(J21,Summary!$J$2:$K$9,2)*IF(ISNUMBER(H21),H21,1))</f>
        <v>0.3919212962962963</v>
      </c>
      <c r="AG21" s="288">
        <v>20</v>
      </c>
      <c r="AH21" s="94"/>
      <c r="AI21" s="94"/>
    </row>
    <row r="22" spans="1:36" s="22" customFormat="1" ht="12" customHeight="1" x14ac:dyDescent="0.25">
      <c r="A22" s="416" t="s">
        <v>4428</v>
      </c>
      <c r="B22" s="416">
        <v>1</v>
      </c>
      <c r="C22" s="416">
        <v>11</v>
      </c>
      <c r="D22" s="417" t="s">
        <v>6135</v>
      </c>
      <c r="E22" s="316" t="s">
        <v>6136</v>
      </c>
      <c r="F22" s="187">
        <v>37895</v>
      </c>
      <c r="G22" s="188"/>
      <c r="H22" s="188" t="str">
        <f>IF(J22="Book","n/a","")</f>
        <v>n/a</v>
      </c>
      <c r="I22" s="188">
        <v>120</v>
      </c>
      <c r="J22" s="902" t="s">
        <v>6868</v>
      </c>
      <c r="K22" s="162" t="s">
        <v>1951</v>
      </c>
      <c r="L22" s="162" t="str">
        <f>IF(J22="Book","n/a","")</f>
        <v>n/a</v>
      </c>
      <c r="M22" s="162"/>
      <c r="N22" s="162"/>
      <c r="O22" s="162"/>
      <c r="P22" s="178" t="s">
        <v>8866</v>
      </c>
      <c r="Q22" s="162" t="s">
        <v>6055</v>
      </c>
      <c r="R22" s="189" t="s">
        <v>2718</v>
      </c>
      <c r="S22" s="366" t="s">
        <v>2326</v>
      </c>
      <c r="T22" s="178"/>
      <c r="U22" s="178"/>
      <c r="V22" s="178"/>
      <c r="W22" s="316" t="s">
        <v>6136</v>
      </c>
      <c r="X22" s="648" t="s">
        <v>15472</v>
      </c>
      <c r="Y22" s="356"/>
      <c r="Z22" s="272">
        <v>131</v>
      </c>
      <c r="AA22" s="272">
        <v>4.5</v>
      </c>
      <c r="AB22" s="34">
        <f t="shared" ca="1" si="0"/>
        <v>7.2018863950122136E-2</v>
      </c>
      <c r="AC22" s="814"/>
      <c r="AD22" s="815" t="s">
        <v>16155</v>
      </c>
      <c r="AE22" s="942" t="s">
        <v>3365</v>
      </c>
      <c r="AF22" s="923">
        <f>IF(X22=X21,AF21,0)+IF(ISNUMBER(I22),IF(I22&lt;1,I22,I22*VLOOKUP(J22,Summary!$H$2:$I$9,2)),VLOOKUP(J22,Summary!$J$2:$K$9,2)*IF(ISNUMBER(H22),H22,1))</f>
        <v>0.47525462962962961</v>
      </c>
      <c r="AG22" s="291">
        <v>21</v>
      </c>
      <c r="AH22" s="94"/>
      <c r="AI22" s="94"/>
    </row>
    <row r="23" spans="1:36" s="22" customFormat="1" ht="12" customHeight="1" x14ac:dyDescent="0.25">
      <c r="A23" s="413">
        <v>0</v>
      </c>
      <c r="B23" s="413" t="s">
        <v>2127</v>
      </c>
      <c r="C23" s="414">
        <v>16.04</v>
      </c>
      <c r="D23" s="176" t="s">
        <v>5003</v>
      </c>
      <c r="E23" s="313" t="s">
        <v>1651</v>
      </c>
      <c r="F23" s="174">
        <v>38473</v>
      </c>
      <c r="G23" s="174"/>
      <c r="H23" s="176">
        <v>1</v>
      </c>
      <c r="I23" s="176">
        <v>12</v>
      </c>
      <c r="J23" s="900" t="s">
        <v>2755</v>
      </c>
      <c r="K23" s="164" t="s">
        <v>3284</v>
      </c>
      <c r="L23" s="164" t="s">
        <v>461</v>
      </c>
      <c r="M23" s="164"/>
      <c r="N23" s="164" t="s">
        <v>7381</v>
      </c>
      <c r="O23" s="164"/>
      <c r="P23" s="173" t="s">
        <v>1652</v>
      </c>
      <c r="Q23" s="164" t="s">
        <v>3947</v>
      </c>
      <c r="R23" s="177" t="s">
        <v>2723</v>
      </c>
      <c r="S23" s="354" t="s">
        <v>5002</v>
      </c>
      <c r="T23" s="164"/>
      <c r="U23" s="164"/>
      <c r="V23" s="164"/>
      <c r="W23" s="313" t="s">
        <v>1651</v>
      </c>
      <c r="X23" s="645" t="s">
        <v>15472</v>
      </c>
      <c r="Y23" s="354"/>
      <c r="Z23" s="176"/>
      <c r="AA23" s="176"/>
      <c r="AB23" s="32">
        <f t="shared" ca="1" si="0"/>
        <v>0.43915672868592726</v>
      </c>
      <c r="AC23" s="812"/>
      <c r="AD23" s="763" t="s">
        <v>461</v>
      </c>
      <c r="AE23" s="807"/>
      <c r="AF23" s="921">
        <f>IF(X23=X22,AF22,0)+IF(ISNUMBER(I23),IF(I23&lt;1,I23,I23*VLOOKUP(J23,Summary!$H$2:$I$9,2)),VLOOKUP(J23,Summary!$J$2:$K$9,2)*IF(ISNUMBER(H23),H23,1))</f>
        <v>0.48358796296296297</v>
      </c>
      <c r="AG23" s="289">
        <v>22</v>
      </c>
      <c r="AH23" s="94"/>
      <c r="AI23" s="94"/>
    </row>
    <row r="24" spans="1:36" s="22" customFormat="1" ht="12" customHeight="1" x14ac:dyDescent="0.25">
      <c r="A24" s="413">
        <v>0</v>
      </c>
      <c r="B24" s="413">
        <v>1</v>
      </c>
      <c r="C24" s="413"/>
      <c r="D24" s="176" t="s">
        <v>1701</v>
      </c>
      <c r="E24" s="313" t="s">
        <v>2278</v>
      </c>
      <c r="F24" s="174">
        <v>23986</v>
      </c>
      <c r="G24" s="174"/>
      <c r="H24" s="176" t="s">
        <v>461</v>
      </c>
      <c r="I24" s="176">
        <v>13</v>
      </c>
      <c r="J24" s="900" t="s">
        <v>2755</v>
      </c>
      <c r="K24" s="164" t="s">
        <v>5784</v>
      </c>
      <c r="L24" s="164" t="s">
        <v>5785</v>
      </c>
      <c r="M24" s="164"/>
      <c r="N24" s="164"/>
      <c r="O24" s="164"/>
      <c r="P24" s="173" t="s">
        <v>461</v>
      </c>
      <c r="Q24" s="164" t="s">
        <v>4705</v>
      </c>
      <c r="R24" s="177" t="s">
        <v>4600</v>
      </c>
      <c r="S24" s="354"/>
      <c r="T24" s="173"/>
      <c r="U24" s="173"/>
      <c r="V24" s="173"/>
      <c r="W24" s="313" t="s">
        <v>2278</v>
      </c>
      <c r="X24" s="645" t="s">
        <v>15472</v>
      </c>
      <c r="Y24" s="354" t="s">
        <v>6000</v>
      </c>
      <c r="Z24" s="176">
        <v>999</v>
      </c>
      <c r="AA24" s="176"/>
      <c r="AB24" s="32">
        <f t="shared" ca="1" si="0"/>
        <v>0.90602461030114922</v>
      </c>
      <c r="AC24" s="812"/>
      <c r="AD24" s="763"/>
      <c r="AE24" s="807"/>
      <c r="AF24" s="921">
        <f>IF(X24=X23,AF23,0)+IF(ISNUMBER(I24),IF(I24&lt;1,I24,I24*VLOOKUP(J24,Summary!$H$2:$I$9,2)),VLOOKUP(J24,Summary!$J$2:$K$9,2)*IF(ISNUMBER(H24),H24,1))</f>
        <v>0.49261574074074077</v>
      </c>
      <c r="AG24" s="289">
        <v>23</v>
      </c>
      <c r="AH24" s="94"/>
      <c r="AI24" s="94"/>
    </row>
    <row r="25" spans="1:36" s="3" customFormat="1" ht="12" customHeight="1" x14ac:dyDescent="0.25">
      <c r="A25" s="413">
        <v>0</v>
      </c>
      <c r="B25" s="413">
        <v>1</v>
      </c>
      <c r="C25" s="413"/>
      <c r="D25" s="176" t="s">
        <v>1701</v>
      </c>
      <c r="E25" s="313" t="s">
        <v>2279</v>
      </c>
      <c r="F25" s="174">
        <v>23986</v>
      </c>
      <c r="G25" s="174"/>
      <c r="H25" s="176" t="s">
        <v>461</v>
      </c>
      <c r="I25" s="176">
        <v>12</v>
      </c>
      <c r="J25" s="900" t="s">
        <v>2755</v>
      </c>
      <c r="K25" s="164" t="s">
        <v>5784</v>
      </c>
      <c r="L25" s="164" t="s">
        <v>5785</v>
      </c>
      <c r="M25" s="164"/>
      <c r="N25" s="164"/>
      <c r="O25" s="164"/>
      <c r="P25" s="173" t="s">
        <v>461</v>
      </c>
      <c r="Q25" s="164" t="s">
        <v>4705</v>
      </c>
      <c r="R25" s="177" t="s">
        <v>4600</v>
      </c>
      <c r="S25" s="354"/>
      <c r="T25" s="173"/>
      <c r="U25" s="173"/>
      <c r="V25" s="173"/>
      <c r="W25" s="313" t="s">
        <v>2279</v>
      </c>
      <c r="X25" s="645" t="s">
        <v>15472</v>
      </c>
      <c r="Y25" s="354" t="s">
        <v>6000</v>
      </c>
      <c r="Z25" s="176">
        <v>999</v>
      </c>
      <c r="AA25" s="176"/>
      <c r="AB25" s="32">
        <f t="shared" ca="1" si="0"/>
        <v>0.88232198022362407</v>
      </c>
      <c r="AC25" s="812"/>
      <c r="AD25" s="763"/>
      <c r="AE25" s="807"/>
      <c r="AF25" s="921">
        <f>IF(X25=X24,AF24,0)+IF(ISNUMBER(I25),IF(I25&lt;1,I25,I25*VLOOKUP(J25,Summary!$H$2:$I$9,2)),VLOOKUP(J25,Summary!$J$2:$K$9,2)*IF(ISNUMBER(H25),H25,1))</f>
        <v>0.50094907407407407</v>
      </c>
      <c r="AG25" s="289">
        <v>24</v>
      </c>
      <c r="AH25" s="94"/>
      <c r="AI25" s="94"/>
    </row>
    <row r="26" spans="1:36" s="22" customFormat="1" ht="12" customHeight="1" x14ac:dyDescent="0.25">
      <c r="A26" s="413">
        <v>0</v>
      </c>
      <c r="B26" s="413">
        <v>1</v>
      </c>
      <c r="C26" s="413"/>
      <c r="D26" s="176" t="s">
        <v>1701</v>
      </c>
      <c r="E26" s="313" t="s">
        <v>2280</v>
      </c>
      <c r="F26" s="174">
        <v>23986</v>
      </c>
      <c r="G26" s="174"/>
      <c r="H26" s="176" t="s">
        <v>461</v>
      </c>
      <c r="I26" s="176">
        <v>12</v>
      </c>
      <c r="J26" s="900" t="s">
        <v>2755</v>
      </c>
      <c r="K26" s="164" t="s">
        <v>5784</v>
      </c>
      <c r="L26" s="164" t="s">
        <v>5785</v>
      </c>
      <c r="M26" s="164"/>
      <c r="N26" s="164"/>
      <c r="O26" s="164"/>
      <c r="P26" s="173" t="s">
        <v>461</v>
      </c>
      <c r="Q26" s="164" t="s">
        <v>4705</v>
      </c>
      <c r="R26" s="177" t="s">
        <v>4600</v>
      </c>
      <c r="S26" s="354" t="s">
        <v>2282</v>
      </c>
      <c r="T26" s="173" t="s">
        <v>2283</v>
      </c>
      <c r="U26" s="173"/>
      <c r="V26" s="173"/>
      <c r="W26" s="313" t="s">
        <v>2280</v>
      </c>
      <c r="X26" s="645" t="s">
        <v>15472</v>
      </c>
      <c r="Y26" s="354" t="s">
        <v>6000</v>
      </c>
      <c r="Z26" s="176">
        <v>999</v>
      </c>
      <c r="AA26" s="176"/>
      <c r="AB26" s="32">
        <f t="shared" ca="1" si="0"/>
        <v>0.34669644246553366</v>
      </c>
      <c r="AC26" s="812"/>
      <c r="AD26" s="763"/>
      <c r="AE26" s="807"/>
      <c r="AF26" s="921">
        <f>IF(X26=X25,AF25,0)+IF(ISNUMBER(I26),IF(I26&lt;1,I26,I26*VLOOKUP(J26,Summary!$H$2:$I$9,2)),VLOOKUP(J26,Summary!$J$2:$K$9,2)*IF(ISNUMBER(H26),H26,1))</f>
        <v>0.50928240740740738</v>
      </c>
      <c r="AG26" s="289">
        <v>25</v>
      </c>
      <c r="AH26" s="94"/>
      <c r="AI26" s="94"/>
    </row>
    <row r="27" spans="1:36" s="22" customFormat="1" ht="12" customHeight="1" x14ac:dyDescent="0.25">
      <c r="A27" s="412">
        <v>0</v>
      </c>
      <c r="B27" s="412">
        <v>1</v>
      </c>
      <c r="C27" s="415">
        <v>9.01</v>
      </c>
      <c r="D27" s="407" t="s">
        <v>9399</v>
      </c>
      <c r="E27" s="315" t="s">
        <v>9400</v>
      </c>
      <c r="F27" s="169">
        <v>42156</v>
      </c>
      <c r="G27" s="170"/>
      <c r="H27" s="170">
        <v>2</v>
      </c>
      <c r="I27" s="746">
        <f>TIME(1,2,14)</f>
        <v>4.3217592592592592E-2</v>
      </c>
      <c r="J27" s="899" t="s">
        <v>4706</v>
      </c>
      <c r="K27" s="167" t="s">
        <v>6235</v>
      </c>
      <c r="L27" s="167" t="s">
        <v>5662</v>
      </c>
      <c r="M27" s="167" t="s">
        <v>9401</v>
      </c>
      <c r="N27" s="167"/>
      <c r="O27" s="167"/>
      <c r="P27" s="168" t="s">
        <v>9402</v>
      </c>
      <c r="Q27" s="167" t="s">
        <v>3947</v>
      </c>
      <c r="R27" s="172" t="s">
        <v>3153</v>
      </c>
      <c r="S27" s="388" t="s">
        <v>2326</v>
      </c>
      <c r="T27" s="168"/>
      <c r="U27" s="168"/>
      <c r="V27" s="168"/>
      <c r="W27" s="312" t="s">
        <v>10110</v>
      </c>
      <c r="X27" s="644" t="s">
        <v>15472</v>
      </c>
      <c r="Y27" s="352" t="s">
        <v>5643</v>
      </c>
      <c r="Z27" s="353">
        <v>644</v>
      </c>
      <c r="AA27" s="353">
        <v>3</v>
      </c>
      <c r="AB27" s="31">
        <f t="shared" ca="1" si="0"/>
        <v>0.32086618998680505</v>
      </c>
      <c r="AC27" s="810"/>
      <c r="AD27" s="811"/>
      <c r="AE27" s="940"/>
      <c r="AF27" s="920">
        <f>IF(X27=X26,AF26,0)+IF(ISNUMBER(I27),IF(I27&lt;1,I27,I27*VLOOKUP(J27,Summary!$H$2:$I$9,2)),VLOOKUP(J27,Summary!$J$2:$K$9,2)*IF(ISNUMBER(H27),H27,1))</f>
        <v>0.55249999999999999</v>
      </c>
      <c r="AG27" s="287">
        <v>26</v>
      </c>
      <c r="AH27" s="94"/>
      <c r="AI27" s="94"/>
      <c r="AJ27" s="29"/>
    </row>
    <row r="28" spans="1:36" s="22" customFormat="1" ht="12" customHeight="1" x14ac:dyDescent="0.25">
      <c r="A28" s="413">
        <v>0</v>
      </c>
      <c r="B28" s="413">
        <v>1</v>
      </c>
      <c r="C28" s="414">
        <v>20.13</v>
      </c>
      <c r="D28" s="176" t="s">
        <v>7878</v>
      </c>
      <c r="E28" s="313" t="s">
        <v>7879</v>
      </c>
      <c r="F28" s="174">
        <v>38961</v>
      </c>
      <c r="G28" s="174"/>
      <c r="H28" s="176">
        <v>1</v>
      </c>
      <c r="I28" s="176">
        <v>20</v>
      </c>
      <c r="J28" s="900" t="s">
        <v>2755</v>
      </c>
      <c r="K28" s="164" t="s">
        <v>7426</v>
      </c>
      <c r="L28" s="164" t="s">
        <v>461</v>
      </c>
      <c r="M28" s="164"/>
      <c r="N28" s="164" t="s">
        <v>7381</v>
      </c>
      <c r="O28" s="164"/>
      <c r="P28" s="173" t="s">
        <v>705</v>
      </c>
      <c r="Q28" s="164" t="s">
        <v>3947</v>
      </c>
      <c r="R28" s="177" t="s">
        <v>2723</v>
      </c>
      <c r="S28" s="354" t="s">
        <v>2326</v>
      </c>
      <c r="T28" s="173"/>
      <c r="U28" s="173"/>
      <c r="V28" s="173"/>
      <c r="W28" s="313" t="s">
        <v>7879</v>
      </c>
      <c r="X28" s="645" t="s">
        <v>15472</v>
      </c>
      <c r="Y28" s="354"/>
      <c r="Z28" s="176"/>
      <c r="AA28" s="176"/>
      <c r="AB28" s="32">
        <f t="shared" ca="1" si="0"/>
        <v>0.4950055913246667</v>
      </c>
      <c r="AC28" s="812"/>
      <c r="AD28" s="763" t="s">
        <v>15991</v>
      </c>
      <c r="AE28" s="807"/>
      <c r="AF28" s="921">
        <f>IF(X28=X27,AF27,0)+IF(ISNUMBER(I28),IF(I28&lt;1,I28,I28*VLOOKUP(J28,Summary!$H$2:$I$9,2)),VLOOKUP(J28,Summary!$J$2:$K$9,2)*IF(ISNUMBER(H28),H28,1))</f>
        <v>0.56638888888888883</v>
      </c>
      <c r="AG28" s="289">
        <v>27</v>
      </c>
      <c r="AH28" s="94"/>
      <c r="AI28" s="94"/>
    </row>
    <row r="29" spans="1:36" s="22" customFormat="1" ht="12" customHeight="1" x14ac:dyDescent="0.25">
      <c r="A29" s="418">
        <v>0</v>
      </c>
      <c r="B29" s="418">
        <v>1</v>
      </c>
      <c r="C29" s="419">
        <v>3.01</v>
      </c>
      <c r="D29" s="192" t="s">
        <v>483</v>
      </c>
      <c r="E29" s="317" t="s">
        <v>2694</v>
      </c>
      <c r="F29" s="191">
        <v>40664</v>
      </c>
      <c r="G29" s="191"/>
      <c r="H29" s="192">
        <v>8</v>
      </c>
      <c r="I29" s="753">
        <f>TIME(0,19,58)</f>
        <v>1.3865740740740739E-2</v>
      </c>
      <c r="J29" s="903" t="s">
        <v>2755</v>
      </c>
      <c r="K29" s="194" t="s">
        <v>2695</v>
      </c>
      <c r="L29" s="194" t="s">
        <v>3426</v>
      </c>
      <c r="M29" s="194" t="s">
        <v>500</v>
      </c>
      <c r="N29" s="194"/>
      <c r="O29" s="194"/>
      <c r="P29" s="190" t="s">
        <v>6698</v>
      </c>
      <c r="Q29" s="194" t="s">
        <v>3947</v>
      </c>
      <c r="R29" s="193" t="s">
        <v>2722</v>
      </c>
      <c r="S29" s="357" t="s">
        <v>2326</v>
      </c>
      <c r="T29" s="190"/>
      <c r="U29" s="190"/>
      <c r="V29" s="190"/>
      <c r="W29" s="317" t="s">
        <v>2694</v>
      </c>
      <c r="X29" s="649" t="s">
        <v>15472</v>
      </c>
      <c r="Y29" s="357" t="s">
        <v>5643</v>
      </c>
      <c r="Z29" s="159">
        <v>999</v>
      </c>
      <c r="AA29" s="192"/>
      <c r="AB29" s="37">
        <f t="shared" ca="1" si="0"/>
        <v>0.80524248804660425</v>
      </c>
      <c r="AC29" s="816"/>
      <c r="AD29" s="817" t="s">
        <v>461</v>
      </c>
      <c r="AE29" s="943"/>
      <c r="AF29" s="924">
        <f>IF(X29=X28,AF28,0)+IF(ISNUMBER(I29),IF(I29&lt;1,I29,I29*VLOOKUP(J29,Summary!$H$2:$I$9,2)),VLOOKUP(J29,Summary!$J$2:$K$9,2)*IF(ISNUMBER(H29),H29,1))</f>
        <v>0.58025462962962959</v>
      </c>
      <c r="AG29" s="292">
        <v>28</v>
      </c>
      <c r="AH29" s="94"/>
      <c r="AI29" s="94"/>
    </row>
    <row r="30" spans="1:36" s="22" customFormat="1" ht="12" customHeight="1" x14ac:dyDescent="0.25">
      <c r="A30" s="413">
        <v>0</v>
      </c>
      <c r="B30" s="413">
        <v>1</v>
      </c>
      <c r="C30" s="413">
        <v>2</v>
      </c>
      <c r="D30" s="176" t="s">
        <v>889</v>
      </c>
      <c r="E30" s="313" t="s">
        <v>826</v>
      </c>
      <c r="F30" s="174">
        <v>36100</v>
      </c>
      <c r="G30" s="175"/>
      <c r="H30" s="176" t="s">
        <v>461</v>
      </c>
      <c r="I30" s="176"/>
      <c r="J30" s="900" t="s">
        <v>2755</v>
      </c>
      <c r="K30" s="164" t="s">
        <v>7378</v>
      </c>
      <c r="L30" s="164"/>
      <c r="M30" s="164"/>
      <c r="N30" s="164" t="s">
        <v>819</v>
      </c>
      <c r="O30" s="164"/>
      <c r="P30" s="178" t="s">
        <v>461</v>
      </c>
      <c r="Q30" s="164" t="s">
        <v>820</v>
      </c>
      <c r="R30" s="177" t="s">
        <v>895</v>
      </c>
      <c r="S30" s="354" t="s">
        <v>2326</v>
      </c>
      <c r="T30" s="173"/>
      <c r="U30" s="173"/>
      <c r="V30" s="173"/>
      <c r="W30" s="313" t="s">
        <v>826</v>
      </c>
      <c r="X30" s="645" t="s">
        <v>15472</v>
      </c>
      <c r="Y30" s="354"/>
      <c r="Z30" s="176"/>
      <c r="AA30" s="176"/>
      <c r="AB30" s="32">
        <f t="shared" ca="1" si="0"/>
        <v>0.69529763639155229</v>
      </c>
      <c r="AC30" s="812"/>
      <c r="AD30" s="763"/>
      <c r="AE30" s="807"/>
      <c r="AF30" s="921">
        <f>IF(X30=X29,AF29,0)+IF(ISNUMBER(I30),IF(I30&lt;1,I30,I30*VLOOKUP(J30,Summary!$H$2:$I$9,2)),VLOOKUP(J30,Summary!$J$2:$K$9,2)*IF(ISNUMBER(H30),H30,1))</f>
        <v>0.59761574074074075</v>
      </c>
      <c r="AG30" s="289">
        <v>29</v>
      </c>
      <c r="AH30" s="94"/>
      <c r="AI30" s="94"/>
    </row>
    <row r="31" spans="1:36" s="29" customFormat="1" ht="12" customHeight="1" x14ac:dyDescent="0.25">
      <c r="A31" s="413">
        <v>0</v>
      </c>
      <c r="B31" s="413">
        <v>1</v>
      </c>
      <c r="C31" s="414">
        <v>1.01</v>
      </c>
      <c r="D31" s="176" t="s">
        <v>9232</v>
      </c>
      <c r="E31" s="313" t="s">
        <v>9233</v>
      </c>
      <c r="F31" s="175">
        <v>41297</v>
      </c>
      <c r="G31" s="174"/>
      <c r="H31" s="176">
        <v>1</v>
      </c>
      <c r="I31" s="176">
        <v>35</v>
      </c>
      <c r="J31" s="900" t="s">
        <v>2755</v>
      </c>
      <c r="K31" s="164" t="s">
        <v>9234</v>
      </c>
      <c r="L31" s="164" t="s">
        <v>461</v>
      </c>
      <c r="M31" s="164"/>
      <c r="N31" s="164"/>
      <c r="O31" s="164"/>
      <c r="P31" s="173" t="s">
        <v>9237</v>
      </c>
      <c r="Q31" s="164" t="s">
        <v>9235</v>
      </c>
      <c r="R31" s="177" t="s">
        <v>9236</v>
      </c>
      <c r="S31" s="354" t="s">
        <v>2326</v>
      </c>
      <c r="T31" s="173"/>
      <c r="U31" s="173"/>
      <c r="V31" s="173"/>
      <c r="W31" s="313" t="s">
        <v>9233</v>
      </c>
      <c r="X31" s="645" t="s">
        <v>15472</v>
      </c>
      <c r="Y31" s="354" t="s">
        <v>6868</v>
      </c>
      <c r="Z31" s="176"/>
      <c r="AA31" s="176"/>
      <c r="AB31" s="32">
        <f t="shared" ca="1" si="0"/>
        <v>0.20315209235884435</v>
      </c>
      <c r="AC31" s="812"/>
      <c r="AD31" s="763" t="s">
        <v>16804</v>
      </c>
      <c r="AE31" s="807"/>
      <c r="AF31" s="921">
        <f>IF(X31=X30,AF30,0)+IF(ISNUMBER(I31),IF(I31&lt;1,I31,I31*VLOOKUP(J31,Summary!$H$2:$I$9,2)),VLOOKUP(J31,Summary!$J$2:$K$9,2)*IF(ISNUMBER(H31),H31,1))</f>
        <v>0.62192129629629633</v>
      </c>
      <c r="AG31" s="289">
        <v>30</v>
      </c>
      <c r="AH31" s="94"/>
      <c r="AI31" s="94"/>
    </row>
    <row r="32" spans="1:36" s="22" customFormat="1" ht="12" customHeight="1" x14ac:dyDescent="0.25">
      <c r="A32" s="413">
        <v>0</v>
      </c>
      <c r="B32" s="413">
        <v>1</v>
      </c>
      <c r="C32" s="414">
        <v>24.02</v>
      </c>
      <c r="D32" s="176" t="s">
        <v>7622</v>
      </c>
      <c r="E32" s="313" t="s">
        <v>7623</v>
      </c>
      <c r="F32" s="174">
        <v>39264</v>
      </c>
      <c r="G32" s="174"/>
      <c r="H32" s="176">
        <v>1</v>
      </c>
      <c r="I32" s="176">
        <v>17</v>
      </c>
      <c r="J32" s="900" t="s">
        <v>2755</v>
      </c>
      <c r="K32" s="164" t="s">
        <v>1643</v>
      </c>
      <c r="L32" s="164" t="s">
        <v>461</v>
      </c>
      <c r="M32" s="164"/>
      <c r="N32" s="164" t="s">
        <v>4425</v>
      </c>
      <c r="O32" s="164"/>
      <c r="P32" s="173" t="s">
        <v>5601</v>
      </c>
      <c r="Q32" s="164" t="s">
        <v>3947</v>
      </c>
      <c r="R32" s="177" t="s">
        <v>2723</v>
      </c>
      <c r="S32" s="354" t="s">
        <v>2326</v>
      </c>
      <c r="T32" s="173"/>
      <c r="U32" s="173"/>
      <c r="V32" s="173"/>
      <c r="W32" s="313" t="s">
        <v>7623</v>
      </c>
      <c r="X32" s="645" t="s">
        <v>15472</v>
      </c>
      <c r="Y32" s="354"/>
      <c r="Z32" s="176"/>
      <c r="AA32" s="176"/>
      <c r="AB32" s="32">
        <f t="shared" ca="1" si="0"/>
        <v>0.80498605526519496</v>
      </c>
      <c r="AC32" s="812"/>
      <c r="AD32" s="763" t="s">
        <v>16805</v>
      </c>
      <c r="AE32" s="807"/>
      <c r="AF32" s="921">
        <f>IF(X32=X31,AF31,0)+IF(ISNUMBER(I32),IF(I32&lt;1,I32,I32*VLOOKUP(J32,Summary!$H$2:$I$9,2)),VLOOKUP(J32,Summary!$J$2:$K$9,2)*IF(ISNUMBER(H32),H32,1))</f>
        <v>0.63372685185185185</v>
      </c>
      <c r="AG32" s="289">
        <v>31</v>
      </c>
      <c r="AH32" s="94"/>
      <c r="AI32" s="94"/>
    </row>
    <row r="33" spans="1:35" s="22" customFormat="1" ht="12" customHeight="1" x14ac:dyDescent="0.2">
      <c r="A33" s="412">
        <v>0</v>
      </c>
      <c r="B33" s="412">
        <v>1</v>
      </c>
      <c r="C33" s="415">
        <v>8.02</v>
      </c>
      <c r="D33" s="407" t="s">
        <v>150</v>
      </c>
      <c r="E33" s="315" t="s">
        <v>151</v>
      </c>
      <c r="F33" s="169">
        <v>41487</v>
      </c>
      <c r="G33" s="170"/>
      <c r="H33" s="170">
        <v>2</v>
      </c>
      <c r="I33" s="746">
        <f>TIME(1,5,10)</f>
        <v>4.5254629629629624E-2</v>
      </c>
      <c r="J33" s="899" t="s">
        <v>4706</v>
      </c>
      <c r="K33" s="167" t="s">
        <v>3424</v>
      </c>
      <c r="L33" s="167" t="s">
        <v>5662</v>
      </c>
      <c r="M33" s="167" t="s">
        <v>152</v>
      </c>
      <c r="N33" s="167"/>
      <c r="O33" s="167"/>
      <c r="P33" s="168" t="s">
        <v>153</v>
      </c>
      <c r="Q33" s="167" t="s">
        <v>3947</v>
      </c>
      <c r="R33" s="172" t="s">
        <v>3153</v>
      </c>
      <c r="S33" s="388" t="s">
        <v>2326</v>
      </c>
      <c r="T33" s="168"/>
      <c r="U33" s="168"/>
      <c r="V33" s="168"/>
      <c r="W33" s="312" t="s">
        <v>8401</v>
      </c>
      <c r="X33" s="644" t="s">
        <v>15472</v>
      </c>
      <c r="Y33" s="352" t="s">
        <v>5643</v>
      </c>
      <c r="Z33" s="353">
        <v>193</v>
      </c>
      <c r="AA33" s="353">
        <v>6</v>
      </c>
      <c r="AB33" s="31">
        <f t="shared" ca="1" si="0"/>
        <v>0.35999391608743136</v>
      </c>
      <c r="AC33" s="810"/>
      <c r="AD33" s="811" t="s">
        <v>16806</v>
      </c>
      <c r="AE33" s="940"/>
      <c r="AF33" s="920">
        <f>IF(X33=X32,AF32,0)+IF(ISNUMBER(I33),IF(I33&lt;1,I33,I33*VLOOKUP(J33,Summary!$H$2:$I$9,2)),VLOOKUP(J33,Summary!$J$2:$K$9,2)*IF(ISNUMBER(H33),H33,1))</f>
        <v>0.67898148148148152</v>
      </c>
      <c r="AG33" s="287">
        <v>32</v>
      </c>
      <c r="AH33" s="94"/>
      <c r="AI33" s="94"/>
    </row>
    <row r="34" spans="1:35" s="22" customFormat="1" ht="12" customHeight="1" x14ac:dyDescent="0.25">
      <c r="A34" s="413">
        <v>0</v>
      </c>
      <c r="B34" s="413">
        <v>1</v>
      </c>
      <c r="C34" s="413">
        <v>11</v>
      </c>
      <c r="D34" s="176" t="s">
        <v>9507</v>
      </c>
      <c r="E34" s="313" t="s">
        <v>9508</v>
      </c>
      <c r="F34" s="175">
        <v>42159</v>
      </c>
      <c r="G34" s="174"/>
      <c r="H34" s="176" t="s">
        <v>461</v>
      </c>
      <c r="I34" s="176"/>
      <c r="J34" s="900" t="s">
        <v>2755</v>
      </c>
      <c r="K34" s="164" t="s">
        <v>941</v>
      </c>
      <c r="L34" s="164" t="s">
        <v>461</v>
      </c>
      <c r="M34" s="164"/>
      <c r="N34" s="164"/>
      <c r="O34" s="164"/>
      <c r="P34" s="173" t="s">
        <v>9509</v>
      </c>
      <c r="Q34" s="164" t="s">
        <v>3953</v>
      </c>
      <c r="R34" s="177" t="s">
        <v>9510</v>
      </c>
      <c r="S34" s="354" t="s">
        <v>2326</v>
      </c>
      <c r="T34" s="173"/>
      <c r="U34" s="173"/>
      <c r="V34" s="173"/>
      <c r="W34" s="313" t="s">
        <v>9508</v>
      </c>
      <c r="X34" s="645" t="s">
        <v>15472</v>
      </c>
      <c r="Y34" s="354"/>
      <c r="Z34" s="157"/>
      <c r="AA34" s="176"/>
      <c r="AB34" s="32">
        <f t="shared" ca="1" si="0"/>
        <v>0.89155657346781136</v>
      </c>
      <c r="AC34" s="812"/>
      <c r="AD34" s="763"/>
      <c r="AE34" s="807"/>
      <c r="AF34" s="921">
        <f>IF(X34=X33,AF33,0)+IF(ISNUMBER(I34),IF(I34&lt;1,I34,I34*VLOOKUP(J34,Summary!$H$2:$I$9,2)),VLOOKUP(J34,Summary!$J$2:$K$9,2)*IF(ISNUMBER(H34),H34,1))</f>
        <v>0.69634259259259268</v>
      </c>
      <c r="AG34" s="289">
        <v>33</v>
      </c>
      <c r="AH34" s="94"/>
      <c r="AI34" s="94"/>
    </row>
    <row r="35" spans="1:35" s="22" customFormat="1" ht="12" customHeight="1" x14ac:dyDescent="0.25">
      <c r="A35" s="413">
        <v>0</v>
      </c>
      <c r="B35" s="413">
        <v>1</v>
      </c>
      <c r="C35" s="413">
        <v>54</v>
      </c>
      <c r="D35" s="176" t="s">
        <v>7624</v>
      </c>
      <c r="E35" s="313" t="s">
        <v>7625</v>
      </c>
      <c r="F35" s="174">
        <v>34578</v>
      </c>
      <c r="G35" s="174"/>
      <c r="H35" s="176">
        <v>1</v>
      </c>
      <c r="I35" s="176">
        <v>4</v>
      </c>
      <c r="J35" s="900" t="s">
        <v>2755</v>
      </c>
      <c r="K35" s="164" t="s">
        <v>4964</v>
      </c>
      <c r="L35" s="164" t="s">
        <v>461</v>
      </c>
      <c r="M35" s="164"/>
      <c r="N35" s="164" t="s">
        <v>7626</v>
      </c>
      <c r="O35" s="164"/>
      <c r="P35" s="173" t="s">
        <v>7627</v>
      </c>
      <c r="Q35" s="164" t="s">
        <v>4062</v>
      </c>
      <c r="R35" s="177" t="s">
        <v>4599</v>
      </c>
      <c r="S35" s="354" t="s">
        <v>2326</v>
      </c>
      <c r="T35" s="173"/>
      <c r="U35" s="173"/>
      <c r="V35" s="173"/>
      <c r="W35" s="313" t="s">
        <v>7625</v>
      </c>
      <c r="X35" s="645" t="s">
        <v>15472</v>
      </c>
      <c r="Y35" s="354" t="s">
        <v>6868</v>
      </c>
      <c r="Z35" s="157">
        <v>48</v>
      </c>
      <c r="AA35" s="176">
        <v>4</v>
      </c>
      <c r="AB35" s="32">
        <f t="shared" ca="1" si="0"/>
        <v>0.9982227255633308</v>
      </c>
      <c r="AC35" s="812"/>
      <c r="AD35" s="763" t="s">
        <v>16807</v>
      </c>
      <c r="AE35" s="807"/>
      <c r="AF35" s="921">
        <f>IF(X35=X34,AF34,0)+IF(ISNUMBER(I35),IF(I35&lt;1,I35,I35*VLOOKUP(J35,Summary!$H$2:$I$9,2)),VLOOKUP(J35,Summary!$J$2:$K$9,2)*IF(ISNUMBER(H35),H35,1))</f>
        <v>0.69912037037037045</v>
      </c>
      <c r="AG35" s="289">
        <v>34</v>
      </c>
      <c r="AH35" s="94"/>
      <c r="AI35" s="94"/>
    </row>
    <row r="36" spans="1:35" s="22" customFormat="1" ht="12" customHeight="1" x14ac:dyDescent="0.25">
      <c r="A36" s="413">
        <v>0</v>
      </c>
      <c r="B36" s="413">
        <v>1</v>
      </c>
      <c r="C36" s="414">
        <v>27.06</v>
      </c>
      <c r="D36" s="176" t="s">
        <v>7634</v>
      </c>
      <c r="E36" s="313" t="s">
        <v>3314</v>
      </c>
      <c r="F36" s="174">
        <v>39569</v>
      </c>
      <c r="G36" s="174"/>
      <c r="H36" s="176" t="s">
        <v>461</v>
      </c>
      <c r="I36" s="176">
        <v>22</v>
      </c>
      <c r="J36" s="900" t="s">
        <v>2755</v>
      </c>
      <c r="K36" s="164" t="s">
        <v>3315</v>
      </c>
      <c r="L36" s="164" t="s">
        <v>461</v>
      </c>
      <c r="M36" s="164"/>
      <c r="N36" s="164" t="s">
        <v>7621</v>
      </c>
      <c r="O36" s="164"/>
      <c r="P36" s="173" t="s">
        <v>6705</v>
      </c>
      <c r="Q36" s="164" t="s">
        <v>3947</v>
      </c>
      <c r="R36" s="177" t="s">
        <v>2723</v>
      </c>
      <c r="S36" s="354" t="s">
        <v>2326</v>
      </c>
      <c r="T36" s="173"/>
      <c r="U36" s="173"/>
      <c r="V36" s="173"/>
      <c r="W36" s="313" t="s">
        <v>3314</v>
      </c>
      <c r="X36" s="645" t="s">
        <v>15472</v>
      </c>
      <c r="Y36" s="354"/>
      <c r="Z36" s="176"/>
      <c r="AA36" s="176"/>
      <c r="AB36" s="32">
        <f t="shared" ca="1" si="0"/>
        <v>0.72088625768132408</v>
      </c>
      <c r="AC36" s="812"/>
      <c r="AD36" s="763" t="s">
        <v>16808</v>
      </c>
      <c r="AE36" s="807"/>
      <c r="AF36" s="921">
        <f>IF(X36=X35,AF35,0)+IF(ISNUMBER(I36),IF(I36&lt;1,I36,I36*VLOOKUP(J36,Summary!$H$2:$I$9,2)),VLOOKUP(J36,Summary!$J$2:$K$9,2)*IF(ISNUMBER(H36),H36,1))</f>
        <v>0.71439814814814828</v>
      </c>
      <c r="AG36" s="289">
        <v>35</v>
      </c>
      <c r="AH36" s="94"/>
      <c r="AI36" s="94"/>
    </row>
    <row r="37" spans="1:35" s="22" customFormat="1" ht="12" customHeight="1" x14ac:dyDescent="0.25">
      <c r="A37" s="413">
        <v>0</v>
      </c>
      <c r="B37" s="413">
        <v>1</v>
      </c>
      <c r="C37" s="414">
        <v>18.190000000000001</v>
      </c>
      <c r="D37" s="176" t="s">
        <v>3432</v>
      </c>
      <c r="E37" s="313" t="s">
        <v>6409</v>
      </c>
      <c r="F37" s="174">
        <v>38687</v>
      </c>
      <c r="G37" s="174"/>
      <c r="H37" s="176">
        <v>1</v>
      </c>
      <c r="I37" s="176">
        <v>8</v>
      </c>
      <c r="J37" s="900" t="s">
        <v>2755</v>
      </c>
      <c r="K37" s="164" t="s">
        <v>7877</v>
      </c>
      <c r="L37" s="164" t="s">
        <v>461</v>
      </c>
      <c r="M37" s="164"/>
      <c r="N37" s="164" t="s">
        <v>5664</v>
      </c>
      <c r="O37" s="164"/>
      <c r="P37" s="173" t="s">
        <v>5000</v>
      </c>
      <c r="Q37" s="164" t="s">
        <v>3947</v>
      </c>
      <c r="R37" s="177" t="s">
        <v>2723</v>
      </c>
      <c r="S37" s="354" t="s">
        <v>2326</v>
      </c>
      <c r="T37" s="173"/>
      <c r="U37" s="173"/>
      <c r="V37" s="173"/>
      <c r="W37" s="313" t="s">
        <v>6409</v>
      </c>
      <c r="X37" s="645" t="s">
        <v>15472</v>
      </c>
      <c r="Y37" s="354"/>
      <c r="Z37" s="176"/>
      <c r="AA37" s="176"/>
      <c r="AB37" s="32">
        <f t="shared" ca="1" si="0"/>
        <v>0.41353118375270048</v>
      </c>
      <c r="AC37" s="812"/>
      <c r="AD37" s="763" t="s">
        <v>16809</v>
      </c>
      <c r="AE37" s="807"/>
      <c r="AF37" s="921">
        <f>IF(X37=X36,AF36,0)+IF(ISNUMBER(I37),IF(I37&lt;1,I37,I37*VLOOKUP(J37,Summary!$H$2:$I$9,2)),VLOOKUP(J37,Summary!$J$2:$K$9,2)*IF(ISNUMBER(H37),H37,1))</f>
        <v>0.71995370370370382</v>
      </c>
      <c r="AG37" s="289">
        <v>36</v>
      </c>
      <c r="AH37" s="94"/>
      <c r="AI37" s="94"/>
    </row>
    <row r="38" spans="1:35" s="22" customFormat="1" ht="12" customHeight="1" x14ac:dyDescent="0.2">
      <c r="A38" s="412">
        <v>0</v>
      </c>
      <c r="B38" s="412">
        <v>1</v>
      </c>
      <c r="C38" s="415">
        <v>5.0599999999999996</v>
      </c>
      <c r="D38" s="407" t="s">
        <v>720</v>
      </c>
      <c r="E38" s="315" t="s">
        <v>172</v>
      </c>
      <c r="F38" s="169">
        <v>40513</v>
      </c>
      <c r="G38" s="170"/>
      <c r="H38" s="170">
        <v>2</v>
      </c>
      <c r="I38" s="746">
        <f>TIME(1,4,42)</f>
        <v>4.4930555555555557E-2</v>
      </c>
      <c r="J38" s="899" t="s">
        <v>4706</v>
      </c>
      <c r="K38" s="167" t="s">
        <v>941</v>
      </c>
      <c r="L38" s="167" t="s">
        <v>5662</v>
      </c>
      <c r="M38" s="167" t="s">
        <v>8057</v>
      </c>
      <c r="N38" s="167"/>
      <c r="O38" s="167"/>
      <c r="P38" s="168" t="s">
        <v>9195</v>
      </c>
      <c r="Q38" s="167" t="s">
        <v>3947</v>
      </c>
      <c r="R38" s="172" t="s">
        <v>3153</v>
      </c>
      <c r="S38" s="388" t="s">
        <v>2326</v>
      </c>
      <c r="T38" s="168"/>
      <c r="U38" s="168"/>
      <c r="V38" s="168"/>
      <c r="W38" s="312" t="s">
        <v>8492</v>
      </c>
      <c r="X38" s="644" t="s">
        <v>15472</v>
      </c>
      <c r="Y38" s="352" t="s">
        <v>5643</v>
      </c>
      <c r="Z38" s="353">
        <v>63</v>
      </c>
      <c r="AA38" s="353">
        <v>8</v>
      </c>
      <c r="AB38" s="31">
        <f t="shared" ca="1" si="0"/>
        <v>0.53311831504456486</v>
      </c>
      <c r="AC38" s="810"/>
      <c r="AD38" s="811" t="s">
        <v>461</v>
      </c>
      <c r="AE38" s="940"/>
      <c r="AF38" s="920">
        <f>IF(X38=X37,AF37,0)+IF(ISNUMBER(I38),IF(I38&lt;1,I38,I38*VLOOKUP(J38,Summary!$H$2:$I$9,2)),VLOOKUP(J38,Summary!$J$2:$K$9,2)*IF(ISNUMBER(H38),H38,1))</f>
        <v>0.7648842592592594</v>
      </c>
      <c r="AG38" s="287">
        <v>37</v>
      </c>
      <c r="AH38" s="94"/>
      <c r="AI38" s="94"/>
    </row>
    <row r="39" spans="1:35" s="22" customFormat="1" ht="12" customHeight="1" x14ac:dyDescent="0.25">
      <c r="A39" s="413">
        <v>0</v>
      </c>
      <c r="B39" s="413">
        <v>1</v>
      </c>
      <c r="C39" s="414">
        <v>9.09</v>
      </c>
      <c r="D39" s="176" t="s">
        <v>3428</v>
      </c>
      <c r="E39" s="313" t="s">
        <v>3429</v>
      </c>
      <c r="F39" s="174">
        <v>38047</v>
      </c>
      <c r="G39" s="174"/>
      <c r="H39" s="176">
        <v>1</v>
      </c>
      <c r="I39" s="176">
        <v>14</v>
      </c>
      <c r="J39" s="900" t="s">
        <v>2755</v>
      </c>
      <c r="K39" s="164" t="s">
        <v>3430</v>
      </c>
      <c r="L39" s="164" t="s">
        <v>461</v>
      </c>
      <c r="M39" s="164"/>
      <c r="N39" s="164" t="s">
        <v>7381</v>
      </c>
      <c r="O39" s="164"/>
      <c r="P39" s="173" t="s">
        <v>3431</v>
      </c>
      <c r="Q39" s="164" t="s">
        <v>3947</v>
      </c>
      <c r="R39" s="177" t="s">
        <v>2723</v>
      </c>
      <c r="S39" s="354" t="s">
        <v>2326</v>
      </c>
      <c r="T39" s="173"/>
      <c r="U39" s="173"/>
      <c r="V39" s="173"/>
      <c r="W39" s="313" t="s">
        <v>3429</v>
      </c>
      <c r="X39" s="645" t="s">
        <v>15472</v>
      </c>
      <c r="Y39" s="354"/>
      <c r="Z39" s="157">
        <v>3</v>
      </c>
      <c r="AA39" s="176">
        <v>9.5</v>
      </c>
      <c r="AB39" s="32">
        <f t="shared" ca="1" si="0"/>
        <v>0.74457481300812689</v>
      </c>
      <c r="AC39" s="812"/>
      <c r="AD39" s="763" t="s">
        <v>16810</v>
      </c>
      <c r="AE39" s="807"/>
      <c r="AF39" s="921">
        <f>IF(X39=X38,AF38,0)+IF(ISNUMBER(I39),IF(I39&lt;1,I39,I39*VLOOKUP(J39,Summary!$H$2:$I$9,2)),VLOOKUP(J39,Summary!$J$2:$K$9,2)*IF(ISNUMBER(H39),H39,1))</f>
        <v>0.77460648148148159</v>
      </c>
      <c r="AG39" s="289">
        <v>38</v>
      </c>
      <c r="AH39" s="94"/>
      <c r="AI39" s="94"/>
    </row>
    <row r="40" spans="1:35" s="22" customFormat="1" ht="12" customHeight="1" x14ac:dyDescent="0.25">
      <c r="A40" s="416" t="s">
        <v>4428</v>
      </c>
      <c r="B40" s="416">
        <v>1</v>
      </c>
      <c r="C40" s="416">
        <v>1</v>
      </c>
      <c r="D40" s="417" t="s">
        <v>6137</v>
      </c>
      <c r="E40" s="316" t="s">
        <v>6138</v>
      </c>
      <c r="F40" s="195">
        <v>37196</v>
      </c>
      <c r="G40" s="188"/>
      <c r="H40" s="188" t="str">
        <f>IF(J40="Book","n/a","")</f>
        <v>n/a</v>
      </c>
      <c r="I40" s="188">
        <v>121</v>
      </c>
      <c r="J40" s="902" t="s">
        <v>6868</v>
      </c>
      <c r="K40" s="162" t="s">
        <v>182</v>
      </c>
      <c r="L40" s="162" t="str">
        <f>IF(J40="Book","n/a","")</f>
        <v>n/a</v>
      </c>
      <c r="M40" s="162"/>
      <c r="N40" s="162"/>
      <c r="O40" s="162"/>
      <c r="P40" s="178" t="s">
        <v>8856</v>
      </c>
      <c r="Q40" s="162" t="s">
        <v>6055</v>
      </c>
      <c r="R40" s="189" t="s">
        <v>2718</v>
      </c>
      <c r="S40" s="366" t="s">
        <v>2326</v>
      </c>
      <c r="T40" s="178"/>
      <c r="U40" s="178"/>
      <c r="V40" s="178"/>
      <c r="W40" s="316" t="s">
        <v>6138</v>
      </c>
      <c r="X40" s="648" t="s">
        <v>15472</v>
      </c>
      <c r="Y40" s="356"/>
      <c r="Z40" s="272">
        <v>18</v>
      </c>
      <c r="AA40" s="272">
        <v>9</v>
      </c>
      <c r="AB40" s="34">
        <f t="shared" ca="1" si="0"/>
        <v>0.50177265095963919</v>
      </c>
      <c r="AC40" s="814"/>
      <c r="AD40" s="818" t="s">
        <v>14945</v>
      </c>
      <c r="AE40" s="942"/>
      <c r="AF40" s="923">
        <f>IF(X40=X39,AF39,0)+IF(ISNUMBER(I40),IF(I40&lt;1,I40,I40*VLOOKUP(J40,Summary!$H$2:$I$9,2)),VLOOKUP(J40,Summary!$J$2:$K$9,2)*IF(ISNUMBER(H40),H40,1))</f>
        <v>0.8586342592592594</v>
      </c>
      <c r="AG40" s="291">
        <v>39</v>
      </c>
      <c r="AH40" s="94"/>
      <c r="AI40" s="94"/>
    </row>
    <row r="41" spans="1:35" s="22" customFormat="1" ht="12" customHeight="1" x14ac:dyDescent="0.25">
      <c r="A41" s="413">
        <v>0</v>
      </c>
      <c r="B41" s="413">
        <v>1</v>
      </c>
      <c r="C41" s="420">
        <v>11.1</v>
      </c>
      <c r="D41" s="176" t="s">
        <v>4940</v>
      </c>
      <c r="E41" s="313" t="s">
        <v>4941</v>
      </c>
      <c r="F41" s="174">
        <v>38200</v>
      </c>
      <c r="G41" s="174"/>
      <c r="H41" s="176">
        <v>1</v>
      </c>
      <c r="I41" s="176">
        <v>14</v>
      </c>
      <c r="J41" s="900" t="s">
        <v>2755</v>
      </c>
      <c r="K41" s="164" t="s">
        <v>6353</v>
      </c>
      <c r="L41" s="164" t="s">
        <v>461</v>
      </c>
      <c r="M41" s="164"/>
      <c r="N41" s="164" t="s">
        <v>7375</v>
      </c>
      <c r="O41" s="164"/>
      <c r="P41" s="173" t="s">
        <v>2559</v>
      </c>
      <c r="Q41" s="164" t="s">
        <v>3947</v>
      </c>
      <c r="R41" s="177" t="s">
        <v>2723</v>
      </c>
      <c r="S41" s="354">
        <v>3</v>
      </c>
      <c r="T41" s="173">
        <v>5</v>
      </c>
      <c r="U41" s="173">
        <v>7</v>
      </c>
      <c r="V41" s="173">
        <v>8</v>
      </c>
      <c r="W41" s="313" t="s">
        <v>4941</v>
      </c>
      <c r="X41" s="645" t="s">
        <v>15472</v>
      </c>
      <c r="Y41" s="354"/>
      <c r="Z41" s="157">
        <v>999</v>
      </c>
      <c r="AA41" s="176"/>
      <c r="AB41" s="32">
        <f t="shared" ca="1" si="0"/>
        <v>0.15465682542680903</v>
      </c>
      <c r="AC41" s="812"/>
      <c r="AD41" s="763" t="s">
        <v>1809</v>
      </c>
      <c r="AE41" s="807"/>
      <c r="AF41" s="921">
        <f>IF(X41=X40,AF40,0)+IF(ISNUMBER(I41),IF(I41&lt;1,I41,I41*VLOOKUP(J41,Summary!$H$2:$I$9,2)),VLOOKUP(J41,Summary!$J$2:$K$9,2)*IF(ISNUMBER(H41),H41,1))</f>
        <v>0.86835648148148159</v>
      </c>
      <c r="AG41" s="289">
        <v>40</v>
      </c>
      <c r="AH41" s="94"/>
      <c r="AI41" s="94"/>
    </row>
    <row r="42" spans="1:35" s="22" customFormat="1" ht="12" customHeight="1" x14ac:dyDescent="0.2">
      <c r="A42" s="421">
        <v>0</v>
      </c>
      <c r="B42" s="421">
        <v>1</v>
      </c>
      <c r="C42" s="421">
        <v>77</v>
      </c>
      <c r="D42" s="185" t="s">
        <v>562</v>
      </c>
      <c r="E42" s="314" t="s">
        <v>5044</v>
      </c>
      <c r="F42" s="184">
        <v>34997</v>
      </c>
      <c r="G42" s="184">
        <v>35053</v>
      </c>
      <c r="H42" s="185">
        <v>3</v>
      </c>
      <c r="I42" s="185">
        <v>21</v>
      </c>
      <c r="J42" s="901" t="s">
        <v>1796</v>
      </c>
      <c r="K42" s="163" t="s">
        <v>3451</v>
      </c>
      <c r="L42" s="163" t="s">
        <v>2749</v>
      </c>
      <c r="M42" s="163"/>
      <c r="N42" s="163" t="s">
        <v>2750</v>
      </c>
      <c r="O42" s="163"/>
      <c r="P42" s="182" t="s">
        <v>461</v>
      </c>
      <c r="Q42" s="163" t="s">
        <v>4062</v>
      </c>
      <c r="R42" s="186" t="s">
        <v>5266</v>
      </c>
      <c r="S42" s="355" t="s">
        <v>2326</v>
      </c>
      <c r="T42" s="182"/>
      <c r="U42" s="182"/>
      <c r="V42" s="182"/>
      <c r="W42" s="314"/>
      <c r="X42" s="646" t="s">
        <v>15472</v>
      </c>
      <c r="Y42" s="355"/>
      <c r="Z42" s="185">
        <v>999</v>
      </c>
      <c r="AA42" s="185"/>
      <c r="AB42" s="33">
        <f t="shared" ca="1" si="0"/>
        <v>2.8565225858113386E-2</v>
      </c>
      <c r="AC42" s="813"/>
      <c r="AD42" s="819" t="s">
        <v>14944</v>
      </c>
      <c r="AE42" s="875"/>
      <c r="AF42" s="922">
        <f>IF(X42=X41,AF41,0)+IF(ISNUMBER(I42),IF(I42&lt;1,I42,I42*VLOOKUP(J42,Summary!$H$2:$I$9,2)),VLOOKUP(J42,Summary!$J$2:$K$9,2)*IF(ISNUMBER(H42),H42,1))</f>
        <v>0.87564814814814829</v>
      </c>
      <c r="AG42" s="290">
        <v>41</v>
      </c>
      <c r="AH42" s="94"/>
      <c r="AI42" s="94"/>
    </row>
    <row r="43" spans="1:35" s="22" customFormat="1" ht="12" customHeight="1" x14ac:dyDescent="0.25">
      <c r="A43" s="413">
        <v>0</v>
      </c>
      <c r="B43" s="413">
        <v>1</v>
      </c>
      <c r="C43" s="414">
        <v>6.03</v>
      </c>
      <c r="D43" s="176" t="s">
        <v>3316</v>
      </c>
      <c r="E43" s="313" t="s">
        <v>3317</v>
      </c>
      <c r="F43" s="174">
        <v>37773</v>
      </c>
      <c r="G43" s="174"/>
      <c r="H43" s="176">
        <v>1</v>
      </c>
      <c r="I43" s="176">
        <v>14</v>
      </c>
      <c r="J43" s="900" t="s">
        <v>2755</v>
      </c>
      <c r="K43" s="164" t="s">
        <v>4032</v>
      </c>
      <c r="L43" s="164" t="s">
        <v>461</v>
      </c>
      <c r="M43" s="164"/>
      <c r="N43" s="164" t="s">
        <v>4996</v>
      </c>
      <c r="O43" s="164"/>
      <c r="P43" s="173" t="s">
        <v>4997</v>
      </c>
      <c r="Q43" s="164" t="s">
        <v>3947</v>
      </c>
      <c r="R43" s="177" t="s">
        <v>2723</v>
      </c>
      <c r="S43" s="354" t="s">
        <v>2326</v>
      </c>
      <c r="T43" s="173"/>
      <c r="U43" s="173"/>
      <c r="V43" s="173"/>
      <c r="W43" s="313" t="s">
        <v>3317</v>
      </c>
      <c r="X43" s="645" t="s">
        <v>15472</v>
      </c>
      <c r="Y43" s="354"/>
      <c r="Z43" s="157">
        <v>999</v>
      </c>
      <c r="AA43" s="176"/>
      <c r="AB43" s="32">
        <f t="shared" ca="1" si="0"/>
        <v>0.3173203852467944</v>
      </c>
      <c r="AC43" s="812"/>
      <c r="AD43" s="763" t="s">
        <v>1809</v>
      </c>
      <c r="AE43" s="807"/>
      <c r="AF43" s="921">
        <f>IF(X43=X42,AF42,0)+IF(ISNUMBER(I43),IF(I43&lt;1,I43,I43*VLOOKUP(J43,Summary!$H$2:$I$9,2)),VLOOKUP(J43,Summary!$J$2:$K$9,2)*IF(ISNUMBER(H43),H43,1))</f>
        <v>0.88537037037037047</v>
      </c>
      <c r="AG43" s="289">
        <v>42</v>
      </c>
      <c r="AH43" s="94"/>
      <c r="AI43" s="94"/>
    </row>
    <row r="44" spans="1:35" s="22" customFormat="1" ht="12" customHeight="1" x14ac:dyDescent="0.25">
      <c r="A44" s="413">
        <v>0</v>
      </c>
      <c r="B44" s="413">
        <v>1</v>
      </c>
      <c r="C44" s="414">
        <v>26.03</v>
      </c>
      <c r="D44" s="176" t="s">
        <v>7631</v>
      </c>
      <c r="E44" s="313" t="s">
        <v>7632</v>
      </c>
      <c r="F44" s="174">
        <v>39508</v>
      </c>
      <c r="G44" s="174"/>
      <c r="H44" s="176">
        <v>1</v>
      </c>
      <c r="I44" s="176">
        <v>24</v>
      </c>
      <c r="J44" s="900" t="s">
        <v>2755</v>
      </c>
      <c r="K44" s="164" t="s">
        <v>7633</v>
      </c>
      <c r="L44" s="164" t="s">
        <v>461</v>
      </c>
      <c r="M44" s="164"/>
      <c r="N44" s="164" t="s">
        <v>7381</v>
      </c>
      <c r="O44" s="164"/>
      <c r="P44" s="173" t="s">
        <v>6706</v>
      </c>
      <c r="Q44" s="164" t="s">
        <v>3947</v>
      </c>
      <c r="R44" s="177" t="s">
        <v>2723</v>
      </c>
      <c r="S44" s="354" t="s">
        <v>2326</v>
      </c>
      <c r="T44" s="173"/>
      <c r="U44" s="173"/>
      <c r="V44" s="173"/>
      <c r="W44" s="313" t="s">
        <v>7632</v>
      </c>
      <c r="X44" s="645" t="s">
        <v>15472</v>
      </c>
      <c r="Y44" s="354"/>
      <c r="Z44" s="176"/>
      <c r="AA44" s="176"/>
      <c r="AB44" s="32">
        <f t="shared" ca="1" si="0"/>
        <v>0.29297784552450801</v>
      </c>
      <c r="AC44" s="812"/>
      <c r="AD44" s="763" t="s">
        <v>16811</v>
      </c>
      <c r="AE44" s="807"/>
      <c r="AF44" s="921">
        <f>IF(X44=X43,AF43,0)+IF(ISNUMBER(I44),IF(I44&lt;1,I44,I44*VLOOKUP(J44,Summary!$H$2:$I$9,2)),VLOOKUP(J44,Summary!$J$2:$K$9,2)*IF(ISNUMBER(H44),H44,1))</f>
        <v>0.90203703703703719</v>
      </c>
      <c r="AG44" s="289">
        <v>43</v>
      </c>
      <c r="AH44" s="94"/>
      <c r="AI44" s="94"/>
    </row>
    <row r="45" spans="1:35" s="22" customFormat="1" ht="12" customHeight="1" x14ac:dyDescent="0.2">
      <c r="A45" s="412">
        <v>0</v>
      </c>
      <c r="B45" s="412">
        <v>1</v>
      </c>
      <c r="C45" s="412">
        <v>1</v>
      </c>
      <c r="D45" s="407" t="s">
        <v>2093</v>
      </c>
      <c r="E45" s="315" t="s">
        <v>2094</v>
      </c>
      <c r="F45" s="196">
        <v>41275</v>
      </c>
      <c r="G45" s="170"/>
      <c r="H45" s="170">
        <v>1</v>
      </c>
      <c r="I45" s="746">
        <f>TIME(1,10,24)</f>
        <v>4.8888888888888891E-2</v>
      </c>
      <c r="J45" s="899" t="s">
        <v>4706</v>
      </c>
      <c r="K45" s="167" t="s">
        <v>4556</v>
      </c>
      <c r="L45" s="167" t="s">
        <v>6231</v>
      </c>
      <c r="M45" s="167" t="s">
        <v>2101</v>
      </c>
      <c r="N45" s="167"/>
      <c r="O45" s="167"/>
      <c r="P45" s="168" t="s">
        <v>2095</v>
      </c>
      <c r="Q45" s="167" t="s">
        <v>2096</v>
      </c>
      <c r="R45" s="172" t="s">
        <v>2092</v>
      </c>
      <c r="S45" s="388" t="s">
        <v>2326</v>
      </c>
      <c r="T45" s="168"/>
      <c r="U45" s="168"/>
      <c r="V45" s="168"/>
      <c r="W45" s="312" t="s">
        <v>2094</v>
      </c>
      <c r="X45" s="644" t="s">
        <v>15472</v>
      </c>
      <c r="Y45" s="352" t="s">
        <v>5643</v>
      </c>
      <c r="Z45" s="353">
        <v>377</v>
      </c>
      <c r="AA45" s="353">
        <v>5</v>
      </c>
      <c r="AB45" s="31">
        <f t="shared" ca="1" si="0"/>
        <v>0.85225286149869361</v>
      </c>
      <c r="AC45" s="810"/>
      <c r="AD45" s="811" t="s">
        <v>14944</v>
      </c>
      <c r="AE45" s="940"/>
      <c r="AF45" s="920">
        <f>IF(X45=X44,AF44,0)+IF(ISNUMBER(I45),IF(I45&lt;1,I45,I45*VLOOKUP(J45,Summary!$H$2:$I$9,2)),VLOOKUP(J45,Summary!$J$2:$K$9,2)*IF(ISNUMBER(H45),H45,1))</f>
        <v>0.95092592592592606</v>
      </c>
      <c r="AG45" s="287">
        <v>44</v>
      </c>
      <c r="AH45" s="94"/>
      <c r="AI45" s="94"/>
    </row>
    <row r="46" spans="1:35" s="22" customFormat="1" ht="12" customHeight="1" x14ac:dyDescent="0.25">
      <c r="A46" s="413">
        <v>0</v>
      </c>
      <c r="B46" s="413">
        <v>1</v>
      </c>
      <c r="C46" s="413"/>
      <c r="D46" s="176" t="s">
        <v>3112</v>
      </c>
      <c r="E46" s="313" t="s">
        <v>12572</v>
      </c>
      <c r="F46" s="175">
        <v>43090</v>
      </c>
      <c r="G46" s="175"/>
      <c r="H46" s="176">
        <v>1</v>
      </c>
      <c r="I46" s="176">
        <v>17</v>
      </c>
      <c r="J46" s="900" t="s">
        <v>2755</v>
      </c>
      <c r="K46" s="164" t="s">
        <v>3111</v>
      </c>
      <c r="L46" s="164" t="s">
        <v>461</v>
      </c>
      <c r="M46" s="164"/>
      <c r="N46" s="164"/>
      <c r="O46" s="164"/>
      <c r="P46" s="173" t="s">
        <v>461</v>
      </c>
      <c r="Q46" s="164" t="s">
        <v>3946</v>
      </c>
      <c r="R46" s="177" t="s">
        <v>7896</v>
      </c>
      <c r="S46" s="354" t="s">
        <v>53</v>
      </c>
      <c r="T46" s="173">
        <v>3</v>
      </c>
      <c r="U46" s="173">
        <v>11</v>
      </c>
      <c r="V46" s="173">
        <v>12</v>
      </c>
      <c r="W46" s="313" t="s">
        <v>12572</v>
      </c>
      <c r="X46" s="645" t="s">
        <v>15472</v>
      </c>
      <c r="Y46" s="354" t="s">
        <v>6000</v>
      </c>
      <c r="Z46" s="157"/>
      <c r="AA46" s="176"/>
      <c r="AB46" s="32">
        <f t="shared" ca="1" si="0"/>
        <v>0.52056727967387528</v>
      </c>
      <c r="AC46" s="812"/>
      <c r="AD46" s="763" t="s">
        <v>16813</v>
      </c>
      <c r="AE46" s="807"/>
      <c r="AF46" s="921">
        <f>IF(X46=X45,AF45,0)+IF(ISNUMBER(I46),IF(I46&lt;1,I46,I46*VLOOKUP(J46,Summary!$H$2:$I$9,2)),VLOOKUP(J46,Summary!$J$2:$K$9,2)*IF(ISNUMBER(H46),H46,1))</f>
        <v>0.96273148148148158</v>
      </c>
      <c r="AG46" s="289">
        <v>45</v>
      </c>
      <c r="AH46" s="94"/>
      <c r="AI46" s="94"/>
    </row>
    <row r="47" spans="1:35" s="22" customFormat="1" ht="12" customHeight="1" x14ac:dyDescent="0.25">
      <c r="A47" s="413">
        <v>0</v>
      </c>
      <c r="B47" s="413">
        <v>1</v>
      </c>
      <c r="C47" s="413">
        <v>10</v>
      </c>
      <c r="D47" s="176" t="s">
        <v>7628</v>
      </c>
      <c r="E47" s="313" t="s">
        <v>7629</v>
      </c>
      <c r="F47" s="175">
        <v>33597</v>
      </c>
      <c r="G47" s="175"/>
      <c r="H47" s="176">
        <v>1</v>
      </c>
      <c r="I47" s="176">
        <v>2</v>
      </c>
      <c r="J47" s="900" t="s">
        <v>2755</v>
      </c>
      <c r="K47" s="164" t="s">
        <v>7630</v>
      </c>
      <c r="L47" s="164" t="s">
        <v>6043</v>
      </c>
      <c r="M47" s="164"/>
      <c r="N47" s="164" t="s">
        <v>561</v>
      </c>
      <c r="O47" s="164"/>
      <c r="P47" s="173" t="s">
        <v>461</v>
      </c>
      <c r="Q47" s="164" t="s">
        <v>4062</v>
      </c>
      <c r="R47" s="177" t="s">
        <v>4599</v>
      </c>
      <c r="S47" s="354"/>
      <c r="T47" s="173">
        <v>7</v>
      </c>
      <c r="U47" s="173"/>
      <c r="V47" s="173"/>
      <c r="W47" s="313" t="s">
        <v>7629</v>
      </c>
      <c r="X47" s="645" t="s">
        <v>15472</v>
      </c>
      <c r="Y47" s="354"/>
      <c r="Z47" s="157">
        <v>19</v>
      </c>
      <c r="AA47" s="176">
        <v>6</v>
      </c>
      <c r="AB47" s="32">
        <f t="shared" ca="1" si="0"/>
        <v>0.82883541092934321</v>
      </c>
      <c r="AC47" s="812"/>
      <c r="AD47" s="763" t="s">
        <v>1809</v>
      </c>
      <c r="AE47" s="807"/>
      <c r="AF47" s="921">
        <f>IF(X47=X46,AF46,0)+IF(ISNUMBER(I47),IF(I47&lt;1,I47,I47*VLOOKUP(J47,Summary!$H$2:$I$9,2)),VLOOKUP(J47,Summary!$J$2:$K$9,2)*IF(ISNUMBER(H47),H47,1))</f>
        <v>0.96412037037037046</v>
      </c>
      <c r="AG47" s="289">
        <v>46</v>
      </c>
      <c r="AH47" s="94"/>
      <c r="AI47" s="94"/>
    </row>
    <row r="48" spans="1:35" s="22" customFormat="1" ht="12" customHeight="1" x14ac:dyDescent="0.25">
      <c r="A48" s="422">
        <v>0</v>
      </c>
      <c r="B48" s="422" t="s">
        <v>2650</v>
      </c>
      <c r="C48" s="422">
        <v>5.0199999999999996</v>
      </c>
      <c r="D48" s="176" t="s">
        <v>2229</v>
      </c>
      <c r="E48" s="313" t="s">
        <v>2228</v>
      </c>
      <c r="F48" s="174">
        <v>37681</v>
      </c>
      <c r="G48" s="174"/>
      <c r="H48" s="176">
        <v>1</v>
      </c>
      <c r="I48" s="176">
        <v>6</v>
      </c>
      <c r="J48" s="900" t="s">
        <v>2755</v>
      </c>
      <c r="K48" s="164" t="s">
        <v>543</v>
      </c>
      <c r="L48" s="164" t="s">
        <v>461</v>
      </c>
      <c r="M48" s="164"/>
      <c r="N48" s="164" t="s">
        <v>4552</v>
      </c>
      <c r="O48" s="164"/>
      <c r="P48" s="173" t="s">
        <v>6556</v>
      </c>
      <c r="Q48" s="164" t="s">
        <v>3947</v>
      </c>
      <c r="R48" s="177" t="s">
        <v>2723</v>
      </c>
      <c r="S48" s="354"/>
      <c r="T48" s="173" t="s">
        <v>2324</v>
      </c>
      <c r="U48" s="173" t="s">
        <v>2325</v>
      </c>
      <c r="V48" s="173"/>
      <c r="W48" s="313" t="s">
        <v>2228</v>
      </c>
      <c r="X48" s="645" t="s">
        <v>15472</v>
      </c>
      <c r="Y48" s="354"/>
      <c r="Z48" s="176"/>
      <c r="AA48" s="176"/>
      <c r="AB48" s="32">
        <f t="shared" ca="1" si="0"/>
        <v>0.53549861605028803</v>
      </c>
      <c r="AC48" s="812"/>
      <c r="AD48" s="763" t="s">
        <v>16812</v>
      </c>
      <c r="AE48" s="807"/>
      <c r="AF48" s="921">
        <f>IF(X48=X47,AF47,0)+IF(ISNUMBER(I48),IF(I48&lt;1,I48,I48*VLOOKUP(J48,Summary!$H$2:$I$9,2)),VLOOKUP(J48,Summary!$J$2:$K$9,2)*IF(ISNUMBER(H48),H48,1))</f>
        <v>0.96828703703703711</v>
      </c>
      <c r="AG48" s="289">
        <v>47</v>
      </c>
      <c r="AH48" s="94"/>
      <c r="AI48" s="94"/>
    </row>
    <row r="49" spans="1:35" s="1" customFormat="1" ht="12" customHeight="1" x14ac:dyDescent="0.25">
      <c r="A49" s="423">
        <v>1</v>
      </c>
      <c r="B49" s="423">
        <v>1</v>
      </c>
      <c r="C49" s="423">
        <v>1</v>
      </c>
      <c r="D49" s="424" t="s">
        <v>6139</v>
      </c>
      <c r="E49" s="319" t="s">
        <v>6140</v>
      </c>
      <c r="F49" s="198">
        <v>23338</v>
      </c>
      <c r="G49" s="198">
        <v>23359</v>
      </c>
      <c r="H49" s="199">
        <v>4</v>
      </c>
      <c r="I49" s="791">
        <f>TIME(0,23,10)+TIME(0,24,35)+TIME(0,23,38)+TIME(0,24,23)</f>
        <v>6.6504629629629636E-2</v>
      </c>
      <c r="J49" s="904" t="s">
        <v>1588</v>
      </c>
      <c r="K49" s="200" t="s">
        <v>6142</v>
      </c>
      <c r="L49" s="200" t="s">
        <v>6143</v>
      </c>
      <c r="M49" s="200"/>
      <c r="N49" s="200" t="s">
        <v>6145</v>
      </c>
      <c r="O49" s="200" t="s">
        <v>6144</v>
      </c>
      <c r="P49" s="197" t="s">
        <v>461</v>
      </c>
      <c r="Q49" s="200" t="s">
        <v>3946</v>
      </c>
      <c r="R49" s="201" t="s">
        <v>5280</v>
      </c>
      <c r="S49" s="390" t="s">
        <v>2326</v>
      </c>
      <c r="T49" s="197" t="s">
        <v>2324</v>
      </c>
      <c r="U49" s="197" t="s">
        <v>2325</v>
      </c>
      <c r="V49" s="197"/>
      <c r="W49" s="318" t="s">
        <v>8402</v>
      </c>
      <c r="X49" s="650" t="s">
        <v>12318</v>
      </c>
      <c r="Y49" s="358" t="s">
        <v>6141</v>
      </c>
      <c r="Z49" s="253">
        <v>65</v>
      </c>
      <c r="AA49" s="253">
        <v>8</v>
      </c>
      <c r="AB49" s="35">
        <f t="shared" ca="1" si="0"/>
        <v>0.68730600505818196</v>
      </c>
      <c r="AC49" s="820"/>
      <c r="AD49" s="821" t="s">
        <v>14943</v>
      </c>
      <c r="AE49" s="944" t="s">
        <v>12543</v>
      </c>
      <c r="AF49" s="925">
        <f>IF(X49=X48,AF48,0)+IF(ISNUMBER(I49),IF(I49&lt;1,I49,I49*VLOOKUP(J49,Summary!$H$2:$I$9,2)),VLOOKUP(J49,Summary!$J$2:$K$9,2)*IF(ISNUMBER(H49),H49,1))</f>
        <v>6.6504629629629636E-2</v>
      </c>
      <c r="AG49" s="293">
        <v>48</v>
      </c>
      <c r="AH49" s="94"/>
      <c r="AI49" s="94"/>
    </row>
    <row r="50" spans="1:35" s="22" customFormat="1" ht="12" customHeight="1" x14ac:dyDescent="0.2">
      <c r="A50" s="405">
        <v>1</v>
      </c>
      <c r="B50" s="406" t="s">
        <v>2650</v>
      </c>
      <c r="C50" s="405">
        <v>6.1</v>
      </c>
      <c r="D50" s="407" t="s">
        <v>15776</v>
      </c>
      <c r="E50" s="336" t="s">
        <v>15775</v>
      </c>
      <c r="F50" s="196" t="s">
        <v>11072</v>
      </c>
      <c r="G50" s="169"/>
      <c r="H50" s="170">
        <v>1</v>
      </c>
      <c r="I50" s="747">
        <f>TIME(0,60,0)</f>
        <v>4.1666666666666664E-2</v>
      </c>
      <c r="J50" s="899" t="s">
        <v>4706</v>
      </c>
      <c r="K50" s="167" t="s">
        <v>6452</v>
      </c>
      <c r="L50" s="167" t="s">
        <v>2313</v>
      </c>
      <c r="M50" s="167"/>
      <c r="N50" s="167" t="s">
        <v>6452</v>
      </c>
      <c r="O50" s="167" t="s">
        <v>3295</v>
      </c>
      <c r="P50" s="168" t="s">
        <v>15777</v>
      </c>
      <c r="Q50" s="167" t="s">
        <v>3947</v>
      </c>
      <c r="R50" s="172" t="s">
        <v>10102</v>
      </c>
      <c r="S50" s="388" t="s">
        <v>2326</v>
      </c>
      <c r="T50" s="168" t="s">
        <v>2324</v>
      </c>
      <c r="U50" s="168" t="s">
        <v>2325</v>
      </c>
      <c r="V50" s="168" t="s">
        <v>7344</v>
      </c>
      <c r="W50" s="336" t="s">
        <v>15775</v>
      </c>
      <c r="X50" s="644" t="s">
        <v>12318</v>
      </c>
      <c r="Y50" s="352"/>
      <c r="Z50" s="353"/>
      <c r="AA50" s="353"/>
      <c r="AB50" s="31">
        <f t="shared" ca="1" si="0"/>
        <v>0.34889888503672173</v>
      </c>
      <c r="AC50" s="810"/>
      <c r="AD50" s="811"/>
      <c r="AE50" s="945"/>
      <c r="AF50" s="920">
        <f>IF(X50=X49,AF49,0)+IF(ISNUMBER(I50),IF(I50&lt;1,I50,I50*VLOOKUP(J50,Summary!$H$2:$I$9,2)),VLOOKUP(J50,Summary!$J$2:$K$9,2)*IF(ISNUMBER(H50),H50,1))</f>
        <v>0.10817129629629629</v>
      </c>
      <c r="AG50" s="287">
        <v>49</v>
      </c>
      <c r="AH50" s="94"/>
      <c r="AI50" s="94"/>
    </row>
    <row r="51" spans="1:35" s="3" customFormat="1" ht="12" customHeight="1" x14ac:dyDescent="0.25">
      <c r="A51" s="413">
        <v>1</v>
      </c>
      <c r="B51" s="413">
        <v>1</v>
      </c>
      <c r="C51" s="413">
        <v>24</v>
      </c>
      <c r="D51" s="176" t="s">
        <v>9835</v>
      </c>
      <c r="E51" s="313" t="s">
        <v>9836</v>
      </c>
      <c r="F51" s="175">
        <v>41802</v>
      </c>
      <c r="G51" s="174"/>
      <c r="H51" s="176">
        <v>1</v>
      </c>
      <c r="I51" s="176">
        <v>9</v>
      </c>
      <c r="J51" s="900" t="s">
        <v>2755</v>
      </c>
      <c r="K51" s="164" t="s">
        <v>9281</v>
      </c>
      <c r="L51" s="164" t="s">
        <v>461</v>
      </c>
      <c r="M51" s="164"/>
      <c r="N51" s="164" t="s">
        <v>543</v>
      </c>
      <c r="O51" s="164"/>
      <c r="P51" s="173" t="s">
        <v>9278</v>
      </c>
      <c r="Q51" s="164" t="s">
        <v>3953</v>
      </c>
      <c r="R51" s="177" t="s">
        <v>9279</v>
      </c>
      <c r="S51" s="354" t="s">
        <v>2326</v>
      </c>
      <c r="T51" s="173" t="s">
        <v>2324</v>
      </c>
      <c r="U51" s="173" t="s">
        <v>2325</v>
      </c>
      <c r="V51" s="173"/>
      <c r="W51" s="313" t="s">
        <v>9836</v>
      </c>
      <c r="X51" s="645" t="s">
        <v>12318</v>
      </c>
      <c r="Y51" s="354" t="s">
        <v>6868</v>
      </c>
      <c r="Z51" s="176"/>
      <c r="AA51" s="176"/>
      <c r="AB51" s="32">
        <f t="shared" ca="1" si="0"/>
        <v>0.4836811943497642</v>
      </c>
      <c r="AC51" s="812"/>
      <c r="AD51" s="763"/>
      <c r="AE51" s="807"/>
      <c r="AF51" s="921">
        <f>IF(X51=X50,AF50,0)+IF(ISNUMBER(I51),IF(I51&lt;1,I51,I51*VLOOKUP(J51,Summary!$H$2:$I$9,2)),VLOOKUP(J51,Summary!$J$2:$K$9,2)*IF(ISNUMBER(H51),H51,1))</f>
        <v>0.1144212962962963</v>
      </c>
      <c r="AG51" s="289">
        <v>50</v>
      </c>
      <c r="AH51" s="94"/>
      <c r="AI51" s="94"/>
    </row>
    <row r="52" spans="1:35" s="1" customFormat="1" ht="12" customHeight="1" x14ac:dyDescent="0.25">
      <c r="A52" s="413">
        <v>1</v>
      </c>
      <c r="B52" s="413">
        <v>1</v>
      </c>
      <c r="C52" s="413">
        <v>37</v>
      </c>
      <c r="D52" s="176" t="s">
        <v>3318</v>
      </c>
      <c r="E52" s="313" t="s">
        <v>3319</v>
      </c>
      <c r="F52" s="174">
        <v>33817</v>
      </c>
      <c r="G52" s="174"/>
      <c r="H52" s="176">
        <v>1</v>
      </c>
      <c r="I52" s="176">
        <v>1</v>
      </c>
      <c r="J52" s="900" t="s">
        <v>2755</v>
      </c>
      <c r="K52" s="164" t="s">
        <v>3320</v>
      </c>
      <c r="L52" s="164" t="s">
        <v>3578</v>
      </c>
      <c r="M52" s="164"/>
      <c r="N52" s="164" t="s">
        <v>7375</v>
      </c>
      <c r="O52" s="164"/>
      <c r="P52" s="173" t="s">
        <v>461</v>
      </c>
      <c r="Q52" s="164" t="s">
        <v>4062</v>
      </c>
      <c r="R52" s="177" t="s">
        <v>4599</v>
      </c>
      <c r="S52" s="354" t="s">
        <v>2326</v>
      </c>
      <c r="T52" s="173" t="s">
        <v>53</v>
      </c>
      <c r="U52" s="173" t="s">
        <v>3321</v>
      </c>
      <c r="V52" s="173"/>
      <c r="W52" s="313" t="s">
        <v>3319</v>
      </c>
      <c r="X52" s="645" t="s">
        <v>12318</v>
      </c>
      <c r="Y52" s="354"/>
      <c r="Z52" s="157">
        <v>45</v>
      </c>
      <c r="AA52" s="176">
        <v>4</v>
      </c>
      <c r="AB52" s="32">
        <f t="shared" ca="1" si="0"/>
        <v>0.4741986389963021</v>
      </c>
      <c r="AC52" s="812"/>
      <c r="AD52" s="763" t="s">
        <v>1809</v>
      </c>
      <c r="AE52" s="807"/>
      <c r="AF52" s="921">
        <f>IF(X52=X51,AF51,0)+IF(ISNUMBER(I52),IF(I52&lt;1,I52,I52*VLOOKUP(J52,Summary!$H$2:$I$9,2)),VLOOKUP(J52,Summary!$J$2:$K$9,2)*IF(ISNUMBER(H52),H52,1))</f>
        <v>0.11511574074074074</v>
      </c>
      <c r="AG52" s="289">
        <v>51</v>
      </c>
      <c r="AH52" s="94"/>
      <c r="AI52" s="94"/>
    </row>
    <row r="53" spans="1:35" s="3" customFormat="1" ht="12" customHeight="1" x14ac:dyDescent="0.25">
      <c r="A53" s="423">
        <v>1</v>
      </c>
      <c r="B53" s="423">
        <v>1</v>
      </c>
      <c r="C53" s="423">
        <v>2</v>
      </c>
      <c r="D53" s="424" t="s">
        <v>6146</v>
      </c>
      <c r="E53" s="319" t="s">
        <v>6147</v>
      </c>
      <c r="F53" s="198">
        <v>23366</v>
      </c>
      <c r="G53" s="198">
        <v>23408</v>
      </c>
      <c r="H53" s="199">
        <v>7</v>
      </c>
      <c r="I53" s="791">
        <f>TIME(0,24,22)+TIME(0,24,27)+TIME(0,25,10)+TIME(0,24,37)+TIME(0,24,31)+TIME(0,26,14)+TIME(0,22,24)</f>
        <v>0.11927083333333334</v>
      </c>
      <c r="J53" s="904" t="s">
        <v>1588</v>
      </c>
      <c r="K53" s="200" t="s">
        <v>6148</v>
      </c>
      <c r="L53" s="200" t="s">
        <v>6149</v>
      </c>
      <c r="M53" s="200"/>
      <c r="N53" s="200" t="s">
        <v>6145</v>
      </c>
      <c r="O53" s="200" t="s">
        <v>6144</v>
      </c>
      <c r="P53" s="197" t="s">
        <v>461</v>
      </c>
      <c r="Q53" s="200" t="s">
        <v>3946</v>
      </c>
      <c r="R53" s="201" t="s">
        <v>5280</v>
      </c>
      <c r="S53" s="390" t="s">
        <v>2326</v>
      </c>
      <c r="T53" s="197" t="s">
        <v>2324</v>
      </c>
      <c r="U53" s="197" t="s">
        <v>2325</v>
      </c>
      <c r="V53" s="197"/>
      <c r="W53" s="318" t="s">
        <v>8403</v>
      </c>
      <c r="X53" s="650" t="s">
        <v>12318</v>
      </c>
      <c r="Y53" s="358" t="s">
        <v>6141</v>
      </c>
      <c r="Z53" s="253">
        <v>275</v>
      </c>
      <c r="AA53" s="253">
        <v>2.5</v>
      </c>
      <c r="AB53" s="35">
        <f t="shared" ca="1" si="0"/>
        <v>0.70683006890379396</v>
      </c>
      <c r="AC53" s="820"/>
      <c r="AD53" s="821" t="s">
        <v>16160</v>
      </c>
      <c r="AE53" s="944" t="s">
        <v>3365</v>
      </c>
      <c r="AF53" s="925">
        <f>IF(X53=X52,AF52,0)+IF(ISNUMBER(I53),IF(I53&lt;1,I53,I53*VLOOKUP(J53,Summary!$H$2:$I$9,2)),VLOOKUP(J53,Summary!$J$2:$K$9,2)*IF(ISNUMBER(H53),H53,1))</f>
        <v>0.23438657407407409</v>
      </c>
      <c r="AG53" s="293">
        <v>52</v>
      </c>
      <c r="AH53" s="94"/>
      <c r="AI53" s="94"/>
    </row>
    <row r="54" spans="1:35" s="1" customFormat="1" ht="12" customHeight="1" x14ac:dyDescent="0.25">
      <c r="A54" s="423">
        <v>1</v>
      </c>
      <c r="B54" s="423" t="s">
        <v>2127</v>
      </c>
      <c r="C54" s="423">
        <v>1</v>
      </c>
      <c r="D54" s="424" t="s">
        <v>1887</v>
      </c>
      <c r="E54" s="319" t="s">
        <v>2128</v>
      </c>
      <c r="F54" s="198">
        <v>23977</v>
      </c>
      <c r="G54" s="198"/>
      <c r="H54" s="199">
        <v>1</v>
      </c>
      <c r="I54" s="791">
        <f>TIME(0,82,0)</f>
        <v>5.6944444444444443E-2</v>
      </c>
      <c r="J54" s="904" t="s">
        <v>1588</v>
      </c>
      <c r="K54" s="200" t="s">
        <v>6148</v>
      </c>
      <c r="L54" s="200" t="s">
        <v>2129</v>
      </c>
      <c r="M54" s="200"/>
      <c r="N54" s="200"/>
      <c r="O54" s="200"/>
      <c r="P54" s="197" t="s">
        <v>461</v>
      </c>
      <c r="Q54" s="200" t="s">
        <v>3946</v>
      </c>
      <c r="R54" s="201" t="s">
        <v>5268</v>
      </c>
      <c r="S54" s="390" t="s">
        <v>5002</v>
      </c>
      <c r="T54" s="197" t="s">
        <v>2324</v>
      </c>
      <c r="U54" s="197" t="s">
        <v>2325</v>
      </c>
      <c r="V54" s="197"/>
      <c r="W54" s="319" t="s">
        <v>2128</v>
      </c>
      <c r="X54" s="651" t="s">
        <v>12318</v>
      </c>
      <c r="Y54" s="358" t="s">
        <v>7018</v>
      </c>
      <c r="Z54" s="253">
        <v>152</v>
      </c>
      <c r="AA54" s="253">
        <v>5.5</v>
      </c>
      <c r="AB54" s="36">
        <f t="shared" ca="1" si="0"/>
        <v>6.7085649383822665E-2</v>
      </c>
      <c r="AC54" s="822"/>
      <c r="AD54" s="823"/>
      <c r="AE54" s="946"/>
      <c r="AF54" s="925">
        <f>IF(X54=X53,AF53,0)+IF(ISNUMBER(I54),IF(I54&lt;1,I54,I54*VLOOKUP(J54,Summary!$H$2:$I$9,2)),VLOOKUP(J54,Summary!$J$2:$K$9,2)*IF(ISNUMBER(H54),H54,1))</f>
        <v>0.29133101851851856</v>
      </c>
      <c r="AG54" s="293">
        <v>53</v>
      </c>
      <c r="AH54" s="94"/>
      <c r="AI54" s="94"/>
    </row>
    <row r="55" spans="1:35" s="43" customFormat="1" ht="12" customHeight="1" x14ac:dyDescent="0.25">
      <c r="A55" s="413">
        <v>1</v>
      </c>
      <c r="B55" s="413" t="s">
        <v>2127</v>
      </c>
      <c r="C55" s="414">
        <v>3.12</v>
      </c>
      <c r="D55" s="176" t="s">
        <v>5001</v>
      </c>
      <c r="E55" s="313" t="s">
        <v>1991</v>
      </c>
      <c r="F55" s="174">
        <v>36586</v>
      </c>
      <c r="G55" s="174"/>
      <c r="H55" s="176">
        <v>1</v>
      </c>
      <c r="I55" s="176">
        <v>16</v>
      </c>
      <c r="J55" s="900" t="s">
        <v>2755</v>
      </c>
      <c r="K55" s="164" t="s">
        <v>543</v>
      </c>
      <c r="L55" s="164" t="s">
        <v>461</v>
      </c>
      <c r="M55" s="164"/>
      <c r="N55" s="164" t="s">
        <v>4992</v>
      </c>
      <c r="O55" s="164"/>
      <c r="P55" s="173" t="s">
        <v>4993</v>
      </c>
      <c r="Q55" s="164" t="s">
        <v>3953</v>
      </c>
      <c r="R55" s="177" t="s">
        <v>2723</v>
      </c>
      <c r="S55" s="354" t="s">
        <v>5002</v>
      </c>
      <c r="T55" s="164"/>
      <c r="U55" s="164"/>
      <c r="V55" s="164"/>
      <c r="W55" s="313" t="s">
        <v>1991</v>
      </c>
      <c r="X55" s="645" t="s">
        <v>12318</v>
      </c>
      <c r="Y55" s="354" t="s">
        <v>6868</v>
      </c>
      <c r="Z55" s="157">
        <v>9</v>
      </c>
      <c r="AA55" s="176">
        <v>7.5</v>
      </c>
      <c r="AB55" s="32">
        <f t="shared" ca="1" si="0"/>
        <v>0.20482565385590923</v>
      </c>
      <c r="AC55" s="812"/>
      <c r="AD55" s="763"/>
      <c r="AE55" s="807"/>
      <c r="AF55" s="921">
        <f>IF(X55=X54,AF54,0)+IF(ISNUMBER(I55),IF(I55&lt;1,I55,I55*VLOOKUP(J55,Summary!$H$2:$I$9,2)),VLOOKUP(J55,Summary!$J$2:$K$9,2)*IF(ISNUMBER(H55),H55,1))</f>
        <v>0.30244212962962969</v>
      </c>
      <c r="AG55" s="289">
        <v>54</v>
      </c>
      <c r="AH55" s="94"/>
      <c r="AI55" s="94"/>
    </row>
    <row r="56" spans="1:35" s="1" customFormat="1" ht="12" customHeight="1" x14ac:dyDescent="0.25">
      <c r="A56" s="423">
        <v>1</v>
      </c>
      <c r="B56" s="423">
        <v>1</v>
      </c>
      <c r="C56" s="423">
        <v>3</v>
      </c>
      <c r="D56" s="424" t="s">
        <v>6150</v>
      </c>
      <c r="E56" s="319" t="s">
        <v>6151</v>
      </c>
      <c r="F56" s="198">
        <v>23415</v>
      </c>
      <c r="G56" s="198">
        <v>23422</v>
      </c>
      <c r="H56" s="199">
        <v>2</v>
      </c>
      <c r="I56" s="791">
        <f>TIME(0,25, 4)+TIME(0,22,11)</f>
        <v>3.2812500000000001E-2</v>
      </c>
      <c r="J56" s="904" t="s">
        <v>1588</v>
      </c>
      <c r="K56" s="200" t="s">
        <v>6145</v>
      </c>
      <c r="L56" s="200" t="s">
        <v>6152</v>
      </c>
      <c r="M56" s="200"/>
      <c r="N56" s="200" t="s">
        <v>6145</v>
      </c>
      <c r="O56" s="200" t="s">
        <v>6144</v>
      </c>
      <c r="P56" s="197" t="s">
        <v>461</v>
      </c>
      <c r="Q56" s="200" t="s">
        <v>3946</v>
      </c>
      <c r="R56" s="201" t="s">
        <v>5280</v>
      </c>
      <c r="S56" s="390" t="s">
        <v>2326</v>
      </c>
      <c r="T56" s="197" t="s">
        <v>2324</v>
      </c>
      <c r="U56" s="197" t="s">
        <v>2325</v>
      </c>
      <c r="V56" s="197"/>
      <c r="W56" s="318" t="s">
        <v>8404</v>
      </c>
      <c r="X56" s="650" t="s">
        <v>12318</v>
      </c>
      <c r="Y56" s="358" t="s">
        <v>6141</v>
      </c>
      <c r="Z56" s="253">
        <v>117</v>
      </c>
      <c r="AA56" s="253">
        <v>6.5</v>
      </c>
      <c r="AB56" s="35">
        <f t="shared" ca="1" si="0"/>
        <v>0.27260355410085702</v>
      </c>
      <c r="AC56" s="820"/>
      <c r="AD56" s="821" t="s">
        <v>461</v>
      </c>
      <c r="AE56" s="944"/>
      <c r="AF56" s="925">
        <f>IF(X56=X55,AF55,0)+IF(ISNUMBER(I56),IF(I56&lt;1,I56,I56*VLOOKUP(J56,Summary!$H$2:$I$9,2)),VLOOKUP(J56,Summary!$J$2:$K$9,2)*IF(ISNUMBER(H56),H56,1))</f>
        <v>0.33525462962962971</v>
      </c>
      <c r="AG56" s="293">
        <v>55</v>
      </c>
      <c r="AH56" s="94"/>
      <c r="AI56" s="94"/>
    </row>
    <row r="57" spans="1:35" s="22" customFormat="1" ht="12" customHeight="1" x14ac:dyDescent="0.2">
      <c r="A57" s="425">
        <v>1</v>
      </c>
      <c r="B57" s="425">
        <v>1</v>
      </c>
      <c r="C57" s="425">
        <v>4</v>
      </c>
      <c r="D57" s="426" t="s">
        <v>6153</v>
      </c>
      <c r="E57" s="427" t="s">
        <v>1034</v>
      </c>
      <c r="F57" s="203">
        <v>23429</v>
      </c>
      <c r="G57" s="203">
        <v>23471</v>
      </c>
      <c r="H57" s="204">
        <v>7</v>
      </c>
      <c r="I57" s="791">
        <f>TIME(0,24,12)+TIME(0,26,34)+TIME(0,22,20)+TIME(0,24,48)+TIME(0,23,26)+TIME(0,25,36)+TIME(0,24,48)</f>
        <v>0.11925925925925926</v>
      </c>
      <c r="J57" s="905" t="s">
        <v>1588</v>
      </c>
      <c r="K57" s="205" t="s">
        <v>1035</v>
      </c>
      <c r="L57" s="205" t="s">
        <v>6143</v>
      </c>
      <c r="M57" s="205"/>
      <c r="N57" s="205" t="s">
        <v>6145</v>
      </c>
      <c r="O57" s="205" t="s">
        <v>6144</v>
      </c>
      <c r="P57" s="202" t="s">
        <v>461</v>
      </c>
      <c r="Q57" s="205" t="s">
        <v>3946</v>
      </c>
      <c r="R57" s="206" t="s">
        <v>5280</v>
      </c>
      <c r="S57" s="391" t="s">
        <v>2326</v>
      </c>
      <c r="T57" s="202" t="s">
        <v>2324</v>
      </c>
      <c r="U57" s="202" t="s">
        <v>2325</v>
      </c>
      <c r="V57" s="202"/>
      <c r="W57" s="320" t="s">
        <v>9593</v>
      </c>
      <c r="X57" s="652" t="s">
        <v>12318</v>
      </c>
      <c r="Y57" s="359" t="s">
        <v>5398</v>
      </c>
      <c r="Z57" s="360">
        <v>172</v>
      </c>
      <c r="AA57" s="360">
        <v>5</v>
      </c>
      <c r="AB57" s="36">
        <f t="shared" ca="1" si="0"/>
        <v>0.8431835402870731</v>
      </c>
      <c r="AC57" s="822"/>
      <c r="AD57" s="823" t="s">
        <v>15084</v>
      </c>
      <c r="AE57" s="947" t="s">
        <v>9592</v>
      </c>
      <c r="AF57" s="926">
        <f>IF(X57=X56,AF56,0)+IF(ISNUMBER(I57),IF(I57&lt;1,I57,I57*VLOOKUP(J57,Summary!$H$2:$I$9,2)),VLOOKUP(J57,Summary!$J$2:$K$9,2)*IF(ISNUMBER(H57),H57,1))</f>
        <v>0.45451388888888899</v>
      </c>
      <c r="AG57" s="294">
        <v>56</v>
      </c>
      <c r="AH57" s="94"/>
      <c r="AI57" s="94"/>
    </row>
    <row r="58" spans="1:35" s="22" customFormat="1" ht="12" customHeight="1" x14ac:dyDescent="0.25">
      <c r="A58" s="416">
        <v>1</v>
      </c>
      <c r="B58" s="416">
        <v>1</v>
      </c>
      <c r="C58" s="416">
        <v>12</v>
      </c>
      <c r="D58" s="417" t="s">
        <v>1036</v>
      </c>
      <c r="E58" s="316" t="s">
        <v>8596</v>
      </c>
      <c r="F58" s="195">
        <v>34851</v>
      </c>
      <c r="G58" s="188"/>
      <c r="H58" s="188" t="str">
        <f>IF(J58="Book","n/a","")</f>
        <v>n/a</v>
      </c>
      <c r="I58" s="188">
        <v>296</v>
      </c>
      <c r="J58" s="902" t="s">
        <v>6868</v>
      </c>
      <c r="K58" s="162" t="s">
        <v>181</v>
      </c>
      <c r="L58" s="162" t="str">
        <f>IF(J58="Book","n/a","")</f>
        <v>n/a</v>
      </c>
      <c r="M58" s="162"/>
      <c r="N58" s="162"/>
      <c r="O58" s="162"/>
      <c r="P58" s="178" t="s">
        <v>8597</v>
      </c>
      <c r="Q58" s="162" t="s">
        <v>601</v>
      </c>
      <c r="R58" s="189" t="s">
        <v>2715</v>
      </c>
      <c r="S58" s="366" t="s">
        <v>2326</v>
      </c>
      <c r="T58" s="178" t="s">
        <v>2324</v>
      </c>
      <c r="U58" s="178" t="s">
        <v>2325</v>
      </c>
      <c r="V58" s="178"/>
      <c r="W58" s="316" t="s">
        <v>8596</v>
      </c>
      <c r="X58" s="648" t="s">
        <v>12318</v>
      </c>
      <c r="Y58" s="356"/>
      <c r="Z58" s="272">
        <v>33</v>
      </c>
      <c r="AA58" s="272">
        <v>8</v>
      </c>
      <c r="AB58" s="34">
        <f t="shared" ca="1" si="0"/>
        <v>9.5835273189531889E-2</v>
      </c>
      <c r="AC58" s="814"/>
      <c r="AD58" s="815" t="s">
        <v>16339</v>
      </c>
      <c r="AE58" s="942" t="s">
        <v>12543</v>
      </c>
      <c r="AF58" s="923">
        <f>IF(X58=X57,AF57,0)+IF(ISNUMBER(I58),IF(I58&lt;1,I58,I58*VLOOKUP(J58,Summary!$H$2:$I$9,2)),VLOOKUP(J58,Summary!$J$2:$K$9,2)*IF(ISNUMBER(H58),H58,1))</f>
        <v>0.6600694444444446</v>
      </c>
      <c r="AG58" s="291">
        <v>57</v>
      </c>
      <c r="AH58" s="94"/>
      <c r="AI58" s="94"/>
    </row>
    <row r="59" spans="1:35" s="22" customFormat="1" ht="12" customHeight="1" x14ac:dyDescent="0.25">
      <c r="A59" s="413">
        <v>1</v>
      </c>
      <c r="B59" s="413">
        <v>1</v>
      </c>
      <c r="C59" s="414">
        <v>21.01</v>
      </c>
      <c r="D59" s="176" t="s">
        <v>4578</v>
      </c>
      <c r="E59" s="313" t="s">
        <v>3323</v>
      </c>
      <c r="F59" s="174">
        <v>38991</v>
      </c>
      <c r="G59" s="174"/>
      <c r="H59" s="176">
        <v>1</v>
      </c>
      <c r="I59" s="176">
        <v>22</v>
      </c>
      <c r="J59" s="900" t="s">
        <v>2755</v>
      </c>
      <c r="K59" s="164" t="s">
        <v>3324</v>
      </c>
      <c r="L59" s="164" t="s">
        <v>461</v>
      </c>
      <c r="M59" s="164"/>
      <c r="N59" s="164" t="s">
        <v>5664</v>
      </c>
      <c r="O59" s="164"/>
      <c r="P59" s="173" t="s">
        <v>3325</v>
      </c>
      <c r="Q59" s="164" t="s">
        <v>3947</v>
      </c>
      <c r="R59" s="177" t="s">
        <v>2723</v>
      </c>
      <c r="S59" s="354" t="s">
        <v>2326</v>
      </c>
      <c r="T59" s="173" t="s">
        <v>2324</v>
      </c>
      <c r="U59" s="173" t="s">
        <v>2325</v>
      </c>
      <c r="V59" s="173"/>
      <c r="W59" s="313" t="s">
        <v>3323</v>
      </c>
      <c r="X59" s="645" t="s">
        <v>12318</v>
      </c>
      <c r="Y59" s="354"/>
      <c r="Z59" s="176"/>
      <c r="AA59" s="176"/>
      <c r="AB59" s="32">
        <f t="shared" ca="1" si="0"/>
        <v>0.251575892858796</v>
      </c>
      <c r="AC59" s="812"/>
      <c r="AD59" s="763"/>
      <c r="AE59" s="807"/>
      <c r="AF59" s="921">
        <f>IF(X59=X58,AF58,0)+IF(ISNUMBER(I59),IF(I59&lt;1,I59,I59*VLOOKUP(J59,Summary!$H$2:$I$9,2)),VLOOKUP(J59,Summary!$J$2:$K$9,2)*IF(ISNUMBER(H59),H59,1))</f>
        <v>0.67534722222222232</v>
      </c>
      <c r="AG59" s="289">
        <v>58</v>
      </c>
      <c r="AH59" s="94"/>
      <c r="AI59" s="94"/>
    </row>
    <row r="60" spans="1:35" s="22" customFormat="1" ht="12" customHeight="1" x14ac:dyDescent="0.25">
      <c r="A60" s="413">
        <v>1</v>
      </c>
      <c r="B60" s="413">
        <v>1</v>
      </c>
      <c r="C60" s="414">
        <v>25.04</v>
      </c>
      <c r="D60" s="176" t="s">
        <v>3326</v>
      </c>
      <c r="E60" s="313" t="s">
        <v>3327</v>
      </c>
      <c r="F60" s="174">
        <v>39417</v>
      </c>
      <c r="G60" s="174"/>
      <c r="H60" s="176">
        <v>1</v>
      </c>
      <c r="I60" s="176">
        <v>14</v>
      </c>
      <c r="J60" s="900" t="s">
        <v>2755</v>
      </c>
      <c r="K60" s="164" t="s">
        <v>5016</v>
      </c>
      <c r="L60" s="164" t="s">
        <v>461</v>
      </c>
      <c r="M60" s="164"/>
      <c r="N60" s="164" t="s">
        <v>5146</v>
      </c>
      <c r="O60" s="164"/>
      <c r="P60" s="173" t="s">
        <v>6701</v>
      </c>
      <c r="Q60" s="164" t="s">
        <v>3947</v>
      </c>
      <c r="R60" s="177" t="s">
        <v>2723</v>
      </c>
      <c r="S60" s="354" t="s">
        <v>2326</v>
      </c>
      <c r="T60" s="173" t="s">
        <v>2324</v>
      </c>
      <c r="U60" s="173" t="s">
        <v>2325</v>
      </c>
      <c r="V60" s="173"/>
      <c r="W60" s="313" t="s">
        <v>3327</v>
      </c>
      <c r="X60" s="645" t="s">
        <v>12318</v>
      </c>
      <c r="Y60" s="354"/>
      <c r="Z60" s="176"/>
      <c r="AA60" s="176"/>
      <c r="AB60" s="32">
        <f t="shared" ca="1" si="0"/>
        <v>8.4182082819050374E-2</v>
      </c>
      <c r="AC60" s="812"/>
      <c r="AD60" s="763" t="s">
        <v>14586</v>
      </c>
      <c r="AE60" s="807" t="s">
        <v>12543</v>
      </c>
      <c r="AF60" s="921">
        <f>IF(X60=X59,AF59,0)+IF(ISNUMBER(I60),IF(I60&lt;1,I60,I60*VLOOKUP(J60,Summary!$H$2:$I$9,2)),VLOOKUP(J60,Summary!$J$2:$K$9,2)*IF(ISNUMBER(H60),H60,1))</f>
        <v>0.68506944444444451</v>
      </c>
      <c r="AG60" s="289">
        <v>59</v>
      </c>
      <c r="AH60" s="94"/>
      <c r="AI60" s="94"/>
    </row>
    <row r="61" spans="1:35" s="22" customFormat="1" ht="12" customHeight="1" x14ac:dyDescent="0.25">
      <c r="A61" s="423">
        <v>1</v>
      </c>
      <c r="B61" s="423">
        <v>1</v>
      </c>
      <c r="C61" s="423">
        <v>5</v>
      </c>
      <c r="D61" s="424" t="s">
        <v>1037</v>
      </c>
      <c r="E61" s="319" t="s">
        <v>1038</v>
      </c>
      <c r="F61" s="198">
        <v>23478</v>
      </c>
      <c r="G61" s="198">
        <v>23513</v>
      </c>
      <c r="H61" s="199">
        <v>6</v>
      </c>
      <c r="I61" s="791">
        <f>TIME(0,23,20)+TIME(0,25,37)+TIME(0,23,45)+TIME(0,24,54)+TIME(0,25, 3)+TIME(0,25,11)</f>
        <v>0.10266203703703702</v>
      </c>
      <c r="J61" s="904" t="s">
        <v>1588</v>
      </c>
      <c r="K61" s="200" t="s">
        <v>6148</v>
      </c>
      <c r="L61" s="200" t="s">
        <v>5284</v>
      </c>
      <c r="M61" s="200"/>
      <c r="N61" s="200" t="s">
        <v>6145</v>
      </c>
      <c r="O61" s="200" t="s">
        <v>6144</v>
      </c>
      <c r="P61" s="197" t="s">
        <v>461</v>
      </c>
      <c r="Q61" s="200" t="s">
        <v>3946</v>
      </c>
      <c r="R61" s="201" t="s">
        <v>5280</v>
      </c>
      <c r="S61" s="390" t="s">
        <v>2326</v>
      </c>
      <c r="T61" s="197" t="s">
        <v>2324</v>
      </c>
      <c r="U61" s="197" t="s">
        <v>2325</v>
      </c>
      <c r="V61" s="197"/>
      <c r="W61" s="318" t="s">
        <v>8405</v>
      </c>
      <c r="X61" s="650" t="s">
        <v>12318</v>
      </c>
      <c r="Y61" s="358" t="s">
        <v>6141</v>
      </c>
      <c r="Z61" s="253">
        <v>119</v>
      </c>
      <c r="AA61" s="253">
        <v>6.5</v>
      </c>
      <c r="AB61" s="35">
        <f t="shared" ca="1" si="0"/>
        <v>2.2035145567243064E-2</v>
      </c>
      <c r="AC61" s="820"/>
      <c r="AD61" s="824" t="s">
        <v>15095</v>
      </c>
      <c r="AE61" s="944" t="s">
        <v>3365</v>
      </c>
      <c r="AF61" s="925">
        <f>IF(X61=X60,AF60,0)+IF(ISNUMBER(I61),IF(I61&lt;1,I61,I61*VLOOKUP(J61,Summary!$H$2:$I$9,2)),VLOOKUP(J61,Summary!$J$2:$K$9,2)*IF(ISNUMBER(H61),H61,1))</f>
        <v>0.78773148148148153</v>
      </c>
      <c r="AG61" s="293">
        <v>60</v>
      </c>
      <c r="AH61" s="94"/>
      <c r="AI61" s="94"/>
    </row>
    <row r="62" spans="1:35" s="1" customFormat="1" ht="12" customHeight="1" x14ac:dyDescent="0.25">
      <c r="A62" s="408">
        <v>1</v>
      </c>
      <c r="B62" s="408" t="s">
        <v>2650</v>
      </c>
      <c r="C62" s="408">
        <v>3</v>
      </c>
      <c r="D62" s="176" t="s">
        <v>890</v>
      </c>
      <c r="E62" s="313" t="s">
        <v>9989</v>
      </c>
      <c r="F62" s="174">
        <v>36100</v>
      </c>
      <c r="G62" s="175"/>
      <c r="H62" s="176" t="s">
        <v>461</v>
      </c>
      <c r="I62" s="176"/>
      <c r="J62" s="900" t="s">
        <v>2755</v>
      </c>
      <c r="K62" s="164" t="s">
        <v>896</v>
      </c>
      <c r="L62" s="164"/>
      <c r="M62" s="164"/>
      <c r="N62" s="164" t="s">
        <v>819</v>
      </c>
      <c r="O62" s="164"/>
      <c r="P62" s="178" t="s">
        <v>461</v>
      </c>
      <c r="Q62" s="164" t="s">
        <v>820</v>
      </c>
      <c r="R62" s="177" t="s">
        <v>895</v>
      </c>
      <c r="S62" s="354"/>
      <c r="T62" s="173"/>
      <c r="U62" s="173"/>
      <c r="V62" s="173"/>
      <c r="W62" s="313" t="s">
        <v>9989</v>
      </c>
      <c r="X62" s="645" t="s">
        <v>12318</v>
      </c>
      <c r="Y62" s="354"/>
      <c r="Z62" s="176"/>
      <c r="AA62" s="176"/>
      <c r="AB62" s="32">
        <f t="shared" ca="1" si="0"/>
        <v>4.8780917707667126E-2</v>
      </c>
      <c r="AC62" s="812"/>
      <c r="AD62" s="763"/>
      <c r="AE62" s="807"/>
      <c r="AF62" s="921">
        <f>IF(X62=X61,AF61,0)+IF(ISNUMBER(I62),IF(I62&lt;1,I62,I62*VLOOKUP(J62,Summary!$H$2:$I$9,2)),VLOOKUP(J62,Summary!$J$2:$K$9,2)*IF(ISNUMBER(H62),H62,1))</f>
        <v>0.80509259259259269</v>
      </c>
      <c r="AG62" s="289">
        <v>61</v>
      </c>
      <c r="AH62" s="94"/>
      <c r="AI62" s="94"/>
    </row>
    <row r="63" spans="1:35" s="2" customFormat="1" ht="12" customHeight="1" x14ac:dyDescent="0.25">
      <c r="A63" s="412">
        <v>1</v>
      </c>
      <c r="B63" s="412">
        <v>1</v>
      </c>
      <c r="C63" s="412">
        <v>2.15</v>
      </c>
      <c r="D63" s="407" t="s">
        <v>4746</v>
      </c>
      <c r="E63" s="315" t="s">
        <v>174</v>
      </c>
      <c r="F63" s="169">
        <v>40483</v>
      </c>
      <c r="G63" s="170"/>
      <c r="H63" s="170">
        <v>1</v>
      </c>
      <c r="I63" s="746">
        <f>TIME(1,7,40)</f>
        <v>4.6990740740740743E-2</v>
      </c>
      <c r="J63" s="899" t="s">
        <v>4706</v>
      </c>
      <c r="K63" s="167" t="s">
        <v>4744</v>
      </c>
      <c r="L63" s="167" t="s">
        <v>4745</v>
      </c>
      <c r="M63" s="167"/>
      <c r="N63" s="167"/>
      <c r="O63" s="167"/>
      <c r="P63" s="168" t="s">
        <v>8906</v>
      </c>
      <c r="Q63" s="167" t="s">
        <v>3947</v>
      </c>
      <c r="R63" s="172" t="s">
        <v>6992</v>
      </c>
      <c r="S63" s="388" t="s">
        <v>2326</v>
      </c>
      <c r="T63" s="168" t="s">
        <v>2324</v>
      </c>
      <c r="U63" s="168" t="s">
        <v>2325</v>
      </c>
      <c r="V63" s="168"/>
      <c r="W63" s="315" t="s">
        <v>174</v>
      </c>
      <c r="X63" s="647" t="s">
        <v>12318</v>
      </c>
      <c r="Y63" s="352" t="s">
        <v>5398</v>
      </c>
      <c r="Z63" s="353">
        <v>217</v>
      </c>
      <c r="AA63" s="353">
        <v>6</v>
      </c>
      <c r="AB63" s="31">
        <f t="shared" ca="1" si="0"/>
        <v>0.17660875927233188</v>
      </c>
      <c r="AC63" s="810"/>
      <c r="AD63" s="811"/>
      <c r="AE63" s="948"/>
      <c r="AF63" s="920">
        <f>IF(X63=X62,AF62,0)+IF(ISNUMBER(I63),IF(I63&lt;1,I63,I63*VLOOKUP(J63,Summary!$H$2:$I$9,2)),VLOOKUP(J63,Summary!$J$2:$K$9,2)*IF(ISNUMBER(H63),H63,1))</f>
        <v>0.85208333333333341</v>
      </c>
      <c r="AG63" s="287">
        <v>62</v>
      </c>
      <c r="AH63" s="94"/>
      <c r="AI63" s="94"/>
    </row>
    <row r="64" spans="1:35" s="22" customFormat="1" ht="12" customHeight="1" x14ac:dyDescent="0.2">
      <c r="A64" s="412">
        <v>1</v>
      </c>
      <c r="B64" s="412">
        <v>1</v>
      </c>
      <c r="C64" s="412">
        <v>2.1</v>
      </c>
      <c r="D64" s="407" t="s">
        <v>4747</v>
      </c>
      <c r="E64" s="315" t="s">
        <v>173</v>
      </c>
      <c r="F64" s="169">
        <v>40483</v>
      </c>
      <c r="G64" s="170"/>
      <c r="H64" s="170">
        <v>6</v>
      </c>
      <c r="I64" s="746">
        <f>TIME(1,6,39)+TIME(1,16,35)+TIME(1,18,46)</f>
        <v>0.15416666666666665</v>
      </c>
      <c r="J64" s="899" t="s">
        <v>4706</v>
      </c>
      <c r="K64" s="167" t="s">
        <v>4744</v>
      </c>
      <c r="L64" s="167" t="s">
        <v>4745</v>
      </c>
      <c r="M64" s="167"/>
      <c r="N64" s="167"/>
      <c r="O64" s="167"/>
      <c r="P64" s="168" t="s">
        <v>8906</v>
      </c>
      <c r="Q64" s="167" t="s">
        <v>3947</v>
      </c>
      <c r="R64" s="172" t="s">
        <v>6992</v>
      </c>
      <c r="S64" s="388" t="s">
        <v>2326</v>
      </c>
      <c r="T64" s="168" t="s">
        <v>2324</v>
      </c>
      <c r="U64" s="168" t="s">
        <v>2325</v>
      </c>
      <c r="V64" s="168"/>
      <c r="W64" s="312" t="s">
        <v>9626</v>
      </c>
      <c r="X64" s="644" t="s">
        <v>12318</v>
      </c>
      <c r="Y64" s="352" t="s">
        <v>5398</v>
      </c>
      <c r="Z64" s="353">
        <v>38</v>
      </c>
      <c r="AA64" s="353">
        <v>8.5</v>
      </c>
      <c r="AB64" s="31">
        <f t="shared" ca="1" si="0"/>
        <v>0.27032122637386224</v>
      </c>
      <c r="AC64" s="810"/>
      <c r="AD64" s="825" t="s">
        <v>15051</v>
      </c>
      <c r="AE64" s="940"/>
      <c r="AF64" s="920">
        <f>IF(X64=X63,AF63,0)+IF(ISNUMBER(I64),IF(I64&lt;1,I64,I64*VLOOKUP(J64,Summary!$H$2:$I$9,2)),VLOOKUP(J64,Summary!$J$2:$K$9,2)*IF(ISNUMBER(H64),H64,1))</f>
        <v>1.0062500000000001</v>
      </c>
      <c r="AG64" s="287">
        <v>63</v>
      </c>
      <c r="AH64" s="94"/>
      <c r="AI64" s="94"/>
    </row>
    <row r="65" spans="1:36" s="22" customFormat="1" ht="12" customHeight="1" x14ac:dyDescent="0.25">
      <c r="A65" s="416">
        <v>1</v>
      </c>
      <c r="B65" s="416">
        <v>1</v>
      </c>
      <c r="C65" s="416" t="s">
        <v>3365</v>
      </c>
      <c r="D65" s="417" t="s">
        <v>1770</v>
      </c>
      <c r="E65" s="316" t="s">
        <v>1771</v>
      </c>
      <c r="F65" s="187">
        <v>39569</v>
      </c>
      <c r="G65" s="188"/>
      <c r="H65" s="188" t="str">
        <f>IF(J65="Book","n/a","")</f>
        <v>n/a</v>
      </c>
      <c r="I65" s="188">
        <v>250</v>
      </c>
      <c r="J65" s="902" t="s">
        <v>6868</v>
      </c>
      <c r="K65" s="162" t="s">
        <v>1932</v>
      </c>
      <c r="L65" s="162" t="s">
        <v>1772</v>
      </c>
      <c r="M65" s="162"/>
      <c r="N65" s="162"/>
      <c r="O65" s="162"/>
      <c r="P65" s="178" t="s">
        <v>461</v>
      </c>
      <c r="Q65" s="162" t="s">
        <v>5999</v>
      </c>
      <c r="R65" s="189" t="s">
        <v>2717</v>
      </c>
      <c r="S65" s="366" t="s">
        <v>2326</v>
      </c>
      <c r="T65" s="178" t="s">
        <v>2324</v>
      </c>
      <c r="U65" s="178" t="s">
        <v>2325</v>
      </c>
      <c r="V65" s="178"/>
      <c r="W65" s="316" t="s">
        <v>1771</v>
      </c>
      <c r="X65" s="648" t="s">
        <v>12318</v>
      </c>
      <c r="Y65" s="356" t="s">
        <v>6000</v>
      </c>
      <c r="Z65" s="272">
        <v>99</v>
      </c>
      <c r="AA65" s="272">
        <v>5</v>
      </c>
      <c r="AB65" s="34">
        <f t="shared" ca="1" si="0"/>
        <v>0.53175905918163824</v>
      </c>
      <c r="AC65" s="814"/>
      <c r="AD65" s="815" t="s">
        <v>461</v>
      </c>
      <c r="AE65" s="942"/>
      <c r="AF65" s="923">
        <f>IF(X65=X64,AF64,0)+IF(ISNUMBER(I65),IF(I65&lt;1,I65,I65*VLOOKUP(J65,Summary!$H$2:$I$9,2)),VLOOKUP(J65,Summary!$J$2:$K$9,2)*IF(ISNUMBER(H65),H65,1))</f>
        <v>1.1798611111111112</v>
      </c>
      <c r="AG65" s="291">
        <v>64</v>
      </c>
      <c r="AH65" s="94"/>
      <c r="AI65" s="94"/>
    </row>
    <row r="66" spans="1:36" s="57" customFormat="1" ht="12" customHeight="1" x14ac:dyDescent="0.25">
      <c r="A66" s="412">
        <v>1</v>
      </c>
      <c r="B66" s="412">
        <v>1</v>
      </c>
      <c r="C66" s="412">
        <v>3.7</v>
      </c>
      <c r="D66" s="407" t="s">
        <v>4748</v>
      </c>
      <c r="E66" s="315" t="s">
        <v>4742</v>
      </c>
      <c r="F66" s="169">
        <v>41122</v>
      </c>
      <c r="G66" s="170"/>
      <c r="H66" s="170">
        <v>6</v>
      </c>
      <c r="I66" s="746">
        <f>TIME(3,23,21)</f>
        <v>0.14121527777777779</v>
      </c>
      <c r="J66" s="899" t="s">
        <v>4706</v>
      </c>
      <c r="K66" s="167" t="s">
        <v>4743</v>
      </c>
      <c r="L66" s="167" t="s">
        <v>2313</v>
      </c>
      <c r="M66" s="167"/>
      <c r="N66" s="167"/>
      <c r="O66" s="167" t="s">
        <v>2500</v>
      </c>
      <c r="P66" s="168" t="s">
        <v>8904</v>
      </c>
      <c r="Q66" s="167" t="s">
        <v>3947</v>
      </c>
      <c r="R66" s="172" t="s">
        <v>6992</v>
      </c>
      <c r="S66" s="388" t="s">
        <v>2326</v>
      </c>
      <c r="T66" s="168" t="s">
        <v>2324</v>
      </c>
      <c r="U66" s="168" t="s">
        <v>2325</v>
      </c>
      <c r="V66" s="168"/>
      <c r="W66" s="312" t="s">
        <v>8407</v>
      </c>
      <c r="X66" s="644" t="s">
        <v>12318</v>
      </c>
      <c r="Y66" s="352" t="s">
        <v>5398</v>
      </c>
      <c r="Z66" s="353">
        <v>651</v>
      </c>
      <c r="AA66" s="353">
        <v>3</v>
      </c>
      <c r="AB66" s="31">
        <f t="shared" ref="AB66:AB129" ca="1" si="1">RAND()</f>
        <v>0.86395468133454767</v>
      </c>
      <c r="AC66" s="810"/>
      <c r="AD66" s="811"/>
      <c r="AE66" s="940"/>
      <c r="AF66" s="920">
        <f>IF(X66=X65,AF65,0)+IF(ISNUMBER(I66),IF(I66&lt;1,I66,I66*VLOOKUP(J66,Summary!$H$2:$I$9,2)),VLOOKUP(J66,Summary!$J$2:$K$9,2)*IF(ISNUMBER(H66),H66,1))</f>
        <v>1.321076388888889</v>
      </c>
      <c r="AG66" s="287">
        <v>65</v>
      </c>
      <c r="AH66" s="94"/>
      <c r="AI66" s="94"/>
    </row>
    <row r="67" spans="1:36" s="29" customFormat="1" ht="12" customHeight="1" x14ac:dyDescent="0.25">
      <c r="A67" s="421">
        <v>1</v>
      </c>
      <c r="B67" s="421">
        <v>1</v>
      </c>
      <c r="C67" s="421">
        <v>2.11</v>
      </c>
      <c r="D67" s="428" t="s">
        <v>5721</v>
      </c>
      <c r="E67" s="325" t="s">
        <v>5722</v>
      </c>
      <c r="F67" s="183">
        <v>39661</v>
      </c>
      <c r="G67" s="183"/>
      <c r="H67" s="185">
        <v>1</v>
      </c>
      <c r="I67" s="185">
        <v>8</v>
      </c>
      <c r="J67" s="901" t="s">
        <v>1796</v>
      </c>
      <c r="K67" s="163" t="s">
        <v>3303</v>
      </c>
      <c r="L67" s="163" t="s">
        <v>6569</v>
      </c>
      <c r="M67" s="158"/>
      <c r="N67" s="158" t="s">
        <v>6568</v>
      </c>
      <c r="O67" s="158"/>
      <c r="P67" s="182" t="s">
        <v>461</v>
      </c>
      <c r="Q67" s="158" t="s">
        <v>5719</v>
      </c>
      <c r="R67" s="207" t="s">
        <v>5718</v>
      </c>
      <c r="S67" s="355" t="s">
        <v>2326</v>
      </c>
      <c r="T67" s="182" t="s">
        <v>2324</v>
      </c>
      <c r="U67" s="182" t="s">
        <v>2325</v>
      </c>
      <c r="V67" s="182"/>
      <c r="W67" s="321"/>
      <c r="X67" s="653" t="s">
        <v>12318</v>
      </c>
      <c r="Y67" s="355" t="s">
        <v>6000</v>
      </c>
      <c r="Z67" s="362">
        <v>999</v>
      </c>
      <c r="AA67" s="362">
        <v>3</v>
      </c>
      <c r="AB67" s="33">
        <f t="shared" ca="1" si="1"/>
        <v>0.40878825262458718</v>
      </c>
      <c r="AC67" s="813"/>
      <c r="AD67" s="826" t="s">
        <v>15040</v>
      </c>
      <c r="AE67" s="949" t="s">
        <v>12543</v>
      </c>
      <c r="AF67" s="922">
        <f>IF(X67=X66,AF66,0)+IF(ISNUMBER(I67),IF(I67&lt;1,I67,I67*VLOOKUP(J67,Summary!$H$2:$I$9,2)),VLOOKUP(J67,Summary!$J$2:$K$9,2)*IF(ISNUMBER(H67),H67,1))</f>
        <v>1.3238541666666668</v>
      </c>
      <c r="AG67" s="295">
        <v>66</v>
      </c>
      <c r="AH67" s="94"/>
      <c r="AI67" s="94"/>
    </row>
    <row r="68" spans="1:36" s="1" customFormat="1" ht="12" customHeight="1" x14ac:dyDescent="0.25">
      <c r="A68" s="412">
        <v>1</v>
      </c>
      <c r="B68" s="412">
        <v>1</v>
      </c>
      <c r="C68" s="429">
        <v>3.1</v>
      </c>
      <c r="D68" s="407" t="s">
        <v>11349</v>
      </c>
      <c r="E68" s="315" t="s">
        <v>11350</v>
      </c>
      <c r="F68" s="196">
        <v>42627</v>
      </c>
      <c r="G68" s="170"/>
      <c r="H68" s="170">
        <v>4</v>
      </c>
      <c r="I68" s="746">
        <f>TIME(2,7,13)</f>
        <v>8.8344907407407414E-2</v>
      </c>
      <c r="J68" s="899" t="s">
        <v>4706</v>
      </c>
      <c r="K68" s="167" t="s">
        <v>338</v>
      </c>
      <c r="L68" s="167" t="s">
        <v>2313</v>
      </c>
      <c r="M68" s="167"/>
      <c r="N68" s="167"/>
      <c r="O68" s="167"/>
      <c r="P68" s="168" t="s">
        <v>11351</v>
      </c>
      <c r="Q68" s="167" t="s">
        <v>3947</v>
      </c>
      <c r="R68" s="172" t="s">
        <v>8512</v>
      </c>
      <c r="S68" s="388" t="s">
        <v>2326</v>
      </c>
      <c r="T68" s="168" t="s">
        <v>2324</v>
      </c>
      <c r="U68" s="168" t="s">
        <v>2325</v>
      </c>
      <c r="V68" s="168"/>
      <c r="W68" s="312" t="s">
        <v>11352</v>
      </c>
      <c r="X68" s="644" t="s">
        <v>12318</v>
      </c>
      <c r="Y68" s="352" t="s">
        <v>5643</v>
      </c>
      <c r="Z68" s="353">
        <v>376</v>
      </c>
      <c r="AA68" s="353">
        <v>5</v>
      </c>
      <c r="AB68" s="31">
        <f t="shared" ca="1" si="1"/>
        <v>0.55530708253495076</v>
      </c>
      <c r="AC68" s="810"/>
      <c r="AD68" s="811"/>
      <c r="AE68" s="940"/>
      <c r="AF68" s="920">
        <f>IF(X68=X67,AF67,0)+IF(ISNUMBER(I68),IF(I68&lt;1,I68,I68*VLOOKUP(J68,Summary!$H$2:$I$9,2)),VLOOKUP(J68,Summary!$J$2:$K$9,2)*IF(ISNUMBER(H68),H68,1))</f>
        <v>1.4121990740740742</v>
      </c>
      <c r="AG68" s="287">
        <v>67</v>
      </c>
      <c r="AH68" s="94"/>
      <c r="AI68" s="94"/>
    </row>
    <row r="69" spans="1:36" s="22" customFormat="1" ht="12" customHeight="1" x14ac:dyDescent="0.2">
      <c r="A69" s="421">
        <v>1</v>
      </c>
      <c r="B69" s="421">
        <v>1</v>
      </c>
      <c r="C69" s="421">
        <v>0.01</v>
      </c>
      <c r="D69" s="185" t="s">
        <v>15375</v>
      </c>
      <c r="E69" s="314" t="s">
        <v>15372</v>
      </c>
      <c r="F69" s="184">
        <v>43369</v>
      </c>
      <c r="G69" s="184"/>
      <c r="H69" s="185">
        <v>1</v>
      </c>
      <c r="I69" s="185">
        <v>3</v>
      </c>
      <c r="J69" s="901" t="s">
        <v>1796</v>
      </c>
      <c r="K69" s="163" t="s">
        <v>2675</v>
      </c>
      <c r="L69" s="163" t="s">
        <v>3365</v>
      </c>
      <c r="M69" s="163" t="s">
        <v>3365</v>
      </c>
      <c r="N69" s="163"/>
      <c r="O69" s="163"/>
      <c r="P69" s="182" t="s">
        <v>461</v>
      </c>
      <c r="Q69" s="163" t="s">
        <v>7076</v>
      </c>
      <c r="R69" s="186" t="s">
        <v>15308</v>
      </c>
      <c r="S69" s="355" t="s">
        <v>2326</v>
      </c>
      <c r="T69" s="182" t="s">
        <v>2324</v>
      </c>
      <c r="U69" s="182" t="s">
        <v>2325</v>
      </c>
      <c r="V69" s="182"/>
      <c r="W69" s="314" t="s">
        <v>15372</v>
      </c>
      <c r="X69" s="646" t="s">
        <v>12318</v>
      </c>
      <c r="Y69" s="355"/>
      <c r="Z69" s="185"/>
      <c r="AA69" s="185"/>
      <c r="AB69" s="33">
        <f t="shared" ca="1" si="1"/>
        <v>3.7063907285912356E-2</v>
      </c>
      <c r="AC69" s="813"/>
      <c r="AD69" s="819"/>
      <c r="AE69" s="875"/>
      <c r="AF69" s="922">
        <f>IF(X69=X68,AF68,0)+IF(ISNUMBER(I69),IF(I69&lt;1,I69,I69*VLOOKUP(J69,Summary!$H$2:$I$9,2)),VLOOKUP(J69,Summary!$J$2:$K$9,2)*IF(ISNUMBER(H69),H69,1))</f>
        <v>1.4132407407407408</v>
      </c>
      <c r="AG69" s="290">
        <v>68</v>
      </c>
      <c r="AH69" s="94"/>
      <c r="AI69" s="94"/>
    </row>
    <row r="70" spans="1:36" s="22" customFormat="1" ht="12" customHeight="1" x14ac:dyDescent="0.25">
      <c r="A70" s="423">
        <v>1</v>
      </c>
      <c r="B70" s="423">
        <v>1</v>
      </c>
      <c r="C70" s="423">
        <v>6</v>
      </c>
      <c r="D70" s="424" t="s">
        <v>1039</v>
      </c>
      <c r="E70" s="319" t="s">
        <v>2523</v>
      </c>
      <c r="F70" s="198">
        <v>23520</v>
      </c>
      <c r="G70" s="198">
        <v>23541</v>
      </c>
      <c r="H70" s="199">
        <v>4</v>
      </c>
      <c r="I70" s="791">
        <f>TIME(0,23,56)+TIME(0,24,11)+TIME(0,25,27)+TIME(0,25,30)</f>
        <v>6.87962962962963E-2</v>
      </c>
      <c r="J70" s="904" t="s">
        <v>1588</v>
      </c>
      <c r="K70" s="200" t="s">
        <v>1035</v>
      </c>
      <c r="L70" s="200" t="s">
        <v>2524</v>
      </c>
      <c r="M70" s="200"/>
      <c r="N70" s="200" t="s">
        <v>6145</v>
      </c>
      <c r="O70" s="200" t="s">
        <v>6144</v>
      </c>
      <c r="P70" s="197" t="s">
        <v>461</v>
      </c>
      <c r="Q70" s="200" t="s">
        <v>3946</v>
      </c>
      <c r="R70" s="201" t="s">
        <v>5280</v>
      </c>
      <c r="S70" s="390" t="s">
        <v>2326</v>
      </c>
      <c r="T70" s="197" t="s">
        <v>2324</v>
      </c>
      <c r="U70" s="197" t="s">
        <v>2325</v>
      </c>
      <c r="V70" s="197"/>
      <c r="W70" s="318" t="s">
        <v>8406</v>
      </c>
      <c r="X70" s="650" t="s">
        <v>12318</v>
      </c>
      <c r="Y70" s="358" t="s">
        <v>6141</v>
      </c>
      <c r="Z70" s="253">
        <v>45</v>
      </c>
      <c r="AA70" s="253">
        <v>8.5</v>
      </c>
      <c r="AB70" s="35">
        <f t="shared" ca="1" si="1"/>
        <v>0.90948876090438358</v>
      </c>
      <c r="AC70" s="820"/>
      <c r="AD70" s="821" t="s">
        <v>15089</v>
      </c>
      <c r="AE70" s="944" t="s">
        <v>12543</v>
      </c>
      <c r="AF70" s="925">
        <f>IF(X70=X69,AF69,0)+IF(ISNUMBER(I70),IF(I70&lt;1,I70,I70*VLOOKUP(J70,Summary!$H$2:$I$9,2)),VLOOKUP(J70,Summary!$J$2:$K$9,2)*IF(ISNUMBER(H70),H70,1))</f>
        <v>1.482037037037037</v>
      </c>
      <c r="AG70" s="293">
        <v>69</v>
      </c>
      <c r="AH70" s="94"/>
      <c r="AI70" s="94"/>
    </row>
    <row r="71" spans="1:36" s="3" customFormat="1" ht="12" customHeight="1" x14ac:dyDescent="0.25">
      <c r="A71" s="413">
        <v>1</v>
      </c>
      <c r="B71" s="413">
        <v>1</v>
      </c>
      <c r="C71" s="414">
        <v>19.010000000000002</v>
      </c>
      <c r="D71" s="176" t="s">
        <v>5017</v>
      </c>
      <c r="E71" s="313" t="s">
        <v>5018</v>
      </c>
      <c r="F71" s="174">
        <v>38808</v>
      </c>
      <c r="G71" s="174"/>
      <c r="H71" s="176">
        <v>1</v>
      </c>
      <c r="I71" s="176">
        <v>14</v>
      </c>
      <c r="J71" s="900" t="s">
        <v>2755</v>
      </c>
      <c r="K71" s="164" t="s">
        <v>5019</v>
      </c>
      <c r="L71" s="164" t="s">
        <v>461</v>
      </c>
      <c r="M71" s="164"/>
      <c r="N71" s="164" t="s">
        <v>4552</v>
      </c>
      <c r="O71" s="164"/>
      <c r="P71" s="173" t="s">
        <v>5020</v>
      </c>
      <c r="Q71" s="164" t="s">
        <v>3947</v>
      </c>
      <c r="R71" s="177" t="s">
        <v>2723</v>
      </c>
      <c r="S71" s="354" t="s">
        <v>2326</v>
      </c>
      <c r="T71" s="173" t="s">
        <v>2324</v>
      </c>
      <c r="U71" s="173" t="s">
        <v>2325</v>
      </c>
      <c r="V71" s="173"/>
      <c r="W71" s="313" t="s">
        <v>5018</v>
      </c>
      <c r="X71" s="645" t="s">
        <v>12318</v>
      </c>
      <c r="Y71" s="354"/>
      <c r="Z71" s="157">
        <v>6</v>
      </c>
      <c r="AA71" s="176">
        <v>9</v>
      </c>
      <c r="AB71" s="32">
        <f t="shared" ca="1" si="1"/>
        <v>3.142964786550706E-2</v>
      </c>
      <c r="AC71" s="812"/>
      <c r="AD71" s="763" t="s">
        <v>14582</v>
      </c>
      <c r="AE71" s="807"/>
      <c r="AF71" s="921">
        <f>IF(X71=X70,AF70,0)+IF(ISNUMBER(I71),IF(I71&lt;1,I71,I71*VLOOKUP(J71,Summary!$H$2:$I$9,2)),VLOOKUP(J71,Summary!$J$2:$K$9,2)*IF(ISNUMBER(H71),H71,1))</f>
        <v>1.4917592592592592</v>
      </c>
      <c r="AG71" s="289">
        <v>70</v>
      </c>
      <c r="AH71" s="94"/>
      <c r="AI71" s="94"/>
    </row>
    <row r="72" spans="1:36" s="43" customFormat="1" ht="12" customHeight="1" x14ac:dyDescent="0.25">
      <c r="A72" s="413">
        <v>1</v>
      </c>
      <c r="B72" s="413">
        <v>1</v>
      </c>
      <c r="C72" s="414">
        <v>23.02</v>
      </c>
      <c r="D72" s="176" t="s">
        <v>5021</v>
      </c>
      <c r="E72" s="313" t="s">
        <v>5022</v>
      </c>
      <c r="F72" s="174">
        <v>39234</v>
      </c>
      <c r="G72" s="174"/>
      <c r="H72" s="176">
        <v>1</v>
      </c>
      <c r="I72" s="176">
        <v>11</v>
      </c>
      <c r="J72" s="900" t="s">
        <v>2755</v>
      </c>
      <c r="K72" s="164" t="s">
        <v>5023</v>
      </c>
      <c r="L72" s="164" t="s">
        <v>461</v>
      </c>
      <c r="M72" s="164"/>
      <c r="N72" s="164" t="s">
        <v>804</v>
      </c>
      <c r="O72" s="164"/>
      <c r="P72" s="173" t="s">
        <v>6700</v>
      </c>
      <c r="Q72" s="164" t="s">
        <v>3947</v>
      </c>
      <c r="R72" s="177" t="s">
        <v>2723</v>
      </c>
      <c r="S72" s="354"/>
      <c r="T72" s="173" t="s">
        <v>2324</v>
      </c>
      <c r="U72" s="173"/>
      <c r="V72" s="173"/>
      <c r="W72" s="313" t="s">
        <v>5022</v>
      </c>
      <c r="X72" s="645" t="s">
        <v>12318</v>
      </c>
      <c r="Y72" s="354"/>
      <c r="Z72" s="176">
        <v>999</v>
      </c>
      <c r="AA72" s="176"/>
      <c r="AB72" s="32">
        <f t="shared" ca="1" si="1"/>
        <v>0.73274168409501539</v>
      </c>
      <c r="AC72" s="812"/>
      <c r="AD72" s="763" t="s">
        <v>16814</v>
      </c>
      <c r="AE72" s="807"/>
      <c r="AF72" s="921">
        <f>IF(X72=X71,AF71,0)+IF(ISNUMBER(I72),IF(I72&lt;1,I72,I72*VLOOKUP(J72,Summary!$H$2:$I$9,2)),VLOOKUP(J72,Summary!$J$2:$K$9,2)*IF(ISNUMBER(H72),H72,1))</f>
        <v>1.4993981481481482</v>
      </c>
      <c r="AG72" s="289">
        <v>71</v>
      </c>
      <c r="AH72" s="94"/>
      <c r="AI72" s="94"/>
    </row>
    <row r="73" spans="1:36" s="22" customFormat="1" ht="12" customHeight="1" x14ac:dyDescent="0.25">
      <c r="A73" s="423">
        <v>1</v>
      </c>
      <c r="B73" s="423">
        <v>1</v>
      </c>
      <c r="C73" s="423">
        <v>7</v>
      </c>
      <c r="D73" s="424" t="s">
        <v>2525</v>
      </c>
      <c r="E73" s="319" t="s">
        <v>2526</v>
      </c>
      <c r="F73" s="198">
        <v>23548</v>
      </c>
      <c r="G73" s="198">
        <v>23590</v>
      </c>
      <c r="H73" s="199">
        <v>6</v>
      </c>
      <c r="I73" s="791">
        <f>TIME(0,24,26)+TIME(0,24,44)+TIME(0,24,53)+TIME(0,24,49)+TIME(0,25,47)+TIME(0,24,49)</f>
        <v>0.1037962962962963</v>
      </c>
      <c r="J73" s="904" t="s">
        <v>1588</v>
      </c>
      <c r="K73" s="200" t="s">
        <v>2527</v>
      </c>
      <c r="L73" s="200" t="s">
        <v>2528</v>
      </c>
      <c r="M73" s="200"/>
      <c r="N73" s="200" t="s">
        <v>6145</v>
      </c>
      <c r="O73" s="200" t="s">
        <v>6144</v>
      </c>
      <c r="P73" s="197" t="s">
        <v>461</v>
      </c>
      <c r="Q73" s="200" t="s">
        <v>3946</v>
      </c>
      <c r="R73" s="201" t="s">
        <v>5280</v>
      </c>
      <c r="S73" s="390" t="s">
        <v>2326</v>
      </c>
      <c r="T73" s="197" t="s">
        <v>2324</v>
      </c>
      <c r="U73" s="197" t="s">
        <v>2325</v>
      </c>
      <c r="V73" s="197"/>
      <c r="W73" s="318" t="s">
        <v>8408</v>
      </c>
      <c r="X73" s="650" t="s">
        <v>12318</v>
      </c>
      <c r="Y73" s="358" t="s">
        <v>6141</v>
      </c>
      <c r="Z73" s="253">
        <v>255</v>
      </c>
      <c r="AA73" s="253">
        <v>3</v>
      </c>
      <c r="AB73" s="35">
        <f t="shared" ca="1" si="1"/>
        <v>0.49438641914295622</v>
      </c>
      <c r="AC73" s="820"/>
      <c r="AD73" s="821" t="s">
        <v>16310</v>
      </c>
      <c r="AE73" s="944" t="s">
        <v>12543</v>
      </c>
      <c r="AF73" s="925">
        <f>IF(X73=X72,AF72,0)+IF(ISNUMBER(I73),IF(I73&lt;1,I73,I73*VLOOKUP(J73,Summary!$H$2:$I$9,2)),VLOOKUP(J73,Summary!$J$2:$K$9,2)*IF(ISNUMBER(H73),H73,1))</f>
        <v>1.6031944444444446</v>
      </c>
      <c r="AG73" s="293">
        <v>72</v>
      </c>
      <c r="AH73" s="94"/>
      <c r="AI73" s="94"/>
    </row>
    <row r="74" spans="1:36" s="22" customFormat="1" ht="12" customHeight="1" x14ac:dyDescent="0.2">
      <c r="A74" s="412">
        <v>1</v>
      </c>
      <c r="B74" s="412">
        <v>1</v>
      </c>
      <c r="C74" s="415">
        <v>3.07</v>
      </c>
      <c r="D74" s="407" t="s">
        <v>3142</v>
      </c>
      <c r="E74" s="315" t="s">
        <v>2529</v>
      </c>
      <c r="F74" s="169">
        <v>39814</v>
      </c>
      <c r="G74" s="170"/>
      <c r="H74" s="170">
        <v>2</v>
      </c>
      <c r="I74" s="746">
        <f>TIME(1,9,22)</f>
        <v>4.8171296296296295E-2</v>
      </c>
      <c r="J74" s="899" t="s">
        <v>4706</v>
      </c>
      <c r="K74" s="167" t="s">
        <v>4552</v>
      </c>
      <c r="L74" s="167" t="s">
        <v>7757</v>
      </c>
      <c r="M74" s="167" t="s">
        <v>8040</v>
      </c>
      <c r="N74" s="167"/>
      <c r="O74" s="167"/>
      <c r="P74" s="168" t="s">
        <v>7983</v>
      </c>
      <c r="Q74" s="167" t="s">
        <v>3947</v>
      </c>
      <c r="R74" s="172" t="s">
        <v>3153</v>
      </c>
      <c r="S74" s="388" t="s">
        <v>2326</v>
      </c>
      <c r="T74" s="168" t="s">
        <v>2324</v>
      </c>
      <c r="U74" s="168" t="s">
        <v>2325</v>
      </c>
      <c r="V74" s="168"/>
      <c r="W74" s="312" t="s">
        <v>8409</v>
      </c>
      <c r="X74" s="644" t="s">
        <v>12318</v>
      </c>
      <c r="Y74" s="352" t="s">
        <v>5398</v>
      </c>
      <c r="Z74" s="353">
        <v>186</v>
      </c>
      <c r="AA74" s="353">
        <v>6</v>
      </c>
      <c r="AB74" s="31">
        <f t="shared" ca="1" si="1"/>
        <v>1.310591244958681E-2</v>
      </c>
      <c r="AC74" s="810"/>
      <c r="AD74" s="811" t="s">
        <v>16538</v>
      </c>
      <c r="AE74" s="940"/>
      <c r="AF74" s="920">
        <f>IF(X74=X73,AF73,0)+IF(ISNUMBER(I74),IF(I74&lt;1,I74,I74*VLOOKUP(J74,Summary!$H$2:$I$9,2)),VLOOKUP(J74,Summary!$J$2:$K$9,2)*IF(ISNUMBER(H74),H74,1))</f>
        <v>1.6513657407407409</v>
      </c>
      <c r="AG74" s="287">
        <v>73</v>
      </c>
      <c r="AH74" s="94"/>
      <c r="AI74" s="94"/>
    </row>
    <row r="75" spans="1:36" s="2" customFormat="1" ht="12" customHeight="1" x14ac:dyDescent="0.25">
      <c r="A75" s="425">
        <v>1</v>
      </c>
      <c r="B75" s="425">
        <v>1</v>
      </c>
      <c r="C75" s="425">
        <v>8</v>
      </c>
      <c r="D75" s="426" t="s">
        <v>2530</v>
      </c>
      <c r="E75" s="427" t="s">
        <v>2531</v>
      </c>
      <c r="F75" s="203">
        <v>23597</v>
      </c>
      <c r="G75" s="203">
        <v>23632</v>
      </c>
      <c r="H75" s="204">
        <v>6</v>
      </c>
      <c r="I75" s="791">
        <f>TIME(0,24,24)+TIME(0,24, 4)+TIME(0,25,23)+TIME(0,24,26)+TIME(0,23,51)+TIME(0,25, 4)</f>
        <v>0.10222222222222221</v>
      </c>
      <c r="J75" s="905" t="s">
        <v>1588</v>
      </c>
      <c r="K75" s="205" t="s">
        <v>4444</v>
      </c>
      <c r="L75" s="205" t="s">
        <v>4445</v>
      </c>
      <c r="M75" s="205"/>
      <c r="N75" s="205" t="s">
        <v>6145</v>
      </c>
      <c r="O75" s="205" t="s">
        <v>6144</v>
      </c>
      <c r="P75" s="202" t="s">
        <v>461</v>
      </c>
      <c r="Q75" s="205" t="s">
        <v>3946</v>
      </c>
      <c r="R75" s="206" t="s">
        <v>5280</v>
      </c>
      <c r="S75" s="391" t="s">
        <v>2326</v>
      </c>
      <c r="T75" s="202" t="s">
        <v>2324</v>
      </c>
      <c r="U75" s="202" t="s">
        <v>2325</v>
      </c>
      <c r="V75" s="202"/>
      <c r="W75" s="320" t="s">
        <v>9589</v>
      </c>
      <c r="X75" s="652" t="s">
        <v>12318</v>
      </c>
      <c r="Y75" s="359" t="s">
        <v>6141</v>
      </c>
      <c r="Z75" s="360">
        <v>179</v>
      </c>
      <c r="AA75" s="360">
        <v>5</v>
      </c>
      <c r="AB75" s="36">
        <f t="shared" ca="1" si="1"/>
        <v>0.70628232925263668</v>
      </c>
      <c r="AC75" s="822"/>
      <c r="AD75" s="823" t="s">
        <v>16546</v>
      </c>
      <c r="AE75" s="947" t="s">
        <v>9590</v>
      </c>
      <c r="AF75" s="926">
        <f>IF(X75=X74,AF74,0)+IF(ISNUMBER(I75),IF(I75&lt;1,I75,I75*VLOOKUP(J75,Summary!$H$2:$I$9,2)),VLOOKUP(J75,Summary!$J$2:$K$9,2)*IF(ISNUMBER(H75),H75,1))</f>
        <v>1.7535879629629632</v>
      </c>
      <c r="AG75" s="294">
        <v>74</v>
      </c>
      <c r="AH75" s="94"/>
      <c r="AI75" s="94"/>
      <c r="AJ75" s="1"/>
    </row>
    <row r="76" spans="1:36" s="22" customFormat="1" ht="12" customHeight="1" x14ac:dyDescent="0.25">
      <c r="A76" s="413" t="s">
        <v>14565</v>
      </c>
      <c r="B76" s="413">
        <v>1</v>
      </c>
      <c r="C76" s="414">
        <v>1.01</v>
      </c>
      <c r="D76" s="192" t="s">
        <v>1655</v>
      </c>
      <c r="E76" s="317" t="s">
        <v>3425</v>
      </c>
      <c r="F76" s="191">
        <v>40483</v>
      </c>
      <c r="G76" s="191"/>
      <c r="H76" s="192">
        <v>1</v>
      </c>
      <c r="I76" s="753">
        <f>TIME(0,26,22)</f>
        <v>1.8310185185185186E-2</v>
      </c>
      <c r="J76" s="903" t="s">
        <v>2755</v>
      </c>
      <c r="K76" s="194" t="s">
        <v>2310</v>
      </c>
      <c r="L76" s="194" t="s">
        <v>3426</v>
      </c>
      <c r="M76" s="194" t="s">
        <v>3427</v>
      </c>
      <c r="N76" s="194"/>
      <c r="O76" s="194"/>
      <c r="P76" s="190" t="s">
        <v>5599</v>
      </c>
      <c r="Q76" s="194" t="s">
        <v>3947</v>
      </c>
      <c r="R76" s="193" t="s">
        <v>2722</v>
      </c>
      <c r="S76" s="357"/>
      <c r="T76" s="190" t="s">
        <v>2324</v>
      </c>
      <c r="U76" s="190"/>
      <c r="V76" s="190"/>
      <c r="W76" s="317" t="s">
        <v>3425</v>
      </c>
      <c r="X76" s="649" t="s">
        <v>15420</v>
      </c>
      <c r="Y76" s="357" t="s">
        <v>5643</v>
      </c>
      <c r="Z76" s="159">
        <v>4</v>
      </c>
      <c r="AA76" s="192">
        <v>9.5</v>
      </c>
      <c r="AB76" s="37">
        <f t="shared" ca="1" si="1"/>
        <v>0.23251446782438934</v>
      </c>
      <c r="AC76" s="816"/>
      <c r="AD76" s="817"/>
      <c r="AE76" s="943"/>
      <c r="AF76" s="924">
        <f>IF(X76=X75,AF75,0)+IF(ISNUMBER(I76),IF(I76&lt;1,I76,I76*VLOOKUP(J76,Summary!$H$2:$I$9,2)),VLOOKUP(J76,Summary!$J$2:$K$9,2)*IF(ISNUMBER(H76),H76,1))</f>
        <v>1.8310185185185186E-2</v>
      </c>
      <c r="AG76" s="292">
        <v>75</v>
      </c>
      <c r="AH76" s="94"/>
      <c r="AI76" s="94"/>
    </row>
    <row r="77" spans="1:36" s="43" customFormat="1" ht="12" customHeight="1" x14ac:dyDescent="0.25">
      <c r="A77" s="412" t="s">
        <v>14565</v>
      </c>
      <c r="B77" s="412">
        <v>1</v>
      </c>
      <c r="C77" s="415">
        <v>7.1</v>
      </c>
      <c r="D77" s="407" t="s">
        <v>2585</v>
      </c>
      <c r="E77" s="315" t="s">
        <v>2587</v>
      </c>
      <c r="F77" s="169">
        <v>41365</v>
      </c>
      <c r="G77" s="170"/>
      <c r="H77" s="170">
        <v>2</v>
      </c>
      <c r="I77" s="746">
        <f>TIME(1,1,47)</f>
        <v>4.2905092592592592E-2</v>
      </c>
      <c r="J77" s="899" t="s">
        <v>4706</v>
      </c>
      <c r="K77" s="167" t="s">
        <v>5664</v>
      </c>
      <c r="L77" s="167" t="s">
        <v>5662</v>
      </c>
      <c r="M77" s="167" t="s">
        <v>2589</v>
      </c>
      <c r="N77" s="167"/>
      <c r="O77" s="167"/>
      <c r="P77" s="168" t="s">
        <v>2590</v>
      </c>
      <c r="Q77" s="167" t="s">
        <v>3947</v>
      </c>
      <c r="R77" s="172" t="s">
        <v>3153</v>
      </c>
      <c r="S77" s="388" t="s">
        <v>2326</v>
      </c>
      <c r="T77" s="168" t="s">
        <v>2324</v>
      </c>
      <c r="U77" s="168" t="s">
        <v>2325</v>
      </c>
      <c r="V77" s="168"/>
      <c r="W77" s="312" t="s">
        <v>8502</v>
      </c>
      <c r="X77" s="644" t="s">
        <v>15420</v>
      </c>
      <c r="Y77" s="352" t="s">
        <v>5643</v>
      </c>
      <c r="Z77" s="353">
        <v>19</v>
      </c>
      <c r="AA77" s="353">
        <v>9.5</v>
      </c>
      <c r="AB77" s="31">
        <f t="shared" ca="1" si="1"/>
        <v>0.27051292874005384</v>
      </c>
      <c r="AC77" s="810"/>
      <c r="AD77" s="811" t="s">
        <v>16815</v>
      </c>
      <c r="AE77" s="940" t="s">
        <v>12543</v>
      </c>
      <c r="AF77" s="920">
        <f>IF(X77=X76,AF76,0)+IF(ISNUMBER(I77),IF(I77&lt;1,I77,I77*VLOOKUP(J77,Summary!$H$2:$I$9,2)),VLOOKUP(J77,Summary!$J$2:$K$9,2)*IF(ISNUMBER(H77),H77,1))</f>
        <v>6.1215277777777778E-2</v>
      </c>
      <c r="AG77" s="287">
        <v>76</v>
      </c>
      <c r="AH77" s="94"/>
      <c r="AI77" s="94"/>
    </row>
    <row r="78" spans="1:36" s="43" customFormat="1" ht="12" customHeight="1" x14ac:dyDescent="0.25">
      <c r="A78" s="418" t="s">
        <v>14565</v>
      </c>
      <c r="B78" s="418">
        <v>1</v>
      </c>
      <c r="C78" s="419">
        <v>4.01</v>
      </c>
      <c r="D78" s="192" t="s">
        <v>5169</v>
      </c>
      <c r="E78" s="317" t="s">
        <v>418</v>
      </c>
      <c r="F78" s="209">
        <v>40786</v>
      </c>
      <c r="G78" s="191"/>
      <c r="H78" s="192">
        <v>1</v>
      </c>
      <c r="I78" s="753">
        <f>TIME(0,25, 2)</f>
        <v>1.7384259259259262E-2</v>
      </c>
      <c r="J78" s="903" t="s">
        <v>2755</v>
      </c>
      <c r="K78" s="194" t="s">
        <v>2675</v>
      </c>
      <c r="L78" s="194" t="s">
        <v>3426</v>
      </c>
      <c r="M78" s="194" t="s">
        <v>3427</v>
      </c>
      <c r="N78" s="194"/>
      <c r="O78" s="194"/>
      <c r="P78" s="190" t="s">
        <v>5598</v>
      </c>
      <c r="Q78" s="194" t="s">
        <v>3947</v>
      </c>
      <c r="R78" s="193" t="s">
        <v>2722</v>
      </c>
      <c r="S78" s="357"/>
      <c r="T78" s="190"/>
      <c r="U78" s="190"/>
      <c r="V78" s="190"/>
      <c r="W78" s="317" t="s">
        <v>418</v>
      </c>
      <c r="X78" s="649" t="s">
        <v>15420</v>
      </c>
      <c r="Y78" s="357" t="s">
        <v>5643</v>
      </c>
      <c r="Z78" s="159">
        <v>50</v>
      </c>
      <c r="AA78" s="192">
        <v>3.5</v>
      </c>
      <c r="AB78" s="37">
        <f t="shared" ca="1" si="1"/>
        <v>0.12269515662811481</v>
      </c>
      <c r="AC78" s="816"/>
      <c r="AD78" s="817"/>
      <c r="AE78" s="943"/>
      <c r="AF78" s="924">
        <f>IF(X78=X77,AF77,0)+IF(ISNUMBER(I78),IF(I78&lt;1,I78,I78*VLOOKUP(J78,Summary!$H$2:$I$9,2)),VLOOKUP(J78,Summary!$J$2:$K$9,2)*IF(ISNUMBER(H78),H78,1))</f>
        <v>7.8599537037037037E-2</v>
      </c>
      <c r="AG78" s="292">
        <v>77</v>
      </c>
      <c r="AH78" s="94"/>
      <c r="AI78" s="94"/>
    </row>
    <row r="79" spans="1:36" s="22" customFormat="1" ht="12" customHeight="1" x14ac:dyDescent="0.25">
      <c r="A79" s="416" t="s">
        <v>14565</v>
      </c>
      <c r="B79" s="416">
        <v>1</v>
      </c>
      <c r="C79" s="416">
        <v>25</v>
      </c>
      <c r="D79" s="417" t="s">
        <v>4446</v>
      </c>
      <c r="E79" s="316" t="s">
        <v>4447</v>
      </c>
      <c r="F79" s="195">
        <v>36404</v>
      </c>
      <c r="G79" s="188"/>
      <c r="H79" s="188" t="str">
        <f>IF(J79="Book","n/a","")</f>
        <v>n/a</v>
      </c>
      <c r="I79" s="188">
        <v>281</v>
      </c>
      <c r="J79" s="902" t="s">
        <v>6868</v>
      </c>
      <c r="K79" s="162" t="s">
        <v>181</v>
      </c>
      <c r="L79" s="162" t="str">
        <f>IF(J79="Book","n/a","")</f>
        <v>n/a</v>
      </c>
      <c r="M79" s="162"/>
      <c r="N79" s="162"/>
      <c r="O79" s="162"/>
      <c r="P79" s="178" t="s">
        <v>8950</v>
      </c>
      <c r="Q79" s="162" t="s">
        <v>3953</v>
      </c>
      <c r="R79" s="189" t="s">
        <v>2717</v>
      </c>
      <c r="S79" s="366" t="s">
        <v>2326</v>
      </c>
      <c r="T79" s="178" t="s">
        <v>2324</v>
      </c>
      <c r="U79" s="178" t="s">
        <v>2325</v>
      </c>
      <c r="V79" s="178"/>
      <c r="W79" s="316" t="s">
        <v>4447</v>
      </c>
      <c r="X79" s="648" t="s">
        <v>15420</v>
      </c>
      <c r="Y79" s="356"/>
      <c r="Z79" s="272">
        <v>70</v>
      </c>
      <c r="AA79" s="272">
        <v>6.5</v>
      </c>
      <c r="AB79" s="34">
        <f t="shared" ca="1" si="1"/>
        <v>0.63400313782528805</v>
      </c>
      <c r="AC79" s="814"/>
      <c r="AD79" s="815" t="s">
        <v>16479</v>
      </c>
      <c r="AE79" s="942" t="s">
        <v>12543</v>
      </c>
      <c r="AF79" s="923">
        <f>IF(X79=X78,AF78,0)+IF(ISNUMBER(I79),IF(I79&lt;1,I79,I79*VLOOKUP(J79,Summary!$H$2:$I$9,2)),VLOOKUP(J79,Summary!$J$2:$K$9,2)*IF(ISNUMBER(H79),H79,1))</f>
        <v>0.2737384259259259</v>
      </c>
      <c r="AG79" s="291">
        <v>78</v>
      </c>
      <c r="AH79" s="94"/>
      <c r="AI79" s="94"/>
    </row>
    <row r="80" spans="1:36" s="22" customFormat="1" ht="12" customHeight="1" x14ac:dyDescent="0.2">
      <c r="A80" s="421" t="s">
        <v>14565</v>
      </c>
      <c r="B80" s="421">
        <v>1</v>
      </c>
      <c r="C80" s="421"/>
      <c r="D80" s="185"/>
      <c r="E80" s="314" t="s">
        <v>15307</v>
      </c>
      <c r="F80" s="184">
        <v>43369</v>
      </c>
      <c r="G80" s="184"/>
      <c r="H80" s="185">
        <v>1</v>
      </c>
      <c r="I80" s="185">
        <v>5</v>
      </c>
      <c r="J80" s="901" t="s">
        <v>1796</v>
      </c>
      <c r="K80" s="163" t="s">
        <v>3807</v>
      </c>
      <c r="L80" s="163" t="s">
        <v>9982</v>
      </c>
      <c r="M80" s="163"/>
      <c r="N80" s="163"/>
      <c r="O80" s="163"/>
      <c r="P80" s="182" t="s">
        <v>461</v>
      </c>
      <c r="Q80" s="163" t="s">
        <v>7076</v>
      </c>
      <c r="R80" s="186" t="s">
        <v>15308</v>
      </c>
      <c r="S80" s="355" t="s">
        <v>2326</v>
      </c>
      <c r="T80" s="182" t="s">
        <v>2324</v>
      </c>
      <c r="U80" s="182" t="s">
        <v>2325</v>
      </c>
      <c r="V80" s="182"/>
      <c r="W80" s="314" t="s">
        <v>15307</v>
      </c>
      <c r="X80" s="646" t="s">
        <v>15420</v>
      </c>
      <c r="Y80" s="355" t="s">
        <v>6000</v>
      </c>
      <c r="Z80" s="185">
        <v>999</v>
      </c>
      <c r="AA80" s="185"/>
      <c r="AB80" s="33">
        <f t="shared" ca="1" si="1"/>
        <v>0.59155864132593139</v>
      </c>
      <c r="AC80" s="813"/>
      <c r="AD80" s="819" t="s">
        <v>14944</v>
      </c>
      <c r="AE80" s="875"/>
      <c r="AF80" s="922">
        <f>IF(X80=X79,AF79,0)+IF(ISNUMBER(I80),IF(I80&lt;1,I80,I80*VLOOKUP(J80,Summary!$H$2:$I$9,2)),VLOOKUP(J80,Summary!$J$2:$K$9,2)*IF(ISNUMBER(H80),H80,1))</f>
        <v>0.275474537037037</v>
      </c>
      <c r="AG80" s="290">
        <v>79</v>
      </c>
      <c r="AH80" s="94"/>
      <c r="AI80" s="94"/>
    </row>
    <row r="81" spans="1:35" s="1" customFormat="1" ht="12" customHeight="1" x14ac:dyDescent="0.25">
      <c r="A81" s="412" t="s">
        <v>14565</v>
      </c>
      <c r="B81" s="412">
        <v>1</v>
      </c>
      <c r="C81" s="412">
        <v>7.07</v>
      </c>
      <c r="D81" s="407" t="s">
        <v>2586</v>
      </c>
      <c r="E81" s="315" t="s">
        <v>2588</v>
      </c>
      <c r="F81" s="169">
        <v>41275</v>
      </c>
      <c r="G81" s="170"/>
      <c r="H81" s="170">
        <v>4</v>
      </c>
      <c r="I81" s="746">
        <f>TIME(2,1,31)</f>
        <v>8.4386574074074072E-2</v>
      </c>
      <c r="J81" s="899" t="s">
        <v>4706</v>
      </c>
      <c r="K81" s="167" t="s">
        <v>941</v>
      </c>
      <c r="L81" s="167" t="s">
        <v>5662</v>
      </c>
      <c r="M81" s="167" t="s">
        <v>2591</v>
      </c>
      <c r="N81" s="167"/>
      <c r="O81" s="167"/>
      <c r="P81" s="168" t="s">
        <v>2592</v>
      </c>
      <c r="Q81" s="167" t="s">
        <v>3947</v>
      </c>
      <c r="R81" s="172" t="s">
        <v>3153</v>
      </c>
      <c r="S81" s="388" t="s">
        <v>2326</v>
      </c>
      <c r="T81" s="168" t="s">
        <v>2324</v>
      </c>
      <c r="U81" s="168" t="s">
        <v>2325</v>
      </c>
      <c r="V81" s="168"/>
      <c r="W81" s="312" t="s">
        <v>8411</v>
      </c>
      <c r="X81" s="644" t="s">
        <v>15420</v>
      </c>
      <c r="Y81" s="352" t="s">
        <v>5643</v>
      </c>
      <c r="Z81" s="353">
        <v>151</v>
      </c>
      <c r="AA81" s="353">
        <v>6.5</v>
      </c>
      <c r="AB81" s="31">
        <f t="shared" ca="1" si="1"/>
        <v>0.6175744116770262</v>
      </c>
      <c r="AC81" s="810"/>
      <c r="AD81" s="811" t="s">
        <v>16816</v>
      </c>
      <c r="AE81" s="940"/>
      <c r="AF81" s="920">
        <f>IF(X81=X80,AF80,0)+IF(ISNUMBER(I81),IF(I81&lt;1,I81,I81*VLOOKUP(J81,Summary!$H$2:$I$9,2)),VLOOKUP(J81,Summary!$J$2:$K$9,2)*IF(ISNUMBER(H81),H81,1))</f>
        <v>0.35986111111111108</v>
      </c>
      <c r="AG81" s="287">
        <v>80</v>
      </c>
      <c r="AH81" s="94"/>
      <c r="AI81" s="94"/>
    </row>
    <row r="82" spans="1:35" s="22" customFormat="1" ht="12" customHeight="1" x14ac:dyDescent="0.25">
      <c r="A82" s="413" t="s">
        <v>14565</v>
      </c>
      <c r="B82" s="413">
        <v>1</v>
      </c>
      <c r="C82" s="414">
        <v>1.04</v>
      </c>
      <c r="D82" s="176" t="s">
        <v>5024</v>
      </c>
      <c r="E82" s="313" t="s">
        <v>452</v>
      </c>
      <c r="F82" s="174">
        <v>35855</v>
      </c>
      <c r="G82" s="174"/>
      <c r="H82" s="176">
        <v>1</v>
      </c>
      <c r="I82" s="176">
        <v>24</v>
      </c>
      <c r="J82" s="900" t="s">
        <v>2755</v>
      </c>
      <c r="K82" s="164" t="s">
        <v>6348</v>
      </c>
      <c r="L82" s="164" t="s">
        <v>461</v>
      </c>
      <c r="M82" s="164"/>
      <c r="N82" s="164" t="s">
        <v>6237</v>
      </c>
      <c r="O82" s="164"/>
      <c r="P82" s="173" t="s">
        <v>5042</v>
      </c>
      <c r="Q82" s="164" t="s">
        <v>3953</v>
      </c>
      <c r="R82" s="177" t="s">
        <v>2723</v>
      </c>
      <c r="S82" s="354" t="s">
        <v>2326</v>
      </c>
      <c r="T82" s="173" t="s">
        <v>2324</v>
      </c>
      <c r="U82" s="173"/>
      <c r="V82" s="173"/>
      <c r="W82" s="313" t="s">
        <v>452</v>
      </c>
      <c r="X82" s="645" t="s">
        <v>15420</v>
      </c>
      <c r="Y82" s="354" t="s">
        <v>6868</v>
      </c>
      <c r="Z82" s="157">
        <v>32</v>
      </c>
      <c r="AA82" s="176">
        <v>5</v>
      </c>
      <c r="AB82" s="32">
        <f t="shared" ca="1" si="1"/>
        <v>0.72680231745776758</v>
      </c>
      <c r="AC82" s="812"/>
      <c r="AD82" s="763" t="s">
        <v>16817</v>
      </c>
      <c r="AE82" s="807"/>
      <c r="AF82" s="921">
        <f>IF(X82=X81,AF81,0)+IF(ISNUMBER(I82),IF(I82&lt;1,I82,I82*VLOOKUP(J82,Summary!$H$2:$I$9,2)),VLOOKUP(J82,Summary!$J$2:$K$9,2)*IF(ISNUMBER(H82),H82,1))</f>
        <v>0.37652777777777774</v>
      </c>
      <c r="AG82" s="289">
        <v>81</v>
      </c>
      <c r="AH82" s="94"/>
      <c r="AI82" s="94"/>
    </row>
    <row r="83" spans="1:35" s="22" customFormat="1" ht="12" customHeight="1" x14ac:dyDescent="0.25">
      <c r="A83" s="413" t="s">
        <v>14565</v>
      </c>
      <c r="B83" s="413">
        <v>1</v>
      </c>
      <c r="C83" s="414">
        <v>3.04</v>
      </c>
      <c r="D83" s="176" t="s">
        <v>7090</v>
      </c>
      <c r="E83" s="313" t="s">
        <v>7091</v>
      </c>
      <c r="F83" s="174">
        <v>36586</v>
      </c>
      <c r="G83" s="174"/>
      <c r="H83" s="176">
        <v>3</v>
      </c>
      <c r="I83" s="176">
        <v>48</v>
      </c>
      <c r="J83" s="900" t="s">
        <v>2755</v>
      </c>
      <c r="K83" s="164" t="s">
        <v>6236</v>
      </c>
      <c r="L83" s="164" t="s">
        <v>461</v>
      </c>
      <c r="M83" s="164"/>
      <c r="N83" s="164" t="s">
        <v>4992</v>
      </c>
      <c r="O83" s="164"/>
      <c r="P83" s="173" t="s">
        <v>4993</v>
      </c>
      <c r="Q83" s="164" t="s">
        <v>3953</v>
      </c>
      <c r="R83" s="177" t="s">
        <v>2723</v>
      </c>
      <c r="S83" s="354" t="s">
        <v>2326</v>
      </c>
      <c r="T83" s="173" t="s">
        <v>2324</v>
      </c>
      <c r="U83" s="173" t="s">
        <v>2325</v>
      </c>
      <c r="V83" s="173"/>
      <c r="W83" s="313" t="s">
        <v>10268</v>
      </c>
      <c r="X83" s="645" t="s">
        <v>15420</v>
      </c>
      <c r="Y83" s="354" t="s">
        <v>6868</v>
      </c>
      <c r="Z83" s="157">
        <v>15</v>
      </c>
      <c r="AA83" s="176">
        <v>6.5</v>
      </c>
      <c r="AB83" s="32">
        <f t="shared" ca="1" si="1"/>
        <v>0.51183696830316849</v>
      </c>
      <c r="AC83" s="812"/>
      <c r="AD83" s="763" t="s">
        <v>1809</v>
      </c>
      <c r="AE83" s="977" t="s">
        <v>15860</v>
      </c>
      <c r="AF83" s="921">
        <f>IF(X83=X82,AF82,0)+IF(ISNUMBER(I83),IF(I83&lt;1,I83,I83*VLOOKUP(J83,Summary!$H$2:$I$9,2)),VLOOKUP(J83,Summary!$J$2:$K$9,2)*IF(ISNUMBER(H83),H83,1))</f>
        <v>0.40986111111111106</v>
      </c>
      <c r="AG83" s="289">
        <v>82</v>
      </c>
      <c r="AH83" s="94"/>
      <c r="AI83" s="94"/>
    </row>
    <row r="84" spans="1:35" s="22" customFormat="1" ht="12" customHeight="1" x14ac:dyDescent="0.25">
      <c r="A84" s="413" t="s">
        <v>14565</v>
      </c>
      <c r="B84" s="413">
        <v>1</v>
      </c>
      <c r="C84" s="414">
        <v>6.02</v>
      </c>
      <c r="D84" s="176" t="s">
        <v>7092</v>
      </c>
      <c r="E84" s="313" t="s">
        <v>429</v>
      </c>
      <c r="F84" s="174">
        <v>37773</v>
      </c>
      <c r="G84" s="174"/>
      <c r="H84" s="176">
        <v>1</v>
      </c>
      <c r="I84" s="176">
        <v>16</v>
      </c>
      <c r="J84" s="900" t="s">
        <v>2755</v>
      </c>
      <c r="K84" s="164" t="s">
        <v>5019</v>
      </c>
      <c r="L84" s="164" t="s">
        <v>461</v>
      </c>
      <c r="M84" s="164"/>
      <c r="N84" s="164" t="s">
        <v>4996</v>
      </c>
      <c r="O84" s="164"/>
      <c r="P84" s="173" t="s">
        <v>4997</v>
      </c>
      <c r="Q84" s="164" t="s">
        <v>3947</v>
      </c>
      <c r="R84" s="177" t="s">
        <v>2723</v>
      </c>
      <c r="S84" s="354"/>
      <c r="T84" s="173" t="s">
        <v>2324</v>
      </c>
      <c r="U84" s="173"/>
      <c r="V84" s="173"/>
      <c r="W84" s="313" t="s">
        <v>429</v>
      </c>
      <c r="X84" s="645" t="s">
        <v>15420</v>
      </c>
      <c r="Y84" s="354"/>
      <c r="Z84" s="157">
        <v>53</v>
      </c>
      <c r="AA84" s="176">
        <v>3.5</v>
      </c>
      <c r="AB84" s="32">
        <f t="shared" ca="1" si="1"/>
        <v>0.26469192565919175</v>
      </c>
      <c r="AC84" s="812"/>
      <c r="AD84" s="763" t="s">
        <v>16818</v>
      </c>
      <c r="AE84" s="807"/>
      <c r="AF84" s="921">
        <f>IF(X84=X83,AF83,0)+IF(ISNUMBER(I84),IF(I84&lt;1,I84,I84*VLOOKUP(J84,Summary!$H$2:$I$9,2)),VLOOKUP(J84,Summary!$J$2:$K$9,2)*IF(ISNUMBER(H84),H84,1))</f>
        <v>0.42097222222222219</v>
      </c>
      <c r="AG84" s="289">
        <v>83</v>
      </c>
      <c r="AH84" s="94"/>
      <c r="AI84" s="94"/>
    </row>
    <row r="85" spans="1:35" s="29" customFormat="1" ht="12" customHeight="1" x14ac:dyDescent="0.25">
      <c r="A85" s="412" t="s">
        <v>14565</v>
      </c>
      <c r="B85" s="412">
        <v>1</v>
      </c>
      <c r="C85" s="429">
        <v>1.1000000000000001</v>
      </c>
      <c r="D85" s="407" t="s">
        <v>12573</v>
      </c>
      <c r="E85" s="315" t="s">
        <v>12574</v>
      </c>
      <c r="F85" s="196">
        <v>43094</v>
      </c>
      <c r="G85" s="170"/>
      <c r="H85" s="170">
        <v>4</v>
      </c>
      <c r="I85" s="747">
        <f t="shared" ref="I85:I90" si="2">TIME(0,120,0)</f>
        <v>8.3333333333333329E-2</v>
      </c>
      <c r="J85" s="899" t="s">
        <v>4706</v>
      </c>
      <c r="K85" s="167" t="s">
        <v>6452</v>
      </c>
      <c r="L85" s="167" t="s">
        <v>4549</v>
      </c>
      <c r="M85" s="167"/>
      <c r="N85" s="167" t="s">
        <v>5666</v>
      </c>
      <c r="O85" s="167" t="s">
        <v>3295</v>
      </c>
      <c r="P85" s="168" t="s">
        <v>12575</v>
      </c>
      <c r="Q85" s="167" t="s">
        <v>3947</v>
      </c>
      <c r="R85" s="172" t="s">
        <v>12576</v>
      </c>
      <c r="S85" s="388" t="s">
        <v>2326</v>
      </c>
      <c r="T85" s="168" t="s">
        <v>2324</v>
      </c>
      <c r="U85" s="168" t="s">
        <v>2325</v>
      </c>
      <c r="V85" s="168"/>
      <c r="W85" s="312" t="s">
        <v>12577</v>
      </c>
      <c r="X85" s="644" t="s">
        <v>15420</v>
      </c>
      <c r="Y85" s="352"/>
      <c r="Z85" s="353"/>
      <c r="AA85" s="353"/>
      <c r="AB85" s="31">
        <f t="shared" ca="1" si="1"/>
        <v>0.35853265242551735</v>
      </c>
      <c r="AC85" s="810"/>
      <c r="AD85" s="811" t="s">
        <v>16820</v>
      </c>
      <c r="AE85" s="940"/>
      <c r="AF85" s="920">
        <f>IF(X85=X84,AF84,0)+IF(ISNUMBER(I85),IF(I85&lt;1,I85,I85*VLOOKUP(J85,Summary!$H$2:$I$9,2)),VLOOKUP(J85,Summary!$J$2:$K$9,2)*IF(ISNUMBER(H85),H85,1))</f>
        <v>0.50430555555555556</v>
      </c>
      <c r="AG85" s="287">
        <v>84</v>
      </c>
      <c r="AH85" s="94"/>
      <c r="AI85" s="94"/>
    </row>
    <row r="86" spans="1:35" s="22" customFormat="1" ht="12" customHeight="1" x14ac:dyDescent="0.2">
      <c r="A86" s="412" t="s">
        <v>14565</v>
      </c>
      <c r="B86" s="412">
        <v>1</v>
      </c>
      <c r="C86" s="429">
        <v>1.2</v>
      </c>
      <c r="D86" s="407" t="s">
        <v>12578</v>
      </c>
      <c r="E86" s="315" t="s">
        <v>12579</v>
      </c>
      <c r="F86" s="196">
        <v>43094</v>
      </c>
      <c r="G86" s="170"/>
      <c r="H86" s="170">
        <v>4</v>
      </c>
      <c r="I86" s="747">
        <f t="shared" si="2"/>
        <v>8.3333333333333329E-2</v>
      </c>
      <c r="J86" s="899" t="s">
        <v>4706</v>
      </c>
      <c r="K86" s="167" t="s">
        <v>6452</v>
      </c>
      <c r="L86" s="167" t="s">
        <v>4549</v>
      </c>
      <c r="M86" s="167"/>
      <c r="N86" s="167" t="s">
        <v>5666</v>
      </c>
      <c r="O86" s="167" t="s">
        <v>3295</v>
      </c>
      <c r="P86" s="168" t="s">
        <v>12575</v>
      </c>
      <c r="Q86" s="167" t="s">
        <v>3947</v>
      </c>
      <c r="R86" s="172" t="s">
        <v>12576</v>
      </c>
      <c r="S86" s="388" t="s">
        <v>2326</v>
      </c>
      <c r="T86" s="168" t="s">
        <v>2324</v>
      </c>
      <c r="U86" s="168" t="s">
        <v>2325</v>
      </c>
      <c r="V86" s="168"/>
      <c r="W86" s="312" t="s">
        <v>12580</v>
      </c>
      <c r="X86" s="644" t="s">
        <v>15420</v>
      </c>
      <c r="Y86" s="352"/>
      <c r="Z86" s="353"/>
      <c r="AA86" s="353"/>
      <c r="AB86" s="31">
        <f t="shared" ca="1" si="1"/>
        <v>0.84925780256388184</v>
      </c>
      <c r="AC86" s="810"/>
      <c r="AD86" s="811" t="s">
        <v>16819</v>
      </c>
      <c r="AE86" s="940"/>
      <c r="AF86" s="920">
        <f>IF(X86=X85,AF85,0)+IF(ISNUMBER(I86),IF(I86&lt;1,I86,I86*VLOOKUP(J86,Summary!$H$2:$I$9,2)),VLOOKUP(J86,Summary!$J$2:$K$9,2)*IF(ISNUMBER(H86),H86,1))</f>
        <v>0.58763888888888893</v>
      </c>
      <c r="AG86" s="287">
        <v>85</v>
      </c>
      <c r="AH86" s="94"/>
      <c r="AI86" s="94"/>
    </row>
    <row r="87" spans="1:35" s="1" customFormat="1" ht="12" customHeight="1" x14ac:dyDescent="0.25">
      <c r="A87" s="412" t="s">
        <v>14565</v>
      </c>
      <c r="B87" s="412">
        <v>1</v>
      </c>
      <c r="C87" s="429">
        <v>2.1</v>
      </c>
      <c r="D87" s="407" t="s">
        <v>14599</v>
      </c>
      <c r="E87" s="315" t="s">
        <v>14601</v>
      </c>
      <c r="F87" s="196">
        <v>43306</v>
      </c>
      <c r="G87" s="170"/>
      <c r="H87" s="170">
        <v>4</v>
      </c>
      <c r="I87" s="747">
        <f t="shared" si="2"/>
        <v>8.3333333333333329E-2</v>
      </c>
      <c r="J87" s="899" t="s">
        <v>4706</v>
      </c>
      <c r="K87" s="167" t="s">
        <v>5666</v>
      </c>
      <c r="L87" s="167" t="s">
        <v>4549</v>
      </c>
      <c r="M87" s="167"/>
      <c r="N87" s="167" t="s">
        <v>6452</v>
      </c>
      <c r="O87" s="167" t="s">
        <v>3295</v>
      </c>
      <c r="P87" s="168" t="s">
        <v>14603</v>
      </c>
      <c r="Q87" s="167" t="s">
        <v>3947</v>
      </c>
      <c r="R87" s="172" t="s">
        <v>12576</v>
      </c>
      <c r="S87" s="388" t="s">
        <v>2326</v>
      </c>
      <c r="T87" s="168" t="s">
        <v>2324</v>
      </c>
      <c r="U87" s="168" t="s">
        <v>2325</v>
      </c>
      <c r="V87" s="168"/>
      <c r="W87" s="312" t="s">
        <v>15798</v>
      </c>
      <c r="X87" s="644" t="s">
        <v>15420</v>
      </c>
      <c r="Y87" s="352"/>
      <c r="Z87" s="353"/>
      <c r="AA87" s="353"/>
      <c r="AB87" s="31">
        <f t="shared" ca="1" si="1"/>
        <v>0.6252808324145247</v>
      </c>
      <c r="AC87" s="810"/>
      <c r="AD87" s="811"/>
      <c r="AE87" s="940"/>
      <c r="AF87" s="920">
        <f>IF(X87=X86,AF86,0)+IF(ISNUMBER(I87),IF(I87&lt;1,I87,I87*VLOOKUP(J87,Summary!$H$2:$I$9,2)),VLOOKUP(J87,Summary!$J$2:$K$9,2)*IF(ISNUMBER(H87),H87,1))</f>
        <v>0.6709722222222223</v>
      </c>
      <c r="AG87" s="287">
        <v>86</v>
      </c>
      <c r="AH87" s="94"/>
      <c r="AI87" s="94"/>
    </row>
    <row r="88" spans="1:35" s="22" customFormat="1" ht="12" customHeight="1" x14ac:dyDescent="0.2">
      <c r="A88" s="412" t="s">
        <v>14565</v>
      </c>
      <c r="B88" s="412">
        <v>1</v>
      </c>
      <c r="C88" s="429">
        <v>2.2000000000000002</v>
      </c>
      <c r="D88" s="407" t="s">
        <v>14600</v>
      </c>
      <c r="E88" s="315" t="s">
        <v>14602</v>
      </c>
      <c r="F88" s="196">
        <v>43306</v>
      </c>
      <c r="G88" s="170"/>
      <c r="H88" s="170">
        <v>4</v>
      </c>
      <c r="I88" s="747">
        <f t="shared" si="2"/>
        <v>8.3333333333333329E-2</v>
      </c>
      <c r="J88" s="899" t="s">
        <v>4706</v>
      </c>
      <c r="K88" s="167" t="s">
        <v>6970</v>
      </c>
      <c r="L88" s="167" t="s">
        <v>4549</v>
      </c>
      <c r="M88" s="167"/>
      <c r="N88" s="167" t="s">
        <v>6452</v>
      </c>
      <c r="O88" s="167" t="s">
        <v>3295</v>
      </c>
      <c r="P88" s="168" t="s">
        <v>14603</v>
      </c>
      <c r="Q88" s="167" t="s">
        <v>3947</v>
      </c>
      <c r="R88" s="172" t="s">
        <v>12576</v>
      </c>
      <c r="S88" s="388" t="s">
        <v>2326</v>
      </c>
      <c r="T88" s="168" t="s">
        <v>2324</v>
      </c>
      <c r="U88" s="168" t="s">
        <v>2325</v>
      </c>
      <c r="V88" s="168"/>
      <c r="W88" s="312" t="s">
        <v>14604</v>
      </c>
      <c r="X88" s="644" t="s">
        <v>15420</v>
      </c>
      <c r="Y88" s="352"/>
      <c r="Z88" s="353"/>
      <c r="AA88" s="353"/>
      <c r="AB88" s="31">
        <f t="shared" ca="1" si="1"/>
        <v>0.21150554651791864</v>
      </c>
      <c r="AC88" s="810"/>
      <c r="AD88" s="811" t="s">
        <v>16821</v>
      </c>
      <c r="AE88" s="940" t="s">
        <v>12543</v>
      </c>
      <c r="AF88" s="920">
        <f>IF(X88=X87,AF87,0)+IF(ISNUMBER(I88),IF(I88&lt;1,I88,I88*VLOOKUP(J88,Summary!$H$2:$I$9,2)),VLOOKUP(J88,Summary!$J$2:$K$9,2)*IF(ISNUMBER(H88),H88,1))</f>
        <v>0.75430555555555567</v>
      </c>
      <c r="AG88" s="287">
        <v>87</v>
      </c>
      <c r="AH88" s="94"/>
      <c r="AI88" s="94"/>
    </row>
    <row r="89" spans="1:35" s="1" customFormat="1" ht="12" customHeight="1" x14ac:dyDescent="0.25">
      <c r="A89" s="412" t="s">
        <v>14565</v>
      </c>
      <c r="B89" s="412">
        <v>1</v>
      </c>
      <c r="C89" s="429">
        <v>3.1</v>
      </c>
      <c r="D89" s="407" t="s">
        <v>15952</v>
      </c>
      <c r="E89" s="315" t="s">
        <v>15954</v>
      </c>
      <c r="F89" s="196">
        <v>43494</v>
      </c>
      <c r="G89" s="170"/>
      <c r="H89" s="170">
        <v>4</v>
      </c>
      <c r="I89" s="747">
        <f t="shared" si="2"/>
        <v>8.3333333333333329E-2</v>
      </c>
      <c r="J89" s="899" t="s">
        <v>4706</v>
      </c>
      <c r="K89" s="167" t="s">
        <v>941</v>
      </c>
      <c r="L89" s="167" t="s">
        <v>2313</v>
      </c>
      <c r="M89" s="167"/>
      <c r="N89" s="167" t="s">
        <v>6452</v>
      </c>
      <c r="O89" s="167" t="s">
        <v>3295</v>
      </c>
      <c r="P89" s="168" t="s">
        <v>15955</v>
      </c>
      <c r="Q89" s="167" t="s">
        <v>3947</v>
      </c>
      <c r="R89" s="172" t="s">
        <v>12576</v>
      </c>
      <c r="S89" s="388" t="s">
        <v>2326</v>
      </c>
      <c r="T89" s="168" t="s">
        <v>2324</v>
      </c>
      <c r="U89" s="168" t="s">
        <v>2325</v>
      </c>
      <c r="V89" s="168"/>
      <c r="W89" s="312" t="s">
        <v>15957</v>
      </c>
      <c r="X89" s="644" t="s">
        <v>15420</v>
      </c>
      <c r="Y89" s="352"/>
      <c r="Z89" s="353"/>
      <c r="AA89" s="353"/>
      <c r="AB89" s="31">
        <f t="shared" ca="1" si="1"/>
        <v>0.67168938910556886</v>
      </c>
      <c r="AC89" s="810"/>
      <c r="AD89" s="811"/>
      <c r="AE89" s="940"/>
      <c r="AF89" s="920">
        <f>IF(X89=X88,AF88,0)+IF(ISNUMBER(I89),IF(I89&lt;1,I89,I89*VLOOKUP(J89,Summary!$H$2:$I$9,2)),VLOOKUP(J89,Summary!$J$2:$K$9,2)*IF(ISNUMBER(H89),H89,1))</f>
        <v>0.83763888888888904</v>
      </c>
      <c r="AG89" s="287">
        <v>88</v>
      </c>
      <c r="AH89" s="94"/>
      <c r="AI89" s="94"/>
    </row>
    <row r="90" spans="1:35" s="22" customFormat="1" ht="12" customHeight="1" x14ac:dyDescent="0.2">
      <c r="A90" s="412" t="s">
        <v>14565</v>
      </c>
      <c r="B90" s="412">
        <v>1</v>
      </c>
      <c r="C90" s="429">
        <v>3.2</v>
      </c>
      <c r="D90" s="407" t="s">
        <v>15953</v>
      </c>
      <c r="E90" s="315" t="s">
        <v>16822</v>
      </c>
      <c r="F90" s="196">
        <v>43494</v>
      </c>
      <c r="G90" s="170"/>
      <c r="H90" s="170">
        <v>4</v>
      </c>
      <c r="I90" s="747">
        <f t="shared" si="2"/>
        <v>8.3333333333333329E-2</v>
      </c>
      <c r="J90" s="899" t="s">
        <v>4706</v>
      </c>
      <c r="K90" s="167" t="s">
        <v>1826</v>
      </c>
      <c r="L90" s="167" t="s">
        <v>2313</v>
      </c>
      <c r="M90" s="167"/>
      <c r="N90" s="167" t="s">
        <v>6452</v>
      </c>
      <c r="O90" s="167" t="s">
        <v>3295</v>
      </c>
      <c r="P90" s="168" t="s">
        <v>15955</v>
      </c>
      <c r="Q90" s="167" t="s">
        <v>3947</v>
      </c>
      <c r="R90" s="172" t="s">
        <v>12576</v>
      </c>
      <c r="S90" s="388" t="s">
        <v>2326</v>
      </c>
      <c r="T90" s="168" t="s">
        <v>2324</v>
      </c>
      <c r="U90" s="168" t="s">
        <v>2325</v>
      </c>
      <c r="V90" s="168"/>
      <c r="W90" s="312" t="s">
        <v>15956</v>
      </c>
      <c r="X90" s="644" t="s">
        <v>15420</v>
      </c>
      <c r="Y90" s="352"/>
      <c r="Z90" s="353"/>
      <c r="AA90" s="353"/>
      <c r="AB90" s="31">
        <f t="shared" ca="1" si="1"/>
        <v>0.51610132324038815</v>
      </c>
      <c r="AC90" s="810"/>
      <c r="AD90" s="811"/>
      <c r="AE90" s="940"/>
      <c r="AF90" s="920">
        <f>IF(X90=X89,AF89,0)+IF(ISNUMBER(I90),IF(I90&lt;1,I90,I90*VLOOKUP(J90,Summary!$H$2:$I$9,2)),VLOOKUP(J90,Summary!$J$2:$K$9,2)*IF(ISNUMBER(H90),H90,1))</f>
        <v>0.92097222222222241</v>
      </c>
      <c r="AG90" s="287">
        <v>89</v>
      </c>
      <c r="AH90" s="94"/>
      <c r="AI90" s="94"/>
    </row>
    <row r="91" spans="1:35" s="22" customFormat="1" ht="12" customHeight="1" x14ac:dyDescent="0.25">
      <c r="A91" s="413" t="s">
        <v>14565</v>
      </c>
      <c r="B91" s="413">
        <v>1</v>
      </c>
      <c r="C91" s="414">
        <v>15.01</v>
      </c>
      <c r="D91" s="176" t="s">
        <v>6996</v>
      </c>
      <c r="E91" s="313" t="s">
        <v>1576</v>
      </c>
      <c r="F91" s="174">
        <v>38412</v>
      </c>
      <c r="G91" s="174"/>
      <c r="H91" s="176">
        <v>1</v>
      </c>
      <c r="I91" s="176">
        <v>20</v>
      </c>
      <c r="J91" s="900" t="s">
        <v>2755</v>
      </c>
      <c r="K91" s="164" t="s">
        <v>5019</v>
      </c>
      <c r="L91" s="164" t="s">
        <v>461</v>
      </c>
      <c r="M91" s="164"/>
      <c r="N91" s="164" t="s">
        <v>6997</v>
      </c>
      <c r="O91" s="164"/>
      <c r="P91" s="173" t="s">
        <v>6998</v>
      </c>
      <c r="Q91" s="164" t="s">
        <v>3947</v>
      </c>
      <c r="R91" s="177" t="s">
        <v>2723</v>
      </c>
      <c r="S91" s="354" t="s">
        <v>2326</v>
      </c>
      <c r="T91" s="173" t="s">
        <v>2324</v>
      </c>
      <c r="U91" s="173" t="s">
        <v>2325</v>
      </c>
      <c r="V91" s="173"/>
      <c r="W91" s="313" t="s">
        <v>1576</v>
      </c>
      <c r="X91" s="645" t="s">
        <v>15420</v>
      </c>
      <c r="Y91" s="354"/>
      <c r="Z91" s="176">
        <v>999</v>
      </c>
      <c r="AA91" s="176"/>
      <c r="AB91" s="32">
        <f t="shared" ca="1" si="1"/>
        <v>0.28813011304257519</v>
      </c>
      <c r="AC91" s="812"/>
      <c r="AD91" s="763"/>
      <c r="AE91" s="807"/>
      <c r="AF91" s="921">
        <f>IF(X91=X90,AF90,0)+IF(ISNUMBER(I91),IF(I91&lt;1,I91,I91*VLOOKUP(J91,Summary!$H$2:$I$9,2)),VLOOKUP(J91,Summary!$J$2:$K$9,2)*IF(ISNUMBER(H91),H91,1))</f>
        <v>0.93486111111111125</v>
      </c>
      <c r="AG91" s="289">
        <v>90</v>
      </c>
      <c r="AH91" s="94"/>
      <c r="AI91" s="94"/>
    </row>
    <row r="92" spans="1:35" s="22" customFormat="1" ht="12" customHeight="1" x14ac:dyDescent="0.25">
      <c r="A92" s="418" t="s">
        <v>14565</v>
      </c>
      <c r="B92" s="418">
        <v>1</v>
      </c>
      <c r="C92" s="419">
        <v>8.09</v>
      </c>
      <c r="D92" s="192" t="s">
        <v>15548</v>
      </c>
      <c r="E92" s="317" t="s">
        <v>15549</v>
      </c>
      <c r="F92" s="209">
        <v>43370</v>
      </c>
      <c r="G92" s="191"/>
      <c r="H92" s="192">
        <v>1</v>
      </c>
      <c r="I92" s="796">
        <f>TIME(0,40,0)</f>
        <v>2.7777777777777776E-2</v>
      </c>
      <c r="J92" s="903" t="s">
        <v>2755</v>
      </c>
      <c r="K92" s="194" t="s">
        <v>15550</v>
      </c>
      <c r="L92" s="194" t="s">
        <v>5662</v>
      </c>
      <c r="M92" s="194" t="s">
        <v>13013</v>
      </c>
      <c r="N92" s="194" t="s">
        <v>5195</v>
      </c>
      <c r="O92" s="194" t="s">
        <v>5195</v>
      </c>
      <c r="P92" s="190" t="s">
        <v>15551</v>
      </c>
      <c r="Q92" s="194" t="s">
        <v>3947</v>
      </c>
      <c r="R92" s="193" t="s">
        <v>2722</v>
      </c>
      <c r="S92" s="357"/>
      <c r="T92" s="190"/>
      <c r="U92" s="190"/>
      <c r="V92" s="190"/>
      <c r="W92" s="317" t="s">
        <v>15549</v>
      </c>
      <c r="X92" s="649" t="s">
        <v>15420</v>
      </c>
      <c r="Y92" s="357" t="s">
        <v>5643</v>
      </c>
      <c r="Z92" s="192">
        <v>17</v>
      </c>
      <c r="AA92" s="192">
        <v>6.5</v>
      </c>
      <c r="AB92" s="37">
        <f t="shared" ca="1" si="1"/>
        <v>0.66105747756380273</v>
      </c>
      <c r="AC92" s="816"/>
      <c r="AD92" s="817"/>
      <c r="AE92" s="943"/>
      <c r="AF92" s="924">
        <f>IF(X92=X91,AF91,0)+IF(ISNUMBER(I92),IF(I92&lt;1,I92,I92*VLOOKUP(J92,Summary!$H$2:$I$9,2)),VLOOKUP(J92,Summary!$J$2:$K$9,2)*IF(ISNUMBER(H92),H92,1))</f>
        <v>0.96263888888888904</v>
      </c>
      <c r="AG92" s="292">
        <v>91</v>
      </c>
      <c r="AH92" s="94"/>
      <c r="AI92" s="94"/>
    </row>
    <row r="93" spans="1:35" s="22" customFormat="1" ht="12" customHeight="1" x14ac:dyDescent="0.25">
      <c r="A93" s="413" t="s">
        <v>14565</v>
      </c>
      <c r="B93" s="413">
        <v>1</v>
      </c>
      <c r="C93" s="414">
        <v>20.010000000000002</v>
      </c>
      <c r="D93" s="176" t="s">
        <v>4938</v>
      </c>
      <c r="E93" s="313" t="s">
        <v>4939</v>
      </c>
      <c r="F93" s="174">
        <v>38961</v>
      </c>
      <c r="G93" s="174"/>
      <c r="H93" s="176">
        <v>1</v>
      </c>
      <c r="I93" s="176">
        <v>10</v>
      </c>
      <c r="J93" s="900" t="s">
        <v>2755</v>
      </c>
      <c r="K93" s="164" t="s">
        <v>4425</v>
      </c>
      <c r="L93" s="164" t="s">
        <v>461</v>
      </c>
      <c r="M93" s="164"/>
      <c r="N93" s="164" t="s">
        <v>7381</v>
      </c>
      <c r="O93" s="164"/>
      <c r="P93" s="173" t="s">
        <v>705</v>
      </c>
      <c r="Q93" s="164" t="s">
        <v>3947</v>
      </c>
      <c r="R93" s="177" t="s">
        <v>2723</v>
      </c>
      <c r="S93" s="354"/>
      <c r="T93" s="173" t="s">
        <v>2324</v>
      </c>
      <c r="U93" s="173"/>
      <c r="V93" s="173"/>
      <c r="W93" s="313" t="s">
        <v>4939</v>
      </c>
      <c r="X93" s="645" t="s">
        <v>15420</v>
      </c>
      <c r="Y93" s="354"/>
      <c r="Z93" s="176"/>
      <c r="AA93" s="176"/>
      <c r="AB93" s="32">
        <f t="shared" ca="1" si="1"/>
        <v>0.11673576908132011</v>
      </c>
      <c r="AC93" s="812"/>
      <c r="AD93" s="763"/>
      <c r="AE93" s="807"/>
      <c r="AF93" s="921">
        <f>IF(X93=X92,AF92,0)+IF(ISNUMBER(I93),IF(I93&lt;1,I93,I93*VLOOKUP(J93,Summary!$H$2:$I$9,2)),VLOOKUP(J93,Summary!$J$2:$K$9,2)*IF(ISNUMBER(H93),H93,1))</f>
        <v>0.96958333333333346</v>
      </c>
      <c r="AG93" s="289">
        <v>92</v>
      </c>
      <c r="AH93" s="94"/>
      <c r="AI93" s="94"/>
    </row>
    <row r="94" spans="1:35" s="22" customFormat="1" ht="12" customHeight="1" x14ac:dyDescent="0.2">
      <c r="A94" s="412" t="s">
        <v>14565</v>
      </c>
      <c r="B94" s="412">
        <v>1</v>
      </c>
      <c r="C94" s="429">
        <v>1.1000000000000001</v>
      </c>
      <c r="D94" s="407" t="s">
        <v>8576</v>
      </c>
      <c r="E94" s="315" t="s">
        <v>8577</v>
      </c>
      <c r="F94" s="196">
        <v>41886</v>
      </c>
      <c r="G94" s="170"/>
      <c r="H94" s="170">
        <v>4</v>
      </c>
      <c r="I94" s="746">
        <f>TIME(2,13,5)</f>
        <v>9.2418981481481477E-2</v>
      </c>
      <c r="J94" s="899" t="s">
        <v>4706</v>
      </c>
      <c r="K94" s="167" t="s">
        <v>6970</v>
      </c>
      <c r="L94" s="167" t="s">
        <v>2313</v>
      </c>
      <c r="M94" s="167"/>
      <c r="N94" s="167"/>
      <c r="O94" s="167"/>
      <c r="P94" s="168" t="s">
        <v>12133</v>
      </c>
      <c r="Q94" s="167" t="s">
        <v>3947</v>
      </c>
      <c r="R94" s="172" t="s">
        <v>8512</v>
      </c>
      <c r="S94" s="388" t="s">
        <v>2326</v>
      </c>
      <c r="T94" s="168" t="s">
        <v>2324</v>
      </c>
      <c r="U94" s="168" t="s">
        <v>2325</v>
      </c>
      <c r="V94" s="168"/>
      <c r="W94" s="312" t="s">
        <v>8664</v>
      </c>
      <c r="X94" s="644" t="s">
        <v>15420</v>
      </c>
      <c r="Y94" s="352" t="s">
        <v>5643</v>
      </c>
      <c r="Z94" s="353">
        <v>492</v>
      </c>
      <c r="AA94" s="353">
        <v>4</v>
      </c>
      <c r="AB94" s="31">
        <f t="shared" ca="1" si="1"/>
        <v>0.1235290968495224</v>
      </c>
      <c r="AC94" s="810"/>
      <c r="AD94" s="811"/>
      <c r="AE94" s="940"/>
      <c r="AF94" s="920">
        <f>IF(X94=X93,AF93,0)+IF(ISNUMBER(I94),IF(I94&lt;1,I94,I94*VLOOKUP(J94,Summary!$H$2:$I$9,2)),VLOOKUP(J94,Summary!$J$2:$K$9,2)*IF(ISNUMBER(H94),H94,1))</f>
        <v>1.062002314814815</v>
      </c>
      <c r="AG94" s="287">
        <v>93</v>
      </c>
      <c r="AH94" s="94"/>
      <c r="AI94" s="94"/>
    </row>
    <row r="95" spans="1:35" s="22" customFormat="1" ht="12" customHeight="1" x14ac:dyDescent="0.25">
      <c r="A95" s="413" t="s">
        <v>14565</v>
      </c>
      <c r="B95" s="413">
        <v>1</v>
      </c>
      <c r="C95" s="413">
        <v>20</v>
      </c>
      <c r="D95" s="176" t="s">
        <v>430</v>
      </c>
      <c r="E95" s="313" t="s">
        <v>431</v>
      </c>
      <c r="F95" s="175">
        <v>33681</v>
      </c>
      <c r="G95" s="175"/>
      <c r="H95" s="176">
        <v>1</v>
      </c>
      <c r="I95" s="176">
        <v>5</v>
      </c>
      <c r="J95" s="900" t="s">
        <v>2755</v>
      </c>
      <c r="K95" s="164" t="s">
        <v>1035</v>
      </c>
      <c r="L95" s="164" t="s">
        <v>461</v>
      </c>
      <c r="M95" s="164"/>
      <c r="N95" s="164" t="s">
        <v>561</v>
      </c>
      <c r="O95" s="164"/>
      <c r="P95" s="173" t="s">
        <v>461</v>
      </c>
      <c r="Q95" s="164" t="s">
        <v>4062</v>
      </c>
      <c r="R95" s="177" t="s">
        <v>10250</v>
      </c>
      <c r="S95" s="354" t="s">
        <v>2326</v>
      </c>
      <c r="T95" s="173" t="s">
        <v>2324</v>
      </c>
      <c r="U95" s="173" t="s">
        <v>2325</v>
      </c>
      <c r="V95" s="173"/>
      <c r="W95" s="313" t="s">
        <v>431</v>
      </c>
      <c r="X95" s="645" t="s">
        <v>15420</v>
      </c>
      <c r="Y95" s="354" t="s">
        <v>5464</v>
      </c>
      <c r="Z95" s="157">
        <v>60</v>
      </c>
      <c r="AA95" s="176">
        <v>1</v>
      </c>
      <c r="AB95" s="32">
        <f t="shared" ca="1" si="1"/>
        <v>0.1029323671162875</v>
      </c>
      <c r="AC95" s="812"/>
      <c r="AD95" s="763" t="s">
        <v>16823</v>
      </c>
      <c r="AE95" s="807"/>
      <c r="AF95" s="921">
        <f>IF(X95=X94,AF94,0)+IF(ISNUMBER(I95),IF(I95&lt;1,I95,I95*VLOOKUP(J95,Summary!$H$2:$I$9,2)),VLOOKUP(J95,Summary!$J$2:$K$9,2)*IF(ISNUMBER(H95),H95,1))</f>
        <v>1.0654745370370373</v>
      </c>
      <c r="AG95" s="289">
        <v>94</v>
      </c>
      <c r="AH95" s="94"/>
      <c r="AI95" s="94"/>
    </row>
    <row r="96" spans="1:35" s="2" customFormat="1" ht="12" customHeight="1" x14ac:dyDescent="0.25">
      <c r="A96" s="418" t="s">
        <v>14565</v>
      </c>
      <c r="B96" s="418">
        <v>1</v>
      </c>
      <c r="C96" s="419">
        <v>5.01</v>
      </c>
      <c r="D96" s="192" t="s">
        <v>9267</v>
      </c>
      <c r="E96" s="317" t="s">
        <v>9268</v>
      </c>
      <c r="F96" s="209">
        <v>40786</v>
      </c>
      <c r="G96" s="191"/>
      <c r="H96" s="192">
        <v>1</v>
      </c>
      <c r="I96" s="753">
        <f>TIME(0,32,17)</f>
        <v>2.2418981481481481E-2</v>
      </c>
      <c r="J96" s="903" t="s">
        <v>2755</v>
      </c>
      <c r="K96" s="194" t="s">
        <v>4131</v>
      </c>
      <c r="L96" s="194" t="s">
        <v>5662</v>
      </c>
      <c r="M96" s="194" t="s">
        <v>7564</v>
      </c>
      <c r="N96" s="194"/>
      <c r="O96" s="194"/>
      <c r="P96" s="190" t="s">
        <v>9269</v>
      </c>
      <c r="Q96" s="194" t="s">
        <v>3947</v>
      </c>
      <c r="R96" s="193" t="s">
        <v>2722</v>
      </c>
      <c r="S96" s="357"/>
      <c r="T96" s="190"/>
      <c r="U96" s="190"/>
      <c r="V96" s="190"/>
      <c r="W96" s="317" t="s">
        <v>9268</v>
      </c>
      <c r="X96" s="649" t="s">
        <v>15420</v>
      </c>
      <c r="Y96" s="357" t="s">
        <v>5643</v>
      </c>
      <c r="Z96" s="192">
        <v>16</v>
      </c>
      <c r="AA96" s="192">
        <v>6.5</v>
      </c>
      <c r="AB96" s="37">
        <f t="shared" ca="1" si="1"/>
        <v>0.41658298333124855</v>
      </c>
      <c r="AC96" s="816"/>
      <c r="AD96" s="817"/>
      <c r="AE96" s="943"/>
      <c r="AF96" s="924">
        <f>IF(X96=X95,AF95,0)+IF(ISNUMBER(I96),IF(I96&lt;1,I96,I96*VLOOKUP(J96,Summary!$H$2:$I$9,2)),VLOOKUP(J96,Summary!$J$2:$K$9,2)*IF(ISNUMBER(H96),H96,1))</f>
        <v>1.0878935185185188</v>
      </c>
      <c r="AG96" s="292">
        <v>95</v>
      </c>
      <c r="AH96" s="94"/>
      <c r="AI96" s="94"/>
    </row>
    <row r="97" spans="1:35" s="22" customFormat="1" ht="12" customHeight="1" x14ac:dyDescent="0.25">
      <c r="A97" s="413" t="s">
        <v>14565</v>
      </c>
      <c r="B97" s="413">
        <v>1</v>
      </c>
      <c r="C97" s="413">
        <v>21</v>
      </c>
      <c r="D97" s="176" t="s">
        <v>432</v>
      </c>
      <c r="E97" s="313" t="s">
        <v>4775</v>
      </c>
      <c r="F97" s="175">
        <v>34129</v>
      </c>
      <c r="G97" s="175"/>
      <c r="H97" s="176">
        <v>1</v>
      </c>
      <c r="I97" s="176">
        <v>7</v>
      </c>
      <c r="J97" s="900" t="s">
        <v>2755</v>
      </c>
      <c r="K97" s="164" t="s">
        <v>6145</v>
      </c>
      <c r="L97" s="164" t="s">
        <v>461</v>
      </c>
      <c r="M97" s="164"/>
      <c r="N97" s="164" t="s">
        <v>7375</v>
      </c>
      <c r="O97" s="164"/>
      <c r="P97" s="173" t="s">
        <v>461</v>
      </c>
      <c r="Q97" s="164" t="s">
        <v>4062</v>
      </c>
      <c r="R97" s="177" t="s">
        <v>10250</v>
      </c>
      <c r="S97" s="354" t="s">
        <v>2326</v>
      </c>
      <c r="T97" s="173" t="s">
        <v>2324</v>
      </c>
      <c r="U97" s="173" t="s">
        <v>2325</v>
      </c>
      <c r="V97" s="173"/>
      <c r="W97" s="313" t="s">
        <v>4775</v>
      </c>
      <c r="X97" s="645" t="s">
        <v>15420</v>
      </c>
      <c r="Y97" s="354" t="s">
        <v>5464</v>
      </c>
      <c r="Z97" s="157">
        <v>34</v>
      </c>
      <c r="AA97" s="176">
        <v>4.5</v>
      </c>
      <c r="AB97" s="32">
        <f t="shared" ca="1" si="1"/>
        <v>0.50218695732657048</v>
      </c>
      <c r="AC97" s="812"/>
      <c r="AD97" s="763" t="s">
        <v>16044</v>
      </c>
      <c r="AE97" s="807"/>
      <c r="AF97" s="921">
        <f>IF(X97=X96,AF96,0)+IF(ISNUMBER(I97),IF(I97&lt;1,I97,I97*VLOOKUP(J97,Summary!$H$2:$I$9,2)),VLOOKUP(J97,Summary!$J$2:$K$9,2)*IF(ISNUMBER(H97),H97,1))</f>
        <v>1.09275462962963</v>
      </c>
      <c r="AG97" s="289">
        <v>96</v>
      </c>
      <c r="AH97" s="94"/>
      <c r="AI97" s="94"/>
    </row>
    <row r="98" spans="1:35" s="22" customFormat="1" ht="12" customHeight="1" x14ac:dyDescent="0.2">
      <c r="A98" s="412" t="s">
        <v>14565</v>
      </c>
      <c r="B98" s="412">
        <v>1</v>
      </c>
      <c r="C98" s="430">
        <v>6.1</v>
      </c>
      <c r="D98" s="407" t="s">
        <v>2272</v>
      </c>
      <c r="E98" s="315" t="s">
        <v>2273</v>
      </c>
      <c r="F98" s="169">
        <v>41000</v>
      </c>
      <c r="G98" s="170"/>
      <c r="H98" s="170">
        <v>2</v>
      </c>
      <c r="I98" s="746">
        <f>TIME(1,4,50)</f>
        <v>4.5023148148148145E-2</v>
      </c>
      <c r="J98" s="899" t="s">
        <v>4706</v>
      </c>
      <c r="K98" s="167" t="s">
        <v>2675</v>
      </c>
      <c r="L98" s="167" t="s">
        <v>5662</v>
      </c>
      <c r="M98" s="167" t="s">
        <v>8066</v>
      </c>
      <c r="N98" s="167"/>
      <c r="O98" s="167"/>
      <c r="P98" s="168" t="s">
        <v>7982</v>
      </c>
      <c r="Q98" s="167" t="s">
        <v>3947</v>
      </c>
      <c r="R98" s="172" t="s">
        <v>3153</v>
      </c>
      <c r="S98" s="388" t="s">
        <v>2326</v>
      </c>
      <c r="T98" s="168" t="s">
        <v>2324</v>
      </c>
      <c r="U98" s="168" t="s">
        <v>2325</v>
      </c>
      <c r="V98" s="168"/>
      <c r="W98" s="312" t="s">
        <v>8410</v>
      </c>
      <c r="X98" s="644" t="s">
        <v>15420</v>
      </c>
      <c r="Y98" s="352" t="s">
        <v>5398</v>
      </c>
      <c r="Z98" s="353">
        <v>635</v>
      </c>
      <c r="AA98" s="353">
        <v>3</v>
      </c>
      <c r="AB98" s="31">
        <f t="shared" ca="1" si="1"/>
        <v>0.55997259796215237</v>
      </c>
      <c r="AC98" s="810"/>
      <c r="AD98" s="811" t="s">
        <v>16824</v>
      </c>
      <c r="AE98" s="940"/>
      <c r="AF98" s="920">
        <f>IF(X98=X97,AF97,0)+IF(ISNUMBER(I98),IF(I98&lt;1,I98,I98*VLOOKUP(J98,Summary!$H$2:$I$9,2)),VLOOKUP(J98,Summary!$J$2:$K$9,2)*IF(ISNUMBER(H98),H98,1))</f>
        <v>1.1377777777777782</v>
      </c>
      <c r="AG98" s="287">
        <v>97</v>
      </c>
      <c r="AH98" s="94"/>
      <c r="AI98" s="94"/>
    </row>
    <row r="99" spans="1:35" s="7" customFormat="1" ht="12" customHeight="1" x14ac:dyDescent="0.25">
      <c r="A99" s="408"/>
      <c r="B99" s="408" t="s">
        <v>2650</v>
      </c>
      <c r="C99" s="408">
        <v>8</v>
      </c>
      <c r="D99" s="176" t="s">
        <v>12601</v>
      </c>
      <c r="E99" s="313" t="s">
        <v>7868</v>
      </c>
      <c r="F99" s="175">
        <v>42915</v>
      </c>
      <c r="G99" s="174"/>
      <c r="H99" s="176" t="s">
        <v>461</v>
      </c>
      <c r="I99" s="176"/>
      <c r="J99" s="900" t="s">
        <v>2755</v>
      </c>
      <c r="K99" s="164" t="s">
        <v>2675</v>
      </c>
      <c r="L99" s="164" t="s">
        <v>3551</v>
      </c>
      <c r="M99" s="164"/>
      <c r="N99" s="164"/>
      <c r="O99" s="164"/>
      <c r="P99" s="173" t="s">
        <v>12587</v>
      </c>
      <c r="Q99" s="164" t="s">
        <v>3953</v>
      </c>
      <c r="R99" s="177" t="s">
        <v>12588</v>
      </c>
      <c r="S99" s="354"/>
      <c r="T99" s="173"/>
      <c r="U99" s="173"/>
      <c r="V99" s="173"/>
      <c r="W99" s="313" t="s">
        <v>7868</v>
      </c>
      <c r="X99" s="645" t="s">
        <v>15420</v>
      </c>
      <c r="Y99" s="354"/>
      <c r="Z99" s="176"/>
      <c r="AA99" s="176"/>
      <c r="AB99" s="32">
        <f t="shared" ca="1" si="1"/>
        <v>0.56352314411082971</v>
      </c>
      <c r="AC99" s="812"/>
      <c r="AD99" s="763"/>
      <c r="AE99" s="807"/>
      <c r="AF99" s="921">
        <f>IF(X99=X98,AF98,0)+IF(ISNUMBER(I99),IF(I99&lt;1,I99,I99*VLOOKUP(J99,Summary!$H$2:$I$9,2)),VLOOKUP(J99,Summary!$J$2:$K$9,2)*IF(ISNUMBER(H99),H99,1))</f>
        <v>1.1551388888888894</v>
      </c>
      <c r="AG99" s="289">
        <v>98</v>
      </c>
      <c r="AH99" s="94"/>
      <c r="AI99" s="94"/>
    </row>
    <row r="100" spans="1:35" s="22" customFormat="1" ht="12" customHeight="1" x14ac:dyDescent="0.25">
      <c r="A100" s="416" t="s">
        <v>14565</v>
      </c>
      <c r="B100" s="416">
        <v>1</v>
      </c>
      <c r="C100" s="416">
        <v>9</v>
      </c>
      <c r="D100" s="417" t="s">
        <v>4448</v>
      </c>
      <c r="E100" s="316" t="s">
        <v>4449</v>
      </c>
      <c r="F100" s="195">
        <v>35856</v>
      </c>
      <c r="G100" s="188"/>
      <c r="H100" s="188">
        <v>5</v>
      </c>
      <c r="I100" s="188">
        <v>279</v>
      </c>
      <c r="J100" s="902" t="s">
        <v>6868</v>
      </c>
      <c r="K100" s="162" t="s">
        <v>176</v>
      </c>
      <c r="L100" s="162" t="str">
        <f>IF(J100="Book","n/a","")</f>
        <v>n/a</v>
      </c>
      <c r="M100" s="162"/>
      <c r="N100" s="162"/>
      <c r="O100" s="162"/>
      <c r="P100" s="178" t="s">
        <v>8934</v>
      </c>
      <c r="Q100" s="162" t="s">
        <v>3953</v>
      </c>
      <c r="R100" s="189" t="s">
        <v>2717</v>
      </c>
      <c r="S100" s="366" t="s">
        <v>2326</v>
      </c>
      <c r="T100" s="178" t="s">
        <v>2324</v>
      </c>
      <c r="U100" s="178" t="s">
        <v>2325</v>
      </c>
      <c r="V100" s="178"/>
      <c r="W100" s="322" t="s">
        <v>8491</v>
      </c>
      <c r="X100" s="654" t="s">
        <v>15420</v>
      </c>
      <c r="Y100" s="356"/>
      <c r="Z100" s="272">
        <v>157</v>
      </c>
      <c r="AA100" s="272">
        <v>4</v>
      </c>
      <c r="AB100" s="34">
        <f t="shared" ca="1" si="1"/>
        <v>0.32523824080589714</v>
      </c>
      <c r="AC100" s="814"/>
      <c r="AD100" s="815" t="s">
        <v>16766</v>
      </c>
      <c r="AE100" s="942"/>
      <c r="AF100" s="923">
        <f>IF(X100=X99,AF99,0)+IF(ISNUMBER(I100),IF(I100&lt;1,I100,I100*VLOOKUP(J100,Summary!$H$2:$I$9,2)),VLOOKUP(J100,Summary!$J$2:$K$9,2)*IF(ISNUMBER(H100),H100,1))</f>
        <v>1.3488888888888895</v>
      </c>
      <c r="AG100" s="291">
        <v>99</v>
      </c>
      <c r="AH100" s="94"/>
      <c r="AI100" s="94"/>
    </row>
    <row r="101" spans="1:35" s="1" customFormat="1" ht="12" customHeight="1" x14ac:dyDescent="0.25">
      <c r="A101" s="412" t="s">
        <v>14565</v>
      </c>
      <c r="B101" s="412">
        <v>1</v>
      </c>
      <c r="C101" s="415">
        <v>3.01</v>
      </c>
      <c r="D101" s="407" t="s">
        <v>3136</v>
      </c>
      <c r="E101" s="315" t="s">
        <v>4450</v>
      </c>
      <c r="F101" s="196">
        <v>39660</v>
      </c>
      <c r="G101" s="170"/>
      <c r="H101" s="170">
        <v>2</v>
      </c>
      <c r="I101" s="746">
        <f>TIME(1,13,54)</f>
        <v>5.1319444444444445E-2</v>
      </c>
      <c r="J101" s="899" t="s">
        <v>4706</v>
      </c>
      <c r="K101" s="167" t="s">
        <v>175</v>
      </c>
      <c r="L101" s="167" t="s">
        <v>5662</v>
      </c>
      <c r="M101" s="167" t="s">
        <v>8034</v>
      </c>
      <c r="N101" s="167"/>
      <c r="O101" s="167"/>
      <c r="P101" s="168" t="s">
        <v>9164</v>
      </c>
      <c r="Q101" s="167" t="s">
        <v>3947</v>
      </c>
      <c r="R101" s="172" t="s">
        <v>3153</v>
      </c>
      <c r="S101" s="388" t="s">
        <v>2326</v>
      </c>
      <c r="T101" s="168" t="s">
        <v>2324</v>
      </c>
      <c r="U101" s="168" t="s">
        <v>2325</v>
      </c>
      <c r="V101" s="168"/>
      <c r="W101" s="312" t="s">
        <v>8412</v>
      </c>
      <c r="X101" s="644" t="s">
        <v>15420</v>
      </c>
      <c r="Y101" s="352" t="s">
        <v>5398</v>
      </c>
      <c r="Z101" s="353">
        <v>292</v>
      </c>
      <c r="AA101" s="353">
        <v>5.5</v>
      </c>
      <c r="AB101" s="31">
        <f t="shared" ca="1" si="1"/>
        <v>0.26871594788512765</v>
      </c>
      <c r="AC101" s="810"/>
      <c r="AD101" s="811" t="s">
        <v>16411</v>
      </c>
      <c r="AE101" s="940" t="s">
        <v>3365</v>
      </c>
      <c r="AF101" s="920">
        <f>IF(X101=X100,AF100,0)+IF(ISNUMBER(I101),IF(I101&lt;1,I101,I101*VLOOKUP(J101,Summary!$H$2:$I$9,2)),VLOOKUP(J101,Summary!$J$2:$K$9,2)*IF(ISNUMBER(H101),H101,1))</f>
        <v>1.4002083333333339</v>
      </c>
      <c r="AG101" s="287">
        <v>100</v>
      </c>
      <c r="AH101" s="94"/>
      <c r="AI101" s="94"/>
    </row>
    <row r="102" spans="1:35" s="22" customFormat="1" ht="12" customHeight="1" x14ac:dyDescent="0.25">
      <c r="A102" s="413" t="s">
        <v>14565</v>
      </c>
      <c r="B102" s="413">
        <v>1</v>
      </c>
      <c r="C102" s="414">
        <v>31.1</v>
      </c>
      <c r="D102" s="176" t="s">
        <v>7453</v>
      </c>
      <c r="E102" s="313" t="s">
        <v>1807</v>
      </c>
      <c r="F102" s="174">
        <v>39873</v>
      </c>
      <c r="G102" s="174"/>
      <c r="H102" s="176" t="s">
        <v>461</v>
      </c>
      <c r="I102" s="176">
        <v>12</v>
      </c>
      <c r="J102" s="900" t="s">
        <v>2755</v>
      </c>
      <c r="K102" s="164" t="s">
        <v>5019</v>
      </c>
      <c r="L102" s="164" t="s">
        <v>461</v>
      </c>
      <c r="M102" s="164"/>
      <c r="N102" s="164" t="s">
        <v>1805</v>
      </c>
      <c r="O102" s="164"/>
      <c r="P102" s="173" t="s">
        <v>6699</v>
      </c>
      <c r="Q102" s="164" t="s">
        <v>3947</v>
      </c>
      <c r="R102" s="177" t="s">
        <v>2723</v>
      </c>
      <c r="S102" s="354" t="s">
        <v>2326</v>
      </c>
      <c r="T102" s="173" t="s">
        <v>2324</v>
      </c>
      <c r="U102" s="173" t="s">
        <v>2325</v>
      </c>
      <c r="V102" s="173"/>
      <c r="W102" s="313" t="s">
        <v>1807</v>
      </c>
      <c r="X102" s="645" t="s">
        <v>15420</v>
      </c>
      <c r="Y102" s="354"/>
      <c r="Z102" s="176">
        <v>999</v>
      </c>
      <c r="AA102" s="176"/>
      <c r="AB102" s="32">
        <f t="shared" ca="1" si="1"/>
        <v>0.76568113820234018</v>
      </c>
      <c r="AC102" s="812"/>
      <c r="AD102" s="763" t="s">
        <v>16825</v>
      </c>
      <c r="AE102" s="807"/>
      <c r="AF102" s="921">
        <f>IF(X102=X101,AF101,0)+IF(ISNUMBER(I102),IF(I102&lt;1,I102,I102*VLOOKUP(J102,Summary!$H$2:$I$9,2)),VLOOKUP(J102,Summary!$J$2:$K$9,2)*IF(ISNUMBER(H102),H102,1))</f>
        <v>1.4085416666666672</v>
      </c>
      <c r="AG102" s="289">
        <v>101</v>
      </c>
      <c r="AH102" s="94"/>
      <c r="AI102" s="94"/>
    </row>
    <row r="103" spans="1:35" s="22" customFormat="1" ht="12" customHeight="1" x14ac:dyDescent="0.25">
      <c r="A103" s="413" t="s">
        <v>14565</v>
      </c>
      <c r="B103" s="413">
        <v>1</v>
      </c>
      <c r="C103" s="414">
        <v>9.06</v>
      </c>
      <c r="D103" s="176" t="s">
        <v>6994</v>
      </c>
      <c r="E103" s="313" t="s">
        <v>6995</v>
      </c>
      <c r="F103" s="174">
        <v>38047</v>
      </c>
      <c r="G103" s="174"/>
      <c r="H103" s="176">
        <v>1</v>
      </c>
      <c r="I103" s="176">
        <v>12</v>
      </c>
      <c r="J103" s="900" t="s">
        <v>2755</v>
      </c>
      <c r="K103" s="164" t="s">
        <v>177</v>
      </c>
      <c r="L103" s="164" t="s">
        <v>461</v>
      </c>
      <c r="M103" s="164"/>
      <c r="N103" s="164" t="s">
        <v>7381</v>
      </c>
      <c r="O103" s="164"/>
      <c r="P103" s="173" t="s">
        <v>3431</v>
      </c>
      <c r="Q103" s="164" t="s">
        <v>3947</v>
      </c>
      <c r="R103" s="177" t="s">
        <v>2723</v>
      </c>
      <c r="S103" s="354" t="s">
        <v>2326</v>
      </c>
      <c r="T103" s="173" t="s">
        <v>2324</v>
      </c>
      <c r="U103" s="173" t="s">
        <v>2325</v>
      </c>
      <c r="V103" s="173"/>
      <c r="W103" s="313" t="s">
        <v>6995</v>
      </c>
      <c r="X103" s="645" t="s">
        <v>15420</v>
      </c>
      <c r="Y103" s="354"/>
      <c r="Z103" s="157">
        <v>12</v>
      </c>
      <c r="AA103" s="176">
        <v>7</v>
      </c>
      <c r="AB103" s="32">
        <f t="shared" ca="1" si="1"/>
        <v>0.19954217364333537</v>
      </c>
      <c r="AC103" s="812"/>
      <c r="AD103" s="763" t="s">
        <v>16826</v>
      </c>
      <c r="AE103" s="807"/>
      <c r="AF103" s="921">
        <f>IF(X103=X102,AF102,0)+IF(ISNUMBER(I103),IF(I103&lt;1,I103,I103*VLOOKUP(J103,Summary!$H$2:$I$9,2)),VLOOKUP(J103,Summary!$J$2:$K$9,2)*IF(ISNUMBER(H103),H103,1))</f>
        <v>1.4168750000000006</v>
      </c>
      <c r="AG103" s="289">
        <v>102</v>
      </c>
      <c r="AH103" s="94"/>
      <c r="AI103" s="94"/>
    </row>
    <row r="104" spans="1:35" s="22" customFormat="1" ht="12" customHeight="1" x14ac:dyDescent="0.25">
      <c r="A104" s="423">
        <v>2</v>
      </c>
      <c r="B104" s="423">
        <v>1</v>
      </c>
      <c r="C104" s="423">
        <v>9</v>
      </c>
      <c r="D104" s="424" t="s">
        <v>4451</v>
      </c>
      <c r="E104" s="319" t="s">
        <v>4452</v>
      </c>
      <c r="F104" s="198">
        <v>23681</v>
      </c>
      <c r="G104" s="198">
        <v>23695</v>
      </c>
      <c r="H104" s="199">
        <v>3</v>
      </c>
      <c r="I104" s="791">
        <f>TIME(0,23,15)+TIME(0,23,40)+TIME(0,26,35)</f>
        <v>5.1041666666666666E-2</v>
      </c>
      <c r="J104" s="904" t="s">
        <v>1588</v>
      </c>
      <c r="K104" s="200" t="s">
        <v>4453</v>
      </c>
      <c r="L104" s="200" t="s">
        <v>4454</v>
      </c>
      <c r="M104" s="200"/>
      <c r="N104" s="200" t="s">
        <v>6145</v>
      </c>
      <c r="O104" s="200" t="s">
        <v>6144</v>
      </c>
      <c r="P104" s="197" t="s">
        <v>461</v>
      </c>
      <c r="Q104" s="200" t="s">
        <v>3946</v>
      </c>
      <c r="R104" s="201" t="s">
        <v>5280</v>
      </c>
      <c r="S104" s="390" t="s">
        <v>2326</v>
      </c>
      <c r="T104" s="197" t="s">
        <v>2324</v>
      </c>
      <c r="U104" s="197" t="s">
        <v>2325</v>
      </c>
      <c r="V104" s="197"/>
      <c r="W104" s="318" t="s">
        <v>8413</v>
      </c>
      <c r="X104" s="650" t="s">
        <v>15420</v>
      </c>
      <c r="Y104" s="358" t="s">
        <v>6141</v>
      </c>
      <c r="Z104" s="253">
        <v>183</v>
      </c>
      <c r="AA104" s="253">
        <v>5</v>
      </c>
      <c r="AB104" s="35">
        <f t="shared" ca="1" si="1"/>
        <v>0.16044289650223509</v>
      </c>
      <c r="AC104" s="820"/>
      <c r="AD104" s="821" t="s">
        <v>15863</v>
      </c>
      <c r="AE104" s="944" t="s">
        <v>12543</v>
      </c>
      <c r="AF104" s="925">
        <f>IF(X104=X103,AF103,0)+IF(ISNUMBER(I104),IF(I104&lt;1,I104,I104*VLOOKUP(J104,Summary!$H$2:$I$9,2)),VLOOKUP(J104,Summary!$J$2:$K$9,2)*IF(ISNUMBER(H104),H104,1))</f>
        <v>1.4679166666666672</v>
      </c>
      <c r="AG104" s="293">
        <v>103</v>
      </c>
      <c r="AH104" s="94"/>
      <c r="AI104" s="94"/>
    </row>
    <row r="105" spans="1:35" s="22" customFormat="1" ht="12" customHeight="1" x14ac:dyDescent="0.25">
      <c r="A105" s="416">
        <v>2</v>
      </c>
      <c r="B105" s="416">
        <v>1</v>
      </c>
      <c r="C105" s="416">
        <v>75</v>
      </c>
      <c r="D105" s="417" t="s">
        <v>4455</v>
      </c>
      <c r="E105" s="316" t="s">
        <v>4456</v>
      </c>
      <c r="F105" s="195">
        <v>38657</v>
      </c>
      <c r="G105" s="188"/>
      <c r="H105" s="188" t="str">
        <f>IF(J105="Book","n/a","")</f>
        <v>n/a</v>
      </c>
      <c r="I105" s="188">
        <v>284</v>
      </c>
      <c r="J105" s="902" t="s">
        <v>6868</v>
      </c>
      <c r="K105" s="162" t="s">
        <v>5664</v>
      </c>
      <c r="L105" s="162" t="str">
        <f>IF(J105="Book","n/a","")</f>
        <v>n/a</v>
      </c>
      <c r="M105" s="162"/>
      <c r="N105" s="162"/>
      <c r="O105" s="162"/>
      <c r="P105" s="178" t="s">
        <v>8998</v>
      </c>
      <c r="Q105" s="162" t="s">
        <v>3953</v>
      </c>
      <c r="R105" s="189" t="s">
        <v>2717</v>
      </c>
      <c r="S105" s="366" t="s">
        <v>2326</v>
      </c>
      <c r="T105" s="178" t="s">
        <v>2324</v>
      </c>
      <c r="U105" s="178" t="s">
        <v>2325</v>
      </c>
      <c r="V105" s="178"/>
      <c r="W105" s="316" t="s">
        <v>4456</v>
      </c>
      <c r="X105" s="648" t="s">
        <v>15420</v>
      </c>
      <c r="Y105" s="356"/>
      <c r="Z105" s="272">
        <v>2</v>
      </c>
      <c r="AA105" s="272">
        <v>10</v>
      </c>
      <c r="AB105" s="34">
        <f t="shared" ca="1" si="1"/>
        <v>0.5169248803805867</v>
      </c>
      <c r="AC105" s="814"/>
      <c r="AD105" s="815" t="s">
        <v>15864</v>
      </c>
      <c r="AE105" s="950" t="s">
        <v>15860</v>
      </c>
      <c r="AF105" s="923">
        <f>IF(X105=X104,AF104,0)+IF(ISNUMBER(I105),IF(I105&lt;1,I105,I105*VLOOKUP(J105,Summary!$H$2:$I$9,2)),VLOOKUP(J105,Summary!$J$2:$K$9,2)*IF(ISNUMBER(H105),H105,1))</f>
        <v>1.6651388888888894</v>
      </c>
      <c r="AG105" s="291">
        <v>104</v>
      </c>
      <c r="AH105" s="94"/>
      <c r="AI105" s="94"/>
    </row>
    <row r="106" spans="1:35" s="1" customFormat="1" ht="12" customHeight="1" x14ac:dyDescent="0.25">
      <c r="A106" s="423">
        <v>2</v>
      </c>
      <c r="B106" s="423">
        <v>1</v>
      </c>
      <c r="C106" s="423">
        <v>10</v>
      </c>
      <c r="D106" s="424" t="s">
        <v>4457</v>
      </c>
      <c r="E106" s="319" t="s">
        <v>4458</v>
      </c>
      <c r="F106" s="198">
        <v>23702</v>
      </c>
      <c r="G106" s="198">
        <v>23737</v>
      </c>
      <c r="H106" s="199">
        <v>6</v>
      </c>
      <c r="I106" s="791">
        <f>TIME(0,23,42)+TIME(0,24,19)+TIME(0,26,50)+TIME(0,23,23)+TIME(0,24,29)+TIME(0,25,41)</f>
        <v>0.10305555555555554</v>
      </c>
      <c r="J106" s="904" t="s">
        <v>1588</v>
      </c>
      <c r="K106" s="200" t="s">
        <v>6148</v>
      </c>
      <c r="L106" s="200" t="s">
        <v>4459</v>
      </c>
      <c r="M106" s="200"/>
      <c r="N106" s="200" t="s">
        <v>6145</v>
      </c>
      <c r="O106" s="200" t="s">
        <v>6144</v>
      </c>
      <c r="P106" s="197" t="s">
        <v>461</v>
      </c>
      <c r="Q106" s="200" t="s">
        <v>3946</v>
      </c>
      <c r="R106" s="201" t="s">
        <v>5280</v>
      </c>
      <c r="S106" s="390" t="s">
        <v>2326</v>
      </c>
      <c r="T106" s="197" t="s">
        <v>2324</v>
      </c>
      <c r="U106" s="197" t="s">
        <v>2325</v>
      </c>
      <c r="V106" s="197"/>
      <c r="W106" s="318" t="s">
        <v>8414</v>
      </c>
      <c r="X106" s="650" t="s">
        <v>15420</v>
      </c>
      <c r="Y106" s="358" t="s">
        <v>6141</v>
      </c>
      <c r="Z106" s="253">
        <v>282</v>
      </c>
      <c r="AA106" s="253">
        <v>2.5</v>
      </c>
      <c r="AB106" s="35">
        <f t="shared" ca="1" si="1"/>
        <v>0.91280007072793112</v>
      </c>
      <c r="AC106" s="820"/>
      <c r="AD106" s="821" t="s">
        <v>16133</v>
      </c>
      <c r="AE106" s="944" t="s">
        <v>12543</v>
      </c>
      <c r="AF106" s="925">
        <f>IF(X106=X105,AF105,0)+IF(ISNUMBER(I106),IF(I106&lt;1,I106,I106*VLOOKUP(J106,Summary!$H$2:$I$9,2)),VLOOKUP(J106,Summary!$J$2:$K$9,2)*IF(ISNUMBER(H106),H106,1))</f>
        <v>1.7681944444444448</v>
      </c>
      <c r="AG106" s="293">
        <v>105</v>
      </c>
      <c r="AH106" s="94"/>
      <c r="AI106" s="94"/>
    </row>
    <row r="107" spans="1:35" s="22" customFormat="1" ht="12" customHeight="1" x14ac:dyDescent="0.2">
      <c r="A107" s="421">
        <v>2</v>
      </c>
      <c r="B107" s="421" t="s">
        <v>2127</v>
      </c>
      <c r="C107" s="421"/>
      <c r="D107" s="185" t="s">
        <v>5137</v>
      </c>
      <c r="E107" s="314" t="s">
        <v>5136</v>
      </c>
      <c r="F107" s="183">
        <v>35096</v>
      </c>
      <c r="G107" s="183"/>
      <c r="H107" s="185">
        <v>1</v>
      </c>
      <c r="I107" s="185">
        <v>8</v>
      </c>
      <c r="J107" s="901" t="s">
        <v>1796</v>
      </c>
      <c r="K107" s="163" t="s">
        <v>7374</v>
      </c>
      <c r="L107" s="163" t="s">
        <v>7928</v>
      </c>
      <c r="M107" s="163"/>
      <c r="N107" s="163" t="s">
        <v>7685</v>
      </c>
      <c r="O107" s="163"/>
      <c r="P107" s="182" t="s">
        <v>461</v>
      </c>
      <c r="Q107" s="163" t="s">
        <v>4062</v>
      </c>
      <c r="R107" s="186" t="s">
        <v>5266</v>
      </c>
      <c r="S107" s="355" t="s">
        <v>5002</v>
      </c>
      <c r="T107" s="182"/>
      <c r="U107" s="182" t="s">
        <v>2328</v>
      </c>
      <c r="V107" s="182"/>
      <c r="W107" s="314" t="s">
        <v>5136</v>
      </c>
      <c r="X107" s="646" t="s">
        <v>15420</v>
      </c>
      <c r="Y107" s="355"/>
      <c r="Z107" s="185">
        <v>999</v>
      </c>
      <c r="AA107" s="185">
        <v>7.5</v>
      </c>
      <c r="AB107" s="33">
        <f t="shared" ca="1" si="1"/>
        <v>0.62663340922593247</v>
      </c>
      <c r="AC107" s="813"/>
      <c r="AD107" s="211"/>
      <c r="AE107" s="941"/>
      <c r="AF107" s="922">
        <f>IF(X107=X106,AF106,0)+IF(ISNUMBER(I107),IF(I107&lt;1,I107,I107*VLOOKUP(J107,Summary!$H$2:$I$9,2)),VLOOKUP(J107,Summary!$J$2:$K$9,2)*IF(ISNUMBER(H107),H107,1))</f>
        <v>1.7709722222222226</v>
      </c>
      <c r="AG107" s="290">
        <v>106</v>
      </c>
      <c r="AH107" s="94"/>
      <c r="AI107" s="94"/>
    </row>
    <row r="108" spans="1:35" s="22" customFormat="1" ht="12" customHeight="1" x14ac:dyDescent="0.25">
      <c r="A108" s="423">
        <v>2</v>
      </c>
      <c r="B108" s="423" t="s">
        <v>2127</v>
      </c>
      <c r="C108" s="423">
        <v>2</v>
      </c>
      <c r="D108" s="424" t="s">
        <v>6308</v>
      </c>
      <c r="E108" s="319" t="s">
        <v>2130</v>
      </c>
      <c r="F108" s="198">
        <v>24324</v>
      </c>
      <c r="G108" s="198"/>
      <c r="H108" s="199">
        <v>1</v>
      </c>
      <c r="I108" s="791">
        <f>TIME(0,84,0)</f>
        <v>5.8333333333333327E-2</v>
      </c>
      <c r="J108" s="904" t="s">
        <v>1588</v>
      </c>
      <c r="K108" s="200" t="s">
        <v>6148</v>
      </c>
      <c r="L108" s="200" t="s">
        <v>2129</v>
      </c>
      <c r="M108" s="200"/>
      <c r="N108" s="200"/>
      <c r="O108" s="200"/>
      <c r="P108" s="197" t="s">
        <v>461</v>
      </c>
      <c r="Q108" s="200" t="s">
        <v>3946</v>
      </c>
      <c r="R108" s="201" t="s">
        <v>5268</v>
      </c>
      <c r="S108" s="390" t="s">
        <v>5002</v>
      </c>
      <c r="T108" s="197" t="s">
        <v>2327</v>
      </c>
      <c r="U108" s="197" t="s">
        <v>2328</v>
      </c>
      <c r="V108" s="197"/>
      <c r="W108" s="319" t="s">
        <v>2130</v>
      </c>
      <c r="X108" s="651" t="s">
        <v>15420</v>
      </c>
      <c r="Y108" s="358" t="s">
        <v>7018</v>
      </c>
      <c r="Z108" s="253">
        <v>94</v>
      </c>
      <c r="AA108" s="253">
        <v>7</v>
      </c>
      <c r="AB108" s="35">
        <f t="shared" ca="1" si="1"/>
        <v>0.28006434135893876</v>
      </c>
      <c r="AC108" s="820"/>
      <c r="AD108" s="821"/>
      <c r="AE108" s="946"/>
      <c r="AF108" s="925">
        <f>IF(X108=X107,AF107,0)+IF(ISNUMBER(I108),IF(I108&lt;1,I108,I108*VLOOKUP(J108,Summary!$H$2:$I$9,2)),VLOOKUP(J108,Summary!$J$2:$K$9,2)*IF(ISNUMBER(H108),H108,1))</f>
        <v>1.829305555555556</v>
      </c>
      <c r="AG108" s="293">
        <v>107</v>
      </c>
      <c r="AH108" s="94"/>
      <c r="AI108" s="94"/>
    </row>
    <row r="109" spans="1:35" s="22" customFormat="1" ht="12" customHeight="1" x14ac:dyDescent="0.25">
      <c r="A109" s="416" t="s">
        <v>14566</v>
      </c>
      <c r="B109" s="416">
        <v>1</v>
      </c>
      <c r="C109" s="416">
        <v>3</v>
      </c>
      <c r="D109" s="417" t="s">
        <v>4460</v>
      </c>
      <c r="E109" s="316" t="s">
        <v>26</v>
      </c>
      <c r="F109" s="187">
        <v>34608</v>
      </c>
      <c r="G109" s="188"/>
      <c r="H109" s="188">
        <v>5</v>
      </c>
      <c r="I109" s="188">
        <v>312</v>
      </c>
      <c r="J109" s="902" t="s">
        <v>6868</v>
      </c>
      <c r="K109" s="162" t="s">
        <v>6232</v>
      </c>
      <c r="L109" s="162" t="str">
        <f>IF(J109="Book","n/a","")</f>
        <v>n/a</v>
      </c>
      <c r="M109" s="162"/>
      <c r="N109" s="162"/>
      <c r="O109" s="162"/>
      <c r="P109" s="178" t="s">
        <v>8588</v>
      </c>
      <c r="Q109" s="162" t="s">
        <v>601</v>
      </c>
      <c r="R109" s="189" t="s">
        <v>2715</v>
      </c>
      <c r="S109" s="366"/>
      <c r="T109" s="178" t="s">
        <v>2324</v>
      </c>
      <c r="U109" s="178" t="s">
        <v>2325</v>
      </c>
      <c r="V109" s="178"/>
      <c r="W109" s="322" t="s">
        <v>8490</v>
      </c>
      <c r="X109" s="654" t="s">
        <v>12317</v>
      </c>
      <c r="Y109" s="356" t="s">
        <v>6868</v>
      </c>
      <c r="Z109" s="272">
        <v>134</v>
      </c>
      <c r="AA109" s="272">
        <v>4.5</v>
      </c>
      <c r="AB109" s="34">
        <f t="shared" ca="1" si="1"/>
        <v>0.66273554377055188</v>
      </c>
      <c r="AC109" s="814"/>
      <c r="AD109" s="818" t="s">
        <v>15035</v>
      </c>
      <c r="AE109" s="942" t="s">
        <v>12543</v>
      </c>
      <c r="AF109" s="923">
        <f>IF(X109=X108,AF108,0)+IF(ISNUMBER(I109),IF(I109&lt;1,I109,I109*VLOOKUP(J109,Summary!$H$2:$I$9,2)),VLOOKUP(J109,Summary!$J$2:$K$9,2)*IF(ISNUMBER(H109),H109,1))</f>
        <v>0.21666666666666667</v>
      </c>
      <c r="AG109" s="291">
        <v>108</v>
      </c>
      <c r="AH109" s="94"/>
      <c r="AI109" s="94"/>
    </row>
    <row r="110" spans="1:35" s="43" customFormat="1" ht="12" customHeight="1" x14ac:dyDescent="0.25">
      <c r="A110" s="413" t="s">
        <v>14566</v>
      </c>
      <c r="B110" s="413">
        <v>1</v>
      </c>
      <c r="C110" s="413">
        <v>1.05</v>
      </c>
      <c r="D110" s="176" t="s">
        <v>4878</v>
      </c>
      <c r="E110" s="313" t="s">
        <v>7000</v>
      </c>
      <c r="F110" s="176">
        <v>1994</v>
      </c>
      <c r="G110" s="176"/>
      <c r="H110" s="176">
        <v>1</v>
      </c>
      <c r="I110" s="176">
        <v>41</v>
      </c>
      <c r="J110" s="900" t="s">
        <v>2755</v>
      </c>
      <c r="K110" s="164" t="s">
        <v>1932</v>
      </c>
      <c r="L110" s="164" t="s">
        <v>461</v>
      </c>
      <c r="M110" s="164"/>
      <c r="N110" s="164" t="s">
        <v>7001</v>
      </c>
      <c r="O110" s="164"/>
      <c r="P110" s="173" t="s">
        <v>7002</v>
      </c>
      <c r="Q110" s="164" t="s">
        <v>6548</v>
      </c>
      <c r="R110" s="177" t="s">
        <v>4598</v>
      </c>
      <c r="S110" s="354"/>
      <c r="T110" s="173" t="s">
        <v>2324</v>
      </c>
      <c r="U110" s="173" t="s">
        <v>2325</v>
      </c>
      <c r="V110" s="173"/>
      <c r="W110" s="313" t="s">
        <v>7000</v>
      </c>
      <c r="X110" s="645" t="s">
        <v>12317</v>
      </c>
      <c r="Y110" s="354" t="s">
        <v>6868</v>
      </c>
      <c r="Z110" s="157">
        <v>14</v>
      </c>
      <c r="AA110" s="176">
        <v>6.5</v>
      </c>
      <c r="AB110" s="32">
        <f t="shared" ca="1" si="1"/>
        <v>0.75104456142096443</v>
      </c>
      <c r="AC110" s="812"/>
      <c r="AD110" s="763" t="s">
        <v>16827</v>
      </c>
      <c r="AE110" s="807"/>
      <c r="AF110" s="921">
        <f>IF(X110=X109,AF109,0)+IF(ISNUMBER(I110),IF(I110&lt;1,I110,I110*VLOOKUP(J110,Summary!$H$2:$I$9,2)),VLOOKUP(J110,Summary!$J$2:$K$9,2)*IF(ISNUMBER(H110),H110,1))</f>
        <v>0.24513888888888891</v>
      </c>
      <c r="AG110" s="289">
        <v>109</v>
      </c>
      <c r="AH110" s="94"/>
      <c r="AI110" s="94"/>
    </row>
    <row r="111" spans="1:35" s="22" customFormat="1" ht="12" customHeight="1" x14ac:dyDescent="0.25">
      <c r="A111" s="413" t="s">
        <v>14566</v>
      </c>
      <c r="B111" s="413">
        <v>1</v>
      </c>
      <c r="C111" s="413">
        <v>2.06</v>
      </c>
      <c r="D111" s="176" t="s">
        <v>6552</v>
      </c>
      <c r="E111" s="313" t="s">
        <v>6553</v>
      </c>
      <c r="F111" s="176">
        <v>1995</v>
      </c>
      <c r="G111" s="176"/>
      <c r="H111" s="176" t="s">
        <v>461</v>
      </c>
      <c r="I111" s="176">
        <v>38</v>
      </c>
      <c r="J111" s="900" t="s">
        <v>2755</v>
      </c>
      <c r="K111" s="164" t="s">
        <v>4740</v>
      </c>
      <c r="L111" s="164" t="s">
        <v>461</v>
      </c>
      <c r="M111" s="164"/>
      <c r="N111" s="164" t="s">
        <v>7001</v>
      </c>
      <c r="O111" s="164"/>
      <c r="P111" s="173" t="s">
        <v>6554</v>
      </c>
      <c r="Q111" s="164" t="s">
        <v>6548</v>
      </c>
      <c r="R111" s="177" t="s">
        <v>4598</v>
      </c>
      <c r="S111" s="354"/>
      <c r="T111" s="173" t="s">
        <v>2324</v>
      </c>
      <c r="U111" s="173" t="s">
        <v>2325</v>
      </c>
      <c r="V111" s="173"/>
      <c r="W111" s="313" t="s">
        <v>6553</v>
      </c>
      <c r="X111" s="645" t="s">
        <v>12317</v>
      </c>
      <c r="Y111" s="354" t="s">
        <v>6868</v>
      </c>
      <c r="Z111" s="157">
        <v>55</v>
      </c>
      <c r="AA111" s="176">
        <v>3</v>
      </c>
      <c r="AB111" s="32">
        <f t="shared" ca="1" si="1"/>
        <v>0.51485307016882176</v>
      </c>
      <c r="AC111" s="812"/>
      <c r="AD111" s="763" t="s">
        <v>16828</v>
      </c>
      <c r="AE111" s="807"/>
      <c r="AF111" s="921">
        <f>IF(X111=X110,AF110,0)+IF(ISNUMBER(I111),IF(I111&lt;1,I111,I111*VLOOKUP(J111,Summary!$H$2:$I$9,2)),VLOOKUP(J111,Summary!$J$2:$K$9,2)*IF(ISNUMBER(H111),H111,1))</f>
        <v>0.27152777777777781</v>
      </c>
      <c r="AG111" s="289">
        <v>110</v>
      </c>
      <c r="AH111" s="94"/>
      <c r="AI111" s="94"/>
    </row>
    <row r="112" spans="1:35" s="3" customFormat="1" ht="12" customHeight="1" x14ac:dyDescent="0.25">
      <c r="A112" s="413" t="s">
        <v>14566</v>
      </c>
      <c r="B112" s="413">
        <v>1</v>
      </c>
      <c r="C112" s="414">
        <v>4.01</v>
      </c>
      <c r="D112" s="176" t="s">
        <v>6555</v>
      </c>
      <c r="E112" s="313" t="s">
        <v>4407</v>
      </c>
      <c r="F112" s="174">
        <v>37591</v>
      </c>
      <c r="G112" s="174"/>
      <c r="H112" s="869">
        <v>1</v>
      </c>
      <c r="I112" s="176">
        <v>11</v>
      </c>
      <c r="J112" s="900" t="s">
        <v>2755</v>
      </c>
      <c r="K112" s="164" t="s">
        <v>1936</v>
      </c>
      <c r="L112" s="164" t="s">
        <v>461</v>
      </c>
      <c r="M112" s="164"/>
      <c r="N112" s="164" t="s">
        <v>4552</v>
      </c>
      <c r="O112" s="164"/>
      <c r="P112" s="173" t="s">
        <v>6556</v>
      </c>
      <c r="Q112" s="164" t="s">
        <v>3947</v>
      </c>
      <c r="R112" s="177" t="s">
        <v>2723</v>
      </c>
      <c r="S112" s="354"/>
      <c r="T112" s="173" t="s">
        <v>2324</v>
      </c>
      <c r="U112" s="173" t="s">
        <v>2325</v>
      </c>
      <c r="V112" s="173"/>
      <c r="W112" s="313" t="s">
        <v>4407</v>
      </c>
      <c r="X112" s="645" t="s">
        <v>12317</v>
      </c>
      <c r="Y112" s="354"/>
      <c r="Z112" s="157">
        <v>13</v>
      </c>
      <c r="AA112" s="176">
        <v>7</v>
      </c>
      <c r="AB112" s="32">
        <f t="shared" ca="1" si="1"/>
        <v>2.8034431892972278E-2</v>
      </c>
      <c r="AC112" s="812"/>
      <c r="AD112" s="763" t="s">
        <v>16829</v>
      </c>
      <c r="AE112" s="807"/>
      <c r="AF112" s="921">
        <f>IF(X112=X111,AF111,0)+IF(ISNUMBER(I112),IF(I112&lt;1,I112,I112*VLOOKUP(J112,Summary!$H$2:$I$9,2)),VLOOKUP(J112,Summary!$J$2:$K$9,2)*IF(ISNUMBER(H112),H112,1))</f>
        <v>0.27916666666666667</v>
      </c>
      <c r="AG112" s="289">
        <v>111</v>
      </c>
      <c r="AH112" s="94"/>
      <c r="AI112" s="94"/>
    </row>
    <row r="113" spans="1:35" s="22" customFormat="1" ht="12" customHeight="1" x14ac:dyDescent="0.2">
      <c r="A113" s="421" t="s">
        <v>14566</v>
      </c>
      <c r="B113" s="421">
        <v>1</v>
      </c>
      <c r="C113" s="431"/>
      <c r="D113" s="185"/>
      <c r="E113" s="314" t="s">
        <v>10197</v>
      </c>
      <c r="F113" s="208">
        <v>23880</v>
      </c>
      <c r="G113" s="183"/>
      <c r="H113" s="185">
        <v>12</v>
      </c>
      <c r="I113" s="185">
        <v>12</v>
      </c>
      <c r="J113" s="901" t="s">
        <v>1796</v>
      </c>
      <c r="K113" s="163" t="s">
        <v>3365</v>
      </c>
      <c r="L113" s="163" t="s">
        <v>3365</v>
      </c>
      <c r="M113" s="163"/>
      <c r="N113" s="163"/>
      <c r="O113" s="163"/>
      <c r="P113" s="182" t="s">
        <v>461</v>
      </c>
      <c r="Q113" s="163"/>
      <c r="R113" s="186" t="s">
        <v>10198</v>
      </c>
      <c r="S113" s="355"/>
      <c r="T113" s="182" t="s">
        <v>2324</v>
      </c>
      <c r="U113" s="182" t="s">
        <v>2325</v>
      </c>
      <c r="V113" s="182"/>
      <c r="W113" s="314" t="s">
        <v>11337</v>
      </c>
      <c r="X113" s="646" t="s">
        <v>12317</v>
      </c>
      <c r="Y113" s="355"/>
      <c r="Z113" s="158"/>
      <c r="AA113" s="185"/>
      <c r="AB113" s="33">
        <f t="shared" ca="1" si="1"/>
        <v>0.81856652098942684</v>
      </c>
      <c r="AC113" s="813"/>
      <c r="AD113" s="211"/>
      <c r="AE113" s="941"/>
      <c r="AF113" s="922">
        <f>IF(X113=X112,AF112,0)+IF(ISNUMBER(I113),IF(I113&lt;1,I113,I113*VLOOKUP(J113,Summary!$H$2:$I$9,2)),VLOOKUP(J113,Summary!$J$2:$K$9,2)*IF(ISNUMBER(H113),H113,1))</f>
        <v>0.28333333333333333</v>
      </c>
      <c r="AG113" s="290">
        <v>112</v>
      </c>
      <c r="AH113" s="94"/>
      <c r="AI113" s="94"/>
    </row>
    <row r="114" spans="1:35" s="22" customFormat="1" ht="12" customHeight="1" x14ac:dyDescent="0.25">
      <c r="A114" s="413" t="s">
        <v>14566</v>
      </c>
      <c r="B114" s="413">
        <v>1</v>
      </c>
      <c r="C114" s="414">
        <v>18.05</v>
      </c>
      <c r="D114" s="176" t="s">
        <v>6549</v>
      </c>
      <c r="E114" s="313" t="s">
        <v>6550</v>
      </c>
      <c r="F114" s="174">
        <v>38687</v>
      </c>
      <c r="G114" s="174"/>
      <c r="H114" s="176">
        <v>1</v>
      </c>
      <c r="I114" s="176">
        <v>8</v>
      </c>
      <c r="J114" s="900" t="s">
        <v>2755</v>
      </c>
      <c r="K114" s="164" t="s">
        <v>6551</v>
      </c>
      <c r="L114" s="164" t="s">
        <v>461</v>
      </c>
      <c r="M114" s="164"/>
      <c r="N114" s="164" t="s">
        <v>5664</v>
      </c>
      <c r="O114" s="164"/>
      <c r="P114" s="173" t="s">
        <v>5000</v>
      </c>
      <c r="Q114" s="164" t="s">
        <v>3947</v>
      </c>
      <c r="R114" s="177" t="s">
        <v>2723</v>
      </c>
      <c r="S114" s="354"/>
      <c r="T114" s="173" t="s">
        <v>2324</v>
      </c>
      <c r="U114" s="173" t="s">
        <v>2325</v>
      </c>
      <c r="V114" s="173"/>
      <c r="W114" s="313" t="s">
        <v>6550</v>
      </c>
      <c r="X114" s="645" t="s">
        <v>12317</v>
      </c>
      <c r="Y114" s="354"/>
      <c r="Z114" s="157">
        <v>40</v>
      </c>
      <c r="AA114" s="176">
        <v>4</v>
      </c>
      <c r="AB114" s="32">
        <f t="shared" ca="1" si="1"/>
        <v>0.29382957486679973</v>
      </c>
      <c r="AC114" s="812"/>
      <c r="AD114" s="763" t="s">
        <v>16830</v>
      </c>
      <c r="AE114" s="807"/>
      <c r="AF114" s="921">
        <f>IF(X114=X113,AF113,0)+IF(ISNUMBER(I114),IF(I114&lt;1,I114,I114*VLOOKUP(J114,Summary!$H$2:$I$9,2)),VLOOKUP(J114,Summary!$J$2:$K$9,2)*IF(ISNUMBER(H114),H114,1))</f>
        <v>0.28888888888888886</v>
      </c>
      <c r="AG114" s="289">
        <v>113</v>
      </c>
      <c r="AH114" s="94"/>
      <c r="AI114" s="94"/>
    </row>
    <row r="115" spans="1:35" s="2" customFormat="1" ht="12" customHeight="1" x14ac:dyDescent="0.25">
      <c r="A115" s="412" t="s">
        <v>14566</v>
      </c>
      <c r="B115" s="412">
        <v>1</v>
      </c>
      <c r="C115" s="432">
        <v>12</v>
      </c>
      <c r="D115" s="407" t="s">
        <v>4313</v>
      </c>
      <c r="E115" s="315" t="s">
        <v>4314</v>
      </c>
      <c r="F115" s="196">
        <v>41060</v>
      </c>
      <c r="G115" s="170"/>
      <c r="H115" s="170">
        <v>2</v>
      </c>
      <c r="I115" s="746">
        <f>TIME(1,10,41)</f>
        <v>4.9085648148148149E-2</v>
      </c>
      <c r="J115" s="899" t="s">
        <v>4706</v>
      </c>
      <c r="K115" s="167" t="s">
        <v>3424</v>
      </c>
      <c r="L115" s="167" t="s">
        <v>5662</v>
      </c>
      <c r="M115" s="167"/>
      <c r="N115" s="167"/>
      <c r="O115" s="167"/>
      <c r="P115" s="168" t="s">
        <v>461</v>
      </c>
      <c r="Q115" s="167" t="s">
        <v>3947</v>
      </c>
      <c r="R115" s="172" t="s">
        <v>4315</v>
      </c>
      <c r="S115" s="388"/>
      <c r="T115" s="168" t="s">
        <v>2324</v>
      </c>
      <c r="U115" s="168" t="s">
        <v>2325</v>
      </c>
      <c r="V115" s="168"/>
      <c r="W115" s="312" t="s">
        <v>8415</v>
      </c>
      <c r="X115" s="644" t="s">
        <v>12317</v>
      </c>
      <c r="Y115" s="352" t="s">
        <v>5643</v>
      </c>
      <c r="Z115" s="353">
        <v>48</v>
      </c>
      <c r="AA115" s="353">
        <v>8.5</v>
      </c>
      <c r="AB115" s="31">
        <f t="shared" ca="1" si="1"/>
        <v>0.19100781972042402</v>
      </c>
      <c r="AC115" s="810"/>
      <c r="AD115" s="811" t="s">
        <v>16831</v>
      </c>
      <c r="AE115" s="940"/>
      <c r="AF115" s="920">
        <f>IF(X115=X114,AF114,0)+IF(ISNUMBER(I115),IF(I115&lt;1,I115,I115*VLOOKUP(J115,Summary!$H$2:$I$9,2)),VLOOKUP(J115,Summary!$J$2:$K$9,2)*IF(ISNUMBER(H115),H115,1))</f>
        <v>0.337974537037037</v>
      </c>
      <c r="AG115" s="287">
        <v>114</v>
      </c>
      <c r="AH115" s="94"/>
      <c r="AI115" s="94"/>
    </row>
    <row r="116" spans="1:35" s="22" customFormat="1" ht="12" customHeight="1" x14ac:dyDescent="0.25">
      <c r="A116" s="413" t="s">
        <v>14566</v>
      </c>
      <c r="B116" s="413">
        <v>1</v>
      </c>
      <c r="C116" s="414">
        <v>5.17</v>
      </c>
      <c r="D116" s="176" t="s">
        <v>6557</v>
      </c>
      <c r="E116" s="313" t="s">
        <v>6558</v>
      </c>
      <c r="F116" s="174">
        <v>37681</v>
      </c>
      <c r="G116" s="174"/>
      <c r="H116" s="176">
        <v>1</v>
      </c>
      <c r="I116" s="176">
        <v>6</v>
      </c>
      <c r="J116" s="900" t="s">
        <v>2755</v>
      </c>
      <c r="K116" s="164" t="s">
        <v>6342</v>
      </c>
      <c r="L116" s="164" t="s">
        <v>461</v>
      </c>
      <c r="M116" s="164"/>
      <c r="N116" s="164" t="s">
        <v>4552</v>
      </c>
      <c r="O116" s="164"/>
      <c r="P116" s="173" t="s">
        <v>6556</v>
      </c>
      <c r="Q116" s="164" t="s">
        <v>3947</v>
      </c>
      <c r="R116" s="177" t="s">
        <v>2723</v>
      </c>
      <c r="S116" s="354"/>
      <c r="T116" s="173"/>
      <c r="U116" s="173" t="s">
        <v>2325</v>
      </c>
      <c r="V116" s="173"/>
      <c r="W116" s="313" t="s">
        <v>6558</v>
      </c>
      <c r="X116" s="645" t="s">
        <v>12317</v>
      </c>
      <c r="Y116" s="354"/>
      <c r="Z116" s="176"/>
      <c r="AA116" s="176"/>
      <c r="AB116" s="32">
        <f t="shared" ca="1" si="1"/>
        <v>0.16781465934205941</v>
      </c>
      <c r="AC116" s="812"/>
      <c r="AD116" s="763" t="s">
        <v>16832</v>
      </c>
      <c r="AE116" s="807"/>
      <c r="AF116" s="921">
        <f>IF(X116=X115,AF115,0)+IF(ISNUMBER(I116),IF(I116&lt;1,I116,I116*VLOOKUP(J116,Summary!$H$2:$I$9,2)),VLOOKUP(J116,Summary!$J$2:$K$9,2)*IF(ISNUMBER(H116),H116,1))</f>
        <v>0.34214120370370366</v>
      </c>
      <c r="AG116" s="289">
        <v>115</v>
      </c>
      <c r="AH116" s="94"/>
      <c r="AI116" s="94"/>
    </row>
    <row r="117" spans="1:35" s="22" customFormat="1" ht="12" customHeight="1" x14ac:dyDescent="0.25">
      <c r="A117" s="423" t="s">
        <v>14567</v>
      </c>
      <c r="B117" s="423">
        <v>1</v>
      </c>
      <c r="C117" s="423">
        <v>11</v>
      </c>
      <c r="D117" s="424" t="s">
        <v>27</v>
      </c>
      <c r="E117" s="319" t="s">
        <v>28</v>
      </c>
      <c r="F117" s="198">
        <v>23744</v>
      </c>
      <c r="G117" s="198">
        <v>23751</v>
      </c>
      <c r="H117" s="199">
        <v>2</v>
      </c>
      <c r="I117" s="791">
        <f>TIME(0,26,15)+TIME(0,24,36)</f>
        <v>3.5312500000000004E-2</v>
      </c>
      <c r="J117" s="904" t="s">
        <v>1588</v>
      </c>
      <c r="K117" s="200" t="s">
        <v>6145</v>
      </c>
      <c r="L117" s="200" t="s">
        <v>30</v>
      </c>
      <c r="M117" s="200"/>
      <c r="N117" s="200" t="s">
        <v>4444</v>
      </c>
      <c r="O117" s="200" t="s">
        <v>6144</v>
      </c>
      <c r="P117" s="197" t="s">
        <v>461</v>
      </c>
      <c r="Q117" s="200" t="s">
        <v>3946</v>
      </c>
      <c r="R117" s="201" t="s">
        <v>5280</v>
      </c>
      <c r="S117" s="390" t="s">
        <v>2329</v>
      </c>
      <c r="T117" s="197" t="s">
        <v>2324</v>
      </c>
      <c r="U117" s="197" t="s">
        <v>2325</v>
      </c>
      <c r="V117" s="197"/>
      <c r="W117" s="318" t="s">
        <v>8416</v>
      </c>
      <c r="X117" s="650" t="s">
        <v>12317</v>
      </c>
      <c r="Y117" s="358" t="s">
        <v>6141</v>
      </c>
      <c r="Z117" s="253">
        <v>29</v>
      </c>
      <c r="AA117" s="253">
        <v>9</v>
      </c>
      <c r="AB117" s="35">
        <f t="shared" ca="1" si="1"/>
        <v>0.7214407737802524</v>
      </c>
      <c r="AC117" s="820"/>
      <c r="AD117" s="821" t="s">
        <v>16206</v>
      </c>
      <c r="AE117" s="944" t="s">
        <v>12543</v>
      </c>
      <c r="AF117" s="925">
        <f>IF(X117=X116,AF116,0)+IF(ISNUMBER(I117),IF(I117&lt;1,I117,I117*VLOOKUP(J117,Summary!$H$2:$I$9,2)),VLOOKUP(J117,Summary!$J$2:$K$9,2)*IF(ISNUMBER(H117),H117,1))</f>
        <v>0.37745370370370368</v>
      </c>
      <c r="AG117" s="293">
        <v>116</v>
      </c>
      <c r="AH117" s="94"/>
      <c r="AI117" s="94"/>
    </row>
    <row r="118" spans="1:35" s="1" customFormat="1" ht="12" customHeight="1" x14ac:dyDescent="0.25">
      <c r="A118" s="416" t="s">
        <v>14567</v>
      </c>
      <c r="B118" s="416">
        <v>1</v>
      </c>
      <c r="C118" s="416">
        <v>44</v>
      </c>
      <c r="D118" s="417" t="s">
        <v>31</v>
      </c>
      <c r="E118" s="316" t="s">
        <v>32</v>
      </c>
      <c r="F118" s="187">
        <v>37073</v>
      </c>
      <c r="G118" s="188"/>
      <c r="H118" s="188">
        <v>5</v>
      </c>
      <c r="I118" s="188">
        <v>288</v>
      </c>
      <c r="J118" s="902" t="s">
        <v>6868</v>
      </c>
      <c r="K118" s="162" t="s">
        <v>6233</v>
      </c>
      <c r="L118" s="162" t="str">
        <f>IF(J118="Book","n/a","")</f>
        <v>n/a</v>
      </c>
      <c r="M118" s="162"/>
      <c r="N118" s="162"/>
      <c r="O118" s="162"/>
      <c r="P118" s="178" t="s">
        <v>6694</v>
      </c>
      <c r="Q118" s="162" t="s">
        <v>3953</v>
      </c>
      <c r="R118" s="189" t="s">
        <v>2717</v>
      </c>
      <c r="S118" s="366" t="s">
        <v>2329</v>
      </c>
      <c r="T118" s="178" t="s">
        <v>2324</v>
      </c>
      <c r="U118" s="178" t="s">
        <v>2325</v>
      </c>
      <c r="V118" s="178"/>
      <c r="W118" s="322" t="s">
        <v>8493</v>
      </c>
      <c r="X118" s="654" t="s">
        <v>12317</v>
      </c>
      <c r="Y118" s="356" t="s">
        <v>5656</v>
      </c>
      <c r="Z118" s="272">
        <v>219</v>
      </c>
      <c r="AA118" s="272">
        <v>2.5</v>
      </c>
      <c r="AB118" s="34">
        <f t="shared" ca="1" si="1"/>
        <v>8.4397983797843468E-2</v>
      </c>
      <c r="AC118" s="814"/>
      <c r="AD118" s="818" t="s">
        <v>15055</v>
      </c>
      <c r="AE118" s="942"/>
      <c r="AF118" s="923">
        <f>IF(X118=X117,AF117,0)+IF(ISNUMBER(I118),IF(I118&lt;1,I118,I118*VLOOKUP(J118,Summary!$H$2:$I$9,2)),VLOOKUP(J118,Summary!$J$2:$K$9,2)*IF(ISNUMBER(H118),H118,1))</f>
        <v>0.57745370370370375</v>
      </c>
      <c r="AG118" s="291">
        <v>117</v>
      </c>
      <c r="AH118" s="94"/>
      <c r="AI118" s="94"/>
    </row>
    <row r="119" spans="1:35" s="3" customFormat="1" ht="12" customHeight="1" x14ac:dyDescent="0.25">
      <c r="A119" s="413" t="s">
        <v>14567</v>
      </c>
      <c r="B119" s="413">
        <v>1</v>
      </c>
      <c r="C119" s="414">
        <v>2.12</v>
      </c>
      <c r="D119" s="176" t="s">
        <v>6559</v>
      </c>
      <c r="E119" s="313" t="s">
        <v>6560</v>
      </c>
      <c r="F119" s="174">
        <v>36220</v>
      </c>
      <c r="G119" s="174"/>
      <c r="H119" s="176">
        <v>1</v>
      </c>
      <c r="I119" s="176">
        <v>14</v>
      </c>
      <c r="J119" s="900" t="s">
        <v>2755</v>
      </c>
      <c r="K119" s="164" t="s">
        <v>6234</v>
      </c>
      <c r="L119" s="164" t="s">
        <v>461</v>
      </c>
      <c r="M119" s="164"/>
      <c r="N119" s="164" t="s">
        <v>6237</v>
      </c>
      <c r="O119" s="164"/>
      <c r="P119" s="173" t="s">
        <v>6561</v>
      </c>
      <c r="Q119" s="164" t="s">
        <v>3953</v>
      </c>
      <c r="R119" s="177" t="s">
        <v>2723</v>
      </c>
      <c r="S119" s="354" t="s">
        <v>2329</v>
      </c>
      <c r="T119" s="173" t="s">
        <v>2324</v>
      </c>
      <c r="U119" s="173" t="s">
        <v>2325</v>
      </c>
      <c r="V119" s="173"/>
      <c r="W119" s="313" t="s">
        <v>6560</v>
      </c>
      <c r="X119" s="645" t="s">
        <v>12317</v>
      </c>
      <c r="Y119" s="354" t="s">
        <v>6868</v>
      </c>
      <c r="Z119" s="157">
        <v>35</v>
      </c>
      <c r="AA119" s="176">
        <v>4.5</v>
      </c>
      <c r="AB119" s="32">
        <f t="shared" ca="1" si="1"/>
        <v>0.33432000185343513</v>
      </c>
      <c r="AC119" s="812"/>
      <c r="AD119" s="763" t="s">
        <v>15055</v>
      </c>
      <c r="AE119" s="807"/>
      <c r="AF119" s="921">
        <f>IF(X119=X118,AF118,0)+IF(ISNUMBER(I119),IF(I119&lt;1,I119,I119*VLOOKUP(J119,Summary!$H$2:$I$9,2)),VLOOKUP(J119,Summary!$J$2:$K$9,2)*IF(ISNUMBER(H119),H119,1))</f>
        <v>0.58717592592592593</v>
      </c>
      <c r="AG119" s="289">
        <v>118</v>
      </c>
      <c r="AH119" s="94"/>
      <c r="AI119" s="94"/>
    </row>
    <row r="120" spans="1:35" s="22" customFormat="1" ht="12" customHeight="1" x14ac:dyDescent="0.25">
      <c r="A120" s="423" t="s">
        <v>14567</v>
      </c>
      <c r="B120" s="423">
        <v>1</v>
      </c>
      <c r="C120" s="423">
        <v>12</v>
      </c>
      <c r="D120" s="424" t="s">
        <v>33</v>
      </c>
      <c r="E120" s="319" t="s">
        <v>34</v>
      </c>
      <c r="F120" s="198">
        <v>23758</v>
      </c>
      <c r="G120" s="198">
        <v>23779</v>
      </c>
      <c r="H120" s="199">
        <v>4</v>
      </c>
      <c r="I120" s="791">
        <f>TIME(0,24,14)+TIME(0,23,14)+TIME(0,26,18)+TIME(0,23, 9)</f>
        <v>6.7303240740740747E-2</v>
      </c>
      <c r="J120" s="904" t="s">
        <v>1588</v>
      </c>
      <c r="K120" s="200" t="s">
        <v>4444</v>
      </c>
      <c r="L120" s="200" t="s">
        <v>30</v>
      </c>
      <c r="M120" s="200"/>
      <c r="N120" s="200" t="s">
        <v>4444</v>
      </c>
      <c r="O120" s="200" t="s">
        <v>6144</v>
      </c>
      <c r="P120" s="197" t="s">
        <v>461</v>
      </c>
      <c r="Q120" s="200" t="s">
        <v>3946</v>
      </c>
      <c r="R120" s="201" t="s">
        <v>5280</v>
      </c>
      <c r="S120" s="390" t="s">
        <v>2329</v>
      </c>
      <c r="T120" s="197" t="s">
        <v>2324</v>
      </c>
      <c r="U120" s="197" t="s">
        <v>2325</v>
      </c>
      <c r="V120" s="197"/>
      <c r="W120" s="318" t="s">
        <v>8417</v>
      </c>
      <c r="X120" s="650" t="s">
        <v>12317</v>
      </c>
      <c r="Y120" s="358" t="s">
        <v>6141</v>
      </c>
      <c r="Z120" s="253">
        <v>178</v>
      </c>
      <c r="AA120" s="253">
        <v>5</v>
      </c>
      <c r="AB120" s="35">
        <f t="shared" ca="1" si="1"/>
        <v>0.8726592149284087</v>
      </c>
      <c r="AC120" s="820"/>
      <c r="AD120" s="824" t="s">
        <v>15056</v>
      </c>
      <c r="AE120" s="944"/>
      <c r="AF120" s="925">
        <f>IF(X120=X119,AF119,0)+IF(ISNUMBER(I120),IF(I120&lt;1,I120,I120*VLOOKUP(J120,Summary!$H$2:$I$9,2)),VLOOKUP(J120,Summary!$J$2:$K$9,2)*IF(ISNUMBER(H120),H120,1))</f>
        <v>0.65447916666666672</v>
      </c>
      <c r="AG120" s="293">
        <v>119</v>
      </c>
      <c r="AH120" s="94"/>
      <c r="AI120" s="94"/>
    </row>
    <row r="121" spans="1:35" s="1" customFormat="1" ht="12" customHeight="1" x14ac:dyDescent="0.25">
      <c r="A121" s="412" t="s">
        <v>14567</v>
      </c>
      <c r="B121" s="412">
        <v>1</v>
      </c>
      <c r="C121" s="415">
        <v>8.09</v>
      </c>
      <c r="D121" s="407" t="s">
        <v>8074</v>
      </c>
      <c r="E121" s="315" t="s">
        <v>8075</v>
      </c>
      <c r="F121" s="196">
        <v>41711</v>
      </c>
      <c r="G121" s="170"/>
      <c r="H121" s="170">
        <v>2</v>
      </c>
      <c r="I121" s="746">
        <f>TIME(1,2,42)</f>
        <v>4.3541666666666666E-2</v>
      </c>
      <c r="J121" s="899" t="s">
        <v>4706</v>
      </c>
      <c r="K121" s="167" t="s">
        <v>4552</v>
      </c>
      <c r="L121" s="167" t="s">
        <v>5662</v>
      </c>
      <c r="M121" s="167" t="s">
        <v>8076</v>
      </c>
      <c r="N121" s="167"/>
      <c r="O121" s="167"/>
      <c r="P121" s="168" t="s">
        <v>8077</v>
      </c>
      <c r="Q121" s="167" t="s">
        <v>3947</v>
      </c>
      <c r="R121" s="172" t="s">
        <v>3153</v>
      </c>
      <c r="S121" s="388" t="s">
        <v>2329</v>
      </c>
      <c r="T121" s="168" t="s">
        <v>2324</v>
      </c>
      <c r="U121" s="168" t="s">
        <v>2325</v>
      </c>
      <c r="V121" s="168"/>
      <c r="W121" s="312" t="s">
        <v>8486</v>
      </c>
      <c r="X121" s="644" t="s">
        <v>12317</v>
      </c>
      <c r="Y121" s="352" t="s">
        <v>5643</v>
      </c>
      <c r="Z121" s="353">
        <v>351</v>
      </c>
      <c r="AA121" s="353">
        <v>5</v>
      </c>
      <c r="AB121" s="31">
        <f t="shared" ca="1" si="1"/>
        <v>0.79995678318753982</v>
      </c>
      <c r="AC121" s="810"/>
      <c r="AD121" s="811"/>
      <c r="AE121" s="940"/>
      <c r="AF121" s="920">
        <f>IF(X121=X120,AF120,0)+IF(ISNUMBER(I121),IF(I121&lt;1,I121,I121*VLOOKUP(J121,Summary!$H$2:$I$9,2)),VLOOKUP(J121,Summary!$J$2:$K$9,2)*IF(ISNUMBER(H121),H121,1))</f>
        <v>0.69802083333333342</v>
      </c>
      <c r="AG121" s="287">
        <v>120</v>
      </c>
      <c r="AH121" s="94"/>
      <c r="AI121" s="94"/>
    </row>
    <row r="122" spans="1:35" s="3" customFormat="1" ht="12" customHeight="1" x14ac:dyDescent="0.25">
      <c r="A122" s="416" t="s">
        <v>14567</v>
      </c>
      <c r="B122" s="416">
        <v>1</v>
      </c>
      <c r="C122" s="416">
        <v>66</v>
      </c>
      <c r="D122" s="417" t="s">
        <v>35</v>
      </c>
      <c r="E122" s="316" t="s">
        <v>36</v>
      </c>
      <c r="F122" s="187">
        <v>38108</v>
      </c>
      <c r="G122" s="188"/>
      <c r="H122" s="188" t="str">
        <f>IF(J122="Book","n/a","")</f>
        <v>n/a</v>
      </c>
      <c r="I122" s="188">
        <v>288</v>
      </c>
      <c r="J122" s="902" t="s">
        <v>6868</v>
      </c>
      <c r="K122" s="162" t="s">
        <v>6234</v>
      </c>
      <c r="L122" s="162" t="str">
        <f>IF(J122="Book","n/a","")</f>
        <v>n/a</v>
      </c>
      <c r="M122" s="162"/>
      <c r="N122" s="162"/>
      <c r="O122" s="162"/>
      <c r="P122" s="178" t="s">
        <v>6695</v>
      </c>
      <c r="Q122" s="162" t="s">
        <v>3953</v>
      </c>
      <c r="R122" s="189" t="s">
        <v>2717</v>
      </c>
      <c r="S122" s="366" t="s">
        <v>2329</v>
      </c>
      <c r="T122" s="178" t="s">
        <v>2324</v>
      </c>
      <c r="U122" s="178" t="s">
        <v>2325</v>
      </c>
      <c r="V122" s="178"/>
      <c r="W122" s="316" t="s">
        <v>36</v>
      </c>
      <c r="X122" s="648" t="s">
        <v>12317</v>
      </c>
      <c r="Y122" s="356" t="s">
        <v>6868</v>
      </c>
      <c r="Z122" s="272">
        <v>38</v>
      </c>
      <c r="AA122" s="272">
        <v>7.5</v>
      </c>
      <c r="AB122" s="34">
        <f t="shared" ca="1" si="1"/>
        <v>0.215365931677577</v>
      </c>
      <c r="AC122" s="814"/>
      <c r="AD122" s="815" t="s">
        <v>16604</v>
      </c>
      <c r="AE122" s="942"/>
      <c r="AF122" s="923">
        <f>IF(X122=X121,AF121,0)+IF(ISNUMBER(I122),IF(I122&lt;1,I122,I122*VLOOKUP(J122,Summary!$H$2:$I$9,2)),VLOOKUP(J122,Summary!$J$2:$K$9,2)*IF(ISNUMBER(H122),H122,1))</f>
        <v>0.89802083333333349</v>
      </c>
      <c r="AG122" s="291">
        <v>121</v>
      </c>
      <c r="AH122" s="94"/>
      <c r="AI122" s="94"/>
    </row>
    <row r="123" spans="1:35" s="22" customFormat="1" ht="12" customHeight="1" x14ac:dyDescent="0.25">
      <c r="A123" s="423" t="s">
        <v>14567</v>
      </c>
      <c r="B123" s="423">
        <v>1</v>
      </c>
      <c r="C123" s="423">
        <v>13</v>
      </c>
      <c r="D123" s="424" t="s">
        <v>37</v>
      </c>
      <c r="E123" s="319" t="s">
        <v>3207</v>
      </c>
      <c r="F123" s="198">
        <v>23786</v>
      </c>
      <c r="G123" s="198">
        <v>23821</v>
      </c>
      <c r="H123" s="199">
        <v>6</v>
      </c>
      <c r="I123" s="791">
        <f>TIME(0,23,57)+TIME(0,23,20)+TIME(0,22,52)+TIME(0,25,50)+TIME(0,26, 4)+TIME(0,24,32)</f>
        <v>0.10179398148148147</v>
      </c>
      <c r="J123" s="904" t="s">
        <v>1588</v>
      </c>
      <c r="K123" s="200" t="s">
        <v>3208</v>
      </c>
      <c r="L123" s="200" t="s">
        <v>4459</v>
      </c>
      <c r="M123" s="200"/>
      <c r="N123" s="200" t="s">
        <v>4444</v>
      </c>
      <c r="O123" s="200" t="s">
        <v>6144</v>
      </c>
      <c r="P123" s="197" t="s">
        <v>461</v>
      </c>
      <c r="Q123" s="200" t="s">
        <v>3946</v>
      </c>
      <c r="R123" s="201" t="s">
        <v>5280</v>
      </c>
      <c r="S123" s="390" t="s">
        <v>2329</v>
      </c>
      <c r="T123" s="197" t="s">
        <v>2324</v>
      </c>
      <c r="U123" s="197" t="s">
        <v>2325</v>
      </c>
      <c r="V123" s="197"/>
      <c r="W123" s="318" t="s">
        <v>8418</v>
      </c>
      <c r="X123" s="650" t="s">
        <v>12317</v>
      </c>
      <c r="Y123" s="358" t="s">
        <v>6141</v>
      </c>
      <c r="Z123" s="253">
        <v>232</v>
      </c>
      <c r="AA123" s="253">
        <v>4</v>
      </c>
      <c r="AB123" s="35">
        <f t="shared" ca="1" si="1"/>
        <v>0.81984147032073029</v>
      </c>
      <c r="AC123" s="820"/>
      <c r="AD123" s="821" t="s">
        <v>16485</v>
      </c>
      <c r="AE123" s="944" t="s">
        <v>3365</v>
      </c>
      <c r="AF123" s="925">
        <f>IF(X123=X122,AF122,0)+IF(ISNUMBER(I123),IF(I123&lt;1,I123,I123*VLOOKUP(J123,Summary!$H$2:$I$9,2)),VLOOKUP(J123,Summary!$J$2:$K$9,2)*IF(ISNUMBER(H123),H123,1))</f>
        <v>0.99981481481481493</v>
      </c>
      <c r="AG123" s="293">
        <v>122</v>
      </c>
      <c r="AH123" s="94"/>
      <c r="AI123" s="94"/>
    </row>
    <row r="124" spans="1:35" s="22" customFormat="1" ht="12" customHeight="1" x14ac:dyDescent="0.25">
      <c r="A124" s="422"/>
      <c r="B124" s="422" t="s">
        <v>2650</v>
      </c>
      <c r="C124" s="422">
        <v>14.18</v>
      </c>
      <c r="D124" s="176" t="s">
        <v>7638</v>
      </c>
      <c r="E124" s="313" t="s">
        <v>2999</v>
      </c>
      <c r="F124" s="174">
        <v>38322</v>
      </c>
      <c r="G124" s="174"/>
      <c r="H124" s="176">
        <v>1</v>
      </c>
      <c r="I124" s="176">
        <v>2</v>
      </c>
      <c r="J124" s="900" t="s">
        <v>2755</v>
      </c>
      <c r="K124" s="164" t="s">
        <v>2998</v>
      </c>
      <c r="L124" s="164" t="s">
        <v>461</v>
      </c>
      <c r="M124" s="164"/>
      <c r="N124" s="164" t="s">
        <v>3807</v>
      </c>
      <c r="O124" s="164"/>
      <c r="P124" s="173" t="s">
        <v>6565</v>
      </c>
      <c r="Q124" s="164" t="s">
        <v>3947</v>
      </c>
      <c r="R124" s="179" t="s">
        <v>2723</v>
      </c>
      <c r="S124" s="354"/>
      <c r="T124" s="173"/>
      <c r="U124" s="173"/>
      <c r="V124" s="173"/>
      <c r="W124" s="313" t="s">
        <v>2999</v>
      </c>
      <c r="X124" s="645" t="s">
        <v>12317</v>
      </c>
      <c r="Y124" s="354"/>
      <c r="Z124" s="157">
        <v>49</v>
      </c>
      <c r="AA124" s="176">
        <v>4</v>
      </c>
      <c r="AB124" s="32">
        <f t="shared" ca="1" si="1"/>
        <v>0.36508077424799723</v>
      </c>
      <c r="AC124" s="812"/>
      <c r="AD124" s="763"/>
      <c r="AE124" s="807"/>
      <c r="AF124" s="921">
        <f>IF(X124=X123,AF123,0)+IF(ISNUMBER(I124),IF(I124&lt;1,I124,I124*VLOOKUP(J124,Summary!$H$2:$I$9,2)),VLOOKUP(J124,Summary!$J$2:$K$9,2)*IF(ISNUMBER(H124),H124,1))</f>
        <v>1.0012037037037038</v>
      </c>
      <c r="AG124" s="289">
        <v>123</v>
      </c>
      <c r="AH124" s="94"/>
      <c r="AI124" s="94"/>
    </row>
    <row r="125" spans="1:35" s="29" customFormat="1" ht="12" customHeight="1" x14ac:dyDescent="0.25">
      <c r="A125" s="412" t="s">
        <v>14567</v>
      </c>
      <c r="B125" s="412">
        <v>1</v>
      </c>
      <c r="C125" s="429">
        <v>3.2</v>
      </c>
      <c r="D125" s="407" t="s">
        <v>11338</v>
      </c>
      <c r="E125" s="315" t="s">
        <v>11339</v>
      </c>
      <c r="F125" s="196">
        <v>42656</v>
      </c>
      <c r="G125" s="170"/>
      <c r="H125" s="170">
        <v>4</v>
      </c>
      <c r="I125" s="746">
        <f>TIME(2,16,1)</f>
        <v>9.4456018518518522E-2</v>
      </c>
      <c r="J125" s="899" t="s">
        <v>4706</v>
      </c>
      <c r="K125" s="167" t="s">
        <v>6451</v>
      </c>
      <c r="L125" s="167" t="s">
        <v>5662</v>
      </c>
      <c r="M125" s="167"/>
      <c r="N125" s="167"/>
      <c r="O125" s="167"/>
      <c r="P125" s="168" t="s">
        <v>11340</v>
      </c>
      <c r="Q125" s="167" t="s">
        <v>3947</v>
      </c>
      <c r="R125" s="172" t="s">
        <v>8512</v>
      </c>
      <c r="S125" s="388" t="s">
        <v>2329</v>
      </c>
      <c r="T125" s="168" t="s">
        <v>2324</v>
      </c>
      <c r="U125" s="168" t="s">
        <v>2325</v>
      </c>
      <c r="V125" s="168"/>
      <c r="W125" s="312" t="s">
        <v>12072</v>
      </c>
      <c r="X125" s="644" t="s">
        <v>12317</v>
      </c>
      <c r="Y125" s="352" t="s">
        <v>5643</v>
      </c>
      <c r="Z125" s="353">
        <v>521</v>
      </c>
      <c r="AA125" s="353">
        <v>4</v>
      </c>
      <c r="AB125" s="31">
        <f t="shared" ca="1" si="1"/>
        <v>0.89442363208448727</v>
      </c>
      <c r="AC125" s="810"/>
      <c r="AD125" s="811"/>
      <c r="AE125" s="940"/>
      <c r="AF125" s="920">
        <f>IF(X125=X124,AF124,0)+IF(ISNUMBER(I125),IF(I125&lt;1,I125,I125*VLOOKUP(J125,Summary!$H$2:$I$9,2)),VLOOKUP(J125,Summary!$J$2:$K$9,2)*IF(ISNUMBER(H125),H125,1))</f>
        <v>1.0956597222222224</v>
      </c>
      <c r="AG125" s="287">
        <v>124</v>
      </c>
      <c r="AH125" s="94"/>
      <c r="AI125" s="94"/>
    </row>
    <row r="126" spans="1:35" s="22" customFormat="1" ht="12" customHeight="1" x14ac:dyDescent="0.25">
      <c r="A126" s="413" t="s">
        <v>14567</v>
      </c>
      <c r="B126" s="413">
        <v>1</v>
      </c>
      <c r="C126" s="433">
        <v>1</v>
      </c>
      <c r="D126" s="176" t="s">
        <v>13269</v>
      </c>
      <c r="E126" s="313" t="s">
        <v>12399</v>
      </c>
      <c r="F126" s="175">
        <v>42649</v>
      </c>
      <c r="G126" s="174"/>
      <c r="H126" s="176" t="s">
        <v>461</v>
      </c>
      <c r="I126" s="176"/>
      <c r="J126" s="900" t="s">
        <v>2755</v>
      </c>
      <c r="K126" s="164" t="s">
        <v>4552</v>
      </c>
      <c r="L126" s="164" t="s">
        <v>12401</v>
      </c>
      <c r="M126" s="164"/>
      <c r="N126" s="164"/>
      <c r="O126" s="164"/>
      <c r="P126" s="173" t="s">
        <v>12400</v>
      </c>
      <c r="Q126" s="164" t="s">
        <v>3953</v>
      </c>
      <c r="R126" s="177" t="s">
        <v>13260</v>
      </c>
      <c r="S126" s="354" t="s">
        <v>2329</v>
      </c>
      <c r="T126" s="173" t="s">
        <v>2324</v>
      </c>
      <c r="U126" s="173" t="s">
        <v>2325</v>
      </c>
      <c r="V126" s="173"/>
      <c r="W126" s="313" t="s">
        <v>12399</v>
      </c>
      <c r="X126" s="645" t="s">
        <v>12317</v>
      </c>
      <c r="Y126" s="354"/>
      <c r="Z126" s="176"/>
      <c r="AA126" s="176"/>
      <c r="AB126" s="32">
        <f t="shared" ca="1" si="1"/>
        <v>0.22202787025710524</v>
      </c>
      <c r="AC126" s="812"/>
      <c r="AD126" s="763" t="s">
        <v>16833</v>
      </c>
      <c r="AE126" s="807"/>
      <c r="AF126" s="921">
        <f>IF(X126=X125,AF125,0)+IF(ISNUMBER(I126),IF(I126&lt;1,I126,I126*VLOOKUP(J126,Summary!$H$2:$I$9,2)),VLOOKUP(J126,Summary!$J$2:$K$9,2)*IF(ISNUMBER(H126),H126,1))</f>
        <v>1.1130208333333336</v>
      </c>
      <c r="AG126" s="289">
        <v>125</v>
      </c>
      <c r="AH126" s="94"/>
      <c r="AI126" s="94"/>
    </row>
    <row r="127" spans="1:35" s="22" customFormat="1" ht="12" customHeight="1" x14ac:dyDescent="0.2">
      <c r="A127" s="412" t="s">
        <v>14567</v>
      </c>
      <c r="B127" s="412">
        <v>1</v>
      </c>
      <c r="C127" s="412">
        <v>4.01</v>
      </c>
      <c r="D127" s="407" t="s">
        <v>8382</v>
      </c>
      <c r="E127" s="315" t="s">
        <v>2956</v>
      </c>
      <c r="F127" s="196">
        <v>41530</v>
      </c>
      <c r="G127" s="170"/>
      <c r="H127" s="170">
        <v>6</v>
      </c>
      <c r="I127" s="746">
        <f>TIME(3,16,31)</f>
        <v>0.13646990740740741</v>
      </c>
      <c r="J127" s="899" t="s">
        <v>4706</v>
      </c>
      <c r="K127" s="167" t="s">
        <v>8383</v>
      </c>
      <c r="L127" s="167" t="s">
        <v>2313</v>
      </c>
      <c r="M127" s="167"/>
      <c r="N127" s="167"/>
      <c r="O127" s="167"/>
      <c r="P127" s="168" t="s">
        <v>8384</v>
      </c>
      <c r="Q127" s="167" t="s">
        <v>3947</v>
      </c>
      <c r="R127" s="172" t="s">
        <v>6992</v>
      </c>
      <c r="S127" s="388" t="s">
        <v>2329</v>
      </c>
      <c r="T127" s="168" t="s">
        <v>2324</v>
      </c>
      <c r="U127" s="168" t="s">
        <v>2325</v>
      </c>
      <c r="V127" s="168"/>
      <c r="W127" s="312" t="s">
        <v>8487</v>
      </c>
      <c r="X127" s="644" t="s">
        <v>12317</v>
      </c>
      <c r="Y127" s="352" t="s">
        <v>5643</v>
      </c>
      <c r="Z127" s="353">
        <v>58</v>
      </c>
      <c r="AA127" s="353">
        <v>8</v>
      </c>
      <c r="AB127" s="31">
        <f t="shared" ca="1" si="1"/>
        <v>0.87314743885006429</v>
      </c>
      <c r="AC127" s="810"/>
      <c r="AD127" s="811"/>
      <c r="AE127" s="940"/>
      <c r="AF127" s="920">
        <f>IF(X127=X126,AF126,0)+IF(ISNUMBER(I127),IF(I127&lt;1,I127,I127*VLOOKUP(J127,Summary!$H$2:$I$9,2)),VLOOKUP(J127,Summary!$J$2:$K$9,2)*IF(ISNUMBER(H127),H127,1))</f>
        <v>1.249490740740741</v>
      </c>
      <c r="AG127" s="287">
        <v>126</v>
      </c>
      <c r="AH127" s="94"/>
      <c r="AI127" s="94"/>
    </row>
    <row r="128" spans="1:35" s="22" customFormat="1" ht="12" customHeight="1" x14ac:dyDescent="0.2">
      <c r="A128" s="412" t="s">
        <v>14567</v>
      </c>
      <c r="B128" s="412">
        <v>1</v>
      </c>
      <c r="C128" s="415">
        <v>6.02</v>
      </c>
      <c r="D128" s="407" t="s">
        <v>724</v>
      </c>
      <c r="E128" s="315" t="s">
        <v>453</v>
      </c>
      <c r="F128" s="169">
        <v>40756</v>
      </c>
      <c r="G128" s="170"/>
      <c r="H128" s="170">
        <v>2</v>
      </c>
      <c r="I128" s="746">
        <f>TIME(1,8,18)</f>
        <v>4.7430555555555559E-2</v>
      </c>
      <c r="J128" s="899" t="s">
        <v>4706</v>
      </c>
      <c r="K128" s="167" t="s">
        <v>5666</v>
      </c>
      <c r="L128" s="167" t="s">
        <v>5662</v>
      </c>
      <c r="M128" s="167" t="s">
        <v>8072</v>
      </c>
      <c r="N128" s="167"/>
      <c r="O128" s="167"/>
      <c r="P128" s="168" t="s">
        <v>6696</v>
      </c>
      <c r="Q128" s="167" t="s">
        <v>3947</v>
      </c>
      <c r="R128" s="172" t="s">
        <v>3153</v>
      </c>
      <c r="S128" s="388" t="s">
        <v>2329</v>
      </c>
      <c r="T128" s="168" t="s">
        <v>2324</v>
      </c>
      <c r="U128" s="168" t="s">
        <v>2325</v>
      </c>
      <c r="V128" s="168"/>
      <c r="W128" s="312" t="s">
        <v>8503</v>
      </c>
      <c r="X128" s="644" t="s">
        <v>12317</v>
      </c>
      <c r="Y128" s="352" t="s">
        <v>5643</v>
      </c>
      <c r="Z128" s="353">
        <v>51</v>
      </c>
      <c r="AA128" s="353">
        <v>8.5</v>
      </c>
      <c r="AB128" s="31">
        <f t="shared" ca="1" si="1"/>
        <v>0.40972424779880845</v>
      </c>
      <c r="AC128" s="810"/>
      <c r="AD128" s="811"/>
      <c r="AE128" s="940"/>
      <c r="AF128" s="920">
        <f>IF(X128=X127,AF127,0)+IF(ISNUMBER(I128),IF(I128&lt;1,I128,I128*VLOOKUP(J128,Summary!$H$2:$I$9,2)),VLOOKUP(J128,Summary!$J$2:$K$9,2)*IF(ISNUMBER(H128),H128,1))</f>
        <v>1.2969212962962966</v>
      </c>
      <c r="AG128" s="287">
        <v>127</v>
      </c>
      <c r="AH128" s="94"/>
      <c r="AI128" s="94"/>
    </row>
    <row r="129" spans="1:36" s="43" customFormat="1" ht="12" customHeight="1" x14ac:dyDescent="0.25">
      <c r="A129" s="421" t="s">
        <v>14567</v>
      </c>
      <c r="B129" s="421">
        <v>1</v>
      </c>
      <c r="C129" s="421">
        <v>1</v>
      </c>
      <c r="D129" s="185" t="s">
        <v>8359</v>
      </c>
      <c r="E129" s="314" t="s">
        <v>8362</v>
      </c>
      <c r="F129" s="184">
        <v>41303</v>
      </c>
      <c r="G129" s="184"/>
      <c r="H129" s="185">
        <v>1</v>
      </c>
      <c r="I129" s="185">
        <v>22</v>
      </c>
      <c r="J129" s="901" t="s">
        <v>1796</v>
      </c>
      <c r="K129" s="163" t="s">
        <v>8333</v>
      </c>
      <c r="L129" s="163" t="s">
        <v>8360</v>
      </c>
      <c r="M129" s="163" t="s">
        <v>8361</v>
      </c>
      <c r="N129" s="163" t="s">
        <v>6573</v>
      </c>
      <c r="O129" s="163"/>
      <c r="P129" s="182" t="s">
        <v>461</v>
      </c>
      <c r="Q129" s="163" t="s">
        <v>5719</v>
      </c>
      <c r="R129" s="186" t="s">
        <v>5718</v>
      </c>
      <c r="S129" s="355" t="s">
        <v>2329</v>
      </c>
      <c r="T129" s="182" t="s">
        <v>2324</v>
      </c>
      <c r="U129" s="182" t="s">
        <v>2325</v>
      </c>
      <c r="V129" s="182"/>
      <c r="W129" s="314" t="s">
        <v>4648</v>
      </c>
      <c r="X129" s="646" t="s">
        <v>12317</v>
      </c>
      <c r="Y129" s="355" t="s">
        <v>6000</v>
      </c>
      <c r="Z129" s="185">
        <v>999</v>
      </c>
      <c r="AA129" s="185"/>
      <c r="AB129" s="33">
        <f t="shared" ca="1" si="1"/>
        <v>0.28147914030947441</v>
      </c>
      <c r="AC129" s="813"/>
      <c r="AD129" s="211" t="s">
        <v>16835</v>
      </c>
      <c r="AE129" s="941"/>
      <c r="AF129" s="922">
        <f>IF(X129=X128,AF128,0)+IF(ISNUMBER(I129),IF(I129&lt;1,I129,I129*VLOOKUP(J129,Summary!$H$2:$I$9,2)),VLOOKUP(J129,Summary!$J$2:$K$9,2)*IF(ISNUMBER(H129),H129,1))</f>
        <v>1.3045601851851856</v>
      </c>
      <c r="AG129" s="290">
        <v>128</v>
      </c>
      <c r="AH129" s="94"/>
      <c r="AI129" s="94"/>
    </row>
    <row r="130" spans="1:36" s="3" customFormat="1" ht="12" customHeight="1" x14ac:dyDescent="0.25">
      <c r="A130" s="425" t="s">
        <v>14567</v>
      </c>
      <c r="B130" s="425">
        <v>1</v>
      </c>
      <c r="C130" s="425">
        <v>14</v>
      </c>
      <c r="D130" s="426" t="s">
        <v>3209</v>
      </c>
      <c r="E130" s="427" t="s">
        <v>3210</v>
      </c>
      <c r="F130" s="203">
        <v>23828</v>
      </c>
      <c r="G130" s="203">
        <v>23849</v>
      </c>
      <c r="H130" s="204">
        <v>4</v>
      </c>
      <c r="I130" s="791">
        <f>TIME(0,24,56)+TIME(0,23,28)+TIME(0,24,51)+TIME(0,23,40)</f>
        <v>6.7303240740740747E-2</v>
      </c>
      <c r="J130" s="905" t="s">
        <v>1588</v>
      </c>
      <c r="K130" s="205" t="s">
        <v>6145</v>
      </c>
      <c r="L130" s="205" t="s">
        <v>3211</v>
      </c>
      <c r="M130" s="205"/>
      <c r="N130" s="205" t="s">
        <v>4444</v>
      </c>
      <c r="O130" s="205" t="s">
        <v>6144</v>
      </c>
      <c r="P130" s="202" t="s">
        <v>461</v>
      </c>
      <c r="Q130" s="205" t="s">
        <v>3946</v>
      </c>
      <c r="R130" s="206" t="s">
        <v>5280</v>
      </c>
      <c r="S130" s="391" t="s">
        <v>2329</v>
      </c>
      <c r="T130" s="202" t="s">
        <v>2324</v>
      </c>
      <c r="U130" s="202" t="s">
        <v>2325</v>
      </c>
      <c r="V130" s="202"/>
      <c r="W130" s="320" t="s">
        <v>9591</v>
      </c>
      <c r="X130" s="652" t="s">
        <v>12317</v>
      </c>
      <c r="Y130" s="359" t="s">
        <v>6141</v>
      </c>
      <c r="Z130" s="360">
        <v>230</v>
      </c>
      <c r="AA130" s="360">
        <v>4</v>
      </c>
      <c r="AB130" s="36">
        <f t="shared" ref="AB130:AB193" ca="1" si="3">RAND()</f>
        <v>0.97845989118173959</v>
      </c>
      <c r="AC130" s="822"/>
      <c r="AD130" s="823" t="s">
        <v>15075</v>
      </c>
      <c r="AE130" s="947" t="s">
        <v>15076</v>
      </c>
      <c r="AF130" s="926">
        <f>IF(X130=X129,AF129,0)+IF(ISNUMBER(I130),IF(I130&lt;1,I130,I130*VLOOKUP(J130,Summary!$H$2:$I$9,2)),VLOOKUP(J130,Summary!$J$2:$K$9,2)*IF(ISNUMBER(H130),H130,1))</f>
        <v>1.3718634259259264</v>
      </c>
      <c r="AG130" s="294">
        <v>129</v>
      </c>
      <c r="AH130" s="94"/>
      <c r="AI130" s="94"/>
    </row>
    <row r="131" spans="1:36" s="1" customFormat="1" ht="12" customHeight="1" x14ac:dyDescent="0.25">
      <c r="A131" s="423" t="s">
        <v>14567</v>
      </c>
      <c r="B131" s="423">
        <v>1</v>
      </c>
      <c r="C131" s="423">
        <v>15</v>
      </c>
      <c r="D131" s="424" t="s">
        <v>3212</v>
      </c>
      <c r="E131" s="319" t="s">
        <v>3213</v>
      </c>
      <c r="F131" s="198">
        <v>23856</v>
      </c>
      <c r="G131" s="198">
        <v>23877</v>
      </c>
      <c r="H131" s="199">
        <v>4</v>
      </c>
      <c r="I131" s="791">
        <f>TIME(0,23,38)+TIME(0,22, 0)+TIME(0,23,33)+TIME(0,22,15)</f>
        <v>6.3495370370370369E-2</v>
      </c>
      <c r="J131" s="904" t="s">
        <v>1588</v>
      </c>
      <c r="K131" s="200" t="s">
        <v>3214</v>
      </c>
      <c r="L131" s="200" t="s">
        <v>3215</v>
      </c>
      <c r="M131" s="200"/>
      <c r="N131" s="200" t="s">
        <v>4444</v>
      </c>
      <c r="O131" s="200" t="s">
        <v>6144</v>
      </c>
      <c r="P131" s="197" t="s">
        <v>461</v>
      </c>
      <c r="Q131" s="200" t="s">
        <v>3946</v>
      </c>
      <c r="R131" s="201" t="s">
        <v>5280</v>
      </c>
      <c r="S131" s="390" t="s">
        <v>2329</v>
      </c>
      <c r="T131" s="197" t="s">
        <v>2324</v>
      </c>
      <c r="U131" s="197" t="s">
        <v>2325</v>
      </c>
      <c r="V131" s="197"/>
      <c r="W131" s="318" t="s">
        <v>8419</v>
      </c>
      <c r="X131" s="650" t="s">
        <v>12317</v>
      </c>
      <c r="Y131" s="358" t="s">
        <v>6141</v>
      </c>
      <c r="Z131" s="253">
        <v>264</v>
      </c>
      <c r="AA131" s="253">
        <v>3</v>
      </c>
      <c r="AB131" s="35">
        <f t="shared" ca="1" si="3"/>
        <v>0.70056470804655657</v>
      </c>
      <c r="AC131" s="820"/>
      <c r="AD131" s="821" t="s">
        <v>16329</v>
      </c>
      <c r="AE131" s="944" t="s">
        <v>3365</v>
      </c>
      <c r="AF131" s="925">
        <f>IF(X131=X130,AF130,0)+IF(ISNUMBER(I131),IF(I131&lt;1,I131,I131*VLOOKUP(J131,Summary!$H$2:$I$9,2)),VLOOKUP(J131,Summary!$J$2:$K$9,2)*IF(ISNUMBER(H131),H131,1))</f>
        <v>1.4353587962962968</v>
      </c>
      <c r="AG131" s="293">
        <v>130</v>
      </c>
      <c r="AH131" s="94"/>
      <c r="AI131" s="94"/>
      <c r="AJ131" s="2"/>
    </row>
    <row r="132" spans="1:36" s="22" customFormat="1" ht="12" customHeight="1" x14ac:dyDescent="0.25">
      <c r="A132" s="413" t="s">
        <v>14567</v>
      </c>
      <c r="B132" s="413">
        <v>1</v>
      </c>
      <c r="C132" s="414">
        <v>2.0099999999999998</v>
      </c>
      <c r="D132" s="192" t="s">
        <v>1808</v>
      </c>
      <c r="E132" s="323" t="s">
        <v>1809</v>
      </c>
      <c r="F132" s="209">
        <v>40602</v>
      </c>
      <c r="G132" s="209"/>
      <c r="H132" s="192">
        <v>1</v>
      </c>
      <c r="I132" s="753">
        <f>TIME(0,20, 2)</f>
        <v>1.3912037037037037E-2</v>
      </c>
      <c r="J132" s="903" t="s">
        <v>2755</v>
      </c>
      <c r="K132" s="194" t="s">
        <v>1810</v>
      </c>
      <c r="L132" s="194" t="s">
        <v>3426</v>
      </c>
      <c r="M132" s="194" t="s">
        <v>3427</v>
      </c>
      <c r="N132" s="194"/>
      <c r="O132" s="194"/>
      <c r="P132" s="190" t="s">
        <v>6698</v>
      </c>
      <c r="Q132" s="194" t="s">
        <v>3947</v>
      </c>
      <c r="R132" s="193" t="s">
        <v>2722</v>
      </c>
      <c r="S132" s="357" t="s">
        <v>2329</v>
      </c>
      <c r="T132" s="190" t="s">
        <v>2324</v>
      </c>
      <c r="U132" s="190" t="s">
        <v>2325</v>
      </c>
      <c r="V132" s="190"/>
      <c r="W132" s="323" t="s">
        <v>1809</v>
      </c>
      <c r="X132" s="655" t="s">
        <v>12317</v>
      </c>
      <c r="Y132" s="357" t="s">
        <v>5643</v>
      </c>
      <c r="Z132" s="160">
        <v>7</v>
      </c>
      <c r="AA132" s="192">
        <v>8</v>
      </c>
      <c r="AB132" s="37">
        <f t="shared" ca="1" si="3"/>
        <v>0.40572817478355272</v>
      </c>
      <c r="AC132" s="816"/>
      <c r="AD132" s="817" t="s">
        <v>16834</v>
      </c>
      <c r="AE132" s="943"/>
      <c r="AF132" s="924">
        <f>IF(X132=X131,AF131,0)+IF(ISNUMBER(I132),IF(I132&lt;1,I132,I132*VLOOKUP(J132,Summary!$H$2:$I$9,2)),VLOOKUP(J132,Summary!$J$2:$K$9,2)*IF(ISNUMBER(H132),H132,1))</f>
        <v>1.449270833333334</v>
      </c>
      <c r="AG132" s="292">
        <v>131</v>
      </c>
      <c r="AH132" s="94"/>
      <c r="AI132" s="94"/>
    </row>
    <row r="133" spans="1:36" s="22" customFormat="1" ht="12" customHeight="1" x14ac:dyDescent="0.25">
      <c r="A133" s="413" t="s">
        <v>14567</v>
      </c>
      <c r="B133" s="413">
        <v>1</v>
      </c>
      <c r="C133" s="414">
        <v>14.12</v>
      </c>
      <c r="D133" s="176" t="s">
        <v>2812</v>
      </c>
      <c r="E133" s="313" t="s">
        <v>6563</v>
      </c>
      <c r="F133" s="174">
        <v>38322</v>
      </c>
      <c r="G133" s="174"/>
      <c r="H133" s="176">
        <v>1</v>
      </c>
      <c r="I133" s="176">
        <v>14</v>
      </c>
      <c r="J133" s="900" t="s">
        <v>2755</v>
      </c>
      <c r="K133" s="164" t="s">
        <v>6564</v>
      </c>
      <c r="L133" s="164" t="s">
        <v>461</v>
      </c>
      <c r="M133" s="164"/>
      <c r="N133" s="164" t="s">
        <v>3807</v>
      </c>
      <c r="O133" s="164"/>
      <c r="P133" s="173" t="s">
        <v>6565</v>
      </c>
      <c r="Q133" s="164" t="s">
        <v>3947</v>
      </c>
      <c r="R133" s="177" t="s">
        <v>2723</v>
      </c>
      <c r="S133" s="354" t="s">
        <v>2329</v>
      </c>
      <c r="T133" s="173" t="s">
        <v>2324</v>
      </c>
      <c r="U133" s="173" t="s">
        <v>2325</v>
      </c>
      <c r="V133" s="173"/>
      <c r="W133" s="313" t="s">
        <v>6563</v>
      </c>
      <c r="X133" s="645" t="s">
        <v>12317</v>
      </c>
      <c r="Y133" s="354"/>
      <c r="Z133" s="176">
        <v>30</v>
      </c>
      <c r="AA133" s="176">
        <v>5</v>
      </c>
      <c r="AB133" s="32">
        <f t="shared" ca="1" si="3"/>
        <v>0.47536315520724282</v>
      </c>
      <c r="AC133" s="812"/>
      <c r="AD133" s="763" t="s">
        <v>16836</v>
      </c>
      <c r="AE133" s="807"/>
      <c r="AF133" s="921">
        <f>IF(X133=X132,AF132,0)+IF(ISNUMBER(I133),IF(I133&lt;1,I133,I133*VLOOKUP(J133,Summary!$H$2:$I$9,2)),VLOOKUP(J133,Summary!$J$2:$K$9,2)*IF(ISNUMBER(H133),H133,1))</f>
        <v>1.4589930555555561</v>
      </c>
      <c r="AG133" s="289">
        <v>132</v>
      </c>
      <c r="AH133" s="94"/>
      <c r="AI133" s="94"/>
    </row>
    <row r="134" spans="1:36" s="22" customFormat="1" ht="12" customHeight="1" x14ac:dyDescent="0.25">
      <c r="A134" s="416" t="s">
        <v>14567</v>
      </c>
      <c r="B134" s="416">
        <v>1</v>
      </c>
      <c r="C134" s="416">
        <v>28</v>
      </c>
      <c r="D134" s="417" t="s">
        <v>3216</v>
      </c>
      <c r="E134" s="316" t="s">
        <v>3217</v>
      </c>
      <c r="F134" s="187">
        <v>35370</v>
      </c>
      <c r="G134" s="188"/>
      <c r="H134" s="188">
        <v>4</v>
      </c>
      <c r="I134" s="188">
        <v>272</v>
      </c>
      <c r="J134" s="902" t="s">
        <v>6868</v>
      </c>
      <c r="K134" s="162" t="s">
        <v>3451</v>
      </c>
      <c r="L134" s="162" t="str">
        <f>IF(J134="Book","n/a","")</f>
        <v>n/a</v>
      </c>
      <c r="M134" s="162"/>
      <c r="N134" s="162"/>
      <c r="O134" s="162"/>
      <c r="P134" s="178" t="s">
        <v>6697</v>
      </c>
      <c r="Q134" s="162" t="s">
        <v>601</v>
      </c>
      <c r="R134" s="189" t="s">
        <v>2715</v>
      </c>
      <c r="S134" s="366" t="s">
        <v>2329</v>
      </c>
      <c r="T134" s="178" t="s">
        <v>2324</v>
      </c>
      <c r="U134" s="178" t="s">
        <v>2325</v>
      </c>
      <c r="V134" s="178"/>
      <c r="W134" s="322" t="s">
        <v>8488</v>
      </c>
      <c r="X134" s="654" t="s">
        <v>12317</v>
      </c>
      <c r="Y134" s="356" t="s">
        <v>6868</v>
      </c>
      <c r="Z134" s="272">
        <v>3</v>
      </c>
      <c r="AA134" s="272">
        <v>9.5</v>
      </c>
      <c r="AB134" s="34">
        <f t="shared" ca="1" si="3"/>
        <v>0.4129518484508774</v>
      </c>
      <c r="AC134" s="814"/>
      <c r="AD134" s="815" t="s">
        <v>15112</v>
      </c>
      <c r="AE134" s="942"/>
      <c r="AF134" s="923">
        <f>IF(X134=X133,AF133,0)+IF(ISNUMBER(I134),IF(I134&lt;1,I134,I134*VLOOKUP(J134,Summary!$H$2:$I$9,2)),VLOOKUP(J134,Summary!$J$2:$K$9,2)*IF(ISNUMBER(H134),H134,1))</f>
        <v>1.647881944444445</v>
      </c>
      <c r="AG134" s="291">
        <v>133</v>
      </c>
      <c r="AH134" s="94"/>
      <c r="AI134" s="94"/>
    </row>
    <row r="135" spans="1:36" s="1" customFormat="1" ht="12" customHeight="1" x14ac:dyDescent="0.25">
      <c r="A135" s="412" t="s">
        <v>14567</v>
      </c>
      <c r="B135" s="412">
        <v>1</v>
      </c>
      <c r="C135" s="415">
        <v>8.08</v>
      </c>
      <c r="D135" s="407" t="s">
        <v>8069</v>
      </c>
      <c r="E135" s="315" t="s">
        <v>8070</v>
      </c>
      <c r="F135" s="169">
        <v>41671</v>
      </c>
      <c r="G135" s="170"/>
      <c r="H135" s="170">
        <v>2</v>
      </c>
      <c r="I135" s="746">
        <f>TIME(1,13,17)</f>
        <v>5.0891203703703702E-2</v>
      </c>
      <c r="J135" s="899" t="s">
        <v>4706</v>
      </c>
      <c r="K135" s="167" t="s">
        <v>3424</v>
      </c>
      <c r="L135" s="167" t="s">
        <v>5662</v>
      </c>
      <c r="M135" s="167" t="s">
        <v>8071</v>
      </c>
      <c r="N135" s="167"/>
      <c r="O135" s="167"/>
      <c r="P135" s="168" t="s">
        <v>8073</v>
      </c>
      <c r="Q135" s="167" t="s">
        <v>3947</v>
      </c>
      <c r="R135" s="172" t="s">
        <v>3153</v>
      </c>
      <c r="S135" s="388" t="s">
        <v>2329</v>
      </c>
      <c r="T135" s="168" t="s">
        <v>2324</v>
      </c>
      <c r="U135" s="168" t="s">
        <v>2325</v>
      </c>
      <c r="V135" s="168"/>
      <c r="W135" s="312" t="s">
        <v>8420</v>
      </c>
      <c r="X135" s="644" t="s">
        <v>12317</v>
      </c>
      <c r="Y135" s="352" t="s">
        <v>5643</v>
      </c>
      <c r="Z135" s="353">
        <v>261</v>
      </c>
      <c r="AA135" s="353">
        <v>5.5</v>
      </c>
      <c r="AB135" s="31">
        <f t="shared" ca="1" si="3"/>
        <v>0.46694071010236382</v>
      </c>
      <c r="AC135" s="810"/>
      <c r="AD135" s="811" t="s">
        <v>16837</v>
      </c>
      <c r="AE135" s="940"/>
      <c r="AF135" s="920">
        <f>IF(X135=X134,AF134,0)+IF(ISNUMBER(I135),IF(I135&lt;1,I135,I135*VLOOKUP(J135,Summary!$H$2:$I$9,2)),VLOOKUP(J135,Summary!$J$2:$K$9,2)*IF(ISNUMBER(H135),H135,1))</f>
        <v>1.6987731481481487</v>
      </c>
      <c r="AG135" s="287">
        <v>134</v>
      </c>
      <c r="AH135" s="94"/>
      <c r="AI135" s="94"/>
    </row>
    <row r="136" spans="1:36" s="2" customFormat="1" ht="12" customHeight="1" x14ac:dyDescent="0.25">
      <c r="A136" s="412" t="s">
        <v>14567</v>
      </c>
      <c r="B136" s="412">
        <v>1</v>
      </c>
      <c r="C136" s="415">
        <v>9.02</v>
      </c>
      <c r="D136" s="407" t="s">
        <v>9403</v>
      </c>
      <c r="E136" s="315" t="s">
        <v>9404</v>
      </c>
      <c r="F136" s="169">
        <v>42156</v>
      </c>
      <c r="G136" s="170"/>
      <c r="H136" s="170">
        <v>2</v>
      </c>
      <c r="I136" s="746">
        <f>TIME(0,56,47)</f>
        <v>3.9432870370370368E-2</v>
      </c>
      <c r="J136" s="899" t="s">
        <v>4706</v>
      </c>
      <c r="K136" s="167" t="s">
        <v>3424</v>
      </c>
      <c r="L136" s="167" t="s">
        <v>5662</v>
      </c>
      <c r="M136" s="167" t="s">
        <v>9405</v>
      </c>
      <c r="N136" s="167"/>
      <c r="O136" s="167"/>
      <c r="P136" s="168" t="s">
        <v>9402</v>
      </c>
      <c r="Q136" s="167" t="s">
        <v>3947</v>
      </c>
      <c r="R136" s="172" t="s">
        <v>3153</v>
      </c>
      <c r="S136" s="388" t="s">
        <v>2329</v>
      </c>
      <c r="T136" s="168"/>
      <c r="U136" s="168"/>
      <c r="V136" s="168"/>
      <c r="W136" s="312" t="s">
        <v>10107</v>
      </c>
      <c r="X136" s="644" t="s">
        <v>12317</v>
      </c>
      <c r="Y136" s="352" t="s">
        <v>5643</v>
      </c>
      <c r="Z136" s="353">
        <v>253</v>
      </c>
      <c r="AA136" s="353">
        <v>5.5</v>
      </c>
      <c r="AB136" s="31">
        <f t="shared" ca="1" si="3"/>
        <v>0.54530571111460968</v>
      </c>
      <c r="AC136" s="810"/>
      <c r="AD136" s="811"/>
      <c r="AE136" s="940"/>
      <c r="AF136" s="920">
        <f>IF(X136=X135,AF135,0)+IF(ISNUMBER(I136),IF(I136&lt;1,I136,I136*VLOOKUP(J136,Summary!$H$2:$I$9,2)),VLOOKUP(J136,Summary!$J$2:$K$9,2)*IF(ISNUMBER(H136),H136,1))</f>
        <v>1.7382060185185191</v>
      </c>
      <c r="AG136" s="287">
        <v>135</v>
      </c>
      <c r="AH136" s="94"/>
      <c r="AI136" s="94"/>
    </row>
    <row r="137" spans="1:36" s="22" customFormat="1" ht="12" customHeight="1" x14ac:dyDescent="0.2">
      <c r="A137" s="412" t="s">
        <v>14567</v>
      </c>
      <c r="B137" s="412">
        <v>1</v>
      </c>
      <c r="C137" s="429">
        <v>1.2</v>
      </c>
      <c r="D137" s="407" t="s">
        <v>8578</v>
      </c>
      <c r="E137" s="315" t="s">
        <v>8579</v>
      </c>
      <c r="F137" s="169">
        <v>41913</v>
      </c>
      <c r="G137" s="170"/>
      <c r="H137" s="170">
        <v>4</v>
      </c>
      <c r="I137" s="746">
        <f>TIME(2,18,19)</f>
        <v>9.6053240740740731E-2</v>
      </c>
      <c r="J137" s="899" t="s">
        <v>4706</v>
      </c>
      <c r="K137" s="167" t="s">
        <v>941</v>
      </c>
      <c r="L137" s="167" t="s">
        <v>2313</v>
      </c>
      <c r="M137" s="167"/>
      <c r="N137" s="167"/>
      <c r="O137" s="167"/>
      <c r="P137" s="168" t="s">
        <v>12134</v>
      </c>
      <c r="Q137" s="167" t="s">
        <v>3947</v>
      </c>
      <c r="R137" s="172" t="s">
        <v>8512</v>
      </c>
      <c r="S137" s="388" t="s">
        <v>2329</v>
      </c>
      <c r="T137" s="168" t="s">
        <v>2324</v>
      </c>
      <c r="U137" s="168" t="s">
        <v>2325</v>
      </c>
      <c r="V137" s="168"/>
      <c r="W137" s="312" t="s">
        <v>8665</v>
      </c>
      <c r="X137" s="644" t="s">
        <v>12317</v>
      </c>
      <c r="Y137" s="352" t="s">
        <v>5643</v>
      </c>
      <c r="Z137" s="353">
        <v>121</v>
      </c>
      <c r="AA137" s="353">
        <v>7</v>
      </c>
      <c r="AB137" s="31">
        <f t="shared" ca="1" si="3"/>
        <v>0.74603593134538559</v>
      </c>
      <c r="AC137" s="810"/>
      <c r="AD137" s="811" t="s">
        <v>16838</v>
      </c>
      <c r="AE137" s="940"/>
      <c r="AF137" s="920">
        <f>IF(X137=X136,AF136,0)+IF(ISNUMBER(I137),IF(I137&lt;1,I137,I137*VLOOKUP(J137,Summary!$H$2:$I$9,2)),VLOOKUP(J137,Summary!$J$2:$K$9,2)*IF(ISNUMBER(H137),H137,1))</f>
        <v>1.8342592592592597</v>
      </c>
      <c r="AG137" s="287">
        <v>136</v>
      </c>
      <c r="AH137" s="94"/>
      <c r="AI137" s="94"/>
    </row>
    <row r="138" spans="1:36" s="22" customFormat="1" ht="12" customHeight="1" x14ac:dyDescent="0.2">
      <c r="A138" s="421" t="s">
        <v>14567</v>
      </c>
      <c r="B138" s="421">
        <v>1</v>
      </c>
      <c r="C138" s="421"/>
      <c r="D138" s="185" t="s">
        <v>558</v>
      </c>
      <c r="E138" s="314" t="s">
        <v>559</v>
      </c>
      <c r="F138" s="183">
        <v>34213</v>
      </c>
      <c r="G138" s="183"/>
      <c r="H138" s="185">
        <v>1</v>
      </c>
      <c r="I138" s="185">
        <v>8</v>
      </c>
      <c r="J138" s="901" t="s">
        <v>1796</v>
      </c>
      <c r="K138" s="163" t="s">
        <v>7752</v>
      </c>
      <c r="L138" s="163" t="s">
        <v>560</v>
      </c>
      <c r="M138" s="163"/>
      <c r="N138" s="163" t="s">
        <v>561</v>
      </c>
      <c r="O138" s="163"/>
      <c r="P138" s="182" t="s">
        <v>2413</v>
      </c>
      <c r="Q138" s="163" t="s">
        <v>4062</v>
      </c>
      <c r="R138" s="186" t="s">
        <v>8669</v>
      </c>
      <c r="S138" s="355"/>
      <c r="T138" s="182" t="s">
        <v>2324</v>
      </c>
      <c r="U138" s="182"/>
      <c r="V138" s="182"/>
      <c r="W138" s="314" t="s">
        <v>559</v>
      </c>
      <c r="X138" s="646" t="s">
        <v>12317</v>
      </c>
      <c r="Y138" s="355"/>
      <c r="Z138" s="185">
        <v>999</v>
      </c>
      <c r="AA138" s="185">
        <v>6</v>
      </c>
      <c r="AB138" s="33">
        <f t="shared" ca="1" si="3"/>
        <v>0.84080127507652458</v>
      </c>
      <c r="AC138" s="813"/>
      <c r="AD138" s="211"/>
      <c r="AE138" s="949"/>
      <c r="AF138" s="922">
        <f>IF(X138=X137,AF137,0)+IF(ISNUMBER(I138),IF(I138&lt;1,I138,I138*VLOOKUP(J138,Summary!$H$2:$I$9,2)),VLOOKUP(J138,Summary!$J$2:$K$9,2)*IF(ISNUMBER(H138),H138,1))</f>
        <v>1.8370370370370375</v>
      </c>
      <c r="AG138" s="295">
        <v>137</v>
      </c>
      <c r="AH138" s="94"/>
      <c r="AI138" s="94"/>
    </row>
    <row r="139" spans="1:36" s="1" customFormat="1" ht="12" customHeight="1" x14ac:dyDescent="0.25">
      <c r="A139" s="423" t="s">
        <v>14567</v>
      </c>
      <c r="B139" s="423">
        <v>1</v>
      </c>
      <c r="C139" s="423">
        <v>16</v>
      </c>
      <c r="D139" s="424" t="s">
        <v>3218</v>
      </c>
      <c r="E139" s="319" t="s">
        <v>3219</v>
      </c>
      <c r="F139" s="198">
        <v>23884</v>
      </c>
      <c r="G139" s="198">
        <v>23919</v>
      </c>
      <c r="H139" s="199">
        <v>6</v>
      </c>
      <c r="I139" s="791">
        <f>TIME(0,25,25)+TIME(0,23,32)+TIME(0,25,23)+TIME(0,23,49)+TIME(0,23,27)+TIME(0,26,29)</f>
        <v>0.10283564814814813</v>
      </c>
      <c r="J139" s="904" t="s">
        <v>1588</v>
      </c>
      <c r="K139" s="200" t="s">
        <v>6148</v>
      </c>
      <c r="L139" s="200" t="s">
        <v>3220</v>
      </c>
      <c r="M139" s="200"/>
      <c r="N139" s="200" t="s">
        <v>4444</v>
      </c>
      <c r="O139" s="200" t="s">
        <v>6144</v>
      </c>
      <c r="P139" s="197" t="s">
        <v>461</v>
      </c>
      <c r="Q139" s="200" t="s">
        <v>3946</v>
      </c>
      <c r="R139" s="201" t="s">
        <v>5280</v>
      </c>
      <c r="S139" s="390" t="s">
        <v>2329</v>
      </c>
      <c r="T139" s="197" t="s">
        <v>2324</v>
      </c>
      <c r="U139" s="197" t="s">
        <v>2325</v>
      </c>
      <c r="V139" s="197" t="s">
        <v>2330</v>
      </c>
      <c r="W139" s="318" t="s">
        <v>8421</v>
      </c>
      <c r="X139" s="650" t="s">
        <v>12317</v>
      </c>
      <c r="Y139" s="358" t="s">
        <v>6141</v>
      </c>
      <c r="Z139" s="253">
        <v>265</v>
      </c>
      <c r="AA139" s="253">
        <v>3</v>
      </c>
      <c r="AB139" s="35">
        <f t="shared" ca="1" si="3"/>
        <v>0.44084282178255008</v>
      </c>
      <c r="AC139" s="820"/>
      <c r="AD139" s="821" t="s">
        <v>16616</v>
      </c>
      <c r="AE139" s="944" t="s">
        <v>16370</v>
      </c>
      <c r="AF139" s="925">
        <f>IF(X139=X138,AF138,0)+IF(ISNUMBER(I139),IF(I139&lt;1,I139,I139*VLOOKUP(J139,Summary!$H$2:$I$9,2)),VLOOKUP(J139,Summary!$J$2:$K$9,2)*IF(ISNUMBER(H139),H139,1))</f>
        <v>1.9398726851851855</v>
      </c>
      <c r="AG139" s="293">
        <v>138</v>
      </c>
      <c r="AH139" s="94"/>
      <c r="AI139" s="94"/>
    </row>
    <row r="140" spans="1:36" s="22" customFormat="1" ht="12" customHeight="1" x14ac:dyDescent="0.25">
      <c r="A140" s="422"/>
      <c r="B140" s="422" t="s">
        <v>2650</v>
      </c>
      <c r="C140" s="422">
        <v>5.09</v>
      </c>
      <c r="D140" s="434" t="s">
        <v>6885</v>
      </c>
      <c r="E140" s="324" t="s">
        <v>6892</v>
      </c>
      <c r="F140" s="174">
        <v>37681</v>
      </c>
      <c r="G140" s="174"/>
      <c r="H140" s="176">
        <v>1</v>
      </c>
      <c r="I140" s="176">
        <v>15</v>
      </c>
      <c r="J140" s="900" t="s">
        <v>2755</v>
      </c>
      <c r="K140" s="164" t="s">
        <v>1951</v>
      </c>
      <c r="L140" s="164" t="s">
        <v>461</v>
      </c>
      <c r="M140" s="164"/>
      <c r="N140" s="164" t="s">
        <v>4552</v>
      </c>
      <c r="O140" s="164"/>
      <c r="P140" s="173" t="s">
        <v>6556</v>
      </c>
      <c r="Q140" s="164" t="s">
        <v>3947</v>
      </c>
      <c r="R140" s="177" t="s">
        <v>2723</v>
      </c>
      <c r="S140" s="354"/>
      <c r="T140" s="173" t="s">
        <v>2324</v>
      </c>
      <c r="U140" s="173" t="s">
        <v>2325</v>
      </c>
      <c r="V140" s="173"/>
      <c r="W140" s="324" t="s">
        <v>6892</v>
      </c>
      <c r="X140" s="656" t="s">
        <v>12317</v>
      </c>
      <c r="Y140" s="354"/>
      <c r="Z140" s="176">
        <v>43</v>
      </c>
      <c r="AA140" s="176">
        <v>4</v>
      </c>
      <c r="AB140" s="32">
        <f t="shared" ca="1" si="3"/>
        <v>0.61787104583006802</v>
      </c>
      <c r="AC140" s="812"/>
      <c r="AD140" s="763"/>
      <c r="AE140" s="951"/>
      <c r="AF140" s="921">
        <f>IF(X140=X139,AF139,0)+IF(ISNUMBER(I140),IF(I140&lt;1,I140,I140*VLOOKUP(J140,Summary!$H$2:$I$9,2)),VLOOKUP(J140,Summary!$J$2:$K$9,2)*IF(ISNUMBER(H140),H140,1))</f>
        <v>1.9502893518518523</v>
      </c>
      <c r="AG140" s="288">
        <v>139</v>
      </c>
      <c r="AH140" s="94"/>
      <c r="AI140" s="94"/>
    </row>
    <row r="141" spans="1:36" s="1" customFormat="1" ht="12" customHeight="1" x14ac:dyDescent="0.25">
      <c r="A141" s="405"/>
      <c r="B141" s="406" t="s">
        <v>2650</v>
      </c>
      <c r="C141" s="405">
        <v>7.01</v>
      </c>
      <c r="D141" s="407" t="s">
        <v>5534</v>
      </c>
      <c r="E141" s="315" t="s">
        <v>4483</v>
      </c>
      <c r="F141" s="169">
        <v>41091</v>
      </c>
      <c r="G141" s="170"/>
      <c r="H141" s="170">
        <v>2</v>
      </c>
      <c r="I141" s="746">
        <f>TIME(1,6,18)</f>
        <v>4.6041666666666668E-2</v>
      </c>
      <c r="J141" s="899" t="s">
        <v>4706</v>
      </c>
      <c r="K141" s="167" t="s">
        <v>1643</v>
      </c>
      <c r="L141" s="167" t="s">
        <v>5662</v>
      </c>
      <c r="M141" s="167" t="s">
        <v>5536</v>
      </c>
      <c r="N141" s="167"/>
      <c r="O141" s="167" t="s">
        <v>3295</v>
      </c>
      <c r="P141" s="168" t="s">
        <v>5535</v>
      </c>
      <c r="Q141" s="167" t="s">
        <v>3947</v>
      </c>
      <c r="R141" s="172" t="s">
        <v>3153</v>
      </c>
      <c r="S141" s="388"/>
      <c r="T141" s="168" t="s">
        <v>2324</v>
      </c>
      <c r="U141" s="168"/>
      <c r="V141" s="168"/>
      <c r="W141" s="312" t="s">
        <v>8422</v>
      </c>
      <c r="X141" s="644" t="s">
        <v>12317</v>
      </c>
      <c r="Y141" s="352" t="s">
        <v>5398</v>
      </c>
      <c r="Z141" s="353">
        <v>125</v>
      </c>
      <c r="AA141" s="353">
        <v>7</v>
      </c>
      <c r="AB141" s="31">
        <f t="shared" ca="1" si="3"/>
        <v>0.65656383995357881</v>
      </c>
      <c r="AC141" s="810"/>
      <c r="AD141" s="811"/>
      <c r="AE141" s="940"/>
      <c r="AF141" s="920">
        <f>IF(X141=X140,AF140,0)+IF(ISNUMBER(I141),IF(I141&lt;1,I141,I141*VLOOKUP(J141,Summary!$H$2:$I$9,2)),VLOOKUP(J141,Summary!$J$2:$K$9,2)*IF(ISNUMBER(H141),H141,1))</f>
        <v>1.996331018518519</v>
      </c>
      <c r="AG141" s="287">
        <v>140</v>
      </c>
      <c r="AH141" s="94"/>
      <c r="AI141" s="94"/>
    </row>
    <row r="142" spans="1:36" s="8" customFormat="1" ht="12" customHeight="1" x14ac:dyDescent="0.25">
      <c r="A142" s="423" t="s">
        <v>14568</v>
      </c>
      <c r="B142" s="423">
        <v>1</v>
      </c>
      <c r="C142" s="423">
        <v>17</v>
      </c>
      <c r="D142" s="424" t="s">
        <v>3221</v>
      </c>
      <c r="E142" s="319" t="s">
        <v>3222</v>
      </c>
      <c r="F142" s="198">
        <v>23926</v>
      </c>
      <c r="G142" s="198">
        <v>23947</v>
      </c>
      <c r="H142" s="199">
        <v>4</v>
      </c>
      <c r="I142" s="791">
        <f>TIME(0,24,5)+TIME(0,25,17)+TIME(0,24,10)+TIME(0,24, 0)</f>
        <v>6.7731481481481476E-2</v>
      </c>
      <c r="J142" s="904" t="s">
        <v>1588</v>
      </c>
      <c r="K142" s="200" t="s">
        <v>4444</v>
      </c>
      <c r="L142" s="200" t="s">
        <v>3211</v>
      </c>
      <c r="M142" s="200"/>
      <c r="N142" s="200" t="s">
        <v>3223</v>
      </c>
      <c r="O142" s="200" t="s">
        <v>6144</v>
      </c>
      <c r="P142" s="197" t="s">
        <v>461</v>
      </c>
      <c r="Q142" s="200" t="s">
        <v>3946</v>
      </c>
      <c r="R142" s="201" t="s">
        <v>5280</v>
      </c>
      <c r="S142" s="390" t="s">
        <v>2329</v>
      </c>
      <c r="T142" s="197"/>
      <c r="U142" s="197"/>
      <c r="V142" s="197" t="s">
        <v>2330</v>
      </c>
      <c r="W142" s="318" t="s">
        <v>8423</v>
      </c>
      <c r="X142" s="650" t="s">
        <v>15422</v>
      </c>
      <c r="Y142" s="358" t="s">
        <v>6141</v>
      </c>
      <c r="Z142" s="253">
        <v>1</v>
      </c>
      <c r="AA142" s="253">
        <v>10</v>
      </c>
      <c r="AB142" s="35">
        <f t="shared" ca="1" si="3"/>
        <v>0.85140041750148165</v>
      </c>
      <c r="AC142" s="820"/>
      <c r="AD142" s="821" t="s">
        <v>15072</v>
      </c>
      <c r="AE142" s="944"/>
      <c r="AF142" s="925">
        <f>IF(X142=X141,AF141,0)+IF(ISNUMBER(I142),IF(I142&lt;1,I142,I142*VLOOKUP(J142,Summary!$H$2:$I$9,2)),VLOOKUP(J142,Summary!$J$2:$K$9,2)*IF(ISNUMBER(H142),H142,1))</f>
        <v>6.7731481481481476E-2</v>
      </c>
      <c r="AG142" s="293">
        <v>141</v>
      </c>
      <c r="AH142" s="94"/>
      <c r="AI142" s="94"/>
    </row>
    <row r="143" spans="1:36" s="22" customFormat="1" ht="12" customHeight="1" x14ac:dyDescent="0.2">
      <c r="A143" s="421" t="s">
        <v>14568</v>
      </c>
      <c r="B143" s="421">
        <v>1</v>
      </c>
      <c r="C143" s="421"/>
      <c r="D143" s="185" t="s">
        <v>4063</v>
      </c>
      <c r="E143" s="314" t="s">
        <v>551</v>
      </c>
      <c r="F143" s="183">
        <v>34516</v>
      </c>
      <c r="G143" s="183"/>
      <c r="H143" s="185">
        <v>1</v>
      </c>
      <c r="I143" s="185">
        <v>4</v>
      </c>
      <c r="J143" s="901" t="s">
        <v>1796</v>
      </c>
      <c r="K143" s="163" t="s">
        <v>552</v>
      </c>
      <c r="L143" s="163" t="s">
        <v>553</v>
      </c>
      <c r="M143" s="163"/>
      <c r="N143" s="163" t="s">
        <v>7375</v>
      </c>
      <c r="O143" s="163"/>
      <c r="P143" s="182" t="s">
        <v>461</v>
      </c>
      <c r="Q143" s="163" t="s">
        <v>4062</v>
      </c>
      <c r="R143" s="186" t="s">
        <v>5266</v>
      </c>
      <c r="S143" s="355" t="s">
        <v>2329</v>
      </c>
      <c r="T143" s="182"/>
      <c r="U143" s="182"/>
      <c r="V143" s="182" t="s">
        <v>2330</v>
      </c>
      <c r="W143" s="314" t="s">
        <v>551</v>
      </c>
      <c r="X143" s="646" t="s">
        <v>15422</v>
      </c>
      <c r="Y143" s="355"/>
      <c r="Z143" s="185">
        <v>999</v>
      </c>
      <c r="AA143" s="185"/>
      <c r="AB143" s="33">
        <f t="shared" ca="1" si="3"/>
        <v>0.48706891953454778</v>
      </c>
      <c r="AC143" s="813"/>
      <c r="AD143" s="211"/>
      <c r="AE143" s="941"/>
      <c r="AF143" s="922">
        <f>IF(X143=X142,AF142,0)+IF(ISNUMBER(I143),IF(I143&lt;1,I143,I143*VLOOKUP(J143,Summary!$H$2:$I$9,2)),VLOOKUP(J143,Summary!$J$2:$K$9,2)*IF(ISNUMBER(H143),H143,1))</f>
        <v>6.912037037037036E-2</v>
      </c>
      <c r="AG143" s="290">
        <v>142</v>
      </c>
      <c r="AH143" s="94"/>
      <c r="AI143" s="94"/>
    </row>
    <row r="144" spans="1:36" s="7" customFormat="1" ht="12" customHeight="1" x14ac:dyDescent="0.25">
      <c r="A144" s="412" t="s">
        <v>14568</v>
      </c>
      <c r="B144" s="412">
        <v>1</v>
      </c>
      <c r="C144" s="415">
        <v>4.07</v>
      </c>
      <c r="D144" s="407" t="s">
        <v>713</v>
      </c>
      <c r="E144" s="315" t="s">
        <v>4554</v>
      </c>
      <c r="F144" s="169">
        <v>40210</v>
      </c>
      <c r="G144" s="170"/>
      <c r="H144" s="170">
        <v>4</v>
      </c>
      <c r="I144" s="746">
        <f>TIME(2,16,7)</f>
        <v>9.4525462962962978E-2</v>
      </c>
      <c r="J144" s="899" t="s">
        <v>4706</v>
      </c>
      <c r="K144" s="167" t="s">
        <v>4552</v>
      </c>
      <c r="L144" s="167" t="s">
        <v>5662</v>
      </c>
      <c r="M144" s="167" t="s">
        <v>8011</v>
      </c>
      <c r="N144" s="167"/>
      <c r="O144" s="167"/>
      <c r="P144" s="168" t="s">
        <v>9184</v>
      </c>
      <c r="Q144" s="167" t="s">
        <v>3947</v>
      </c>
      <c r="R144" s="172" t="s">
        <v>3153</v>
      </c>
      <c r="S144" s="388" t="s">
        <v>2329</v>
      </c>
      <c r="T144" s="168"/>
      <c r="U144" s="168"/>
      <c r="V144" s="168" t="s">
        <v>2330</v>
      </c>
      <c r="W144" s="312" t="s">
        <v>8424</v>
      </c>
      <c r="X144" s="644" t="s">
        <v>15422</v>
      </c>
      <c r="Y144" s="352" t="s">
        <v>5398</v>
      </c>
      <c r="Z144" s="353">
        <v>78</v>
      </c>
      <c r="AA144" s="353">
        <v>8</v>
      </c>
      <c r="AB144" s="31">
        <f t="shared" ca="1" si="3"/>
        <v>5.4571845111256456E-3</v>
      </c>
      <c r="AC144" s="810"/>
      <c r="AD144" s="811" t="s">
        <v>16670</v>
      </c>
      <c r="AE144" s="940"/>
      <c r="AF144" s="920">
        <f>IF(X144=X143,AF143,0)+IF(ISNUMBER(I144),IF(I144&lt;1,I144,I144*VLOOKUP(J144,Summary!$H$2:$I$9,2)),VLOOKUP(J144,Summary!$J$2:$K$9,2)*IF(ISNUMBER(H144),H144,1))</f>
        <v>0.16364583333333332</v>
      </c>
      <c r="AG144" s="287">
        <v>143</v>
      </c>
      <c r="AH144" s="94"/>
      <c r="AI144" s="94"/>
    </row>
    <row r="145" spans="1:35" s="1" customFormat="1" ht="12" customHeight="1" x14ac:dyDescent="0.25">
      <c r="A145" s="413" t="s">
        <v>14568</v>
      </c>
      <c r="B145" s="413">
        <v>1</v>
      </c>
      <c r="C145" s="414">
        <v>8.01</v>
      </c>
      <c r="D145" s="176" t="s">
        <v>6566</v>
      </c>
      <c r="E145" s="313" t="s">
        <v>4373</v>
      </c>
      <c r="F145" s="174">
        <v>37956</v>
      </c>
      <c r="G145" s="174"/>
      <c r="H145" s="176">
        <v>1</v>
      </c>
      <c r="I145" s="176">
        <v>14</v>
      </c>
      <c r="J145" s="900" t="s">
        <v>2755</v>
      </c>
      <c r="K145" s="164" t="s">
        <v>2554</v>
      </c>
      <c r="L145" s="164" t="s">
        <v>461</v>
      </c>
      <c r="M145" s="164"/>
      <c r="N145" s="164" t="s">
        <v>4996</v>
      </c>
      <c r="O145" s="164"/>
      <c r="P145" s="173" t="s">
        <v>2555</v>
      </c>
      <c r="Q145" s="164" t="s">
        <v>3947</v>
      </c>
      <c r="R145" s="177" t="s">
        <v>2723</v>
      </c>
      <c r="S145" s="354" t="s">
        <v>2329</v>
      </c>
      <c r="T145" s="173"/>
      <c r="U145" s="173"/>
      <c r="V145" s="173" t="s">
        <v>2330</v>
      </c>
      <c r="W145" s="313" t="s">
        <v>4373</v>
      </c>
      <c r="X145" s="645" t="s">
        <v>15422</v>
      </c>
      <c r="Y145" s="354"/>
      <c r="Z145" s="176"/>
      <c r="AA145" s="176"/>
      <c r="AB145" s="32">
        <f t="shared" ca="1" si="3"/>
        <v>0.31360650427673109</v>
      </c>
      <c r="AC145" s="812"/>
      <c r="AD145" s="763"/>
      <c r="AE145" s="807"/>
      <c r="AF145" s="921">
        <f>IF(X145=X144,AF144,0)+IF(ISNUMBER(I145),IF(I145&lt;1,I145,I145*VLOOKUP(J145,Summary!$H$2:$I$9,2)),VLOOKUP(J145,Summary!$J$2:$K$9,2)*IF(ISNUMBER(H145),H145,1))</f>
        <v>0.17336805555555554</v>
      </c>
      <c r="AG145" s="289">
        <v>144</v>
      </c>
      <c r="AH145" s="94"/>
      <c r="AI145" s="94"/>
    </row>
    <row r="146" spans="1:35" s="2" customFormat="1" ht="12" customHeight="1" x14ac:dyDescent="0.25">
      <c r="A146" s="412" t="s">
        <v>14568</v>
      </c>
      <c r="B146" s="412">
        <v>1</v>
      </c>
      <c r="C146" s="415">
        <v>11.01</v>
      </c>
      <c r="D146" s="407" t="s">
        <v>12581</v>
      </c>
      <c r="E146" s="315" t="s">
        <v>12582</v>
      </c>
      <c r="F146" s="196">
        <v>42901</v>
      </c>
      <c r="G146" s="170"/>
      <c r="H146" s="170">
        <v>2</v>
      </c>
      <c r="I146" s="746">
        <f>TIME(1,7,14)</f>
        <v>4.6689814814814816E-2</v>
      </c>
      <c r="J146" s="899" t="s">
        <v>4706</v>
      </c>
      <c r="K146" s="167" t="s">
        <v>10208</v>
      </c>
      <c r="L146" s="167" t="s">
        <v>12404</v>
      </c>
      <c r="M146" s="167" t="s">
        <v>12583</v>
      </c>
      <c r="N146" s="167"/>
      <c r="O146" s="167"/>
      <c r="P146" s="168" t="s">
        <v>12406</v>
      </c>
      <c r="Q146" s="167" t="s">
        <v>3947</v>
      </c>
      <c r="R146" s="172" t="s">
        <v>3153</v>
      </c>
      <c r="S146" s="388" t="s">
        <v>2329</v>
      </c>
      <c r="T146" s="168"/>
      <c r="U146" s="168"/>
      <c r="V146" s="168" t="s">
        <v>2330</v>
      </c>
      <c r="W146" s="312" t="s">
        <v>12584</v>
      </c>
      <c r="X146" s="644" t="s">
        <v>15422</v>
      </c>
      <c r="Y146" s="352" t="s">
        <v>5643</v>
      </c>
      <c r="Z146" s="353">
        <v>608</v>
      </c>
      <c r="AA146" s="353">
        <v>3.5</v>
      </c>
      <c r="AB146" s="31">
        <f t="shared" ca="1" si="3"/>
        <v>0.3234775833468686</v>
      </c>
      <c r="AC146" s="810"/>
      <c r="AD146" s="811" t="s">
        <v>16839</v>
      </c>
      <c r="AE146" s="940" t="s">
        <v>12543</v>
      </c>
      <c r="AF146" s="920">
        <f>IF(X146=X145,AF145,0)+IF(ISNUMBER(I146),IF(I146&lt;1,I146,I146*VLOOKUP(J146,Summary!$H$2:$I$9,2)),VLOOKUP(J146,Summary!$J$2:$K$9,2)*IF(ISNUMBER(H146),H146,1))</f>
        <v>0.22005787037037036</v>
      </c>
      <c r="AG146" s="287">
        <v>145</v>
      </c>
      <c r="AH146" s="94"/>
      <c r="AI146" s="94"/>
    </row>
    <row r="147" spans="1:35" s="22" customFormat="1" ht="12" customHeight="1" x14ac:dyDescent="0.25">
      <c r="A147" s="413" t="s">
        <v>14568</v>
      </c>
      <c r="B147" s="413">
        <v>1</v>
      </c>
      <c r="C147" s="414">
        <v>11.09</v>
      </c>
      <c r="D147" s="176" t="s">
        <v>2556</v>
      </c>
      <c r="E147" s="313" t="s">
        <v>2557</v>
      </c>
      <c r="F147" s="174">
        <v>38200</v>
      </c>
      <c r="G147" s="174"/>
      <c r="H147" s="176">
        <v>1</v>
      </c>
      <c r="I147" s="176">
        <v>16</v>
      </c>
      <c r="J147" s="900" t="s">
        <v>2755</v>
      </c>
      <c r="K147" s="164" t="s">
        <v>2558</v>
      </c>
      <c r="L147" s="164" t="s">
        <v>461</v>
      </c>
      <c r="M147" s="164"/>
      <c r="N147" s="164" t="s">
        <v>7375</v>
      </c>
      <c r="O147" s="164"/>
      <c r="P147" s="173" t="s">
        <v>2559</v>
      </c>
      <c r="Q147" s="164" t="s">
        <v>3947</v>
      </c>
      <c r="R147" s="177" t="s">
        <v>2723</v>
      </c>
      <c r="S147" s="354" t="s">
        <v>2329</v>
      </c>
      <c r="T147" s="173"/>
      <c r="U147" s="173"/>
      <c r="V147" s="173" t="s">
        <v>2330</v>
      </c>
      <c r="W147" s="313" t="s">
        <v>2557</v>
      </c>
      <c r="X147" s="645" t="s">
        <v>15422</v>
      </c>
      <c r="Y147" s="354"/>
      <c r="Z147" s="157">
        <v>999</v>
      </c>
      <c r="AA147" s="176"/>
      <c r="AB147" s="32">
        <f t="shared" ca="1" si="3"/>
        <v>0.15163904575034115</v>
      </c>
      <c r="AC147" s="812"/>
      <c r="AD147" s="763" t="s">
        <v>15856</v>
      </c>
      <c r="AE147" s="807" t="s">
        <v>12543</v>
      </c>
      <c r="AF147" s="921">
        <f>IF(X147=X146,AF146,0)+IF(ISNUMBER(I147),IF(I147&lt;1,I147,I147*VLOOKUP(J147,Summary!$H$2:$I$9,2)),VLOOKUP(J147,Summary!$J$2:$K$9,2)*IF(ISNUMBER(H147),H147,1))</f>
        <v>0.23116898148148146</v>
      </c>
      <c r="AG147" s="289">
        <v>146</v>
      </c>
      <c r="AH147" s="94"/>
      <c r="AI147" s="94"/>
    </row>
    <row r="148" spans="1:35" s="22" customFormat="1" ht="12" customHeight="1" x14ac:dyDescent="0.2">
      <c r="A148" s="412" t="s">
        <v>14568</v>
      </c>
      <c r="B148" s="412">
        <v>1</v>
      </c>
      <c r="C148" s="415">
        <v>1.01</v>
      </c>
      <c r="D148" s="407" t="s">
        <v>140</v>
      </c>
      <c r="E148" s="315" t="s">
        <v>3224</v>
      </c>
      <c r="F148" s="196">
        <v>39118</v>
      </c>
      <c r="G148" s="170"/>
      <c r="H148" s="170">
        <v>2</v>
      </c>
      <c r="I148" s="746">
        <f>TIME(1,7,44)</f>
        <v>4.7037037037037037E-2</v>
      </c>
      <c r="J148" s="899" t="s">
        <v>4706</v>
      </c>
      <c r="K148" s="167" t="s">
        <v>941</v>
      </c>
      <c r="L148" s="167" t="s">
        <v>4553</v>
      </c>
      <c r="M148" s="167" t="s">
        <v>8030</v>
      </c>
      <c r="N148" s="167"/>
      <c r="O148" s="167"/>
      <c r="P148" s="168" t="s">
        <v>9157</v>
      </c>
      <c r="Q148" s="167" t="s">
        <v>3947</v>
      </c>
      <c r="R148" s="172" t="s">
        <v>3153</v>
      </c>
      <c r="S148" s="388" t="s">
        <v>2329</v>
      </c>
      <c r="T148" s="168"/>
      <c r="U148" s="168"/>
      <c r="V148" s="168" t="s">
        <v>2330</v>
      </c>
      <c r="W148" s="312" t="s">
        <v>8666</v>
      </c>
      <c r="X148" s="644" t="s">
        <v>15422</v>
      </c>
      <c r="Y148" s="352" t="s">
        <v>5398</v>
      </c>
      <c r="Z148" s="353">
        <v>98</v>
      </c>
      <c r="AA148" s="353">
        <v>7.5</v>
      </c>
      <c r="AB148" s="31">
        <f t="shared" ca="1" si="3"/>
        <v>0.26974893114430976</v>
      </c>
      <c r="AC148" s="810"/>
      <c r="AD148" s="825" t="s">
        <v>16566</v>
      </c>
      <c r="AE148" s="940"/>
      <c r="AF148" s="920">
        <f>IF(X148=X147,AF147,0)+IF(ISNUMBER(I148),IF(I148&lt;1,I148,I148*VLOOKUP(J148,Summary!$H$2:$I$9,2)),VLOOKUP(J148,Summary!$J$2:$K$9,2)*IF(ISNUMBER(H148),H148,1))</f>
        <v>0.27820601851851851</v>
      </c>
      <c r="AG148" s="287">
        <v>147</v>
      </c>
      <c r="AH148" s="94"/>
      <c r="AI148" s="94"/>
    </row>
    <row r="149" spans="1:35" s="7" customFormat="1" ht="12" customHeight="1" x14ac:dyDescent="0.25">
      <c r="A149" s="413" t="s">
        <v>14568</v>
      </c>
      <c r="B149" s="413">
        <v>1</v>
      </c>
      <c r="C149" s="414">
        <v>23.04</v>
      </c>
      <c r="D149" s="176" t="s">
        <v>2569</v>
      </c>
      <c r="E149" s="313" t="s">
        <v>2570</v>
      </c>
      <c r="F149" s="174">
        <v>39234</v>
      </c>
      <c r="G149" s="174"/>
      <c r="H149" s="176">
        <v>1</v>
      </c>
      <c r="I149" s="176">
        <v>11</v>
      </c>
      <c r="J149" s="900" t="s">
        <v>2755</v>
      </c>
      <c r="K149" s="164" t="s">
        <v>2571</v>
      </c>
      <c r="L149" s="164" t="s">
        <v>461</v>
      </c>
      <c r="M149" s="164"/>
      <c r="N149" s="164" t="s">
        <v>804</v>
      </c>
      <c r="O149" s="164"/>
      <c r="P149" s="173" t="s">
        <v>6700</v>
      </c>
      <c r="Q149" s="164" t="s">
        <v>3947</v>
      </c>
      <c r="R149" s="177" t="s">
        <v>2723</v>
      </c>
      <c r="S149" s="354" t="s">
        <v>2329</v>
      </c>
      <c r="T149" s="173"/>
      <c r="U149" s="173"/>
      <c r="V149" s="173" t="s">
        <v>2330</v>
      </c>
      <c r="W149" s="313" t="s">
        <v>2570</v>
      </c>
      <c r="X149" s="645" t="s">
        <v>15422</v>
      </c>
      <c r="Y149" s="354"/>
      <c r="Z149" s="176"/>
      <c r="AA149" s="176"/>
      <c r="AB149" s="32">
        <f t="shared" ca="1" si="3"/>
        <v>0.11223277292544953</v>
      </c>
      <c r="AC149" s="812"/>
      <c r="AD149" s="763" t="s">
        <v>16840</v>
      </c>
      <c r="AE149" s="807"/>
      <c r="AF149" s="921">
        <f>IF(X149=X148,AF148,0)+IF(ISNUMBER(I149),IF(I149&lt;1,I149,I149*VLOOKUP(J149,Summary!$H$2:$I$9,2)),VLOOKUP(J149,Summary!$J$2:$K$9,2)*IF(ISNUMBER(H149),H149,1))</f>
        <v>0.28584490740740742</v>
      </c>
      <c r="AG149" s="289">
        <v>148</v>
      </c>
      <c r="AH149" s="94"/>
      <c r="AI149" s="94"/>
    </row>
    <row r="150" spans="1:35" s="1" customFormat="1" ht="12" customHeight="1" x14ac:dyDescent="0.25">
      <c r="A150" s="413" t="s">
        <v>14568</v>
      </c>
      <c r="B150" s="413">
        <v>1</v>
      </c>
      <c r="C150" s="414">
        <v>25.15</v>
      </c>
      <c r="D150" s="176" t="s">
        <v>2572</v>
      </c>
      <c r="E150" s="313" t="s">
        <v>2573</v>
      </c>
      <c r="F150" s="174">
        <v>39417</v>
      </c>
      <c r="G150" s="174"/>
      <c r="H150" s="176">
        <v>1</v>
      </c>
      <c r="I150" s="176">
        <v>10</v>
      </c>
      <c r="J150" s="900" t="s">
        <v>2755</v>
      </c>
      <c r="K150" s="164" t="s">
        <v>4996</v>
      </c>
      <c r="L150" s="164" t="s">
        <v>461</v>
      </c>
      <c r="M150" s="164"/>
      <c r="N150" s="164" t="s">
        <v>5146</v>
      </c>
      <c r="O150" s="164"/>
      <c r="P150" s="173" t="s">
        <v>6701</v>
      </c>
      <c r="Q150" s="164" t="s">
        <v>3947</v>
      </c>
      <c r="R150" s="177" t="s">
        <v>2723</v>
      </c>
      <c r="S150" s="354" t="s">
        <v>2329</v>
      </c>
      <c r="T150" s="173"/>
      <c r="U150" s="173"/>
      <c r="V150" s="173" t="s">
        <v>2330</v>
      </c>
      <c r="W150" s="313" t="s">
        <v>2573</v>
      </c>
      <c r="X150" s="645" t="s">
        <v>15422</v>
      </c>
      <c r="Y150" s="354"/>
      <c r="Z150" s="176"/>
      <c r="AA150" s="176"/>
      <c r="AB150" s="32">
        <f t="shared" ca="1" si="3"/>
        <v>9.1406360521312235E-2</v>
      </c>
      <c r="AC150" s="812"/>
      <c r="AD150" s="763" t="s">
        <v>16841</v>
      </c>
      <c r="AE150" s="807"/>
      <c r="AF150" s="921">
        <f>IF(X150=X149,AF149,0)+IF(ISNUMBER(I150),IF(I150&lt;1,I150,I150*VLOOKUP(J150,Summary!$H$2:$I$9,2)),VLOOKUP(J150,Summary!$J$2:$K$9,2)*IF(ISNUMBER(H150),H150,1))</f>
        <v>0.29278935185185184</v>
      </c>
      <c r="AG150" s="289">
        <v>149</v>
      </c>
      <c r="AH150" s="94"/>
      <c r="AI150" s="94"/>
    </row>
    <row r="151" spans="1:35" s="22" customFormat="1" ht="12" customHeight="1" x14ac:dyDescent="0.25">
      <c r="A151" s="416" t="s">
        <v>14568</v>
      </c>
      <c r="B151" s="416">
        <v>1</v>
      </c>
      <c r="C151" s="416">
        <v>16</v>
      </c>
      <c r="D151" s="417" t="s">
        <v>3225</v>
      </c>
      <c r="E151" s="316" t="s">
        <v>3226</v>
      </c>
      <c r="F151" s="187">
        <v>35004</v>
      </c>
      <c r="G151" s="188"/>
      <c r="H151" s="188">
        <v>4</v>
      </c>
      <c r="I151" s="188">
        <v>259</v>
      </c>
      <c r="J151" s="902" t="s">
        <v>6868</v>
      </c>
      <c r="K151" s="162" t="s">
        <v>175</v>
      </c>
      <c r="L151" s="162" t="str">
        <f>IF(J151="Book","n/a","")</f>
        <v>n/a</v>
      </c>
      <c r="M151" s="162"/>
      <c r="N151" s="162"/>
      <c r="O151" s="162"/>
      <c r="P151" s="178" t="s">
        <v>8601</v>
      </c>
      <c r="Q151" s="162" t="s">
        <v>601</v>
      </c>
      <c r="R151" s="189" t="s">
        <v>2715</v>
      </c>
      <c r="S151" s="366" t="s">
        <v>2329</v>
      </c>
      <c r="T151" s="178"/>
      <c r="U151" s="178"/>
      <c r="V151" s="178" t="s">
        <v>2330</v>
      </c>
      <c r="W151" s="322" t="s">
        <v>9311</v>
      </c>
      <c r="X151" s="654" t="s">
        <v>15422</v>
      </c>
      <c r="Y151" s="356" t="s">
        <v>6868</v>
      </c>
      <c r="Z151" s="272">
        <v>39</v>
      </c>
      <c r="AA151" s="272">
        <v>7.5</v>
      </c>
      <c r="AB151" s="34">
        <f t="shared" ca="1" si="3"/>
        <v>0.93930800380167323</v>
      </c>
      <c r="AC151" s="814"/>
      <c r="AD151" s="815" t="s">
        <v>15113</v>
      </c>
      <c r="AE151" s="942"/>
      <c r="AF151" s="923">
        <f>IF(X151=X150,AF150,0)+IF(ISNUMBER(I151),IF(I151&lt;1,I151,I151*VLOOKUP(J151,Summary!$H$2:$I$9,2)),VLOOKUP(J151,Summary!$J$2:$K$9,2)*IF(ISNUMBER(H151),H151,1))</f>
        <v>0.47265046296296298</v>
      </c>
      <c r="AG151" s="291">
        <v>150</v>
      </c>
      <c r="AH151" s="94"/>
      <c r="AI151" s="94"/>
    </row>
    <row r="152" spans="1:35" s="22" customFormat="1" ht="12" customHeight="1" x14ac:dyDescent="0.25">
      <c r="A152" s="413" t="s">
        <v>14568</v>
      </c>
      <c r="B152" s="413">
        <v>1</v>
      </c>
      <c r="C152" s="414">
        <v>17.04</v>
      </c>
      <c r="D152" s="176" t="s">
        <v>2566</v>
      </c>
      <c r="E152" s="313" t="s">
        <v>2567</v>
      </c>
      <c r="F152" s="174">
        <v>38596</v>
      </c>
      <c r="G152" s="174"/>
      <c r="H152" s="176">
        <v>1</v>
      </c>
      <c r="I152" s="176">
        <v>21</v>
      </c>
      <c r="J152" s="900" t="s">
        <v>2755</v>
      </c>
      <c r="K152" s="164" t="s">
        <v>4032</v>
      </c>
      <c r="L152" s="164" t="s">
        <v>461</v>
      </c>
      <c r="M152" s="164"/>
      <c r="N152" s="164" t="s">
        <v>7375</v>
      </c>
      <c r="O152" s="164"/>
      <c r="P152" s="173" t="s">
        <v>2568</v>
      </c>
      <c r="Q152" s="164" t="s">
        <v>3947</v>
      </c>
      <c r="R152" s="177" t="s">
        <v>2723</v>
      </c>
      <c r="S152" s="354" t="s">
        <v>2329</v>
      </c>
      <c r="T152" s="173"/>
      <c r="U152" s="173"/>
      <c r="V152" s="173" t="s">
        <v>2330</v>
      </c>
      <c r="W152" s="313" t="s">
        <v>2567</v>
      </c>
      <c r="X152" s="645" t="s">
        <v>15422</v>
      </c>
      <c r="Y152" s="354"/>
      <c r="Z152" s="176">
        <v>999</v>
      </c>
      <c r="AA152" s="176"/>
      <c r="AB152" s="32">
        <f t="shared" ca="1" si="3"/>
        <v>0.6673552849593849</v>
      </c>
      <c r="AC152" s="812"/>
      <c r="AD152" s="763"/>
      <c r="AE152" s="807"/>
      <c r="AF152" s="921">
        <f>IF(X152=X151,AF151,0)+IF(ISNUMBER(I152),IF(I152&lt;1,I152,I152*VLOOKUP(J152,Summary!$H$2:$I$9,2)),VLOOKUP(J152,Summary!$J$2:$K$9,2)*IF(ISNUMBER(H152),H152,1))</f>
        <v>0.48723379629629632</v>
      </c>
      <c r="AG152" s="289">
        <v>151</v>
      </c>
      <c r="AH152" s="94"/>
      <c r="AI152" s="94"/>
    </row>
    <row r="153" spans="1:35" s="22" customFormat="1" ht="12" customHeight="1" x14ac:dyDescent="0.2">
      <c r="A153" s="412" t="s">
        <v>14568</v>
      </c>
      <c r="B153" s="412">
        <v>1</v>
      </c>
      <c r="C153" s="415">
        <v>8.0299999999999994</v>
      </c>
      <c r="D153" s="407" t="s">
        <v>8009</v>
      </c>
      <c r="E153" s="315" t="s">
        <v>8010</v>
      </c>
      <c r="F153" s="169">
        <v>41518</v>
      </c>
      <c r="G153" s="170"/>
      <c r="H153" s="170">
        <v>2</v>
      </c>
      <c r="I153" s="746">
        <f>TIME(0,59,57)</f>
        <v>4.1631944444444451E-2</v>
      </c>
      <c r="J153" s="899" t="s">
        <v>4706</v>
      </c>
      <c r="K153" s="167" t="s">
        <v>7633</v>
      </c>
      <c r="L153" s="167" t="s">
        <v>5662</v>
      </c>
      <c r="M153" s="167" t="s">
        <v>8011</v>
      </c>
      <c r="N153" s="167"/>
      <c r="O153" s="167"/>
      <c r="P153" s="168" t="s">
        <v>8012</v>
      </c>
      <c r="Q153" s="167" t="s">
        <v>3947</v>
      </c>
      <c r="R153" s="172" t="s">
        <v>3153</v>
      </c>
      <c r="S153" s="388" t="s">
        <v>2329</v>
      </c>
      <c r="T153" s="168"/>
      <c r="U153" s="168"/>
      <c r="V153" s="168" t="s">
        <v>2330</v>
      </c>
      <c r="W153" s="312" t="s">
        <v>8425</v>
      </c>
      <c r="X153" s="644" t="s">
        <v>15422</v>
      </c>
      <c r="Y153" s="352" t="s">
        <v>5643</v>
      </c>
      <c r="Z153" s="353">
        <v>42</v>
      </c>
      <c r="AA153" s="353">
        <v>8.5</v>
      </c>
      <c r="AB153" s="31">
        <f t="shared" ca="1" si="3"/>
        <v>8.8806528776433691E-2</v>
      </c>
      <c r="AC153" s="810"/>
      <c r="AD153" s="811" t="s">
        <v>16842</v>
      </c>
      <c r="AE153" s="940"/>
      <c r="AF153" s="920">
        <f>IF(X153=X152,AF152,0)+IF(ISNUMBER(I153),IF(I153&lt;1,I153,I153*VLOOKUP(J153,Summary!$H$2:$I$9,2)),VLOOKUP(J153,Summary!$J$2:$K$9,2)*IF(ISNUMBER(H153),H153,1))</f>
        <v>0.52886574074074078</v>
      </c>
      <c r="AG153" s="287">
        <v>152</v>
      </c>
      <c r="AH153" s="94"/>
      <c r="AI153" s="94"/>
    </row>
    <row r="154" spans="1:35" s="1" customFormat="1" ht="12" customHeight="1" x14ac:dyDescent="0.25">
      <c r="A154" s="412" t="s">
        <v>14568</v>
      </c>
      <c r="B154" s="412">
        <v>1</v>
      </c>
      <c r="C154" s="429">
        <v>1.3</v>
      </c>
      <c r="D154" s="407" t="s">
        <v>9270</v>
      </c>
      <c r="E154" s="315" t="s">
        <v>9271</v>
      </c>
      <c r="F154" s="196">
        <v>41947</v>
      </c>
      <c r="G154" s="170"/>
      <c r="H154" s="170">
        <v>4</v>
      </c>
      <c r="I154" s="746">
        <f>TIME(1,52,29)</f>
        <v>7.8113425925925919E-2</v>
      </c>
      <c r="J154" s="899" t="s">
        <v>4706</v>
      </c>
      <c r="K154" s="167" t="s">
        <v>3424</v>
      </c>
      <c r="L154" s="167" t="s">
        <v>5662</v>
      </c>
      <c r="M154" s="167"/>
      <c r="N154" s="167"/>
      <c r="O154" s="167"/>
      <c r="P154" s="168" t="s">
        <v>9272</v>
      </c>
      <c r="Q154" s="167" t="s">
        <v>3947</v>
      </c>
      <c r="R154" s="172" t="s">
        <v>8512</v>
      </c>
      <c r="S154" s="388" t="s">
        <v>2329</v>
      </c>
      <c r="T154" s="168"/>
      <c r="U154" s="168"/>
      <c r="V154" s="168" t="s">
        <v>2330</v>
      </c>
      <c r="W154" s="312" t="s">
        <v>9273</v>
      </c>
      <c r="X154" s="644" t="s">
        <v>15422</v>
      </c>
      <c r="Y154" s="352" t="s">
        <v>5643</v>
      </c>
      <c r="Z154" s="353">
        <v>381</v>
      </c>
      <c r="AA154" s="353">
        <v>5</v>
      </c>
      <c r="AB154" s="31">
        <f t="shared" ca="1" si="3"/>
        <v>0.30708055297887149</v>
      </c>
      <c r="AC154" s="810"/>
      <c r="AD154" s="811"/>
      <c r="AE154" s="940"/>
      <c r="AF154" s="920">
        <f>IF(X154=X153,AF153,0)+IF(ISNUMBER(I154),IF(I154&lt;1,I154,I154*VLOOKUP(J154,Summary!$H$2:$I$9,2)),VLOOKUP(J154,Summary!$J$2:$K$9,2)*IF(ISNUMBER(H154),H154,1))</f>
        <v>0.60697916666666674</v>
      </c>
      <c r="AG154" s="287">
        <v>153</v>
      </c>
      <c r="AH154" s="94"/>
      <c r="AI154" s="94"/>
    </row>
    <row r="155" spans="1:35" s="1" customFormat="1" ht="12" customHeight="1" x14ac:dyDescent="0.25">
      <c r="A155" s="412" t="s">
        <v>14568</v>
      </c>
      <c r="B155" s="412">
        <v>1</v>
      </c>
      <c r="C155" s="415">
        <v>9.0299999999999994</v>
      </c>
      <c r="D155" s="407" t="s">
        <v>9406</v>
      </c>
      <c r="E155" s="315" t="s">
        <v>9407</v>
      </c>
      <c r="F155" s="169">
        <v>42156</v>
      </c>
      <c r="G155" s="170"/>
      <c r="H155" s="170">
        <v>2</v>
      </c>
      <c r="I155" s="746">
        <f>TIME(1,2,29)</f>
        <v>4.3391203703703703E-2</v>
      </c>
      <c r="J155" s="899" t="s">
        <v>4706</v>
      </c>
      <c r="K155" s="167" t="s">
        <v>5664</v>
      </c>
      <c r="L155" s="167" t="s">
        <v>5662</v>
      </c>
      <c r="M155" s="167" t="s">
        <v>8080</v>
      </c>
      <c r="N155" s="167"/>
      <c r="O155" s="167"/>
      <c r="P155" s="168" t="s">
        <v>9402</v>
      </c>
      <c r="Q155" s="167" t="s">
        <v>3947</v>
      </c>
      <c r="R155" s="172" t="s">
        <v>3153</v>
      </c>
      <c r="S155" s="388" t="s">
        <v>2329</v>
      </c>
      <c r="T155" s="168"/>
      <c r="U155" s="168"/>
      <c r="V155" s="168" t="s">
        <v>2330</v>
      </c>
      <c r="W155" s="312" t="s">
        <v>10108</v>
      </c>
      <c r="X155" s="644" t="s">
        <v>15422</v>
      </c>
      <c r="Y155" s="352" t="s">
        <v>5643</v>
      </c>
      <c r="Z155" s="353">
        <v>601</v>
      </c>
      <c r="AA155" s="353">
        <v>3.5</v>
      </c>
      <c r="AB155" s="31">
        <f t="shared" ca="1" si="3"/>
        <v>0.77763026273607982</v>
      </c>
      <c r="AC155" s="810"/>
      <c r="AD155" s="811" t="s">
        <v>16843</v>
      </c>
      <c r="AE155" s="940"/>
      <c r="AF155" s="920">
        <f>IF(X155=X154,AF154,0)+IF(ISNUMBER(I155),IF(I155&lt;1,I155,I155*VLOOKUP(J155,Summary!$H$2:$I$9,2)),VLOOKUP(J155,Summary!$J$2:$K$9,2)*IF(ISNUMBER(H155),H155,1))</f>
        <v>0.65037037037037049</v>
      </c>
      <c r="AG155" s="287">
        <v>154</v>
      </c>
      <c r="AH155" s="94"/>
      <c r="AI155" s="94"/>
    </row>
    <row r="156" spans="1:35" s="1" customFormat="1" ht="12" customHeight="1" x14ac:dyDescent="0.25">
      <c r="A156" s="413" t="s">
        <v>14568</v>
      </c>
      <c r="B156" s="413">
        <v>1</v>
      </c>
      <c r="C156" s="414">
        <v>5.09</v>
      </c>
      <c r="D156" s="192" t="s">
        <v>10199</v>
      </c>
      <c r="E156" s="323" t="s">
        <v>10200</v>
      </c>
      <c r="F156" s="209">
        <v>42271</v>
      </c>
      <c r="G156" s="209"/>
      <c r="H156" s="192">
        <v>1</v>
      </c>
      <c r="I156" s="753">
        <f>TIME(0,36,29)</f>
        <v>2.5335648148148149E-2</v>
      </c>
      <c r="J156" s="903" t="s">
        <v>2755</v>
      </c>
      <c r="K156" s="194" t="s">
        <v>338</v>
      </c>
      <c r="L156" s="194" t="s">
        <v>5662</v>
      </c>
      <c r="M156" s="194" t="s">
        <v>7564</v>
      </c>
      <c r="N156" s="194"/>
      <c r="O156" s="194"/>
      <c r="P156" s="190" t="s">
        <v>10201</v>
      </c>
      <c r="Q156" s="194" t="s">
        <v>3947</v>
      </c>
      <c r="R156" s="193" t="s">
        <v>2722</v>
      </c>
      <c r="S156" s="357" t="s">
        <v>2329</v>
      </c>
      <c r="T156" s="190"/>
      <c r="U156" s="190"/>
      <c r="V156" s="190" t="s">
        <v>2330</v>
      </c>
      <c r="W156" s="323" t="s">
        <v>10200</v>
      </c>
      <c r="X156" s="655" t="s">
        <v>15422</v>
      </c>
      <c r="Y156" s="357" t="s">
        <v>5643</v>
      </c>
      <c r="Z156" s="160">
        <v>23</v>
      </c>
      <c r="AA156" s="192">
        <v>6</v>
      </c>
      <c r="AB156" s="37">
        <f t="shared" ca="1" si="3"/>
        <v>0.72002946302294812</v>
      </c>
      <c r="AC156" s="816"/>
      <c r="AD156" s="817"/>
      <c r="AE156" s="943"/>
      <c r="AF156" s="924">
        <f>IF(X156=X155,AF155,0)+IF(ISNUMBER(I156),IF(I156&lt;1,I156,I156*VLOOKUP(J156,Summary!$H$2:$I$9,2)),VLOOKUP(J156,Summary!$J$2:$K$9,2)*IF(ISNUMBER(H156),H156,1))</f>
        <v>0.67570601851851864</v>
      </c>
      <c r="AG156" s="292">
        <v>155</v>
      </c>
      <c r="AH156" s="94"/>
      <c r="AI156" s="94"/>
    </row>
    <row r="157" spans="1:35" s="22" customFormat="1" ht="12" customHeight="1" x14ac:dyDescent="0.2">
      <c r="A157" s="412" t="s">
        <v>14568</v>
      </c>
      <c r="B157" s="412">
        <v>1</v>
      </c>
      <c r="C157" s="415">
        <v>11.02</v>
      </c>
      <c r="D157" s="407" t="s">
        <v>12402</v>
      </c>
      <c r="E157" s="315" t="s">
        <v>12403</v>
      </c>
      <c r="F157" s="196">
        <v>42901</v>
      </c>
      <c r="G157" s="170"/>
      <c r="H157" s="170">
        <v>2</v>
      </c>
      <c r="I157" s="746">
        <f>TIME(1,5,10)</f>
        <v>4.5254629629629624E-2</v>
      </c>
      <c r="J157" s="899" t="s">
        <v>4706</v>
      </c>
      <c r="K157" s="167" t="s">
        <v>10214</v>
      </c>
      <c r="L157" s="167" t="s">
        <v>12404</v>
      </c>
      <c r="M157" s="167" t="s">
        <v>12405</v>
      </c>
      <c r="N157" s="167"/>
      <c r="O157" s="167"/>
      <c r="P157" s="168" t="s">
        <v>12406</v>
      </c>
      <c r="Q157" s="167" t="s">
        <v>3947</v>
      </c>
      <c r="R157" s="172" t="s">
        <v>3153</v>
      </c>
      <c r="S157" s="388"/>
      <c r="T157" s="168"/>
      <c r="U157" s="168"/>
      <c r="V157" s="168" t="s">
        <v>2330</v>
      </c>
      <c r="W157" s="312" t="s">
        <v>12407</v>
      </c>
      <c r="X157" s="644" t="s">
        <v>15422</v>
      </c>
      <c r="Y157" s="352" t="s">
        <v>5643</v>
      </c>
      <c r="Z157" s="353">
        <v>191</v>
      </c>
      <c r="AA157" s="353">
        <v>6</v>
      </c>
      <c r="AB157" s="31">
        <f t="shared" ca="1" si="3"/>
        <v>0.20247010211823313</v>
      </c>
      <c r="AC157" s="810"/>
      <c r="AD157" s="811"/>
      <c r="AE157" s="940"/>
      <c r="AF157" s="920">
        <f>IF(X157=X156,AF156,0)+IF(ISNUMBER(I157),IF(I157&lt;1,I157,I157*VLOOKUP(J157,Summary!$H$2:$I$9,2)),VLOOKUP(J157,Summary!$J$2:$K$9,2)*IF(ISNUMBER(H157),H157,1))</f>
        <v>0.72096064814814831</v>
      </c>
      <c r="AG157" s="287">
        <v>156</v>
      </c>
      <c r="AH157" s="94"/>
      <c r="AI157" s="94"/>
    </row>
    <row r="158" spans="1:35" s="6" customFormat="1" ht="12" customHeight="1" x14ac:dyDescent="0.25">
      <c r="A158" s="413" t="s">
        <v>14568</v>
      </c>
      <c r="B158" s="413">
        <v>1</v>
      </c>
      <c r="C158" s="414">
        <v>31.03</v>
      </c>
      <c r="D158" s="176" t="s">
        <v>7451</v>
      </c>
      <c r="E158" s="313" t="s">
        <v>1804</v>
      </c>
      <c r="F158" s="174">
        <v>39873</v>
      </c>
      <c r="G158" s="174"/>
      <c r="H158" s="176" t="s">
        <v>461</v>
      </c>
      <c r="I158" s="176">
        <v>16</v>
      </c>
      <c r="J158" s="900" t="s">
        <v>2755</v>
      </c>
      <c r="K158" s="164" t="s">
        <v>6353</v>
      </c>
      <c r="L158" s="164" t="s">
        <v>461</v>
      </c>
      <c r="M158" s="164"/>
      <c r="N158" s="164" t="s">
        <v>1805</v>
      </c>
      <c r="O158" s="164"/>
      <c r="P158" s="173" t="s">
        <v>6699</v>
      </c>
      <c r="Q158" s="164" t="s">
        <v>3947</v>
      </c>
      <c r="R158" s="177" t="s">
        <v>2723</v>
      </c>
      <c r="S158" s="354" t="s">
        <v>2329</v>
      </c>
      <c r="T158" s="173"/>
      <c r="U158" s="173"/>
      <c r="V158" s="173" t="s">
        <v>2330</v>
      </c>
      <c r="W158" s="313" t="s">
        <v>1804</v>
      </c>
      <c r="X158" s="645" t="s">
        <v>15422</v>
      </c>
      <c r="Y158" s="354"/>
      <c r="Z158" s="176">
        <v>999</v>
      </c>
      <c r="AA158" s="176"/>
      <c r="AB158" s="32">
        <f t="shared" ca="1" si="3"/>
        <v>0.9752639694498354</v>
      </c>
      <c r="AC158" s="812"/>
      <c r="AD158" s="763"/>
      <c r="AE158" s="807"/>
      <c r="AF158" s="921">
        <f>IF(X158=X157,AF157,0)+IF(ISNUMBER(I158),IF(I158&lt;1,I158,I158*VLOOKUP(J158,Summary!$H$2:$I$9,2)),VLOOKUP(J158,Summary!$J$2:$K$9,2)*IF(ISNUMBER(H158),H158,1))</f>
        <v>0.73207175925925938</v>
      </c>
      <c r="AG158" s="289">
        <v>157</v>
      </c>
      <c r="AH158" s="94"/>
      <c r="AI158" s="94"/>
    </row>
    <row r="159" spans="1:35" s="22" customFormat="1" ht="12" customHeight="1" x14ac:dyDescent="0.2">
      <c r="A159" s="412" t="s">
        <v>14568</v>
      </c>
      <c r="B159" s="412">
        <v>1</v>
      </c>
      <c r="C159" s="429">
        <v>3.3</v>
      </c>
      <c r="D159" s="407" t="s">
        <v>11341</v>
      </c>
      <c r="E159" s="315" t="s">
        <v>11342</v>
      </c>
      <c r="F159" s="196">
        <v>42684</v>
      </c>
      <c r="G159" s="170"/>
      <c r="H159" s="170">
        <v>4</v>
      </c>
      <c r="I159" s="746">
        <f>TIME(2,4,52)</f>
        <v>8.671296296296295E-2</v>
      </c>
      <c r="J159" s="899" t="s">
        <v>4706</v>
      </c>
      <c r="K159" s="167" t="s">
        <v>11343</v>
      </c>
      <c r="L159" s="167" t="s">
        <v>5662</v>
      </c>
      <c r="M159" s="167"/>
      <c r="N159" s="167"/>
      <c r="O159" s="167"/>
      <c r="P159" s="168" t="s">
        <v>11344</v>
      </c>
      <c r="Q159" s="167" t="s">
        <v>3947</v>
      </c>
      <c r="R159" s="172" t="s">
        <v>8512</v>
      </c>
      <c r="S159" s="388" t="s">
        <v>2329</v>
      </c>
      <c r="T159" s="168"/>
      <c r="U159" s="168"/>
      <c r="V159" s="168" t="s">
        <v>2330</v>
      </c>
      <c r="W159" s="312" t="s">
        <v>12073</v>
      </c>
      <c r="X159" s="644" t="s">
        <v>15422</v>
      </c>
      <c r="Y159" s="352" t="s">
        <v>5643</v>
      </c>
      <c r="Z159" s="353">
        <v>71</v>
      </c>
      <c r="AA159" s="353">
        <v>8</v>
      </c>
      <c r="AB159" s="31">
        <f t="shared" ca="1" si="3"/>
        <v>0.64377550438304409</v>
      </c>
      <c r="AC159" s="810"/>
      <c r="AD159" s="811" t="s">
        <v>16844</v>
      </c>
      <c r="AE159" s="940"/>
      <c r="AF159" s="920">
        <f>IF(X159=X158,AF158,0)+IF(ISNUMBER(I159),IF(I159&lt;1,I159,I159*VLOOKUP(J159,Summary!$H$2:$I$9,2)),VLOOKUP(J159,Summary!$J$2:$K$9,2)*IF(ISNUMBER(H159),H159,1))</f>
        <v>0.81878472222222232</v>
      </c>
      <c r="AG159" s="287">
        <v>158</v>
      </c>
      <c r="AH159" s="94"/>
      <c r="AI159" s="94"/>
    </row>
    <row r="160" spans="1:35" s="7" customFormat="1" ht="12" customHeight="1" x14ac:dyDescent="0.25">
      <c r="A160" s="412" t="s">
        <v>14568</v>
      </c>
      <c r="B160" s="412">
        <v>1</v>
      </c>
      <c r="C160" s="429">
        <v>5.0999999999999996</v>
      </c>
      <c r="D160" s="407" t="s">
        <v>15290</v>
      </c>
      <c r="E160" s="315" t="s">
        <v>15291</v>
      </c>
      <c r="F160" s="196">
        <v>43355</v>
      </c>
      <c r="G160" s="170"/>
      <c r="H160" s="170">
        <v>4</v>
      </c>
      <c r="I160" s="747">
        <f>TIME(0,120,0)</f>
        <v>8.3333333333333329E-2</v>
      </c>
      <c r="J160" s="899" t="s">
        <v>4706</v>
      </c>
      <c r="K160" s="167" t="s">
        <v>15292</v>
      </c>
      <c r="L160" s="167" t="s">
        <v>5662</v>
      </c>
      <c r="M160" s="167"/>
      <c r="N160" s="167" t="s">
        <v>5666</v>
      </c>
      <c r="O160" s="167" t="s">
        <v>3295</v>
      </c>
      <c r="P160" s="168" t="s">
        <v>15293</v>
      </c>
      <c r="Q160" s="167" t="s">
        <v>3947</v>
      </c>
      <c r="R160" s="172" t="s">
        <v>8512</v>
      </c>
      <c r="S160" s="388" t="s">
        <v>2329</v>
      </c>
      <c r="T160" s="168"/>
      <c r="U160" s="168"/>
      <c r="V160" s="168" t="s">
        <v>2330</v>
      </c>
      <c r="W160" s="312" t="s">
        <v>15294</v>
      </c>
      <c r="X160" s="644" t="s">
        <v>15422</v>
      </c>
      <c r="Y160" s="352"/>
      <c r="Z160" s="353"/>
      <c r="AA160" s="353"/>
      <c r="AB160" s="31">
        <f t="shared" ca="1" si="3"/>
        <v>0.79334109238848216</v>
      </c>
      <c r="AC160" s="810"/>
      <c r="AD160" s="811"/>
      <c r="AE160" s="940"/>
      <c r="AF160" s="920">
        <f>IF(X160=X159,AF159,0)+IF(ISNUMBER(I160),IF(I160&lt;1,I160,I160*VLOOKUP(J160,Summary!$H$2:$I$9,2)),VLOOKUP(J160,Summary!$J$2:$K$9,2)*IF(ISNUMBER(H160),H160,1))</f>
        <v>0.90211805555555569</v>
      </c>
      <c r="AG160" s="287">
        <v>159</v>
      </c>
      <c r="AH160" s="94"/>
      <c r="AI160" s="94"/>
    </row>
    <row r="161" spans="1:35" s="2" customFormat="1" ht="12" customHeight="1" x14ac:dyDescent="0.25">
      <c r="A161" s="412" t="s">
        <v>14568</v>
      </c>
      <c r="B161" s="412">
        <v>1</v>
      </c>
      <c r="C161" s="429">
        <v>5.2</v>
      </c>
      <c r="D161" s="407" t="s">
        <v>15295</v>
      </c>
      <c r="E161" s="315" t="s">
        <v>15298</v>
      </c>
      <c r="F161" s="196">
        <v>43390</v>
      </c>
      <c r="G161" s="170"/>
      <c r="H161" s="170">
        <v>4</v>
      </c>
      <c r="I161" s="747">
        <f>TIME(0,120,0)</f>
        <v>8.3333333333333329E-2</v>
      </c>
      <c r="J161" s="899" t="s">
        <v>4706</v>
      </c>
      <c r="K161" s="167" t="s">
        <v>3424</v>
      </c>
      <c r="L161" s="167" t="s">
        <v>5662</v>
      </c>
      <c r="M161" s="167"/>
      <c r="N161" s="167" t="s">
        <v>5666</v>
      </c>
      <c r="O161" s="167" t="s">
        <v>3295</v>
      </c>
      <c r="P161" s="168" t="s">
        <v>15299</v>
      </c>
      <c r="Q161" s="167" t="s">
        <v>3947</v>
      </c>
      <c r="R161" s="172" t="s">
        <v>8512</v>
      </c>
      <c r="S161" s="388" t="s">
        <v>2329</v>
      </c>
      <c r="T161" s="168"/>
      <c r="U161" s="168"/>
      <c r="V161" s="168" t="s">
        <v>2330</v>
      </c>
      <c r="W161" s="312" t="s">
        <v>15300</v>
      </c>
      <c r="X161" s="644" t="s">
        <v>15422</v>
      </c>
      <c r="Y161" s="352"/>
      <c r="Z161" s="353"/>
      <c r="AA161" s="353"/>
      <c r="AB161" s="31">
        <f t="shared" ca="1" si="3"/>
        <v>0.10880348336466816</v>
      </c>
      <c r="AC161" s="810"/>
      <c r="AD161" s="811"/>
      <c r="AE161" s="940"/>
      <c r="AF161" s="920">
        <f>IF(X161=X160,AF160,0)+IF(ISNUMBER(I161),IF(I161&lt;1,I161,I161*VLOOKUP(J161,Summary!$H$2:$I$9,2)),VLOOKUP(J161,Summary!$J$2:$K$9,2)*IF(ISNUMBER(H161),H161,1))</f>
        <v>0.98545138888888906</v>
      </c>
      <c r="AG161" s="287">
        <v>160</v>
      </c>
      <c r="AH161" s="94"/>
      <c r="AI161" s="94"/>
    </row>
    <row r="162" spans="1:35" s="2" customFormat="1" ht="12" customHeight="1" x14ac:dyDescent="0.25">
      <c r="A162" s="412" t="s">
        <v>14568</v>
      </c>
      <c r="B162" s="412">
        <v>1</v>
      </c>
      <c r="C162" s="429">
        <v>5.3</v>
      </c>
      <c r="D162" s="407" t="s">
        <v>15296</v>
      </c>
      <c r="E162" s="315" t="s">
        <v>15301</v>
      </c>
      <c r="F162" s="196">
        <v>43418</v>
      </c>
      <c r="G162" s="170"/>
      <c r="H162" s="170">
        <v>4</v>
      </c>
      <c r="I162" s="747">
        <f>TIME(0,120,0)</f>
        <v>8.3333333333333329E-2</v>
      </c>
      <c r="J162" s="899" t="s">
        <v>4706</v>
      </c>
      <c r="K162" s="167" t="s">
        <v>11343</v>
      </c>
      <c r="L162" s="167" t="s">
        <v>5662</v>
      </c>
      <c r="M162" s="167"/>
      <c r="N162" s="167" t="s">
        <v>5666</v>
      </c>
      <c r="O162" s="167" t="s">
        <v>3295</v>
      </c>
      <c r="P162" s="168" t="s">
        <v>15302</v>
      </c>
      <c r="Q162" s="167" t="s">
        <v>3947</v>
      </c>
      <c r="R162" s="172" t="s">
        <v>8512</v>
      </c>
      <c r="S162" s="388" t="s">
        <v>2329</v>
      </c>
      <c r="T162" s="168"/>
      <c r="U162" s="168"/>
      <c r="V162" s="168" t="s">
        <v>2330</v>
      </c>
      <c r="W162" s="312" t="s">
        <v>15303</v>
      </c>
      <c r="X162" s="644" t="s">
        <v>15422</v>
      </c>
      <c r="Y162" s="352"/>
      <c r="Z162" s="353"/>
      <c r="AA162" s="353"/>
      <c r="AB162" s="31">
        <f t="shared" ca="1" si="3"/>
        <v>0.18846391680013486</v>
      </c>
      <c r="AC162" s="810"/>
      <c r="AD162" s="811" t="s">
        <v>16710</v>
      </c>
      <c r="AE162" s="940" t="s">
        <v>12543</v>
      </c>
      <c r="AF162" s="920">
        <f>IF(X162=X161,AF161,0)+IF(ISNUMBER(I162),IF(I162&lt;1,I162,I162*VLOOKUP(J162,Summary!$H$2:$I$9,2)),VLOOKUP(J162,Summary!$J$2:$K$9,2)*IF(ISNUMBER(H162),H162,1))</f>
        <v>1.0687847222222224</v>
      </c>
      <c r="AG162" s="287">
        <v>161</v>
      </c>
      <c r="AH162" s="94"/>
      <c r="AI162" s="94"/>
    </row>
    <row r="163" spans="1:35" s="2" customFormat="1" ht="12" customHeight="1" x14ac:dyDescent="0.25">
      <c r="A163" s="412" t="s">
        <v>14568</v>
      </c>
      <c r="B163" s="412">
        <v>1</v>
      </c>
      <c r="C163" s="429">
        <v>5.4</v>
      </c>
      <c r="D163" s="407" t="s">
        <v>15297</v>
      </c>
      <c r="E163" s="315" t="s">
        <v>15304</v>
      </c>
      <c r="F163" s="196">
        <v>43446</v>
      </c>
      <c r="G163" s="170"/>
      <c r="H163" s="170">
        <v>4</v>
      </c>
      <c r="I163" s="747">
        <f>TIME(0,120,0)</f>
        <v>8.3333333333333329E-2</v>
      </c>
      <c r="J163" s="899" t="s">
        <v>4706</v>
      </c>
      <c r="K163" s="167" t="s">
        <v>177</v>
      </c>
      <c r="L163" s="167" t="s">
        <v>5662</v>
      </c>
      <c r="M163" s="167"/>
      <c r="N163" s="167" t="s">
        <v>5666</v>
      </c>
      <c r="O163" s="167" t="s">
        <v>3295</v>
      </c>
      <c r="P163" s="168" t="s">
        <v>15305</v>
      </c>
      <c r="Q163" s="167" t="s">
        <v>3947</v>
      </c>
      <c r="R163" s="172" t="s">
        <v>8512</v>
      </c>
      <c r="S163" s="388" t="s">
        <v>2329</v>
      </c>
      <c r="T163" s="168"/>
      <c r="U163" s="168"/>
      <c r="V163" s="168" t="s">
        <v>2330</v>
      </c>
      <c r="W163" s="312" t="s">
        <v>15306</v>
      </c>
      <c r="X163" s="644" t="s">
        <v>15422</v>
      </c>
      <c r="Y163" s="352"/>
      <c r="Z163" s="353"/>
      <c r="AA163" s="353"/>
      <c r="AB163" s="31">
        <f t="shared" ca="1" si="3"/>
        <v>6.8703487518595896E-2</v>
      </c>
      <c r="AC163" s="810"/>
      <c r="AD163" s="811" t="s">
        <v>16206</v>
      </c>
      <c r="AE163" s="940" t="s">
        <v>16845</v>
      </c>
      <c r="AF163" s="920">
        <f>IF(X163=X162,AF162,0)+IF(ISNUMBER(I163),IF(I163&lt;1,I163,I163*VLOOKUP(J163,Summary!$H$2:$I$9,2)),VLOOKUP(J163,Summary!$J$2:$K$9,2)*IF(ISNUMBER(H163),H163,1))</f>
        <v>1.1521180555555557</v>
      </c>
      <c r="AG163" s="287">
        <v>162</v>
      </c>
      <c r="AH163" s="94"/>
      <c r="AI163" s="94"/>
    </row>
    <row r="164" spans="1:35" s="22" customFormat="1" ht="12" customHeight="1" x14ac:dyDescent="0.2">
      <c r="A164" s="425">
        <v>3</v>
      </c>
      <c r="B164" s="425">
        <v>1</v>
      </c>
      <c r="C164" s="425">
        <v>18</v>
      </c>
      <c r="D164" s="426" t="s">
        <v>3227</v>
      </c>
      <c r="E164" s="427" t="s">
        <v>3228</v>
      </c>
      <c r="F164" s="198">
        <v>23996</v>
      </c>
      <c r="G164" s="198">
        <v>24017</v>
      </c>
      <c r="H164" s="204">
        <v>4</v>
      </c>
      <c r="I164" s="791">
        <f>TIME(0,22,21)+TIME(0,24,51)+TIME(0,24,19)+TIME(0,24,47)</f>
        <v>6.6875000000000004E-2</v>
      </c>
      <c r="J164" s="905" t="s">
        <v>1588</v>
      </c>
      <c r="K164" s="205" t="s">
        <v>3229</v>
      </c>
      <c r="L164" s="205" t="s">
        <v>3230</v>
      </c>
      <c r="M164" s="205"/>
      <c r="N164" s="205" t="s">
        <v>3223</v>
      </c>
      <c r="O164" s="205" t="s">
        <v>6144</v>
      </c>
      <c r="P164" s="202" t="s">
        <v>461</v>
      </c>
      <c r="Q164" s="205" t="s">
        <v>3946</v>
      </c>
      <c r="R164" s="206" t="s">
        <v>5280</v>
      </c>
      <c r="S164" s="391" t="s">
        <v>2329</v>
      </c>
      <c r="T164" s="202"/>
      <c r="U164" s="202"/>
      <c r="V164" s="202" t="s">
        <v>2330</v>
      </c>
      <c r="W164" s="320" t="s">
        <v>9595</v>
      </c>
      <c r="X164" s="652" t="s">
        <v>15422</v>
      </c>
      <c r="Y164" s="359" t="s">
        <v>14262</v>
      </c>
      <c r="Z164" s="360">
        <v>199</v>
      </c>
      <c r="AA164" s="360">
        <v>4.5</v>
      </c>
      <c r="AB164" s="36">
        <f t="shared" ca="1" si="3"/>
        <v>0.82574088900223275</v>
      </c>
      <c r="AC164" s="822"/>
      <c r="AD164" s="823"/>
      <c r="AE164" s="947" t="s">
        <v>9594</v>
      </c>
      <c r="AF164" s="926">
        <f>IF(X164=X163,AF163,0)+IF(ISNUMBER(I164),IF(I164&lt;1,I164,I164*VLOOKUP(J164,Summary!$H$2:$I$9,2)),VLOOKUP(J164,Summary!$J$2:$K$9,2)*IF(ISNUMBER(H164),H164,1))</f>
        <v>1.2189930555555557</v>
      </c>
      <c r="AG164" s="294">
        <v>163</v>
      </c>
      <c r="AH164" s="94"/>
      <c r="AI164" s="94"/>
    </row>
    <row r="165" spans="1:35" s="22" customFormat="1" ht="12" customHeight="1" x14ac:dyDescent="0.2">
      <c r="A165" s="425">
        <v>3</v>
      </c>
      <c r="B165" s="425">
        <v>1</v>
      </c>
      <c r="C165" s="425">
        <v>19</v>
      </c>
      <c r="D165" s="426" t="s">
        <v>3231</v>
      </c>
      <c r="E165" s="427" t="s">
        <v>3232</v>
      </c>
      <c r="F165" s="203">
        <v>24024</v>
      </c>
      <c r="G165" s="203"/>
      <c r="H165" s="204">
        <v>1</v>
      </c>
      <c r="I165" s="791">
        <f>TIME(0,24,42)</f>
        <v>1.7152777777777777E-2</v>
      </c>
      <c r="J165" s="905" t="s">
        <v>1588</v>
      </c>
      <c r="K165" s="205" t="s">
        <v>6148</v>
      </c>
      <c r="L165" s="205" t="s">
        <v>3233</v>
      </c>
      <c r="M165" s="205"/>
      <c r="N165" s="205" t="s">
        <v>3223</v>
      </c>
      <c r="O165" s="205" t="s">
        <v>6144</v>
      </c>
      <c r="P165" s="202" t="s">
        <v>461</v>
      </c>
      <c r="Q165" s="205" t="s">
        <v>3946</v>
      </c>
      <c r="R165" s="206" t="s">
        <v>5280</v>
      </c>
      <c r="S165" s="391" t="s">
        <v>2329</v>
      </c>
      <c r="T165" s="202"/>
      <c r="U165" s="202"/>
      <c r="V165" s="202" t="s">
        <v>2330</v>
      </c>
      <c r="W165" s="320" t="s">
        <v>3232</v>
      </c>
      <c r="X165" s="652" t="s">
        <v>12517</v>
      </c>
      <c r="Y165" s="359" t="s">
        <v>5398</v>
      </c>
      <c r="Z165" s="360">
        <v>23</v>
      </c>
      <c r="AA165" s="360">
        <v>9</v>
      </c>
      <c r="AB165" s="36">
        <f t="shared" ca="1" si="3"/>
        <v>0.61889277101012075</v>
      </c>
      <c r="AC165" s="822"/>
      <c r="AD165" s="823" t="s">
        <v>16396</v>
      </c>
      <c r="AE165" s="947" t="s">
        <v>16397</v>
      </c>
      <c r="AF165" s="926">
        <f>IF(X165=X164,AF164,0)+IF(ISNUMBER(I165),IF(I165&lt;1,I165,I165*VLOOKUP(J165,Summary!$H$2:$I$9,2)),VLOOKUP(J165,Summary!$J$2:$K$9,2)*IF(ISNUMBER(H165),H165,1))</f>
        <v>1.7152777777777777E-2</v>
      </c>
      <c r="AG165" s="294">
        <v>164</v>
      </c>
      <c r="AH165" s="94"/>
      <c r="AI165" s="94"/>
    </row>
    <row r="166" spans="1:35" s="27" customFormat="1" ht="12" customHeight="1" x14ac:dyDescent="0.25">
      <c r="A166" s="435"/>
      <c r="B166" s="435" t="s">
        <v>6153</v>
      </c>
      <c r="C166" s="435">
        <v>1</v>
      </c>
      <c r="D166" s="428" t="s">
        <v>7048</v>
      </c>
      <c r="E166" s="325" t="s">
        <v>3187</v>
      </c>
      <c r="F166" s="184">
        <v>23765</v>
      </c>
      <c r="G166" s="184">
        <v>23779</v>
      </c>
      <c r="H166" s="185">
        <v>3</v>
      </c>
      <c r="I166" s="185">
        <v>3</v>
      </c>
      <c r="J166" s="901" t="s">
        <v>1796</v>
      </c>
      <c r="K166" s="158" t="s">
        <v>7234</v>
      </c>
      <c r="L166" s="158" t="s">
        <v>7232</v>
      </c>
      <c r="M166" s="158"/>
      <c r="N166" s="158" t="s">
        <v>4039</v>
      </c>
      <c r="O166" s="158"/>
      <c r="P166" s="182" t="s">
        <v>461</v>
      </c>
      <c r="Q166" s="158" t="s">
        <v>7233</v>
      </c>
      <c r="R166" s="207" t="s">
        <v>7589</v>
      </c>
      <c r="S166" s="355"/>
      <c r="T166" s="182"/>
      <c r="U166" s="182"/>
      <c r="V166" s="182"/>
      <c r="W166" s="321"/>
      <c r="X166" s="653" t="s">
        <v>12517</v>
      </c>
      <c r="Y166" s="361" t="s">
        <v>8399</v>
      </c>
      <c r="Z166" s="362">
        <v>5999</v>
      </c>
      <c r="AA166" s="362"/>
      <c r="AB166" s="33">
        <f t="shared" ca="1" si="3"/>
        <v>0.85796257758584726</v>
      </c>
      <c r="AC166" s="813"/>
      <c r="AD166" s="211" t="s">
        <v>16535</v>
      </c>
      <c r="AE166" s="949" t="s">
        <v>15062</v>
      </c>
      <c r="AF166" s="922">
        <f>IF(X166=X165,AF165,0)+IF(ISNUMBER(I166),IF(I166&lt;1,I166,I166*VLOOKUP(J166,Summary!$H$2:$I$9,2)),VLOOKUP(J166,Summary!$J$2:$K$9,2)*IF(ISNUMBER(H166),H166,1))</f>
        <v>1.8194444444444444E-2</v>
      </c>
      <c r="AG166" s="295">
        <v>165</v>
      </c>
      <c r="AH166" s="94"/>
      <c r="AI166" s="94"/>
    </row>
    <row r="167" spans="1:35" s="1" customFormat="1" ht="12" customHeight="1" x14ac:dyDescent="0.25">
      <c r="A167" s="435"/>
      <c r="B167" s="436" t="s">
        <v>6153</v>
      </c>
      <c r="C167" s="435">
        <v>2</v>
      </c>
      <c r="D167" s="428" t="s">
        <v>7049</v>
      </c>
      <c r="E167" s="325" t="s">
        <v>7235</v>
      </c>
      <c r="F167" s="184">
        <v>23786</v>
      </c>
      <c r="G167" s="184">
        <v>23828</v>
      </c>
      <c r="H167" s="185">
        <v>7</v>
      </c>
      <c r="I167" s="185">
        <v>7</v>
      </c>
      <c r="J167" s="901" t="s">
        <v>1796</v>
      </c>
      <c r="K167" s="158" t="s">
        <v>6145</v>
      </c>
      <c r="L167" s="158" t="s">
        <v>7232</v>
      </c>
      <c r="M167" s="158"/>
      <c r="N167" s="158" t="s">
        <v>4039</v>
      </c>
      <c r="O167" s="158"/>
      <c r="P167" s="182" t="s">
        <v>461</v>
      </c>
      <c r="Q167" s="158" t="s">
        <v>7233</v>
      </c>
      <c r="R167" s="207" t="s">
        <v>7589</v>
      </c>
      <c r="S167" s="355"/>
      <c r="T167" s="182"/>
      <c r="U167" s="182"/>
      <c r="V167" s="182"/>
      <c r="W167" s="321"/>
      <c r="X167" s="653" t="s">
        <v>12517</v>
      </c>
      <c r="Y167" s="361" t="s">
        <v>8399</v>
      </c>
      <c r="Z167" s="362">
        <v>5999</v>
      </c>
      <c r="AA167" s="362"/>
      <c r="AB167" s="33">
        <f t="shared" ca="1" si="3"/>
        <v>0.68101925673558639</v>
      </c>
      <c r="AC167" s="813"/>
      <c r="AD167" s="211" t="s">
        <v>16536</v>
      </c>
      <c r="AE167" s="949" t="s">
        <v>15062</v>
      </c>
      <c r="AF167" s="922">
        <f>IF(X167=X166,AF166,0)+IF(ISNUMBER(I167),IF(I167&lt;1,I167,I167*VLOOKUP(J167,Summary!$H$2:$I$9,2)),VLOOKUP(J167,Summary!$J$2:$K$9,2)*IF(ISNUMBER(H167),H167,1))</f>
        <v>2.0624999999999998E-2</v>
      </c>
      <c r="AG167" s="295">
        <v>166</v>
      </c>
      <c r="AH167" s="94"/>
      <c r="AI167" s="94"/>
    </row>
    <row r="168" spans="1:35" s="3" customFormat="1" ht="12" customHeight="1" x14ac:dyDescent="0.25">
      <c r="A168" s="435"/>
      <c r="B168" s="436" t="s">
        <v>6153</v>
      </c>
      <c r="C168" s="435">
        <v>3</v>
      </c>
      <c r="D168" s="428" t="s">
        <v>7050</v>
      </c>
      <c r="E168" s="325" t="s">
        <v>7236</v>
      </c>
      <c r="F168" s="184">
        <v>23835</v>
      </c>
      <c r="G168" s="184">
        <v>23877</v>
      </c>
      <c r="H168" s="185">
        <v>7</v>
      </c>
      <c r="I168" s="185">
        <v>7</v>
      </c>
      <c r="J168" s="901" t="s">
        <v>1796</v>
      </c>
      <c r="K168" s="158" t="s">
        <v>6145</v>
      </c>
      <c r="L168" s="158" t="s">
        <v>7232</v>
      </c>
      <c r="M168" s="158"/>
      <c r="N168" s="158" t="s">
        <v>4039</v>
      </c>
      <c r="O168" s="158"/>
      <c r="P168" s="182" t="s">
        <v>461</v>
      </c>
      <c r="Q168" s="158" t="s">
        <v>7233</v>
      </c>
      <c r="R168" s="207" t="s">
        <v>7589</v>
      </c>
      <c r="S168" s="355"/>
      <c r="T168" s="182"/>
      <c r="U168" s="182"/>
      <c r="V168" s="182"/>
      <c r="W168" s="321"/>
      <c r="X168" s="653" t="s">
        <v>12517</v>
      </c>
      <c r="Y168" s="361" t="s">
        <v>8399</v>
      </c>
      <c r="Z168" s="362">
        <v>5999</v>
      </c>
      <c r="AA168" s="362"/>
      <c r="AB168" s="33">
        <f t="shared" ca="1" si="3"/>
        <v>0.50960753188140062</v>
      </c>
      <c r="AC168" s="813"/>
      <c r="AD168" s="211" t="s">
        <v>16536</v>
      </c>
      <c r="AE168" s="949" t="s">
        <v>15062</v>
      </c>
      <c r="AF168" s="922">
        <f>IF(X168=X167,AF167,0)+IF(ISNUMBER(I168),IF(I168&lt;1,I168,I168*VLOOKUP(J168,Summary!$H$2:$I$9,2)),VLOOKUP(J168,Summary!$J$2:$K$9,2)*IF(ISNUMBER(H168),H168,1))</f>
        <v>2.3055555555555551E-2</v>
      </c>
      <c r="AG168" s="295">
        <v>167</v>
      </c>
      <c r="AH168" s="94"/>
      <c r="AI168" s="94"/>
    </row>
    <row r="169" spans="1:35" s="22" customFormat="1" ht="12" customHeight="1" x14ac:dyDescent="0.2">
      <c r="A169" s="435"/>
      <c r="B169" s="436" t="s">
        <v>6153</v>
      </c>
      <c r="C169" s="435">
        <v>4</v>
      </c>
      <c r="D169" s="428" t="s">
        <v>7051</v>
      </c>
      <c r="E169" s="325" t="s">
        <v>7237</v>
      </c>
      <c r="F169" s="184">
        <v>23884</v>
      </c>
      <c r="G169" s="184">
        <v>23926</v>
      </c>
      <c r="H169" s="185">
        <v>7</v>
      </c>
      <c r="I169" s="185">
        <v>7</v>
      </c>
      <c r="J169" s="901" t="s">
        <v>1796</v>
      </c>
      <c r="K169" s="158" t="s">
        <v>6145</v>
      </c>
      <c r="L169" s="158" t="s">
        <v>7232</v>
      </c>
      <c r="M169" s="158"/>
      <c r="N169" s="158" t="s">
        <v>4039</v>
      </c>
      <c r="O169" s="158"/>
      <c r="P169" s="182" t="s">
        <v>461</v>
      </c>
      <c r="Q169" s="158" t="s">
        <v>7233</v>
      </c>
      <c r="R169" s="207" t="s">
        <v>7589</v>
      </c>
      <c r="S169" s="355"/>
      <c r="T169" s="182"/>
      <c r="U169" s="182"/>
      <c r="V169" s="182"/>
      <c r="W169" s="321"/>
      <c r="X169" s="653" t="s">
        <v>12517</v>
      </c>
      <c r="Y169" s="361" t="s">
        <v>8399</v>
      </c>
      <c r="Z169" s="362">
        <v>5999</v>
      </c>
      <c r="AA169" s="362"/>
      <c r="AB169" s="33">
        <f t="shared" ca="1" si="3"/>
        <v>0.97041088273964782</v>
      </c>
      <c r="AC169" s="813"/>
      <c r="AD169" s="211" t="s">
        <v>16536</v>
      </c>
      <c r="AE169" s="949" t="s">
        <v>15062</v>
      </c>
      <c r="AF169" s="922">
        <f>IF(X169=X168,AF168,0)+IF(ISNUMBER(I169),IF(I169&lt;1,I169,I169*VLOOKUP(J169,Summary!$H$2:$I$9,2)),VLOOKUP(J169,Summary!$J$2:$K$9,2)*IF(ISNUMBER(H169),H169,1))</f>
        <v>2.5486111111111105E-2</v>
      </c>
      <c r="AG169" s="295">
        <v>168</v>
      </c>
      <c r="AH169" s="94"/>
      <c r="AI169" s="94"/>
    </row>
    <row r="170" spans="1:35" s="22" customFormat="1" ht="12" customHeight="1" x14ac:dyDescent="0.2">
      <c r="A170" s="435"/>
      <c r="B170" s="436" t="s">
        <v>6153</v>
      </c>
      <c r="C170" s="435">
        <v>5</v>
      </c>
      <c r="D170" s="428" t="s">
        <v>7052</v>
      </c>
      <c r="E170" s="325" t="s">
        <v>7238</v>
      </c>
      <c r="F170" s="184">
        <v>23933</v>
      </c>
      <c r="G170" s="184">
        <v>23982</v>
      </c>
      <c r="H170" s="185">
        <v>8</v>
      </c>
      <c r="I170" s="185">
        <v>8</v>
      </c>
      <c r="J170" s="901" t="s">
        <v>1796</v>
      </c>
      <c r="K170" s="158" t="s">
        <v>6145</v>
      </c>
      <c r="L170" s="158" t="s">
        <v>7232</v>
      </c>
      <c r="M170" s="158"/>
      <c r="N170" s="158" t="s">
        <v>4039</v>
      </c>
      <c r="O170" s="158"/>
      <c r="P170" s="182" t="s">
        <v>461</v>
      </c>
      <c r="Q170" s="158" t="s">
        <v>7233</v>
      </c>
      <c r="R170" s="207" t="s">
        <v>7589</v>
      </c>
      <c r="S170" s="355"/>
      <c r="T170" s="182"/>
      <c r="U170" s="182"/>
      <c r="V170" s="182"/>
      <c r="W170" s="321"/>
      <c r="X170" s="653" t="s">
        <v>12517</v>
      </c>
      <c r="Y170" s="361" t="s">
        <v>8399</v>
      </c>
      <c r="Z170" s="362">
        <v>5999</v>
      </c>
      <c r="AA170" s="362"/>
      <c r="AB170" s="33">
        <f t="shared" ca="1" si="3"/>
        <v>0.53653347873030766</v>
      </c>
      <c r="AC170" s="813"/>
      <c r="AD170" s="211" t="s">
        <v>16536</v>
      </c>
      <c r="AE170" s="949" t="s">
        <v>15062</v>
      </c>
      <c r="AF170" s="922">
        <f>IF(X170=X169,AF169,0)+IF(ISNUMBER(I170),IF(I170&lt;1,I170,I170*VLOOKUP(J170,Summary!$H$2:$I$9,2)),VLOOKUP(J170,Summary!$J$2:$K$9,2)*IF(ISNUMBER(H170),H170,1))</f>
        <v>2.8263888888888884E-2</v>
      </c>
      <c r="AG170" s="295">
        <v>169</v>
      </c>
      <c r="AH170" s="94"/>
      <c r="AI170" s="94"/>
    </row>
    <row r="171" spans="1:35" s="22" customFormat="1" ht="12" customHeight="1" x14ac:dyDescent="0.2">
      <c r="A171" s="435"/>
      <c r="B171" s="436" t="s">
        <v>6153</v>
      </c>
      <c r="C171" s="435">
        <v>6</v>
      </c>
      <c r="D171" s="428" t="s">
        <v>7053</v>
      </c>
      <c r="E171" s="325" t="s">
        <v>7239</v>
      </c>
      <c r="F171" s="184">
        <v>23989</v>
      </c>
      <c r="G171" s="184">
        <v>24031</v>
      </c>
      <c r="H171" s="185">
        <v>7</v>
      </c>
      <c r="I171" s="185">
        <v>7</v>
      </c>
      <c r="J171" s="901" t="s">
        <v>1796</v>
      </c>
      <c r="K171" s="158" t="s">
        <v>6145</v>
      </c>
      <c r="L171" s="158" t="s">
        <v>7232</v>
      </c>
      <c r="M171" s="158"/>
      <c r="N171" s="158" t="s">
        <v>4039</v>
      </c>
      <c r="O171" s="158"/>
      <c r="P171" s="182" t="s">
        <v>461</v>
      </c>
      <c r="Q171" s="158" t="s">
        <v>7233</v>
      </c>
      <c r="R171" s="207" t="s">
        <v>7589</v>
      </c>
      <c r="S171" s="355"/>
      <c r="T171" s="182"/>
      <c r="U171" s="182"/>
      <c r="V171" s="182"/>
      <c r="W171" s="321"/>
      <c r="X171" s="653" t="s">
        <v>12517</v>
      </c>
      <c r="Y171" s="361" t="s">
        <v>8399</v>
      </c>
      <c r="Z171" s="362">
        <v>5999</v>
      </c>
      <c r="AA171" s="362"/>
      <c r="AB171" s="33">
        <f t="shared" ca="1" si="3"/>
        <v>0.99102420604502017</v>
      </c>
      <c r="AC171" s="813"/>
      <c r="AD171" s="211" t="s">
        <v>16536</v>
      </c>
      <c r="AE171" s="949" t="s">
        <v>15062</v>
      </c>
      <c r="AF171" s="922">
        <f>IF(X171=X170,AF170,0)+IF(ISNUMBER(I171),IF(I171&lt;1,I171,I171*VLOOKUP(J171,Summary!$H$2:$I$9,2)),VLOOKUP(J171,Summary!$J$2:$K$9,2)*IF(ISNUMBER(H171),H171,1))</f>
        <v>3.0694444444444441E-2</v>
      </c>
      <c r="AG171" s="295">
        <v>170</v>
      </c>
      <c r="AH171" s="94"/>
      <c r="AI171" s="94"/>
    </row>
    <row r="172" spans="1:35" s="22" customFormat="1" ht="12" customHeight="1" x14ac:dyDescent="0.2">
      <c r="A172" s="435"/>
      <c r="B172" s="436" t="s">
        <v>6153</v>
      </c>
      <c r="C172" s="435">
        <v>7</v>
      </c>
      <c r="D172" s="428" t="s">
        <v>7054</v>
      </c>
      <c r="E172" s="325" t="s">
        <v>7240</v>
      </c>
      <c r="F172" s="184">
        <v>24038</v>
      </c>
      <c r="G172" s="184">
        <v>24080</v>
      </c>
      <c r="H172" s="185">
        <v>7</v>
      </c>
      <c r="I172" s="185">
        <v>7</v>
      </c>
      <c r="J172" s="901" t="s">
        <v>1796</v>
      </c>
      <c r="K172" s="158" t="s">
        <v>6145</v>
      </c>
      <c r="L172" s="158" t="s">
        <v>7232</v>
      </c>
      <c r="M172" s="158"/>
      <c r="N172" s="158" t="s">
        <v>4039</v>
      </c>
      <c r="O172" s="158"/>
      <c r="P172" s="182" t="s">
        <v>461</v>
      </c>
      <c r="Q172" s="158" t="s">
        <v>7233</v>
      </c>
      <c r="R172" s="207" t="s">
        <v>7589</v>
      </c>
      <c r="S172" s="355"/>
      <c r="T172" s="182"/>
      <c r="U172" s="182"/>
      <c r="V172" s="182"/>
      <c r="W172" s="321"/>
      <c r="X172" s="653" t="s">
        <v>12517</v>
      </c>
      <c r="Y172" s="361" t="s">
        <v>8399</v>
      </c>
      <c r="Z172" s="362">
        <v>5999</v>
      </c>
      <c r="AA172" s="362"/>
      <c r="AB172" s="33">
        <f t="shared" ca="1" si="3"/>
        <v>0.65408524996864148</v>
      </c>
      <c r="AC172" s="813"/>
      <c r="AD172" s="211" t="s">
        <v>16536</v>
      </c>
      <c r="AE172" s="949" t="s">
        <v>15062</v>
      </c>
      <c r="AF172" s="922">
        <f>IF(X172=X171,AF171,0)+IF(ISNUMBER(I172),IF(I172&lt;1,I172,I172*VLOOKUP(J172,Summary!$H$2:$I$9,2)),VLOOKUP(J172,Summary!$J$2:$K$9,2)*IF(ISNUMBER(H172),H172,1))</f>
        <v>3.3124999999999995E-2</v>
      </c>
      <c r="AG172" s="295">
        <v>171</v>
      </c>
      <c r="AH172" s="94"/>
      <c r="AI172" s="94"/>
    </row>
    <row r="173" spans="1:35" s="22" customFormat="1" ht="12" customHeight="1" x14ac:dyDescent="0.2">
      <c r="A173" s="435"/>
      <c r="B173" s="436" t="s">
        <v>6153</v>
      </c>
      <c r="C173" s="435">
        <v>8</v>
      </c>
      <c r="D173" s="428" t="s">
        <v>7055</v>
      </c>
      <c r="E173" s="325" t="s">
        <v>7241</v>
      </c>
      <c r="F173" s="184">
        <v>24087</v>
      </c>
      <c r="G173" s="184">
        <v>24115</v>
      </c>
      <c r="H173" s="185">
        <v>5</v>
      </c>
      <c r="I173" s="185">
        <v>5</v>
      </c>
      <c r="J173" s="901" t="s">
        <v>1796</v>
      </c>
      <c r="K173" s="158" t="s">
        <v>6145</v>
      </c>
      <c r="L173" s="158" t="s">
        <v>7064</v>
      </c>
      <c r="M173" s="158"/>
      <c r="N173" s="158" t="s">
        <v>4039</v>
      </c>
      <c r="O173" s="158"/>
      <c r="P173" s="182" t="s">
        <v>461</v>
      </c>
      <c r="Q173" s="158" t="s">
        <v>7233</v>
      </c>
      <c r="R173" s="207" t="s">
        <v>7589</v>
      </c>
      <c r="S173" s="355"/>
      <c r="T173" s="182"/>
      <c r="U173" s="182"/>
      <c r="V173" s="182"/>
      <c r="W173" s="321"/>
      <c r="X173" s="653" t="s">
        <v>12517</v>
      </c>
      <c r="Y173" s="361" t="s">
        <v>8399</v>
      </c>
      <c r="Z173" s="362">
        <v>5999</v>
      </c>
      <c r="AA173" s="362"/>
      <c r="AB173" s="33">
        <f t="shared" ca="1" si="3"/>
        <v>0.557865608039677</v>
      </c>
      <c r="AC173" s="813"/>
      <c r="AD173" s="211" t="s">
        <v>16536</v>
      </c>
      <c r="AE173" s="949" t="s">
        <v>15062</v>
      </c>
      <c r="AF173" s="922">
        <f>IF(X173=X172,AF172,0)+IF(ISNUMBER(I173),IF(I173&lt;1,I173,I173*VLOOKUP(J173,Summary!$H$2:$I$9,2)),VLOOKUP(J173,Summary!$J$2:$K$9,2)*IF(ISNUMBER(H173),H173,1))</f>
        <v>3.4861111111111107E-2</v>
      </c>
      <c r="AG173" s="295">
        <v>172</v>
      </c>
      <c r="AH173" s="94"/>
      <c r="AI173" s="94"/>
    </row>
    <row r="174" spans="1:35" s="27" customFormat="1" ht="12" customHeight="1" x14ac:dyDescent="0.25">
      <c r="A174" s="435"/>
      <c r="B174" s="436" t="s">
        <v>6153</v>
      </c>
      <c r="C174" s="435">
        <v>9</v>
      </c>
      <c r="D174" s="428" t="s">
        <v>7056</v>
      </c>
      <c r="E174" s="325" t="s">
        <v>7242</v>
      </c>
      <c r="F174" s="184">
        <v>24122</v>
      </c>
      <c r="G174" s="184">
        <v>24164</v>
      </c>
      <c r="H174" s="185">
        <v>7</v>
      </c>
      <c r="I174" s="185">
        <v>7</v>
      </c>
      <c r="J174" s="901" t="s">
        <v>1796</v>
      </c>
      <c r="K174" s="158" t="s">
        <v>6145</v>
      </c>
      <c r="L174" s="158" t="s">
        <v>7065</v>
      </c>
      <c r="M174" s="158"/>
      <c r="N174" s="158" t="s">
        <v>4039</v>
      </c>
      <c r="O174" s="158"/>
      <c r="P174" s="182" t="s">
        <v>461</v>
      </c>
      <c r="Q174" s="158" t="s">
        <v>7233</v>
      </c>
      <c r="R174" s="207" t="s">
        <v>7589</v>
      </c>
      <c r="S174" s="355"/>
      <c r="T174" s="182"/>
      <c r="U174" s="182"/>
      <c r="V174" s="182"/>
      <c r="W174" s="321"/>
      <c r="X174" s="653" t="s">
        <v>12517</v>
      </c>
      <c r="Y174" s="361" t="s">
        <v>8399</v>
      </c>
      <c r="Z174" s="362">
        <v>5999</v>
      </c>
      <c r="AA174" s="362"/>
      <c r="AB174" s="33">
        <f t="shared" ca="1" si="3"/>
        <v>0.12930058809478284</v>
      </c>
      <c r="AC174" s="813"/>
      <c r="AD174" s="211" t="s">
        <v>16536</v>
      </c>
      <c r="AE174" s="949" t="s">
        <v>15062</v>
      </c>
      <c r="AF174" s="922">
        <f>IF(X174=X173,AF173,0)+IF(ISNUMBER(I174),IF(I174&lt;1,I174,I174*VLOOKUP(J174,Summary!$H$2:$I$9,2)),VLOOKUP(J174,Summary!$J$2:$K$9,2)*IF(ISNUMBER(H174),H174,1))</f>
        <v>3.729166666666666E-2</v>
      </c>
      <c r="AG174" s="295">
        <v>173</v>
      </c>
      <c r="AH174" s="119"/>
      <c r="AI174" s="119"/>
    </row>
    <row r="175" spans="1:35" s="22" customFormat="1" ht="12" customHeight="1" x14ac:dyDescent="0.2">
      <c r="A175" s="435"/>
      <c r="B175" s="436" t="s">
        <v>6153</v>
      </c>
      <c r="C175" s="435">
        <v>10</v>
      </c>
      <c r="D175" s="428" t="s">
        <v>7057</v>
      </c>
      <c r="E175" s="325" t="s">
        <v>7243</v>
      </c>
      <c r="F175" s="184">
        <v>24171</v>
      </c>
      <c r="G175" s="184">
        <v>24192</v>
      </c>
      <c r="H175" s="185">
        <v>4</v>
      </c>
      <c r="I175" s="185">
        <v>4</v>
      </c>
      <c r="J175" s="901" t="s">
        <v>1796</v>
      </c>
      <c r="K175" s="158" t="s">
        <v>6145</v>
      </c>
      <c r="L175" s="158" t="s">
        <v>520</v>
      </c>
      <c r="M175" s="158"/>
      <c r="N175" s="158" t="s">
        <v>4039</v>
      </c>
      <c r="O175" s="158"/>
      <c r="P175" s="182" t="s">
        <v>461</v>
      </c>
      <c r="Q175" s="158" t="s">
        <v>7233</v>
      </c>
      <c r="R175" s="207" t="s">
        <v>7589</v>
      </c>
      <c r="S175" s="355"/>
      <c r="T175" s="182"/>
      <c r="U175" s="182"/>
      <c r="V175" s="182"/>
      <c r="W175" s="321"/>
      <c r="X175" s="653" t="s">
        <v>12517</v>
      </c>
      <c r="Y175" s="361" t="s">
        <v>8399</v>
      </c>
      <c r="Z175" s="362">
        <v>5999</v>
      </c>
      <c r="AA175" s="362"/>
      <c r="AB175" s="33">
        <f t="shared" ca="1" si="3"/>
        <v>0.12443059529271006</v>
      </c>
      <c r="AC175" s="813"/>
      <c r="AD175" s="211" t="s">
        <v>16536</v>
      </c>
      <c r="AE175" s="949" t="s">
        <v>15062</v>
      </c>
      <c r="AF175" s="922">
        <f>IF(X175=X174,AF174,0)+IF(ISNUMBER(I175),IF(I175&lt;1,I175,I175*VLOOKUP(J175,Summary!$H$2:$I$9,2)),VLOOKUP(J175,Summary!$J$2:$K$9,2)*IF(ISNUMBER(H175),H175,1))</f>
        <v>3.8680555555555551E-2</v>
      </c>
      <c r="AG175" s="295">
        <v>174</v>
      </c>
      <c r="AH175" s="94"/>
      <c r="AI175" s="94"/>
    </row>
    <row r="176" spans="1:35" s="1" customFormat="1" ht="12" customHeight="1" x14ac:dyDescent="0.25">
      <c r="A176" s="435"/>
      <c r="B176" s="436" t="s">
        <v>6153</v>
      </c>
      <c r="C176" s="435">
        <v>11</v>
      </c>
      <c r="D176" s="428" t="s">
        <v>7058</v>
      </c>
      <c r="E176" s="325" t="s">
        <v>7244</v>
      </c>
      <c r="F176" s="184">
        <v>24199</v>
      </c>
      <c r="G176" s="184">
        <v>24241</v>
      </c>
      <c r="H176" s="185">
        <v>7</v>
      </c>
      <c r="I176" s="185">
        <v>7</v>
      </c>
      <c r="J176" s="901" t="s">
        <v>1796</v>
      </c>
      <c r="K176" s="158" t="s">
        <v>6145</v>
      </c>
      <c r="L176" s="158" t="s">
        <v>520</v>
      </c>
      <c r="M176" s="158"/>
      <c r="N176" s="158" t="s">
        <v>4039</v>
      </c>
      <c r="O176" s="158"/>
      <c r="P176" s="182" t="s">
        <v>461</v>
      </c>
      <c r="Q176" s="158" t="s">
        <v>7233</v>
      </c>
      <c r="R176" s="207" t="s">
        <v>7589</v>
      </c>
      <c r="S176" s="355"/>
      <c r="T176" s="182"/>
      <c r="U176" s="182"/>
      <c r="V176" s="182"/>
      <c r="W176" s="321"/>
      <c r="X176" s="653" t="s">
        <v>12517</v>
      </c>
      <c r="Y176" s="361" t="s">
        <v>8399</v>
      </c>
      <c r="Z176" s="362">
        <v>5999</v>
      </c>
      <c r="AA176" s="362"/>
      <c r="AB176" s="33">
        <f t="shared" ca="1" si="3"/>
        <v>0.29094238545325135</v>
      </c>
      <c r="AC176" s="813"/>
      <c r="AD176" s="211" t="s">
        <v>16536</v>
      </c>
      <c r="AE176" s="949" t="s">
        <v>15062</v>
      </c>
      <c r="AF176" s="922">
        <f>IF(X176=X175,AF175,0)+IF(ISNUMBER(I176),IF(I176&lt;1,I176,I176*VLOOKUP(J176,Summary!$H$2:$I$9,2)),VLOOKUP(J176,Summary!$J$2:$K$9,2)*IF(ISNUMBER(H176),H176,1))</f>
        <v>4.1111111111111105E-2</v>
      </c>
      <c r="AG176" s="295">
        <v>175</v>
      </c>
      <c r="AH176" s="94"/>
      <c r="AI176" s="94"/>
    </row>
    <row r="177" spans="1:35" s="3" customFormat="1" ht="12" customHeight="1" x14ac:dyDescent="0.25">
      <c r="A177" s="435"/>
      <c r="B177" s="436" t="s">
        <v>6153</v>
      </c>
      <c r="C177" s="435">
        <v>12</v>
      </c>
      <c r="D177" s="428" t="s">
        <v>7059</v>
      </c>
      <c r="E177" s="325" t="s">
        <v>7245</v>
      </c>
      <c r="F177" s="184">
        <v>24248</v>
      </c>
      <c r="G177" s="184">
        <v>24283</v>
      </c>
      <c r="H177" s="185">
        <v>6</v>
      </c>
      <c r="I177" s="185">
        <v>6</v>
      </c>
      <c r="J177" s="901" t="s">
        <v>1796</v>
      </c>
      <c r="K177" s="158" t="s">
        <v>6145</v>
      </c>
      <c r="L177" s="158" t="s">
        <v>520</v>
      </c>
      <c r="M177" s="158"/>
      <c r="N177" s="158" t="s">
        <v>4039</v>
      </c>
      <c r="O177" s="158"/>
      <c r="P177" s="182" t="s">
        <v>461</v>
      </c>
      <c r="Q177" s="158" t="s">
        <v>7233</v>
      </c>
      <c r="R177" s="207" t="s">
        <v>7589</v>
      </c>
      <c r="S177" s="355"/>
      <c r="T177" s="182"/>
      <c r="U177" s="182"/>
      <c r="V177" s="182"/>
      <c r="W177" s="321"/>
      <c r="X177" s="653" t="s">
        <v>12517</v>
      </c>
      <c r="Y177" s="361" t="s">
        <v>8399</v>
      </c>
      <c r="Z177" s="362">
        <v>5999</v>
      </c>
      <c r="AA177" s="362"/>
      <c r="AB177" s="33">
        <f t="shared" ca="1" si="3"/>
        <v>0.5282233965992551</v>
      </c>
      <c r="AC177" s="813"/>
      <c r="AD177" s="211" t="s">
        <v>16130</v>
      </c>
      <c r="AE177" s="949" t="s">
        <v>12543</v>
      </c>
      <c r="AF177" s="922">
        <f>IF(X177=X176,AF176,0)+IF(ISNUMBER(I177),IF(I177&lt;1,I177,I177*VLOOKUP(J177,Summary!$H$2:$I$9,2)),VLOOKUP(J177,Summary!$J$2:$K$9,2)*IF(ISNUMBER(H177),H177,1))</f>
        <v>4.3194444444444438E-2</v>
      </c>
      <c r="AG177" s="295">
        <v>176</v>
      </c>
      <c r="AH177" s="94"/>
      <c r="AI177" s="94"/>
    </row>
    <row r="178" spans="1:35" s="43" customFormat="1" ht="12" customHeight="1" x14ac:dyDescent="0.25">
      <c r="A178" s="435"/>
      <c r="B178" s="436" t="s">
        <v>6153</v>
      </c>
      <c r="C178" s="435">
        <v>13</v>
      </c>
      <c r="D178" s="428" t="s">
        <v>7060</v>
      </c>
      <c r="E178" s="325" t="s">
        <v>7044</v>
      </c>
      <c r="F178" s="184">
        <v>24290</v>
      </c>
      <c r="G178" s="184">
        <v>24353</v>
      </c>
      <c r="H178" s="185">
        <v>10</v>
      </c>
      <c r="I178" s="185">
        <v>10</v>
      </c>
      <c r="J178" s="901" t="s">
        <v>1796</v>
      </c>
      <c r="K178" s="158" t="s">
        <v>6145</v>
      </c>
      <c r="L178" s="158" t="s">
        <v>520</v>
      </c>
      <c r="M178" s="158"/>
      <c r="N178" s="158" t="s">
        <v>4039</v>
      </c>
      <c r="O178" s="158"/>
      <c r="P178" s="182" t="s">
        <v>461</v>
      </c>
      <c r="Q178" s="158" t="s">
        <v>7233</v>
      </c>
      <c r="R178" s="207" t="s">
        <v>7589</v>
      </c>
      <c r="S178" s="355"/>
      <c r="T178" s="182"/>
      <c r="U178" s="182"/>
      <c r="V178" s="182"/>
      <c r="W178" s="321"/>
      <c r="X178" s="653" t="s">
        <v>12517</v>
      </c>
      <c r="Y178" s="361" t="s">
        <v>8399</v>
      </c>
      <c r="Z178" s="362">
        <v>5999</v>
      </c>
      <c r="AA178" s="362"/>
      <c r="AB178" s="33">
        <f t="shared" ca="1" si="3"/>
        <v>0.50031029075222822</v>
      </c>
      <c r="AC178" s="813"/>
      <c r="AD178" s="211" t="s">
        <v>16130</v>
      </c>
      <c r="AE178" s="949" t="s">
        <v>15062</v>
      </c>
      <c r="AF178" s="922">
        <f>IF(X178=X177,AF177,0)+IF(ISNUMBER(I178),IF(I178&lt;1,I178,I178*VLOOKUP(J178,Summary!$H$2:$I$9,2)),VLOOKUP(J178,Summary!$J$2:$K$9,2)*IF(ISNUMBER(H178),H178,1))</f>
        <v>4.6666666666666662E-2</v>
      </c>
      <c r="AG178" s="295">
        <v>177</v>
      </c>
      <c r="AH178" s="94"/>
      <c r="AI178" s="94"/>
    </row>
    <row r="179" spans="1:35" s="3" customFormat="1" ht="12" customHeight="1" x14ac:dyDescent="0.25">
      <c r="A179" s="435"/>
      <c r="B179" s="436" t="s">
        <v>6153</v>
      </c>
      <c r="C179" s="435">
        <v>14</v>
      </c>
      <c r="D179" s="428" t="s">
        <v>7061</v>
      </c>
      <c r="E179" s="325" t="s">
        <v>7045</v>
      </c>
      <c r="F179" s="184">
        <v>24360</v>
      </c>
      <c r="G179" s="184">
        <v>24381</v>
      </c>
      <c r="H179" s="185">
        <v>4</v>
      </c>
      <c r="I179" s="185">
        <v>4</v>
      </c>
      <c r="J179" s="901" t="s">
        <v>1796</v>
      </c>
      <c r="K179" s="158" t="s">
        <v>6145</v>
      </c>
      <c r="L179" s="158" t="s">
        <v>520</v>
      </c>
      <c r="M179" s="158"/>
      <c r="N179" s="158" t="s">
        <v>4039</v>
      </c>
      <c r="O179" s="158"/>
      <c r="P179" s="182" t="s">
        <v>461</v>
      </c>
      <c r="Q179" s="158" t="s">
        <v>7233</v>
      </c>
      <c r="R179" s="207" t="s">
        <v>7589</v>
      </c>
      <c r="S179" s="355"/>
      <c r="T179" s="182"/>
      <c r="U179" s="182"/>
      <c r="V179" s="182"/>
      <c r="W179" s="321"/>
      <c r="X179" s="653" t="s">
        <v>12517</v>
      </c>
      <c r="Y179" s="361" t="s">
        <v>8399</v>
      </c>
      <c r="Z179" s="362">
        <v>5999</v>
      </c>
      <c r="AA179" s="362"/>
      <c r="AB179" s="33">
        <f t="shared" ca="1" si="3"/>
        <v>0.19034116891517838</v>
      </c>
      <c r="AC179" s="813"/>
      <c r="AD179" s="211" t="s">
        <v>16130</v>
      </c>
      <c r="AE179" s="949" t="s">
        <v>15062</v>
      </c>
      <c r="AF179" s="922">
        <f>IF(X179=X178,AF178,0)+IF(ISNUMBER(I179),IF(I179&lt;1,I179,I179*VLOOKUP(J179,Summary!$H$2:$I$9,2)),VLOOKUP(J179,Summary!$J$2:$K$9,2)*IF(ISNUMBER(H179),H179,1))</f>
        <v>4.8055555555555553E-2</v>
      </c>
      <c r="AG179" s="295">
        <v>178</v>
      </c>
      <c r="AH179" s="94"/>
      <c r="AI179" s="94"/>
    </row>
    <row r="180" spans="1:35" s="3" customFormat="1" ht="12" customHeight="1" x14ac:dyDescent="0.25">
      <c r="A180" s="435"/>
      <c r="B180" s="436" t="s">
        <v>6153</v>
      </c>
      <c r="C180" s="435">
        <v>15</v>
      </c>
      <c r="D180" s="428" t="s">
        <v>7062</v>
      </c>
      <c r="E180" s="325" t="s">
        <v>7046</v>
      </c>
      <c r="F180" s="184">
        <v>24388</v>
      </c>
      <c r="G180" s="184">
        <v>24423</v>
      </c>
      <c r="H180" s="185">
        <v>6</v>
      </c>
      <c r="I180" s="185">
        <v>6</v>
      </c>
      <c r="J180" s="901" t="s">
        <v>1796</v>
      </c>
      <c r="K180" s="158" t="s">
        <v>6145</v>
      </c>
      <c r="L180" s="158" t="s">
        <v>520</v>
      </c>
      <c r="M180" s="158"/>
      <c r="N180" s="158" t="s">
        <v>4039</v>
      </c>
      <c r="O180" s="158"/>
      <c r="P180" s="182" t="s">
        <v>461</v>
      </c>
      <c r="Q180" s="158" t="s">
        <v>7233</v>
      </c>
      <c r="R180" s="207" t="s">
        <v>7589</v>
      </c>
      <c r="S180" s="355"/>
      <c r="T180" s="182"/>
      <c r="U180" s="182"/>
      <c r="V180" s="182"/>
      <c r="W180" s="321"/>
      <c r="X180" s="653" t="s">
        <v>12517</v>
      </c>
      <c r="Y180" s="361" t="s">
        <v>8399</v>
      </c>
      <c r="Z180" s="362">
        <v>5999</v>
      </c>
      <c r="AA180" s="362"/>
      <c r="AB180" s="33">
        <f t="shared" ca="1" si="3"/>
        <v>0.26987350398056553</v>
      </c>
      <c r="AC180" s="813"/>
      <c r="AD180" s="211" t="s">
        <v>16130</v>
      </c>
      <c r="AE180" s="949" t="s">
        <v>15062</v>
      </c>
      <c r="AF180" s="922">
        <f>IF(X180=X179,AF179,0)+IF(ISNUMBER(I180),IF(I180&lt;1,I180,I180*VLOOKUP(J180,Summary!$H$2:$I$9,2)),VLOOKUP(J180,Summary!$J$2:$K$9,2)*IF(ISNUMBER(H180),H180,1))</f>
        <v>5.0138888888888886E-2</v>
      </c>
      <c r="AG180" s="295">
        <v>179</v>
      </c>
      <c r="AH180" s="94"/>
      <c r="AI180" s="94"/>
    </row>
    <row r="181" spans="1:35" s="3" customFormat="1" ht="12" customHeight="1" x14ac:dyDescent="0.25">
      <c r="A181" s="435"/>
      <c r="B181" s="436" t="s">
        <v>6153</v>
      </c>
      <c r="C181" s="435">
        <v>16</v>
      </c>
      <c r="D181" s="428" t="s">
        <v>7063</v>
      </c>
      <c r="E181" s="325" t="s">
        <v>7047</v>
      </c>
      <c r="F181" s="184">
        <v>24430</v>
      </c>
      <c r="G181" s="184">
        <v>24486</v>
      </c>
      <c r="H181" s="185">
        <v>9</v>
      </c>
      <c r="I181" s="185">
        <v>9</v>
      </c>
      <c r="J181" s="901" t="s">
        <v>1796</v>
      </c>
      <c r="K181" s="158" t="s">
        <v>6145</v>
      </c>
      <c r="L181" s="158" t="s">
        <v>520</v>
      </c>
      <c r="M181" s="158"/>
      <c r="N181" s="158" t="s">
        <v>4039</v>
      </c>
      <c r="O181" s="158"/>
      <c r="P181" s="182" t="s">
        <v>461</v>
      </c>
      <c r="Q181" s="158" t="s">
        <v>7233</v>
      </c>
      <c r="R181" s="207" t="s">
        <v>7589</v>
      </c>
      <c r="S181" s="355"/>
      <c r="T181" s="182"/>
      <c r="U181" s="182"/>
      <c r="V181" s="182"/>
      <c r="W181" s="321"/>
      <c r="X181" s="653" t="s">
        <v>12517</v>
      </c>
      <c r="Y181" s="361" t="s">
        <v>8399</v>
      </c>
      <c r="Z181" s="362">
        <v>5999</v>
      </c>
      <c r="AA181" s="362"/>
      <c r="AB181" s="33">
        <f t="shared" ca="1" si="3"/>
        <v>0.86304669654574528</v>
      </c>
      <c r="AC181" s="813"/>
      <c r="AD181" s="211" t="s">
        <v>16130</v>
      </c>
      <c r="AE181" s="949" t="s">
        <v>15062</v>
      </c>
      <c r="AF181" s="922">
        <f>IF(X181=X180,AF180,0)+IF(ISNUMBER(I181),IF(I181&lt;1,I181,I181*VLOOKUP(J181,Summary!$H$2:$I$9,2)),VLOOKUP(J181,Summary!$J$2:$K$9,2)*IF(ISNUMBER(H181),H181,1))</f>
        <v>5.3263888888888888E-2</v>
      </c>
      <c r="AG181" s="295">
        <v>180</v>
      </c>
      <c r="AH181" s="94"/>
      <c r="AI181" s="94"/>
    </row>
    <row r="182" spans="1:35" s="3" customFormat="1" ht="12" customHeight="1" x14ac:dyDescent="0.25">
      <c r="A182" s="435"/>
      <c r="B182" s="436" t="s">
        <v>6153</v>
      </c>
      <c r="C182" s="435">
        <v>17</v>
      </c>
      <c r="D182" s="428" t="s">
        <v>3843</v>
      </c>
      <c r="E182" s="325" t="s">
        <v>3840</v>
      </c>
      <c r="F182" s="184">
        <v>35501</v>
      </c>
      <c r="G182" s="184">
        <v>35641</v>
      </c>
      <c r="H182" s="185">
        <v>6</v>
      </c>
      <c r="I182" s="185">
        <v>6</v>
      </c>
      <c r="J182" s="901" t="s">
        <v>1796</v>
      </c>
      <c r="K182" s="158" t="s">
        <v>3841</v>
      </c>
      <c r="L182" s="158" t="s">
        <v>520</v>
      </c>
      <c r="M182" s="158"/>
      <c r="N182" s="158" t="s">
        <v>2750</v>
      </c>
      <c r="O182" s="158"/>
      <c r="P182" s="182" t="s">
        <v>461</v>
      </c>
      <c r="Q182" s="158" t="s">
        <v>3842</v>
      </c>
      <c r="R182" s="207" t="s">
        <v>7589</v>
      </c>
      <c r="S182" s="355"/>
      <c r="T182" s="182"/>
      <c r="U182" s="182"/>
      <c r="V182" s="182"/>
      <c r="W182" s="321"/>
      <c r="X182" s="653" t="s">
        <v>12517</v>
      </c>
      <c r="Y182" s="361"/>
      <c r="Z182" s="362"/>
      <c r="AA182" s="362"/>
      <c r="AB182" s="33">
        <f t="shared" ca="1" si="3"/>
        <v>0.18675503320589659</v>
      </c>
      <c r="AC182" s="813"/>
      <c r="AD182" s="211" t="s">
        <v>16130</v>
      </c>
      <c r="AE182" s="949" t="s">
        <v>15062</v>
      </c>
      <c r="AF182" s="922">
        <f>IF(X182=X181,AF181,0)+IF(ISNUMBER(I182),IF(I182&lt;1,I182,I182*VLOOKUP(J182,Summary!$H$2:$I$9,2)),VLOOKUP(J182,Summary!$J$2:$K$9,2)*IF(ISNUMBER(H182),H182,1))</f>
        <v>5.5347222222222221E-2</v>
      </c>
      <c r="AG182" s="295">
        <v>181</v>
      </c>
      <c r="AH182" s="94"/>
      <c r="AI182" s="94"/>
    </row>
    <row r="183" spans="1:35" s="1" customFormat="1" ht="12" customHeight="1" x14ac:dyDescent="0.25">
      <c r="A183" s="435"/>
      <c r="B183" s="436" t="s">
        <v>6153</v>
      </c>
      <c r="C183" s="435">
        <v>1.01</v>
      </c>
      <c r="D183" s="428" t="s">
        <v>1713</v>
      </c>
      <c r="E183" s="325" t="s">
        <v>1715</v>
      </c>
      <c r="F183" s="184">
        <v>23558</v>
      </c>
      <c r="G183" s="184"/>
      <c r="H183" s="185">
        <v>1</v>
      </c>
      <c r="I183" s="185">
        <v>10</v>
      </c>
      <c r="J183" s="901" t="s">
        <v>1796</v>
      </c>
      <c r="K183" s="158" t="s">
        <v>3957</v>
      </c>
      <c r="L183" s="158"/>
      <c r="M183" s="158"/>
      <c r="N183" s="158"/>
      <c r="O183" s="158"/>
      <c r="P183" s="182" t="s">
        <v>461</v>
      </c>
      <c r="Q183" s="158" t="s">
        <v>1714</v>
      </c>
      <c r="R183" s="207" t="s">
        <v>440</v>
      </c>
      <c r="S183" s="355"/>
      <c r="T183" s="182"/>
      <c r="U183" s="182"/>
      <c r="V183" s="182"/>
      <c r="W183" s="325" t="s">
        <v>1715</v>
      </c>
      <c r="X183" s="657" t="s">
        <v>12517</v>
      </c>
      <c r="Y183" s="361"/>
      <c r="Z183" s="362">
        <v>5999</v>
      </c>
      <c r="AA183" s="362"/>
      <c r="AB183" s="33">
        <f t="shared" ca="1" si="3"/>
        <v>0.43271460251533411</v>
      </c>
      <c r="AC183" s="813"/>
      <c r="AD183" s="211" t="s">
        <v>16130</v>
      </c>
      <c r="AE183" s="949"/>
      <c r="AF183" s="922">
        <f>IF(X183=X182,AF182,0)+IF(ISNUMBER(I183),IF(I183&lt;1,I183,I183*VLOOKUP(J183,Summary!$H$2:$I$9,2)),VLOOKUP(J183,Summary!$J$2:$K$9,2)*IF(ISNUMBER(H183),H183,1))</f>
        <v>5.8819444444444445E-2</v>
      </c>
      <c r="AG183" s="295">
        <v>182</v>
      </c>
      <c r="AH183" s="94"/>
      <c r="AI183" s="94"/>
    </row>
    <row r="184" spans="1:35" s="22" customFormat="1" ht="12" customHeight="1" x14ac:dyDescent="0.25">
      <c r="A184" s="437"/>
      <c r="B184" s="422" t="s">
        <v>6153</v>
      </c>
      <c r="C184" s="437">
        <v>1.02</v>
      </c>
      <c r="D184" s="434" t="s">
        <v>1713</v>
      </c>
      <c r="E184" s="324" t="s">
        <v>1716</v>
      </c>
      <c r="F184" s="175">
        <v>23558</v>
      </c>
      <c r="G184" s="175"/>
      <c r="H184" s="176">
        <v>1</v>
      </c>
      <c r="I184" s="176">
        <v>8</v>
      </c>
      <c r="J184" s="900" t="s">
        <v>2755</v>
      </c>
      <c r="K184" s="157" t="s">
        <v>3957</v>
      </c>
      <c r="L184" s="157"/>
      <c r="M184" s="157"/>
      <c r="N184" s="157"/>
      <c r="O184" s="157"/>
      <c r="P184" s="173" t="s">
        <v>461</v>
      </c>
      <c r="Q184" s="157" t="s">
        <v>1714</v>
      </c>
      <c r="R184" s="179" t="s">
        <v>440</v>
      </c>
      <c r="S184" s="354"/>
      <c r="T184" s="173"/>
      <c r="U184" s="173"/>
      <c r="V184" s="173"/>
      <c r="W184" s="324" t="s">
        <v>1716</v>
      </c>
      <c r="X184" s="656" t="s">
        <v>12517</v>
      </c>
      <c r="Y184" s="363"/>
      <c r="Z184" s="364">
        <v>5999</v>
      </c>
      <c r="AA184" s="364"/>
      <c r="AB184" s="32">
        <f t="shared" ca="1" si="3"/>
        <v>8.368081040153097E-2</v>
      </c>
      <c r="AC184" s="812"/>
      <c r="AD184" s="763"/>
      <c r="AE184" s="951"/>
      <c r="AF184" s="921">
        <f>IF(X184=X183,AF183,0)+IF(ISNUMBER(I184),IF(I184&lt;1,I184,I184*VLOOKUP(J184,Summary!$H$2:$I$9,2)),VLOOKUP(J184,Summary!$J$2:$K$9,2)*IF(ISNUMBER(H184),H184,1))</f>
        <v>6.4375000000000002E-2</v>
      </c>
      <c r="AG184" s="288">
        <v>183</v>
      </c>
      <c r="AH184" s="94"/>
      <c r="AI184" s="94"/>
    </row>
    <row r="185" spans="1:35" s="22" customFormat="1" ht="12" customHeight="1" x14ac:dyDescent="0.2">
      <c r="A185" s="435"/>
      <c r="B185" s="436" t="s">
        <v>6153</v>
      </c>
      <c r="C185" s="435">
        <v>1.03</v>
      </c>
      <c r="D185" s="428" t="s">
        <v>1713</v>
      </c>
      <c r="E185" s="325" t="s">
        <v>154</v>
      </c>
      <c r="F185" s="184">
        <v>23558</v>
      </c>
      <c r="G185" s="184"/>
      <c r="H185" s="185">
        <v>1</v>
      </c>
      <c r="I185" s="185">
        <v>8</v>
      </c>
      <c r="J185" s="901" t="s">
        <v>1796</v>
      </c>
      <c r="K185" s="158" t="s">
        <v>3957</v>
      </c>
      <c r="L185" s="158"/>
      <c r="M185" s="158"/>
      <c r="N185" s="158"/>
      <c r="O185" s="158"/>
      <c r="P185" s="182" t="s">
        <v>461</v>
      </c>
      <c r="Q185" s="158" t="s">
        <v>1714</v>
      </c>
      <c r="R185" s="207" t="s">
        <v>440</v>
      </c>
      <c r="S185" s="355"/>
      <c r="T185" s="182"/>
      <c r="U185" s="182"/>
      <c r="V185" s="182"/>
      <c r="W185" s="325" t="s">
        <v>154</v>
      </c>
      <c r="X185" s="657" t="s">
        <v>12517</v>
      </c>
      <c r="Y185" s="361"/>
      <c r="Z185" s="362">
        <v>5999</v>
      </c>
      <c r="AA185" s="362"/>
      <c r="AB185" s="33">
        <f t="shared" ca="1" si="3"/>
        <v>0.8486106586846085</v>
      </c>
      <c r="AC185" s="813"/>
      <c r="AD185" s="211"/>
      <c r="AE185" s="949"/>
      <c r="AF185" s="922">
        <f>IF(X185=X184,AF184,0)+IF(ISNUMBER(I185),IF(I185&lt;1,I185,I185*VLOOKUP(J185,Summary!$H$2:$I$9,2)),VLOOKUP(J185,Summary!$J$2:$K$9,2)*IF(ISNUMBER(H185),H185,1))</f>
        <v>6.7152777777777783E-2</v>
      </c>
      <c r="AG185" s="295">
        <v>184</v>
      </c>
      <c r="AH185" s="94"/>
      <c r="AI185" s="94"/>
    </row>
    <row r="186" spans="1:35" s="22" customFormat="1" ht="12" customHeight="1" x14ac:dyDescent="0.2">
      <c r="A186" s="435"/>
      <c r="B186" s="436" t="s">
        <v>6153</v>
      </c>
      <c r="C186" s="435">
        <v>1.04</v>
      </c>
      <c r="D186" s="428" t="s">
        <v>1713</v>
      </c>
      <c r="E186" s="325" t="s">
        <v>155</v>
      </c>
      <c r="F186" s="184">
        <v>23558</v>
      </c>
      <c r="G186" s="184"/>
      <c r="H186" s="185">
        <v>1</v>
      </c>
      <c r="I186" s="185">
        <v>8</v>
      </c>
      <c r="J186" s="901" t="s">
        <v>1796</v>
      </c>
      <c r="K186" s="158" t="s">
        <v>3957</v>
      </c>
      <c r="L186" s="158"/>
      <c r="M186" s="158"/>
      <c r="N186" s="158"/>
      <c r="O186" s="158"/>
      <c r="P186" s="182" t="s">
        <v>461</v>
      </c>
      <c r="Q186" s="158" t="s">
        <v>1714</v>
      </c>
      <c r="R186" s="207" t="s">
        <v>440</v>
      </c>
      <c r="S186" s="355" t="s">
        <v>2326</v>
      </c>
      <c r="T186" s="182"/>
      <c r="U186" s="182"/>
      <c r="V186" s="182"/>
      <c r="W186" s="325" t="s">
        <v>155</v>
      </c>
      <c r="X186" s="657" t="s">
        <v>12517</v>
      </c>
      <c r="Y186" s="361"/>
      <c r="Z186" s="362">
        <v>5999</v>
      </c>
      <c r="AA186" s="362"/>
      <c r="AB186" s="33">
        <f t="shared" ca="1" si="3"/>
        <v>7.7738157518512208E-2</v>
      </c>
      <c r="AC186" s="813"/>
      <c r="AD186" s="211"/>
      <c r="AE186" s="949"/>
      <c r="AF186" s="922">
        <f>IF(X186=X185,AF185,0)+IF(ISNUMBER(I186),IF(I186&lt;1,I186,I186*VLOOKUP(J186,Summary!$H$2:$I$9,2)),VLOOKUP(J186,Summary!$J$2:$K$9,2)*IF(ISNUMBER(H186),H186,1))</f>
        <v>6.9930555555555565E-2</v>
      </c>
      <c r="AG186" s="295">
        <v>185</v>
      </c>
      <c r="AH186" s="94"/>
      <c r="AI186" s="94"/>
    </row>
    <row r="187" spans="1:35" s="22" customFormat="1" ht="12" customHeight="1" x14ac:dyDescent="0.25">
      <c r="A187" s="437"/>
      <c r="B187" s="422" t="s">
        <v>6153</v>
      </c>
      <c r="C187" s="437">
        <v>1.05</v>
      </c>
      <c r="D187" s="434" t="s">
        <v>1713</v>
      </c>
      <c r="E187" s="324" t="s">
        <v>156</v>
      </c>
      <c r="F187" s="175">
        <v>23558</v>
      </c>
      <c r="G187" s="175"/>
      <c r="H187" s="176">
        <v>1</v>
      </c>
      <c r="I187" s="176">
        <v>7</v>
      </c>
      <c r="J187" s="900" t="s">
        <v>2755</v>
      </c>
      <c r="K187" s="157" t="s">
        <v>3957</v>
      </c>
      <c r="L187" s="157"/>
      <c r="M187" s="157"/>
      <c r="N187" s="157"/>
      <c r="O187" s="157"/>
      <c r="P187" s="173" t="s">
        <v>461</v>
      </c>
      <c r="Q187" s="157" t="s">
        <v>1714</v>
      </c>
      <c r="R187" s="179" t="s">
        <v>440</v>
      </c>
      <c r="S187" s="354"/>
      <c r="T187" s="173"/>
      <c r="U187" s="173"/>
      <c r="V187" s="173"/>
      <c r="W187" s="324" t="s">
        <v>156</v>
      </c>
      <c r="X187" s="656" t="s">
        <v>12517</v>
      </c>
      <c r="Y187" s="363"/>
      <c r="Z187" s="364">
        <v>5999</v>
      </c>
      <c r="AA187" s="364"/>
      <c r="AB187" s="32">
        <f t="shared" ca="1" si="3"/>
        <v>2.0480058552649005E-2</v>
      </c>
      <c r="AC187" s="812"/>
      <c r="AD187" s="763"/>
      <c r="AE187" s="951"/>
      <c r="AF187" s="921">
        <f>IF(X187=X186,AF186,0)+IF(ISNUMBER(I187),IF(I187&lt;1,I187,I187*VLOOKUP(J187,Summary!$H$2:$I$9,2)),VLOOKUP(J187,Summary!$J$2:$K$9,2)*IF(ISNUMBER(H187),H187,1))</f>
        <v>7.4791666666666673E-2</v>
      </c>
      <c r="AG187" s="288">
        <v>186</v>
      </c>
      <c r="AH187" s="94"/>
      <c r="AI187" s="94"/>
    </row>
    <row r="188" spans="1:35" s="22" customFormat="1" ht="12" customHeight="1" x14ac:dyDescent="0.2">
      <c r="A188" s="435"/>
      <c r="B188" s="436" t="s">
        <v>6153</v>
      </c>
      <c r="C188" s="435">
        <v>1.06</v>
      </c>
      <c r="D188" s="428" t="s">
        <v>1713</v>
      </c>
      <c r="E188" s="325" t="s">
        <v>3347</v>
      </c>
      <c r="F188" s="184">
        <v>23558</v>
      </c>
      <c r="G188" s="184"/>
      <c r="H188" s="185">
        <v>1</v>
      </c>
      <c r="I188" s="185">
        <v>8</v>
      </c>
      <c r="J188" s="901" t="s">
        <v>1796</v>
      </c>
      <c r="K188" s="158" t="s">
        <v>3957</v>
      </c>
      <c r="L188" s="158"/>
      <c r="M188" s="158"/>
      <c r="N188" s="158"/>
      <c r="O188" s="158"/>
      <c r="P188" s="182" t="s">
        <v>461</v>
      </c>
      <c r="Q188" s="158" t="s">
        <v>1714</v>
      </c>
      <c r="R188" s="207" t="s">
        <v>440</v>
      </c>
      <c r="S188" s="355"/>
      <c r="T188" s="182"/>
      <c r="U188" s="182"/>
      <c r="V188" s="182"/>
      <c r="W188" s="325" t="s">
        <v>3347</v>
      </c>
      <c r="X188" s="657" t="s">
        <v>12517</v>
      </c>
      <c r="Y188" s="361"/>
      <c r="Z188" s="362">
        <v>5999</v>
      </c>
      <c r="AA188" s="362"/>
      <c r="AB188" s="33">
        <f t="shared" ca="1" si="3"/>
        <v>0.93980103080269839</v>
      </c>
      <c r="AC188" s="813"/>
      <c r="AD188" s="211"/>
      <c r="AE188" s="949"/>
      <c r="AF188" s="922">
        <f>IF(X188=X187,AF187,0)+IF(ISNUMBER(I188),IF(I188&lt;1,I188,I188*VLOOKUP(J188,Summary!$H$2:$I$9,2)),VLOOKUP(J188,Summary!$J$2:$K$9,2)*IF(ISNUMBER(H188),H188,1))</f>
        <v>7.7569444444444455E-2</v>
      </c>
      <c r="AG188" s="295">
        <v>187</v>
      </c>
      <c r="AH188" s="94"/>
      <c r="AI188" s="94"/>
    </row>
    <row r="189" spans="1:35" s="22" customFormat="1" ht="12" customHeight="1" x14ac:dyDescent="0.2">
      <c r="A189" s="435"/>
      <c r="B189" s="436" t="s">
        <v>6153</v>
      </c>
      <c r="C189" s="435">
        <v>1.07</v>
      </c>
      <c r="D189" s="428" t="s">
        <v>1713</v>
      </c>
      <c r="E189" s="325" t="s">
        <v>157</v>
      </c>
      <c r="F189" s="184">
        <v>23558</v>
      </c>
      <c r="G189" s="184"/>
      <c r="H189" s="185">
        <v>1</v>
      </c>
      <c r="I189" s="185">
        <v>8</v>
      </c>
      <c r="J189" s="901" t="s">
        <v>1796</v>
      </c>
      <c r="K189" s="158" t="s">
        <v>3957</v>
      </c>
      <c r="L189" s="158"/>
      <c r="M189" s="158"/>
      <c r="N189" s="158"/>
      <c r="O189" s="158"/>
      <c r="P189" s="182" t="s">
        <v>461</v>
      </c>
      <c r="Q189" s="158" t="s">
        <v>1714</v>
      </c>
      <c r="R189" s="207" t="s">
        <v>440</v>
      </c>
      <c r="S189" s="355"/>
      <c r="T189" s="182"/>
      <c r="U189" s="182"/>
      <c r="V189" s="182"/>
      <c r="W189" s="325" t="s">
        <v>157</v>
      </c>
      <c r="X189" s="657" t="s">
        <v>12517</v>
      </c>
      <c r="Y189" s="361"/>
      <c r="Z189" s="362">
        <v>5999</v>
      </c>
      <c r="AA189" s="362"/>
      <c r="AB189" s="33">
        <f t="shared" ca="1" si="3"/>
        <v>7.1200798678341837E-2</v>
      </c>
      <c r="AC189" s="813"/>
      <c r="AD189" s="211"/>
      <c r="AE189" s="949"/>
      <c r="AF189" s="922">
        <f>IF(X189=X188,AF188,0)+IF(ISNUMBER(I189),IF(I189&lt;1,I189,I189*VLOOKUP(J189,Summary!$H$2:$I$9,2)),VLOOKUP(J189,Summary!$J$2:$K$9,2)*IF(ISNUMBER(H189),H189,1))</f>
        <v>8.0347222222222237E-2</v>
      </c>
      <c r="AG189" s="295">
        <v>188</v>
      </c>
      <c r="AH189" s="94"/>
      <c r="AI189" s="94"/>
    </row>
    <row r="190" spans="1:35" s="7" customFormat="1" ht="12" customHeight="1" x14ac:dyDescent="0.25">
      <c r="A190" s="437"/>
      <c r="B190" s="422" t="s">
        <v>6153</v>
      </c>
      <c r="C190" s="437">
        <v>1.08</v>
      </c>
      <c r="D190" s="434" t="s">
        <v>1713</v>
      </c>
      <c r="E190" s="324" t="s">
        <v>158</v>
      </c>
      <c r="F190" s="175">
        <v>23558</v>
      </c>
      <c r="G190" s="175"/>
      <c r="H190" s="176">
        <v>1</v>
      </c>
      <c r="I190" s="176">
        <v>3</v>
      </c>
      <c r="J190" s="900" t="s">
        <v>2755</v>
      </c>
      <c r="K190" s="157" t="s">
        <v>3957</v>
      </c>
      <c r="L190" s="157"/>
      <c r="M190" s="157"/>
      <c r="N190" s="157"/>
      <c r="O190" s="157"/>
      <c r="P190" s="173" t="s">
        <v>461</v>
      </c>
      <c r="Q190" s="157" t="s">
        <v>1714</v>
      </c>
      <c r="R190" s="179" t="s">
        <v>440</v>
      </c>
      <c r="S190" s="354"/>
      <c r="T190" s="173"/>
      <c r="U190" s="173"/>
      <c r="V190" s="173"/>
      <c r="W190" s="324" t="s">
        <v>158</v>
      </c>
      <c r="X190" s="656" t="s">
        <v>12517</v>
      </c>
      <c r="Y190" s="363"/>
      <c r="Z190" s="364">
        <v>5999</v>
      </c>
      <c r="AA190" s="364"/>
      <c r="AB190" s="32">
        <f t="shared" ca="1" si="3"/>
        <v>0.28136812519842291</v>
      </c>
      <c r="AC190" s="812"/>
      <c r="AD190" s="763"/>
      <c r="AE190" s="951"/>
      <c r="AF190" s="921">
        <f>IF(X190=X189,AF189,0)+IF(ISNUMBER(I190),IF(I190&lt;1,I190,I190*VLOOKUP(J190,Summary!$H$2:$I$9,2)),VLOOKUP(J190,Summary!$J$2:$K$9,2)*IF(ISNUMBER(H190),H190,1))</f>
        <v>8.2430555555555576E-2</v>
      </c>
      <c r="AG190" s="288">
        <v>189</v>
      </c>
      <c r="AH190" s="94"/>
      <c r="AI190" s="94"/>
    </row>
    <row r="191" spans="1:35" s="22" customFormat="1" ht="12" customHeight="1" x14ac:dyDescent="0.2">
      <c r="A191" s="435"/>
      <c r="B191" s="436" t="s">
        <v>6153</v>
      </c>
      <c r="C191" s="435">
        <v>1.0900000000000001</v>
      </c>
      <c r="D191" s="428" t="s">
        <v>1713</v>
      </c>
      <c r="E191" s="325" t="s">
        <v>159</v>
      </c>
      <c r="F191" s="184">
        <v>23558</v>
      </c>
      <c r="G191" s="184"/>
      <c r="H191" s="185">
        <v>1</v>
      </c>
      <c r="I191" s="185">
        <v>8</v>
      </c>
      <c r="J191" s="901" t="s">
        <v>1796</v>
      </c>
      <c r="K191" s="158" t="s">
        <v>3957</v>
      </c>
      <c r="L191" s="158"/>
      <c r="M191" s="158"/>
      <c r="N191" s="158"/>
      <c r="O191" s="158"/>
      <c r="P191" s="182" t="s">
        <v>461</v>
      </c>
      <c r="Q191" s="158" t="s">
        <v>1714</v>
      </c>
      <c r="R191" s="207" t="s">
        <v>440</v>
      </c>
      <c r="S191" s="355"/>
      <c r="T191" s="182"/>
      <c r="U191" s="182"/>
      <c r="V191" s="182"/>
      <c r="W191" s="325" t="s">
        <v>159</v>
      </c>
      <c r="X191" s="657" t="s">
        <v>12517</v>
      </c>
      <c r="Y191" s="361"/>
      <c r="Z191" s="362">
        <v>5999</v>
      </c>
      <c r="AA191" s="362"/>
      <c r="AB191" s="33">
        <f t="shared" ca="1" si="3"/>
        <v>0.67667263016800394</v>
      </c>
      <c r="AC191" s="813"/>
      <c r="AD191" s="211"/>
      <c r="AE191" s="949"/>
      <c r="AF191" s="922">
        <f>IF(X191=X190,AF190,0)+IF(ISNUMBER(I191),IF(I191&lt;1,I191,I191*VLOOKUP(J191,Summary!$H$2:$I$9,2)),VLOOKUP(J191,Summary!$J$2:$K$9,2)*IF(ISNUMBER(H191),H191,1))</f>
        <v>8.5208333333333358E-2</v>
      </c>
      <c r="AG191" s="295">
        <v>190</v>
      </c>
      <c r="AH191" s="94"/>
      <c r="AI191" s="94"/>
    </row>
    <row r="192" spans="1:35" s="1" customFormat="1" ht="12" customHeight="1" x14ac:dyDescent="0.25">
      <c r="A192" s="437"/>
      <c r="B192" s="422" t="s">
        <v>6153</v>
      </c>
      <c r="C192" s="438">
        <v>1.1000000000000001</v>
      </c>
      <c r="D192" s="434" t="s">
        <v>1713</v>
      </c>
      <c r="E192" s="324" t="s">
        <v>160</v>
      </c>
      <c r="F192" s="175">
        <v>23558</v>
      </c>
      <c r="G192" s="175"/>
      <c r="H192" s="176">
        <v>1</v>
      </c>
      <c r="I192" s="176">
        <v>6</v>
      </c>
      <c r="J192" s="900" t="s">
        <v>2755</v>
      </c>
      <c r="K192" s="157" t="s">
        <v>3957</v>
      </c>
      <c r="L192" s="157"/>
      <c r="M192" s="157"/>
      <c r="N192" s="157"/>
      <c r="O192" s="157"/>
      <c r="P192" s="173" t="s">
        <v>461</v>
      </c>
      <c r="Q192" s="157" t="s">
        <v>1714</v>
      </c>
      <c r="R192" s="179" t="s">
        <v>440</v>
      </c>
      <c r="S192" s="354"/>
      <c r="T192" s="173"/>
      <c r="U192" s="173"/>
      <c r="V192" s="173"/>
      <c r="W192" s="324" t="s">
        <v>160</v>
      </c>
      <c r="X192" s="656" t="s">
        <v>12517</v>
      </c>
      <c r="Y192" s="363"/>
      <c r="Z192" s="364">
        <v>5999</v>
      </c>
      <c r="AA192" s="364"/>
      <c r="AB192" s="32">
        <f t="shared" ca="1" si="3"/>
        <v>0.44046740118212679</v>
      </c>
      <c r="AC192" s="812"/>
      <c r="AD192" s="763"/>
      <c r="AE192" s="951"/>
      <c r="AF192" s="921">
        <f>IF(X192=X191,AF191,0)+IF(ISNUMBER(I192),IF(I192&lt;1,I192,I192*VLOOKUP(J192,Summary!$H$2:$I$9,2)),VLOOKUP(J192,Summary!$J$2:$K$9,2)*IF(ISNUMBER(H192),H192,1))</f>
        <v>8.9375000000000024E-2</v>
      </c>
      <c r="AG192" s="288">
        <v>191</v>
      </c>
      <c r="AH192" s="94"/>
      <c r="AI192" s="94"/>
    </row>
    <row r="193" spans="1:35" s="22" customFormat="1" ht="12" customHeight="1" x14ac:dyDescent="0.2">
      <c r="A193" s="435"/>
      <c r="B193" s="436" t="s">
        <v>6153</v>
      </c>
      <c r="C193" s="435">
        <v>1.1100000000000001</v>
      </c>
      <c r="D193" s="428" t="s">
        <v>1713</v>
      </c>
      <c r="E193" s="325" t="s">
        <v>161</v>
      </c>
      <c r="F193" s="184">
        <v>23558</v>
      </c>
      <c r="G193" s="184"/>
      <c r="H193" s="185">
        <v>1</v>
      </c>
      <c r="I193" s="185">
        <v>5</v>
      </c>
      <c r="J193" s="901" t="s">
        <v>1796</v>
      </c>
      <c r="K193" s="158" t="s">
        <v>3957</v>
      </c>
      <c r="L193" s="158"/>
      <c r="M193" s="158"/>
      <c r="N193" s="158"/>
      <c r="O193" s="158"/>
      <c r="P193" s="182" t="s">
        <v>461</v>
      </c>
      <c r="Q193" s="158" t="s">
        <v>1714</v>
      </c>
      <c r="R193" s="207" t="s">
        <v>440</v>
      </c>
      <c r="S193" s="355"/>
      <c r="T193" s="182"/>
      <c r="U193" s="182"/>
      <c r="V193" s="182"/>
      <c r="W193" s="325" t="s">
        <v>161</v>
      </c>
      <c r="X193" s="657" t="s">
        <v>12517</v>
      </c>
      <c r="Y193" s="361"/>
      <c r="Z193" s="362">
        <v>5999</v>
      </c>
      <c r="AA193" s="362"/>
      <c r="AB193" s="33">
        <f t="shared" ca="1" si="3"/>
        <v>0.73163066944294042</v>
      </c>
      <c r="AC193" s="813"/>
      <c r="AD193" s="211"/>
      <c r="AE193" s="949"/>
      <c r="AF193" s="922">
        <f>IF(X193=X192,AF192,0)+IF(ISNUMBER(I193),IF(I193&lt;1,I193,I193*VLOOKUP(J193,Summary!$H$2:$I$9,2)),VLOOKUP(J193,Summary!$J$2:$K$9,2)*IF(ISNUMBER(H193),H193,1))</f>
        <v>9.1111111111111129E-2</v>
      </c>
      <c r="AG193" s="295">
        <v>192</v>
      </c>
      <c r="AH193" s="94"/>
      <c r="AI193" s="94"/>
    </row>
    <row r="194" spans="1:35" s="22" customFormat="1" ht="12" customHeight="1" x14ac:dyDescent="0.2">
      <c r="A194" s="405"/>
      <c r="B194" s="405" t="s">
        <v>6153</v>
      </c>
      <c r="C194" s="405">
        <v>3</v>
      </c>
      <c r="D194" s="407" t="s">
        <v>3958</v>
      </c>
      <c r="E194" s="315" t="s">
        <v>3956</v>
      </c>
      <c r="F194" s="169">
        <v>39753</v>
      </c>
      <c r="G194" s="170"/>
      <c r="H194" s="170">
        <v>6</v>
      </c>
      <c r="I194" s="746">
        <f>TIME(1,55,13)</f>
        <v>8.0011574074074068E-2</v>
      </c>
      <c r="J194" s="899" t="s">
        <v>4706</v>
      </c>
      <c r="K194" s="167" t="s">
        <v>3957</v>
      </c>
      <c r="L194" s="167" t="s">
        <v>4549</v>
      </c>
      <c r="M194" s="167"/>
      <c r="N194" s="167"/>
      <c r="O194" s="167"/>
      <c r="P194" s="168" t="s">
        <v>7915</v>
      </c>
      <c r="Q194" s="167" t="s">
        <v>3947</v>
      </c>
      <c r="R194" s="172" t="s">
        <v>3152</v>
      </c>
      <c r="S194" s="388"/>
      <c r="T194" s="168"/>
      <c r="U194" s="168"/>
      <c r="V194" s="168"/>
      <c r="W194" s="312" t="s">
        <v>11133</v>
      </c>
      <c r="X194" s="644" t="s">
        <v>12517</v>
      </c>
      <c r="Y194" s="352" t="s">
        <v>5398</v>
      </c>
      <c r="Z194" s="353">
        <v>656</v>
      </c>
      <c r="AA194" s="353">
        <v>3</v>
      </c>
      <c r="AB194" s="31">
        <f t="shared" ref="AB194:AB257" ca="1" si="4">RAND()</f>
        <v>7.2350441720018255E-3</v>
      </c>
      <c r="AC194" s="810"/>
      <c r="AD194" s="811"/>
      <c r="AE194" s="940"/>
      <c r="AF194" s="920">
        <f>IF(X194=X193,AF193,0)+IF(ISNUMBER(I194),IF(I194&lt;1,I194,I194*VLOOKUP(J194,Summary!$H$2:$I$9,2)),VLOOKUP(J194,Summary!$J$2:$K$9,2)*IF(ISNUMBER(H194),H194,1))</f>
        <v>0.1711226851851852</v>
      </c>
      <c r="AG194" s="287">
        <v>193</v>
      </c>
      <c r="AH194" s="94"/>
      <c r="AI194" s="94"/>
    </row>
    <row r="195" spans="1:35" s="22" customFormat="1" ht="12" customHeight="1" x14ac:dyDescent="0.2">
      <c r="A195" s="435"/>
      <c r="B195" s="436" t="s">
        <v>6153</v>
      </c>
      <c r="C195" s="435">
        <v>2.0099999999999998</v>
      </c>
      <c r="D195" s="428" t="s">
        <v>3506</v>
      </c>
      <c r="E195" s="325" t="s">
        <v>3507</v>
      </c>
      <c r="F195" s="184">
        <v>24026</v>
      </c>
      <c r="G195" s="184"/>
      <c r="H195" s="185">
        <v>1</v>
      </c>
      <c r="I195" s="185">
        <v>11</v>
      </c>
      <c r="J195" s="901" t="s">
        <v>1796</v>
      </c>
      <c r="K195" s="158" t="s">
        <v>3957</v>
      </c>
      <c r="L195" s="158"/>
      <c r="M195" s="158"/>
      <c r="N195" s="158"/>
      <c r="O195" s="158"/>
      <c r="P195" s="182" t="s">
        <v>461</v>
      </c>
      <c r="Q195" s="158" t="s">
        <v>1714</v>
      </c>
      <c r="R195" s="207" t="s">
        <v>440</v>
      </c>
      <c r="S195" s="355"/>
      <c r="T195" s="182"/>
      <c r="U195" s="182"/>
      <c r="V195" s="182"/>
      <c r="W195" s="325" t="s">
        <v>3507</v>
      </c>
      <c r="X195" s="657" t="s">
        <v>12517</v>
      </c>
      <c r="Y195" s="361" t="s">
        <v>6868</v>
      </c>
      <c r="Z195" s="362">
        <v>5999</v>
      </c>
      <c r="AA195" s="362"/>
      <c r="AB195" s="33">
        <f t="shared" ca="1" si="4"/>
        <v>0.73856629427288467</v>
      </c>
      <c r="AC195" s="813"/>
      <c r="AD195" s="211"/>
      <c r="AE195" s="949"/>
      <c r="AF195" s="922">
        <f>IF(X195=X194,AF194,0)+IF(ISNUMBER(I195),IF(I195&lt;1,I195,I195*VLOOKUP(J195,Summary!$H$2:$I$9,2)),VLOOKUP(J195,Summary!$J$2:$K$9,2)*IF(ISNUMBER(H195),H195,1))</f>
        <v>0.17494212962962963</v>
      </c>
      <c r="AG195" s="295">
        <v>194</v>
      </c>
      <c r="AH195" s="94"/>
      <c r="AI195" s="94"/>
    </row>
    <row r="196" spans="1:35" s="2" customFormat="1" ht="12" customHeight="1" x14ac:dyDescent="0.25">
      <c r="A196" s="437"/>
      <c r="B196" s="422" t="s">
        <v>6153</v>
      </c>
      <c r="C196" s="437">
        <v>2.02</v>
      </c>
      <c r="D196" s="434" t="s">
        <v>3506</v>
      </c>
      <c r="E196" s="324" t="s">
        <v>3516</v>
      </c>
      <c r="F196" s="175">
        <v>24026</v>
      </c>
      <c r="G196" s="175"/>
      <c r="H196" s="176">
        <v>1</v>
      </c>
      <c r="I196" s="176">
        <v>8</v>
      </c>
      <c r="J196" s="900" t="s">
        <v>2755</v>
      </c>
      <c r="K196" s="157" t="s">
        <v>3957</v>
      </c>
      <c r="L196" s="157"/>
      <c r="M196" s="157"/>
      <c r="N196" s="157"/>
      <c r="O196" s="157"/>
      <c r="P196" s="173" t="s">
        <v>461</v>
      </c>
      <c r="Q196" s="157" t="s">
        <v>1714</v>
      </c>
      <c r="R196" s="179" t="s">
        <v>440</v>
      </c>
      <c r="S196" s="354"/>
      <c r="T196" s="173"/>
      <c r="U196" s="173"/>
      <c r="V196" s="173"/>
      <c r="W196" s="324" t="s">
        <v>3516</v>
      </c>
      <c r="X196" s="656" t="s">
        <v>12517</v>
      </c>
      <c r="Y196" s="363" t="s">
        <v>6868</v>
      </c>
      <c r="Z196" s="364">
        <v>5999</v>
      </c>
      <c r="AA196" s="364"/>
      <c r="AB196" s="32">
        <f t="shared" ca="1" si="4"/>
        <v>0.49833127606779293</v>
      </c>
      <c r="AC196" s="812"/>
      <c r="AD196" s="763"/>
      <c r="AE196" s="951"/>
      <c r="AF196" s="921">
        <f>IF(X196=X195,AF195,0)+IF(ISNUMBER(I196),IF(I196&lt;1,I196,I196*VLOOKUP(J196,Summary!$H$2:$I$9,2)),VLOOKUP(J196,Summary!$J$2:$K$9,2)*IF(ISNUMBER(H196),H196,1))</f>
        <v>0.18049768518518519</v>
      </c>
      <c r="AG196" s="288">
        <v>195</v>
      </c>
      <c r="AH196" s="94"/>
      <c r="AI196" s="94"/>
    </row>
    <row r="197" spans="1:35" s="29" customFormat="1" ht="12" customHeight="1" x14ac:dyDescent="0.25">
      <c r="A197" s="435"/>
      <c r="B197" s="436" t="s">
        <v>6153</v>
      </c>
      <c r="C197" s="435">
        <v>2.0299999999999998</v>
      </c>
      <c r="D197" s="428" t="s">
        <v>3506</v>
      </c>
      <c r="E197" s="325" t="s">
        <v>3508</v>
      </c>
      <c r="F197" s="184">
        <v>24026</v>
      </c>
      <c r="G197" s="184"/>
      <c r="H197" s="185">
        <v>1</v>
      </c>
      <c r="I197" s="185">
        <v>8</v>
      </c>
      <c r="J197" s="901" t="s">
        <v>1796</v>
      </c>
      <c r="K197" s="158" t="s">
        <v>3957</v>
      </c>
      <c r="L197" s="158"/>
      <c r="M197" s="158"/>
      <c r="N197" s="158"/>
      <c r="O197" s="158"/>
      <c r="P197" s="182" t="s">
        <v>461</v>
      </c>
      <c r="Q197" s="158" t="s">
        <v>1714</v>
      </c>
      <c r="R197" s="207" t="s">
        <v>440</v>
      </c>
      <c r="S197" s="355"/>
      <c r="T197" s="182"/>
      <c r="U197" s="182"/>
      <c r="V197" s="182"/>
      <c r="W197" s="325" t="s">
        <v>3508</v>
      </c>
      <c r="X197" s="657" t="s">
        <v>12517</v>
      </c>
      <c r="Y197" s="361" t="s">
        <v>6868</v>
      </c>
      <c r="Z197" s="362">
        <v>5999</v>
      </c>
      <c r="AA197" s="362"/>
      <c r="AB197" s="33">
        <f t="shared" ca="1" si="4"/>
        <v>0.54229901163218208</v>
      </c>
      <c r="AC197" s="813"/>
      <c r="AD197" s="211"/>
      <c r="AE197" s="949"/>
      <c r="AF197" s="922">
        <f>IF(X197=X196,AF196,0)+IF(ISNUMBER(I197),IF(I197&lt;1,I197,I197*VLOOKUP(J197,Summary!$H$2:$I$9,2)),VLOOKUP(J197,Summary!$J$2:$K$9,2)*IF(ISNUMBER(H197),H197,1))</f>
        <v>0.18327546296296296</v>
      </c>
      <c r="AG197" s="295">
        <v>196</v>
      </c>
      <c r="AH197" s="94"/>
      <c r="AI197" s="94"/>
    </row>
    <row r="198" spans="1:35" s="22" customFormat="1" ht="12" customHeight="1" x14ac:dyDescent="0.25">
      <c r="A198" s="437"/>
      <c r="B198" s="422" t="s">
        <v>6153</v>
      </c>
      <c r="C198" s="437">
        <v>2.04</v>
      </c>
      <c r="D198" s="434" t="s">
        <v>3506</v>
      </c>
      <c r="E198" s="324" t="s">
        <v>3515</v>
      </c>
      <c r="F198" s="175">
        <v>24026</v>
      </c>
      <c r="G198" s="175"/>
      <c r="H198" s="176">
        <v>1</v>
      </c>
      <c r="I198" s="176">
        <v>7</v>
      </c>
      <c r="J198" s="900" t="s">
        <v>2755</v>
      </c>
      <c r="K198" s="157" t="s">
        <v>3957</v>
      </c>
      <c r="L198" s="157"/>
      <c r="M198" s="157"/>
      <c r="N198" s="157"/>
      <c r="O198" s="157"/>
      <c r="P198" s="173" t="s">
        <v>461</v>
      </c>
      <c r="Q198" s="157" t="s">
        <v>1714</v>
      </c>
      <c r="R198" s="179" t="s">
        <v>440</v>
      </c>
      <c r="S198" s="354"/>
      <c r="T198" s="173"/>
      <c r="U198" s="173"/>
      <c r="V198" s="173"/>
      <c r="W198" s="324" t="s">
        <v>3515</v>
      </c>
      <c r="X198" s="656" t="s">
        <v>12517</v>
      </c>
      <c r="Y198" s="363" t="s">
        <v>6868</v>
      </c>
      <c r="Z198" s="364">
        <v>5999</v>
      </c>
      <c r="AA198" s="364"/>
      <c r="AB198" s="32">
        <f t="shared" ca="1" si="4"/>
        <v>0.27143160363356134</v>
      </c>
      <c r="AC198" s="812"/>
      <c r="AD198" s="763"/>
      <c r="AE198" s="951"/>
      <c r="AF198" s="921">
        <f>IF(X198=X197,AF197,0)+IF(ISNUMBER(I198),IF(I198&lt;1,I198,I198*VLOOKUP(J198,Summary!$H$2:$I$9,2)),VLOOKUP(J198,Summary!$J$2:$K$9,2)*IF(ISNUMBER(H198),H198,1))</f>
        <v>0.18813657407407408</v>
      </c>
      <c r="AG198" s="288">
        <v>197</v>
      </c>
      <c r="AH198" s="94"/>
      <c r="AI198" s="94"/>
    </row>
    <row r="199" spans="1:35" s="22" customFormat="1" ht="12" customHeight="1" x14ac:dyDescent="0.2">
      <c r="A199" s="435"/>
      <c r="B199" s="436" t="s">
        <v>6153</v>
      </c>
      <c r="C199" s="435">
        <v>2.0499999999999998</v>
      </c>
      <c r="D199" s="428" t="s">
        <v>3506</v>
      </c>
      <c r="E199" s="325" t="s">
        <v>3509</v>
      </c>
      <c r="F199" s="184">
        <v>24026</v>
      </c>
      <c r="G199" s="184"/>
      <c r="H199" s="185">
        <v>1</v>
      </c>
      <c r="I199" s="185">
        <v>5</v>
      </c>
      <c r="J199" s="901" t="s">
        <v>1796</v>
      </c>
      <c r="K199" s="158" t="s">
        <v>3957</v>
      </c>
      <c r="L199" s="158"/>
      <c r="M199" s="158"/>
      <c r="N199" s="158"/>
      <c r="O199" s="158"/>
      <c r="P199" s="182" t="s">
        <v>461</v>
      </c>
      <c r="Q199" s="158" t="s">
        <v>1714</v>
      </c>
      <c r="R199" s="207" t="s">
        <v>440</v>
      </c>
      <c r="S199" s="355"/>
      <c r="T199" s="182"/>
      <c r="U199" s="182"/>
      <c r="V199" s="182"/>
      <c r="W199" s="325" t="s">
        <v>3509</v>
      </c>
      <c r="X199" s="657" t="s">
        <v>12517</v>
      </c>
      <c r="Y199" s="361" t="s">
        <v>6868</v>
      </c>
      <c r="Z199" s="362">
        <v>5999</v>
      </c>
      <c r="AA199" s="362"/>
      <c r="AB199" s="33">
        <f t="shared" ca="1" si="4"/>
        <v>0.93146005092954087</v>
      </c>
      <c r="AC199" s="813"/>
      <c r="AD199" s="211"/>
      <c r="AE199" s="949"/>
      <c r="AF199" s="922">
        <f>IF(X199=X198,AF198,0)+IF(ISNUMBER(I199),IF(I199&lt;1,I199,I199*VLOOKUP(J199,Summary!$H$2:$I$9,2)),VLOOKUP(J199,Summary!$J$2:$K$9,2)*IF(ISNUMBER(H199),H199,1))</f>
        <v>0.18987268518518519</v>
      </c>
      <c r="AG199" s="295">
        <v>198</v>
      </c>
      <c r="AH199" s="94"/>
      <c r="AI199" s="94"/>
    </row>
    <row r="200" spans="1:35" s="22" customFormat="1" ht="12" customHeight="1" x14ac:dyDescent="0.25">
      <c r="A200" s="437"/>
      <c r="B200" s="422" t="s">
        <v>6153</v>
      </c>
      <c r="C200" s="437">
        <v>2.06</v>
      </c>
      <c r="D200" s="434" t="s">
        <v>3506</v>
      </c>
      <c r="E200" s="324" t="s">
        <v>3514</v>
      </c>
      <c r="F200" s="175">
        <v>24026</v>
      </c>
      <c r="G200" s="175"/>
      <c r="H200" s="176">
        <v>1</v>
      </c>
      <c r="I200" s="176">
        <v>3</v>
      </c>
      <c r="J200" s="900" t="s">
        <v>2755</v>
      </c>
      <c r="K200" s="157" t="s">
        <v>3957</v>
      </c>
      <c r="L200" s="157"/>
      <c r="M200" s="157"/>
      <c r="N200" s="157"/>
      <c r="O200" s="157"/>
      <c r="P200" s="173" t="s">
        <v>461</v>
      </c>
      <c r="Q200" s="157" t="s">
        <v>1714</v>
      </c>
      <c r="R200" s="179" t="s">
        <v>440</v>
      </c>
      <c r="S200" s="354"/>
      <c r="T200" s="173"/>
      <c r="U200" s="173"/>
      <c r="V200" s="173"/>
      <c r="W200" s="324" t="s">
        <v>3514</v>
      </c>
      <c r="X200" s="656" t="s">
        <v>12517</v>
      </c>
      <c r="Y200" s="363" t="s">
        <v>6868</v>
      </c>
      <c r="Z200" s="364">
        <v>5999</v>
      </c>
      <c r="AA200" s="364"/>
      <c r="AB200" s="32">
        <f t="shared" ca="1" si="4"/>
        <v>0.85450194167794458</v>
      </c>
      <c r="AC200" s="812"/>
      <c r="AD200" s="763"/>
      <c r="AE200" s="951"/>
      <c r="AF200" s="921">
        <f>IF(X200=X199,AF199,0)+IF(ISNUMBER(I200),IF(I200&lt;1,I200,I200*VLOOKUP(J200,Summary!$H$2:$I$9,2)),VLOOKUP(J200,Summary!$J$2:$K$9,2)*IF(ISNUMBER(H200),H200,1))</f>
        <v>0.19195601851851851</v>
      </c>
      <c r="AG200" s="288">
        <v>199</v>
      </c>
      <c r="AH200" s="94"/>
      <c r="AI200" s="94"/>
    </row>
    <row r="201" spans="1:35" s="22" customFormat="1" ht="12" customHeight="1" x14ac:dyDescent="0.2">
      <c r="A201" s="435"/>
      <c r="B201" s="436" t="s">
        <v>6153</v>
      </c>
      <c r="C201" s="435">
        <v>2.0699999999999998</v>
      </c>
      <c r="D201" s="428" t="s">
        <v>3506</v>
      </c>
      <c r="E201" s="325" t="s">
        <v>3510</v>
      </c>
      <c r="F201" s="184">
        <v>24026</v>
      </c>
      <c r="G201" s="184"/>
      <c r="H201" s="185">
        <v>1</v>
      </c>
      <c r="I201" s="185">
        <v>8</v>
      </c>
      <c r="J201" s="901" t="s">
        <v>1796</v>
      </c>
      <c r="K201" s="158" t="s">
        <v>3957</v>
      </c>
      <c r="L201" s="158"/>
      <c r="M201" s="158"/>
      <c r="N201" s="158"/>
      <c r="O201" s="158"/>
      <c r="P201" s="182" t="s">
        <v>461</v>
      </c>
      <c r="Q201" s="158" t="s">
        <v>1714</v>
      </c>
      <c r="R201" s="207" t="s">
        <v>440</v>
      </c>
      <c r="S201" s="355"/>
      <c r="T201" s="182"/>
      <c r="U201" s="182"/>
      <c r="V201" s="182"/>
      <c r="W201" s="325" t="s">
        <v>3510</v>
      </c>
      <c r="X201" s="657" t="s">
        <v>12517</v>
      </c>
      <c r="Y201" s="361" t="s">
        <v>6868</v>
      </c>
      <c r="Z201" s="362">
        <v>5999</v>
      </c>
      <c r="AA201" s="362"/>
      <c r="AB201" s="33">
        <f t="shared" ca="1" si="4"/>
        <v>0.60092057632322649</v>
      </c>
      <c r="AC201" s="813"/>
      <c r="AD201" s="211"/>
      <c r="AE201" s="949"/>
      <c r="AF201" s="922">
        <f>IF(X201=X200,AF200,0)+IF(ISNUMBER(I201),IF(I201&lt;1,I201,I201*VLOOKUP(J201,Summary!$H$2:$I$9,2)),VLOOKUP(J201,Summary!$J$2:$K$9,2)*IF(ISNUMBER(H201),H201,1))</f>
        <v>0.19473379629629628</v>
      </c>
      <c r="AG201" s="295">
        <v>200</v>
      </c>
      <c r="AH201" s="94"/>
      <c r="AI201" s="94"/>
    </row>
    <row r="202" spans="1:35" s="3" customFormat="1" ht="12" customHeight="1" x14ac:dyDescent="0.25">
      <c r="A202" s="435"/>
      <c r="B202" s="436" t="s">
        <v>6153</v>
      </c>
      <c r="C202" s="435">
        <v>2.08</v>
      </c>
      <c r="D202" s="428" t="s">
        <v>3506</v>
      </c>
      <c r="E202" s="325" t="s">
        <v>3511</v>
      </c>
      <c r="F202" s="184">
        <v>24026</v>
      </c>
      <c r="G202" s="184"/>
      <c r="H202" s="185">
        <v>1</v>
      </c>
      <c r="I202" s="185">
        <v>8</v>
      </c>
      <c r="J202" s="901" t="s">
        <v>1796</v>
      </c>
      <c r="K202" s="158" t="s">
        <v>3957</v>
      </c>
      <c r="L202" s="158"/>
      <c r="M202" s="158"/>
      <c r="N202" s="158"/>
      <c r="O202" s="158"/>
      <c r="P202" s="182" t="s">
        <v>461</v>
      </c>
      <c r="Q202" s="158" t="s">
        <v>1714</v>
      </c>
      <c r="R202" s="207" t="s">
        <v>440</v>
      </c>
      <c r="S202" s="355"/>
      <c r="T202" s="182"/>
      <c r="U202" s="182"/>
      <c r="V202" s="182"/>
      <c r="W202" s="325" t="s">
        <v>3511</v>
      </c>
      <c r="X202" s="657" t="s">
        <v>12517</v>
      </c>
      <c r="Y202" s="361" t="s">
        <v>6868</v>
      </c>
      <c r="Z202" s="362">
        <v>5999</v>
      </c>
      <c r="AA202" s="362"/>
      <c r="AB202" s="33">
        <f t="shared" ca="1" si="4"/>
        <v>0.33333113231023526</v>
      </c>
      <c r="AC202" s="813"/>
      <c r="AD202" s="211"/>
      <c r="AE202" s="949"/>
      <c r="AF202" s="922">
        <f>IF(X202=X201,AF201,0)+IF(ISNUMBER(I202),IF(I202&lt;1,I202,I202*VLOOKUP(J202,Summary!$H$2:$I$9,2)),VLOOKUP(J202,Summary!$J$2:$K$9,2)*IF(ISNUMBER(H202),H202,1))</f>
        <v>0.19751157407407405</v>
      </c>
      <c r="AG202" s="295">
        <v>201</v>
      </c>
      <c r="AH202" s="94"/>
      <c r="AI202" s="94"/>
    </row>
    <row r="203" spans="1:35" s="8" customFormat="1" ht="12" customHeight="1" x14ac:dyDescent="0.25">
      <c r="A203" s="437"/>
      <c r="B203" s="422" t="s">
        <v>6153</v>
      </c>
      <c r="C203" s="437">
        <v>2.09</v>
      </c>
      <c r="D203" s="434" t="s">
        <v>3506</v>
      </c>
      <c r="E203" s="324" t="s">
        <v>3513</v>
      </c>
      <c r="F203" s="175">
        <v>24026</v>
      </c>
      <c r="G203" s="175"/>
      <c r="H203" s="176">
        <v>1</v>
      </c>
      <c r="I203" s="176">
        <v>6</v>
      </c>
      <c r="J203" s="900" t="s">
        <v>2755</v>
      </c>
      <c r="K203" s="157" t="s">
        <v>3957</v>
      </c>
      <c r="L203" s="157"/>
      <c r="M203" s="157"/>
      <c r="N203" s="157"/>
      <c r="O203" s="157"/>
      <c r="P203" s="173" t="s">
        <v>461</v>
      </c>
      <c r="Q203" s="157" t="s">
        <v>1714</v>
      </c>
      <c r="R203" s="179" t="s">
        <v>440</v>
      </c>
      <c r="S203" s="354"/>
      <c r="T203" s="173"/>
      <c r="U203" s="173"/>
      <c r="V203" s="173"/>
      <c r="W203" s="324" t="s">
        <v>3513</v>
      </c>
      <c r="X203" s="656" t="s">
        <v>12517</v>
      </c>
      <c r="Y203" s="363" t="s">
        <v>6868</v>
      </c>
      <c r="Z203" s="364">
        <v>5999</v>
      </c>
      <c r="AA203" s="364"/>
      <c r="AB203" s="32">
        <f t="shared" ca="1" si="4"/>
        <v>0.82700126581249445</v>
      </c>
      <c r="AC203" s="812"/>
      <c r="AD203" s="763"/>
      <c r="AE203" s="951"/>
      <c r="AF203" s="921">
        <f>IF(X203=X202,AF202,0)+IF(ISNUMBER(I203),IF(I203&lt;1,I203,I203*VLOOKUP(J203,Summary!$H$2:$I$9,2)),VLOOKUP(J203,Summary!$J$2:$K$9,2)*IF(ISNUMBER(H203),H203,1))</f>
        <v>0.20167824074074073</v>
      </c>
      <c r="AG203" s="288">
        <v>202</v>
      </c>
      <c r="AH203" s="94"/>
      <c r="AI203" s="94"/>
    </row>
    <row r="204" spans="1:35" s="9" customFormat="1" ht="12" customHeight="1" x14ac:dyDescent="0.25">
      <c r="A204" s="435"/>
      <c r="B204" s="436" t="s">
        <v>6153</v>
      </c>
      <c r="C204" s="439">
        <v>2.1</v>
      </c>
      <c r="D204" s="428" t="s">
        <v>3506</v>
      </c>
      <c r="E204" s="325" t="s">
        <v>3512</v>
      </c>
      <c r="F204" s="184">
        <v>24026</v>
      </c>
      <c r="G204" s="184"/>
      <c r="H204" s="185">
        <v>1</v>
      </c>
      <c r="I204" s="185">
        <v>5</v>
      </c>
      <c r="J204" s="901" t="s">
        <v>1796</v>
      </c>
      <c r="K204" s="158" t="s">
        <v>3957</v>
      </c>
      <c r="L204" s="158"/>
      <c r="M204" s="158"/>
      <c r="N204" s="158"/>
      <c r="O204" s="158"/>
      <c r="P204" s="182" t="s">
        <v>461</v>
      </c>
      <c r="Q204" s="158" t="s">
        <v>1714</v>
      </c>
      <c r="R204" s="207" t="s">
        <v>440</v>
      </c>
      <c r="S204" s="355"/>
      <c r="T204" s="182"/>
      <c r="U204" s="182"/>
      <c r="V204" s="182"/>
      <c r="W204" s="325" t="s">
        <v>3512</v>
      </c>
      <c r="X204" s="657" t="s">
        <v>12517</v>
      </c>
      <c r="Y204" s="361" t="s">
        <v>6868</v>
      </c>
      <c r="Z204" s="362">
        <v>5999</v>
      </c>
      <c r="AA204" s="362"/>
      <c r="AB204" s="33">
        <f t="shared" ca="1" si="4"/>
        <v>0.27946490776499311</v>
      </c>
      <c r="AC204" s="813"/>
      <c r="AD204" s="211"/>
      <c r="AE204" s="949"/>
      <c r="AF204" s="922">
        <f>IF(X204=X203,AF203,0)+IF(ISNUMBER(I204),IF(I204&lt;1,I204,I204*VLOOKUP(J204,Summary!$H$2:$I$9,2)),VLOOKUP(J204,Summary!$J$2:$K$9,2)*IF(ISNUMBER(H204),H204,1))</f>
        <v>0.20341435185185183</v>
      </c>
      <c r="AG204" s="295">
        <v>203</v>
      </c>
      <c r="AH204" s="94"/>
      <c r="AI204" s="94"/>
    </row>
    <row r="205" spans="1:35" s="22" customFormat="1" ht="12" customHeight="1" x14ac:dyDescent="0.25">
      <c r="A205" s="408"/>
      <c r="B205" s="440" t="s">
        <v>6153</v>
      </c>
      <c r="C205" s="408">
        <v>11</v>
      </c>
      <c r="D205" s="434" t="s">
        <v>3611</v>
      </c>
      <c r="E205" s="324" t="s">
        <v>3612</v>
      </c>
      <c r="F205" s="175">
        <v>39324</v>
      </c>
      <c r="G205" s="175"/>
      <c r="H205" s="176">
        <v>1</v>
      </c>
      <c r="I205" s="176"/>
      <c r="J205" s="900" t="s">
        <v>2755</v>
      </c>
      <c r="K205" s="157" t="s">
        <v>543</v>
      </c>
      <c r="L205" s="157"/>
      <c r="M205" s="157"/>
      <c r="N205" s="157"/>
      <c r="O205" s="157"/>
      <c r="P205" s="173" t="s">
        <v>3613</v>
      </c>
      <c r="Q205" s="157" t="s">
        <v>3954</v>
      </c>
      <c r="R205" s="179" t="s">
        <v>3609</v>
      </c>
      <c r="S205" s="354"/>
      <c r="T205" s="173"/>
      <c r="U205" s="173"/>
      <c r="V205" s="173"/>
      <c r="W205" s="324" t="s">
        <v>3612</v>
      </c>
      <c r="X205" s="656" t="s">
        <v>12517</v>
      </c>
      <c r="Y205" s="363"/>
      <c r="Z205" s="364"/>
      <c r="AA205" s="364"/>
      <c r="AB205" s="32">
        <f t="shared" ca="1" si="4"/>
        <v>0.75220973714329142</v>
      </c>
      <c r="AC205" s="812"/>
      <c r="AD205" s="763"/>
      <c r="AE205" s="951"/>
      <c r="AF205" s="921">
        <f>IF(X205=X204,AF204,0)+IF(ISNUMBER(I205),IF(I205&lt;1,I205,I205*VLOOKUP(J205,Summary!$H$2:$I$9,2)),VLOOKUP(J205,Summary!$J$2:$K$9,2)*IF(ISNUMBER(H205),H205,1))</f>
        <v>0.22077546296296294</v>
      </c>
      <c r="AG205" s="288">
        <v>204</v>
      </c>
      <c r="AH205" s="94"/>
      <c r="AI205" s="94"/>
    </row>
    <row r="206" spans="1:35" s="22" customFormat="1" ht="12" customHeight="1" x14ac:dyDescent="0.2">
      <c r="A206" s="435"/>
      <c r="B206" s="436" t="s">
        <v>6153</v>
      </c>
      <c r="C206" s="435">
        <v>3.01</v>
      </c>
      <c r="D206" s="428" t="s">
        <v>3517</v>
      </c>
      <c r="E206" s="325" t="s">
        <v>3518</v>
      </c>
      <c r="F206" s="184">
        <v>24358</v>
      </c>
      <c r="G206" s="184"/>
      <c r="H206" s="185">
        <v>1</v>
      </c>
      <c r="I206" s="185">
        <v>9</v>
      </c>
      <c r="J206" s="901" t="s">
        <v>1796</v>
      </c>
      <c r="K206" s="158" t="s">
        <v>438</v>
      </c>
      <c r="L206" s="163" t="s">
        <v>5784</v>
      </c>
      <c r="M206" s="158"/>
      <c r="N206" s="158"/>
      <c r="O206" s="158"/>
      <c r="P206" s="182" t="s">
        <v>461</v>
      </c>
      <c r="Q206" s="158" t="s">
        <v>439</v>
      </c>
      <c r="R206" s="207" t="s">
        <v>440</v>
      </c>
      <c r="S206" s="355"/>
      <c r="T206" s="182"/>
      <c r="U206" s="182"/>
      <c r="V206" s="182"/>
      <c r="W206" s="325" t="s">
        <v>3518</v>
      </c>
      <c r="X206" s="657" t="s">
        <v>12517</v>
      </c>
      <c r="Y206" s="361"/>
      <c r="Z206" s="362"/>
      <c r="AA206" s="362"/>
      <c r="AB206" s="33">
        <f t="shared" ca="1" si="4"/>
        <v>0.97965283353335375</v>
      </c>
      <c r="AC206" s="813"/>
      <c r="AD206" s="211"/>
      <c r="AE206" s="949"/>
      <c r="AF206" s="922">
        <f>IF(X206=X205,AF205,0)+IF(ISNUMBER(I206),IF(I206&lt;1,I206,I206*VLOOKUP(J206,Summary!$H$2:$I$9,2)),VLOOKUP(J206,Summary!$J$2:$K$9,2)*IF(ISNUMBER(H206),H206,1))</f>
        <v>0.22390046296296293</v>
      </c>
      <c r="AG206" s="295">
        <v>205</v>
      </c>
      <c r="AH206" s="94"/>
      <c r="AI206" s="94"/>
    </row>
    <row r="207" spans="1:35" s="43" customFormat="1" ht="12" customHeight="1" x14ac:dyDescent="0.25">
      <c r="A207" s="437"/>
      <c r="B207" s="422" t="s">
        <v>6153</v>
      </c>
      <c r="C207" s="437">
        <v>3.02</v>
      </c>
      <c r="D207" s="434" t="s">
        <v>3517</v>
      </c>
      <c r="E207" s="324" t="s">
        <v>441</v>
      </c>
      <c r="F207" s="175">
        <v>24358</v>
      </c>
      <c r="G207" s="175"/>
      <c r="H207" s="176">
        <v>1</v>
      </c>
      <c r="I207" s="176">
        <v>7</v>
      </c>
      <c r="J207" s="900" t="s">
        <v>2755</v>
      </c>
      <c r="K207" s="157" t="s">
        <v>438</v>
      </c>
      <c r="L207" s="157"/>
      <c r="M207" s="157"/>
      <c r="N207" s="157"/>
      <c r="O207" s="157"/>
      <c r="P207" s="173" t="s">
        <v>461</v>
      </c>
      <c r="Q207" s="157" t="s">
        <v>439</v>
      </c>
      <c r="R207" s="179" t="s">
        <v>440</v>
      </c>
      <c r="S207" s="354"/>
      <c r="T207" s="173"/>
      <c r="U207" s="173"/>
      <c r="V207" s="173"/>
      <c r="W207" s="324" t="s">
        <v>441</v>
      </c>
      <c r="X207" s="656" t="s">
        <v>12517</v>
      </c>
      <c r="Y207" s="363"/>
      <c r="Z207" s="364"/>
      <c r="AA207" s="364"/>
      <c r="AB207" s="32">
        <f t="shared" ca="1" si="4"/>
        <v>0.40516458851136339</v>
      </c>
      <c r="AC207" s="812"/>
      <c r="AD207" s="763"/>
      <c r="AE207" s="951"/>
      <c r="AF207" s="921">
        <f>IF(X207=X206,AF206,0)+IF(ISNUMBER(I207),IF(I207&lt;1,I207,I207*VLOOKUP(J207,Summary!$H$2:$I$9,2)),VLOOKUP(J207,Summary!$J$2:$K$9,2)*IF(ISNUMBER(H207),H207,1))</f>
        <v>0.22876157407407405</v>
      </c>
      <c r="AG207" s="288">
        <v>206</v>
      </c>
      <c r="AH207" s="94"/>
      <c r="AI207" s="94"/>
    </row>
    <row r="208" spans="1:35" s="3" customFormat="1" ht="12" customHeight="1" x14ac:dyDescent="0.25">
      <c r="A208" s="435"/>
      <c r="B208" s="436" t="s">
        <v>6153</v>
      </c>
      <c r="C208" s="435">
        <v>3.03</v>
      </c>
      <c r="D208" s="428" t="s">
        <v>3517</v>
      </c>
      <c r="E208" s="325" t="s">
        <v>442</v>
      </c>
      <c r="F208" s="184">
        <v>24358</v>
      </c>
      <c r="G208" s="184"/>
      <c r="H208" s="185">
        <v>1</v>
      </c>
      <c r="I208" s="185">
        <v>9</v>
      </c>
      <c r="J208" s="901" t="s">
        <v>1796</v>
      </c>
      <c r="K208" s="158" t="s">
        <v>438</v>
      </c>
      <c r="L208" s="163" t="s">
        <v>5784</v>
      </c>
      <c r="M208" s="158"/>
      <c r="N208" s="158"/>
      <c r="O208" s="158"/>
      <c r="P208" s="182" t="s">
        <v>461</v>
      </c>
      <c r="Q208" s="158" t="s">
        <v>439</v>
      </c>
      <c r="R208" s="207" t="s">
        <v>440</v>
      </c>
      <c r="S208" s="355"/>
      <c r="T208" s="182"/>
      <c r="U208" s="182"/>
      <c r="V208" s="182"/>
      <c r="W208" s="325" t="s">
        <v>442</v>
      </c>
      <c r="X208" s="657" t="s">
        <v>12517</v>
      </c>
      <c r="Y208" s="361"/>
      <c r="Z208" s="362"/>
      <c r="AA208" s="362"/>
      <c r="AB208" s="33">
        <f t="shared" ca="1" si="4"/>
        <v>0.40789697980940975</v>
      </c>
      <c r="AC208" s="813"/>
      <c r="AD208" s="211"/>
      <c r="AE208" s="949"/>
      <c r="AF208" s="922">
        <f>IF(X208=X207,AF207,0)+IF(ISNUMBER(I208),IF(I208&lt;1,I208,I208*VLOOKUP(J208,Summary!$H$2:$I$9,2)),VLOOKUP(J208,Summary!$J$2:$K$9,2)*IF(ISNUMBER(H208),H208,1))</f>
        <v>0.23188657407407404</v>
      </c>
      <c r="AG208" s="295">
        <v>207</v>
      </c>
      <c r="AH208" s="94"/>
      <c r="AI208" s="94"/>
    </row>
    <row r="209" spans="1:35" s="29" customFormat="1" ht="12" customHeight="1" x14ac:dyDescent="0.25">
      <c r="A209" s="437"/>
      <c r="B209" s="422" t="s">
        <v>6153</v>
      </c>
      <c r="C209" s="437">
        <v>3.04</v>
      </c>
      <c r="D209" s="434" t="s">
        <v>3517</v>
      </c>
      <c r="E209" s="324" t="s">
        <v>443</v>
      </c>
      <c r="F209" s="175">
        <v>24358</v>
      </c>
      <c r="G209" s="175"/>
      <c r="H209" s="176">
        <v>1</v>
      </c>
      <c r="I209" s="176">
        <v>6</v>
      </c>
      <c r="J209" s="900" t="s">
        <v>2755</v>
      </c>
      <c r="K209" s="157" t="s">
        <v>438</v>
      </c>
      <c r="L209" s="157"/>
      <c r="M209" s="157"/>
      <c r="N209" s="157"/>
      <c r="O209" s="157"/>
      <c r="P209" s="173" t="s">
        <v>461</v>
      </c>
      <c r="Q209" s="157" t="s">
        <v>439</v>
      </c>
      <c r="R209" s="179" t="s">
        <v>440</v>
      </c>
      <c r="S209" s="354"/>
      <c r="T209" s="173"/>
      <c r="U209" s="173"/>
      <c r="V209" s="173"/>
      <c r="W209" s="324" t="s">
        <v>443</v>
      </c>
      <c r="X209" s="656" t="s">
        <v>12517</v>
      </c>
      <c r="Y209" s="363"/>
      <c r="Z209" s="364"/>
      <c r="AA209" s="364"/>
      <c r="AB209" s="32">
        <f t="shared" ca="1" si="4"/>
        <v>0.30418432984556854</v>
      </c>
      <c r="AC209" s="812"/>
      <c r="AD209" s="763"/>
      <c r="AE209" s="951"/>
      <c r="AF209" s="921">
        <f>IF(X209=X208,AF208,0)+IF(ISNUMBER(I209),IF(I209&lt;1,I209,I209*VLOOKUP(J209,Summary!$H$2:$I$9,2)),VLOOKUP(J209,Summary!$J$2:$K$9,2)*IF(ISNUMBER(H209),H209,1))</f>
        <v>0.23605324074074072</v>
      </c>
      <c r="AG209" s="288">
        <v>208</v>
      </c>
      <c r="AH209" s="94"/>
      <c r="AI209" s="94"/>
    </row>
    <row r="210" spans="1:35" s="1" customFormat="1" ht="12" customHeight="1" x14ac:dyDescent="0.25">
      <c r="A210" s="435"/>
      <c r="B210" s="436" t="s">
        <v>6153</v>
      </c>
      <c r="C210" s="435">
        <v>3.05</v>
      </c>
      <c r="D210" s="428" t="s">
        <v>3517</v>
      </c>
      <c r="E210" s="325" t="s">
        <v>444</v>
      </c>
      <c r="F210" s="184">
        <v>24358</v>
      </c>
      <c r="G210" s="184"/>
      <c r="H210" s="185">
        <v>1</v>
      </c>
      <c r="I210" s="185">
        <v>4</v>
      </c>
      <c r="J210" s="901" t="s">
        <v>1796</v>
      </c>
      <c r="K210" s="158" t="s">
        <v>438</v>
      </c>
      <c r="L210" s="163" t="s">
        <v>5784</v>
      </c>
      <c r="M210" s="158"/>
      <c r="N210" s="158"/>
      <c r="O210" s="158"/>
      <c r="P210" s="182" t="s">
        <v>461</v>
      </c>
      <c r="Q210" s="158" t="s">
        <v>439</v>
      </c>
      <c r="R210" s="207" t="s">
        <v>440</v>
      </c>
      <c r="S210" s="355"/>
      <c r="T210" s="182"/>
      <c r="U210" s="182"/>
      <c r="V210" s="182"/>
      <c r="W210" s="325" t="s">
        <v>444</v>
      </c>
      <c r="X210" s="657" t="s">
        <v>12517</v>
      </c>
      <c r="Y210" s="361"/>
      <c r="Z210" s="362"/>
      <c r="AA210" s="362"/>
      <c r="AB210" s="33">
        <f t="shared" ca="1" si="4"/>
        <v>6.1876196548481532E-2</v>
      </c>
      <c r="AC210" s="813"/>
      <c r="AD210" s="211"/>
      <c r="AE210" s="949"/>
      <c r="AF210" s="922">
        <f>IF(X210=X209,AF209,0)+IF(ISNUMBER(I210),IF(I210&lt;1,I210,I210*VLOOKUP(J210,Summary!$H$2:$I$9,2)),VLOOKUP(J210,Summary!$J$2:$K$9,2)*IF(ISNUMBER(H210),H210,1))</f>
        <v>0.2374421296296296</v>
      </c>
      <c r="AG210" s="295">
        <v>209</v>
      </c>
      <c r="AH210" s="94"/>
      <c r="AI210" s="94"/>
    </row>
    <row r="211" spans="1:35" s="22" customFormat="1" ht="12" customHeight="1" x14ac:dyDescent="0.2">
      <c r="A211" s="435"/>
      <c r="B211" s="436" t="s">
        <v>6153</v>
      </c>
      <c r="C211" s="435">
        <v>3.06</v>
      </c>
      <c r="D211" s="428" t="s">
        <v>3517</v>
      </c>
      <c r="E211" s="325" t="s">
        <v>445</v>
      </c>
      <c r="F211" s="184">
        <v>24358</v>
      </c>
      <c r="G211" s="184"/>
      <c r="H211" s="185">
        <v>1</v>
      </c>
      <c r="I211" s="185">
        <v>4</v>
      </c>
      <c r="J211" s="901" t="s">
        <v>1796</v>
      </c>
      <c r="K211" s="158" t="s">
        <v>438</v>
      </c>
      <c r="L211" s="163" t="s">
        <v>5784</v>
      </c>
      <c r="M211" s="158"/>
      <c r="N211" s="158"/>
      <c r="O211" s="158"/>
      <c r="P211" s="182" t="s">
        <v>461</v>
      </c>
      <c r="Q211" s="158" t="s">
        <v>439</v>
      </c>
      <c r="R211" s="207" t="s">
        <v>440</v>
      </c>
      <c r="S211" s="355"/>
      <c r="T211" s="182"/>
      <c r="U211" s="182"/>
      <c r="V211" s="182"/>
      <c r="W211" s="325" t="s">
        <v>445</v>
      </c>
      <c r="X211" s="657" t="s">
        <v>12517</v>
      </c>
      <c r="Y211" s="361"/>
      <c r="Z211" s="362"/>
      <c r="AA211" s="362"/>
      <c r="AB211" s="33">
        <f t="shared" ca="1" si="4"/>
        <v>0.79852985944533428</v>
      </c>
      <c r="AC211" s="813"/>
      <c r="AD211" s="211"/>
      <c r="AE211" s="949"/>
      <c r="AF211" s="922">
        <f>IF(X211=X210,AF210,0)+IF(ISNUMBER(I211),IF(I211&lt;1,I211,I211*VLOOKUP(J211,Summary!$H$2:$I$9,2)),VLOOKUP(J211,Summary!$J$2:$K$9,2)*IF(ISNUMBER(H211),H211,1))</f>
        <v>0.23883101851851848</v>
      </c>
      <c r="AG211" s="295">
        <v>210</v>
      </c>
      <c r="AH211" s="94"/>
      <c r="AI211" s="94"/>
    </row>
    <row r="212" spans="1:35" s="22" customFormat="1" ht="12" customHeight="1" x14ac:dyDescent="0.2">
      <c r="A212" s="435"/>
      <c r="B212" s="436" t="s">
        <v>6153</v>
      </c>
      <c r="C212" s="435">
        <v>3.07</v>
      </c>
      <c r="D212" s="428" t="s">
        <v>3517</v>
      </c>
      <c r="E212" s="325" t="s">
        <v>446</v>
      </c>
      <c r="F212" s="184">
        <v>24358</v>
      </c>
      <c r="G212" s="184"/>
      <c r="H212" s="185">
        <v>1</v>
      </c>
      <c r="I212" s="185">
        <v>8</v>
      </c>
      <c r="J212" s="901" t="s">
        <v>1796</v>
      </c>
      <c r="K212" s="158" t="s">
        <v>438</v>
      </c>
      <c r="L212" s="163" t="s">
        <v>5784</v>
      </c>
      <c r="M212" s="158"/>
      <c r="N212" s="158"/>
      <c r="O212" s="158"/>
      <c r="P212" s="182" t="s">
        <v>461</v>
      </c>
      <c r="Q212" s="158" t="s">
        <v>439</v>
      </c>
      <c r="R212" s="207" t="s">
        <v>440</v>
      </c>
      <c r="S212" s="355"/>
      <c r="T212" s="182"/>
      <c r="U212" s="182"/>
      <c r="V212" s="182"/>
      <c r="W212" s="325" t="s">
        <v>446</v>
      </c>
      <c r="X212" s="657" t="s">
        <v>12517</v>
      </c>
      <c r="Y212" s="361"/>
      <c r="Z212" s="362"/>
      <c r="AA212" s="362"/>
      <c r="AB212" s="33">
        <f t="shared" ca="1" si="4"/>
        <v>0.57999531022295181</v>
      </c>
      <c r="AC212" s="813"/>
      <c r="AD212" s="211"/>
      <c r="AE212" s="949"/>
      <c r="AF212" s="922">
        <f>IF(X212=X211,AF211,0)+IF(ISNUMBER(I212),IF(I212&lt;1,I212,I212*VLOOKUP(J212,Summary!$H$2:$I$9,2)),VLOOKUP(J212,Summary!$J$2:$K$9,2)*IF(ISNUMBER(H212),H212,1))</f>
        <v>0.24160879629629625</v>
      </c>
      <c r="AG212" s="295">
        <v>211</v>
      </c>
      <c r="AH212" s="94"/>
      <c r="AI212" s="94"/>
    </row>
    <row r="213" spans="1:35" s="22" customFormat="1" ht="12" customHeight="1" x14ac:dyDescent="0.2">
      <c r="A213" s="435"/>
      <c r="B213" s="436" t="s">
        <v>6153</v>
      </c>
      <c r="C213" s="435">
        <v>3.08</v>
      </c>
      <c r="D213" s="428" t="s">
        <v>3517</v>
      </c>
      <c r="E213" s="325" t="s">
        <v>447</v>
      </c>
      <c r="F213" s="184">
        <v>24358</v>
      </c>
      <c r="G213" s="184"/>
      <c r="H213" s="185">
        <v>1</v>
      </c>
      <c r="I213" s="185">
        <v>5</v>
      </c>
      <c r="J213" s="901" t="s">
        <v>1796</v>
      </c>
      <c r="K213" s="158" t="s">
        <v>438</v>
      </c>
      <c r="L213" s="163" t="s">
        <v>5784</v>
      </c>
      <c r="M213" s="158"/>
      <c r="N213" s="158"/>
      <c r="O213" s="158"/>
      <c r="P213" s="182" t="s">
        <v>461</v>
      </c>
      <c r="Q213" s="158" t="s">
        <v>439</v>
      </c>
      <c r="R213" s="207" t="s">
        <v>440</v>
      </c>
      <c r="S213" s="355"/>
      <c r="T213" s="182"/>
      <c r="U213" s="182"/>
      <c r="V213" s="182"/>
      <c r="W213" s="325" t="s">
        <v>447</v>
      </c>
      <c r="X213" s="657" t="s">
        <v>12517</v>
      </c>
      <c r="Y213" s="361"/>
      <c r="Z213" s="362"/>
      <c r="AA213" s="362"/>
      <c r="AB213" s="33">
        <f t="shared" ca="1" si="4"/>
        <v>0.91005949171076794</v>
      </c>
      <c r="AC213" s="813"/>
      <c r="AD213" s="211"/>
      <c r="AE213" s="949"/>
      <c r="AF213" s="922">
        <f>IF(X213=X212,AF212,0)+IF(ISNUMBER(I213),IF(I213&lt;1,I213,I213*VLOOKUP(J213,Summary!$H$2:$I$9,2)),VLOOKUP(J213,Summary!$J$2:$K$9,2)*IF(ISNUMBER(H213),H213,1))</f>
        <v>0.24334490740740736</v>
      </c>
      <c r="AG213" s="295">
        <v>212</v>
      </c>
      <c r="AH213" s="94"/>
      <c r="AI213" s="94"/>
    </row>
    <row r="214" spans="1:35" s="57" customFormat="1" ht="12" customHeight="1" x14ac:dyDescent="0.25">
      <c r="A214" s="437"/>
      <c r="B214" s="422" t="s">
        <v>6153</v>
      </c>
      <c r="C214" s="437">
        <v>3.09</v>
      </c>
      <c r="D214" s="434" t="s">
        <v>3517</v>
      </c>
      <c r="E214" s="324" t="s">
        <v>448</v>
      </c>
      <c r="F214" s="175">
        <v>24358</v>
      </c>
      <c r="G214" s="175"/>
      <c r="H214" s="176">
        <v>1</v>
      </c>
      <c r="I214" s="176">
        <v>6</v>
      </c>
      <c r="J214" s="900" t="s">
        <v>2755</v>
      </c>
      <c r="K214" s="157" t="s">
        <v>438</v>
      </c>
      <c r="L214" s="157"/>
      <c r="M214" s="157"/>
      <c r="N214" s="157"/>
      <c r="O214" s="157"/>
      <c r="P214" s="173" t="s">
        <v>461</v>
      </c>
      <c r="Q214" s="157" t="s">
        <v>439</v>
      </c>
      <c r="R214" s="179" t="s">
        <v>440</v>
      </c>
      <c r="S214" s="354"/>
      <c r="T214" s="173"/>
      <c r="U214" s="173"/>
      <c r="V214" s="173"/>
      <c r="W214" s="324" t="s">
        <v>448</v>
      </c>
      <c r="X214" s="656" t="s">
        <v>12517</v>
      </c>
      <c r="Y214" s="363"/>
      <c r="Z214" s="364"/>
      <c r="AA214" s="364"/>
      <c r="AB214" s="32">
        <f t="shared" ca="1" si="4"/>
        <v>0.26010481052059342</v>
      </c>
      <c r="AC214" s="812"/>
      <c r="AD214" s="763"/>
      <c r="AE214" s="951"/>
      <c r="AF214" s="921">
        <f>IF(X214=X213,AF213,0)+IF(ISNUMBER(I214),IF(I214&lt;1,I214,I214*VLOOKUP(J214,Summary!$H$2:$I$9,2)),VLOOKUP(J214,Summary!$J$2:$K$9,2)*IF(ISNUMBER(H214),H214,1))</f>
        <v>0.24751157407407404</v>
      </c>
      <c r="AG214" s="288">
        <v>213</v>
      </c>
      <c r="AH214" s="94"/>
      <c r="AI214" s="94"/>
    </row>
    <row r="215" spans="1:35" s="22" customFormat="1" ht="12" customHeight="1" x14ac:dyDescent="0.2">
      <c r="A215" s="435"/>
      <c r="B215" s="436" t="s">
        <v>6153</v>
      </c>
      <c r="C215" s="439">
        <v>3.1</v>
      </c>
      <c r="D215" s="428" t="s">
        <v>3517</v>
      </c>
      <c r="E215" s="325" t="s">
        <v>449</v>
      </c>
      <c r="F215" s="184">
        <v>24358</v>
      </c>
      <c r="G215" s="184"/>
      <c r="H215" s="185">
        <v>1</v>
      </c>
      <c r="I215" s="185">
        <v>5</v>
      </c>
      <c r="J215" s="901" t="s">
        <v>1796</v>
      </c>
      <c r="K215" s="158" t="s">
        <v>438</v>
      </c>
      <c r="L215" s="163" t="s">
        <v>5784</v>
      </c>
      <c r="M215" s="158"/>
      <c r="N215" s="158"/>
      <c r="O215" s="158"/>
      <c r="P215" s="182" t="s">
        <v>461</v>
      </c>
      <c r="Q215" s="158" t="s">
        <v>439</v>
      </c>
      <c r="R215" s="207" t="s">
        <v>440</v>
      </c>
      <c r="S215" s="355"/>
      <c r="T215" s="182"/>
      <c r="U215" s="182"/>
      <c r="V215" s="182"/>
      <c r="W215" s="325" t="s">
        <v>449</v>
      </c>
      <c r="X215" s="657" t="s">
        <v>12517</v>
      </c>
      <c r="Y215" s="361"/>
      <c r="Z215" s="362"/>
      <c r="AA215" s="362"/>
      <c r="AB215" s="33">
        <f t="shared" ca="1" si="4"/>
        <v>9.7557674868045008E-2</v>
      </c>
      <c r="AC215" s="813"/>
      <c r="AD215" s="211"/>
      <c r="AE215" s="949"/>
      <c r="AF215" s="922">
        <f>IF(X215=X214,AF214,0)+IF(ISNUMBER(I215),IF(I215&lt;1,I215,I215*VLOOKUP(J215,Summary!$H$2:$I$9,2)),VLOOKUP(J215,Summary!$J$2:$K$9,2)*IF(ISNUMBER(H215),H215,1))</f>
        <v>0.24924768518518514</v>
      </c>
      <c r="AG215" s="295">
        <v>214</v>
      </c>
      <c r="AH215" s="94"/>
      <c r="AI215" s="94"/>
    </row>
    <row r="216" spans="1:35" s="1" customFormat="1" ht="12" customHeight="1" x14ac:dyDescent="0.25">
      <c r="A216" s="405"/>
      <c r="B216" s="406" t="s">
        <v>6153</v>
      </c>
      <c r="C216" s="405">
        <v>2.25</v>
      </c>
      <c r="D216" s="407" t="s">
        <v>6349</v>
      </c>
      <c r="E216" s="315" t="s">
        <v>547</v>
      </c>
      <c r="F216" s="169">
        <v>40513</v>
      </c>
      <c r="G216" s="170"/>
      <c r="H216" s="170">
        <v>1</v>
      </c>
      <c r="I216" s="746">
        <f>TIME(1,12,43)</f>
        <v>5.0497685185185187E-2</v>
      </c>
      <c r="J216" s="899" t="s">
        <v>4706</v>
      </c>
      <c r="K216" s="167" t="s">
        <v>6148</v>
      </c>
      <c r="L216" s="167" t="s">
        <v>5662</v>
      </c>
      <c r="M216" s="167"/>
      <c r="N216" s="167" t="s">
        <v>548</v>
      </c>
      <c r="O216" s="167"/>
      <c r="P216" s="168" t="s">
        <v>8907</v>
      </c>
      <c r="Q216" s="167" t="s">
        <v>3947</v>
      </c>
      <c r="R216" s="172" t="s">
        <v>6992</v>
      </c>
      <c r="S216" s="388" t="s">
        <v>2599</v>
      </c>
      <c r="T216" s="168"/>
      <c r="U216" s="168"/>
      <c r="V216" s="168"/>
      <c r="W216" s="312" t="s">
        <v>547</v>
      </c>
      <c r="X216" s="644" t="s">
        <v>12517</v>
      </c>
      <c r="Y216" s="352" t="s">
        <v>5398</v>
      </c>
      <c r="Z216" s="353">
        <v>680</v>
      </c>
      <c r="AA216" s="353">
        <v>2</v>
      </c>
      <c r="AB216" s="31">
        <f t="shared" ca="1" si="4"/>
        <v>0.70131663725922133</v>
      </c>
      <c r="AC216" s="810"/>
      <c r="AD216" s="811" t="s">
        <v>16393</v>
      </c>
      <c r="AE216" s="940" t="s">
        <v>12543</v>
      </c>
      <c r="AF216" s="920">
        <f>IF(X216=X215,AF215,0)+IF(ISNUMBER(I216),IF(I216&lt;1,I216,I216*VLOOKUP(J216,Summary!$H$2:$I$9,2)),VLOOKUP(J216,Summary!$J$2:$K$9,2)*IF(ISNUMBER(H216),H216,1))</f>
        <v>0.2997453703703703</v>
      </c>
      <c r="AG216" s="287">
        <v>215</v>
      </c>
      <c r="AH216" s="94"/>
      <c r="AI216" s="94"/>
    </row>
    <row r="217" spans="1:35" s="8" customFormat="1" ht="12" customHeight="1" x14ac:dyDescent="0.25">
      <c r="A217" s="413" t="s">
        <v>14569</v>
      </c>
      <c r="B217" s="413">
        <v>1</v>
      </c>
      <c r="C217" s="414">
        <v>3.15</v>
      </c>
      <c r="D217" s="176" t="s">
        <v>2563</v>
      </c>
      <c r="E217" s="313" t="s">
        <v>2564</v>
      </c>
      <c r="F217" s="174">
        <v>36586</v>
      </c>
      <c r="G217" s="174"/>
      <c r="H217" s="176">
        <v>1</v>
      </c>
      <c r="I217" s="176">
        <v>15</v>
      </c>
      <c r="J217" s="900" t="s">
        <v>2755</v>
      </c>
      <c r="K217" s="164" t="s">
        <v>2565</v>
      </c>
      <c r="L217" s="164" t="s">
        <v>461</v>
      </c>
      <c r="M217" s="164"/>
      <c r="N217" s="164" t="s">
        <v>4992</v>
      </c>
      <c r="O217" s="164"/>
      <c r="P217" s="173" t="s">
        <v>4993</v>
      </c>
      <c r="Q217" s="164" t="s">
        <v>3953</v>
      </c>
      <c r="R217" s="177" t="s">
        <v>2723</v>
      </c>
      <c r="S217" s="354" t="s">
        <v>2329</v>
      </c>
      <c r="T217" s="173"/>
      <c r="U217" s="173"/>
      <c r="V217" s="173" t="s">
        <v>2330</v>
      </c>
      <c r="W217" s="313" t="s">
        <v>2564</v>
      </c>
      <c r="X217" s="645" t="s">
        <v>12312</v>
      </c>
      <c r="Y217" s="354" t="s">
        <v>6868</v>
      </c>
      <c r="Z217" s="176">
        <v>999</v>
      </c>
      <c r="AA217" s="176"/>
      <c r="AB217" s="32">
        <f t="shared" ca="1" si="4"/>
        <v>0.21569721459172431</v>
      </c>
      <c r="AC217" s="812"/>
      <c r="AD217" s="763"/>
      <c r="AE217" s="807"/>
      <c r="AF217" s="921">
        <f>IF(X217=X216,AF216,0)+IF(ISNUMBER(I217),IF(I217&lt;1,I217,I217*VLOOKUP(J217,Summary!$H$2:$I$9,2)),VLOOKUP(J217,Summary!$J$2:$K$9,2)*IF(ISNUMBER(H217),H217,1))</f>
        <v>1.0416666666666668E-2</v>
      </c>
      <c r="AG217" s="289">
        <v>216</v>
      </c>
      <c r="AH217" s="94"/>
      <c r="AI217" s="94"/>
    </row>
    <row r="218" spans="1:35" s="22" customFormat="1" ht="12" customHeight="1" x14ac:dyDescent="0.2">
      <c r="A218" s="425" t="s">
        <v>14569</v>
      </c>
      <c r="B218" s="425">
        <v>1</v>
      </c>
      <c r="C218" s="425">
        <v>20</v>
      </c>
      <c r="D218" s="426" t="s">
        <v>3234</v>
      </c>
      <c r="E218" s="427" t="s">
        <v>1739</v>
      </c>
      <c r="F218" s="203">
        <v>24031</v>
      </c>
      <c r="G218" s="203">
        <v>24052</v>
      </c>
      <c r="H218" s="204">
        <v>4</v>
      </c>
      <c r="I218" s="791">
        <f>TIME(0,24,45)+TIME(0,24,43)+TIME(0,25,39)+TIME(0,24,25)</f>
        <v>6.9120370370370374E-2</v>
      </c>
      <c r="J218" s="905" t="s">
        <v>1588</v>
      </c>
      <c r="K218" s="205" t="s">
        <v>1740</v>
      </c>
      <c r="L218" s="205" t="s">
        <v>1741</v>
      </c>
      <c r="M218" s="205"/>
      <c r="N218" s="205" t="s">
        <v>3223</v>
      </c>
      <c r="O218" s="205" t="s">
        <v>1742</v>
      </c>
      <c r="P218" s="202" t="s">
        <v>461</v>
      </c>
      <c r="Q218" s="205" t="s">
        <v>3946</v>
      </c>
      <c r="R218" s="206" t="s">
        <v>5280</v>
      </c>
      <c r="S218" s="391" t="s">
        <v>2329</v>
      </c>
      <c r="T218" s="202" t="s">
        <v>2604</v>
      </c>
      <c r="U218" s="202"/>
      <c r="V218" s="202" t="s">
        <v>2330</v>
      </c>
      <c r="W218" s="320" t="s">
        <v>9596</v>
      </c>
      <c r="X218" s="652" t="s">
        <v>12312</v>
      </c>
      <c r="Y218" s="359" t="s">
        <v>5398</v>
      </c>
      <c r="Z218" s="360">
        <v>133</v>
      </c>
      <c r="AA218" s="360">
        <v>6</v>
      </c>
      <c r="AB218" s="36">
        <f t="shared" ca="1" si="4"/>
        <v>0.74692302571175151</v>
      </c>
      <c r="AC218" s="822"/>
      <c r="AD218" s="827" t="s">
        <v>15048</v>
      </c>
      <c r="AE218" s="947" t="s">
        <v>15100</v>
      </c>
      <c r="AF218" s="926">
        <f>IF(X218=X217,AF217,0)+IF(ISNUMBER(I218),IF(I218&lt;1,I218,I218*VLOOKUP(J218,Summary!$H$2:$I$9,2)),VLOOKUP(J218,Summary!$J$2:$K$9,2)*IF(ISNUMBER(H218),H218,1))</f>
        <v>7.9537037037037045E-2</v>
      </c>
      <c r="AG218" s="294">
        <v>217</v>
      </c>
      <c r="AH218" s="94"/>
      <c r="AI218" s="94"/>
    </row>
    <row r="219" spans="1:35" s="22" customFormat="1" ht="12" customHeight="1" x14ac:dyDescent="0.25">
      <c r="A219" s="413" t="s">
        <v>14569</v>
      </c>
      <c r="B219" s="413">
        <v>1</v>
      </c>
      <c r="C219" s="413">
        <v>13</v>
      </c>
      <c r="D219" s="176" t="s">
        <v>9815</v>
      </c>
      <c r="E219" s="313" t="s">
        <v>9816</v>
      </c>
      <c r="F219" s="175">
        <v>41802</v>
      </c>
      <c r="G219" s="174"/>
      <c r="H219" s="176">
        <v>1</v>
      </c>
      <c r="I219" s="176">
        <v>8</v>
      </c>
      <c r="J219" s="900" t="s">
        <v>2755</v>
      </c>
      <c r="K219" s="164" t="s">
        <v>9281</v>
      </c>
      <c r="L219" s="164" t="s">
        <v>461</v>
      </c>
      <c r="M219" s="164"/>
      <c r="N219" s="164" t="s">
        <v>543</v>
      </c>
      <c r="O219" s="164"/>
      <c r="P219" s="173" t="s">
        <v>9278</v>
      </c>
      <c r="Q219" s="164" t="s">
        <v>3953</v>
      </c>
      <c r="R219" s="177" t="s">
        <v>9279</v>
      </c>
      <c r="S219" s="354"/>
      <c r="T219" s="173"/>
      <c r="U219" s="173"/>
      <c r="V219" s="173"/>
      <c r="W219" s="313" t="s">
        <v>9816</v>
      </c>
      <c r="X219" s="645" t="s">
        <v>12312</v>
      </c>
      <c r="Y219" s="354" t="s">
        <v>6868</v>
      </c>
      <c r="Z219" s="176"/>
      <c r="AA219" s="176"/>
      <c r="AB219" s="32">
        <f t="shared" ca="1" si="4"/>
        <v>0.15017449459765508</v>
      </c>
      <c r="AC219" s="812"/>
      <c r="AD219" s="763"/>
      <c r="AE219" s="807"/>
      <c r="AF219" s="921">
        <f>IF(X219=X218,AF218,0)+IF(ISNUMBER(I219),IF(I219&lt;1,I219,I219*VLOOKUP(J219,Summary!$H$2:$I$9,2)),VLOOKUP(J219,Summary!$J$2:$K$9,2)*IF(ISNUMBER(H219),H219,1))</f>
        <v>8.5092592592592595E-2</v>
      </c>
      <c r="AG219" s="289">
        <v>218</v>
      </c>
      <c r="AH219" s="94"/>
      <c r="AI219" s="94"/>
    </row>
    <row r="220" spans="1:35" s="22" customFormat="1" ht="12" customHeight="1" x14ac:dyDescent="0.25">
      <c r="A220" s="413" t="s">
        <v>14569</v>
      </c>
      <c r="B220" s="413">
        <v>1</v>
      </c>
      <c r="C220" s="414">
        <v>10.119999999999999</v>
      </c>
      <c r="D220" s="176" t="s">
        <v>5667</v>
      </c>
      <c r="E220" s="313" t="s">
        <v>5668</v>
      </c>
      <c r="F220" s="174">
        <v>38139</v>
      </c>
      <c r="G220" s="174"/>
      <c r="H220" s="176">
        <v>1</v>
      </c>
      <c r="I220" s="176">
        <v>18</v>
      </c>
      <c r="J220" s="900" t="s">
        <v>2755</v>
      </c>
      <c r="K220" s="164" t="s">
        <v>5019</v>
      </c>
      <c r="L220" s="164" t="s">
        <v>461</v>
      </c>
      <c r="M220" s="164"/>
      <c r="N220" s="164" t="s">
        <v>4996</v>
      </c>
      <c r="O220" s="164"/>
      <c r="P220" s="173" t="s">
        <v>5669</v>
      </c>
      <c r="Q220" s="164" t="s">
        <v>3947</v>
      </c>
      <c r="R220" s="177" t="s">
        <v>2723</v>
      </c>
      <c r="S220" s="354"/>
      <c r="T220" s="173" t="s">
        <v>2604</v>
      </c>
      <c r="U220" s="173"/>
      <c r="V220" s="173" t="s">
        <v>2330</v>
      </c>
      <c r="W220" s="313" t="s">
        <v>5668</v>
      </c>
      <c r="X220" s="645" t="s">
        <v>12312</v>
      </c>
      <c r="Y220" s="354"/>
      <c r="Z220" s="176">
        <v>999</v>
      </c>
      <c r="AA220" s="176"/>
      <c r="AB220" s="32">
        <f t="shared" ca="1" si="4"/>
        <v>0.68189774835695072</v>
      </c>
      <c r="AC220" s="812"/>
      <c r="AD220" s="763"/>
      <c r="AE220" s="807"/>
      <c r="AF220" s="921">
        <f>IF(X220=X219,AF219,0)+IF(ISNUMBER(I220),IF(I220&lt;1,I220,I220*VLOOKUP(J220,Summary!$H$2:$I$9,2)),VLOOKUP(J220,Summary!$J$2:$K$9,2)*IF(ISNUMBER(H220),H220,1))</f>
        <v>9.7592592592592592E-2</v>
      </c>
      <c r="AG220" s="289">
        <v>219</v>
      </c>
      <c r="AH220" s="94"/>
      <c r="AI220" s="94"/>
    </row>
    <row r="221" spans="1:35" s="43" customFormat="1" ht="12" customHeight="1" x14ac:dyDescent="0.25">
      <c r="A221" s="425" t="s">
        <v>14569</v>
      </c>
      <c r="B221" s="425">
        <v>1</v>
      </c>
      <c r="C221" s="425">
        <v>21.1</v>
      </c>
      <c r="D221" s="426" t="s">
        <v>29</v>
      </c>
      <c r="E221" s="427" t="s">
        <v>5391</v>
      </c>
      <c r="F221" s="203">
        <v>24059</v>
      </c>
      <c r="G221" s="203">
        <v>24101</v>
      </c>
      <c r="H221" s="204">
        <v>7</v>
      </c>
      <c r="I221" s="791">
        <f>TIME(0,22,55)+TIME(0,24,25)+TIME(0,24,30)+TIME(0,24,42)+TIME(0,24, 3)+TIME(0,24,45)+TIME(0,24,36)</f>
        <v>0.11800925925925926</v>
      </c>
      <c r="J221" s="905" t="s">
        <v>1588</v>
      </c>
      <c r="K221" s="205" t="s">
        <v>5399</v>
      </c>
      <c r="L221" s="205" t="s">
        <v>3211</v>
      </c>
      <c r="M221" s="205"/>
      <c r="N221" s="205" t="s">
        <v>3223</v>
      </c>
      <c r="O221" s="205" t="s">
        <v>1742</v>
      </c>
      <c r="P221" s="202" t="s">
        <v>461</v>
      </c>
      <c r="Q221" s="205" t="s">
        <v>3946</v>
      </c>
      <c r="R221" s="206" t="s">
        <v>5280</v>
      </c>
      <c r="S221" s="391" t="s">
        <v>2599</v>
      </c>
      <c r="T221" s="202" t="s">
        <v>2604</v>
      </c>
      <c r="U221" s="202"/>
      <c r="V221" s="202" t="s">
        <v>2330</v>
      </c>
      <c r="W221" s="320" t="s">
        <v>9597</v>
      </c>
      <c r="X221" s="652" t="s">
        <v>12312</v>
      </c>
      <c r="Y221" s="359" t="s">
        <v>5398</v>
      </c>
      <c r="Z221" s="360">
        <v>51</v>
      </c>
      <c r="AA221" s="360">
        <v>8</v>
      </c>
      <c r="AB221" s="36">
        <f t="shared" ca="1" si="4"/>
        <v>0.27094341298479396</v>
      </c>
      <c r="AC221" s="822"/>
      <c r="AD221" s="823" t="s">
        <v>16689</v>
      </c>
      <c r="AE221" s="947" t="s">
        <v>9598</v>
      </c>
      <c r="AF221" s="926">
        <f>IF(X221=X220,AF220,0)+IF(ISNUMBER(I221),IF(I221&lt;1,I221,I221*VLOOKUP(J221,Summary!$H$2:$I$9,2)),VLOOKUP(J221,Summary!$J$2:$K$9,2)*IF(ISNUMBER(H221),H221,1))</f>
        <v>0.21560185185185185</v>
      </c>
      <c r="AG221" s="294">
        <v>220</v>
      </c>
      <c r="AH221" s="94"/>
      <c r="AI221" s="94"/>
    </row>
    <row r="222" spans="1:35" s="22" customFormat="1" ht="12" customHeight="1" x14ac:dyDescent="0.25">
      <c r="A222" s="413" t="s">
        <v>14569</v>
      </c>
      <c r="B222" s="413">
        <v>1</v>
      </c>
      <c r="C222" s="414">
        <v>7.08</v>
      </c>
      <c r="D222" s="176" t="s">
        <v>6279</v>
      </c>
      <c r="E222" s="313" t="s">
        <v>6280</v>
      </c>
      <c r="F222" s="174">
        <v>37865</v>
      </c>
      <c r="G222" s="174"/>
      <c r="H222" s="176">
        <v>1</v>
      </c>
      <c r="I222" s="176">
        <v>20</v>
      </c>
      <c r="J222" s="900" t="s">
        <v>2755</v>
      </c>
      <c r="K222" s="164" t="s">
        <v>176</v>
      </c>
      <c r="L222" s="164" t="s">
        <v>461</v>
      </c>
      <c r="M222" s="164"/>
      <c r="N222" s="164" t="s">
        <v>4552</v>
      </c>
      <c r="O222" s="164"/>
      <c r="P222" s="173" t="s">
        <v>6281</v>
      </c>
      <c r="Q222" s="164" t="s">
        <v>3947</v>
      </c>
      <c r="R222" s="177" t="s">
        <v>2723</v>
      </c>
      <c r="S222" s="354"/>
      <c r="T222" s="173" t="s">
        <v>2604</v>
      </c>
      <c r="U222" s="173"/>
      <c r="V222" s="173"/>
      <c r="W222" s="313" t="s">
        <v>6280</v>
      </c>
      <c r="X222" s="645" t="s">
        <v>12312</v>
      </c>
      <c r="Y222" s="354"/>
      <c r="Z222" s="176"/>
      <c r="AA222" s="176"/>
      <c r="AB222" s="32">
        <f t="shared" ca="1" si="4"/>
        <v>0.98824814092935054</v>
      </c>
      <c r="AC222" s="812"/>
      <c r="AD222" s="763"/>
      <c r="AE222" s="807"/>
      <c r="AF222" s="921">
        <f>IF(X222=X221,AF221,0)+IF(ISNUMBER(I222),IF(I222&lt;1,I222,I222*VLOOKUP(J222,Summary!$H$2:$I$9,2)),VLOOKUP(J222,Summary!$J$2:$K$9,2)*IF(ISNUMBER(H222),H222,1))</f>
        <v>0.22949074074074075</v>
      </c>
      <c r="AG222" s="289">
        <v>221</v>
      </c>
      <c r="AH222" s="94"/>
      <c r="AI222" s="94"/>
    </row>
    <row r="223" spans="1:35" s="22" customFormat="1" ht="12" customHeight="1" x14ac:dyDescent="0.25">
      <c r="A223" s="418" t="s">
        <v>14569</v>
      </c>
      <c r="B223" s="418">
        <v>1</v>
      </c>
      <c r="C223" s="419">
        <v>5.13</v>
      </c>
      <c r="D223" s="192" t="s">
        <v>5670</v>
      </c>
      <c r="E223" s="317" t="s">
        <v>6278</v>
      </c>
      <c r="F223" s="191">
        <v>37681</v>
      </c>
      <c r="G223" s="191"/>
      <c r="H223" s="192">
        <v>1</v>
      </c>
      <c r="I223" s="753">
        <f>TIME(0,46, 5)</f>
        <v>3.2002314814814817E-2</v>
      </c>
      <c r="J223" s="903" t="s">
        <v>2755</v>
      </c>
      <c r="K223" s="194" t="s">
        <v>6353</v>
      </c>
      <c r="L223" s="194" t="s">
        <v>461</v>
      </c>
      <c r="M223" s="194" t="s">
        <v>13151</v>
      </c>
      <c r="N223" s="194" t="s">
        <v>4552</v>
      </c>
      <c r="O223" s="194"/>
      <c r="P223" s="190" t="s">
        <v>6556</v>
      </c>
      <c r="Q223" s="194" t="s">
        <v>3947</v>
      </c>
      <c r="R223" s="193" t="s">
        <v>2723</v>
      </c>
      <c r="S223" s="357"/>
      <c r="T223" s="190" t="s">
        <v>2604</v>
      </c>
      <c r="U223" s="190"/>
      <c r="V223" s="190" t="s">
        <v>2330</v>
      </c>
      <c r="W223" s="317" t="s">
        <v>6278</v>
      </c>
      <c r="X223" s="649" t="s">
        <v>12312</v>
      </c>
      <c r="Y223" s="357" t="s">
        <v>5643</v>
      </c>
      <c r="Z223" s="192">
        <v>999</v>
      </c>
      <c r="AA223" s="192"/>
      <c r="AB223" s="37">
        <f t="shared" ca="1" si="4"/>
        <v>0.76900192578797211</v>
      </c>
      <c r="AC223" s="816"/>
      <c r="AD223" s="817" t="s">
        <v>16846</v>
      </c>
      <c r="AE223" s="943" t="s">
        <v>16048</v>
      </c>
      <c r="AF223" s="924">
        <f>IF(X223=X222,AF222,0)+IF(ISNUMBER(I223),IF(I223&lt;1,I223,I223*VLOOKUP(J223,Summary!$H$2:$I$9,2)),VLOOKUP(J223,Summary!$J$2:$K$9,2)*IF(ISNUMBER(H223),H223,1))</f>
        <v>0.26149305555555558</v>
      </c>
      <c r="AG223" s="292">
        <v>222</v>
      </c>
      <c r="AH223" s="94"/>
      <c r="AI223" s="94"/>
    </row>
    <row r="224" spans="1:35" s="22" customFormat="1" ht="12" customHeight="1" x14ac:dyDescent="0.2">
      <c r="A224" s="412" t="s">
        <v>14569</v>
      </c>
      <c r="B224" s="412">
        <v>1</v>
      </c>
      <c r="C224" s="415">
        <v>6.07</v>
      </c>
      <c r="D224" s="407" t="s">
        <v>728</v>
      </c>
      <c r="E224" s="315" t="s">
        <v>454</v>
      </c>
      <c r="F224" s="169">
        <v>40909</v>
      </c>
      <c r="G224" s="170"/>
      <c r="H224" s="170">
        <v>4</v>
      </c>
      <c r="I224" s="746">
        <f>TIME(2,11,8)</f>
        <v>9.1064814814814821E-2</v>
      </c>
      <c r="J224" s="899" t="s">
        <v>4706</v>
      </c>
      <c r="K224" s="167" t="s">
        <v>5664</v>
      </c>
      <c r="L224" s="167" t="s">
        <v>2313</v>
      </c>
      <c r="M224" s="167" t="s">
        <v>455</v>
      </c>
      <c r="N224" s="167"/>
      <c r="O224" s="167"/>
      <c r="P224" s="168" t="s">
        <v>9154</v>
      </c>
      <c r="Q224" s="167" t="s">
        <v>3947</v>
      </c>
      <c r="R224" s="172" t="s">
        <v>3153</v>
      </c>
      <c r="S224" s="388" t="s">
        <v>2599</v>
      </c>
      <c r="T224" s="168"/>
      <c r="U224" s="168"/>
      <c r="V224" s="168" t="s">
        <v>2330</v>
      </c>
      <c r="W224" s="312" t="s">
        <v>8426</v>
      </c>
      <c r="X224" s="644" t="s">
        <v>12312</v>
      </c>
      <c r="Y224" s="352" t="s">
        <v>5398</v>
      </c>
      <c r="Z224" s="353">
        <v>604</v>
      </c>
      <c r="AA224" s="353">
        <v>3.5</v>
      </c>
      <c r="AB224" s="31">
        <f t="shared" ca="1" si="4"/>
        <v>0.14795599695442563</v>
      </c>
      <c r="AC224" s="810"/>
      <c r="AD224" s="811" t="s">
        <v>461</v>
      </c>
      <c r="AE224" s="940"/>
      <c r="AF224" s="920">
        <f>IF(X224=X223,AF223,0)+IF(ISNUMBER(I224),IF(I224&lt;1,I224,I224*VLOOKUP(J224,Summary!$H$2:$I$9,2)),VLOOKUP(J224,Summary!$J$2:$K$9,2)*IF(ISNUMBER(H224),H224,1))</f>
        <v>0.3525578703703704</v>
      </c>
      <c r="AG224" s="287">
        <v>223</v>
      </c>
      <c r="AH224" s="94"/>
      <c r="AI224" s="94"/>
    </row>
    <row r="225" spans="1:35" s="22" customFormat="1" ht="12" customHeight="1" x14ac:dyDescent="0.2">
      <c r="A225" s="412" t="s">
        <v>14569</v>
      </c>
      <c r="B225" s="412">
        <v>1</v>
      </c>
      <c r="C225" s="742">
        <v>2</v>
      </c>
      <c r="D225" s="407" t="s">
        <v>15362</v>
      </c>
      <c r="E225" s="315" t="s">
        <v>15361</v>
      </c>
      <c r="F225" s="196">
        <v>43223</v>
      </c>
      <c r="G225" s="170"/>
      <c r="H225" s="170">
        <v>1</v>
      </c>
      <c r="I225" s="746">
        <f>TIME(0,70,0)</f>
        <v>4.8611111111111112E-2</v>
      </c>
      <c r="J225" s="899" t="s">
        <v>4706</v>
      </c>
      <c r="K225" s="167" t="s">
        <v>543</v>
      </c>
      <c r="L225" s="167" t="s">
        <v>2503</v>
      </c>
      <c r="M225" s="167" t="s">
        <v>7564</v>
      </c>
      <c r="N225" s="167"/>
      <c r="O225" s="167"/>
      <c r="P225" s="168" t="s">
        <v>12702</v>
      </c>
      <c r="Q225" s="167" t="s">
        <v>3950</v>
      </c>
      <c r="R225" s="172" t="s">
        <v>12703</v>
      </c>
      <c r="S225" s="388" t="s">
        <v>2599</v>
      </c>
      <c r="T225" s="168"/>
      <c r="U225" s="168"/>
      <c r="V225" s="168" t="s">
        <v>2330</v>
      </c>
      <c r="W225" s="315" t="s">
        <v>15361</v>
      </c>
      <c r="X225" s="644" t="s">
        <v>12312</v>
      </c>
      <c r="Y225" s="352"/>
      <c r="Z225" s="353"/>
      <c r="AA225" s="353"/>
      <c r="AB225" s="31">
        <f t="shared" ca="1" si="4"/>
        <v>0.53090486165054951</v>
      </c>
      <c r="AC225" s="810"/>
      <c r="AD225" s="811" t="s">
        <v>15360</v>
      </c>
      <c r="AE225" s="940"/>
      <c r="AF225" s="920">
        <f>IF(X225=X224,AF224,0)+IF(ISNUMBER(I225),IF(I225&lt;1,I225,I225*VLOOKUP(J225,Summary!$H$2:$I$9,2)),VLOOKUP(J225,Summary!$J$2:$K$9,2)*IF(ISNUMBER(H225),H225,1))</f>
        <v>0.4011689814814815</v>
      </c>
      <c r="AG225" s="287">
        <v>224</v>
      </c>
      <c r="AH225" s="94"/>
      <c r="AI225" s="94"/>
    </row>
    <row r="226" spans="1:35" s="2" customFormat="1" ht="12" customHeight="1" x14ac:dyDescent="0.25">
      <c r="A226" s="412" t="s">
        <v>14569</v>
      </c>
      <c r="B226" s="412">
        <v>1</v>
      </c>
      <c r="C226" s="415">
        <v>5.01</v>
      </c>
      <c r="D226" s="407" t="s">
        <v>715</v>
      </c>
      <c r="E226" s="315" t="s">
        <v>5663</v>
      </c>
      <c r="F226" s="169">
        <v>40360</v>
      </c>
      <c r="G226" s="170"/>
      <c r="H226" s="170">
        <v>2</v>
      </c>
      <c r="I226" s="746">
        <f>TIME(1,10,17)</f>
        <v>4.880787037037037E-2</v>
      </c>
      <c r="J226" s="899" t="s">
        <v>4706</v>
      </c>
      <c r="K226" s="167" t="s">
        <v>5664</v>
      </c>
      <c r="L226" s="167" t="s">
        <v>5662</v>
      </c>
      <c r="M226" s="167" t="s">
        <v>8038</v>
      </c>
      <c r="N226" s="167"/>
      <c r="O226" s="167"/>
      <c r="P226" s="168" t="s">
        <v>9190</v>
      </c>
      <c r="Q226" s="167" t="s">
        <v>3947</v>
      </c>
      <c r="R226" s="172" t="s">
        <v>3153</v>
      </c>
      <c r="S226" s="388" t="s">
        <v>2599</v>
      </c>
      <c r="T226" s="168"/>
      <c r="U226" s="168"/>
      <c r="V226" s="168" t="s">
        <v>2330</v>
      </c>
      <c r="W226" s="312" t="s">
        <v>8427</v>
      </c>
      <c r="X226" s="644" t="s">
        <v>12312</v>
      </c>
      <c r="Y226" s="352" t="s">
        <v>5398</v>
      </c>
      <c r="Z226" s="353">
        <v>218</v>
      </c>
      <c r="AA226" s="353">
        <v>6</v>
      </c>
      <c r="AB226" s="31">
        <f t="shared" ca="1" si="4"/>
        <v>0.14021000940925732</v>
      </c>
      <c r="AC226" s="810" t="s">
        <v>11123</v>
      </c>
      <c r="AD226" s="811" t="s">
        <v>16505</v>
      </c>
      <c r="AE226" s="940" t="s">
        <v>16118</v>
      </c>
      <c r="AF226" s="920">
        <f>IF(X226=X225,AF225,0)+IF(ISNUMBER(I226),IF(I226&lt;1,I226,I226*VLOOKUP(J226,Summary!$H$2:$I$9,2)),VLOOKUP(J226,Summary!$J$2:$K$9,2)*IF(ISNUMBER(H226),H226,1))</f>
        <v>0.44997685185185188</v>
      </c>
      <c r="AG226" s="287">
        <v>225</v>
      </c>
      <c r="AH226" s="94"/>
      <c r="AI226" s="94"/>
    </row>
    <row r="227" spans="1:35" s="2" customFormat="1" ht="12" customHeight="1" x14ac:dyDescent="0.25">
      <c r="A227" s="412" t="s">
        <v>14569</v>
      </c>
      <c r="B227" s="412">
        <v>1</v>
      </c>
      <c r="C227" s="415">
        <v>4.01</v>
      </c>
      <c r="D227" s="407" t="s">
        <v>707</v>
      </c>
      <c r="E227" s="315" t="s">
        <v>5400</v>
      </c>
      <c r="F227" s="169">
        <v>39995</v>
      </c>
      <c r="G227" s="170"/>
      <c r="H227" s="170">
        <v>2</v>
      </c>
      <c r="I227" s="746">
        <f>TIME(1,8,18)</f>
        <v>4.7430555555555559E-2</v>
      </c>
      <c r="J227" s="899" t="s">
        <v>4706</v>
      </c>
      <c r="K227" s="167" t="s">
        <v>5664</v>
      </c>
      <c r="L227" s="167" t="s">
        <v>5662</v>
      </c>
      <c r="M227" s="167" t="s">
        <v>8038</v>
      </c>
      <c r="N227" s="167"/>
      <c r="O227" s="167"/>
      <c r="P227" s="168" t="s">
        <v>9175</v>
      </c>
      <c r="Q227" s="167" t="s">
        <v>3947</v>
      </c>
      <c r="R227" s="172" t="s">
        <v>3153</v>
      </c>
      <c r="S227" s="388" t="s">
        <v>2599</v>
      </c>
      <c r="T227" s="168"/>
      <c r="U227" s="168"/>
      <c r="V227" s="168" t="s">
        <v>2330</v>
      </c>
      <c r="W227" s="312" t="s">
        <v>8428</v>
      </c>
      <c r="X227" s="644" t="s">
        <v>12312</v>
      </c>
      <c r="Y227" s="352" t="s">
        <v>5398</v>
      </c>
      <c r="Z227" s="353">
        <v>174</v>
      </c>
      <c r="AA227" s="353">
        <v>6</v>
      </c>
      <c r="AB227" s="31">
        <f t="shared" ca="1" si="4"/>
        <v>1.6019312784859574E-3</v>
      </c>
      <c r="AC227" s="810" t="s">
        <v>11122</v>
      </c>
      <c r="AD227" s="811" t="s">
        <v>16502</v>
      </c>
      <c r="AE227" s="940" t="s">
        <v>16253</v>
      </c>
      <c r="AF227" s="920">
        <f>IF(X227=X226,AF226,0)+IF(ISNUMBER(I227),IF(I227&lt;1,I227,I227*VLOOKUP(J227,Summary!$H$2:$I$9,2)),VLOOKUP(J227,Summary!$J$2:$K$9,2)*IF(ISNUMBER(H227),H227,1))</f>
        <v>0.49740740740740741</v>
      </c>
      <c r="AG227" s="287">
        <v>226</v>
      </c>
      <c r="AH227" s="94"/>
      <c r="AI227" s="94"/>
    </row>
    <row r="228" spans="1:35" s="43" customFormat="1" ht="12" customHeight="1" x14ac:dyDescent="0.25">
      <c r="A228" s="412" t="s">
        <v>14569</v>
      </c>
      <c r="B228" s="412">
        <v>1</v>
      </c>
      <c r="C228" s="415">
        <v>3.05</v>
      </c>
      <c r="D228" s="407" t="s">
        <v>3140</v>
      </c>
      <c r="E228" s="315" t="s">
        <v>5401</v>
      </c>
      <c r="F228" s="169">
        <v>39753</v>
      </c>
      <c r="G228" s="170"/>
      <c r="H228" s="170">
        <v>2</v>
      </c>
      <c r="I228" s="746">
        <f>TIME(1,8,16)</f>
        <v>4.7407407407407405E-2</v>
      </c>
      <c r="J228" s="899" t="s">
        <v>4706</v>
      </c>
      <c r="K228" s="167" t="s">
        <v>5664</v>
      </c>
      <c r="L228" s="167" t="s">
        <v>5662</v>
      </c>
      <c r="M228" s="167" t="s">
        <v>8038</v>
      </c>
      <c r="N228" s="167"/>
      <c r="O228" s="167"/>
      <c r="P228" s="168" t="s">
        <v>9168</v>
      </c>
      <c r="Q228" s="167" t="s">
        <v>3947</v>
      </c>
      <c r="R228" s="172" t="s">
        <v>3153</v>
      </c>
      <c r="S228" s="388" t="s">
        <v>2599</v>
      </c>
      <c r="T228" s="168"/>
      <c r="U228" s="168"/>
      <c r="V228" s="168" t="s">
        <v>2330</v>
      </c>
      <c r="W228" s="312" t="s">
        <v>8429</v>
      </c>
      <c r="X228" s="644" t="s">
        <v>12312</v>
      </c>
      <c r="Y228" s="352" t="s">
        <v>5398</v>
      </c>
      <c r="Z228" s="353">
        <v>36</v>
      </c>
      <c r="AA228" s="353">
        <v>9</v>
      </c>
      <c r="AB228" s="31">
        <f t="shared" ca="1" si="4"/>
        <v>0.25516071224024928</v>
      </c>
      <c r="AC228" s="810" t="s">
        <v>11124</v>
      </c>
      <c r="AD228" s="811" t="s">
        <v>16503</v>
      </c>
      <c r="AE228" s="940" t="s">
        <v>16504</v>
      </c>
      <c r="AF228" s="920">
        <f>IF(X228=X227,AF227,0)+IF(ISNUMBER(I228),IF(I228&lt;1,I228,I228*VLOOKUP(J228,Summary!$H$2:$I$9,2)),VLOOKUP(J228,Summary!$J$2:$K$9,2)*IF(ISNUMBER(H228),H228,1))</f>
        <v>0.54481481481481486</v>
      </c>
      <c r="AG228" s="287">
        <v>227</v>
      </c>
      <c r="AH228" s="94"/>
      <c r="AI228" s="94"/>
    </row>
    <row r="229" spans="1:35" s="22" customFormat="1" ht="12" customHeight="1" x14ac:dyDescent="0.2">
      <c r="A229" s="412" t="s">
        <v>14569</v>
      </c>
      <c r="B229" s="412">
        <v>1</v>
      </c>
      <c r="C229" s="429">
        <v>1.4</v>
      </c>
      <c r="D229" s="407" t="s">
        <v>9274</v>
      </c>
      <c r="E229" s="315" t="s">
        <v>9275</v>
      </c>
      <c r="F229" s="169">
        <v>41974</v>
      </c>
      <c r="G229" s="170"/>
      <c r="H229" s="170">
        <v>4</v>
      </c>
      <c r="I229" s="746">
        <f>TIME(2,2,42)</f>
        <v>8.520833333333333E-2</v>
      </c>
      <c r="J229" s="899" t="s">
        <v>4706</v>
      </c>
      <c r="K229" s="167" t="s">
        <v>6452</v>
      </c>
      <c r="L229" s="167" t="s">
        <v>2313</v>
      </c>
      <c r="M229" s="167"/>
      <c r="N229" s="167"/>
      <c r="O229" s="167"/>
      <c r="P229" s="168" t="s">
        <v>9276</v>
      </c>
      <c r="Q229" s="167" t="s">
        <v>3947</v>
      </c>
      <c r="R229" s="172" t="s">
        <v>8512</v>
      </c>
      <c r="S229" s="388" t="s">
        <v>2599</v>
      </c>
      <c r="T229" s="168"/>
      <c r="U229" s="168"/>
      <c r="V229" s="168" t="s">
        <v>2330</v>
      </c>
      <c r="W229" s="312" t="s">
        <v>9546</v>
      </c>
      <c r="X229" s="644" t="s">
        <v>12312</v>
      </c>
      <c r="Y229" s="352" t="s">
        <v>5643</v>
      </c>
      <c r="Z229" s="353">
        <v>245</v>
      </c>
      <c r="AA229" s="353">
        <v>5.5</v>
      </c>
      <c r="AB229" s="31">
        <f t="shared" ca="1" si="4"/>
        <v>0.94557144767174195</v>
      </c>
      <c r="AC229" s="810"/>
      <c r="AD229" s="811" t="s">
        <v>16765</v>
      </c>
      <c r="AE229" s="940" t="s">
        <v>12543</v>
      </c>
      <c r="AF229" s="920">
        <f>IF(X229=X228,AF228,0)+IF(ISNUMBER(I229),IF(I229&lt;1,I229,I229*VLOOKUP(J229,Summary!$H$2:$I$9,2)),VLOOKUP(J229,Summary!$J$2:$K$9,2)*IF(ISNUMBER(H229),H229,1))</f>
        <v>0.63002314814814819</v>
      </c>
      <c r="AG229" s="287">
        <v>228</v>
      </c>
      <c r="AH229" s="94"/>
      <c r="AI229" s="94"/>
    </row>
    <row r="230" spans="1:35" s="22" customFormat="1" ht="12" customHeight="1" x14ac:dyDescent="0.2">
      <c r="A230" s="412" t="s">
        <v>14569</v>
      </c>
      <c r="B230" s="412">
        <v>1</v>
      </c>
      <c r="C230" s="429">
        <v>3.4</v>
      </c>
      <c r="D230" s="407" t="s">
        <v>11345</v>
      </c>
      <c r="E230" s="315" t="s">
        <v>11346</v>
      </c>
      <c r="F230" s="196">
        <v>42718</v>
      </c>
      <c r="G230" s="170"/>
      <c r="H230" s="170">
        <v>4</v>
      </c>
      <c r="I230" s="746">
        <f>TIME(2,0,29)</f>
        <v>8.3668981481481483E-2</v>
      </c>
      <c r="J230" s="899" t="s">
        <v>4706</v>
      </c>
      <c r="K230" s="167" t="s">
        <v>5664</v>
      </c>
      <c r="L230" s="167" t="s">
        <v>2313</v>
      </c>
      <c r="M230" s="167"/>
      <c r="N230" s="167"/>
      <c r="O230" s="167"/>
      <c r="P230" s="168" t="s">
        <v>11347</v>
      </c>
      <c r="Q230" s="167" t="s">
        <v>3947</v>
      </c>
      <c r="R230" s="172" t="s">
        <v>8512</v>
      </c>
      <c r="S230" s="388" t="s">
        <v>2599</v>
      </c>
      <c r="T230" s="168"/>
      <c r="U230" s="168"/>
      <c r="V230" s="168" t="s">
        <v>2330</v>
      </c>
      <c r="W230" s="312" t="s">
        <v>11348</v>
      </c>
      <c r="X230" s="644" t="s">
        <v>12312</v>
      </c>
      <c r="Y230" s="352" t="s">
        <v>5643</v>
      </c>
      <c r="Z230" s="353">
        <v>476</v>
      </c>
      <c r="AA230" s="353">
        <v>4</v>
      </c>
      <c r="AB230" s="31">
        <f t="shared" ca="1" si="4"/>
        <v>0.43593610108387193</v>
      </c>
      <c r="AC230" s="810"/>
      <c r="AD230" s="811" t="s">
        <v>16847</v>
      </c>
      <c r="AE230" s="940" t="s">
        <v>3365</v>
      </c>
      <c r="AF230" s="920">
        <f>IF(X230=X229,AF229,0)+IF(ISNUMBER(I230),IF(I230&lt;1,I230,I230*VLOOKUP(J230,Summary!$H$2:$I$9,2)),VLOOKUP(J230,Summary!$J$2:$K$9,2)*IF(ISNUMBER(H230),H230,1))</f>
        <v>0.71369212962962969</v>
      </c>
      <c r="AG230" s="287">
        <v>229</v>
      </c>
      <c r="AH230" s="94"/>
      <c r="AI230" s="94"/>
    </row>
    <row r="231" spans="1:35" s="1" customFormat="1" ht="12" customHeight="1" x14ac:dyDescent="0.25">
      <c r="A231" s="425" t="s">
        <v>14569</v>
      </c>
      <c r="B231" s="425">
        <v>1</v>
      </c>
      <c r="C231" s="425">
        <v>21.2</v>
      </c>
      <c r="D231" s="426" t="s">
        <v>29</v>
      </c>
      <c r="E231" s="427" t="s">
        <v>6762</v>
      </c>
      <c r="F231" s="203">
        <v>24108</v>
      </c>
      <c r="G231" s="203">
        <v>24136</v>
      </c>
      <c r="H231" s="204">
        <v>5</v>
      </c>
      <c r="I231" s="791">
        <f>TIME(0,24,42)+TIME(0,24,38)+TIME(0,23,37)+TIME(0,24,34)+TIME(0,23,31)</f>
        <v>8.4050925925925932E-2</v>
      </c>
      <c r="J231" s="905" t="s">
        <v>1588</v>
      </c>
      <c r="K231" s="205" t="s">
        <v>5399</v>
      </c>
      <c r="L231" s="205" t="s">
        <v>3211</v>
      </c>
      <c r="M231" s="205"/>
      <c r="N231" s="205" t="s">
        <v>3223</v>
      </c>
      <c r="O231" s="205" t="s">
        <v>1742</v>
      </c>
      <c r="P231" s="202" t="s">
        <v>461</v>
      </c>
      <c r="Q231" s="205" t="s">
        <v>3946</v>
      </c>
      <c r="R231" s="206" t="s">
        <v>5280</v>
      </c>
      <c r="S231" s="391" t="s">
        <v>2599</v>
      </c>
      <c r="T231" s="202" t="s">
        <v>2604</v>
      </c>
      <c r="U231" s="202"/>
      <c r="V231" s="202" t="s">
        <v>2330</v>
      </c>
      <c r="W231" s="320" t="s">
        <v>9600</v>
      </c>
      <c r="X231" s="652" t="s">
        <v>12312</v>
      </c>
      <c r="Y231" s="359" t="s">
        <v>5398</v>
      </c>
      <c r="Z231" s="360">
        <v>52</v>
      </c>
      <c r="AA231" s="360">
        <v>8</v>
      </c>
      <c r="AB231" s="36">
        <f t="shared" ca="1" si="4"/>
        <v>0.30763861816683513</v>
      </c>
      <c r="AC231" s="822"/>
      <c r="AD231" s="827" t="s">
        <v>15041</v>
      </c>
      <c r="AE231" s="947" t="s">
        <v>15097</v>
      </c>
      <c r="AF231" s="926">
        <f>IF(X231=X230,AF230,0)+IF(ISNUMBER(I231),IF(I231&lt;1,I231,I231*VLOOKUP(J231,Summary!$H$2:$I$9,2)),VLOOKUP(J231,Summary!$J$2:$K$9,2)*IF(ISNUMBER(H231),H231,1))</f>
        <v>0.79774305555555558</v>
      </c>
      <c r="AG231" s="294">
        <v>230</v>
      </c>
      <c r="AH231" s="94"/>
      <c r="AI231" s="94"/>
    </row>
    <row r="232" spans="1:35" s="2" customFormat="1" ht="12" customHeight="1" x14ac:dyDescent="0.25">
      <c r="A232" s="412" t="s">
        <v>14569</v>
      </c>
      <c r="B232" s="412">
        <v>1</v>
      </c>
      <c r="C232" s="415">
        <v>5.08</v>
      </c>
      <c r="D232" s="407" t="s">
        <v>722</v>
      </c>
      <c r="E232" s="315" t="s">
        <v>6238</v>
      </c>
      <c r="F232" s="169">
        <v>40575</v>
      </c>
      <c r="G232" s="170"/>
      <c r="H232" s="170">
        <v>2</v>
      </c>
      <c r="I232" s="746">
        <f>TIME(1,1,49)</f>
        <v>4.2928240740740746E-2</v>
      </c>
      <c r="J232" s="899" t="s">
        <v>4706</v>
      </c>
      <c r="K232" s="167" t="s">
        <v>5664</v>
      </c>
      <c r="L232" s="167" t="s">
        <v>5662</v>
      </c>
      <c r="M232" s="167" t="s">
        <v>8059</v>
      </c>
      <c r="N232" s="167"/>
      <c r="O232" s="167"/>
      <c r="P232" s="168" t="s">
        <v>9197</v>
      </c>
      <c r="Q232" s="167" t="s">
        <v>3947</v>
      </c>
      <c r="R232" s="172" t="s">
        <v>3153</v>
      </c>
      <c r="S232" s="388"/>
      <c r="T232" s="168"/>
      <c r="U232" s="168" t="s">
        <v>2603</v>
      </c>
      <c r="V232" s="168" t="s">
        <v>2330</v>
      </c>
      <c r="W232" s="312" t="s">
        <v>8504</v>
      </c>
      <c r="X232" s="644" t="s">
        <v>12312</v>
      </c>
      <c r="Y232" s="352" t="s">
        <v>5643</v>
      </c>
      <c r="Z232" s="353">
        <v>347</v>
      </c>
      <c r="AA232" s="353">
        <v>5</v>
      </c>
      <c r="AB232" s="31">
        <f t="shared" ca="1" si="4"/>
        <v>0.38034150095738795</v>
      </c>
      <c r="AC232" s="810"/>
      <c r="AD232" s="811" t="s">
        <v>15865</v>
      </c>
      <c r="AE232" s="940"/>
      <c r="AF232" s="920">
        <f>IF(X232=X231,AF231,0)+IF(ISNUMBER(I232),IF(I232&lt;1,I232,I232*VLOOKUP(J232,Summary!$H$2:$I$9,2)),VLOOKUP(J232,Summary!$J$2:$K$9,2)*IF(ISNUMBER(H232),H232,1))</f>
        <v>0.84067129629629633</v>
      </c>
      <c r="AG232" s="287">
        <v>231</v>
      </c>
      <c r="AH232" s="94"/>
      <c r="AI232" s="94"/>
    </row>
    <row r="233" spans="1:35" s="1" customFormat="1" ht="12" customHeight="1" x14ac:dyDescent="0.25">
      <c r="A233" s="412" t="s">
        <v>14569</v>
      </c>
      <c r="B233" s="412">
        <v>1</v>
      </c>
      <c r="C233" s="415">
        <v>5.12</v>
      </c>
      <c r="D233" s="407" t="s">
        <v>6239</v>
      </c>
      <c r="E233" s="315" t="s">
        <v>4480</v>
      </c>
      <c r="F233" s="169">
        <v>40695</v>
      </c>
      <c r="G233" s="170"/>
      <c r="H233" s="170">
        <v>2</v>
      </c>
      <c r="I233" s="746">
        <f>TIME(1,4,12)</f>
        <v>4.4583333333333336E-2</v>
      </c>
      <c r="J233" s="899" t="s">
        <v>4706</v>
      </c>
      <c r="K233" s="167" t="s">
        <v>5664</v>
      </c>
      <c r="L233" s="167" t="s">
        <v>5662</v>
      </c>
      <c r="M233" s="167" t="s">
        <v>8059</v>
      </c>
      <c r="N233" s="167"/>
      <c r="O233" s="167"/>
      <c r="P233" s="168" t="s">
        <v>9201</v>
      </c>
      <c r="Q233" s="167" t="s">
        <v>3947</v>
      </c>
      <c r="R233" s="172" t="s">
        <v>3153</v>
      </c>
      <c r="S233" s="388"/>
      <c r="T233" s="168"/>
      <c r="U233" s="168" t="s">
        <v>2603</v>
      </c>
      <c r="V233" s="168" t="s">
        <v>2330</v>
      </c>
      <c r="W233" s="312" t="s">
        <v>8430</v>
      </c>
      <c r="X233" s="644" t="s">
        <v>12312</v>
      </c>
      <c r="Y233" s="352" t="s">
        <v>5643</v>
      </c>
      <c r="Z233" s="353">
        <v>94</v>
      </c>
      <c r="AA233" s="353">
        <v>7.5</v>
      </c>
      <c r="AB233" s="31">
        <f t="shared" ca="1" si="4"/>
        <v>0.88603217641269283</v>
      </c>
      <c r="AC233" s="810"/>
      <c r="AD233" s="811" t="s">
        <v>16501</v>
      </c>
      <c r="AE233" s="940" t="s">
        <v>3365</v>
      </c>
      <c r="AF233" s="920">
        <f>IF(X233=X232,AF232,0)+IF(ISNUMBER(I233),IF(I233&lt;1,I233,I233*VLOOKUP(J233,Summary!$H$2:$I$9,2)),VLOOKUP(J233,Summary!$J$2:$K$9,2)*IF(ISNUMBER(H233),H233,1))</f>
        <v>0.88525462962962964</v>
      </c>
      <c r="AG233" s="287">
        <v>232</v>
      </c>
      <c r="AH233" s="94"/>
      <c r="AI233" s="94"/>
    </row>
    <row r="234" spans="1:35" s="1" customFormat="1" ht="12" customHeight="1" x14ac:dyDescent="0.25">
      <c r="A234" s="412" t="s">
        <v>14569</v>
      </c>
      <c r="B234" s="412">
        <v>1</v>
      </c>
      <c r="C234" s="415">
        <v>6.05</v>
      </c>
      <c r="D234" s="407" t="s">
        <v>727</v>
      </c>
      <c r="E234" s="315" t="s">
        <v>5294</v>
      </c>
      <c r="F234" s="169">
        <v>40848</v>
      </c>
      <c r="G234" s="170"/>
      <c r="H234" s="170">
        <v>2</v>
      </c>
      <c r="I234" s="746">
        <f>TIME(0,59,1)</f>
        <v>4.0983796296296296E-2</v>
      </c>
      <c r="J234" s="899" t="s">
        <v>4706</v>
      </c>
      <c r="K234" s="167" t="s">
        <v>5664</v>
      </c>
      <c r="L234" s="167" t="s">
        <v>5662</v>
      </c>
      <c r="M234" s="167" t="s">
        <v>8059</v>
      </c>
      <c r="N234" s="167"/>
      <c r="O234" s="167"/>
      <c r="P234" s="168" t="s">
        <v>9152</v>
      </c>
      <c r="Q234" s="167" t="s">
        <v>3947</v>
      </c>
      <c r="R234" s="172" t="s">
        <v>3153</v>
      </c>
      <c r="S234" s="388"/>
      <c r="T234" s="168"/>
      <c r="U234" s="168" t="s">
        <v>2603</v>
      </c>
      <c r="V234" s="168" t="s">
        <v>2330</v>
      </c>
      <c r="W234" s="312" t="s">
        <v>8431</v>
      </c>
      <c r="X234" s="644" t="s">
        <v>12312</v>
      </c>
      <c r="Y234" s="352" t="s">
        <v>5643</v>
      </c>
      <c r="Z234" s="353">
        <v>440</v>
      </c>
      <c r="AA234" s="353">
        <v>4.5</v>
      </c>
      <c r="AB234" s="31">
        <f t="shared" ca="1" si="4"/>
        <v>5.1493170591971005E-2</v>
      </c>
      <c r="AC234" s="810"/>
      <c r="AD234" s="811" t="s">
        <v>16372</v>
      </c>
      <c r="AE234" s="940" t="s">
        <v>12543</v>
      </c>
      <c r="AF234" s="920">
        <f>IF(X234=X233,AF233,0)+IF(ISNUMBER(I234),IF(I234&lt;1,I234,I234*VLOOKUP(J234,Summary!$H$2:$I$9,2)),VLOOKUP(J234,Summary!$J$2:$K$9,2)*IF(ISNUMBER(H234),H234,1))</f>
        <v>0.92623842592592598</v>
      </c>
      <c r="AG234" s="287">
        <v>233</v>
      </c>
      <c r="AH234" s="94"/>
      <c r="AI234" s="94"/>
    </row>
    <row r="235" spans="1:35" s="22" customFormat="1" ht="12" customHeight="1" x14ac:dyDescent="0.25">
      <c r="A235" s="413" t="s">
        <v>14569</v>
      </c>
      <c r="B235" s="413">
        <v>1</v>
      </c>
      <c r="C235" s="414">
        <v>16.11</v>
      </c>
      <c r="D235" s="176" t="s">
        <v>6282</v>
      </c>
      <c r="E235" s="313" t="s">
        <v>6283</v>
      </c>
      <c r="F235" s="174">
        <v>38473</v>
      </c>
      <c r="G235" s="174"/>
      <c r="H235" s="176">
        <v>1</v>
      </c>
      <c r="I235" s="176">
        <v>16</v>
      </c>
      <c r="J235" s="900" t="s">
        <v>2755</v>
      </c>
      <c r="K235" s="164" t="s">
        <v>4032</v>
      </c>
      <c r="L235" s="164" t="s">
        <v>461</v>
      </c>
      <c r="M235" s="164"/>
      <c r="N235" s="164" t="s">
        <v>7381</v>
      </c>
      <c r="O235" s="164"/>
      <c r="P235" s="173" t="s">
        <v>1652</v>
      </c>
      <c r="Q235" s="164" t="s">
        <v>3947</v>
      </c>
      <c r="R235" s="177" t="s">
        <v>2723</v>
      </c>
      <c r="S235" s="354"/>
      <c r="T235" s="173"/>
      <c r="U235" s="173"/>
      <c r="V235" s="173" t="s">
        <v>2330</v>
      </c>
      <c r="W235" s="313" t="s">
        <v>6283</v>
      </c>
      <c r="X235" s="645" t="s">
        <v>12312</v>
      </c>
      <c r="Y235" s="354"/>
      <c r="Z235" s="176"/>
      <c r="AA235" s="176"/>
      <c r="AB235" s="32">
        <f t="shared" ca="1" si="4"/>
        <v>0.42617851799301887</v>
      </c>
      <c r="AC235" s="812"/>
      <c r="AD235" s="763"/>
      <c r="AE235" s="807"/>
      <c r="AF235" s="921">
        <f>IF(X235=X234,AF234,0)+IF(ISNUMBER(I235),IF(I235&lt;1,I235,I235*VLOOKUP(J235,Summary!$H$2:$I$9,2)),VLOOKUP(J235,Summary!$J$2:$K$9,2)*IF(ISNUMBER(H235),H235,1))</f>
        <v>0.93734953703703705</v>
      </c>
      <c r="AG235" s="289">
        <v>234</v>
      </c>
      <c r="AH235" s="94"/>
      <c r="AI235" s="94"/>
    </row>
    <row r="236" spans="1:35" s="22" customFormat="1" ht="12" customHeight="1" x14ac:dyDescent="0.25">
      <c r="A236" s="413" t="s">
        <v>14569</v>
      </c>
      <c r="B236" s="413">
        <v>1</v>
      </c>
      <c r="C236" s="414">
        <v>16.079999999999998</v>
      </c>
      <c r="D236" s="176" t="s">
        <v>183</v>
      </c>
      <c r="E236" s="313" t="s">
        <v>184</v>
      </c>
      <c r="F236" s="174">
        <v>38473</v>
      </c>
      <c r="G236" s="174"/>
      <c r="H236" s="176">
        <v>1</v>
      </c>
      <c r="I236" s="176">
        <v>10</v>
      </c>
      <c r="J236" s="900" t="s">
        <v>2755</v>
      </c>
      <c r="K236" s="164" t="s">
        <v>185</v>
      </c>
      <c r="L236" s="164" t="s">
        <v>461</v>
      </c>
      <c r="M236" s="164"/>
      <c r="N236" s="164" t="s">
        <v>7381</v>
      </c>
      <c r="O236" s="164"/>
      <c r="P236" s="173" t="s">
        <v>1652</v>
      </c>
      <c r="Q236" s="164" t="s">
        <v>3947</v>
      </c>
      <c r="R236" s="177" t="s">
        <v>2723</v>
      </c>
      <c r="S236" s="354"/>
      <c r="T236" s="173"/>
      <c r="U236" s="173"/>
      <c r="V236" s="173" t="s">
        <v>2330</v>
      </c>
      <c r="W236" s="313" t="s">
        <v>184</v>
      </c>
      <c r="X236" s="645" t="s">
        <v>12312</v>
      </c>
      <c r="Y236" s="354"/>
      <c r="Z236" s="176"/>
      <c r="AA236" s="176"/>
      <c r="AB236" s="32">
        <f t="shared" ca="1" si="4"/>
        <v>0.51694413071250844</v>
      </c>
      <c r="AC236" s="812"/>
      <c r="AD236" s="763" t="s">
        <v>16848</v>
      </c>
      <c r="AE236" s="807"/>
      <c r="AF236" s="921">
        <f>IF(X236=X235,AF235,0)+IF(ISNUMBER(I236),IF(I236&lt;1,I236,I236*VLOOKUP(J236,Summary!$H$2:$I$9,2)),VLOOKUP(J236,Summary!$J$2:$K$9,2)*IF(ISNUMBER(H236),H236,1))</f>
        <v>0.94429398148148147</v>
      </c>
      <c r="AG236" s="289">
        <v>235</v>
      </c>
      <c r="AH236" s="94"/>
      <c r="AI236" s="94"/>
    </row>
    <row r="237" spans="1:35" s="3" customFormat="1" ht="12" customHeight="1" x14ac:dyDescent="0.25">
      <c r="A237" s="418" t="s">
        <v>14569</v>
      </c>
      <c r="B237" s="418">
        <v>1</v>
      </c>
      <c r="C237" s="419">
        <v>0.32</v>
      </c>
      <c r="D237" s="192" t="s">
        <v>13143</v>
      </c>
      <c r="E237" s="317" t="s">
        <v>12615</v>
      </c>
      <c r="F237" s="209">
        <v>42990</v>
      </c>
      <c r="G237" s="191"/>
      <c r="H237" s="192" t="s">
        <v>461</v>
      </c>
      <c r="I237" s="753"/>
      <c r="J237" s="903" t="s">
        <v>2755</v>
      </c>
      <c r="K237" s="194" t="s">
        <v>12616</v>
      </c>
      <c r="L237" s="194" t="s">
        <v>3365</v>
      </c>
      <c r="M237" s="194" t="s">
        <v>9290</v>
      </c>
      <c r="N237" s="194"/>
      <c r="O237" s="194"/>
      <c r="P237" s="190" t="s">
        <v>461</v>
      </c>
      <c r="Q237" s="194" t="s">
        <v>3947</v>
      </c>
      <c r="R237" s="193" t="s">
        <v>2722</v>
      </c>
      <c r="S237" s="357"/>
      <c r="T237" s="190"/>
      <c r="U237" s="190"/>
      <c r="V237" s="190" t="s">
        <v>2330</v>
      </c>
      <c r="W237" s="317" t="s">
        <v>12615</v>
      </c>
      <c r="X237" s="649" t="s">
        <v>12312</v>
      </c>
      <c r="Y237" s="357"/>
      <c r="Z237" s="353"/>
      <c r="AA237" s="353"/>
      <c r="AB237" s="37">
        <f t="shared" ca="1" si="4"/>
        <v>0.9109467208988703</v>
      </c>
      <c r="AC237" s="816"/>
      <c r="AD237" s="817"/>
      <c r="AE237" s="943"/>
      <c r="AF237" s="924">
        <f>IF(X237=X236,AF236,0)+IF(ISNUMBER(I237),IF(I237&lt;1,I237,I237*VLOOKUP(J237,Summary!$H$2:$I$9,2)),VLOOKUP(J237,Summary!$J$2:$K$9,2)*IF(ISNUMBER(H237),H237,1))</f>
        <v>0.96165509259259263</v>
      </c>
      <c r="AG237" s="292">
        <v>236</v>
      </c>
      <c r="AH237" s="94"/>
      <c r="AI237" s="94"/>
    </row>
    <row r="238" spans="1:35" s="22" customFormat="1" ht="12" customHeight="1" x14ac:dyDescent="0.25">
      <c r="A238" s="413" t="s">
        <v>14569</v>
      </c>
      <c r="B238" s="413">
        <v>1</v>
      </c>
      <c r="C238" s="413">
        <v>30.07</v>
      </c>
      <c r="D238" s="176" t="s">
        <v>5362</v>
      </c>
      <c r="E238" s="313" t="s">
        <v>5373</v>
      </c>
      <c r="F238" s="174">
        <v>39783</v>
      </c>
      <c r="G238" s="174"/>
      <c r="H238" s="176" t="s">
        <v>461</v>
      </c>
      <c r="I238" s="176">
        <v>14</v>
      </c>
      <c r="J238" s="900" t="s">
        <v>2755</v>
      </c>
      <c r="K238" s="164" t="s">
        <v>5664</v>
      </c>
      <c r="L238" s="164" t="s">
        <v>461</v>
      </c>
      <c r="M238" s="164"/>
      <c r="N238" s="164" t="s">
        <v>4944</v>
      </c>
      <c r="O238" s="164"/>
      <c r="P238" s="173" t="s">
        <v>6702</v>
      </c>
      <c r="Q238" s="164" t="s">
        <v>3947</v>
      </c>
      <c r="R238" s="177" t="s">
        <v>2723</v>
      </c>
      <c r="S238" s="354"/>
      <c r="T238" s="173"/>
      <c r="U238" s="173">
        <v>5</v>
      </c>
      <c r="V238" s="173" t="s">
        <v>2330</v>
      </c>
      <c r="W238" s="313" t="s">
        <v>5373</v>
      </c>
      <c r="X238" s="645" t="s">
        <v>12312</v>
      </c>
      <c r="Y238" s="354"/>
      <c r="Z238" s="176"/>
      <c r="AA238" s="176"/>
      <c r="AB238" s="32">
        <f t="shared" ca="1" si="4"/>
        <v>0.12708692665767707</v>
      </c>
      <c r="AC238" s="812"/>
      <c r="AD238" s="763" t="s">
        <v>16849</v>
      </c>
      <c r="AE238" s="807"/>
      <c r="AF238" s="921">
        <f>IF(X238=X237,AF237,0)+IF(ISNUMBER(I238),IF(I238&lt;1,I238,I238*VLOOKUP(J238,Summary!$H$2:$I$9,2)),VLOOKUP(J238,Summary!$J$2:$K$9,2)*IF(ISNUMBER(H238),H238,1))</f>
        <v>0.97137731481481482</v>
      </c>
      <c r="AG238" s="289">
        <v>237</v>
      </c>
      <c r="AH238" s="94"/>
      <c r="AI238" s="94"/>
    </row>
    <row r="239" spans="1:35" s="1" customFormat="1" ht="12" customHeight="1" x14ac:dyDescent="0.25">
      <c r="A239" s="413" t="s">
        <v>14569</v>
      </c>
      <c r="B239" s="413">
        <v>1</v>
      </c>
      <c r="C239" s="414">
        <v>30.2</v>
      </c>
      <c r="D239" s="176" t="s">
        <v>4942</v>
      </c>
      <c r="E239" s="313" t="s">
        <v>4943</v>
      </c>
      <c r="F239" s="174">
        <v>39783</v>
      </c>
      <c r="G239" s="174"/>
      <c r="H239" s="176" t="s">
        <v>461</v>
      </c>
      <c r="I239" s="176">
        <v>11</v>
      </c>
      <c r="J239" s="900" t="s">
        <v>2755</v>
      </c>
      <c r="K239" s="164" t="s">
        <v>7800</v>
      </c>
      <c r="L239" s="164" t="s">
        <v>461</v>
      </c>
      <c r="M239" s="164"/>
      <c r="N239" s="164" t="s">
        <v>4944</v>
      </c>
      <c r="O239" s="164"/>
      <c r="P239" s="173" t="s">
        <v>6702</v>
      </c>
      <c r="Q239" s="164" t="s">
        <v>3947</v>
      </c>
      <c r="R239" s="177" t="s">
        <v>2723</v>
      </c>
      <c r="S239" s="354"/>
      <c r="T239" s="173"/>
      <c r="U239" s="173"/>
      <c r="V239" s="173" t="s">
        <v>2330</v>
      </c>
      <c r="W239" s="313" t="s">
        <v>4943</v>
      </c>
      <c r="X239" s="645" t="s">
        <v>12312</v>
      </c>
      <c r="Y239" s="354"/>
      <c r="Z239" s="176"/>
      <c r="AA239" s="176"/>
      <c r="AB239" s="32">
        <f t="shared" ca="1" si="4"/>
        <v>0.78156810546124</v>
      </c>
      <c r="AC239" s="812"/>
      <c r="AD239" s="763" t="s">
        <v>15869</v>
      </c>
      <c r="AE239" s="807"/>
      <c r="AF239" s="921">
        <f>IF(X239=X238,AF238,0)+IF(ISNUMBER(I239),IF(I239&lt;1,I239,I239*VLOOKUP(J239,Summary!$H$2:$I$9,2)),VLOOKUP(J239,Summary!$J$2:$K$9,2)*IF(ISNUMBER(H239),H239,1))</f>
        <v>0.97901620370370368</v>
      </c>
      <c r="AG239" s="289">
        <v>238</v>
      </c>
      <c r="AH239" s="94"/>
      <c r="AI239" s="94"/>
    </row>
    <row r="240" spans="1:35" s="2" customFormat="1" ht="12" customHeight="1" x14ac:dyDescent="0.25">
      <c r="A240" s="418" t="s">
        <v>14569</v>
      </c>
      <c r="B240" s="418">
        <v>1</v>
      </c>
      <c r="C240" s="419">
        <v>7.12</v>
      </c>
      <c r="D240" s="192" t="s">
        <v>15289</v>
      </c>
      <c r="E240" s="317" t="s">
        <v>12617</v>
      </c>
      <c r="F240" s="209">
        <v>43091</v>
      </c>
      <c r="G240" s="191"/>
      <c r="H240" s="192">
        <v>1</v>
      </c>
      <c r="I240" s="753">
        <f>TIME(0,43,26)</f>
        <v>3.0162037037037032E-2</v>
      </c>
      <c r="J240" s="903" t="s">
        <v>2755</v>
      </c>
      <c r="K240" s="194" t="s">
        <v>3430</v>
      </c>
      <c r="L240" s="194" t="s">
        <v>5662</v>
      </c>
      <c r="M240" s="194" t="s">
        <v>7564</v>
      </c>
      <c r="N240" s="194"/>
      <c r="O240" s="194"/>
      <c r="P240" s="190" t="s">
        <v>12618</v>
      </c>
      <c r="Q240" s="194" t="s">
        <v>3947</v>
      </c>
      <c r="R240" s="193" t="s">
        <v>2722</v>
      </c>
      <c r="S240" s="357"/>
      <c r="T240" s="190"/>
      <c r="U240" s="190"/>
      <c r="V240" s="190" t="s">
        <v>2330</v>
      </c>
      <c r="W240" s="317" t="s">
        <v>12617</v>
      </c>
      <c r="X240" s="649" t="s">
        <v>12312</v>
      </c>
      <c r="Y240" s="357" t="s">
        <v>5643</v>
      </c>
      <c r="Z240" s="353"/>
      <c r="AA240" s="353"/>
      <c r="AB240" s="37">
        <f t="shared" ca="1" si="4"/>
        <v>0.21744729121914808</v>
      </c>
      <c r="AC240" s="816"/>
      <c r="AD240" s="817" t="s">
        <v>16850</v>
      </c>
      <c r="AE240" s="943"/>
      <c r="AF240" s="924">
        <f>IF(X240=X239,AF239,0)+IF(ISNUMBER(I240),IF(I240&lt;1,I240,I240*VLOOKUP(J240,Summary!$H$2:$I$9,2)),VLOOKUP(J240,Summary!$J$2:$K$9,2)*IF(ISNUMBER(H240),H240,1))</f>
        <v>1.0091782407407408</v>
      </c>
      <c r="AG240" s="292">
        <v>239</v>
      </c>
      <c r="AH240" s="94"/>
      <c r="AI240" s="94"/>
    </row>
    <row r="241" spans="1:35" s="22" customFormat="1" ht="12" customHeight="1" x14ac:dyDescent="0.2">
      <c r="A241" s="425" t="s">
        <v>14569</v>
      </c>
      <c r="B241" s="425">
        <v>1</v>
      </c>
      <c r="C241" s="425">
        <v>22</v>
      </c>
      <c r="D241" s="426" t="s">
        <v>5402</v>
      </c>
      <c r="E241" s="427" t="s">
        <v>10349</v>
      </c>
      <c r="F241" s="203">
        <v>24143</v>
      </c>
      <c r="G241" s="203">
        <v>24164</v>
      </c>
      <c r="H241" s="204">
        <v>4</v>
      </c>
      <c r="I241" s="791">
        <f>TIME(0,24,41)+TIME(0,24,43)+TIME(0,24,33)+TIME(0,25, 6)</f>
        <v>6.8784722222222219E-2</v>
      </c>
      <c r="J241" s="905" t="s">
        <v>1588</v>
      </c>
      <c r="K241" s="205" t="s">
        <v>5403</v>
      </c>
      <c r="L241" s="205" t="s">
        <v>5404</v>
      </c>
      <c r="M241" s="205"/>
      <c r="N241" s="205" t="s">
        <v>5405</v>
      </c>
      <c r="O241" s="205" t="s">
        <v>1742</v>
      </c>
      <c r="P241" s="202" t="s">
        <v>461</v>
      </c>
      <c r="Q241" s="205" t="s">
        <v>3946</v>
      </c>
      <c r="R241" s="206" t="s">
        <v>5280</v>
      </c>
      <c r="S241" s="391" t="s">
        <v>2602</v>
      </c>
      <c r="T241" s="202"/>
      <c r="U241" s="202"/>
      <c r="V241" s="202" t="s">
        <v>2330</v>
      </c>
      <c r="W241" s="320" t="s">
        <v>9599</v>
      </c>
      <c r="X241" s="652" t="s">
        <v>12312</v>
      </c>
      <c r="Y241" s="359" t="s">
        <v>14264</v>
      </c>
      <c r="Z241" s="253">
        <v>89</v>
      </c>
      <c r="AA241" s="360">
        <v>7</v>
      </c>
      <c r="AB241" s="36">
        <f t="shared" ca="1" si="4"/>
        <v>0.89333127813127766</v>
      </c>
      <c r="AC241" s="822"/>
      <c r="AD241" s="823" t="s">
        <v>16533</v>
      </c>
      <c r="AE241" s="947" t="s">
        <v>9592</v>
      </c>
      <c r="AF241" s="926">
        <f>IF(X241=X240,AF240,0)+IF(ISNUMBER(I241),IF(I241&lt;1,I241,I241*VLOOKUP(J241,Summary!$H$2:$I$9,2)),VLOOKUP(J241,Summary!$J$2:$K$9,2)*IF(ISNUMBER(H241),H241,1))</f>
        <v>1.077962962962963</v>
      </c>
      <c r="AG241" s="294">
        <v>240</v>
      </c>
      <c r="AH241" s="94"/>
      <c r="AI241" s="94"/>
    </row>
    <row r="242" spans="1:35" s="3" customFormat="1" ht="12" customHeight="1" x14ac:dyDescent="0.25">
      <c r="A242" s="413" t="s">
        <v>14571</v>
      </c>
      <c r="B242" s="413">
        <v>1</v>
      </c>
      <c r="C242" s="413">
        <v>33</v>
      </c>
      <c r="D242" s="176" t="s">
        <v>2560</v>
      </c>
      <c r="E242" s="313" t="s">
        <v>2561</v>
      </c>
      <c r="F242" s="175">
        <v>34521</v>
      </c>
      <c r="G242" s="175"/>
      <c r="H242" s="176">
        <v>1</v>
      </c>
      <c r="I242" s="176">
        <v>1</v>
      </c>
      <c r="J242" s="900" t="s">
        <v>2755</v>
      </c>
      <c r="K242" s="164" t="s">
        <v>2562</v>
      </c>
      <c r="L242" s="164" t="s">
        <v>461</v>
      </c>
      <c r="M242" s="164"/>
      <c r="N242" s="164" t="s">
        <v>7375</v>
      </c>
      <c r="O242" s="164"/>
      <c r="P242" s="173" t="s">
        <v>461</v>
      </c>
      <c r="Q242" s="164" t="s">
        <v>4062</v>
      </c>
      <c r="R242" s="177" t="s">
        <v>4599</v>
      </c>
      <c r="S242" s="354"/>
      <c r="T242" s="173"/>
      <c r="U242" s="173"/>
      <c r="V242" s="173"/>
      <c r="W242" s="313" t="s">
        <v>2561</v>
      </c>
      <c r="X242" s="645" t="s">
        <v>12312</v>
      </c>
      <c r="Y242" s="354" t="s">
        <v>5464</v>
      </c>
      <c r="Z242" s="176">
        <v>999</v>
      </c>
      <c r="AA242" s="176"/>
      <c r="AB242" s="32">
        <f t="shared" ca="1" si="4"/>
        <v>0.7571246418014399</v>
      </c>
      <c r="AC242" s="812"/>
      <c r="AD242" s="763"/>
      <c r="AE242" s="807"/>
      <c r="AF242" s="921">
        <f>IF(X242=X241,AF241,0)+IF(ISNUMBER(I242),IF(I242&lt;1,I242,I242*VLOOKUP(J242,Summary!$H$2:$I$9,2)),VLOOKUP(J242,Summary!$J$2:$K$9,2)*IF(ISNUMBER(H242),H242,1))</f>
        <v>1.0786574074074076</v>
      </c>
      <c r="AG242" s="289">
        <v>241</v>
      </c>
      <c r="AH242" s="94"/>
      <c r="AI242" s="94"/>
    </row>
    <row r="243" spans="1:35" s="1" customFormat="1" ht="12" customHeight="1" x14ac:dyDescent="0.25">
      <c r="A243" s="413" t="s">
        <v>14571</v>
      </c>
      <c r="B243" s="413">
        <v>1</v>
      </c>
      <c r="C243" s="413">
        <v>6</v>
      </c>
      <c r="D243" s="176" t="s">
        <v>12585</v>
      </c>
      <c r="E243" s="313" t="s">
        <v>12586</v>
      </c>
      <c r="F243" s="175">
        <v>42915</v>
      </c>
      <c r="G243" s="174"/>
      <c r="H243" s="176" t="s">
        <v>461</v>
      </c>
      <c r="I243" s="176"/>
      <c r="J243" s="900" t="s">
        <v>2755</v>
      </c>
      <c r="K243" s="164" t="s">
        <v>2675</v>
      </c>
      <c r="L243" s="164" t="s">
        <v>3551</v>
      </c>
      <c r="M243" s="164"/>
      <c r="N243" s="164"/>
      <c r="O243" s="164"/>
      <c r="P243" s="173" t="s">
        <v>12587</v>
      </c>
      <c r="Q243" s="164" t="s">
        <v>3953</v>
      </c>
      <c r="R243" s="177" t="s">
        <v>12588</v>
      </c>
      <c r="S243" s="354"/>
      <c r="T243" s="173"/>
      <c r="U243" s="173"/>
      <c r="V243" s="173"/>
      <c r="W243" s="313" t="s">
        <v>12586</v>
      </c>
      <c r="X243" s="645" t="s">
        <v>12312</v>
      </c>
      <c r="Y243" s="354"/>
      <c r="Z243" s="176"/>
      <c r="AA243" s="176"/>
      <c r="AB243" s="32">
        <f t="shared" ca="1" si="4"/>
        <v>0.51840300108985859</v>
      </c>
      <c r="AC243" s="812"/>
      <c r="AD243" s="763"/>
      <c r="AE243" s="807"/>
      <c r="AF243" s="921">
        <f>IF(X243=X242,AF242,0)+IF(ISNUMBER(I243),IF(I243&lt;1,I243,I243*VLOOKUP(J243,Summary!$H$2:$I$9,2)),VLOOKUP(J243,Summary!$J$2:$K$9,2)*IF(ISNUMBER(H243),H243,1))</f>
        <v>1.0960185185185187</v>
      </c>
      <c r="AG243" s="289">
        <v>242</v>
      </c>
      <c r="AH243" s="94"/>
      <c r="AI243" s="94"/>
    </row>
    <row r="244" spans="1:35" s="1" customFormat="1" ht="12" customHeight="1" x14ac:dyDescent="0.25">
      <c r="A244" s="413" t="s">
        <v>14571</v>
      </c>
      <c r="B244" s="413">
        <v>1</v>
      </c>
      <c r="C244" s="413"/>
      <c r="D244" s="176" t="s">
        <v>1701</v>
      </c>
      <c r="E244" s="313" t="s">
        <v>2284</v>
      </c>
      <c r="F244" s="174">
        <v>23986</v>
      </c>
      <c r="G244" s="174"/>
      <c r="H244" s="176" t="s">
        <v>461</v>
      </c>
      <c r="I244" s="176">
        <v>14</v>
      </c>
      <c r="J244" s="900" t="s">
        <v>2755</v>
      </c>
      <c r="K244" s="164" t="s">
        <v>5784</v>
      </c>
      <c r="L244" s="164" t="s">
        <v>5785</v>
      </c>
      <c r="M244" s="164"/>
      <c r="N244" s="164"/>
      <c r="O244" s="164"/>
      <c r="P244" s="173" t="s">
        <v>461</v>
      </c>
      <c r="Q244" s="164" t="s">
        <v>4705</v>
      </c>
      <c r="R244" s="177" t="s">
        <v>4600</v>
      </c>
      <c r="S244" s="354"/>
      <c r="T244" s="173"/>
      <c r="U244" s="173"/>
      <c r="V244" s="173"/>
      <c r="W244" s="313" t="s">
        <v>2284</v>
      </c>
      <c r="X244" s="645" t="s">
        <v>12312</v>
      </c>
      <c r="Y244" s="354" t="s">
        <v>6000</v>
      </c>
      <c r="Z244" s="176">
        <v>999</v>
      </c>
      <c r="AA244" s="176"/>
      <c r="AB244" s="32">
        <f t="shared" ca="1" si="4"/>
        <v>0.64762546027044043</v>
      </c>
      <c r="AC244" s="812"/>
      <c r="AD244" s="763"/>
      <c r="AE244" s="807"/>
      <c r="AF244" s="921">
        <f>IF(X244=X243,AF243,0)+IF(ISNUMBER(I244),IF(I244&lt;1,I244,I244*VLOOKUP(J244,Summary!$H$2:$I$9,2)),VLOOKUP(J244,Summary!$J$2:$K$9,2)*IF(ISNUMBER(H244),H244,1))</f>
        <v>1.1057407407407409</v>
      </c>
      <c r="AG244" s="289">
        <v>243</v>
      </c>
      <c r="AH244" s="94"/>
      <c r="AI244" s="94"/>
    </row>
    <row r="245" spans="1:35" s="22" customFormat="1" ht="12" customHeight="1" x14ac:dyDescent="0.25">
      <c r="A245" s="413" t="s">
        <v>14571</v>
      </c>
      <c r="B245" s="413">
        <v>1</v>
      </c>
      <c r="C245" s="413"/>
      <c r="D245" s="176" t="s">
        <v>1701</v>
      </c>
      <c r="E245" s="313" t="s">
        <v>2285</v>
      </c>
      <c r="F245" s="174">
        <v>23986</v>
      </c>
      <c r="G245" s="174"/>
      <c r="H245" s="176" t="s">
        <v>461</v>
      </c>
      <c r="I245" s="176">
        <v>12</v>
      </c>
      <c r="J245" s="900" t="s">
        <v>2755</v>
      </c>
      <c r="K245" s="164" t="s">
        <v>5784</v>
      </c>
      <c r="L245" s="164" t="s">
        <v>5785</v>
      </c>
      <c r="M245" s="164"/>
      <c r="N245" s="164"/>
      <c r="O245" s="164"/>
      <c r="P245" s="173" t="s">
        <v>461</v>
      </c>
      <c r="Q245" s="164" t="s">
        <v>4705</v>
      </c>
      <c r="R245" s="177" t="s">
        <v>4600</v>
      </c>
      <c r="S245" s="354"/>
      <c r="T245" s="173"/>
      <c r="U245" s="173"/>
      <c r="V245" s="173"/>
      <c r="W245" s="313" t="s">
        <v>2285</v>
      </c>
      <c r="X245" s="645" t="s">
        <v>12312</v>
      </c>
      <c r="Y245" s="354" t="s">
        <v>6000</v>
      </c>
      <c r="Z245" s="176">
        <v>999</v>
      </c>
      <c r="AA245" s="176"/>
      <c r="AB245" s="32">
        <f t="shared" ca="1" si="4"/>
        <v>0.18903402013933324</v>
      </c>
      <c r="AC245" s="812"/>
      <c r="AD245" s="763"/>
      <c r="AE245" s="807"/>
      <c r="AF245" s="921">
        <f>IF(X245=X244,AF244,0)+IF(ISNUMBER(I245),IF(I245&lt;1,I245,I245*VLOOKUP(J245,Summary!$H$2:$I$9,2)),VLOOKUP(J245,Summary!$J$2:$K$9,2)*IF(ISNUMBER(H245),H245,1))</f>
        <v>1.1140740740740742</v>
      </c>
      <c r="AG245" s="289">
        <v>244</v>
      </c>
      <c r="AH245" s="94"/>
      <c r="AI245" s="94"/>
    </row>
    <row r="246" spans="1:35" s="22" customFormat="1" ht="12" customHeight="1" x14ac:dyDescent="0.25">
      <c r="A246" s="413" t="s">
        <v>14571</v>
      </c>
      <c r="B246" s="413">
        <v>1</v>
      </c>
      <c r="C246" s="413"/>
      <c r="D246" s="176" t="s">
        <v>1701</v>
      </c>
      <c r="E246" s="313" t="s">
        <v>2281</v>
      </c>
      <c r="F246" s="174">
        <v>23986</v>
      </c>
      <c r="G246" s="174"/>
      <c r="H246" s="176" t="s">
        <v>461</v>
      </c>
      <c r="I246" s="176">
        <v>13</v>
      </c>
      <c r="J246" s="900" t="s">
        <v>2755</v>
      </c>
      <c r="K246" s="164" t="s">
        <v>5784</v>
      </c>
      <c r="L246" s="164" t="s">
        <v>5785</v>
      </c>
      <c r="M246" s="164"/>
      <c r="N246" s="164"/>
      <c r="O246" s="164"/>
      <c r="P246" s="173" t="s">
        <v>461</v>
      </c>
      <c r="Q246" s="164" t="s">
        <v>4705</v>
      </c>
      <c r="R246" s="177" t="s">
        <v>4600</v>
      </c>
      <c r="S246" s="354"/>
      <c r="T246" s="173"/>
      <c r="U246" s="173"/>
      <c r="V246" s="173"/>
      <c r="W246" s="313" t="s">
        <v>2281</v>
      </c>
      <c r="X246" s="645" t="s">
        <v>12312</v>
      </c>
      <c r="Y246" s="354" t="s">
        <v>6000</v>
      </c>
      <c r="Z246" s="176">
        <v>999</v>
      </c>
      <c r="AA246" s="176"/>
      <c r="AB246" s="32">
        <f t="shared" ca="1" si="4"/>
        <v>0.3304523423974407</v>
      </c>
      <c r="AC246" s="812"/>
      <c r="AD246" s="763"/>
      <c r="AE246" s="807"/>
      <c r="AF246" s="921">
        <f>IF(X246=X245,AF245,0)+IF(ISNUMBER(I246),IF(I246&lt;1,I246,I246*VLOOKUP(J246,Summary!$H$2:$I$9,2)),VLOOKUP(J246,Summary!$J$2:$K$9,2)*IF(ISNUMBER(H246),H246,1))</f>
        <v>1.1231018518518521</v>
      </c>
      <c r="AG246" s="289">
        <v>245</v>
      </c>
      <c r="AH246" s="94"/>
      <c r="AI246" s="94"/>
    </row>
    <row r="247" spans="1:35" s="22" customFormat="1" ht="12" customHeight="1" x14ac:dyDescent="0.2">
      <c r="A247" s="421" t="s">
        <v>14571</v>
      </c>
      <c r="B247" s="421">
        <v>1</v>
      </c>
      <c r="C247" s="421">
        <v>1</v>
      </c>
      <c r="D247" s="185" t="s">
        <v>6640</v>
      </c>
      <c r="E247" s="314" t="s">
        <v>6641</v>
      </c>
      <c r="F247" s="184">
        <v>23695</v>
      </c>
      <c r="G247" s="184">
        <v>23758</v>
      </c>
      <c r="H247" s="185">
        <v>10</v>
      </c>
      <c r="I247" s="185">
        <v>20</v>
      </c>
      <c r="J247" s="901" t="s">
        <v>1796</v>
      </c>
      <c r="K247" s="163" t="s">
        <v>6642</v>
      </c>
      <c r="L247" s="163" t="s">
        <v>6643</v>
      </c>
      <c r="M247" s="163"/>
      <c r="N247" s="163" t="s">
        <v>2503</v>
      </c>
      <c r="O247" s="163"/>
      <c r="P247" s="182" t="s">
        <v>461</v>
      </c>
      <c r="Q247" s="163" t="s">
        <v>1797</v>
      </c>
      <c r="R247" s="186" t="s">
        <v>4601</v>
      </c>
      <c r="S247" s="355"/>
      <c r="T247" s="182" t="s">
        <v>2751</v>
      </c>
      <c r="U247" s="182" t="s">
        <v>2752</v>
      </c>
      <c r="V247" s="182"/>
      <c r="W247" s="314"/>
      <c r="X247" s="646" t="s">
        <v>12312</v>
      </c>
      <c r="Y247" s="355"/>
      <c r="Z247" s="185"/>
      <c r="AA247" s="185"/>
      <c r="AB247" s="33">
        <f t="shared" ca="1" si="4"/>
        <v>0.46749617176085967</v>
      </c>
      <c r="AC247" s="813"/>
      <c r="AD247" s="211"/>
      <c r="AE247" s="875"/>
      <c r="AF247" s="922">
        <f>IF(X247=X246,AF246,0)+IF(ISNUMBER(I247),IF(I247&lt;1,I247,I247*VLOOKUP(J247,Summary!$H$2:$I$9,2)),VLOOKUP(J247,Summary!$J$2:$K$9,2)*IF(ISNUMBER(H247),H247,1))</f>
        <v>1.1300462962962965</v>
      </c>
      <c r="AG247" s="290">
        <v>246</v>
      </c>
      <c r="AH247" s="94"/>
      <c r="AI247" s="94"/>
    </row>
    <row r="248" spans="1:35" s="22" customFormat="1" ht="12" customHeight="1" x14ac:dyDescent="0.2">
      <c r="A248" s="421" t="s">
        <v>14571</v>
      </c>
      <c r="B248" s="421">
        <v>1</v>
      </c>
      <c r="C248" s="421">
        <v>2</v>
      </c>
      <c r="D248" s="185" t="s">
        <v>6644</v>
      </c>
      <c r="E248" s="314" t="s">
        <v>7746</v>
      </c>
      <c r="F248" s="184">
        <v>23765</v>
      </c>
      <c r="G248" s="184">
        <v>23800</v>
      </c>
      <c r="H248" s="185">
        <v>6</v>
      </c>
      <c r="I248" s="185">
        <v>12</v>
      </c>
      <c r="J248" s="901" t="s">
        <v>1796</v>
      </c>
      <c r="K248" s="163" t="s">
        <v>6642</v>
      </c>
      <c r="L248" s="163" t="s">
        <v>6643</v>
      </c>
      <c r="M248" s="163"/>
      <c r="N248" s="163" t="s">
        <v>2503</v>
      </c>
      <c r="O248" s="163"/>
      <c r="P248" s="182" t="s">
        <v>461</v>
      </c>
      <c r="Q248" s="163" t="s">
        <v>1797</v>
      </c>
      <c r="R248" s="186" t="s">
        <v>4601</v>
      </c>
      <c r="S248" s="355"/>
      <c r="T248" s="182" t="s">
        <v>2751</v>
      </c>
      <c r="U248" s="182" t="s">
        <v>2752</v>
      </c>
      <c r="V248" s="182"/>
      <c r="W248" s="314"/>
      <c r="X248" s="646" t="s">
        <v>12312</v>
      </c>
      <c r="Y248" s="355"/>
      <c r="Z248" s="185"/>
      <c r="AA248" s="185"/>
      <c r="AB248" s="33">
        <f t="shared" ca="1" si="4"/>
        <v>0.6620423054218767</v>
      </c>
      <c r="AC248" s="813"/>
      <c r="AD248" s="211"/>
      <c r="AE248" s="941"/>
      <c r="AF248" s="922">
        <f>IF(X248=X247,AF247,0)+IF(ISNUMBER(I248),IF(I248&lt;1,I248,I248*VLOOKUP(J248,Summary!$H$2:$I$9,2)),VLOOKUP(J248,Summary!$J$2:$K$9,2)*IF(ISNUMBER(H248),H248,1))</f>
        <v>1.1342129629629631</v>
      </c>
      <c r="AG248" s="290">
        <v>247</v>
      </c>
      <c r="AH248" s="94"/>
      <c r="AI248" s="94"/>
    </row>
    <row r="249" spans="1:35" s="3" customFormat="1" ht="12" customHeight="1" x14ac:dyDescent="0.25">
      <c r="A249" s="421" t="s">
        <v>14571</v>
      </c>
      <c r="B249" s="421">
        <v>1</v>
      </c>
      <c r="C249" s="421">
        <v>3</v>
      </c>
      <c r="D249" s="185" t="s">
        <v>7747</v>
      </c>
      <c r="E249" s="314" t="s">
        <v>1800</v>
      </c>
      <c r="F249" s="184">
        <v>23807</v>
      </c>
      <c r="G249" s="184">
        <v>23821</v>
      </c>
      <c r="H249" s="185">
        <v>3</v>
      </c>
      <c r="I249" s="185">
        <v>6</v>
      </c>
      <c r="J249" s="901" t="s">
        <v>1796</v>
      </c>
      <c r="K249" s="163" t="s">
        <v>6642</v>
      </c>
      <c r="L249" s="163" t="s">
        <v>6643</v>
      </c>
      <c r="M249" s="163"/>
      <c r="N249" s="163" t="s">
        <v>2503</v>
      </c>
      <c r="O249" s="163"/>
      <c r="P249" s="182" t="s">
        <v>461</v>
      </c>
      <c r="Q249" s="163" t="s">
        <v>1797</v>
      </c>
      <c r="R249" s="186" t="s">
        <v>4601</v>
      </c>
      <c r="S249" s="355"/>
      <c r="T249" s="182" t="s">
        <v>2751</v>
      </c>
      <c r="U249" s="182" t="s">
        <v>2752</v>
      </c>
      <c r="V249" s="182"/>
      <c r="W249" s="314"/>
      <c r="X249" s="646" t="s">
        <v>12312</v>
      </c>
      <c r="Y249" s="355"/>
      <c r="Z249" s="185"/>
      <c r="AA249" s="185"/>
      <c r="AB249" s="33">
        <f t="shared" ca="1" si="4"/>
        <v>0.41077796614165785</v>
      </c>
      <c r="AC249" s="813"/>
      <c r="AD249" s="211"/>
      <c r="AE249" s="941"/>
      <c r="AF249" s="922">
        <f>IF(X249=X248,AF248,0)+IF(ISNUMBER(I249),IF(I249&lt;1,I249,I249*VLOOKUP(J249,Summary!$H$2:$I$9,2)),VLOOKUP(J249,Summary!$J$2:$K$9,2)*IF(ISNUMBER(H249),H249,1))</f>
        <v>1.1362962962962966</v>
      </c>
      <c r="AG249" s="290">
        <v>248</v>
      </c>
      <c r="AH249" s="94"/>
      <c r="AI249" s="94"/>
    </row>
    <row r="250" spans="1:35" s="3" customFormat="1" ht="12" customHeight="1" x14ac:dyDescent="0.25">
      <c r="A250" s="421" t="s">
        <v>14571</v>
      </c>
      <c r="B250" s="421">
        <v>1</v>
      </c>
      <c r="C250" s="421">
        <v>4</v>
      </c>
      <c r="D250" s="185" t="s">
        <v>1801</v>
      </c>
      <c r="E250" s="314" t="s">
        <v>1802</v>
      </c>
      <c r="F250" s="184">
        <v>23828</v>
      </c>
      <c r="G250" s="184">
        <v>23863</v>
      </c>
      <c r="H250" s="185">
        <v>6</v>
      </c>
      <c r="I250" s="185">
        <v>12</v>
      </c>
      <c r="J250" s="901" t="s">
        <v>1796</v>
      </c>
      <c r="K250" s="163" t="s">
        <v>6642</v>
      </c>
      <c r="L250" s="163" t="s">
        <v>6643</v>
      </c>
      <c r="M250" s="163"/>
      <c r="N250" s="163" t="s">
        <v>2503</v>
      </c>
      <c r="O250" s="163"/>
      <c r="P250" s="182" t="s">
        <v>461</v>
      </c>
      <c r="Q250" s="163" t="s">
        <v>1797</v>
      </c>
      <c r="R250" s="186" t="s">
        <v>4601</v>
      </c>
      <c r="S250" s="355"/>
      <c r="T250" s="182" t="s">
        <v>2751</v>
      </c>
      <c r="U250" s="182" t="s">
        <v>2752</v>
      </c>
      <c r="V250" s="182"/>
      <c r="W250" s="314"/>
      <c r="X250" s="646" t="s">
        <v>12312</v>
      </c>
      <c r="Y250" s="355"/>
      <c r="Z250" s="185"/>
      <c r="AA250" s="185"/>
      <c r="AB250" s="33">
        <f t="shared" ca="1" si="4"/>
        <v>0.23327586521827759</v>
      </c>
      <c r="AC250" s="813"/>
      <c r="AD250" s="211"/>
      <c r="AE250" s="941"/>
      <c r="AF250" s="922">
        <f>IF(X250=X249,AF249,0)+IF(ISNUMBER(I250),IF(I250&lt;1,I250,I250*VLOOKUP(J250,Summary!$H$2:$I$9,2)),VLOOKUP(J250,Summary!$J$2:$K$9,2)*IF(ISNUMBER(H250),H250,1))</f>
        <v>1.1404629629629632</v>
      </c>
      <c r="AG250" s="290">
        <v>249</v>
      </c>
      <c r="AH250" s="94"/>
      <c r="AI250" s="94"/>
    </row>
    <row r="251" spans="1:35" s="22" customFormat="1" ht="12" customHeight="1" x14ac:dyDescent="0.2">
      <c r="A251" s="421" t="s">
        <v>14571</v>
      </c>
      <c r="B251" s="421">
        <v>1</v>
      </c>
      <c r="C251" s="421">
        <v>5</v>
      </c>
      <c r="D251" s="185" t="s">
        <v>1712</v>
      </c>
      <c r="E251" s="314" t="s">
        <v>2076</v>
      </c>
      <c r="F251" s="184">
        <v>23870</v>
      </c>
      <c r="G251" s="184">
        <v>23905</v>
      </c>
      <c r="H251" s="185">
        <v>6</v>
      </c>
      <c r="I251" s="185">
        <v>12</v>
      </c>
      <c r="J251" s="901" t="s">
        <v>1796</v>
      </c>
      <c r="K251" s="163" t="s">
        <v>6642</v>
      </c>
      <c r="L251" s="163" t="s">
        <v>6643</v>
      </c>
      <c r="M251" s="163"/>
      <c r="N251" s="163" t="s">
        <v>2503</v>
      </c>
      <c r="O251" s="163"/>
      <c r="P251" s="182" t="s">
        <v>461</v>
      </c>
      <c r="Q251" s="163" t="s">
        <v>1797</v>
      </c>
      <c r="R251" s="186" t="s">
        <v>4601</v>
      </c>
      <c r="S251" s="355"/>
      <c r="T251" s="182" t="s">
        <v>2751</v>
      </c>
      <c r="U251" s="182" t="s">
        <v>2752</v>
      </c>
      <c r="V251" s="182"/>
      <c r="W251" s="314"/>
      <c r="X251" s="646" t="s">
        <v>12312</v>
      </c>
      <c r="Y251" s="355"/>
      <c r="Z251" s="185"/>
      <c r="AA251" s="185"/>
      <c r="AB251" s="33">
        <f t="shared" ca="1" si="4"/>
        <v>0.96524354692537861</v>
      </c>
      <c r="AC251" s="813"/>
      <c r="AD251" s="211"/>
      <c r="AE251" s="941"/>
      <c r="AF251" s="922">
        <f>IF(X251=X250,AF250,0)+IF(ISNUMBER(I251),IF(I251&lt;1,I251,I251*VLOOKUP(J251,Summary!$H$2:$I$9,2)),VLOOKUP(J251,Summary!$J$2:$K$9,2)*IF(ISNUMBER(H251),H251,1))</f>
        <v>1.1446296296296299</v>
      </c>
      <c r="AG251" s="290">
        <v>250</v>
      </c>
      <c r="AH251" s="94"/>
      <c r="AI251" s="94"/>
    </row>
    <row r="252" spans="1:35" s="1" customFormat="1" ht="12" customHeight="1" x14ac:dyDescent="0.25">
      <c r="A252" s="421" t="s">
        <v>14571</v>
      </c>
      <c r="B252" s="421">
        <v>1</v>
      </c>
      <c r="C252" s="421">
        <v>6</v>
      </c>
      <c r="D252" s="185" t="s">
        <v>2077</v>
      </c>
      <c r="E252" s="314" t="s">
        <v>2078</v>
      </c>
      <c r="F252" s="183">
        <v>23894</v>
      </c>
      <c r="G252" s="185"/>
      <c r="H252" s="185">
        <v>1</v>
      </c>
      <c r="I252" s="185">
        <v>4</v>
      </c>
      <c r="J252" s="901" t="s">
        <v>1796</v>
      </c>
      <c r="K252" s="163" t="s">
        <v>6642</v>
      </c>
      <c r="L252" s="163" t="s">
        <v>6643</v>
      </c>
      <c r="M252" s="163"/>
      <c r="N252" s="163" t="s">
        <v>2503</v>
      </c>
      <c r="O252" s="163"/>
      <c r="P252" s="182" t="s">
        <v>461</v>
      </c>
      <c r="Q252" s="163" t="s">
        <v>1797</v>
      </c>
      <c r="R252" s="186" t="s">
        <v>4601</v>
      </c>
      <c r="S252" s="355"/>
      <c r="T252" s="182" t="s">
        <v>2751</v>
      </c>
      <c r="U252" s="182" t="s">
        <v>2752</v>
      </c>
      <c r="V252" s="182"/>
      <c r="W252" s="314" t="s">
        <v>2078</v>
      </c>
      <c r="X252" s="646" t="s">
        <v>12312</v>
      </c>
      <c r="Y252" s="355"/>
      <c r="Z252" s="185"/>
      <c r="AA252" s="185"/>
      <c r="AB252" s="33">
        <f t="shared" ca="1" si="4"/>
        <v>0.10323020507671321</v>
      </c>
      <c r="AC252" s="813"/>
      <c r="AD252" s="211"/>
      <c r="AE252" s="941"/>
      <c r="AF252" s="922">
        <f>IF(X252=X251,AF251,0)+IF(ISNUMBER(I252),IF(I252&lt;1,I252,I252*VLOOKUP(J252,Summary!$H$2:$I$9,2)),VLOOKUP(J252,Summary!$J$2:$K$9,2)*IF(ISNUMBER(H252),H252,1))</f>
        <v>1.1460185185185188</v>
      </c>
      <c r="AG252" s="290">
        <v>251</v>
      </c>
      <c r="AH252" s="94"/>
      <c r="AI252" s="94"/>
    </row>
    <row r="253" spans="1:35" s="22" customFormat="1" ht="12" customHeight="1" x14ac:dyDescent="0.2">
      <c r="A253" s="421" t="s">
        <v>14571</v>
      </c>
      <c r="B253" s="421">
        <v>1</v>
      </c>
      <c r="C253" s="421">
        <v>7</v>
      </c>
      <c r="D253" s="185" t="s">
        <v>2079</v>
      </c>
      <c r="E253" s="314" t="s">
        <v>2080</v>
      </c>
      <c r="F253" s="184">
        <v>23912</v>
      </c>
      <c r="G253" s="184">
        <v>23940</v>
      </c>
      <c r="H253" s="185">
        <v>5</v>
      </c>
      <c r="I253" s="185">
        <v>10</v>
      </c>
      <c r="J253" s="901" t="s">
        <v>1796</v>
      </c>
      <c r="K253" s="163" t="s">
        <v>6642</v>
      </c>
      <c r="L253" s="163" t="s">
        <v>6643</v>
      </c>
      <c r="M253" s="163"/>
      <c r="N253" s="163" t="s">
        <v>2503</v>
      </c>
      <c r="O253" s="163"/>
      <c r="P253" s="182" t="s">
        <v>461</v>
      </c>
      <c r="Q253" s="163" t="s">
        <v>1797</v>
      </c>
      <c r="R253" s="186" t="s">
        <v>4601</v>
      </c>
      <c r="S253" s="355"/>
      <c r="T253" s="182" t="s">
        <v>2751</v>
      </c>
      <c r="U253" s="182" t="s">
        <v>2752</v>
      </c>
      <c r="V253" s="182"/>
      <c r="W253" s="314"/>
      <c r="X253" s="646" t="s">
        <v>12312</v>
      </c>
      <c r="Y253" s="355"/>
      <c r="Z253" s="185"/>
      <c r="AA253" s="185"/>
      <c r="AB253" s="33">
        <f t="shared" ca="1" si="4"/>
        <v>0.90266568929540225</v>
      </c>
      <c r="AC253" s="813"/>
      <c r="AD253" s="211"/>
      <c r="AE253" s="941"/>
      <c r="AF253" s="922">
        <f>IF(X253=X252,AF252,0)+IF(ISNUMBER(I253),IF(I253&lt;1,I253,I253*VLOOKUP(J253,Summary!$H$2:$I$9,2)),VLOOKUP(J253,Summary!$J$2:$K$9,2)*IF(ISNUMBER(H253),H253,1))</f>
        <v>1.1494907407407411</v>
      </c>
      <c r="AG253" s="290">
        <v>252</v>
      </c>
      <c r="AH253" s="94"/>
      <c r="AI253" s="94"/>
    </row>
    <row r="254" spans="1:35" s="22" customFormat="1" ht="12" customHeight="1" x14ac:dyDescent="0.2">
      <c r="A254" s="421" t="s">
        <v>14571</v>
      </c>
      <c r="B254" s="421">
        <v>1</v>
      </c>
      <c r="C254" s="421">
        <v>8</v>
      </c>
      <c r="D254" s="185" t="s">
        <v>2081</v>
      </c>
      <c r="E254" s="314" t="s">
        <v>2082</v>
      </c>
      <c r="F254" s="184">
        <v>23947</v>
      </c>
      <c r="G254" s="184">
        <v>23961</v>
      </c>
      <c r="H254" s="185">
        <v>3</v>
      </c>
      <c r="I254" s="185">
        <v>6</v>
      </c>
      <c r="J254" s="901" t="s">
        <v>1796</v>
      </c>
      <c r="K254" s="163" t="s">
        <v>6642</v>
      </c>
      <c r="L254" s="163" t="s">
        <v>6643</v>
      </c>
      <c r="M254" s="163"/>
      <c r="N254" s="163" t="s">
        <v>2503</v>
      </c>
      <c r="O254" s="163"/>
      <c r="P254" s="182" t="s">
        <v>461</v>
      </c>
      <c r="Q254" s="163" t="s">
        <v>1797</v>
      </c>
      <c r="R254" s="186" t="s">
        <v>4601</v>
      </c>
      <c r="S254" s="355"/>
      <c r="T254" s="182" t="s">
        <v>2751</v>
      </c>
      <c r="U254" s="182" t="s">
        <v>2752</v>
      </c>
      <c r="V254" s="182"/>
      <c r="W254" s="314"/>
      <c r="X254" s="646" t="s">
        <v>12312</v>
      </c>
      <c r="Y254" s="355"/>
      <c r="Z254" s="185"/>
      <c r="AA254" s="185"/>
      <c r="AB254" s="33">
        <f t="shared" ca="1" si="4"/>
        <v>3.4641427901324851E-2</v>
      </c>
      <c r="AC254" s="813"/>
      <c r="AD254" s="211"/>
      <c r="AE254" s="941"/>
      <c r="AF254" s="922">
        <f>IF(X254=X253,AF253,0)+IF(ISNUMBER(I254),IF(I254&lt;1,I254,I254*VLOOKUP(J254,Summary!$H$2:$I$9,2)),VLOOKUP(J254,Summary!$J$2:$K$9,2)*IF(ISNUMBER(H254),H254,1))</f>
        <v>1.1515740740740745</v>
      </c>
      <c r="AG254" s="290">
        <v>253</v>
      </c>
      <c r="AH254" s="94"/>
      <c r="AI254" s="94"/>
    </row>
    <row r="255" spans="1:35" s="22" customFormat="1" ht="12" customHeight="1" x14ac:dyDescent="0.2">
      <c r="A255" s="421" t="s">
        <v>14571</v>
      </c>
      <c r="B255" s="421">
        <v>1</v>
      </c>
      <c r="C255" s="421">
        <v>9</v>
      </c>
      <c r="D255" s="185" t="s">
        <v>2083</v>
      </c>
      <c r="E255" s="314" t="s">
        <v>2084</v>
      </c>
      <c r="F255" s="184">
        <v>23968</v>
      </c>
      <c r="G255" s="184">
        <v>23982</v>
      </c>
      <c r="H255" s="185">
        <v>3</v>
      </c>
      <c r="I255" s="185">
        <v>6</v>
      </c>
      <c r="J255" s="901" t="s">
        <v>1796</v>
      </c>
      <c r="K255" s="163" t="s">
        <v>6642</v>
      </c>
      <c r="L255" s="163" t="s">
        <v>6643</v>
      </c>
      <c r="M255" s="163"/>
      <c r="N255" s="163" t="s">
        <v>2503</v>
      </c>
      <c r="O255" s="163"/>
      <c r="P255" s="182" t="s">
        <v>461</v>
      </c>
      <c r="Q255" s="163" t="s">
        <v>1797</v>
      </c>
      <c r="R255" s="186" t="s">
        <v>4601</v>
      </c>
      <c r="S255" s="355"/>
      <c r="T255" s="182" t="s">
        <v>2751</v>
      </c>
      <c r="U255" s="182" t="s">
        <v>2752</v>
      </c>
      <c r="V255" s="182"/>
      <c r="W255" s="314"/>
      <c r="X255" s="646" t="s">
        <v>12312</v>
      </c>
      <c r="Y255" s="355"/>
      <c r="Z255" s="185"/>
      <c r="AA255" s="185"/>
      <c r="AB255" s="33">
        <f t="shared" ca="1" si="4"/>
        <v>0.11574932163031093</v>
      </c>
      <c r="AC255" s="813"/>
      <c r="AD255" s="211"/>
      <c r="AE255" s="941"/>
      <c r="AF255" s="922">
        <f>IF(X255=X254,AF254,0)+IF(ISNUMBER(I255),IF(I255&lt;1,I255,I255*VLOOKUP(J255,Summary!$H$2:$I$9,2)),VLOOKUP(J255,Summary!$J$2:$K$9,2)*IF(ISNUMBER(H255),H255,1))</f>
        <v>1.153657407407408</v>
      </c>
      <c r="AG255" s="290">
        <v>254</v>
      </c>
      <c r="AH255" s="94"/>
      <c r="AI255" s="94"/>
    </row>
    <row r="256" spans="1:35" s="22" customFormat="1" ht="12" customHeight="1" x14ac:dyDescent="0.2">
      <c r="A256" s="421" t="s">
        <v>14571</v>
      </c>
      <c r="B256" s="421">
        <v>1</v>
      </c>
      <c r="C256" s="421">
        <v>10</v>
      </c>
      <c r="D256" s="185" t="s">
        <v>2085</v>
      </c>
      <c r="E256" s="314" t="s">
        <v>2086</v>
      </c>
      <c r="F256" s="184">
        <v>23989</v>
      </c>
      <c r="G256" s="184">
        <v>24010</v>
      </c>
      <c r="H256" s="185">
        <v>4</v>
      </c>
      <c r="I256" s="185">
        <v>8</v>
      </c>
      <c r="J256" s="901" t="s">
        <v>1796</v>
      </c>
      <c r="K256" s="163" t="s">
        <v>6642</v>
      </c>
      <c r="L256" s="163" t="s">
        <v>6643</v>
      </c>
      <c r="M256" s="163"/>
      <c r="N256" s="163" t="s">
        <v>2503</v>
      </c>
      <c r="O256" s="163"/>
      <c r="P256" s="182" t="s">
        <v>461</v>
      </c>
      <c r="Q256" s="163" t="s">
        <v>1797</v>
      </c>
      <c r="R256" s="186" t="s">
        <v>4601</v>
      </c>
      <c r="S256" s="355"/>
      <c r="T256" s="182" t="s">
        <v>2751</v>
      </c>
      <c r="U256" s="182" t="s">
        <v>2752</v>
      </c>
      <c r="V256" s="182"/>
      <c r="W256" s="314"/>
      <c r="X256" s="646" t="s">
        <v>12312</v>
      </c>
      <c r="Y256" s="355"/>
      <c r="Z256" s="185"/>
      <c r="AA256" s="185"/>
      <c r="AB256" s="33">
        <f t="shared" ca="1" si="4"/>
        <v>0.34104300942446963</v>
      </c>
      <c r="AC256" s="813"/>
      <c r="AD256" s="211"/>
      <c r="AE256" s="941"/>
      <c r="AF256" s="922">
        <f>IF(X256=X255,AF255,0)+IF(ISNUMBER(I256),IF(I256&lt;1,I256,I256*VLOOKUP(J256,Summary!$H$2:$I$9,2)),VLOOKUP(J256,Summary!$J$2:$K$9,2)*IF(ISNUMBER(H256),H256,1))</f>
        <v>1.1564351851851857</v>
      </c>
      <c r="AG256" s="290">
        <v>255</v>
      </c>
      <c r="AH256" s="94"/>
      <c r="AI256" s="94"/>
    </row>
    <row r="257" spans="1:35" s="7" customFormat="1" ht="12" customHeight="1" x14ac:dyDescent="0.25">
      <c r="A257" s="421" t="s">
        <v>14571</v>
      </c>
      <c r="B257" s="421">
        <v>1</v>
      </c>
      <c r="C257" s="421">
        <v>11</v>
      </c>
      <c r="D257" s="185" t="s">
        <v>2087</v>
      </c>
      <c r="E257" s="314" t="s">
        <v>2088</v>
      </c>
      <c r="F257" s="184">
        <v>24017</v>
      </c>
      <c r="G257" s="184">
        <v>24038</v>
      </c>
      <c r="H257" s="185">
        <v>4</v>
      </c>
      <c r="I257" s="185">
        <v>8</v>
      </c>
      <c r="J257" s="901" t="s">
        <v>1796</v>
      </c>
      <c r="K257" s="163" t="s">
        <v>6642</v>
      </c>
      <c r="L257" s="163" t="s">
        <v>2089</v>
      </c>
      <c r="M257" s="163"/>
      <c r="N257" s="163" t="s">
        <v>2503</v>
      </c>
      <c r="O257" s="163"/>
      <c r="P257" s="182" t="s">
        <v>461</v>
      </c>
      <c r="Q257" s="163" t="s">
        <v>1797</v>
      </c>
      <c r="R257" s="186" t="s">
        <v>4601</v>
      </c>
      <c r="S257" s="355"/>
      <c r="T257" s="182" t="s">
        <v>2751</v>
      </c>
      <c r="U257" s="182" t="s">
        <v>2752</v>
      </c>
      <c r="V257" s="182"/>
      <c r="W257" s="314"/>
      <c r="X257" s="646" t="s">
        <v>12312</v>
      </c>
      <c r="Y257" s="355"/>
      <c r="Z257" s="185"/>
      <c r="AA257" s="185"/>
      <c r="AB257" s="33">
        <f t="shared" ca="1" si="4"/>
        <v>0.78798210886767117</v>
      </c>
      <c r="AC257" s="813"/>
      <c r="AD257" s="211"/>
      <c r="AE257" s="941"/>
      <c r="AF257" s="922">
        <f>IF(X257=X256,AF256,0)+IF(ISNUMBER(I257),IF(I257&lt;1,I257,I257*VLOOKUP(J257,Summary!$H$2:$I$9,2)),VLOOKUP(J257,Summary!$J$2:$K$9,2)*IF(ISNUMBER(H257),H257,1))</f>
        <v>1.1592129629629635</v>
      </c>
      <c r="AG257" s="290">
        <v>256</v>
      </c>
      <c r="AH257" s="94"/>
      <c r="AI257" s="94"/>
    </row>
    <row r="258" spans="1:35" s="1" customFormat="1" ht="12" customHeight="1" x14ac:dyDescent="0.25">
      <c r="A258" s="421" t="s">
        <v>14571</v>
      </c>
      <c r="B258" s="421">
        <v>1</v>
      </c>
      <c r="C258" s="421">
        <v>12</v>
      </c>
      <c r="D258" s="185" t="s">
        <v>2090</v>
      </c>
      <c r="E258" s="314" t="s">
        <v>2091</v>
      </c>
      <c r="F258" s="184">
        <v>24045</v>
      </c>
      <c r="G258" s="184">
        <v>24066</v>
      </c>
      <c r="H258" s="185">
        <v>4</v>
      </c>
      <c r="I258" s="185">
        <v>8</v>
      </c>
      <c r="J258" s="901" t="s">
        <v>1796</v>
      </c>
      <c r="K258" s="163" t="s">
        <v>6642</v>
      </c>
      <c r="L258" s="163" t="s">
        <v>2089</v>
      </c>
      <c r="M258" s="163"/>
      <c r="N258" s="163" t="s">
        <v>2503</v>
      </c>
      <c r="O258" s="163"/>
      <c r="P258" s="182" t="s">
        <v>461</v>
      </c>
      <c r="Q258" s="163" t="s">
        <v>1797</v>
      </c>
      <c r="R258" s="186" t="s">
        <v>4601</v>
      </c>
      <c r="S258" s="355"/>
      <c r="T258" s="182" t="s">
        <v>2751</v>
      </c>
      <c r="U258" s="182" t="s">
        <v>2752</v>
      </c>
      <c r="V258" s="182"/>
      <c r="W258" s="314"/>
      <c r="X258" s="646" t="s">
        <v>12312</v>
      </c>
      <c r="Y258" s="355"/>
      <c r="Z258" s="185"/>
      <c r="AA258" s="185"/>
      <c r="AB258" s="33">
        <f t="shared" ref="AB258:AB321" ca="1" si="5">RAND()</f>
        <v>0.30059445430726639</v>
      </c>
      <c r="AC258" s="813"/>
      <c r="AD258" s="211"/>
      <c r="AE258" s="941"/>
      <c r="AF258" s="922">
        <f>IF(X258=X257,AF257,0)+IF(ISNUMBER(I258),IF(I258&lt;1,I258,I258*VLOOKUP(J258,Summary!$H$2:$I$9,2)),VLOOKUP(J258,Summary!$J$2:$K$9,2)*IF(ISNUMBER(H258),H258,1))</f>
        <v>1.1619907407407413</v>
      </c>
      <c r="AG258" s="290">
        <v>257</v>
      </c>
      <c r="AH258" s="94"/>
      <c r="AI258" s="94"/>
    </row>
    <row r="259" spans="1:35" s="1" customFormat="1" ht="12" customHeight="1" x14ac:dyDescent="0.25">
      <c r="A259" s="421" t="s">
        <v>14571</v>
      </c>
      <c r="B259" s="421">
        <v>1</v>
      </c>
      <c r="C259" s="421">
        <v>13</v>
      </c>
      <c r="D259" s="185" t="s">
        <v>1989</v>
      </c>
      <c r="E259" s="314" t="s">
        <v>1990</v>
      </c>
      <c r="F259" s="184">
        <v>24073</v>
      </c>
      <c r="G259" s="184">
        <v>24094</v>
      </c>
      <c r="H259" s="185">
        <v>4</v>
      </c>
      <c r="I259" s="185">
        <v>8</v>
      </c>
      <c r="J259" s="901" t="s">
        <v>1796</v>
      </c>
      <c r="K259" s="163" t="s">
        <v>6642</v>
      </c>
      <c r="L259" s="163" t="s">
        <v>2089</v>
      </c>
      <c r="M259" s="163"/>
      <c r="N259" s="163" t="s">
        <v>2503</v>
      </c>
      <c r="O259" s="163"/>
      <c r="P259" s="182" t="s">
        <v>461</v>
      </c>
      <c r="Q259" s="163" t="s">
        <v>1797</v>
      </c>
      <c r="R259" s="186" t="s">
        <v>4601</v>
      </c>
      <c r="S259" s="355"/>
      <c r="T259" s="182" t="s">
        <v>2751</v>
      </c>
      <c r="U259" s="182" t="s">
        <v>2752</v>
      </c>
      <c r="V259" s="182"/>
      <c r="W259" s="314"/>
      <c r="X259" s="646" t="s">
        <v>12312</v>
      </c>
      <c r="Y259" s="355"/>
      <c r="Z259" s="185"/>
      <c r="AA259" s="185"/>
      <c r="AB259" s="33">
        <f t="shared" ca="1" si="5"/>
        <v>0.67750346572151465</v>
      </c>
      <c r="AC259" s="813"/>
      <c r="AD259" s="211"/>
      <c r="AE259" s="941"/>
      <c r="AF259" s="922">
        <f>IF(X259=X258,AF258,0)+IF(ISNUMBER(I259),IF(I259&lt;1,I259,I259*VLOOKUP(J259,Summary!$H$2:$I$9,2)),VLOOKUP(J259,Summary!$J$2:$K$9,2)*IF(ISNUMBER(H259),H259,1))</f>
        <v>1.164768518518519</v>
      </c>
      <c r="AG259" s="290">
        <v>258</v>
      </c>
      <c r="AH259" s="94"/>
      <c r="AI259" s="94"/>
    </row>
    <row r="260" spans="1:35" s="22" customFormat="1" ht="12" customHeight="1" x14ac:dyDescent="0.2">
      <c r="A260" s="421" t="s">
        <v>14571</v>
      </c>
      <c r="B260" s="421">
        <v>1</v>
      </c>
      <c r="C260" s="421">
        <v>14</v>
      </c>
      <c r="D260" s="185" t="s">
        <v>2458</v>
      </c>
      <c r="E260" s="314" t="s">
        <v>2645</v>
      </c>
      <c r="F260" s="183">
        <v>23986</v>
      </c>
      <c r="G260" s="185"/>
      <c r="H260" s="185">
        <v>1</v>
      </c>
      <c r="I260" s="185">
        <v>4</v>
      </c>
      <c r="J260" s="901" t="s">
        <v>1796</v>
      </c>
      <c r="K260" s="163" t="s">
        <v>6642</v>
      </c>
      <c r="L260" s="163" t="s">
        <v>6643</v>
      </c>
      <c r="M260" s="163"/>
      <c r="N260" s="163" t="s">
        <v>2503</v>
      </c>
      <c r="O260" s="163"/>
      <c r="P260" s="182" t="s">
        <v>461</v>
      </c>
      <c r="Q260" s="163" t="s">
        <v>1797</v>
      </c>
      <c r="R260" s="186" t="s">
        <v>4601</v>
      </c>
      <c r="S260" s="355"/>
      <c r="T260" s="182" t="s">
        <v>2751</v>
      </c>
      <c r="U260" s="182" t="s">
        <v>2752</v>
      </c>
      <c r="V260" s="182"/>
      <c r="W260" s="314" t="s">
        <v>2645</v>
      </c>
      <c r="X260" s="646" t="s">
        <v>12312</v>
      </c>
      <c r="Y260" s="355"/>
      <c r="Z260" s="185"/>
      <c r="AA260" s="185"/>
      <c r="AB260" s="33">
        <f t="shared" ca="1" si="5"/>
        <v>0.10804412681011732</v>
      </c>
      <c r="AC260" s="813"/>
      <c r="AD260" s="211"/>
      <c r="AE260" s="941"/>
      <c r="AF260" s="922">
        <f>IF(X260=X259,AF259,0)+IF(ISNUMBER(I260),IF(I260&lt;1,I260,I260*VLOOKUP(J260,Summary!$H$2:$I$9,2)),VLOOKUP(J260,Summary!$J$2:$K$9,2)*IF(ISNUMBER(H260),H260,1))</f>
        <v>1.1661574074074079</v>
      </c>
      <c r="AG260" s="290">
        <v>259</v>
      </c>
      <c r="AH260" s="94"/>
      <c r="AI260" s="94"/>
    </row>
    <row r="261" spans="1:35" s="22" customFormat="1" ht="12" customHeight="1" x14ac:dyDescent="0.2">
      <c r="A261" s="421" t="s">
        <v>14571</v>
      </c>
      <c r="B261" s="421">
        <v>1</v>
      </c>
      <c r="C261" s="421">
        <v>15</v>
      </c>
      <c r="D261" s="185" t="s">
        <v>2458</v>
      </c>
      <c r="E261" s="314" t="s">
        <v>6002</v>
      </c>
      <c r="F261" s="183">
        <v>23986</v>
      </c>
      <c r="G261" s="185"/>
      <c r="H261" s="185">
        <v>1</v>
      </c>
      <c r="I261" s="185">
        <v>4</v>
      </c>
      <c r="J261" s="901" t="s">
        <v>1796</v>
      </c>
      <c r="K261" s="163" t="s">
        <v>6642</v>
      </c>
      <c r="L261" s="163" t="s">
        <v>6643</v>
      </c>
      <c r="M261" s="163"/>
      <c r="N261" s="163" t="s">
        <v>2503</v>
      </c>
      <c r="O261" s="163"/>
      <c r="P261" s="182" t="s">
        <v>461</v>
      </c>
      <c r="Q261" s="163" t="s">
        <v>1797</v>
      </c>
      <c r="R261" s="186" t="s">
        <v>4601</v>
      </c>
      <c r="S261" s="355"/>
      <c r="T261" s="182" t="s">
        <v>2751</v>
      </c>
      <c r="U261" s="182" t="s">
        <v>2752</v>
      </c>
      <c r="V261" s="182"/>
      <c r="W261" s="314" t="s">
        <v>6002</v>
      </c>
      <c r="X261" s="646" t="s">
        <v>12312</v>
      </c>
      <c r="Y261" s="355"/>
      <c r="Z261" s="185"/>
      <c r="AA261" s="185"/>
      <c r="AB261" s="33">
        <f t="shared" ca="1" si="5"/>
        <v>4.873659314652401E-2</v>
      </c>
      <c r="AC261" s="813"/>
      <c r="AD261" s="211"/>
      <c r="AE261" s="941"/>
      <c r="AF261" s="922">
        <f>IF(X261=X260,AF260,0)+IF(ISNUMBER(I261),IF(I261&lt;1,I261,I261*VLOOKUP(J261,Summary!$H$2:$I$9,2)),VLOOKUP(J261,Summary!$J$2:$K$9,2)*IF(ISNUMBER(H261),H261,1))</f>
        <v>1.1675462962962968</v>
      </c>
      <c r="AG261" s="290">
        <v>260</v>
      </c>
      <c r="AH261" s="94"/>
      <c r="AI261" s="94"/>
    </row>
    <row r="262" spans="1:35" s="22" customFormat="1" ht="12" customHeight="1" x14ac:dyDescent="0.2">
      <c r="A262" s="421" t="s">
        <v>14571</v>
      </c>
      <c r="B262" s="421">
        <v>1</v>
      </c>
      <c r="C262" s="421">
        <v>16</v>
      </c>
      <c r="D262" s="185" t="s">
        <v>6003</v>
      </c>
      <c r="E262" s="314" t="s">
        <v>6004</v>
      </c>
      <c r="F262" s="184">
        <v>24101</v>
      </c>
      <c r="G262" s="184">
        <v>24122</v>
      </c>
      <c r="H262" s="185">
        <v>4</v>
      </c>
      <c r="I262" s="185">
        <v>8</v>
      </c>
      <c r="J262" s="901" t="s">
        <v>1796</v>
      </c>
      <c r="K262" s="163" t="s">
        <v>6642</v>
      </c>
      <c r="L262" s="163" t="s">
        <v>2089</v>
      </c>
      <c r="M262" s="163"/>
      <c r="N262" s="163" t="s">
        <v>2503</v>
      </c>
      <c r="O262" s="163"/>
      <c r="P262" s="182" t="s">
        <v>461</v>
      </c>
      <c r="Q262" s="163" t="s">
        <v>1797</v>
      </c>
      <c r="R262" s="186" t="s">
        <v>4601</v>
      </c>
      <c r="S262" s="355"/>
      <c r="T262" s="182" t="s">
        <v>2751</v>
      </c>
      <c r="U262" s="182" t="s">
        <v>2752</v>
      </c>
      <c r="V262" s="182"/>
      <c r="W262" s="314"/>
      <c r="X262" s="646" t="s">
        <v>12312</v>
      </c>
      <c r="Y262" s="355"/>
      <c r="Z262" s="185"/>
      <c r="AA262" s="185"/>
      <c r="AB262" s="33">
        <f t="shared" ca="1" si="5"/>
        <v>0.73291317936807354</v>
      </c>
      <c r="AC262" s="813"/>
      <c r="AD262" s="211"/>
      <c r="AE262" s="941"/>
      <c r="AF262" s="922">
        <f>IF(X262=X261,AF261,0)+IF(ISNUMBER(I262),IF(I262&lt;1,I262,I262*VLOOKUP(J262,Summary!$H$2:$I$9,2)),VLOOKUP(J262,Summary!$J$2:$K$9,2)*IF(ISNUMBER(H262),H262,1))</f>
        <v>1.1703240740740746</v>
      </c>
      <c r="AG262" s="290">
        <v>261</v>
      </c>
      <c r="AH262" s="94"/>
      <c r="AI262" s="94"/>
    </row>
    <row r="263" spans="1:35" s="2" customFormat="1" ht="12" customHeight="1" x14ac:dyDescent="0.25">
      <c r="A263" s="421" t="s">
        <v>14571</v>
      </c>
      <c r="B263" s="421">
        <v>1</v>
      </c>
      <c r="C263" s="421">
        <v>17</v>
      </c>
      <c r="D263" s="185" t="s">
        <v>6005</v>
      </c>
      <c r="E263" s="314" t="s">
        <v>2405</v>
      </c>
      <c r="F263" s="184">
        <v>24129</v>
      </c>
      <c r="G263" s="184">
        <v>24150</v>
      </c>
      <c r="H263" s="185">
        <v>4</v>
      </c>
      <c r="I263" s="185">
        <v>8</v>
      </c>
      <c r="J263" s="901" t="s">
        <v>1796</v>
      </c>
      <c r="K263" s="163" t="s">
        <v>6642</v>
      </c>
      <c r="L263" s="163" t="s">
        <v>2089</v>
      </c>
      <c r="M263" s="163"/>
      <c r="N263" s="163" t="s">
        <v>2503</v>
      </c>
      <c r="O263" s="163"/>
      <c r="P263" s="182" t="s">
        <v>461</v>
      </c>
      <c r="Q263" s="163" t="s">
        <v>1797</v>
      </c>
      <c r="R263" s="186" t="s">
        <v>4601</v>
      </c>
      <c r="S263" s="355"/>
      <c r="T263" s="182" t="s">
        <v>2751</v>
      </c>
      <c r="U263" s="182" t="s">
        <v>2752</v>
      </c>
      <c r="V263" s="182"/>
      <c r="W263" s="314"/>
      <c r="X263" s="646" t="s">
        <v>12312</v>
      </c>
      <c r="Y263" s="355"/>
      <c r="Z263" s="185"/>
      <c r="AA263" s="185"/>
      <c r="AB263" s="33">
        <f t="shared" ca="1" si="5"/>
        <v>0.83636820792098809</v>
      </c>
      <c r="AC263" s="813"/>
      <c r="AD263" s="211"/>
      <c r="AE263" s="941"/>
      <c r="AF263" s="922">
        <f>IF(X263=X262,AF262,0)+IF(ISNUMBER(I263),IF(I263&lt;1,I263,I263*VLOOKUP(J263,Summary!$H$2:$I$9,2)),VLOOKUP(J263,Summary!$J$2:$K$9,2)*IF(ISNUMBER(H263),H263,1))</f>
        <v>1.1731018518518523</v>
      </c>
      <c r="AG263" s="290">
        <v>262</v>
      </c>
      <c r="AH263" s="94"/>
      <c r="AI263" s="94"/>
    </row>
    <row r="264" spans="1:35" s="22" customFormat="1" ht="12" customHeight="1" x14ac:dyDescent="0.2">
      <c r="A264" s="421" t="s">
        <v>14571</v>
      </c>
      <c r="B264" s="421">
        <v>1</v>
      </c>
      <c r="C264" s="421">
        <v>18</v>
      </c>
      <c r="D264" s="185" t="s">
        <v>2406</v>
      </c>
      <c r="E264" s="314" t="s">
        <v>2407</v>
      </c>
      <c r="F264" s="184">
        <v>24157</v>
      </c>
      <c r="G264" s="184">
        <v>24178</v>
      </c>
      <c r="H264" s="185">
        <v>4</v>
      </c>
      <c r="I264" s="185">
        <v>8</v>
      </c>
      <c r="J264" s="901" t="s">
        <v>1796</v>
      </c>
      <c r="K264" s="163" t="s">
        <v>6642</v>
      </c>
      <c r="L264" s="163" t="s">
        <v>2089</v>
      </c>
      <c r="M264" s="163"/>
      <c r="N264" s="163" t="s">
        <v>2503</v>
      </c>
      <c r="O264" s="163"/>
      <c r="P264" s="182" t="s">
        <v>461</v>
      </c>
      <c r="Q264" s="163" t="s">
        <v>1797</v>
      </c>
      <c r="R264" s="186" t="s">
        <v>4601</v>
      </c>
      <c r="S264" s="355"/>
      <c r="T264" s="182" t="s">
        <v>2751</v>
      </c>
      <c r="U264" s="182" t="s">
        <v>2752</v>
      </c>
      <c r="V264" s="182"/>
      <c r="W264" s="314"/>
      <c r="X264" s="646" t="s">
        <v>12312</v>
      </c>
      <c r="Y264" s="355"/>
      <c r="Z264" s="185"/>
      <c r="AA264" s="185"/>
      <c r="AB264" s="33">
        <f t="shared" ca="1" si="5"/>
        <v>0.29619741179319325</v>
      </c>
      <c r="AC264" s="813"/>
      <c r="AD264" s="211"/>
      <c r="AE264" s="941"/>
      <c r="AF264" s="922">
        <f>IF(X264=X263,AF263,0)+IF(ISNUMBER(I264),IF(I264&lt;1,I264,I264*VLOOKUP(J264,Summary!$H$2:$I$9,2)),VLOOKUP(J264,Summary!$J$2:$K$9,2)*IF(ISNUMBER(H264),H264,1))</f>
        <v>1.1758796296296301</v>
      </c>
      <c r="AG264" s="290">
        <v>263</v>
      </c>
      <c r="AH264" s="94"/>
      <c r="AI264" s="94"/>
    </row>
    <row r="265" spans="1:35" s="22" customFormat="1" ht="12" customHeight="1" x14ac:dyDescent="0.2">
      <c r="A265" s="421" t="s">
        <v>14571</v>
      </c>
      <c r="B265" s="421">
        <v>1</v>
      </c>
      <c r="C265" s="421">
        <v>19</v>
      </c>
      <c r="D265" s="185" t="s">
        <v>5170</v>
      </c>
      <c r="E265" s="314" t="s">
        <v>5171</v>
      </c>
      <c r="F265" s="184">
        <v>24185</v>
      </c>
      <c r="G265" s="184">
        <v>24206</v>
      </c>
      <c r="H265" s="185">
        <v>4</v>
      </c>
      <c r="I265" s="185">
        <v>8</v>
      </c>
      <c r="J265" s="901" t="s">
        <v>1796</v>
      </c>
      <c r="K265" s="163" t="s">
        <v>6642</v>
      </c>
      <c r="L265" s="163" t="s">
        <v>2089</v>
      </c>
      <c r="M265" s="163"/>
      <c r="N265" s="163" t="s">
        <v>2503</v>
      </c>
      <c r="O265" s="163"/>
      <c r="P265" s="182" t="s">
        <v>461</v>
      </c>
      <c r="Q265" s="163" t="s">
        <v>1797</v>
      </c>
      <c r="R265" s="186" t="s">
        <v>4601</v>
      </c>
      <c r="S265" s="355"/>
      <c r="T265" s="182" t="s">
        <v>2751</v>
      </c>
      <c r="U265" s="182" t="s">
        <v>2752</v>
      </c>
      <c r="V265" s="182"/>
      <c r="W265" s="314"/>
      <c r="X265" s="646" t="s">
        <v>12312</v>
      </c>
      <c r="Y265" s="355"/>
      <c r="Z265" s="185"/>
      <c r="AA265" s="185"/>
      <c r="AB265" s="33">
        <f t="shared" ca="1" si="5"/>
        <v>0.98900987249373973</v>
      </c>
      <c r="AC265" s="813"/>
      <c r="AD265" s="211"/>
      <c r="AE265" s="941"/>
      <c r="AF265" s="922">
        <f>IF(X265=X264,AF264,0)+IF(ISNUMBER(I265),IF(I265&lt;1,I265,I265*VLOOKUP(J265,Summary!$H$2:$I$9,2)),VLOOKUP(J265,Summary!$J$2:$K$9,2)*IF(ISNUMBER(H265),H265,1))</f>
        <v>1.1786574074074079</v>
      </c>
      <c r="AG265" s="290">
        <v>264</v>
      </c>
      <c r="AH265" s="94"/>
      <c r="AI265" s="94"/>
    </row>
    <row r="266" spans="1:35" s="22" customFormat="1" ht="12" customHeight="1" x14ac:dyDescent="0.2">
      <c r="A266" s="421" t="s">
        <v>14571</v>
      </c>
      <c r="B266" s="421">
        <v>1</v>
      </c>
      <c r="C266" s="421">
        <v>20</v>
      </c>
      <c r="D266" s="185" t="s">
        <v>5172</v>
      </c>
      <c r="E266" s="314" t="s">
        <v>5173</v>
      </c>
      <c r="F266" s="184">
        <v>24213</v>
      </c>
      <c r="G266" s="184">
        <v>24241</v>
      </c>
      <c r="H266" s="185">
        <v>5</v>
      </c>
      <c r="I266" s="185">
        <v>10</v>
      </c>
      <c r="J266" s="901" t="s">
        <v>1796</v>
      </c>
      <c r="K266" s="163" t="s">
        <v>6642</v>
      </c>
      <c r="L266" s="163" t="s">
        <v>5174</v>
      </c>
      <c r="M266" s="163"/>
      <c r="N266" s="163" t="s">
        <v>2503</v>
      </c>
      <c r="O266" s="163"/>
      <c r="P266" s="182" t="s">
        <v>461</v>
      </c>
      <c r="Q266" s="163" t="s">
        <v>1797</v>
      </c>
      <c r="R266" s="186" t="s">
        <v>4601</v>
      </c>
      <c r="S266" s="355"/>
      <c r="T266" s="182" t="s">
        <v>2751</v>
      </c>
      <c r="U266" s="182" t="s">
        <v>2752</v>
      </c>
      <c r="V266" s="182"/>
      <c r="W266" s="314"/>
      <c r="X266" s="646" t="s">
        <v>12312</v>
      </c>
      <c r="Y266" s="355"/>
      <c r="Z266" s="185"/>
      <c r="AA266" s="185"/>
      <c r="AB266" s="33">
        <f t="shared" ca="1" si="5"/>
        <v>0.82988536019189629</v>
      </c>
      <c r="AC266" s="813"/>
      <c r="AD266" s="211"/>
      <c r="AE266" s="941"/>
      <c r="AF266" s="922">
        <f>IF(X266=X265,AF265,0)+IF(ISNUMBER(I266),IF(I266&lt;1,I266,I266*VLOOKUP(J266,Summary!$H$2:$I$9,2)),VLOOKUP(J266,Summary!$J$2:$K$9,2)*IF(ISNUMBER(H266),H266,1))</f>
        <v>1.1821296296296302</v>
      </c>
      <c r="AG266" s="290">
        <v>265</v>
      </c>
      <c r="AH266" s="94"/>
      <c r="AI266" s="94"/>
    </row>
    <row r="267" spans="1:35" s="22" customFormat="1" ht="12" customHeight="1" x14ac:dyDescent="0.2">
      <c r="A267" s="421" t="s">
        <v>14571</v>
      </c>
      <c r="B267" s="421">
        <v>1</v>
      </c>
      <c r="C267" s="421">
        <v>21</v>
      </c>
      <c r="D267" s="185" t="s">
        <v>5175</v>
      </c>
      <c r="E267" s="314" t="s">
        <v>5176</v>
      </c>
      <c r="F267" s="184">
        <v>24248</v>
      </c>
      <c r="G267" s="184">
        <v>24276</v>
      </c>
      <c r="H267" s="185">
        <v>5</v>
      </c>
      <c r="I267" s="185">
        <v>10</v>
      </c>
      <c r="J267" s="901" t="s">
        <v>1796</v>
      </c>
      <c r="K267" s="163" t="s">
        <v>6642</v>
      </c>
      <c r="L267" s="163" t="s">
        <v>5174</v>
      </c>
      <c r="M267" s="163"/>
      <c r="N267" s="163" t="s">
        <v>2503</v>
      </c>
      <c r="O267" s="163"/>
      <c r="P267" s="182" t="s">
        <v>461</v>
      </c>
      <c r="Q267" s="163" t="s">
        <v>1797</v>
      </c>
      <c r="R267" s="186" t="s">
        <v>4601</v>
      </c>
      <c r="S267" s="355"/>
      <c r="T267" s="182" t="s">
        <v>2751</v>
      </c>
      <c r="U267" s="182" t="s">
        <v>2752</v>
      </c>
      <c r="V267" s="182"/>
      <c r="W267" s="314"/>
      <c r="X267" s="646" t="s">
        <v>12312</v>
      </c>
      <c r="Y267" s="355"/>
      <c r="Z267" s="185"/>
      <c r="AA267" s="185"/>
      <c r="AB267" s="33">
        <f t="shared" ca="1" si="5"/>
        <v>0.39486552577189693</v>
      </c>
      <c r="AC267" s="813"/>
      <c r="AD267" s="211"/>
      <c r="AE267" s="941"/>
      <c r="AF267" s="922">
        <f>IF(X267=X266,AF266,0)+IF(ISNUMBER(I267),IF(I267&lt;1,I267,I267*VLOOKUP(J267,Summary!$H$2:$I$9,2)),VLOOKUP(J267,Summary!$J$2:$K$9,2)*IF(ISNUMBER(H267),H267,1))</f>
        <v>1.1856018518518525</v>
      </c>
      <c r="AG267" s="290">
        <v>266</v>
      </c>
      <c r="AH267" s="94"/>
      <c r="AI267" s="94"/>
    </row>
    <row r="268" spans="1:35" s="3" customFormat="1" ht="12" customHeight="1" x14ac:dyDescent="0.25">
      <c r="A268" s="421" t="s">
        <v>14571</v>
      </c>
      <c r="B268" s="421">
        <v>1</v>
      </c>
      <c r="C268" s="421">
        <v>22</v>
      </c>
      <c r="D268" s="185" t="s">
        <v>5177</v>
      </c>
      <c r="E268" s="314" t="s">
        <v>5178</v>
      </c>
      <c r="F268" s="183">
        <v>24259</v>
      </c>
      <c r="G268" s="185"/>
      <c r="H268" s="185">
        <v>1</v>
      </c>
      <c r="I268" s="185">
        <v>2</v>
      </c>
      <c r="J268" s="901" t="s">
        <v>1796</v>
      </c>
      <c r="K268" s="163" t="s">
        <v>6642</v>
      </c>
      <c r="L268" s="163" t="s">
        <v>5174</v>
      </c>
      <c r="M268" s="163"/>
      <c r="N268" s="163" t="s">
        <v>2503</v>
      </c>
      <c r="O268" s="163"/>
      <c r="P268" s="182" t="s">
        <v>461</v>
      </c>
      <c r="Q268" s="163" t="s">
        <v>1797</v>
      </c>
      <c r="R268" s="186" t="s">
        <v>4601</v>
      </c>
      <c r="S268" s="355"/>
      <c r="T268" s="182" t="s">
        <v>2751</v>
      </c>
      <c r="U268" s="182" t="s">
        <v>2752</v>
      </c>
      <c r="V268" s="182"/>
      <c r="W268" s="314" t="s">
        <v>5178</v>
      </c>
      <c r="X268" s="646" t="s">
        <v>12312</v>
      </c>
      <c r="Y268" s="355"/>
      <c r="Z268" s="185"/>
      <c r="AA268" s="185"/>
      <c r="AB268" s="33">
        <f t="shared" ca="1" si="5"/>
        <v>0.5611579475250188</v>
      </c>
      <c r="AC268" s="813"/>
      <c r="AD268" s="211"/>
      <c r="AE268" s="941"/>
      <c r="AF268" s="922">
        <f>IF(X268=X267,AF267,0)+IF(ISNUMBER(I268),IF(I268&lt;1,I268,I268*VLOOKUP(J268,Summary!$H$2:$I$9,2)),VLOOKUP(J268,Summary!$J$2:$K$9,2)*IF(ISNUMBER(H268),H268,1))</f>
        <v>1.1862962962962971</v>
      </c>
      <c r="AG268" s="290">
        <v>267</v>
      </c>
      <c r="AH268" s="94"/>
      <c r="AI268" s="94"/>
    </row>
    <row r="269" spans="1:35" s="22" customFormat="1" ht="12" customHeight="1" x14ac:dyDescent="0.2">
      <c r="A269" s="421" t="s">
        <v>14571</v>
      </c>
      <c r="B269" s="421">
        <v>1</v>
      </c>
      <c r="C269" s="421">
        <v>23</v>
      </c>
      <c r="D269" s="185" t="s">
        <v>5177</v>
      </c>
      <c r="E269" s="314" t="s">
        <v>5179</v>
      </c>
      <c r="F269" s="183">
        <v>24259</v>
      </c>
      <c r="G269" s="185"/>
      <c r="H269" s="185">
        <v>1</v>
      </c>
      <c r="I269" s="185">
        <v>2</v>
      </c>
      <c r="J269" s="901" t="s">
        <v>1796</v>
      </c>
      <c r="K269" s="163" t="s">
        <v>6642</v>
      </c>
      <c r="L269" s="163" t="s">
        <v>5174</v>
      </c>
      <c r="M269" s="163"/>
      <c r="N269" s="163" t="s">
        <v>2503</v>
      </c>
      <c r="O269" s="163"/>
      <c r="P269" s="182" t="s">
        <v>461</v>
      </c>
      <c r="Q269" s="163" t="s">
        <v>1797</v>
      </c>
      <c r="R269" s="186" t="s">
        <v>4601</v>
      </c>
      <c r="S269" s="355"/>
      <c r="T269" s="182" t="s">
        <v>2751</v>
      </c>
      <c r="U269" s="182" t="s">
        <v>2752</v>
      </c>
      <c r="V269" s="182"/>
      <c r="W269" s="314" t="s">
        <v>5179</v>
      </c>
      <c r="X269" s="646" t="s">
        <v>12312</v>
      </c>
      <c r="Y269" s="355"/>
      <c r="Z269" s="185"/>
      <c r="AA269" s="185"/>
      <c r="AB269" s="33">
        <f t="shared" ca="1" si="5"/>
        <v>0.3314059671723063</v>
      </c>
      <c r="AC269" s="813"/>
      <c r="AD269" s="211"/>
      <c r="AE269" s="941"/>
      <c r="AF269" s="922">
        <f>IF(X269=X268,AF268,0)+IF(ISNUMBER(I269),IF(I269&lt;1,I269,I269*VLOOKUP(J269,Summary!$H$2:$I$9,2)),VLOOKUP(J269,Summary!$J$2:$K$9,2)*IF(ISNUMBER(H269),H269,1))</f>
        <v>1.1869907407407416</v>
      </c>
      <c r="AG269" s="290">
        <v>268</v>
      </c>
      <c r="AH269" s="94"/>
      <c r="AI269" s="94"/>
    </row>
    <row r="270" spans="1:35" s="22" customFormat="1" ht="12" customHeight="1" x14ac:dyDescent="0.2">
      <c r="A270" s="421" t="s">
        <v>14571</v>
      </c>
      <c r="B270" s="421">
        <v>1</v>
      </c>
      <c r="C270" s="421">
        <v>24</v>
      </c>
      <c r="D270" s="185" t="s">
        <v>635</v>
      </c>
      <c r="E270" s="314" t="s">
        <v>636</v>
      </c>
      <c r="F270" s="184">
        <v>24283</v>
      </c>
      <c r="G270" s="184">
        <v>24311</v>
      </c>
      <c r="H270" s="185">
        <v>5</v>
      </c>
      <c r="I270" s="185">
        <v>10</v>
      </c>
      <c r="J270" s="901" t="s">
        <v>1796</v>
      </c>
      <c r="K270" s="163" t="s">
        <v>6642</v>
      </c>
      <c r="L270" s="163" t="s">
        <v>5174</v>
      </c>
      <c r="M270" s="163"/>
      <c r="N270" s="163" t="s">
        <v>2503</v>
      </c>
      <c r="O270" s="163"/>
      <c r="P270" s="182" t="s">
        <v>461</v>
      </c>
      <c r="Q270" s="163" t="s">
        <v>1797</v>
      </c>
      <c r="R270" s="186" t="s">
        <v>4601</v>
      </c>
      <c r="S270" s="355"/>
      <c r="T270" s="182" t="s">
        <v>2751</v>
      </c>
      <c r="U270" s="182" t="s">
        <v>2752</v>
      </c>
      <c r="V270" s="182"/>
      <c r="W270" s="314"/>
      <c r="X270" s="646" t="s">
        <v>12312</v>
      </c>
      <c r="Y270" s="355"/>
      <c r="Z270" s="185"/>
      <c r="AA270" s="185"/>
      <c r="AB270" s="33">
        <f t="shared" ca="1" si="5"/>
        <v>0.71034765288964252</v>
      </c>
      <c r="AC270" s="813"/>
      <c r="AD270" s="211"/>
      <c r="AE270" s="941"/>
      <c r="AF270" s="922">
        <f>IF(X270=X269,AF269,0)+IF(ISNUMBER(I270),IF(I270&lt;1,I270,I270*VLOOKUP(J270,Summary!$H$2:$I$9,2)),VLOOKUP(J270,Summary!$J$2:$K$9,2)*IF(ISNUMBER(H270),H270,1))</f>
        <v>1.1904629629629639</v>
      </c>
      <c r="AG270" s="290">
        <v>269</v>
      </c>
      <c r="AH270" s="94"/>
      <c r="AI270" s="94"/>
    </row>
    <row r="271" spans="1:35" s="22" customFormat="1" ht="12" customHeight="1" x14ac:dyDescent="0.2">
      <c r="A271" s="421" t="s">
        <v>14571</v>
      </c>
      <c r="B271" s="421">
        <v>1</v>
      </c>
      <c r="C271" s="421">
        <v>25</v>
      </c>
      <c r="D271" s="185" t="s">
        <v>637</v>
      </c>
      <c r="E271" s="314" t="s">
        <v>6447</v>
      </c>
      <c r="F271" s="184">
        <v>24318</v>
      </c>
      <c r="G271" s="184">
        <v>24346</v>
      </c>
      <c r="H271" s="185">
        <v>5</v>
      </c>
      <c r="I271" s="185">
        <v>10</v>
      </c>
      <c r="J271" s="901" t="s">
        <v>1796</v>
      </c>
      <c r="K271" s="163" t="s">
        <v>6642</v>
      </c>
      <c r="L271" s="163" t="s">
        <v>5174</v>
      </c>
      <c r="M271" s="163"/>
      <c r="N271" s="163" t="s">
        <v>2503</v>
      </c>
      <c r="O271" s="163"/>
      <c r="P271" s="182" t="s">
        <v>461</v>
      </c>
      <c r="Q271" s="163" t="s">
        <v>1797</v>
      </c>
      <c r="R271" s="186" t="s">
        <v>4601</v>
      </c>
      <c r="S271" s="355"/>
      <c r="T271" s="182" t="s">
        <v>2751</v>
      </c>
      <c r="U271" s="182" t="s">
        <v>2752</v>
      </c>
      <c r="V271" s="182"/>
      <c r="W271" s="314"/>
      <c r="X271" s="646" t="s">
        <v>12312</v>
      </c>
      <c r="Y271" s="355"/>
      <c r="Z271" s="185"/>
      <c r="AA271" s="185"/>
      <c r="AB271" s="33">
        <f t="shared" ca="1" si="5"/>
        <v>0.41595111345309799</v>
      </c>
      <c r="AC271" s="813"/>
      <c r="AD271" s="211"/>
      <c r="AE271" s="941"/>
      <c r="AF271" s="922">
        <f>IF(X271=X270,AF270,0)+IF(ISNUMBER(I271),IF(I271&lt;1,I271,I271*VLOOKUP(J271,Summary!$H$2:$I$9,2)),VLOOKUP(J271,Summary!$J$2:$K$9,2)*IF(ISNUMBER(H271),H271,1))</f>
        <v>1.1939351851851863</v>
      </c>
      <c r="AG271" s="290">
        <v>270</v>
      </c>
      <c r="AH271" s="94"/>
      <c r="AI271" s="94"/>
    </row>
    <row r="272" spans="1:35" s="22" customFormat="1" ht="12" customHeight="1" x14ac:dyDescent="0.2">
      <c r="A272" s="421" t="s">
        <v>14571</v>
      </c>
      <c r="B272" s="421">
        <v>1</v>
      </c>
      <c r="C272" s="421">
        <v>26</v>
      </c>
      <c r="D272" s="185" t="s">
        <v>6448</v>
      </c>
      <c r="E272" s="314" t="s">
        <v>2547</v>
      </c>
      <c r="F272" s="184">
        <v>24353</v>
      </c>
      <c r="G272" s="184">
        <v>24374</v>
      </c>
      <c r="H272" s="185">
        <v>4</v>
      </c>
      <c r="I272" s="185">
        <v>8</v>
      </c>
      <c r="J272" s="901" t="s">
        <v>1796</v>
      </c>
      <c r="K272" s="163" t="s">
        <v>6642</v>
      </c>
      <c r="L272" s="163" t="s">
        <v>5174</v>
      </c>
      <c r="M272" s="163"/>
      <c r="N272" s="163" t="s">
        <v>2503</v>
      </c>
      <c r="O272" s="163"/>
      <c r="P272" s="182" t="s">
        <v>461</v>
      </c>
      <c r="Q272" s="163" t="s">
        <v>1797</v>
      </c>
      <c r="R272" s="186" t="s">
        <v>4601</v>
      </c>
      <c r="S272" s="355"/>
      <c r="T272" s="182" t="s">
        <v>2751</v>
      </c>
      <c r="U272" s="182" t="s">
        <v>2752</v>
      </c>
      <c r="V272" s="182"/>
      <c r="W272" s="314"/>
      <c r="X272" s="646" t="s">
        <v>12312</v>
      </c>
      <c r="Y272" s="355"/>
      <c r="Z272" s="185"/>
      <c r="AA272" s="185"/>
      <c r="AB272" s="33">
        <f t="shared" ca="1" si="5"/>
        <v>0.57361314252143369</v>
      </c>
      <c r="AC272" s="813"/>
      <c r="AD272" s="211"/>
      <c r="AE272" s="941"/>
      <c r="AF272" s="922">
        <f>IF(X272=X271,AF271,0)+IF(ISNUMBER(I272),IF(I272&lt;1,I272,I272*VLOOKUP(J272,Summary!$H$2:$I$9,2)),VLOOKUP(J272,Summary!$J$2:$K$9,2)*IF(ISNUMBER(H272),H272,1))</f>
        <v>1.196712962962964</v>
      </c>
      <c r="AG272" s="290">
        <v>271</v>
      </c>
      <c r="AH272" s="94"/>
      <c r="AI272" s="94"/>
    </row>
    <row r="273" spans="1:35" s="2" customFormat="1" ht="12" customHeight="1" x14ac:dyDescent="0.25">
      <c r="A273" s="421" t="s">
        <v>14571</v>
      </c>
      <c r="B273" s="421">
        <v>1</v>
      </c>
      <c r="C273" s="421">
        <v>27</v>
      </c>
      <c r="D273" s="185" t="s">
        <v>2459</v>
      </c>
      <c r="E273" s="314" t="s">
        <v>7748</v>
      </c>
      <c r="F273" s="183">
        <v>24351</v>
      </c>
      <c r="G273" s="185"/>
      <c r="H273" s="185">
        <v>1</v>
      </c>
      <c r="I273" s="185">
        <v>4</v>
      </c>
      <c r="J273" s="901" t="s">
        <v>1796</v>
      </c>
      <c r="K273" s="163" t="s">
        <v>6642</v>
      </c>
      <c r="L273" s="163" t="s">
        <v>5174</v>
      </c>
      <c r="M273" s="163"/>
      <c r="N273" s="163" t="s">
        <v>2503</v>
      </c>
      <c r="O273" s="163"/>
      <c r="P273" s="182" t="s">
        <v>461</v>
      </c>
      <c r="Q273" s="163" t="s">
        <v>1797</v>
      </c>
      <c r="R273" s="186" t="s">
        <v>4601</v>
      </c>
      <c r="S273" s="355"/>
      <c r="T273" s="182" t="s">
        <v>2751</v>
      </c>
      <c r="U273" s="182" t="s">
        <v>2752</v>
      </c>
      <c r="V273" s="182"/>
      <c r="W273" s="314" t="s">
        <v>7748</v>
      </c>
      <c r="X273" s="646" t="s">
        <v>12312</v>
      </c>
      <c r="Y273" s="355"/>
      <c r="Z273" s="185"/>
      <c r="AA273" s="185"/>
      <c r="AB273" s="33">
        <f t="shared" ca="1" si="5"/>
        <v>0.13037365877652507</v>
      </c>
      <c r="AC273" s="813"/>
      <c r="AD273" s="211"/>
      <c r="AE273" s="941"/>
      <c r="AF273" s="922">
        <f>IF(X273=X272,AF272,0)+IF(ISNUMBER(I273),IF(I273&lt;1,I273,I273*VLOOKUP(J273,Summary!$H$2:$I$9,2)),VLOOKUP(J273,Summary!$J$2:$K$9,2)*IF(ISNUMBER(H273),H273,1))</f>
        <v>1.1981018518518529</v>
      </c>
      <c r="AG273" s="290">
        <v>272</v>
      </c>
      <c r="AH273" s="94"/>
      <c r="AI273" s="94"/>
    </row>
    <row r="274" spans="1:35" s="22" customFormat="1" ht="12" customHeight="1" x14ac:dyDescent="0.2">
      <c r="A274" s="421" t="s">
        <v>14571</v>
      </c>
      <c r="B274" s="421">
        <v>1</v>
      </c>
      <c r="C274" s="421">
        <v>28</v>
      </c>
      <c r="D274" s="185" t="s">
        <v>2459</v>
      </c>
      <c r="E274" s="314" t="s">
        <v>7749</v>
      </c>
      <c r="F274" s="183">
        <v>24351</v>
      </c>
      <c r="G274" s="185"/>
      <c r="H274" s="185">
        <v>1</v>
      </c>
      <c r="I274" s="185">
        <v>4</v>
      </c>
      <c r="J274" s="901" t="s">
        <v>1796</v>
      </c>
      <c r="K274" s="163" t="s">
        <v>6642</v>
      </c>
      <c r="L274" s="163" t="s">
        <v>7750</v>
      </c>
      <c r="M274" s="163"/>
      <c r="N274" s="163" t="s">
        <v>2503</v>
      </c>
      <c r="O274" s="163"/>
      <c r="P274" s="182" t="s">
        <v>461</v>
      </c>
      <c r="Q274" s="163" t="s">
        <v>1797</v>
      </c>
      <c r="R274" s="186" t="s">
        <v>4601</v>
      </c>
      <c r="S274" s="355"/>
      <c r="T274" s="182" t="s">
        <v>2751</v>
      </c>
      <c r="U274" s="182" t="s">
        <v>2752</v>
      </c>
      <c r="V274" s="182"/>
      <c r="W274" s="314" t="s">
        <v>7749</v>
      </c>
      <c r="X274" s="646" t="s">
        <v>12312</v>
      </c>
      <c r="Y274" s="355"/>
      <c r="Z274" s="185"/>
      <c r="AA274" s="185"/>
      <c r="AB274" s="33">
        <f t="shared" ca="1" si="5"/>
        <v>0.60162068381056533</v>
      </c>
      <c r="AC274" s="813"/>
      <c r="AD274" s="211"/>
      <c r="AE274" s="941"/>
      <c r="AF274" s="922">
        <f>IF(X274=X273,AF273,0)+IF(ISNUMBER(I274),IF(I274&lt;1,I274,I274*VLOOKUP(J274,Summary!$H$2:$I$9,2)),VLOOKUP(J274,Summary!$J$2:$K$9,2)*IF(ISNUMBER(H274),H274,1))</f>
        <v>1.1994907407407418</v>
      </c>
      <c r="AG274" s="290">
        <v>273</v>
      </c>
      <c r="AH274" s="94"/>
      <c r="AI274" s="94"/>
    </row>
    <row r="275" spans="1:35" s="8" customFormat="1" ht="12" customHeight="1" x14ac:dyDescent="0.25">
      <c r="A275" s="421" t="s">
        <v>14571</v>
      </c>
      <c r="B275" s="421">
        <v>1</v>
      </c>
      <c r="C275" s="421">
        <v>29</v>
      </c>
      <c r="D275" s="185" t="s">
        <v>2548</v>
      </c>
      <c r="E275" s="314" t="s">
        <v>2549</v>
      </c>
      <c r="F275" s="184">
        <v>24381</v>
      </c>
      <c r="G275" s="184">
        <v>24402</v>
      </c>
      <c r="H275" s="185">
        <v>4</v>
      </c>
      <c r="I275" s="185">
        <v>8</v>
      </c>
      <c r="J275" s="901" t="s">
        <v>1796</v>
      </c>
      <c r="K275" s="163" t="s">
        <v>6642</v>
      </c>
      <c r="L275" s="163" t="s">
        <v>5174</v>
      </c>
      <c r="M275" s="163"/>
      <c r="N275" s="163" t="s">
        <v>2503</v>
      </c>
      <c r="O275" s="163"/>
      <c r="P275" s="182" t="s">
        <v>461</v>
      </c>
      <c r="Q275" s="163" t="s">
        <v>1797</v>
      </c>
      <c r="R275" s="186" t="s">
        <v>4601</v>
      </c>
      <c r="S275" s="355"/>
      <c r="T275" s="182" t="s">
        <v>2751</v>
      </c>
      <c r="U275" s="182" t="s">
        <v>2752</v>
      </c>
      <c r="V275" s="182"/>
      <c r="W275" s="314"/>
      <c r="X275" s="646" t="s">
        <v>12312</v>
      </c>
      <c r="Y275" s="355"/>
      <c r="Z275" s="185"/>
      <c r="AA275" s="185"/>
      <c r="AB275" s="33">
        <f t="shared" ca="1" si="5"/>
        <v>5.7732883515597577E-2</v>
      </c>
      <c r="AC275" s="813"/>
      <c r="AD275" s="211"/>
      <c r="AE275" s="941"/>
      <c r="AF275" s="922">
        <f>IF(X275=X274,AF274,0)+IF(ISNUMBER(I275),IF(I275&lt;1,I275,I275*VLOOKUP(J275,Summary!$H$2:$I$9,2)),VLOOKUP(J275,Summary!$J$2:$K$9,2)*IF(ISNUMBER(H275),H275,1))</f>
        <v>1.2022685185185196</v>
      </c>
      <c r="AG275" s="290">
        <v>274</v>
      </c>
      <c r="AH275" s="94"/>
      <c r="AI275" s="94"/>
    </row>
    <row r="276" spans="1:35" s="22" customFormat="1" ht="12" customHeight="1" x14ac:dyDescent="0.2">
      <c r="A276" s="421" t="s">
        <v>14571</v>
      </c>
      <c r="B276" s="421">
        <v>1</v>
      </c>
      <c r="C276" s="421">
        <v>30</v>
      </c>
      <c r="D276" s="185" t="s">
        <v>2550</v>
      </c>
      <c r="E276" s="314" t="s">
        <v>2551</v>
      </c>
      <c r="F276" s="184">
        <v>24409</v>
      </c>
      <c r="G276" s="184">
        <v>24430</v>
      </c>
      <c r="H276" s="185">
        <v>4</v>
      </c>
      <c r="I276" s="185">
        <v>8</v>
      </c>
      <c r="J276" s="901" t="s">
        <v>1796</v>
      </c>
      <c r="K276" s="163" t="s">
        <v>6642</v>
      </c>
      <c r="L276" s="163" t="s">
        <v>5174</v>
      </c>
      <c r="M276" s="163"/>
      <c r="N276" s="163" t="s">
        <v>2503</v>
      </c>
      <c r="O276" s="163"/>
      <c r="P276" s="182" t="s">
        <v>461</v>
      </c>
      <c r="Q276" s="163" t="s">
        <v>1797</v>
      </c>
      <c r="R276" s="186" t="s">
        <v>4601</v>
      </c>
      <c r="S276" s="355"/>
      <c r="T276" s="182" t="s">
        <v>2751</v>
      </c>
      <c r="U276" s="182" t="s">
        <v>2752</v>
      </c>
      <c r="V276" s="182"/>
      <c r="W276" s="314"/>
      <c r="X276" s="646" t="s">
        <v>12312</v>
      </c>
      <c r="Y276" s="355"/>
      <c r="Z276" s="185"/>
      <c r="AA276" s="185"/>
      <c r="AB276" s="33">
        <f t="shared" ca="1" si="5"/>
        <v>2.7196329556563592E-3</v>
      </c>
      <c r="AC276" s="813"/>
      <c r="AD276" s="211"/>
      <c r="AE276" s="941"/>
      <c r="AF276" s="922">
        <f>IF(X276=X275,AF275,0)+IF(ISNUMBER(I276),IF(I276&lt;1,I276,I276*VLOOKUP(J276,Summary!$H$2:$I$9,2)),VLOOKUP(J276,Summary!$J$2:$K$9,2)*IF(ISNUMBER(H276),H276,1))</f>
        <v>1.2050462962962973</v>
      </c>
      <c r="AG276" s="290">
        <v>275</v>
      </c>
      <c r="AH276" s="94"/>
      <c r="AI276" s="94"/>
    </row>
    <row r="277" spans="1:35" s="22" customFormat="1" ht="12" customHeight="1" x14ac:dyDescent="0.2">
      <c r="A277" s="421" t="s">
        <v>14571</v>
      </c>
      <c r="B277" s="421">
        <v>1</v>
      </c>
      <c r="C277" s="421">
        <v>31</v>
      </c>
      <c r="D277" s="185" t="s">
        <v>2552</v>
      </c>
      <c r="E277" s="314" t="s">
        <v>2553</v>
      </c>
      <c r="F277" s="184">
        <v>24437</v>
      </c>
      <c r="G277" s="184">
        <v>24458</v>
      </c>
      <c r="H277" s="185">
        <v>4</v>
      </c>
      <c r="I277" s="185">
        <v>8</v>
      </c>
      <c r="J277" s="901" t="s">
        <v>1796</v>
      </c>
      <c r="K277" s="163" t="s">
        <v>6642</v>
      </c>
      <c r="L277" s="163" t="s">
        <v>5174</v>
      </c>
      <c r="M277" s="163"/>
      <c r="N277" s="163" t="s">
        <v>2503</v>
      </c>
      <c r="O277" s="163"/>
      <c r="P277" s="182" t="s">
        <v>461</v>
      </c>
      <c r="Q277" s="163" t="s">
        <v>1797</v>
      </c>
      <c r="R277" s="186" t="s">
        <v>4601</v>
      </c>
      <c r="S277" s="355"/>
      <c r="T277" s="182" t="s">
        <v>2751</v>
      </c>
      <c r="U277" s="182" t="s">
        <v>2752</v>
      </c>
      <c r="V277" s="182"/>
      <c r="W277" s="314"/>
      <c r="X277" s="646" t="s">
        <v>12312</v>
      </c>
      <c r="Y277" s="355"/>
      <c r="Z277" s="185"/>
      <c r="AA277" s="185"/>
      <c r="AB277" s="33">
        <f t="shared" ca="1" si="5"/>
        <v>0.84433516454755253</v>
      </c>
      <c r="AC277" s="813"/>
      <c r="AD277" s="211"/>
      <c r="AE277" s="941"/>
      <c r="AF277" s="922">
        <f>IF(X277=X276,AF276,0)+IF(ISNUMBER(I277),IF(I277&lt;1,I277,I277*VLOOKUP(J277,Summary!$H$2:$I$9,2)),VLOOKUP(J277,Summary!$J$2:$K$9,2)*IF(ISNUMBER(H277),H277,1))</f>
        <v>1.2078240740740751</v>
      </c>
      <c r="AG277" s="290">
        <v>276</v>
      </c>
      <c r="AH277" s="94"/>
      <c r="AI277" s="94"/>
    </row>
    <row r="278" spans="1:35" s="22" customFormat="1" ht="12" customHeight="1" x14ac:dyDescent="0.25">
      <c r="A278" s="749" t="s">
        <v>14571</v>
      </c>
      <c r="B278" s="749">
        <v>1</v>
      </c>
      <c r="C278" s="749"/>
      <c r="D278" s="486" t="s">
        <v>1702</v>
      </c>
      <c r="E278" s="332" t="s">
        <v>4704</v>
      </c>
      <c r="F278" s="230">
        <v>24108</v>
      </c>
      <c r="G278" s="214"/>
      <c r="H278" s="214" t="str">
        <f>IF(J278="Book","n/a","")</f>
        <v>n/a</v>
      </c>
      <c r="I278" s="750">
        <f>TIME(0,46,0)</f>
        <v>3.1944444444444449E-2</v>
      </c>
      <c r="J278" s="906" t="s">
        <v>6868</v>
      </c>
      <c r="K278" s="161" t="s">
        <v>5784</v>
      </c>
      <c r="L278" s="161" t="s">
        <v>5785</v>
      </c>
      <c r="M278" s="161"/>
      <c r="N278" s="161"/>
      <c r="O278" s="161"/>
      <c r="P278" s="212" t="s">
        <v>461</v>
      </c>
      <c r="Q278" s="161" t="s">
        <v>4705</v>
      </c>
      <c r="R278" s="231" t="s">
        <v>4600</v>
      </c>
      <c r="S278" s="365" t="s">
        <v>1766</v>
      </c>
      <c r="T278" s="212" t="s">
        <v>1767</v>
      </c>
      <c r="U278" s="212" t="s">
        <v>1768</v>
      </c>
      <c r="V278" s="212" t="s">
        <v>1769</v>
      </c>
      <c r="W278" s="332" t="s">
        <v>4704</v>
      </c>
      <c r="X278" s="664" t="s">
        <v>12312</v>
      </c>
      <c r="Y278" s="370" t="s">
        <v>6141</v>
      </c>
      <c r="Z278" s="371"/>
      <c r="AA278" s="371"/>
      <c r="AB278" s="39">
        <f t="shared" ca="1" si="5"/>
        <v>0.28146297829459765</v>
      </c>
      <c r="AC278" s="828"/>
      <c r="AD278" s="829" t="s">
        <v>16525</v>
      </c>
      <c r="AE278" s="952" t="s">
        <v>12543</v>
      </c>
      <c r="AF278" s="927">
        <f>IF(X278=X277,AF277,0)+IF(ISNUMBER(I278),IF(I278&lt;1,I278,I278*VLOOKUP(J278,Summary!$H$2:$I$9,2)),VLOOKUP(J278,Summary!$J$2:$K$9,2)*IF(ISNUMBER(H278),H278,1))</f>
        <v>1.2397685185185197</v>
      </c>
      <c r="AG278" s="299">
        <v>277</v>
      </c>
      <c r="AH278" s="94"/>
      <c r="AI278" s="94"/>
    </row>
    <row r="279" spans="1:35" s="22" customFormat="1" ht="12" customHeight="1" x14ac:dyDescent="0.25">
      <c r="A279" s="413" t="s">
        <v>14571</v>
      </c>
      <c r="B279" s="413">
        <v>1</v>
      </c>
      <c r="C279" s="413"/>
      <c r="D279" s="176" t="s">
        <v>1703</v>
      </c>
      <c r="E279" s="313" t="s">
        <v>2286</v>
      </c>
      <c r="F279" s="174">
        <v>24351</v>
      </c>
      <c r="G279" s="174"/>
      <c r="H279" s="176" t="s">
        <v>461</v>
      </c>
      <c r="I279" s="176">
        <v>12</v>
      </c>
      <c r="J279" s="900" t="s">
        <v>2755</v>
      </c>
      <c r="K279" s="164" t="s">
        <v>5784</v>
      </c>
      <c r="L279" s="164" t="s">
        <v>5785</v>
      </c>
      <c r="M279" s="164"/>
      <c r="N279" s="164"/>
      <c r="O279" s="164"/>
      <c r="P279" s="173" t="s">
        <v>461</v>
      </c>
      <c r="Q279" s="164" t="s">
        <v>4705</v>
      </c>
      <c r="R279" s="177" t="s">
        <v>4600</v>
      </c>
      <c r="S279" s="354"/>
      <c r="T279" s="173"/>
      <c r="U279" s="173"/>
      <c r="V279" s="173"/>
      <c r="W279" s="313" t="s">
        <v>2286</v>
      </c>
      <c r="X279" s="645" t="s">
        <v>12312</v>
      </c>
      <c r="Y279" s="354"/>
      <c r="Z279" s="176"/>
      <c r="AA279" s="176"/>
      <c r="AB279" s="32">
        <f t="shared" ca="1" si="5"/>
        <v>0.8998425123673286</v>
      </c>
      <c r="AC279" s="812"/>
      <c r="AD279" s="763" t="s">
        <v>16851</v>
      </c>
      <c r="AE279" s="807"/>
      <c r="AF279" s="921">
        <f>IF(X279=X278,AF278,0)+IF(ISNUMBER(I279),IF(I279&lt;1,I279,I279*VLOOKUP(J279,Summary!$H$2:$I$9,2)),VLOOKUP(J279,Summary!$J$2:$K$9,2)*IF(ISNUMBER(H279),H279,1))</f>
        <v>1.248101851851853</v>
      </c>
      <c r="AG279" s="289">
        <v>278</v>
      </c>
      <c r="AH279" s="94"/>
      <c r="AI279" s="94"/>
    </row>
    <row r="280" spans="1:35" s="22" customFormat="1" ht="12" customHeight="1" x14ac:dyDescent="0.25">
      <c r="A280" s="413" t="s">
        <v>14571</v>
      </c>
      <c r="B280" s="413">
        <v>1</v>
      </c>
      <c r="C280" s="413"/>
      <c r="D280" s="176" t="s">
        <v>1703</v>
      </c>
      <c r="E280" s="313" t="s">
        <v>7325</v>
      </c>
      <c r="F280" s="174">
        <v>24351</v>
      </c>
      <c r="G280" s="174"/>
      <c r="H280" s="176" t="s">
        <v>461</v>
      </c>
      <c r="I280" s="176">
        <v>11</v>
      </c>
      <c r="J280" s="900" t="s">
        <v>2755</v>
      </c>
      <c r="K280" s="164" t="s">
        <v>5784</v>
      </c>
      <c r="L280" s="164" t="s">
        <v>5785</v>
      </c>
      <c r="M280" s="164"/>
      <c r="N280" s="164"/>
      <c r="O280" s="164"/>
      <c r="P280" s="173" t="s">
        <v>461</v>
      </c>
      <c r="Q280" s="164" t="s">
        <v>4705</v>
      </c>
      <c r="R280" s="177" t="s">
        <v>4600</v>
      </c>
      <c r="S280" s="354"/>
      <c r="T280" s="173"/>
      <c r="U280" s="173"/>
      <c r="V280" s="173"/>
      <c r="W280" s="313" t="s">
        <v>7325</v>
      </c>
      <c r="X280" s="645" t="s">
        <v>12312</v>
      </c>
      <c r="Y280" s="354"/>
      <c r="Z280" s="176"/>
      <c r="AA280" s="176"/>
      <c r="AB280" s="32">
        <f t="shared" ca="1" si="5"/>
        <v>0.60940928831697083</v>
      </c>
      <c r="AC280" s="812"/>
      <c r="AD280" s="763"/>
      <c r="AE280" s="807"/>
      <c r="AF280" s="921">
        <f>IF(X280=X279,AF279,0)+IF(ISNUMBER(I280),IF(I280&lt;1,I280,I280*VLOOKUP(J280,Summary!$H$2:$I$9,2)),VLOOKUP(J280,Summary!$J$2:$K$9,2)*IF(ISNUMBER(H280),H280,1))</f>
        <v>1.2557407407407419</v>
      </c>
      <c r="AG280" s="289">
        <v>279</v>
      </c>
      <c r="AH280" s="94"/>
      <c r="AI280" s="94"/>
    </row>
    <row r="281" spans="1:35" s="22" customFormat="1" ht="12" customHeight="1" x14ac:dyDescent="0.25">
      <c r="A281" s="413" t="s">
        <v>14571</v>
      </c>
      <c r="B281" s="413">
        <v>1</v>
      </c>
      <c r="C281" s="413"/>
      <c r="D281" s="176" t="s">
        <v>1703</v>
      </c>
      <c r="E281" s="313" t="s">
        <v>7326</v>
      </c>
      <c r="F281" s="174">
        <v>24351</v>
      </c>
      <c r="G281" s="174"/>
      <c r="H281" s="176" t="s">
        <v>461</v>
      </c>
      <c r="I281" s="176">
        <v>12</v>
      </c>
      <c r="J281" s="900" t="s">
        <v>2755</v>
      </c>
      <c r="K281" s="164" t="s">
        <v>5784</v>
      </c>
      <c r="L281" s="164" t="s">
        <v>5785</v>
      </c>
      <c r="M281" s="164"/>
      <c r="N281" s="164"/>
      <c r="O281" s="164"/>
      <c r="P281" s="173" t="s">
        <v>461</v>
      </c>
      <c r="Q281" s="164" t="s">
        <v>4705</v>
      </c>
      <c r="R281" s="177" t="s">
        <v>4600</v>
      </c>
      <c r="S281" s="354"/>
      <c r="T281" s="173"/>
      <c r="U281" s="173"/>
      <c r="V281" s="173"/>
      <c r="W281" s="313" t="s">
        <v>7326</v>
      </c>
      <c r="X281" s="645" t="s">
        <v>12312</v>
      </c>
      <c r="Y281" s="354"/>
      <c r="Z281" s="176"/>
      <c r="AA281" s="176"/>
      <c r="AB281" s="32">
        <f t="shared" ca="1" si="5"/>
        <v>0.97856840523971866</v>
      </c>
      <c r="AC281" s="812"/>
      <c r="AD281" s="763"/>
      <c r="AE281" s="807"/>
      <c r="AF281" s="921">
        <f>IF(X281=X280,AF280,0)+IF(ISNUMBER(I281),IF(I281&lt;1,I281,I281*VLOOKUP(J281,Summary!$H$2:$I$9,2)),VLOOKUP(J281,Summary!$J$2:$K$9,2)*IF(ISNUMBER(H281),H281,1))</f>
        <v>1.2640740740740752</v>
      </c>
      <c r="AG281" s="289">
        <v>280</v>
      </c>
      <c r="AH281" s="94"/>
      <c r="AI281" s="94"/>
    </row>
    <row r="282" spans="1:35" s="22" customFormat="1" ht="12" customHeight="1" x14ac:dyDescent="0.2">
      <c r="A282" s="421" t="s">
        <v>14571</v>
      </c>
      <c r="B282" s="421">
        <v>1</v>
      </c>
      <c r="C282" s="421"/>
      <c r="D282" s="185" t="s">
        <v>1703</v>
      </c>
      <c r="E282" s="314" t="s">
        <v>7751</v>
      </c>
      <c r="F282" s="183">
        <v>24351</v>
      </c>
      <c r="G282" s="183"/>
      <c r="H282" s="185">
        <v>1</v>
      </c>
      <c r="I282" s="185">
        <v>6</v>
      </c>
      <c r="J282" s="901" t="s">
        <v>1796</v>
      </c>
      <c r="K282" s="163" t="s">
        <v>5784</v>
      </c>
      <c r="L282" s="163" t="s">
        <v>5785</v>
      </c>
      <c r="M282" s="163"/>
      <c r="N282" s="163" t="s">
        <v>2503</v>
      </c>
      <c r="O282" s="163"/>
      <c r="P282" s="182" t="s">
        <v>461</v>
      </c>
      <c r="Q282" s="163" t="s">
        <v>4705</v>
      </c>
      <c r="R282" s="186" t="s">
        <v>4600</v>
      </c>
      <c r="S282" s="355"/>
      <c r="T282" s="182" t="s">
        <v>2751</v>
      </c>
      <c r="U282" s="182" t="s">
        <v>2752</v>
      </c>
      <c r="V282" s="182"/>
      <c r="W282" s="314" t="s">
        <v>7751</v>
      </c>
      <c r="X282" s="646" t="s">
        <v>12312</v>
      </c>
      <c r="Y282" s="355"/>
      <c r="Z282" s="185"/>
      <c r="AA282" s="185"/>
      <c r="AB282" s="33">
        <f t="shared" ca="1" si="5"/>
        <v>0.60830411541001761</v>
      </c>
      <c r="AC282" s="813"/>
      <c r="AD282" s="211"/>
      <c r="AE282" s="941"/>
      <c r="AF282" s="922">
        <f>IF(X282=X281,AF281,0)+IF(ISNUMBER(I282),IF(I282&lt;1,I282,I282*VLOOKUP(J282,Summary!$H$2:$I$9,2)),VLOOKUP(J282,Summary!$J$2:$K$9,2)*IF(ISNUMBER(H282),H282,1))</f>
        <v>1.2661574074074087</v>
      </c>
      <c r="AG282" s="290">
        <v>281</v>
      </c>
      <c r="AH282" s="94"/>
      <c r="AI282" s="94"/>
    </row>
    <row r="283" spans="1:35" s="22" customFormat="1" ht="12" customHeight="1" x14ac:dyDescent="0.25">
      <c r="A283" s="413" t="s">
        <v>14571</v>
      </c>
      <c r="B283" s="413">
        <v>1</v>
      </c>
      <c r="C283" s="413"/>
      <c r="D283" s="176" t="s">
        <v>1703</v>
      </c>
      <c r="E283" s="313" t="s">
        <v>7327</v>
      </c>
      <c r="F283" s="174">
        <v>24351</v>
      </c>
      <c r="G283" s="174"/>
      <c r="H283" s="176" t="s">
        <v>461</v>
      </c>
      <c r="I283" s="176">
        <v>12</v>
      </c>
      <c r="J283" s="900" t="s">
        <v>2755</v>
      </c>
      <c r="K283" s="164" t="s">
        <v>5784</v>
      </c>
      <c r="L283" s="164" t="s">
        <v>5785</v>
      </c>
      <c r="M283" s="164"/>
      <c r="N283" s="164"/>
      <c r="O283" s="164"/>
      <c r="P283" s="173" t="s">
        <v>461</v>
      </c>
      <c r="Q283" s="164" t="s">
        <v>4705</v>
      </c>
      <c r="R283" s="177" t="s">
        <v>4600</v>
      </c>
      <c r="S283" s="354"/>
      <c r="T283" s="173"/>
      <c r="U283" s="173"/>
      <c r="V283" s="173"/>
      <c r="W283" s="313" t="s">
        <v>7327</v>
      </c>
      <c r="X283" s="645" t="s">
        <v>12312</v>
      </c>
      <c r="Y283" s="354"/>
      <c r="Z283" s="176"/>
      <c r="AA283" s="176"/>
      <c r="AB283" s="32">
        <f t="shared" ca="1" si="5"/>
        <v>0.92930424604104345</v>
      </c>
      <c r="AC283" s="812"/>
      <c r="AD283" s="763"/>
      <c r="AE283" s="807"/>
      <c r="AF283" s="921">
        <f>IF(X283=X282,AF282,0)+IF(ISNUMBER(I283),IF(I283&lt;1,I283,I283*VLOOKUP(J283,Summary!$H$2:$I$9,2)),VLOOKUP(J283,Summary!$J$2:$K$9,2)*IF(ISNUMBER(H283),H283,1))</f>
        <v>1.274490740740742</v>
      </c>
      <c r="AG283" s="289">
        <v>282</v>
      </c>
      <c r="AH283" s="94"/>
      <c r="AI283" s="94"/>
    </row>
    <row r="284" spans="1:35" s="29" customFormat="1" ht="12" customHeight="1" x14ac:dyDescent="0.25">
      <c r="A284" s="413" t="s">
        <v>14571</v>
      </c>
      <c r="B284" s="413">
        <v>1</v>
      </c>
      <c r="C284" s="413"/>
      <c r="D284" s="176" t="s">
        <v>1703</v>
      </c>
      <c r="E284" s="313" t="s">
        <v>16852</v>
      </c>
      <c r="F284" s="174">
        <v>24351</v>
      </c>
      <c r="G284" s="174"/>
      <c r="H284" s="176" t="s">
        <v>461</v>
      </c>
      <c r="I284" s="176">
        <v>11</v>
      </c>
      <c r="J284" s="900" t="s">
        <v>2755</v>
      </c>
      <c r="K284" s="164" t="s">
        <v>5784</v>
      </c>
      <c r="L284" s="164" t="s">
        <v>5785</v>
      </c>
      <c r="M284" s="164"/>
      <c r="N284" s="164"/>
      <c r="O284" s="164"/>
      <c r="P284" s="173" t="s">
        <v>461</v>
      </c>
      <c r="Q284" s="164" t="s">
        <v>4705</v>
      </c>
      <c r="R284" s="177" t="s">
        <v>4600</v>
      </c>
      <c r="S284" s="354"/>
      <c r="T284" s="173"/>
      <c r="U284" s="173"/>
      <c r="V284" s="173"/>
      <c r="W284" s="313" t="s">
        <v>16852</v>
      </c>
      <c r="X284" s="645" t="s">
        <v>12312</v>
      </c>
      <c r="Y284" s="354"/>
      <c r="Z284" s="176"/>
      <c r="AA284" s="176"/>
      <c r="AB284" s="32">
        <f t="shared" ca="1" si="5"/>
        <v>0.98756323935321988</v>
      </c>
      <c r="AC284" s="812"/>
      <c r="AD284" s="763"/>
      <c r="AE284" s="807"/>
      <c r="AF284" s="921">
        <f>IF(X284=X283,AF283,0)+IF(ISNUMBER(I284),IF(I284&lt;1,I284,I284*VLOOKUP(J284,Summary!$H$2:$I$9,2)),VLOOKUP(J284,Summary!$J$2:$K$9,2)*IF(ISNUMBER(H284),H284,1))</f>
        <v>1.282129629629631</v>
      </c>
      <c r="AG284" s="289">
        <v>283</v>
      </c>
      <c r="AH284" s="94"/>
      <c r="AI284" s="94"/>
    </row>
    <row r="285" spans="1:35" s="29" customFormat="1" ht="12" customHeight="1" x14ac:dyDescent="0.25">
      <c r="A285" s="413" t="s">
        <v>14571</v>
      </c>
      <c r="B285" s="413">
        <v>1</v>
      </c>
      <c r="C285" s="413"/>
      <c r="D285" s="176" t="s">
        <v>1703</v>
      </c>
      <c r="E285" s="313" t="s">
        <v>7328</v>
      </c>
      <c r="F285" s="174">
        <v>24351</v>
      </c>
      <c r="G285" s="174"/>
      <c r="H285" s="176" t="s">
        <v>461</v>
      </c>
      <c r="I285" s="176">
        <v>11</v>
      </c>
      <c r="J285" s="900" t="s">
        <v>2755</v>
      </c>
      <c r="K285" s="164" t="s">
        <v>5784</v>
      </c>
      <c r="L285" s="164" t="s">
        <v>5785</v>
      </c>
      <c r="M285" s="164"/>
      <c r="N285" s="164"/>
      <c r="O285" s="164"/>
      <c r="P285" s="173" t="s">
        <v>461</v>
      </c>
      <c r="Q285" s="164" t="s">
        <v>4705</v>
      </c>
      <c r="R285" s="177" t="s">
        <v>4600</v>
      </c>
      <c r="S285" s="354"/>
      <c r="T285" s="173"/>
      <c r="U285" s="173"/>
      <c r="V285" s="173"/>
      <c r="W285" s="313" t="s">
        <v>7328</v>
      </c>
      <c r="X285" s="645" t="s">
        <v>12312</v>
      </c>
      <c r="Y285" s="354"/>
      <c r="Z285" s="176"/>
      <c r="AA285" s="176"/>
      <c r="AB285" s="32">
        <f t="shared" ca="1" si="5"/>
        <v>0.38352277920653066</v>
      </c>
      <c r="AC285" s="812"/>
      <c r="AD285" s="763"/>
      <c r="AE285" s="807"/>
      <c r="AF285" s="921">
        <f>IF(X285=X284,AF284,0)+IF(ISNUMBER(I285),IF(I285&lt;1,I285,I285*VLOOKUP(J285,Summary!$H$2:$I$9,2)),VLOOKUP(J285,Summary!$J$2:$K$9,2)*IF(ISNUMBER(H285),H285,1))</f>
        <v>1.2897685185185199</v>
      </c>
      <c r="AG285" s="289">
        <v>284</v>
      </c>
      <c r="AH285" s="94"/>
      <c r="AI285" s="94"/>
    </row>
    <row r="286" spans="1:35" s="22" customFormat="1" ht="12" customHeight="1" x14ac:dyDescent="0.25">
      <c r="A286" s="413" t="s">
        <v>14571</v>
      </c>
      <c r="B286" s="413">
        <v>1</v>
      </c>
      <c r="C286" s="413"/>
      <c r="D286" s="176" t="s">
        <v>1703</v>
      </c>
      <c r="E286" s="313" t="s">
        <v>7329</v>
      </c>
      <c r="F286" s="174">
        <v>24351</v>
      </c>
      <c r="G286" s="174"/>
      <c r="H286" s="176" t="s">
        <v>461</v>
      </c>
      <c r="I286" s="176">
        <v>10</v>
      </c>
      <c r="J286" s="900" t="s">
        <v>2755</v>
      </c>
      <c r="K286" s="164" t="s">
        <v>5784</v>
      </c>
      <c r="L286" s="164" t="s">
        <v>5785</v>
      </c>
      <c r="M286" s="164"/>
      <c r="N286" s="164"/>
      <c r="O286" s="164"/>
      <c r="P286" s="173" t="s">
        <v>461</v>
      </c>
      <c r="Q286" s="164" t="s">
        <v>4705</v>
      </c>
      <c r="R286" s="177" t="s">
        <v>4600</v>
      </c>
      <c r="S286" s="354"/>
      <c r="T286" s="173"/>
      <c r="U286" s="173"/>
      <c r="V286" s="173"/>
      <c r="W286" s="313" t="s">
        <v>7329</v>
      </c>
      <c r="X286" s="645" t="s">
        <v>12312</v>
      </c>
      <c r="Y286" s="354"/>
      <c r="Z286" s="176"/>
      <c r="AA286" s="176"/>
      <c r="AB286" s="32">
        <f t="shared" ca="1" si="5"/>
        <v>0.80509180864397634</v>
      </c>
      <c r="AC286" s="812"/>
      <c r="AD286" s="763"/>
      <c r="AE286" s="807"/>
      <c r="AF286" s="921">
        <f>IF(X286=X285,AF285,0)+IF(ISNUMBER(I286),IF(I286&lt;1,I286,I286*VLOOKUP(J286,Summary!$H$2:$I$9,2)),VLOOKUP(J286,Summary!$J$2:$K$9,2)*IF(ISNUMBER(H286),H286,1))</f>
        <v>1.2967129629629643</v>
      </c>
      <c r="AG286" s="289">
        <v>285</v>
      </c>
      <c r="AH286" s="94"/>
      <c r="AI286" s="94"/>
    </row>
    <row r="287" spans="1:35" s="22" customFormat="1" ht="12" customHeight="1" x14ac:dyDescent="0.25">
      <c r="A287" s="413" t="s">
        <v>14571</v>
      </c>
      <c r="B287" s="413">
        <v>1</v>
      </c>
      <c r="C287" s="413">
        <v>42</v>
      </c>
      <c r="D287" s="176" t="s">
        <v>186</v>
      </c>
      <c r="E287" s="313" t="s">
        <v>187</v>
      </c>
      <c r="F287" s="174">
        <v>33848</v>
      </c>
      <c r="G287" s="174"/>
      <c r="H287" s="176">
        <v>1</v>
      </c>
      <c r="I287" s="176">
        <v>2</v>
      </c>
      <c r="J287" s="900" t="s">
        <v>2755</v>
      </c>
      <c r="K287" s="164" t="s">
        <v>188</v>
      </c>
      <c r="L287" s="164" t="s">
        <v>461</v>
      </c>
      <c r="M287" s="164"/>
      <c r="N287" s="164" t="s">
        <v>7375</v>
      </c>
      <c r="O287" s="164"/>
      <c r="P287" s="173" t="s">
        <v>189</v>
      </c>
      <c r="Q287" s="164" t="s">
        <v>4062</v>
      </c>
      <c r="R287" s="177" t="s">
        <v>4599</v>
      </c>
      <c r="S287" s="354"/>
      <c r="T287" s="173"/>
      <c r="U287" s="173"/>
      <c r="V287" s="173"/>
      <c r="W287" s="313" t="s">
        <v>187</v>
      </c>
      <c r="X287" s="645" t="s">
        <v>12312</v>
      </c>
      <c r="Y287" s="354" t="s">
        <v>6868</v>
      </c>
      <c r="Z287" s="176">
        <v>999</v>
      </c>
      <c r="AA287" s="176"/>
      <c r="AB287" s="32">
        <f t="shared" ca="1" si="5"/>
        <v>0.40292280550910931</v>
      </c>
      <c r="AC287" s="812"/>
      <c r="AD287" s="763" t="s">
        <v>16771</v>
      </c>
      <c r="AE287" s="807"/>
      <c r="AF287" s="921">
        <f>IF(X287=X286,AF286,0)+IF(ISNUMBER(I287),IF(I287&lt;1,I287,I287*VLOOKUP(J287,Summary!$H$2:$I$9,2)),VLOOKUP(J287,Summary!$J$2:$K$9,2)*IF(ISNUMBER(H287),H287,1))</f>
        <v>1.2981018518518532</v>
      </c>
      <c r="AG287" s="289">
        <v>286</v>
      </c>
      <c r="AH287" s="94"/>
      <c r="AI287" s="94"/>
    </row>
    <row r="288" spans="1:35" s="22" customFormat="1" ht="12" customHeight="1" x14ac:dyDescent="0.25">
      <c r="A288" s="416" t="s">
        <v>14570</v>
      </c>
      <c r="B288" s="416">
        <v>1</v>
      </c>
      <c r="C288" s="416">
        <v>18</v>
      </c>
      <c r="D288" s="417" t="s">
        <v>5406</v>
      </c>
      <c r="E288" s="316" t="s">
        <v>5407</v>
      </c>
      <c r="F288" s="195">
        <v>36164</v>
      </c>
      <c r="G288" s="188"/>
      <c r="H288" s="188" t="str">
        <f>IF(J288="Book","n/a","")</f>
        <v>n/a</v>
      </c>
      <c r="I288" s="188">
        <v>274</v>
      </c>
      <c r="J288" s="902" t="s">
        <v>6868</v>
      </c>
      <c r="K288" s="162" t="s">
        <v>176</v>
      </c>
      <c r="L288" s="162" t="str">
        <f>IF(J288="Book","n/a","")</f>
        <v>n/a</v>
      </c>
      <c r="M288" s="162"/>
      <c r="N288" s="162"/>
      <c r="O288" s="162"/>
      <c r="P288" s="178" t="s">
        <v>8943</v>
      </c>
      <c r="Q288" s="162" t="s">
        <v>3953</v>
      </c>
      <c r="R288" s="189" t="s">
        <v>2717</v>
      </c>
      <c r="S288" s="366" t="s">
        <v>2602</v>
      </c>
      <c r="T288" s="178"/>
      <c r="U288" s="178"/>
      <c r="V288" s="178" t="s">
        <v>2330</v>
      </c>
      <c r="W288" s="316" t="s">
        <v>5407</v>
      </c>
      <c r="X288" s="648" t="s">
        <v>12313</v>
      </c>
      <c r="Y288" s="356" t="s">
        <v>6868</v>
      </c>
      <c r="Z288" s="272"/>
      <c r="AA288" s="272"/>
      <c r="AB288" s="34">
        <f t="shared" ca="1" si="5"/>
        <v>0.7959883550057899</v>
      </c>
      <c r="AC288" s="814"/>
      <c r="AD288" s="818" t="s">
        <v>14946</v>
      </c>
      <c r="AE288" s="942"/>
      <c r="AF288" s="923">
        <f>IF(X288=X287,AF287,0)+IF(ISNUMBER(I288),IF(I288&lt;1,I288,I288*VLOOKUP(J288,Summary!$H$2:$I$9,2)),VLOOKUP(J288,Summary!$J$2:$K$9,2)*IF(ISNUMBER(H288),H288,1))</f>
        <v>0.1902777777777778</v>
      </c>
      <c r="AG288" s="291">
        <v>287</v>
      </c>
      <c r="AH288" s="94"/>
      <c r="AI288" s="94"/>
    </row>
    <row r="289" spans="1:35" s="1" customFormat="1" ht="12" customHeight="1" x14ac:dyDescent="0.25">
      <c r="A289" s="423" t="s">
        <v>14570</v>
      </c>
      <c r="B289" s="423">
        <v>1</v>
      </c>
      <c r="C289" s="423">
        <v>23</v>
      </c>
      <c r="D289" s="424" t="s">
        <v>5408</v>
      </c>
      <c r="E289" s="319" t="s">
        <v>5409</v>
      </c>
      <c r="F289" s="198">
        <v>24171</v>
      </c>
      <c r="G289" s="198">
        <v>24192</v>
      </c>
      <c r="H289" s="199">
        <v>4</v>
      </c>
      <c r="I289" s="791">
        <f>TIME(0,24, 0)+TIME(0,25, 0)+TIME(0,24,19)+TIME(0,24,37)</f>
        <v>6.8009259259259269E-2</v>
      </c>
      <c r="J289" s="904" t="s">
        <v>1588</v>
      </c>
      <c r="K289" s="200" t="s">
        <v>5410</v>
      </c>
      <c r="L289" s="200" t="s">
        <v>5411</v>
      </c>
      <c r="M289" s="200"/>
      <c r="N289" s="200" t="s">
        <v>5405</v>
      </c>
      <c r="O289" s="200" t="s">
        <v>1742</v>
      </c>
      <c r="P289" s="197" t="s">
        <v>461</v>
      </c>
      <c r="Q289" s="200" t="s">
        <v>3946</v>
      </c>
      <c r="R289" s="201" t="s">
        <v>5280</v>
      </c>
      <c r="S289" s="390" t="s">
        <v>2602</v>
      </c>
      <c r="T289" s="197"/>
      <c r="U289" s="197"/>
      <c r="V289" s="197" t="s">
        <v>2330</v>
      </c>
      <c r="W289" s="318" t="s">
        <v>8432</v>
      </c>
      <c r="X289" s="650" t="s">
        <v>12313</v>
      </c>
      <c r="Y289" s="358" t="s">
        <v>6141</v>
      </c>
      <c r="Z289" s="253">
        <v>227</v>
      </c>
      <c r="AA289" s="253">
        <v>4</v>
      </c>
      <c r="AB289" s="35">
        <f t="shared" ca="1" si="5"/>
        <v>0.8537121325440804</v>
      </c>
      <c r="AC289" s="820"/>
      <c r="AD289" s="821" t="s">
        <v>16522</v>
      </c>
      <c r="AE289" s="944" t="s">
        <v>12543</v>
      </c>
      <c r="AF289" s="925">
        <f>IF(X289=X288,AF288,0)+IF(ISNUMBER(I289),IF(I289&lt;1,I289,I289*VLOOKUP(J289,Summary!$H$2:$I$9,2)),VLOOKUP(J289,Summary!$J$2:$K$9,2)*IF(ISNUMBER(H289),H289,1))</f>
        <v>0.25828703703703704</v>
      </c>
      <c r="AG289" s="293">
        <v>288</v>
      </c>
      <c r="AH289" s="94"/>
      <c r="AI289" s="94"/>
    </row>
    <row r="290" spans="1:35" s="22" customFormat="1" ht="12" customHeight="1" x14ac:dyDescent="0.2">
      <c r="A290" s="425" t="s">
        <v>14570</v>
      </c>
      <c r="B290" s="425">
        <v>1</v>
      </c>
      <c r="C290" s="425">
        <v>24</v>
      </c>
      <c r="D290" s="426" t="s">
        <v>5412</v>
      </c>
      <c r="E290" s="427" t="s">
        <v>5413</v>
      </c>
      <c r="F290" s="203">
        <v>24199</v>
      </c>
      <c r="G290" s="203">
        <v>24220</v>
      </c>
      <c r="H290" s="204">
        <v>4</v>
      </c>
      <c r="I290" s="791">
        <f>TIME(0,24,40)+TIME(0,24,45)+TIME(0,24,10)+TIME(0,23,57)</f>
        <v>6.773148148148149E-2</v>
      </c>
      <c r="J290" s="905" t="s">
        <v>1588</v>
      </c>
      <c r="K290" s="205" t="s">
        <v>5414</v>
      </c>
      <c r="L290" s="205" t="s">
        <v>5415</v>
      </c>
      <c r="M290" s="205"/>
      <c r="N290" s="205" t="s">
        <v>5405</v>
      </c>
      <c r="O290" s="205" t="s">
        <v>5416</v>
      </c>
      <c r="P290" s="202" t="s">
        <v>461</v>
      </c>
      <c r="Q290" s="205" t="s">
        <v>3946</v>
      </c>
      <c r="R290" s="206" t="s">
        <v>5280</v>
      </c>
      <c r="S290" s="391" t="s">
        <v>2602</v>
      </c>
      <c r="T290" s="202"/>
      <c r="U290" s="202"/>
      <c r="V290" s="202" t="s">
        <v>2330</v>
      </c>
      <c r="W290" s="320" t="s">
        <v>9601</v>
      </c>
      <c r="X290" s="652" t="s">
        <v>12313</v>
      </c>
      <c r="Y290" s="359" t="s">
        <v>5398</v>
      </c>
      <c r="Z290" s="360">
        <v>292</v>
      </c>
      <c r="AA290" s="360">
        <v>2</v>
      </c>
      <c r="AB290" s="36">
        <f t="shared" ca="1" si="5"/>
        <v>0.11048045631902548</v>
      </c>
      <c r="AC290" s="822"/>
      <c r="AD290" s="821" t="s">
        <v>461</v>
      </c>
      <c r="AE290" s="947" t="s">
        <v>9602</v>
      </c>
      <c r="AF290" s="926">
        <f>IF(X290=X289,AF289,0)+IF(ISNUMBER(I290),IF(I290&lt;1,I290,I290*VLOOKUP(J290,Summary!$H$2:$I$9,2)),VLOOKUP(J290,Summary!$J$2:$K$9,2)*IF(ISNUMBER(H290),H290,1))</f>
        <v>0.32601851851851854</v>
      </c>
      <c r="AG290" s="294">
        <v>289</v>
      </c>
      <c r="AH290" s="94"/>
      <c r="AI290" s="94"/>
    </row>
    <row r="291" spans="1:35" s="1" customFormat="1" ht="12" customHeight="1" x14ac:dyDescent="0.25">
      <c r="A291" s="423" t="s">
        <v>14570</v>
      </c>
      <c r="B291" s="423">
        <v>1</v>
      </c>
      <c r="C291" s="423">
        <v>25</v>
      </c>
      <c r="D291" s="424" t="s">
        <v>5417</v>
      </c>
      <c r="E291" s="319" t="s">
        <v>5418</v>
      </c>
      <c r="F291" s="198">
        <v>24227</v>
      </c>
      <c r="G291" s="198">
        <v>24248</v>
      </c>
      <c r="H291" s="199">
        <v>4</v>
      </c>
      <c r="I291" s="791">
        <f>TIME(0,23,48)+TIME(0,23,47)+TIME(0,23,52)+TIME(0,23,53)</f>
        <v>6.6203703703703709E-2</v>
      </c>
      <c r="J291" s="904" t="s">
        <v>1588</v>
      </c>
      <c r="K291" s="200" t="s">
        <v>1740</v>
      </c>
      <c r="L291" s="200" t="s">
        <v>5419</v>
      </c>
      <c r="M291" s="200"/>
      <c r="N291" s="200" t="s">
        <v>5405</v>
      </c>
      <c r="O291" s="200" t="s">
        <v>5416</v>
      </c>
      <c r="P291" s="197" t="s">
        <v>461</v>
      </c>
      <c r="Q291" s="200" t="s">
        <v>3946</v>
      </c>
      <c r="R291" s="201" t="s">
        <v>5280</v>
      </c>
      <c r="S291" s="390" t="s">
        <v>2602</v>
      </c>
      <c r="T291" s="197"/>
      <c r="U291" s="197"/>
      <c r="V291" s="197" t="s">
        <v>2330</v>
      </c>
      <c r="W291" s="318" t="s">
        <v>8433</v>
      </c>
      <c r="X291" s="650" t="s">
        <v>12313</v>
      </c>
      <c r="Y291" s="358" t="s">
        <v>6141</v>
      </c>
      <c r="Z291" s="253">
        <v>197</v>
      </c>
      <c r="AA291" s="253">
        <v>4.5</v>
      </c>
      <c r="AB291" s="35">
        <f t="shared" ca="1" si="5"/>
        <v>8.4426924084125665E-2</v>
      </c>
      <c r="AC291" s="820"/>
      <c r="AD291" s="821" t="s">
        <v>15825</v>
      </c>
      <c r="AE291" s="944"/>
      <c r="AF291" s="925">
        <f>IF(X291=X290,AF290,0)+IF(ISNUMBER(I291),IF(I291&lt;1,I291,I291*VLOOKUP(J291,Summary!$H$2:$I$9,2)),VLOOKUP(J291,Summary!$J$2:$K$9,2)*IF(ISNUMBER(H291),H291,1))</f>
        <v>0.39222222222222225</v>
      </c>
      <c r="AG291" s="293">
        <v>290</v>
      </c>
      <c r="AH291" s="94"/>
      <c r="AI291" s="94"/>
    </row>
    <row r="292" spans="1:35" s="22" customFormat="1" ht="12" customHeight="1" x14ac:dyDescent="0.2">
      <c r="A292" s="412" t="s">
        <v>14570</v>
      </c>
      <c r="B292" s="412">
        <v>1</v>
      </c>
      <c r="C292" s="415">
        <v>2.0099999999999998</v>
      </c>
      <c r="D292" s="407" t="s">
        <v>641</v>
      </c>
      <c r="E292" s="315" t="s">
        <v>5420</v>
      </c>
      <c r="F292" s="169">
        <v>39326</v>
      </c>
      <c r="G292" s="170"/>
      <c r="H292" s="170">
        <v>2</v>
      </c>
      <c r="I292" s="746">
        <f>TIME(1,8,6)</f>
        <v>4.7291666666666669E-2</v>
      </c>
      <c r="J292" s="899" t="s">
        <v>4706</v>
      </c>
      <c r="K292" s="167" t="s">
        <v>941</v>
      </c>
      <c r="L292" s="167" t="s">
        <v>7757</v>
      </c>
      <c r="M292" s="167" t="s">
        <v>8025</v>
      </c>
      <c r="N292" s="167"/>
      <c r="O292" s="167"/>
      <c r="P292" s="168" t="s">
        <v>9160</v>
      </c>
      <c r="Q292" s="167" t="s">
        <v>3947</v>
      </c>
      <c r="R292" s="172" t="s">
        <v>3153</v>
      </c>
      <c r="S292" s="388" t="s">
        <v>2602</v>
      </c>
      <c r="T292" s="168"/>
      <c r="U292" s="168"/>
      <c r="V292" s="168" t="s">
        <v>2330</v>
      </c>
      <c r="W292" s="312" t="s">
        <v>8657</v>
      </c>
      <c r="X292" s="644" t="s">
        <v>12313</v>
      </c>
      <c r="Y292" s="352" t="s">
        <v>4262</v>
      </c>
      <c r="Z292" s="353"/>
      <c r="AA292" s="353"/>
      <c r="AB292" s="31">
        <f t="shared" ca="1" si="5"/>
        <v>0.8162892790138131</v>
      </c>
      <c r="AC292" s="810"/>
      <c r="AD292" s="811" t="s">
        <v>16564</v>
      </c>
      <c r="AE292" s="940"/>
      <c r="AF292" s="920">
        <f>IF(X292=X291,AF291,0)+IF(ISNUMBER(I292),IF(I292&lt;1,I292,I292*VLOOKUP(J292,Summary!$H$2:$I$9,2)),VLOOKUP(J292,Summary!$J$2:$K$9,2)*IF(ISNUMBER(H292),H292,1))</f>
        <v>0.43951388888888893</v>
      </c>
      <c r="AG292" s="287">
        <v>291</v>
      </c>
      <c r="AH292" s="94"/>
      <c r="AI292" s="94"/>
    </row>
    <row r="293" spans="1:35" s="22" customFormat="1" ht="12" customHeight="1" x14ac:dyDescent="0.25">
      <c r="A293" s="418" t="s">
        <v>14570</v>
      </c>
      <c r="B293" s="418">
        <v>1</v>
      </c>
      <c r="C293" s="418">
        <v>1</v>
      </c>
      <c r="D293" s="192" t="s">
        <v>12627</v>
      </c>
      <c r="E293" s="317" t="s">
        <v>12628</v>
      </c>
      <c r="F293" s="209">
        <v>42985</v>
      </c>
      <c r="G293" s="192"/>
      <c r="H293" s="192" t="s">
        <v>461</v>
      </c>
      <c r="I293" s="192"/>
      <c r="J293" s="903" t="s">
        <v>2755</v>
      </c>
      <c r="K293" s="194" t="s">
        <v>4552</v>
      </c>
      <c r="L293" s="194" t="s">
        <v>12629</v>
      </c>
      <c r="M293" s="194" t="s">
        <v>12630</v>
      </c>
      <c r="N293" s="194"/>
      <c r="O293" s="194"/>
      <c r="P293" s="190" t="s">
        <v>12632</v>
      </c>
      <c r="Q293" s="194" t="s">
        <v>3954</v>
      </c>
      <c r="R293" s="193" t="s">
        <v>12631</v>
      </c>
      <c r="S293" s="357" t="s">
        <v>2602</v>
      </c>
      <c r="T293" s="190"/>
      <c r="U293" s="190"/>
      <c r="V293" s="190" t="s">
        <v>2330</v>
      </c>
      <c r="W293" s="317" t="s">
        <v>12628</v>
      </c>
      <c r="X293" s="649" t="s">
        <v>12313</v>
      </c>
      <c r="Y293" s="357"/>
      <c r="Z293" s="192"/>
      <c r="AA293" s="192"/>
      <c r="AB293" s="37">
        <f t="shared" ca="1" si="5"/>
        <v>0.56455273403955542</v>
      </c>
      <c r="AC293" s="816"/>
      <c r="AD293" s="817" t="s">
        <v>461</v>
      </c>
      <c r="AE293" s="943"/>
      <c r="AF293" s="924">
        <f>IF(X293=X292,AF292,0)+IF(ISNUMBER(I293),IF(I293&lt;1,I293,I293*VLOOKUP(J293,Summary!$H$2:$I$9,2)),VLOOKUP(J293,Summary!$J$2:$K$9,2)*IF(ISNUMBER(H293),H293,1))</f>
        <v>0.45687500000000003</v>
      </c>
      <c r="AG293" s="292">
        <v>292</v>
      </c>
      <c r="AH293" s="94"/>
      <c r="AI293" s="94"/>
    </row>
    <row r="294" spans="1:35" s="2" customFormat="1" ht="12" customHeight="1" x14ac:dyDescent="0.25">
      <c r="A294" s="413" t="s">
        <v>14570</v>
      </c>
      <c r="B294" s="413">
        <v>1</v>
      </c>
      <c r="C294" s="413">
        <v>1.07</v>
      </c>
      <c r="D294" s="176" t="s">
        <v>6407</v>
      </c>
      <c r="E294" s="313" t="s">
        <v>193</v>
      </c>
      <c r="F294" s="176">
        <v>1994</v>
      </c>
      <c r="G294" s="176"/>
      <c r="H294" s="176">
        <v>1</v>
      </c>
      <c r="I294" s="176">
        <v>19</v>
      </c>
      <c r="J294" s="900" t="s">
        <v>2755</v>
      </c>
      <c r="K294" s="164" t="s">
        <v>3519</v>
      </c>
      <c r="L294" s="164" t="s">
        <v>461</v>
      </c>
      <c r="M294" s="164"/>
      <c r="N294" s="164" t="s">
        <v>7001</v>
      </c>
      <c r="O294" s="164"/>
      <c r="P294" s="173" t="s">
        <v>7002</v>
      </c>
      <c r="Q294" s="164" t="s">
        <v>6548</v>
      </c>
      <c r="R294" s="177" t="s">
        <v>4598</v>
      </c>
      <c r="S294" s="354" t="s">
        <v>2602</v>
      </c>
      <c r="T294" s="173">
        <v>6</v>
      </c>
      <c r="U294" s="173"/>
      <c r="V294" s="173" t="s">
        <v>2330</v>
      </c>
      <c r="W294" s="313" t="s">
        <v>193</v>
      </c>
      <c r="X294" s="645" t="s">
        <v>12313</v>
      </c>
      <c r="Y294" s="354" t="s">
        <v>6868</v>
      </c>
      <c r="Z294" s="176">
        <v>999</v>
      </c>
      <c r="AA294" s="176"/>
      <c r="AB294" s="32">
        <f t="shared" ca="1" si="5"/>
        <v>0.40292666791625276</v>
      </c>
      <c r="AC294" s="812"/>
      <c r="AD294" s="763"/>
      <c r="AE294" s="807"/>
      <c r="AF294" s="921">
        <f>IF(X294=X293,AF293,0)+IF(ISNUMBER(I294),IF(I294&lt;1,I294,I294*VLOOKUP(J294,Summary!$H$2:$I$9,2)),VLOOKUP(J294,Summary!$J$2:$K$9,2)*IF(ISNUMBER(H294),H294,1))</f>
        <v>0.47006944444444448</v>
      </c>
      <c r="AG294" s="289">
        <v>293</v>
      </c>
      <c r="AH294" s="94"/>
      <c r="AI294" s="94"/>
    </row>
    <row r="295" spans="1:35" ht="12" customHeight="1" x14ac:dyDescent="0.25">
      <c r="A295" s="413" t="s">
        <v>14570</v>
      </c>
      <c r="B295" s="413">
        <v>1</v>
      </c>
      <c r="C295" s="414">
        <v>6.05</v>
      </c>
      <c r="D295" s="192" t="s">
        <v>10202</v>
      </c>
      <c r="E295" s="323" t="s">
        <v>10203</v>
      </c>
      <c r="F295" s="209">
        <v>42521</v>
      </c>
      <c r="G295" s="209"/>
      <c r="H295" s="192">
        <v>1</v>
      </c>
      <c r="I295" s="753">
        <f>TIME(0,35,52)</f>
        <v>2.4907407407407406E-2</v>
      </c>
      <c r="J295" s="903" t="s">
        <v>2755</v>
      </c>
      <c r="K295" s="194" t="s">
        <v>7797</v>
      </c>
      <c r="L295" s="194" t="s">
        <v>5662</v>
      </c>
      <c r="M295" s="194" t="s">
        <v>7564</v>
      </c>
      <c r="N295" s="194"/>
      <c r="O295" s="194"/>
      <c r="P295" s="190" t="s">
        <v>10204</v>
      </c>
      <c r="Q295" s="194" t="s">
        <v>3947</v>
      </c>
      <c r="R295" s="193" t="s">
        <v>2722</v>
      </c>
      <c r="S295" s="357" t="s">
        <v>2602</v>
      </c>
      <c r="T295" s="190"/>
      <c r="U295" s="190"/>
      <c r="V295" s="190" t="s">
        <v>2330</v>
      </c>
      <c r="W295" s="323" t="s">
        <v>10203</v>
      </c>
      <c r="X295" s="655" t="s">
        <v>12313</v>
      </c>
      <c r="Y295" s="357" t="s">
        <v>5643</v>
      </c>
      <c r="Z295" s="160"/>
      <c r="AA295" s="192"/>
      <c r="AB295" s="37">
        <f t="shared" ca="1" si="5"/>
        <v>0.10151000532792509</v>
      </c>
      <c r="AC295" s="816"/>
      <c r="AD295" s="817" t="s">
        <v>16853</v>
      </c>
      <c r="AE295" s="943"/>
      <c r="AF295" s="924">
        <f>IF(X295=X294,AF294,0)+IF(ISNUMBER(I295),IF(I295&lt;1,I295,I295*VLOOKUP(J295,Summary!$H$2:$I$9,2)),VLOOKUP(J295,Summary!$J$2:$K$9,2)*IF(ISNUMBER(H295),H295,1))</f>
        <v>0.49497685185185192</v>
      </c>
      <c r="AG295" s="292">
        <v>294</v>
      </c>
      <c r="AH295" s="94"/>
      <c r="AI295" s="94"/>
    </row>
    <row r="296" spans="1:35" s="8" customFormat="1" ht="12" customHeight="1" x14ac:dyDescent="0.25">
      <c r="A296" s="413" t="s">
        <v>14570</v>
      </c>
      <c r="B296" s="413">
        <v>1</v>
      </c>
      <c r="C296" s="414">
        <v>2.06</v>
      </c>
      <c r="D296" s="176" t="s">
        <v>190</v>
      </c>
      <c r="E296" s="313" t="s">
        <v>191</v>
      </c>
      <c r="F296" s="174">
        <v>36220</v>
      </c>
      <c r="G296" s="174"/>
      <c r="H296" s="176">
        <v>1</v>
      </c>
      <c r="I296" s="176">
        <v>16</v>
      </c>
      <c r="J296" s="900" t="s">
        <v>2755</v>
      </c>
      <c r="K296" s="164" t="s">
        <v>7375</v>
      </c>
      <c r="L296" s="164" t="s">
        <v>461</v>
      </c>
      <c r="M296" s="164"/>
      <c r="N296" s="164" t="s">
        <v>6237</v>
      </c>
      <c r="O296" s="164"/>
      <c r="P296" s="173" t="s">
        <v>6561</v>
      </c>
      <c r="Q296" s="164" t="s">
        <v>3953</v>
      </c>
      <c r="R296" s="177" t="s">
        <v>2723</v>
      </c>
      <c r="S296" s="354" t="s">
        <v>2602</v>
      </c>
      <c r="T296" s="173"/>
      <c r="U296" s="173"/>
      <c r="V296" s="173" t="s">
        <v>2330</v>
      </c>
      <c r="W296" s="313" t="s">
        <v>191</v>
      </c>
      <c r="X296" s="645" t="s">
        <v>12313</v>
      </c>
      <c r="Y296" s="354" t="s">
        <v>6868</v>
      </c>
      <c r="Z296" s="176">
        <v>999</v>
      </c>
      <c r="AA296" s="176"/>
      <c r="AB296" s="32">
        <f t="shared" ca="1" si="5"/>
        <v>0.4626582574088528</v>
      </c>
      <c r="AC296" s="812"/>
      <c r="AD296" s="763"/>
      <c r="AE296" s="807"/>
      <c r="AF296" s="921">
        <f>IF(X296=X295,AF295,0)+IF(ISNUMBER(I296),IF(I296&lt;1,I296,I296*VLOOKUP(J296,Summary!$H$2:$I$9,2)),VLOOKUP(J296,Summary!$J$2:$K$9,2)*IF(ISNUMBER(H296),H296,1))</f>
        <v>0.50608796296296299</v>
      </c>
      <c r="AG296" s="289">
        <v>295</v>
      </c>
      <c r="AH296" s="94"/>
      <c r="AI296" s="94"/>
    </row>
    <row r="297" spans="1:35" s="22" customFormat="1" ht="12" customHeight="1" x14ac:dyDescent="0.2">
      <c r="A297" s="412" t="s">
        <v>14570</v>
      </c>
      <c r="B297" s="412">
        <v>1</v>
      </c>
      <c r="C297" s="441">
        <v>6.0140000000000002</v>
      </c>
      <c r="D297" s="407" t="s">
        <v>3332</v>
      </c>
      <c r="E297" s="315" t="s">
        <v>7565</v>
      </c>
      <c r="F297" s="169">
        <v>40725</v>
      </c>
      <c r="G297" s="170"/>
      <c r="H297" s="170">
        <v>1</v>
      </c>
      <c r="I297" s="170">
        <v>0</v>
      </c>
      <c r="J297" s="899" t="s">
        <v>4706</v>
      </c>
      <c r="K297" s="167" t="s">
        <v>177</v>
      </c>
      <c r="L297" s="167" t="s">
        <v>5662</v>
      </c>
      <c r="M297" s="167" t="s">
        <v>7564</v>
      </c>
      <c r="N297" s="167"/>
      <c r="O297" s="167"/>
      <c r="P297" s="168" t="s">
        <v>6703</v>
      </c>
      <c r="Q297" s="167" t="s">
        <v>3947</v>
      </c>
      <c r="R297" s="172" t="s">
        <v>3153</v>
      </c>
      <c r="S297" s="388" t="s">
        <v>2602</v>
      </c>
      <c r="T297" s="168"/>
      <c r="U297" s="168"/>
      <c r="V297" s="168" t="s">
        <v>2330</v>
      </c>
      <c r="W297" s="312" t="s">
        <v>8658</v>
      </c>
      <c r="X297" s="644" t="s">
        <v>12313</v>
      </c>
      <c r="Y297" s="352" t="s">
        <v>5643</v>
      </c>
      <c r="Z297" s="353" t="s">
        <v>461</v>
      </c>
      <c r="AA297" s="353"/>
      <c r="AB297" s="31">
        <f t="shared" ca="1" si="5"/>
        <v>4.7342086287923024E-2</v>
      </c>
      <c r="AC297" s="810"/>
      <c r="AD297" s="811" t="s">
        <v>16655</v>
      </c>
      <c r="AE297" s="940"/>
      <c r="AF297" s="920">
        <f>IF(X297=X296,AF296,0)+IF(ISNUMBER(I297),IF(I297&lt;1,I297,I297*VLOOKUP(J297,Summary!$H$2:$I$9,2)),VLOOKUP(J297,Summary!$J$2:$K$9,2)*IF(ISNUMBER(H297),H297,1))</f>
        <v>0.50608796296296299</v>
      </c>
      <c r="AG297" s="287">
        <v>296</v>
      </c>
      <c r="AH297" s="94"/>
      <c r="AI297" s="94"/>
    </row>
    <row r="298" spans="1:35" s="22" customFormat="1" ht="12" customHeight="1" x14ac:dyDescent="0.25">
      <c r="A298" s="416" t="s">
        <v>14570</v>
      </c>
      <c r="B298" s="416">
        <v>1</v>
      </c>
      <c r="C298" s="416">
        <v>39</v>
      </c>
      <c r="D298" s="417" t="s">
        <v>5421</v>
      </c>
      <c r="E298" s="316" t="s">
        <v>5422</v>
      </c>
      <c r="F298" s="187">
        <v>36923</v>
      </c>
      <c r="G298" s="188"/>
      <c r="H298" s="188" t="str">
        <f>IF(J298="Book","n/a","")</f>
        <v>n/a</v>
      </c>
      <c r="I298" s="188">
        <v>288</v>
      </c>
      <c r="J298" s="902" t="s">
        <v>6868</v>
      </c>
      <c r="K298" s="162" t="s">
        <v>6235</v>
      </c>
      <c r="L298" s="162" t="str">
        <f>IF(J298="Book","n/a","")</f>
        <v>n/a</v>
      </c>
      <c r="M298" s="162"/>
      <c r="N298" s="162"/>
      <c r="O298" s="162"/>
      <c r="P298" s="178" t="s">
        <v>8964</v>
      </c>
      <c r="Q298" s="162" t="s">
        <v>3953</v>
      </c>
      <c r="R298" s="189" t="s">
        <v>2717</v>
      </c>
      <c r="S298" s="366" t="s">
        <v>2602</v>
      </c>
      <c r="T298" s="178"/>
      <c r="U298" s="178"/>
      <c r="V298" s="178" t="s">
        <v>2330</v>
      </c>
      <c r="W298" s="316" t="s">
        <v>5422</v>
      </c>
      <c r="X298" s="648" t="s">
        <v>12313</v>
      </c>
      <c r="Y298" s="356" t="s">
        <v>6868</v>
      </c>
      <c r="Z298" s="272"/>
      <c r="AA298" s="272"/>
      <c r="AB298" s="34">
        <f t="shared" ca="1" si="5"/>
        <v>0.41643841395500603</v>
      </c>
      <c r="AC298" s="814"/>
      <c r="AD298" s="815" t="s">
        <v>15079</v>
      </c>
      <c r="AE298" s="942"/>
      <c r="AF298" s="923">
        <f>IF(X298=X297,AF297,0)+IF(ISNUMBER(I298),IF(I298&lt;1,I298,I298*VLOOKUP(J298,Summary!$H$2:$I$9,2)),VLOOKUP(J298,Summary!$J$2:$K$9,2)*IF(ISNUMBER(H298),H298,1))</f>
        <v>0.70608796296296306</v>
      </c>
      <c r="AG298" s="291">
        <v>297</v>
      </c>
      <c r="AH298" s="94"/>
      <c r="AI298" s="94"/>
    </row>
    <row r="299" spans="1:35" s="22" customFormat="1" ht="12" customHeight="1" x14ac:dyDescent="0.2">
      <c r="A299" s="412" t="s">
        <v>14570</v>
      </c>
      <c r="B299" s="412">
        <v>1</v>
      </c>
      <c r="C299" s="415">
        <v>7.05</v>
      </c>
      <c r="D299" s="407" t="s">
        <v>6221</v>
      </c>
      <c r="E299" s="315" t="s">
        <v>6222</v>
      </c>
      <c r="F299" s="169">
        <v>41214</v>
      </c>
      <c r="G299" s="170"/>
      <c r="H299" s="170">
        <v>2</v>
      </c>
      <c r="I299" s="746">
        <f>TIME(1,7,46)</f>
        <v>4.7060185185185184E-2</v>
      </c>
      <c r="J299" s="899" t="s">
        <v>4706</v>
      </c>
      <c r="K299" s="167" t="s">
        <v>6452</v>
      </c>
      <c r="L299" s="167" t="s">
        <v>5662</v>
      </c>
      <c r="M299" s="167" t="s">
        <v>6916</v>
      </c>
      <c r="N299" s="167"/>
      <c r="O299" s="167"/>
      <c r="P299" s="168" t="s">
        <v>6917</v>
      </c>
      <c r="Q299" s="167" t="s">
        <v>3947</v>
      </c>
      <c r="R299" s="172" t="s">
        <v>3153</v>
      </c>
      <c r="S299" s="388" t="s">
        <v>2602</v>
      </c>
      <c r="T299" s="168"/>
      <c r="U299" s="168"/>
      <c r="V299" s="168" t="s">
        <v>2330</v>
      </c>
      <c r="W299" s="312" t="s">
        <v>8434</v>
      </c>
      <c r="X299" s="644" t="s">
        <v>12313</v>
      </c>
      <c r="Y299" s="352" t="s">
        <v>5398</v>
      </c>
      <c r="Z299" s="353">
        <v>241</v>
      </c>
      <c r="AA299" s="353">
        <v>5.5</v>
      </c>
      <c r="AB299" s="31">
        <f t="shared" ca="1" si="5"/>
        <v>0.14565651984833716</v>
      </c>
      <c r="AC299" s="810"/>
      <c r="AD299" s="811"/>
      <c r="AE299" s="940"/>
      <c r="AF299" s="920">
        <f>IF(X299=X298,AF298,0)+IF(ISNUMBER(I299),IF(I299&lt;1,I299,I299*VLOOKUP(J299,Summary!$H$2:$I$9,2)),VLOOKUP(J299,Summary!$J$2:$K$9,2)*IF(ISNUMBER(H299),H299,1))</f>
        <v>0.75314814814814823</v>
      </c>
      <c r="AG299" s="287">
        <v>298</v>
      </c>
      <c r="AH299" s="94"/>
      <c r="AI299" s="94"/>
    </row>
    <row r="300" spans="1:35" s="1" customFormat="1" ht="12" customHeight="1" x14ac:dyDescent="0.25">
      <c r="A300" s="413" t="s">
        <v>14570</v>
      </c>
      <c r="B300" s="413">
        <v>1</v>
      </c>
      <c r="C300" s="442">
        <v>6</v>
      </c>
      <c r="D300" s="176" t="s">
        <v>9280</v>
      </c>
      <c r="E300" s="313" t="s">
        <v>9277</v>
      </c>
      <c r="F300" s="175">
        <v>41802</v>
      </c>
      <c r="G300" s="174"/>
      <c r="H300" s="176">
        <v>1</v>
      </c>
      <c r="I300" s="176">
        <v>10</v>
      </c>
      <c r="J300" s="900" t="s">
        <v>2755</v>
      </c>
      <c r="K300" s="164" t="s">
        <v>9281</v>
      </c>
      <c r="L300" s="164" t="s">
        <v>461</v>
      </c>
      <c r="M300" s="164"/>
      <c r="N300" s="164" t="s">
        <v>543</v>
      </c>
      <c r="O300" s="164"/>
      <c r="P300" s="173" t="s">
        <v>9278</v>
      </c>
      <c r="Q300" s="164" t="s">
        <v>3953</v>
      </c>
      <c r="R300" s="177" t="s">
        <v>9279</v>
      </c>
      <c r="S300" s="354"/>
      <c r="T300" s="173"/>
      <c r="U300" s="173"/>
      <c r="V300" s="173"/>
      <c r="W300" s="313" t="s">
        <v>9277</v>
      </c>
      <c r="X300" s="645" t="s">
        <v>12313</v>
      </c>
      <c r="Y300" s="354" t="s">
        <v>6868</v>
      </c>
      <c r="Z300" s="272"/>
      <c r="AA300" s="176"/>
      <c r="AB300" s="32">
        <f t="shared" ca="1" si="5"/>
        <v>0.39947911686093296</v>
      </c>
      <c r="AC300" s="812"/>
      <c r="AD300" s="763"/>
      <c r="AE300" s="807"/>
      <c r="AF300" s="921">
        <f>IF(X300=X299,AF299,0)+IF(ISNUMBER(I300),IF(I300&lt;1,I300,I300*VLOOKUP(J300,Summary!$H$2:$I$9,2)),VLOOKUP(J300,Summary!$J$2:$K$9,2)*IF(ISNUMBER(H300),H300,1))</f>
        <v>0.76009259259259265</v>
      </c>
      <c r="AG300" s="289">
        <v>299</v>
      </c>
      <c r="AH300" s="94"/>
      <c r="AI300" s="94"/>
    </row>
    <row r="301" spans="1:35" s="29" customFormat="1" ht="12" customHeight="1" x14ac:dyDescent="0.25">
      <c r="A301" s="412" t="s">
        <v>14570</v>
      </c>
      <c r="B301" s="412">
        <v>1</v>
      </c>
      <c r="C301" s="415">
        <v>8.1</v>
      </c>
      <c r="D301" s="407" t="s">
        <v>8078</v>
      </c>
      <c r="E301" s="315" t="s">
        <v>8079</v>
      </c>
      <c r="F301" s="196">
        <v>41373</v>
      </c>
      <c r="G301" s="170"/>
      <c r="H301" s="170">
        <v>2</v>
      </c>
      <c r="I301" s="746">
        <f>TIME(1,4,16)</f>
        <v>4.462962962962963E-2</v>
      </c>
      <c r="J301" s="899" t="s">
        <v>4706</v>
      </c>
      <c r="K301" s="167" t="s">
        <v>5664</v>
      </c>
      <c r="L301" s="167" t="s">
        <v>5662</v>
      </c>
      <c r="M301" s="167" t="s">
        <v>8080</v>
      </c>
      <c r="N301" s="167"/>
      <c r="O301" s="167"/>
      <c r="P301" s="168" t="s">
        <v>8081</v>
      </c>
      <c r="Q301" s="167" t="s">
        <v>3947</v>
      </c>
      <c r="R301" s="172" t="s">
        <v>3153</v>
      </c>
      <c r="S301" s="388" t="s">
        <v>2602</v>
      </c>
      <c r="T301" s="168"/>
      <c r="U301" s="168"/>
      <c r="V301" s="168" t="s">
        <v>2330</v>
      </c>
      <c r="W301" s="312" t="s">
        <v>9528</v>
      </c>
      <c r="X301" s="644" t="s">
        <v>12313</v>
      </c>
      <c r="Y301" s="352" t="s">
        <v>5643</v>
      </c>
      <c r="Z301" s="353">
        <v>143</v>
      </c>
      <c r="AA301" s="353">
        <v>6.5</v>
      </c>
      <c r="AB301" s="31">
        <f t="shared" ca="1" si="5"/>
        <v>0.53506822684890265</v>
      </c>
      <c r="AC301" s="810"/>
      <c r="AD301" s="811"/>
      <c r="AE301" s="940"/>
      <c r="AF301" s="920">
        <f>IF(X301=X300,AF300,0)+IF(ISNUMBER(I301),IF(I301&lt;1,I301,I301*VLOOKUP(J301,Summary!$H$2:$I$9,2)),VLOOKUP(J301,Summary!$J$2:$K$9,2)*IF(ISNUMBER(H301),H301,1))</f>
        <v>0.80472222222222234</v>
      </c>
      <c r="AG301" s="287">
        <v>300</v>
      </c>
      <c r="AH301" s="94"/>
      <c r="AI301" s="94"/>
    </row>
    <row r="302" spans="1:35" s="22" customFormat="1" ht="12" customHeight="1" x14ac:dyDescent="0.25">
      <c r="A302" s="425" t="s">
        <v>14570</v>
      </c>
      <c r="B302" s="425">
        <v>1</v>
      </c>
      <c r="C302" s="425">
        <v>26</v>
      </c>
      <c r="D302" s="426" t="s">
        <v>5423</v>
      </c>
      <c r="E302" s="427" t="s">
        <v>5424</v>
      </c>
      <c r="F302" s="198">
        <v>24255</v>
      </c>
      <c r="G302" s="198">
        <v>24276</v>
      </c>
      <c r="H302" s="204">
        <v>4</v>
      </c>
      <c r="I302" s="791">
        <f>TIME(0,23,41)+TIME(0,23,57)+TIME(0,24,59)+TIME(0,24,41)</f>
        <v>6.7569444444444446E-2</v>
      </c>
      <c r="J302" s="905" t="s">
        <v>1588</v>
      </c>
      <c r="K302" s="205" t="s">
        <v>5425</v>
      </c>
      <c r="L302" s="205" t="s">
        <v>30</v>
      </c>
      <c r="M302" s="205"/>
      <c r="N302" s="205" t="s">
        <v>5405</v>
      </c>
      <c r="O302" s="205" t="s">
        <v>5416</v>
      </c>
      <c r="P302" s="202" t="s">
        <v>461</v>
      </c>
      <c r="Q302" s="205" t="s">
        <v>3946</v>
      </c>
      <c r="R302" s="206" t="s">
        <v>5280</v>
      </c>
      <c r="S302" s="391" t="s">
        <v>2602</v>
      </c>
      <c r="T302" s="202"/>
      <c r="U302" s="202"/>
      <c r="V302" s="202" t="s">
        <v>2330</v>
      </c>
      <c r="W302" s="320" t="s">
        <v>9603</v>
      </c>
      <c r="X302" s="652" t="s">
        <v>12313</v>
      </c>
      <c r="Y302" s="359" t="s">
        <v>5423</v>
      </c>
      <c r="Z302" s="253">
        <v>102</v>
      </c>
      <c r="AA302" s="360">
        <v>7</v>
      </c>
      <c r="AB302" s="35">
        <f t="shared" ca="1" si="5"/>
        <v>0.51000315481839864</v>
      </c>
      <c r="AC302" s="820"/>
      <c r="AD302" s="821"/>
      <c r="AE302" s="947" t="s">
        <v>9592</v>
      </c>
      <c r="AF302" s="926">
        <f>IF(X302=X301,AF301,0)+IF(ISNUMBER(I302),IF(I302&lt;1,I302,I302*VLOOKUP(J302,Summary!$H$2:$I$9,2)),VLOOKUP(J302,Summary!$J$2:$K$9,2)*IF(ISNUMBER(H302),H302,1))</f>
        <v>0.8722916666666668</v>
      </c>
      <c r="AG302" s="294">
        <v>301</v>
      </c>
      <c r="AH302" s="94"/>
      <c r="AI302" s="94"/>
    </row>
    <row r="303" spans="1:35" s="22" customFormat="1" ht="12" customHeight="1" x14ac:dyDescent="0.25">
      <c r="A303" s="413" t="s">
        <v>14570</v>
      </c>
      <c r="B303" s="413">
        <v>1</v>
      </c>
      <c r="C303" s="413">
        <v>3.03</v>
      </c>
      <c r="D303" s="176" t="s">
        <v>3520</v>
      </c>
      <c r="E303" s="313" t="s">
        <v>3521</v>
      </c>
      <c r="F303" s="176">
        <v>1996</v>
      </c>
      <c r="G303" s="176"/>
      <c r="H303" s="176" t="s">
        <v>461</v>
      </c>
      <c r="I303" s="176"/>
      <c r="J303" s="900" t="s">
        <v>2755</v>
      </c>
      <c r="K303" s="164" t="s">
        <v>3522</v>
      </c>
      <c r="L303" s="164" t="s">
        <v>461</v>
      </c>
      <c r="M303" s="164"/>
      <c r="N303" s="164" t="s">
        <v>333</v>
      </c>
      <c r="O303" s="164"/>
      <c r="P303" s="173" t="s">
        <v>3523</v>
      </c>
      <c r="Q303" s="164" t="s">
        <v>6548</v>
      </c>
      <c r="R303" s="177" t="s">
        <v>4598</v>
      </c>
      <c r="S303" s="354" t="s">
        <v>2602</v>
      </c>
      <c r="T303" s="173"/>
      <c r="U303" s="173"/>
      <c r="V303" s="173"/>
      <c r="W303" s="313" t="s">
        <v>3521</v>
      </c>
      <c r="X303" s="645" t="s">
        <v>12313</v>
      </c>
      <c r="Y303" s="354" t="s">
        <v>6868</v>
      </c>
      <c r="Z303" s="176">
        <v>46</v>
      </c>
      <c r="AA303" s="176">
        <v>4</v>
      </c>
      <c r="AB303" s="32">
        <f t="shared" ca="1" si="5"/>
        <v>0.80399788041369524</v>
      </c>
      <c r="AC303" s="812"/>
      <c r="AD303" s="763"/>
      <c r="AE303" s="807"/>
      <c r="AF303" s="921">
        <f>IF(X303=X302,AF302,0)+IF(ISNUMBER(I303),IF(I303&lt;1,I303,I303*VLOOKUP(J303,Summary!$H$2:$I$9,2)),VLOOKUP(J303,Summary!$J$2:$K$9,2)*IF(ISNUMBER(H303),H303,1))</f>
        <v>0.88965277777777796</v>
      </c>
      <c r="AG303" s="289">
        <v>302</v>
      </c>
      <c r="AH303" s="94"/>
      <c r="AI303" s="94"/>
    </row>
    <row r="304" spans="1:35" s="22" customFormat="1" ht="12" customHeight="1" x14ac:dyDescent="0.25">
      <c r="A304" s="413" t="s">
        <v>14570</v>
      </c>
      <c r="B304" s="413">
        <v>1</v>
      </c>
      <c r="C304" s="414">
        <v>1.0900000000000001</v>
      </c>
      <c r="D304" s="176" t="s">
        <v>3524</v>
      </c>
      <c r="E304" s="313" t="s">
        <v>3525</v>
      </c>
      <c r="F304" s="174">
        <v>35855</v>
      </c>
      <c r="G304" s="174"/>
      <c r="H304" s="176">
        <v>1</v>
      </c>
      <c r="I304" s="176">
        <v>14</v>
      </c>
      <c r="J304" s="900" t="s">
        <v>2755</v>
      </c>
      <c r="K304" s="164" t="s">
        <v>3526</v>
      </c>
      <c r="L304" s="164" t="s">
        <v>461</v>
      </c>
      <c r="M304" s="164"/>
      <c r="N304" s="164" t="s">
        <v>6237</v>
      </c>
      <c r="O304" s="164"/>
      <c r="P304" s="173" t="s">
        <v>5042</v>
      </c>
      <c r="Q304" s="164" t="s">
        <v>3953</v>
      </c>
      <c r="R304" s="177" t="s">
        <v>2723</v>
      </c>
      <c r="S304" s="354" t="s">
        <v>2602</v>
      </c>
      <c r="T304" s="173"/>
      <c r="U304" s="173"/>
      <c r="V304" s="173"/>
      <c r="W304" s="313" t="s">
        <v>3525</v>
      </c>
      <c r="X304" s="645" t="s">
        <v>12313</v>
      </c>
      <c r="Y304" s="354" t="s">
        <v>6868</v>
      </c>
      <c r="Z304" s="176">
        <v>999</v>
      </c>
      <c r="AA304" s="176"/>
      <c r="AB304" s="32">
        <f t="shared" ca="1" si="5"/>
        <v>7.5683809454822115E-2</v>
      </c>
      <c r="AC304" s="812"/>
      <c r="AD304" s="763"/>
      <c r="AE304" s="807"/>
      <c r="AF304" s="921">
        <f>IF(X304=X303,AF303,0)+IF(ISNUMBER(I304),IF(I304&lt;1,I304,I304*VLOOKUP(J304,Summary!$H$2:$I$9,2)),VLOOKUP(J304,Summary!$J$2:$K$9,2)*IF(ISNUMBER(H304),H304,1))</f>
        <v>0.89937500000000015</v>
      </c>
      <c r="AG304" s="289">
        <v>303</v>
      </c>
      <c r="AH304" s="94"/>
      <c r="AI304" s="94"/>
    </row>
    <row r="305" spans="1:36" s="22" customFormat="1" ht="12" customHeight="1" x14ac:dyDescent="0.25">
      <c r="A305" s="413" t="s">
        <v>14570</v>
      </c>
      <c r="B305" s="413">
        <v>1</v>
      </c>
      <c r="C305" s="414">
        <v>0.26</v>
      </c>
      <c r="D305" s="192" t="s">
        <v>13139</v>
      </c>
      <c r="E305" s="323" t="s">
        <v>10205</v>
      </c>
      <c r="F305" s="191">
        <v>42430</v>
      </c>
      <c r="G305" s="209"/>
      <c r="H305" s="192" t="s">
        <v>461</v>
      </c>
      <c r="I305" s="753"/>
      <c r="J305" s="903" t="s">
        <v>2755</v>
      </c>
      <c r="K305" s="194" t="s">
        <v>4058</v>
      </c>
      <c r="L305" s="194" t="s">
        <v>3365</v>
      </c>
      <c r="M305" s="194" t="s">
        <v>9290</v>
      </c>
      <c r="N305" s="194"/>
      <c r="O305" s="194"/>
      <c r="P305" s="190" t="s">
        <v>461</v>
      </c>
      <c r="Q305" s="194" t="s">
        <v>3947</v>
      </c>
      <c r="R305" s="193" t="s">
        <v>2722</v>
      </c>
      <c r="S305" s="357" t="s">
        <v>2602</v>
      </c>
      <c r="T305" s="190"/>
      <c r="U305" s="190"/>
      <c r="V305" s="190"/>
      <c r="W305" s="323" t="s">
        <v>10205</v>
      </c>
      <c r="X305" s="655" t="s">
        <v>12313</v>
      </c>
      <c r="Y305" s="357"/>
      <c r="Z305" s="160"/>
      <c r="AA305" s="192"/>
      <c r="AB305" s="37">
        <f t="shared" ca="1" si="5"/>
        <v>0.71519814474083099</v>
      </c>
      <c r="AC305" s="816"/>
      <c r="AD305" s="817" t="s">
        <v>16612</v>
      </c>
      <c r="AE305" s="943" t="s">
        <v>12543</v>
      </c>
      <c r="AF305" s="924">
        <f>IF(X305=X304,AF304,0)+IF(ISNUMBER(I305),IF(I305&lt;1,I305,I305*VLOOKUP(J305,Summary!$H$2:$I$9,2)),VLOOKUP(J305,Summary!$J$2:$K$9,2)*IF(ISNUMBER(H305),H305,1))</f>
        <v>0.91673611111111131</v>
      </c>
      <c r="AG305" s="292">
        <v>304</v>
      </c>
      <c r="AH305" s="94"/>
      <c r="AI305" s="94"/>
    </row>
    <row r="306" spans="1:36" s="1" customFormat="1" ht="12" customHeight="1" x14ac:dyDescent="0.25">
      <c r="A306" s="416" t="s">
        <v>14570</v>
      </c>
      <c r="B306" s="416">
        <v>1</v>
      </c>
      <c r="C306" s="416">
        <v>19</v>
      </c>
      <c r="D306" s="417" t="s">
        <v>5426</v>
      </c>
      <c r="E306" s="316" t="s">
        <v>5427</v>
      </c>
      <c r="F306" s="187">
        <v>35096</v>
      </c>
      <c r="G306" s="188"/>
      <c r="H306" s="188" t="str">
        <f>IF(J306="Book","n/a","")</f>
        <v>n/a</v>
      </c>
      <c r="I306" s="188">
        <v>250</v>
      </c>
      <c r="J306" s="902" t="s">
        <v>6868</v>
      </c>
      <c r="K306" s="162" t="s">
        <v>6236</v>
      </c>
      <c r="L306" s="162" t="str">
        <f>IF(J306="Book","n/a","")</f>
        <v>n/a</v>
      </c>
      <c r="M306" s="162"/>
      <c r="N306" s="162"/>
      <c r="O306" s="162"/>
      <c r="P306" s="178" t="s">
        <v>8604</v>
      </c>
      <c r="Q306" s="162" t="s">
        <v>601</v>
      </c>
      <c r="R306" s="189" t="s">
        <v>2715</v>
      </c>
      <c r="S306" s="366" t="s">
        <v>2602</v>
      </c>
      <c r="T306" s="178"/>
      <c r="U306" s="178"/>
      <c r="V306" s="178"/>
      <c r="W306" s="316" t="s">
        <v>5427</v>
      </c>
      <c r="X306" s="648" t="s">
        <v>12313</v>
      </c>
      <c r="Y306" s="356" t="s">
        <v>6868</v>
      </c>
      <c r="Z306" s="272"/>
      <c r="AA306" s="272"/>
      <c r="AB306" s="34">
        <f t="shared" ca="1" si="5"/>
        <v>0.8256616911197121</v>
      </c>
      <c r="AC306" s="814"/>
      <c r="AD306" s="815" t="s">
        <v>16560</v>
      </c>
      <c r="AE306" s="942" t="s">
        <v>15093</v>
      </c>
      <c r="AF306" s="923">
        <f>IF(X306=X305,AF305,0)+IF(ISNUMBER(I306),IF(I306&lt;1,I306,I306*VLOOKUP(J306,Summary!$H$2:$I$9,2)),VLOOKUP(J306,Summary!$J$2:$K$9,2)*IF(ISNUMBER(H306),H306,1))</f>
        <v>1.0903472222222224</v>
      </c>
      <c r="AG306" s="291">
        <v>305</v>
      </c>
      <c r="AH306" s="94"/>
      <c r="AI306" s="94"/>
    </row>
    <row r="307" spans="1:36" s="7" customFormat="1" ht="12" customHeight="1" x14ac:dyDescent="0.25">
      <c r="A307" s="413" t="s">
        <v>14570</v>
      </c>
      <c r="B307" s="413">
        <v>1</v>
      </c>
      <c r="C307" s="414">
        <v>28.15</v>
      </c>
      <c r="D307" s="176" t="s">
        <v>3527</v>
      </c>
      <c r="E307" s="313" t="s">
        <v>3528</v>
      </c>
      <c r="F307" s="174">
        <v>39630</v>
      </c>
      <c r="G307" s="174"/>
      <c r="H307" s="176" t="s">
        <v>461</v>
      </c>
      <c r="I307" s="176">
        <v>14</v>
      </c>
      <c r="J307" s="900" t="s">
        <v>2755</v>
      </c>
      <c r="K307" s="164" t="s">
        <v>3529</v>
      </c>
      <c r="L307" s="164" t="s">
        <v>461</v>
      </c>
      <c r="M307" s="164"/>
      <c r="N307" s="164" t="s">
        <v>185</v>
      </c>
      <c r="O307" s="164"/>
      <c r="P307" s="173" t="s">
        <v>6704</v>
      </c>
      <c r="Q307" s="164" t="s">
        <v>3947</v>
      </c>
      <c r="R307" s="177" t="s">
        <v>2723</v>
      </c>
      <c r="S307" s="354"/>
      <c r="T307" s="173"/>
      <c r="U307" s="173"/>
      <c r="V307" s="173"/>
      <c r="W307" s="313" t="s">
        <v>3528</v>
      </c>
      <c r="X307" s="645" t="s">
        <v>12313</v>
      </c>
      <c r="Y307" s="354"/>
      <c r="Z307" s="176"/>
      <c r="AA307" s="176"/>
      <c r="AB307" s="32">
        <f t="shared" ca="1" si="5"/>
        <v>0.78787170642875815</v>
      </c>
      <c r="AC307" s="812"/>
      <c r="AD307" s="763"/>
      <c r="AE307" s="807"/>
      <c r="AF307" s="921">
        <f>IF(X307=X306,AF306,0)+IF(ISNUMBER(I307),IF(I307&lt;1,I307,I307*VLOOKUP(J307,Summary!$H$2:$I$9,2)),VLOOKUP(J307,Summary!$J$2:$K$9,2)*IF(ISNUMBER(H307),H307,1))</f>
        <v>1.1000694444444445</v>
      </c>
      <c r="AG307" s="289">
        <v>306</v>
      </c>
      <c r="AH307" s="94"/>
      <c r="AI307" s="94"/>
    </row>
    <row r="308" spans="1:36" s="2" customFormat="1" ht="12" customHeight="1" x14ac:dyDescent="0.25">
      <c r="A308" s="423" t="s">
        <v>14570</v>
      </c>
      <c r="B308" s="423">
        <v>1</v>
      </c>
      <c r="C308" s="423">
        <v>27</v>
      </c>
      <c r="D308" s="424" t="s">
        <v>5428</v>
      </c>
      <c r="E308" s="319" t="s">
        <v>5429</v>
      </c>
      <c r="F308" s="198">
        <v>24283</v>
      </c>
      <c r="G308" s="198">
        <v>24304</v>
      </c>
      <c r="H308" s="199">
        <v>4</v>
      </c>
      <c r="I308" s="791">
        <f>TIME(0,24, 1)+TIME(0,24, 0)+TIME(0,23,58)+TIME(0,22,11)</f>
        <v>6.5393518518518517E-2</v>
      </c>
      <c r="J308" s="904" t="s">
        <v>1588</v>
      </c>
      <c r="K308" s="200" t="s">
        <v>5430</v>
      </c>
      <c r="L308" s="200" t="s">
        <v>5431</v>
      </c>
      <c r="M308" s="200"/>
      <c r="N308" s="200" t="s">
        <v>5405</v>
      </c>
      <c r="O308" s="200" t="s">
        <v>5416</v>
      </c>
      <c r="P308" s="197" t="s">
        <v>461</v>
      </c>
      <c r="Q308" s="200" t="s">
        <v>3946</v>
      </c>
      <c r="R308" s="201" t="s">
        <v>5280</v>
      </c>
      <c r="S308" s="390" t="s">
        <v>2602</v>
      </c>
      <c r="T308" s="197" t="s">
        <v>2331</v>
      </c>
      <c r="U308" s="197" t="s">
        <v>2605</v>
      </c>
      <c r="V308" s="197"/>
      <c r="W308" s="318" t="s">
        <v>8673</v>
      </c>
      <c r="X308" s="650" t="s">
        <v>12313</v>
      </c>
      <c r="Y308" s="358" t="s">
        <v>6141</v>
      </c>
      <c r="Z308" s="253">
        <v>158</v>
      </c>
      <c r="AA308" s="253">
        <v>5.5</v>
      </c>
      <c r="AB308" s="35">
        <f t="shared" ca="1" si="5"/>
        <v>0.97298310665121435</v>
      </c>
      <c r="AC308" s="820"/>
      <c r="AD308" s="824" t="s">
        <v>14947</v>
      </c>
      <c r="AE308" s="944"/>
      <c r="AF308" s="925">
        <f>IF(X308=X307,AF307,0)+IF(ISNUMBER(I308),IF(I308&lt;1,I308,I308*VLOOKUP(J308,Summary!$H$2:$I$9,2)),VLOOKUP(J308,Summary!$J$2:$K$9,2)*IF(ISNUMBER(H308),H308,1))</f>
        <v>1.1654629629629631</v>
      </c>
      <c r="AG308" s="293">
        <v>307</v>
      </c>
      <c r="AH308" s="94"/>
      <c r="AI308" s="94"/>
    </row>
    <row r="309" spans="1:36" s="22" customFormat="1" ht="12" customHeight="1" x14ac:dyDescent="0.25">
      <c r="A309" s="413" t="s">
        <v>14570</v>
      </c>
      <c r="B309" s="413">
        <v>1</v>
      </c>
      <c r="C309" s="414">
        <v>11.03</v>
      </c>
      <c r="D309" s="176" t="s">
        <v>3417</v>
      </c>
      <c r="E309" s="313" t="s">
        <v>3418</v>
      </c>
      <c r="F309" s="174">
        <v>38200</v>
      </c>
      <c r="G309" s="174"/>
      <c r="H309" s="176">
        <v>1</v>
      </c>
      <c r="I309" s="176">
        <v>12</v>
      </c>
      <c r="J309" s="900" t="s">
        <v>2755</v>
      </c>
      <c r="K309" s="164" t="s">
        <v>6355</v>
      </c>
      <c r="L309" s="164" t="s">
        <v>461</v>
      </c>
      <c r="M309" s="164"/>
      <c r="N309" s="164" t="s">
        <v>7375</v>
      </c>
      <c r="O309" s="164"/>
      <c r="P309" s="173" t="s">
        <v>2559</v>
      </c>
      <c r="Q309" s="164" t="s">
        <v>3947</v>
      </c>
      <c r="R309" s="177" t="s">
        <v>2723</v>
      </c>
      <c r="S309" s="354"/>
      <c r="T309" s="173"/>
      <c r="U309" s="173"/>
      <c r="V309" s="173"/>
      <c r="W309" s="313" t="s">
        <v>3418</v>
      </c>
      <c r="X309" s="645" t="s">
        <v>12313</v>
      </c>
      <c r="Y309" s="354"/>
      <c r="Z309" s="176">
        <v>999</v>
      </c>
      <c r="AA309" s="176"/>
      <c r="AB309" s="32">
        <f t="shared" ca="1" si="5"/>
        <v>0.57003115661082859</v>
      </c>
      <c r="AC309" s="812"/>
      <c r="AD309" s="763" t="s">
        <v>16854</v>
      </c>
      <c r="AE309" s="807"/>
      <c r="AF309" s="921">
        <f>IF(X309=X308,AF308,0)+IF(ISNUMBER(I309),IF(I309&lt;1,I309,I309*VLOOKUP(J309,Summary!$H$2:$I$9,2)),VLOOKUP(J309,Summary!$J$2:$K$9,2)*IF(ISNUMBER(H309),H309,1))</f>
        <v>1.1737962962962964</v>
      </c>
      <c r="AG309" s="289">
        <v>308</v>
      </c>
      <c r="AH309" s="94"/>
      <c r="AI309" s="94"/>
    </row>
    <row r="310" spans="1:36" s="3" customFormat="1" ht="12" customHeight="1" x14ac:dyDescent="0.25">
      <c r="A310" s="425">
        <v>4</v>
      </c>
      <c r="B310" s="425">
        <v>1</v>
      </c>
      <c r="C310" s="425">
        <v>28</v>
      </c>
      <c r="D310" s="426" t="s">
        <v>5432</v>
      </c>
      <c r="E310" s="427" t="s">
        <v>5433</v>
      </c>
      <c r="F310" s="203">
        <v>24360</v>
      </c>
      <c r="G310" s="203">
        <v>24381</v>
      </c>
      <c r="H310" s="204">
        <v>4</v>
      </c>
      <c r="I310" s="791">
        <f>TIME(0,24,36)+TIME(0,24,27)+TIME(0,23,55)+TIME(0,23,37)</f>
        <v>6.7071759259259262E-2</v>
      </c>
      <c r="J310" s="905" t="s">
        <v>1588</v>
      </c>
      <c r="K310" s="205" t="s">
        <v>5434</v>
      </c>
      <c r="L310" s="205" t="s">
        <v>5435</v>
      </c>
      <c r="M310" s="205"/>
      <c r="N310" s="205" t="s">
        <v>5405</v>
      </c>
      <c r="O310" s="205" t="s">
        <v>5416</v>
      </c>
      <c r="P310" s="202" t="s">
        <v>461</v>
      </c>
      <c r="Q310" s="205" t="s">
        <v>3946</v>
      </c>
      <c r="R310" s="206" t="s">
        <v>5280</v>
      </c>
      <c r="S310" s="391"/>
      <c r="T310" s="202" t="s">
        <v>2331</v>
      </c>
      <c r="U310" s="202" t="s">
        <v>2605</v>
      </c>
      <c r="V310" s="202"/>
      <c r="W310" s="320" t="s">
        <v>9604</v>
      </c>
      <c r="X310" s="652" t="s">
        <v>12313</v>
      </c>
      <c r="Y310" s="359" t="s">
        <v>5398</v>
      </c>
      <c r="Z310" s="360">
        <v>140</v>
      </c>
      <c r="AA310" s="360">
        <v>6</v>
      </c>
      <c r="AB310" s="36">
        <f t="shared" ca="1" si="5"/>
        <v>0.47833355069472205</v>
      </c>
      <c r="AC310" s="822"/>
      <c r="AD310" s="823" t="s">
        <v>15123</v>
      </c>
      <c r="AE310" s="947" t="s">
        <v>15100</v>
      </c>
      <c r="AF310" s="926">
        <f>IF(X310=X309,AF309,0)+IF(ISNUMBER(I310),IF(I310&lt;1,I310,I310*VLOOKUP(J310,Summary!$H$2:$I$9,2)),VLOOKUP(J310,Summary!$J$2:$K$9,2)*IF(ISNUMBER(H310),H310,1))</f>
        <v>1.2408680555555558</v>
      </c>
      <c r="AG310" s="294">
        <v>309</v>
      </c>
      <c r="AH310" s="94"/>
      <c r="AI310" s="94"/>
    </row>
    <row r="311" spans="1:36" s="22" customFormat="1" ht="12" customHeight="1" x14ac:dyDescent="0.2">
      <c r="A311" s="412">
        <v>4</v>
      </c>
      <c r="B311" s="412">
        <v>1</v>
      </c>
      <c r="C311" s="415">
        <v>11.03</v>
      </c>
      <c r="D311" s="407" t="s">
        <v>12619</v>
      </c>
      <c r="E311" s="315" t="s">
        <v>12620</v>
      </c>
      <c r="F311" s="196">
        <v>42901</v>
      </c>
      <c r="G311" s="170"/>
      <c r="H311" s="170">
        <v>2</v>
      </c>
      <c r="I311" s="746">
        <f>TIME(0,52,27)</f>
        <v>3.6423611111111115E-2</v>
      </c>
      <c r="J311" s="899" t="s">
        <v>4706</v>
      </c>
      <c r="K311" s="167" t="s">
        <v>7797</v>
      </c>
      <c r="L311" s="167" t="s">
        <v>12404</v>
      </c>
      <c r="M311" s="167" t="s">
        <v>12621</v>
      </c>
      <c r="N311" s="167"/>
      <c r="O311" s="167"/>
      <c r="P311" s="168" t="s">
        <v>12406</v>
      </c>
      <c r="Q311" s="167" t="s">
        <v>3947</v>
      </c>
      <c r="R311" s="172" t="s">
        <v>3153</v>
      </c>
      <c r="S311" s="388"/>
      <c r="T311" s="168" t="s">
        <v>2331</v>
      </c>
      <c r="U311" s="168" t="s">
        <v>2605</v>
      </c>
      <c r="V311" s="168"/>
      <c r="W311" s="312" t="s">
        <v>16951</v>
      </c>
      <c r="X311" s="644" t="s">
        <v>12313</v>
      </c>
      <c r="Y311" s="352" t="s">
        <v>5643</v>
      </c>
      <c r="Z311" s="353">
        <v>454</v>
      </c>
      <c r="AA311" s="353">
        <v>4.5</v>
      </c>
      <c r="AB311" s="31">
        <f t="shared" ca="1" si="5"/>
        <v>0.37632487909852075</v>
      </c>
      <c r="AC311" s="810"/>
      <c r="AD311" s="811" t="s">
        <v>16856</v>
      </c>
      <c r="AE311" s="940" t="s">
        <v>12543</v>
      </c>
      <c r="AF311" s="920">
        <f>IF(X311=X310,AF310,0)+IF(ISNUMBER(I311),IF(I311&lt;1,I311,I311*VLOOKUP(J311,Summary!$H$2:$I$9,2)),VLOOKUP(J311,Summary!$J$2:$K$9,2)*IF(ISNUMBER(H311),H311,1))</f>
        <v>1.2772916666666669</v>
      </c>
      <c r="AG311" s="287">
        <v>310</v>
      </c>
      <c r="AH311" s="94"/>
      <c r="AI311" s="94"/>
    </row>
    <row r="312" spans="1:36" s="22" customFormat="1" ht="12" customHeight="1" x14ac:dyDescent="0.25">
      <c r="A312" s="413">
        <v>4</v>
      </c>
      <c r="B312" s="413">
        <v>1</v>
      </c>
      <c r="C312" s="414">
        <v>19.14</v>
      </c>
      <c r="D312" s="176" t="s">
        <v>3422</v>
      </c>
      <c r="E312" s="313" t="s">
        <v>3423</v>
      </c>
      <c r="F312" s="174">
        <v>38808</v>
      </c>
      <c r="G312" s="174"/>
      <c r="H312" s="176">
        <v>1</v>
      </c>
      <c r="I312" s="176">
        <v>10</v>
      </c>
      <c r="J312" s="900" t="s">
        <v>2755</v>
      </c>
      <c r="K312" s="164" t="s">
        <v>3424</v>
      </c>
      <c r="L312" s="164" t="s">
        <v>461</v>
      </c>
      <c r="M312" s="164"/>
      <c r="N312" s="164" t="s">
        <v>4552</v>
      </c>
      <c r="O312" s="164"/>
      <c r="P312" s="173" t="s">
        <v>5020</v>
      </c>
      <c r="Q312" s="164" t="s">
        <v>3947</v>
      </c>
      <c r="R312" s="177" t="s">
        <v>2723</v>
      </c>
      <c r="S312" s="354"/>
      <c r="T312" s="173"/>
      <c r="U312" s="173"/>
      <c r="V312" s="173"/>
      <c r="W312" s="313" t="s">
        <v>3423</v>
      </c>
      <c r="X312" s="645" t="s">
        <v>12313</v>
      </c>
      <c r="Y312" s="354"/>
      <c r="Z312" s="176"/>
      <c r="AA312" s="176"/>
      <c r="AB312" s="32">
        <f t="shared" ca="1" si="5"/>
        <v>0.1664596512006965</v>
      </c>
      <c r="AC312" s="812"/>
      <c r="AD312" s="763" t="s">
        <v>461</v>
      </c>
      <c r="AE312" s="807"/>
      <c r="AF312" s="921">
        <f>IF(X312=X311,AF311,0)+IF(ISNUMBER(I312),IF(I312&lt;1,I312,I312*VLOOKUP(J312,Summary!$H$2:$I$9,2)),VLOOKUP(J312,Summary!$J$2:$K$9,2)*IF(ISNUMBER(H312),H312,1))</f>
        <v>1.2842361111111114</v>
      </c>
      <c r="AG312" s="289">
        <v>311</v>
      </c>
      <c r="AH312" s="94"/>
      <c r="AI312" s="94"/>
    </row>
    <row r="313" spans="1:36" s="22" customFormat="1" ht="12" customHeight="1" x14ac:dyDescent="0.2">
      <c r="A313" s="421">
        <v>4</v>
      </c>
      <c r="B313" s="421">
        <v>1</v>
      </c>
      <c r="C313" s="421">
        <v>72</v>
      </c>
      <c r="D313" s="185" t="s">
        <v>554</v>
      </c>
      <c r="E313" s="314" t="s">
        <v>555</v>
      </c>
      <c r="F313" s="184">
        <v>34633</v>
      </c>
      <c r="G313" s="184">
        <v>34689</v>
      </c>
      <c r="H313" s="185">
        <v>3</v>
      </c>
      <c r="I313" s="185">
        <v>21</v>
      </c>
      <c r="J313" s="901" t="s">
        <v>1796</v>
      </c>
      <c r="K313" s="163" t="s">
        <v>556</v>
      </c>
      <c r="L313" s="163" t="s">
        <v>557</v>
      </c>
      <c r="M313" s="163"/>
      <c r="N313" s="163" t="s">
        <v>7375</v>
      </c>
      <c r="O313" s="163"/>
      <c r="P313" s="182" t="s">
        <v>461</v>
      </c>
      <c r="Q313" s="163" t="s">
        <v>4062</v>
      </c>
      <c r="R313" s="186" t="s">
        <v>5266</v>
      </c>
      <c r="S313" s="355"/>
      <c r="T313" s="182" t="s">
        <v>2331</v>
      </c>
      <c r="U313" s="182" t="s">
        <v>2605</v>
      </c>
      <c r="V313" s="182"/>
      <c r="W313" s="314"/>
      <c r="X313" s="646" t="s">
        <v>12313</v>
      </c>
      <c r="Y313" s="355"/>
      <c r="Z313" s="185">
        <v>999</v>
      </c>
      <c r="AA313" s="185"/>
      <c r="AB313" s="33">
        <f t="shared" ca="1" si="5"/>
        <v>0.35481015580896913</v>
      </c>
      <c r="AC313" s="813"/>
      <c r="AD313" s="211"/>
      <c r="AE313" s="875"/>
      <c r="AF313" s="922">
        <f>IF(X313=X312,AF312,0)+IF(ISNUMBER(I313),IF(I313&lt;1,I313,I313*VLOOKUP(J313,Summary!$H$2:$I$9,2)),VLOOKUP(J313,Summary!$J$2:$K$9,2)*IF(ISNUMBER(H313),H313,1))</f>
        <v>1.2915277777777781</v>
      </c>
      <c r="AG313" s="290">
        <v>312</v>
      </c>
      <c r="AH313" s="94"/>
      <c r="AI313" s="94"/>
    </row>
    <row r="314" spans="1:36" s="29" customFormat="1" ht="12" customHeight="1" x14ac:dyDescent="0.25">
      <c r="A314" s="416">
        <v>4</v>
      </c>
      <c r="B314" s="416">
        <v>1</v>
      </c>
      <c r="C314" s="416">
        <v>54</v>
      </c>
      <c r="D314" s="417" t="s">
        <v>5436</v>
      </c>
      <c r="E314" s="316" t="s">
        <v>5437</v>
      </c>
      <c r="F314" s="187">
        <v>37408</v>
      </c>
      <c r="G314" s="188"/>
      <c r="H314" s="188" t="str">
        <f>IF(J314="Book","n/a","")</f>
        <v>n/a</v>
      </c>
      <c r="I314" s="188">
        <v>320</v>
      </c>
      <c r="J314" s="902" t="s">
        <v>6868</v>
      </c>
      <c r="K314" s="162" t="s">
        <v>6237</v>
      </c>
      <c r="L314" s="162" t="str">
        <f>IF(J314="Book","n/a","")</f>
        <v>n/a</v>
      </c>
      <c r="M314" s="162"/>
      <c r="N314" s="162"/>
      <c r="O314" s="162"/>
      <c r="P314" s="178" t="s">
        <v>8978</v>
      </c>
      <c r="Q314" s="162" t="s">
        <v>3953</v>
      </c>
      <c r="R314" s="189" t="s">
        <v>2717</v>
      </c>
      <c r="S314" s="366"/>
      <c r="T314" s="178" t="s">
        <v>2331</v>
      </c>
      <c r="U314" s="178" t="s">
        <v>2605</v>
      </c>
      <c r="V314" s="178"/>
      <c r="W314" s="316" t="s">
        <v>5437</v>
      </c>
      <c r="X314" s="648" t="s">
        <v>12313</v>
      </c>
      <c r="Y314" s="356" t="s">
        <v>6868</v>
      </c>
      <c r="Z314" s="272"/>
      <c r="AA314" s="272"/>
      <c r="AB314" s="34">
        <f t="shared" ca="1" si="5"/>
        <v>0.6891903299084231</v>
      </c>
      <c r="AC314" s="814"/>
      <c r="AD314" s="815" t="s">
        <v>16324</v>
      </c>
      <c r="AE314" s="942" t="s">
        <v>12543</v>
      </c>
      <c r="AF314" s="923">
        <f>IF(X314=X313,AF313,0)+IF(ISNUMBER(I314),IF(I314&lt;1,I314,I314*VLOOKUP(J314,Summary!$H$2:$I$9,2)),VLOOKUP(J314,Summary!$J$2:$K$9,2)*IF(ISNUMBER(H314),H314,1))</f>
        <v>1.5137500000000004</v>
      </c>
      <c r="AG314" s="291">
        <v>313</v>
      </c>
      <c r="AH314" s="94"/>
      <c r="AI314" s="94"/>
      <c r="AJ314" s="22"/>
    </row>
    <row r="315" spans="1:36" s="43" customFormat="1" ht="12" customHeight="1" x14ac:dyDescent="0.25">
      <c r="A315" s="412">
        <v>4</v>
      </c>
      <c r="B315" s="412">
        <v>1</v>
      </c>
      <c r="C315" s="415">
        <v>11.04</v>
      </c>
      <c r="D315" s="407" t="s">
        <v>12622</v>
      </c>
      <c r="E315" s="315" t="s">
        <v>12623</v>
      </c>
      <c r="F315" s="196">
        <v>42901</v>
      </c>
      <c r="G315" s="170"/>
      <c r="H315" s="170">
        <v>2</v>
      </c>
      <c r="I315" s="746">
        <f>TIME(0,46,11)</f>
        <v>3.2071759259259258E-2</v>
      </c>
      <c r="J315" s="899" t="s">
        <v>4706</v>
      </c>
      <c r="K315" s="167" t="s">
        <v>1826</v>
      </c>
      <c r="L315" s="167" t="s">
        <v>12404</v>
      </c>
      <c r="M315" s="167" t="s">
        <v>12621</v>
      </c>
      <c r="N315" s="167"/>
      <c r="O315" s="167"/>
      <c r="P315" s="168" t="s">
        <v>12406</v>
      </c>
      <c r="Q315" s="167" t="s">
        <v>3947</v>
      </c>
      <c r="R315" s="172" t="s">
        <v>3153</v>
      </c>
      <c r="S315" s="388"/>
      <c r="T315" s="168" t="s">
        <v>2331</v>
      </c>
      <c r="U315" s="168" t="s">
        <v>2605</v>
      </c>
      <c r="V315" s="168"/>
      <c r="W315" s="312" t="s">
        <v>16948</v>
      </c>
      <c r="X315" s="644" t="s">
        <v>12313</v>
      </c>
      <c r="Y315" s="352" t="s">
        <v>5643</v>
      </c>
      <c r="Z315" s="353">
        <v>133</v>
      </c>
      <c r="AA315" s="353">
        <v>7</v>
      </c>
      <c r="AB315" s="31">
        <f t="shared" ca="1" si="5"/>
        <v>0.51305002660555121</v>
      </c>
      <c r="AC315" s="810"/>
      <c r="AD315" s="811"/>
      <c r="AE315" s="940"/>
      <c r="AF315" s="920">
        <f>IF(X315=X314,AF314,0)+IF(ISNUMBER(I315),IF(I315&lt;1,I315,I315*VLOOKUP(J315,Summary!$H$2:$I$9,2)),VLOOKUP(J315,Summary!$J$2:$K$9,2)*IF(ISNUMBER(H315),H315,1))</f>
        <v>1.5458217592592596</v>
      </c>
      <c r="AG315" s="287">
        <v>314</v>
      </c>
      <c r="AH315" s="94"/>
      <c r="AI315" s="94"/>
    </row>
    <row r="316" spans="1:36" s="1" customFormat="1" ht="12" customHeight="1" x14ac:dyDescent="0.25">
      <c r="A316" s="418">
        <v>4</v>
      </c>
      <c r="B316" s="418">
        <v>1</v>
      </c>
      <c r="C316" s="419">
        <v>7.05</v>
      </c>
      <c r="D316" s="192" t="s">
        <v>12624</v>
      </c>
      <c r="E316" s="317" t="s">
        <v>12625</v>
      </c>
      <c r="F316" s="209">
        <v>42875</v>
      </c>
      <c r="G316" s="191"/>
      <c r="H316" s="192">
        <v>1</v>
      </c>
      <c r="I316" s="753">
        <f>TIME(0,37,12)</f>
        <v>2.5833333333333333E-2</v>
      </c>
      <c r="J316" s="903" t="s">
        <v>2755</v>
      </c>
      <c r="K316" s="194" t="s">
        <v>8131</v>
      </c>
      <c r="L316" s="194" t="s">
        <v>5662</v>
      </c>
      <c r="M316" s="194" t="s">
        <v>11397</v>
      </c>
      <c r="N316" s="194"/>
      <c r="O316" s="194"/>
      <c r="P316" s="190" t="s">
        <v>12626</v>
      </c>
      <c r="Q316" s="194" t="s">
        <v>3947</v>
      </c>
      <c r="R316" s="193" t="s">
        <v>2722</v>
      </c>
      <c r="S316" s="357"/>
      <c r="T316" s="190" t="s">
        <v>2331</v>
      </c>
      <c r="U316" s="190" t="s">
        <v>2605</v>
      </c>
      <c r="V316" s="190"/>
      <c r="W316" s="317" t="s">
        <v>12625</v>
      </c>
      <c r="X316" s="649" t="s">
        <v>12313</v>
      </c>
      <c r="Y316" s="357" t="s">
        <v>5643</v>
      </c>
      <c r="Z316" s="353"/>
      <c r="AA316" s="353"/>
      <c r="AB316" s="37">
        <f t="shared" ca="1" si="5"/>
        <v>0.38216539992837539</v>
      </c>
      <c r="AC316" s="816"/>
      <c r="AD316" s="817"/>
      <c r="AE316" s="943"/>
      <c r="AF316" s="924">
        <f>IF(X316=X315,AF315,0)+IF(ISNUMBER(I316),IF(I316&lt;1,I316,I316*VLOOKUP(J316,Summary!$H$2:$I$9,2)),VLOOKUP(J316,Summary!$J$2:$K$9,2)*IF(ISNUMBER(H316),H316,1))</f>
        <v>1.571655092592593</v>
      </c>
      <c r="AG316" s="292">
        <v>315</v>
      </c>
      <c r="AH316" s="94"/>
      <c r="AI316" s="94"/>
    </row>
    <row r="317" spans="1:36" s="43" customFormat="1" ht="12" customHeight="1" x14ac:dyDescent="0.25">
      <c r="A317" s="413">
        <v>4</v>
      </c>
      <c r="B317" s="413">
        <v>1</v>
      </c>
      <c r="C317" s="413">
        <v>1</v>
      </c>
      <c r="D317" s="176" t="s">
        <v>3419</v>
      </c>
      <c r="E317" s="313" t="s">
        <v>3420</v>
      </c>
      <c r="F317" s="175">
        <v>33205</v>
      </c>
      <c r="G317" s="175"/>
      <c r="H317" s="176">
        <v>1</v>
      </c>
      <c r="I317" s="176">
        <v>1</v>
      </c>
      <c r="J317" s="900" t="s">
        <v>2755</v>
      </c>
      <c r="K317" s="164" t="s">
        <v>1035</v>
      </c>
      <c r="L317" s="164" t="s">
        <v>461</v>
      </c>
      <c r="M317" s="164"/>
      <c r="N317" s="164" t="s">
        <v>3421</v>
      </c>
      <c r="O317" s="164"/>
      <c r="P317" s="173" t="s">
        <v>461</v>
      </c>
      <c r="Q317" s="164" t="s">
        <v>4062</v>
      </c>
      <c r="R317" s="177" t="s">
        <v>4599</v>
      </c>
      <c r="S317" s="354" t="s">
        <v>1035</v>
      </c>
      <c r="T317" s="173"/>
      <c r="U317" s="173"/>
      <c r="V317" s="173"/>
      <c r="W317" s="313" t="s">
        <v>3420</v>
      </c>
      <c r="X317" s="645" t="s">
        <v>12313</v>
      </c>
      <c r="Y317" s="354"/>
      <c r="Z317" s="176">
        <v>999</v>
      </c>
      <c r="AA317" s="176"/>
      <c r="AB317" s="32">
        <f t="shared" ca="1" si="5"/>
        <v>6.4689257005771217E-2</v>
      </c>
      <c r="AC317" s="812"/>
      <c r="AD317" s="763" t="s">
        <v>16857</v>
      </c>
      <c r="AE317" s="807" t="s">
        <v>3365</v>
      </c>
      <c r="AF317" s="921">
        <f>IF(X317=X316,AF316,0)+IF(ISNUMBER(I317),IF(I317&lt;1,I317,I317*VLOOKUP(J317,Summary!$H$2:$I$9,2)),VLOOKUP(J317,Summary!$J$2:$K$9,2)*IF(ISNUMBER(H317),H317,1))</f>
        <v>1.5723495370370375</v>
      </c>
      <c r="AG317" s="289">
        <v>316</v>
      </c>
      <c r="AH317" s="94"/>
      <c r="AI317" s="94"/>
    </row>
    <row r="318" spans="1:36" s="22" customFormat="1" ht="12" customHeight="1" x14ac:dyDescent="0.25">
      <c r="A318" s="413">
        <v>4</v>
      </c>
      <c r="B318" s="413">
        <v>1</v>
      </c>
      <c r="C318" s="414">
        <v>14.29</v>
      </c>
      <c r="D318" s="176" t="s">
        <v>3567</v>
      </c>
      <c r="E318" s="313" t="s">
        <v>4935</v>
      </c>
      <c r="F318" s="174">
        <v>38322</v>
      </c>
      <c r="G318" s="174"/>
      <c r="H318" s="176">
        <v>1</v>
      </c>
      <c r="I318" s="176">
        <v>4</v>
      </c>
      <c r="J318" s="900" t="s">
        <v>2755</v>
      </c>
      <c r="K318" s="164" t="s">
        <v>3320</v>
      </c>
      <c r="L318" s="164" t="s">
        <v>461</v>
      </c>
      <c r="M318" s="164"/>
      <c r="N318" s="164" t="s">
        <v>3807</v>
      </c>
      <c r="O318" s="164"/>
      <c r="P318" s="173" t="s">
        <v>6565</v>
      </c>
      <c r="Q318" s="164" t="s">
        <v>3947</v>
      </c>
      <c r="R318" s="177" t="s">
        <v>2723</v>
      </c>
      <c r="S318" s="392" t="s">
        <v>4936</v>
      </c>
      <c r="T318" s="173"/>
      <c r="U318" s="173"/>
      <c r="V318" s="173"/>
      <c r="W318" s="313" t="s">
        <v>4935</v>
      </c>
      <c r="X318" s="645" t="s">
        <v>12313</v>
      </c>
      <c r="Y318" s="354"/>
      <c r="Z318" s="176"/>
      <c r="AA318" s="176"/>
      <c r="AB318" s="32">
        <f t="shared" ca="1" si="5"/>
        <v>0.39501145887776967</v>
      </c>
      <c r="AC318" s="812"/>
      <c r="AD318" s="763"/>
      <c r="AE318" s="807"/>
      <c r="AF318" s="921">
        <f>IF(X318=X317,AF317,0)+IF(ISNUMBER(I318),IF(I318&lt;1,I318,I318*VLOOKUP(J318,Summary!$H$2:$I$9,2)),VLOOKUP(J318,Summary!$J$2:$K$9,2)*IF(ISNUMBER(H318),H318,1))</f>
        <v>1.5751273148148153</v>
      </c>
      <c r="AG318" s="289">
        <v>317</v>
      </c>
      <c r="AH318" s="94"/>
      <c r="AI318" s="94"/>
    </row>
    <row r="319" spans="1:36" s="22" customFormat="1" ht="12" customHeight="1" x14ac:dyDescent="0.2">
      <c r="A319" s="425">
        <v>4</v>
      </c>
      <c r="B319" s="425">
        <v>1</v>
      </c>
      <c r="C319" s="425">
        <v>29</v>
      </c>
      <c r="D319" s="426" t="s">
        <v>5438</v>
      </c>
      <c r="E319" s="427" t="s">
        <v>2872</v>
      </c>
      <c r="F319" s="203">
        <v>24388</v>
      </c>
      <c r="G319" s="203">
        <v>24409</v>
      </c>
      <c r="H319" s="204">
        <v>4</v>
      </c>
      <c r="I319" s="791">
        <f>TIME(0,23, 8)+TIME(0,23,15)+TIME(0,23,31)+TIME(0,24, 2)</f>
        <v>6.5231481481481474E-2</v>
      </c>
      <c r="J319" s="905" t="s">
        <v>1588</v>
      </c>
      <c r="K319" s="205" t="s">
        <v>2873</v>
      </c>
      <c r="L319" s="205" t="s">
        <v>3233</v>
      </c>
      <c r="M319" s="205"/>
      <c r="N319" s="205" t="s">
        <v>5405</v>
      </c>
      <c r="O319" s="205" t="s">
        <v>5416</v>
      </c>
      <c r="P319" s="202" t="s">
        <v>461</v>
      </c>
      <c r="Q319" s="205" t="s">
        <v>3946</v>
      </c>
      <c r="R319" s="206" t="s">
        <v>5280</v>
      </c>
      <c r="S319" s="391"/>
      <c r="T319" s="202" t="s">
        <v>2331</v>
      </c>
      <c r="U319" s="202" t="s">
        <v>2605</v>
      </c>
      <c r="V319" s="202"/>
      <c r="W319" s="320" t="s">
        <v>10188</v>
      </c>
      <c r="X319" s="652" t="s">
        <v>12313</v>
      </c>
      <c r="Y319" s="359" t="s">
        <v>6141</v>
      </c>
      <c r="Z319" s="360">
        <v>186</v>
      </c>
      <c r="AA319" s="360">
        <v>5</v>
      </c>
      <c r="AB319" s="36">
        <f t="shared" ca="1" si="5"/>
        <v>0.81331687609416814</v>
      </c>
      <c r="AC319" s="822"/>
      <c r="AD319" s="823" t="s">
        <v>16025</v>
      </c>
      <c r="AE319" s="947" t="s">
        <v>9606</v>
      </c>
      <c r="AF319" s="926">
        <f>IF(X319=X318,AF318,0)+IF(ISNUMBER(I319),IF(I319&lt;1,I319,I319*VLOOKUP(J319,Summary!$H$2:$I$9,2)),VLOOKUP(J319,Summary!$J$2:$K$9,2)*IF(ISNUMBER(H319),H319,1))</f>
        <v>1.6403587962962967</v>
      </c>
      <c r="AG319" s="294">
        <v>318</v>
      </c>
      <c r="AH319" s="94"/>
      <c r="AI319" s="94"/>
    </row>
    <row r="320" spans="1:36" s="1" customFormat="1" ht="12" customHeight="1" x14ac:dyDescent="0.25">
      <c r="A320" s="412">
        <v>4</v>
      </c>
      <c r="B320" s="412">
        <v>1</v>
      </c>
      <c r="C320" s="415">
        <v>9.0399999999999991</v>
      </c>
      <c r="D320" s="407" t="s">
        <v>9408</v>
      </c>
      <c r="E320" s="315" t="s">
        <v>9409</v>
      </c>
      <c r="F320" s="169">
        <v>42156</v>
      </c>
      <c r="G320" s="170"/>
      <c r="H320" s="170">
        <v>2</v>
      </c>
      <c r="I320" s="746">
        <f>TIME(1,5,4)</f>
        <v>4.5185185185185189E-2</v>
      </c>
      <c r="J320" s="899" t="s">
        <v>4706</v>
      </c>
      <c r="K320" s="167" t="s">
        <v>5664</v>
      </c>
      <c r="L320" s="167" t="s">
        <v>5662</v>
      </c>
      <c r="M320" s="167" t="s">
        <v>8080</v>
      </c>
      <c r="N320" s="167"/>
      <c r="O320" s="167"/>
      <c r="P320" s="168" t="s">
        <v>9402</v>
      </c>
      <c r="Q320" s="167" t="s">
        <v>3947</v>
      </c>
      <c r="R320" s="172" t="s">
        <v>3153</v>
      </c>
      <c r="S320" s="388"/>
      <c r="T320" s="168"/>
      <c r="U320" s="168"/>
      <c r="V320" s="168" t="s">
        <v>2330</v>
      </c>
      <c r="W320" s="312" t="s">
        <v>10109</v>
      </c>
      <c r="X320" s="644" t="s">
        <v>12313</v>
      </c>
      <c r="Y320" s="352" t="s">
        <v>5643</v>
      </c>
      <c r="Z320" s="353">
        <v>419</v>
      </c>
      <c r="AA320" s="353">
        <v>4.5</v>
      </c>
      <c r="AB320" s="31">
        <f t="shared" ca="1" si="5"/>
        <v>0.42693695760447448</v>
      </c>
      <c r="AC320" s="810"/>
      <c r="AD320" s="811" t="s">
        <v>16858</v>
      </c>
      <c r="AE320" s="940"/>
      <c r="AF320" s="920">
        <f>IF(X320=X319,AF319,0)+IF(ISNUMBER(I320),IF(I320&lt;1,I320,I320*VLOOKUP(J320,Summary!$H$2:$I$9,2)),VLOOKUP(J320,Summary!$J$2:$K$9,2)*IF(ISNUMBER(H320),H320,1))</f>
        <v>1.6855439814814819</v>
      </c>
      <c r="AG320" s="287">
        <v>319</v>
      </c>
      <c r="AH320" s="94"/>
      <c r="AI320" s="94"/>
    </row>
    <row r="321" spans="1:35" s="1" customFormat="1" ht="12" customHeight="1" x14ac:dyDescent="0.25">
      <c r="A321" s="413" t="s">
        <v>14572</v>
      </c>
      <c r="B321" s="413">
        <v>1</v>
      </c>
      <c r="C321" s="413">
        <v>4</v>
      </c>
      <c r="D321" s="176" t="s">
        <v>891</v>
      </c>
      <c r="E321" s="313" t="s">
        <v>827</v>
      </c>
      <c r="F321" s="174">
        <v>36100</v>
      </c>
      <c r="G321" s="175"/>
      <c r="H321" s="176" t="s">
        <v>461</v>
      </c>
      <c r="I321" s="176"/>
      <c r="J321" s="900" t="s">
        <v>2755</v>
      </c>
      <c r="K321" s="164" t="s">
        <v>897</v>
      </c>
      <c r="L321" s="164"/>
      <c r="M321" s="164"/>
      <c r="N321" s="164" t="s">
        <v>819</v>
      </c>
      <c r="O321" s="164"/>
      <c r="P321" s="178" t="s">
        <v>461</v>
      </c>
      <c r="Q321" s="164" t="s">
        <v>820</v>
      </c>
      <c r="R321" s="177" t="s">
        <v>895</v>
      </c>
      <c r="S321" s="354"/>
      <c r="T321" s="173"/>
      <c r="U321" s="173"/>
      <c r="V321" s="173"/>
      <c r="W321" s="313" t="s">
        <v>827</v>
      </c>
      <c r="X321" s="645" t="s">
        <v>12314</v>
      </c>
      <c r="Y321" s="354"/>
      <c r="Z321" s="176"/>
      <c r="AA321" s="176"/>
      <c r="AB321" s="32">
        <f t="shared" ca="1" si="5"/>
        <v>0.16108343670412495</v>
      </c>
      <c r="AC321" s="812"/>
      <c r="AD321" s="763"/>
      <c r="AE321" s="807"/>
      <c r="AF321" s="921">
        <f>IF(X321=X320,AF320,0)+IF(ISNUMBER(I321),IF(I321&lt;1,I321,I321*VLOOKUP(J321,Summary!$H$2:$I$9,2)),VLOOKUP(J321,Summary!$J$2:$K$9,2)*IF(ISNUMBER(H321),H321,1))</f>
        <v>1.7361111111111112E-2</v>
      </c>
      <c r="AG321" s="289">
        <v>320</v>
      </c>
      <c r="AH321" s="94"/>
      <c r="AI321" s="94"/>
    </row>
    <row r="322" spans="1:35" s="22" customFormat="1" ht="12" customHeight="1" x14ac:dyDescent="0.2">
      <c r="A322" s="443" t="s">
        <v>14572</v>
      </c>
      <c r="B322" s="443">
        <v>2</v>
      </c>
      <c r="C322" s="443">
        <v>30</v>
      </c>
      <c r="D322" s="426" t="s">
        <v>2874</v>
      </c>
      <c r="E322" s="427" t="s">
        <v>2875</v>
      </c>
      <c r="F322" s="203">
        <v>24416</v>
      </c>
      <c r="G322" s="203">
        <v>24451</v>
      </c>
      <c r="H322" s="204">
        <v>6</v>
      </c>
      <c r="I322" s="791">
        <f>TIME(0,25,43)+TIME(0,24,29)+TIME(0,23,31)+TIME(0,24,23)+TIME(0,23,38)+TIME(0,23,46)</f>
        <v>0.10104166666666665</v>
      </c>
      <c r="J322" s="905" t="s">
        <v>1588</v>
      </c>
      <c r="K322" s="205" t="s">
        <v>2876</v>
      </c>
      <c r="L322" s="205" t="s">
        <v>30</v>
      </c>
      <c r="M322" s="205"/>
      <c r="N322" s="205" t="s">
        <v>5405</v>
      </c>
      <c r="O322" s="205" t="s">
        <v>5416</v>
      </c>
      <c r="P322" s="202" t="s">
        <v>461</v>
      </c>
      <c r="Q322" s="205" t="s">
        <v>3946</v>
      </c>
      <c r="R322" s="206" t="s">
        <v>5280</v>
      </c>
      <c r="S322" s="391"/>
      <c r="T322" s="202" t="s">
        <v>2331</v>
      </c>
      <c r="U322" s="202" t="s">
        <v>2605</v>
      </c>
      <c r="V322" s="202"/>
      <c r="W322" s="320" t="s">
        <v>9605</v>
      </c>
      <c r="X322" s="652" t="s">
        <v>12314</v>
      </c>
      <c r="Y322" s="359" t="s">
        <v>6141</v>
      </c>
      <c r="Z322" s="253">
        <v>8</v>
      </c>
      <c r="AA322" s="360">
        <v>10</v>
      </c>
      <c r="AB322" s="36">
        <f t="shared" ref="AB322:AB385" ca="1" si="6">RAND()</f>
        <v>0.18519188903982686</v>
      </c>
      <c r="AC322" s="822"/>
      <c r="AD322" s="823" t="s">
        <v>16082</v>
      </c>
      <c r="AE322" s="947" t="s">
        <v>9592</v>
      </c>
      <c r="AF322" s="926">
        <f>IF(X322=X321,AF321,0)+IF(ISNUMBER(I322),IF(I322&lt;1,I322,I322*VLOOKUP(J322,Summary!$H$2:$I$9,2)),VLOOKUP(J322,Summary!$J$2:$K$9,2)*IF(ISNUMBER(H322),H322,1))</f>
        <v>0.11840277777777777</v>
      </c>
      <c r="AG322" s="294">
        <v>321</v>
      </c>
      <c r="AH322" s="94"/>
      <c r="AI322" s="94"/>
    </row>
    <row r="323" spans="1:35" s="22" customFormat="1" ht="12" customHeight="1" x14ac:dyDescent="0.25">
      <c r="A323" s="444" t="s">
        <v>14572</v>
      </c>
      <c r="B323" s="444">
        <v>2</v>
      </c>
      <c r="C323" s="445">
        <v>17.09</v>
      </c>
      <c r="D323" s="176" t="s">
        <v>7330</v>
      </c>
      <c r="E323" s="313" t="s">
        <v>1937</v>
      </c>
      <c r="F323" s="174">
        <v>38596</v>
      </c>
      <c r="G323" s="174"/>
      <c r="H323" s="176">
        <v>1</v>
      </c>
      <c r="I323" s="176">
        <v>20</v>
      </c>
      <c r="J323" s="900" t="s">
        <v>2755</v>
      </c>
      <c r="K323" s="164" t="s">
        <v>4131</v>
      </c>
      <c r="L323" s="164" t="s">
        <v>461</v>
      </c>
      <c r="M323" s="164"/>
      <c r="N323" s="164" t="s">
        <v>7375</v>
      </c>
      <c r="O323" s="164"/>
      <c r="P323" s="173" t="s">
        <v>2568</v>
      </c>
      <c r="Q323" s="164" t="s">
        <v>3947</v>
      </c>
      <c r="R323" s="177" t="s">
        <v>2723</v>
      </c>
      <c r="S323" s="354"/>
      <c r="T323" s="173" t="s">
        <v>2331</v>
      </c>
      <c r="U323" s="173" t="s">
        <v>2605</v>
      </c>
      <c r="V323" s="173"/>
      <c r="W323" s="313" t="s">
        <v>1937</v>
      </c>
      <c r="X323" s="645" t="s">
        <v>12314</v>
      </c>
      <c r="Y323" s="354"/>
      <c r="Z323" s="176"/>
      <c r="AA323" s="176"/>
      <c r="AB323" s="32">
        <f t="shared" ca="1" si="6"/>
        <v>0.37630222108996225</v>
      </c>
      <c r="AC323" s="812"/>
      <c r="AD323" s="763"/>
      <c r="AE323" s="807"/>
      <c r="AF323" s="921">
        <f>IF(X323=X322,AF322,0)+IF(ISNUMBER(I323),IF(I323&lt;1,I323,I323*VLOOKUP(J323,Summary!$H$2:$I$9,2)),VLOOKUP(J323,Summary!$J$2:$K$9,2)*IF(ISNUMBER(H323),H323,1))</f>
        <v>0.13229166666666667</v>
      </c>
      <c r="AG323" s="289">
        <v>322</v>
      </c>
      <c r="AH323" s="94"/>
      <c r="AI323" s="94"/>
    </row>
    <row r="324" spans="1:35" s="22" customFormat="1" ht="12" customHeight="1" x14ac:dyDescent="0.25">
      <c r="A324" s="446" t="s">
        <v>14572</v>
      </c>
      <c r="B324" s="446">
        <v>2</v>
      </c>
      <c r="C324" s="446">
        <v>13</v>
      </c>
      <c r="D324" s="417" t="s">
        <v>2877</v>
      </c>
      <c r="E324" s="316" t="s">
        <v>2878</v>
      </c>
      <c r="F324" s="187">
        <v>34912</v>
      </c>
      <c r="G324" s="188"/>
      <c r="H324" s="188">
        <v>6</v>
      </c>
      <c r="I324" s="188">
        <v>256</v>
      </c>
      <c r="J324" s="902" t="s">
        <v>6868</v>
      </c>
      <c r="K324" s="162" t="s">
        <v>7375</v>
      </c>
      <c r="L324" s="162" t="s">
        <v>461</v>
      </c>
      <c r="M324" s="162"/>
      <c r="N324" s="162"/>
      <c r="O324" s="162"/>
      <c r="P324" s="178" t="s">
        <v>8598</v>
      </c>
      <c r="Q324" s="162" t="s">
        <v>601</v>
      </c>
      <c r="R324" s="189" t="s">
        <v>2715</v>
      </c>
      <c r="S324" s="366"/>
      <c r="T324" s="178" t="s">
        <v>2331</v>
      </c>
      <c r="U324" s="178" t="s">
        <v>2605</v>
      </c>
      <c r="V324" s="178"/>
      <c r="W324" s="316"/>
      <c r="X324" s="648" t="s">
        <v>12314</v>
      </c>
      <c r="Y324" s="356" t="s">
        <v>6868</v>
      </c>
      <c r="Z324" s="272">
        <v>110</v>
      </c>
      <c r="AA324" s="272">
        <v>5</v>
      </c>
      <c r="AB324" s="34">
        <f t="shared" ca="1" si="6"/>
        <v>0.97294192629095289</v>
      </c>
      <c r="AC324" s="814"/>
      <c r="AD324" s="815" t="s">
        <v>16045</v>
      </c>
      <c r="AE324" s="942"/>
      <c r="AF324" s="923">
        <f>IF(X324=X323,AF323,0)+IF(ISNUMBER(I324),IF(I324&lt;1,I324,I324*VLOOKUP(J324,Summary!$H$2:$I$9,2)),VLOOKUP(J324,Summary!$J$2:$K$9,2)*IF(ISNUMBER(H324),H324,1))</f>
        <v>0.31006944444444445</v>
      </c>
      <c r="AG324" s="291">
        <v>323</v>
      </c>
      <c r="AH324" s="94"/>
      <c r="AI324" s="94"/>
    </row>
    <row r="325" spans="1:35" s="3" customFormat="1" ht="12" customHeight="1" x14ac:dyDescent="0.25">
      <c r="A325" s="444" t="s">
        <v>14572</v>
      </c>
      <c r="B325" s="444">
        <v>2</v>
      </c>
      <c r="C325" s="444">
        <v>5</v>
      </c>
      <c r="D325" s="176" t="s">
        <v>892</v>
      </c>
      <c r="E325" s="313" t="s">
        <v>828</v>
      </c>
      <c r="F325" s="174">
        <v>36100</v>
      </c>
      <c r="G325" s="175"/>
      <c r="H325" s="176" t="s">
        <v>461</v>
      </c>
      <c r="I325" s="176"/>
      <c r="J325" s="900" t="s">
        <v>2755</v>
      </c>
      <c r="K325" s="164" t="s">
        <v>6232</v>
      </c>
      <c r="L325" s="164"/>
      <c r="M325" s="164"/>
      <c r="N325" s="164" t="s">
        <v>819</v>
      </c>
      <c r="O325" s="164"/>
      <c r="P325" s="178" t="s">
        <v>461</v>
      </c>
      <c r="Q325" s="164" t="s">
        <v>820</v>
      </c>
      <c r="R325" s="177" t="s">
        <v>895</v>
      </c>
      <c r="S325" s="354"/>
      <c r="T325" s="173" t="s">
        <v>2331</v>
      </c>
      <c r="U325" s="173" t="s">
        <v>2605</v>
      </c>
      <c r="V325" s="173"/>
      <c r="W325" s="313" t="s">
        <v>828</v>
      </c>
      <c r="X325" s="645" t="s">
        <v>12314</v>
      </c>
      <c r="Y325" s="354"/>
      <c r="Z325" s="176"/>
      <c r="AA325" s="176"/>
      <c r="AB325" s="32">
        <f t="shared" ca="1" si="6"/>
        <v>0.16804650955348643</v>
      </c>
      <c r="AC325" s="812"/>
      <c r="AD325" s="763"/>
      <c r="AE325" s="807"/>
      <c r="AF325" s="921">
        <f>IF(X325=X324,AF324,0)+IF(ISNUMBER(I325),IF(I325&lt;1,I325,I325*VLOOKUP(J325,Summary!$H$2:$I$9,2)),VLOOKUP(J325,Summary!$J$2:$K$9,2)*IF(ISNUMBER(H325),H325,1))</f>
        <v>0.32743055555555556</v>
      </c>
      <c r="AG325" s="289">
        <v>324</v>
      </c>
      <c r="AH325" s="94"/>
      <c r="AI325" s="94"/>
    </row>
    <row r="326" spans="1:35" s="3" customFormat="1" ht="12" customHeight="1" x14ac:dyDescent="0.25">
      <c r="A326" s="451" t="s">
        <v>14572</v>
      </c>
      <c r="B326" s="451">
        <v>2</v>
      </c>
      <c r="C326" s="453">
        <v>12.1</v>
      </c>
      <c r="D326" s="407" t="s">
        <v>14523</v>
      </c>
      <c r="E326" s="315" t="s">
        <v>14524</v>
      </c>
      <c r="F326" s="196">
        <v>43271</v>
      </c>
      <c r="G326" s="170"/>
      <c r="H326" s="688">
        <v>2</v>
      </c>
      <c r="I326" s="746">
        <f>TIME(1,1,52)</f>
        <v>4.296296296296296E-2</v>
      </c>
      <c r="J326" s="899" t="s">
        <v>4706</v>
      </c>
      <c r="K326" s="167" t="s">
        <v>10219</v>
      </c>
      <c r="L326" s="167" t="s">
        <v>14526</v>
      </c>
      <c r="M326" s="167"/>
      <c r="N326" s="167"/>
      <c r="O326" s="167" t="s">
        <v>5195</v>
      </c>
      <c r="P326" s="168" t="s">
        <v>14525</v>
      </c>
      <c r="Q326" s="167" t="s">
        <v>3947</v>
      </c>
      <c r="R326" s="172" t="s">
        <v>3153</v>
      </c>
      <c r="S326" s="388" t="s">
        <v>2596</v>
      </c>
      <c r="T326" s="168" t="s">
        <v>2331</v>
      </c>
      <c r="U326" s="168" t="s">
        <v>2605</v>
      </c>
      <c r="V326" s="168"/>
      <c r="W326" s="312" t="s">
        <v>16949</v>
      </c>
      <c r="X326" s="644" t="s">
        <v>12314</v>
      </c>
      <c r="Y326" s="352" t="s">
        <v>5643</v>
      </c>
      <c r="Z326" s="353">
        <v>577</v>
      </c>
      <c r="AA326" s="353">
        <v>3.5</v>
      </c>
      <c r="AB326" s="31">
        <f t="shared" ca="1" si="6"/>
        <v>0.80948348108719181</v>
      </c>
      <c r="AC326" s="810"/>
      <c r="AD326" s="811" t="s">
        <v>16859</v>
      </c>
      <c r="AE326" s="940"/>
      <c r="AF326" s="920">
        <f>IF(X326=X325,AF325,0)+IF(ISNUMBER(I326),IF(I326&lt;1,I326,I326*VLOOKUP(J326,Summary!$H$2:$I$9,2)),VLOOKUP(J326,Summary!$J$2:$K$9,2)*IF(ISNUMBER(H326),H326,1))</f>
        <v>0.37039351851851854</v>
      </c>
      <c r="AG326" s="287">
        <v>325</v>
      </c>
      <c r="AH326" s="94"/>
      <c r="AI326" s="94"/>
    </row>
    <row r="327" spans="1:35" s="22" customFormat="1" ht="12" customHeight="1" x14ac:dyDescent="0.25">
      <c r="A327" s="444" t="s">
        <v>14572</v>
      </c>
      <c r="B327" s="444">
        <v>2</v>
      </c>
      <c r="C327" s="444"/>
      <c r="D327" s="176" t="s">
        <v>1704</v>
      </c>
      <c r="E327" s="313" t="s">
        <v>7933</v>
      </c>
      <c r="F327" s="174">
        <v>25082</v>
      </c>
      <c r="G327" s="174"/>
      <c r="H327" s="176" t="s">
        <v>461</v>
      </c>
      <c r="I327" s="176">
        <v>4</v>
      </c>
      <c r="J327" s="900" t="s">
        <v>2755</v>
      </c>
      <c r="K327" s="164" t="s">
        <v>5784</v>
      </c>
      <c r="L327" s="164" t="s">
        <v>461</v>
      </c>
      <c r="M327" s="164"/>
      <c r="N327" s="164"/>
      <c r="O327" s="164"/>
      <c r="P327" s="173" t="s">
        <v>461</v>
      </c>
      <c r="Q327" s="164" t="s">
        <v>4705</v>
      </c>
      <c r="R327" s="177" t="s">
        <v>4600</v>
      </c>
      <c r="S327" s="354"/>
      <c r="T327" s="173" t="s">
        <v>2331</v>
      </c>
      <c r="U327" s="173" t="s">
        <v>2605</v>
      </c>
      <c r="V327" s="173"/>
      <c r="W327" s="313" t="s">
        <v>7933</v>
      </c>
      <c r="X327" s="645" t="s">
        <v>12314</v>
      </c>
      <c r="Y327" s="354"/>
      <c r="Z327" s="176"/>
      <c r="AA327" s="176"/>
      <c r="AB327" s="32">
        <f t="shared" ca="1" si="6"/>
        <v>2.497538581266201E-2</v>
      </c>
      <c r="AC327" s="812"/>
      <c r="AD327" s="763"/>
      <c r="AE327" s="878"/>
      <c r="AF327" s="921">
        <f>IF(X327=X326,AF326,0)+IF(ISNUMBER(I327),IF(I327&lt;1,I327,I327*VLOOKUP(J327,Summary!$H$2:$I$9,2)),VLOOKUP(J327,Summary!$J$2:$K$9,2)*IF(ISNUMBER(H327),H327,1))</f>
        <v>0.37317129629629631</v>
      </c>
      <c r="AG327" s="289">
        <v>326</v>
      </c>
      <c r="AH327" s="94"/>
      <c r="AI327" s="94"/>
    </row>
    <row r="328" spans="1:35" s="2" customFormat="1" ht="12" customHeight="1" x14ac:dyDescent="0.25">
      <c r="A328" s="444" t="s">
        <v>14572</v>
      </c>
      <c r="B328" s="444">
        <v>2</v>
      </c>
      <c r="C328" s="444"/>
      <c r="D328" s="176" t="s">
        <v>1704</v>
      </c>
      <c r="E328" s="313" t="s">
        <v>7934</v>
      </c>
      <c r="F328" s="174">
        <v>25082</v>
      </c>
      <c r="G328" s="174"/>
      <c r="H328" s="176" t="s">
        <v>461</v>
      </c>
      <c r="I328" s="176">
        <v>7</v>
      </c>
      <c r="J328" s="900" t="s">
        <v>2755</v>
      </c>
      <c r="K328" s="164" t="s">
        <v>5784</v>
      </c>
      <c r="L328" s="164" t="s">
        <v>461</v>
      </c>
      <c r="M328" s="164"/>
      <c r="N328" s="164"/>
      <c r="O328" s="164"/>
      <c r="P328" s="173" t="s">
        <v>461</v>
      </c>
      <c r="Q328" s="164" t="s">
        <v>4705</v>
      </c>
      <c r="R328" s="177" t="s">
        <v>4600</v>
      </c>
      <c r="S328" s="354"/>
      <c r="T328" s="173" t="s">
        <v>2331</v>
      </c>
      <c r="U328" s="173" t="s">
        <v>2605</v>
      </c>
      <c r="V328" s="173"/>
      <c r="W328" s="313" t="s">
        <v>7934</v>
      </c>
      <c r="X328" s="645" t="s">
        <v>12314</v>
      </c>
      <c r="Y328" s="354"/>
      <c r="Z328" s="176"/>
      <c r="AA328" s="176"/>
      <c r="AB328" s="32">
        <f t="shared" ca="1" si="6"/>
        <v>1.3089420052907141E-2</v>
      </c>
      <c r="AC328" s="812"/>
      <c r="AD328" s="763"/>
      <c r="AE328" s="878"/>
      <c r="AF328" s="921">
        <f>IF(X328=X327,AF327,0)+IF(ISNUMBER(I328),IF(I328&lt;1,I328,I328*VLOOKUP(J328,Summary!$H$2:$I$9,2)),VLOOKUP(J328,Summary!$J$2:$K$9,2)*IF(ISNUMBER(H328),H328,1))</f>
        <v>0.3780324074074074</v>
      </c>
      <c r="AG328" s="289">
        <v>327</v>
      </c>
      <c r="AH328" s="94"/>
      <c r="AI328" s="94"/>
    </row>
    <row r="329" spans="1:35" s="2" customFormat="1" ht="12" customHeight="1" x14ac:dyDescent="0.25">
      <c r="A329" s="447" t="s">
        <v>14572</v>
      </c>
      <c r="B329" s="447">
        <v>2</v>
      </c>
      <c r="C329" s="447"/>
      <c r="D329" s="185" t="s">
        <v>1704</v>
      </c>
      <c r="E329" s="314" t="s">
        <v>2948</v>
      </c>
      <c r="F329" s="183">
        <v>25082</v>
      </c>
      <c r="G329" s="199"/>
      <c r="H329" s="185">
        <v>1</v>
      </c>
      <c r="I329" s="185">
        <v>6</v>
      </c>
      <c r="J329" s="901" t="s">
        <v>1796</v>
      </c>
      <c r="K329" s="163" t="s">
        <v>2949</v>
      </c>
      <c r="L329" s="163" t="s">
        <v>2950</v>
      </c>
      <c r="M329" s="163"/>
      <c r="N329" s="163"/>
      <c r="O329" s="163"/>
      <c r="P329" s="182" t="s">
        <v>461</v>
      </c>
      <c r="Q329" s="163" t="s">
        <v>4705</v>
      </c>
      <c r="R329" s="186" t="s">
        <v>4600</v>
      </c>
      <c r="S329" s="355"/>
      <c r="T329" s="182" t="s">
        <v>2331</v>
      </c>
      <c r="U329" s="182" t="s">
        <v>2605</v>
      </c>
      <c r="V329" s="182"/>
      <c r="W329" s="314" t="s">
        <v>2948</v>
      </c>
      <c r="X329" s="646" t="s">
        <v>12314</v>
      </c>
      <c r="Y329" s="355"/>
      <c r="Z329" s="185"/>
      <c r="AA329" s="185"/>
      <c r="AB329" s="33">
        <f t="shared" ca="1" si="6"/>
        <v>0.6278477947718456</v>
      </c>
      <c r="AC329" s="813"/>
      <c r="AD329" s="211"/>
      <c r="AE329" s="875"/>
      <c r="AF329" s="922">
        <f>IF(X329=X328,AF328,0)+IF(ISNUMBER(I329),IF(I329&lt;1,I329,I329*VLOOKUP(J329,Summary!$H$2:$I$9,2)),VLOOKUP(J329,Summary!$J$2:$K$9,2)*IF(ISNUMBER(H329),H329,1))</f>
        <v>0.38011574074074073</v>
      </c>
      <c r="AG329" s="290">
        <v>328</v>
      </c>
      <c r="AH329" s="94"/>
      <c r="AI329" s="94"/>
    </row>
    <row r="330" spans="1:35" s="1" customFormat="1" ht="12" customHeight="1" x14ac:dyDescent="0.25">
      <c r="A330" s="446" t="s">
        <v>14572</v>
      </c>
      <c r="B330" s="446">
        <v>2</v>
      </c>
      <c r="C330" s="446">
        <v>2</v>
      </c>
      <c r="D330" s="417" t="s">
        <v>2879</v>
      </c>
      <c r="E330" s="316" t="s">
        <v>2880</v>
      </c>
      <c r="F330" s="195">
        <v>35588</v>
      </c>
      <c r="G330" s="188"/>
      <c r="H330" s="188" t="s">
        <v>461</v>
      </c>
      <c r="I330" s="188">
        <v>284</v>
      </c>
      <c r="J330" s="902" t="s">
        <v>6868</v>
      </c>
      <c r="K330" s="162" t="s">
        <v>176</v>
      </c>
      <c r="L330" s="162" t="s">
        <v>461</v>
      </c>
      <c r="M330" s="162"/>
      <c r="N330" s="162"/>
      <c r="O330" s="162"/>
      <c r="P330" s="178" t="s">
        <v>8927</v>
      </c>
      <c r="Q330" s="162" t="s">
        <v>3953</v>
      </c>
      <c r="R330" s="189" t="s">
        <v>2717</v>
      </c>
      <c r="S330" s="366"/>
      <c r="T330" s="178" t="s">
        <v>2331</v>
      </c>
      <c r="U330" s="178" t="s">
        <v>2605</v>
      </c>
      <c r="V330" s="178"/>
      <c r="W330" s="316" t="s">
        <v>2880</v>
      </c>
      <c r="X330" s="648" t="s">
        <v>12314</v>
      </c>
      <c r="Y330" s="356" t="s">
        <v>6868</v>
      </c>
      <c r="Z330" s="272"/>
      <c r="AA330" s="272"/>
      <c r="AB330" s="34">
        <f t="shared" ca="1" si="6"/>
        <v>0.19601909894930203</v>
      </c>
      <c r="AC330" s="814"/>
      <c r="AD330" s="815" t="s">
        <v>16130</v>
      </c>
      <c r="AE330" s="942"/>
      <c r="AF330" s="923">
        <f>IF(X330=X329,AF329,0)+IF(ISNUMBER(I330),IF(I330&lt;1,I330,I330*VLOOKUP(J330,Summary!$H$2:$I$9,2)),VLOOKUP(J330,Summary!$J$2:$K$9,2)*IF(ISNUMBER(H330),H330,1))</f>
        <v>0.57733796296296291</v>
      </c>
      <c r="AG330" s="291">
        <v>329</v>
      </c>
      <c r="AH330" s="94"/>
      <c r="AI330" s="94"/>
    </row>
    <row r="331" spans="1:35" s="1" customFormat="1" ht="12" customHeight="1" x14ac:dyDescent="0.25">
      <c r="A331" s="444" t="s">
        <v>14572</v>
      </c>
      <c r="B331" s="444">
        <v>2</v>
      </c>
      <c r="C331" s="444"/>
      <c r="D331" s="176" t="s">
        <v>1704</v>
      </c>
      <c r="E331" s="313" t="s">
        <v>7935</v>
      </c>
      <c r="F331" s="174">
        <v>25082</v>
      </c>
      <c r="G331" s="174"/>
      <c r="H331" s="176" t="s">
        <v>461</v>
      </c>
      <c r="I331" s="176">
        <v>7</v>
      </c>
      <c r="J331" s="900" t="s">
        <v>2755</v>
      </c>
      <c r="K331" s="164" t="s">
        <v>5784</v>
      </c>
      <c r="L331" s="164" t="s">
        <v>461</v>
      </c>
      <c r="M331" s="164"/>
      <c r="N331" s="164"/>
      <c r="O331" s="164"/>
      <c r="P331" s="173" t="s">
        <v>461</v>
      </c>
      <c r="Q331" s="164" t="s">
        <v>4705</v>
      </c>
      <c r="R331" s="177" t="s">
        <v>4600</v>
      </c>
      <c r="S331" s="354"/>
      <c r="T331" s="173" t="s">
        <v>2331</v>
      </c>
      <c r="U331" s="173" t="s">
        <v>2605</v>
      </c>
      <c r="V331" s="173"/>
      <c r="W331" s="313" t="s">
        <v>7935</v>
      </c>
      <c r="X331" s="645" t="s">
        <v>12314</v>
      </c>
      <c r="Y331" s="354"/>
      <c r="Z331" s="176"/>
      <c r="AA331" s="176"/>
      <c r="AB331" s="32">
        <f t="shared" ca="1" si="6"/>
        <v>0.20721377071427838</v>
      </c>
      <c r="AC331" s="812"/>
      <c r="AD331" s="763"/>
      <c r="AE331" s="878"/>
      <c r="AF331" s="921">
        <f>IF(X331=X330,AF330,0)+IF(ISNUMBER(I331),IF(I331&lt;1,I331,I331*VLOOKUP(J331,Summary!$H$2:$I$9,2)),VLOOKUP(J331,Summary!$J$2:$K$9,2)*IF(ISNUMBER(H331),H331,1))</f>
        <v>0.58219907407407401</v>
      </c>
      <c r="AG331" s="289">
        <v>330</v>
      </c>
      <c r="AH331" s="94"/>
      <c r="AI331" s="94"/>
    </row>
    <row r="332" spans="1:35" s="22" customFormat="1" ht="12" customHeight="1" x14ac:dyDescent="0.25">
      <c r="A332" s="444" t="s">
        <v>14572</v>
      </c>
      <c r="B332" s="444">
        <v>2</v>
      </c>
      <c r="C332" s="444"/>
      <c r="D332" s="176" t="s">
        <v>1704</v>
      </c>
      <c r="E332" s="313" t="s">
        <v>5308</v>
      </c>
      <c r="F332" s="174">
        <v>25082</v>
      </c>
      <c r="G332" s="174"/>
      <c r="H332" s="176" t="s">
        <v>461</v>
      </c>
      <c r="I332" s="176">
        <v>6</v>
      </c>
      <c r="J332" s="900" t="s">
        <v>2755</v>
      </c>
      <c r="K332" s="164" t="s">
        <v>5784</v>
      </c>
      <c r="L332" s="164" t="s">
        <v>461</v>
      </c>
      <c r="M332" s="164"/>
      <c r="N332" s="164"/>
      <c r="O332" s="164"/>
      <c r="P332" s="173" t="s">
        <v>461</v>
      </c>
      <c r="Q332" s="164" t="s">
        <v>4705</v>
      </c>
      <c r="R332" s="177" t="s">
        <v>4600</v>
      </c>
      <c r="S332" s="354"/>
      <c r="T332" s="173" t="s">
        <v>2331</v>
      </c>
      <c r="U332" s="173" t="s">
        <v>2605</v>
      </c>
      <c r="V332" s="173"/>
      <c r="W332" s="313" t="s">
        <v>5308</v>
      </c>
      <c r="X332" s="645" t="s">
        <v>12314</v>
      </c>
      <c r="Y332" s="354"/>
      <c r="Z332" s="176"/>
      <c r="AA332" s="176"/>
      <c r="AB332" s="32">
        <f t="shared" ca="1" si="6"/>
        <v>8.1266165067657048E-2</v>
      </c>
      <c r="AC332" s="812"/>
      <c r="AD332" s="763"/>
      <c r="AE332" s="878"/>
      <c r="AF332" s="921">
        <f>IF(X332=X331,AF331,0)+IF(ISNUMBER(I332),IF(I332&lt;1,I332,I332*VLOOKUP(J332,Summary!$H$2:$I$9,2)),VLOOKUP(J332,Summary!$J$2:$K$9,2)*IF(ISNUMBER(H332),H332,1))</f>
        <v>0.58636574074074066</v>
      </c>
      <c r="AG332" s="289">
        <v>331</v>
      </c>
      <c r="AH332" s="94"/>
      <c r="AI332" s="94"/>
    </row>
    <row r="333" spans="1:35" s="43" customFormat="1" ht="12" customHeight="1" x14ac:dyDescent="0.25">
      <c r="A333" s="444" t="s">
        <v>14572</v>
      </c>
      <c r="B333" s="444">
        <v>2</v>
      </c>
      <c r="C333" s="444"/>
      <c r="D333" s="176" t="s">
        <v>1704</v>
      </c>
      <c r="E333" s="313" t="s">
        <v>5309</v>
      </c>
      <c r="F333" s="174">
        <v>25082</v>
      </c>
      <c r="G333" s="174"/>
      <c r="H333" s="176" t="s">
        <v>461</v>
      </c>
      <c r="I333" s="176">
        <v>7</v>
      </c>
      <c r="J333" s="900" t="s">
        <v>2755</v>
      </c>
      <c r="K333" s="164" t="s">
        <v>5784</v>
      </c>
      <c r="L333" s="164" t="s">
        <v>461</v>
      </c>
      <c r="M333" s="164"/>
      <c r="N333" s="164"/>
      <c r="O333" s="164"/>
      <c r="P333" s="173" t="s">
        <v>461</v>
      </c>
      <c r="Q333" s="164" t="s">
        <v>4705</v>
      </c>
      <c r="R333" s="177" t="s">
        <v>4600</v>
      </c>
      <c r="S333" s="354"/>
      <c r="T333" s="173" t="s">
        <v>2331</v>
      </c>
      <c r="U333" s="173" t="s">
        <v>2605</v>
      </c>
      <c r="V333" s="173"/>
      <c r="W333" s="313" t="s">
        <v>5309</v>
      </c>
      <c r="X333" s="645" t="s">
        <v>12314</v>
      </c>
      <c r="Y333" s="354"/>
      <c r="Z333" s="176"/>
      <c r="AA333" s="176"/>
      <c r="AB333" s="32">
        <f t="shared" ca="1" si="6"/>
        <v>0.89991951711933105</v>
      </c>
      <c r="AC333" s="812"/>
      <c r="AD333" s="763"/>
      <c r="AE333" s="878"/>
      <c r="AF333" s="921">
        <f>IF(X333=X332,AF332,0)+IF(ISNUMBER(I333),IF(I333&lt;1,I333,I333*VLOOKUP(J333,Summary!$H$2:$I$9,2)),VLOOKUP(J333,Summary!$J$2:$K$9,2)*IF(ISNUMBER(H333),H333,1))</f>
        <v>0.59122685185185175</v>
      </c>
      <c r="AG333" s="289">
        <v>332</v>
      </c>
      <c r="AH333" s="94"/>
      <c r="AI333" s="94"/>
    </row>
    <row r="334" spans="1:35" s="2" customFormat="1" ht="12" customHeight="1" x14ac:dyDescent="0.25">
      <c r="A334" s="446" t="s">
        <v>14572</v>
      </c>
      <c r="B334" s="446">
        <v>2</v>
      </c>
      <c r="C334" s="446">
        <v>47</v>
      </c>
      <c r="D334" s="417" t="s">
        <v>2720</v>
      </c>
      <c r="E334" s="316" t="s">
        <v>2882</v>
      </c>
      <c r="F334" s="187">
        <v>37165</v>
      </c>
      <c r="G334" s="188"/>
      <c r="H334" s="188" t="s">
        <v>461</v>
      </c>
      <c r="I334" s="188">
        <v>281</v>
      </c>
      <c r="J334" s="902" t="s">
        <v>6868</v>
      </c>
      <c r="K334" s="162" t="s">
        <v>6240</v>
      </c>
      <c r="L334" s="162" t="s">
        <v>461</v>
      </c>
      <c r="M334" s="162"/>
      <c r="N334" s="162"/>
      <c r="O334" s="162"/>
      <c r="P334" s="178" t="s">
        <v>8971</v>
      </c>
      <c r="Q334" s="162" t="s">
        <v>3953</v>
      </c>
      <c r="R334" s="189" t="s">
        <v>2717</v>
      </c>
      <c r="S334" s="366"/>
      <c r="T334" s="178" t="s">
        <v>2331</v>
      </c>
      <c r="U334" s="178" t="s">
        <v>2605</v>
      </c>
      <c r="V334" s="178"/>
      <c r="W334" s="316" t="s">
        <v>2882</v>
      </c>
      <c r="X334" s="648" t="s">
        <v>12314</v>
      </c>
      <c r="Y334" s="356"/>
      <c r="Z334" s="272"/>
      <c r="AA334" s="272"/>
      <c r="AB334" s="34">
        <f t="shared" ca="1" si="6"/>
        <v>0.74237232797940123</v>
      </c>
      <c r="AC334" s="814"/>
      <c r="AD334" s="815" t="s">
        <v>16747</v>
      </c>
      <c r="AE334" s="942"/>
      <c r="AF334" s="923">
        <f>IF(X334=X333,AF333,0)+IF(ISNUMBER(I334),IF(I334&lt;1,I334,I334*VLOOKUP(J334,Summary!$H$2:$I$9,2)),VLOOKUP(J334,Summary!$J$2:$K$9,2)*IF(ISNUMBER(H334),H334,1))</f>
        <v>0.78636574074074062</v>
      </c>
      <c r="AG334" s="291">
        <v>333</v>
      </c>
      <c r="AH334" s="94"/>
      <c r="AI334" s="94"/>
    </row>
    <row r="335" spans="1:35" s="2" customFormat="1" ht="12" customHeight="1" x14ac:dyDescent="0.25">
      <c r="A335" s="444" t="s">
        <v>14572</v>
      </c>
      <c r="B335" s="444">
        <v>2</v>
      </c>
      <c r="C335" s="444"/>
      <c r="D335" s="176" t="s">
        <v>1704</v>
      </c>
      <c r="E335" s="313" t="s">
        <v>5310</v>
      </c>
      <c r="F335" s="174">
        <v>25082</v>
      </c>
      <c r="G335" s="174"/>
      <c r="H335" s="176" t="s">
        <v>461</v>
      </c>
      <c r="I335" s="176">
        <v>5</v>
      </c>
      <c r="J335" s="900" t="s">
        <v>2755</v>
      </c>
      <c r="K335" s="164" t="s">
        <v>5784</v>
      </c>
      <c r="L335" s="164" t="s">
        <v>461</v>
      </c>
      <c r="M335" s="164"/>
      <c r="N335" s="164"/>
      <c r="O335" s="164"/>
      <c r="P335" s="173" t="s">
        <v>461</v>
      </c>
      <c r="Q335" s="164" t="s">
        <v>4705</v>
      </c>
      <c r="R335" s="177" t="s">
        <v>4600</v>
      </c>
      <c r="S335" s="354"/>
      <c r="T335" s="173" t="s">
        <v>2331</v>
      </c>
      <c r="U335" s="173" t="s">
        <v>2605</v>
      </c>
      <c r="V335" s="173"/>
      <c r="W335" s="313" t="s">
        <v>5310</v>
      </c>
      <c r="X335" s="645" t="s">
        <v>12314</v>
      </c>
      <c r="Y335" s="354"/>
      <c r="Z335" s="176"/>
      <c r="AA335" s="176"/>
      <c r="AB335" s="32">
        <f t="shared" ca="1" si="6"/>
        <v>0.49959980675861038</v>
      </c>
      <c r="AC335" s="812"/>
      <c r="AD335" s="763"/>
      <c r="AE335" s="878"/>
      <c r="AF335" s="921">
        <f>IF(X335=X334,AF334,0)+IF(ISNUMBER(I335),IF(I335&lt;1,I335,I335*VLOOKUP(J335,Summary!$H$2:$I$9,2)),VLOOKUP(J335,Summary!$J$2:$K$9,2)*IF(ISNUMBER(H335),H335,1))</f>
        <v>0.78983796296296283</v>
      </c>
      <c r="AG335" s="289">
        <v>334</v>
      </c>
      <c r="AH335" s="94"/>
      <c r="AI335" s="94"/>
    </row>
    <row r="336" spans="1:35" s="29" customFormat="1" ht="12" customHeight="1" x14ac:dyDescent="0.25">
      <c r="A336" s="447" t="s">
        <v>14572</v>
      </c>
      <c r="B336" s="447">
        <v>2</v>
      </c>
      <c r="C336" s="447"/>
      <c r="D336" s="185" t="s">
        <v>1704</v>
      </c>
      <c r="E336" s="314" t="s">
        <v>5183</v>
      </c>
      <c r="F336" s="183">
        <v>25082</v>
      </c>
      <c r="G336" s="199"/>
      <c r="H336" s="185">
        <v>1</v>
      </c>
      <c r="I336" s="185">
        <v>7</v>
      </c>
      <c r="J336" s="901" t="s">
        <v>1796</v>
      </c>
      <c r="K336" s="163" t="s">
        <v>2949</v>
      </c>
      <c r="L336" s="163" t="s">
        <v>2950</v>
      </c>
      <c r="M336" s="163"/>
      <c r="N336" s="163"/>
      <c r="O336" s="163"/>
      <c r="P336" s="182" t="s">
        <v>461</v>
      </c>
      <c r="Q336" s="163" t="s">
        <v>4705</v>
      </c>
      <c r="R336" s="186" t="s">
        <v>4600</v>
      </c>
      <c r="S336" s="355"/>
      <c r="T336" s="182" t="s">
        <v>2331</v>
      </c>
      <c r="U336" s="182" t="s">
        <v>2605</v>
      </c>
      <c r="V336" s="182"/>
      <c r="W336" s="314" t="s">
        <v>5183</v>
      </c>
      <c r="X336" s="646" t="s">
        <v>12314</v>
      </c>
      <c r="Y336" s="355"/>
      <c r="Z336" s="185"/>
      <c r="AA336" s="185"/>
      <c r="AB336" s="33">
        <f t="shared" ca="1" si="6"/>
        <v>0.36969299526951893</v>
      </c>
      <c r="AC336" s="813"/>
      <c r="AD336" s="211"/>
      <c r="AE336" s="875"/>
      <c r="AF336" s="922">
        <f>IF(X336=X335,AF335,0)+IF(ISNUMBER(I336),IF(I336&lt;1,I336,I336*VLOOKUP(J336,Summary!$H$2:$I$9,2)),VLOOKUP(J336,Summary!$J$2:$K$9,2)*IF(ISNUMBER(H336),H336,1))</f>
        <v>0.79226851851851843</v>
      </c>
      <c r="AG336" s="290">
        <v>335</v>
      </c>
      <c r="AH336" s="94"/>
      <c r="AI336" s="94"/>
    </row>
    <row r="337" spans="1:35" s="43" customFormat="1" ht="12" customHeight="1" x14ac:dyDescent="0.25">
      <c r="A337" s="444" t="s">
        <v>14572</v>
      </c>
      <c r="B337" s="444">
        <v>2</v>
      </c>
      <c r="C337" s="444"/>
      <c r="D337" s="176" t="s">
        <v>1704</v>
      </c>
      <c r="E337" s="313" t="s">
        <v>5311</v>
      </c>
      <c r="F337" s="174">
        <v>25082</v>
      </c>
      <c r="G337" s="174"/>
      <c r="H337" s="176" t="s">
        <v>461</v>
      </c>
      <c r="I337" s="176">
        <v>7</v>
      </c>
      <c r="J337" s="900" t="s">
        <v>2755</v>
      </c>
      <c r="K337" s="164" t="s">
        <v>5784</v>
      </c>
      <c r="L337" s="164" t="s">
        <v>461</v>
      </c>
      <c r="M337" s="164"/>
      <c r="N337" s="164"/>
      <c r="O337" s="164"/>
      <c r="P337" s="173" t="s">
        <v>461</v>
      </c>
      <c r="Q337" s="164" t="s">
        <v>4705</v>
      </c>
      <c r="R337" s="177" t="s">
        <v>4600</v>
      </c>
      <c r="S337" s="354"/>
      <c r="T337" s="173" t="s">
        <v>2331</v>
      </c>
      <c r="U337" s="173" t="s">
        <v>2605</v>
      </c>
      <c r="V337" s="173"/>
      <c r="W337" s="313" t="s">
        <v>5311</v>
      </c>
      <c r="X337" s="645" t="s">
        <v>12314</v>
      </c>
      <c r="Y337" s="354"/>
      <c r="Z337" s="176"/>
      <c r="AA337" s="176"/>
      <c r="AB337" s="32">
        <f t="shared" ca="1" si="6"/>
        <v>0.34444694369017337</v>
      </c>
      <c r="AC337" s="812"/>
      <c r="AD337" s="763" t="s">
        <v>16860</v>
      </c>
      <c r="AE337" s="878"/>
      <c r="AF337" s="921">
        <f>IF(X337=X336,AF336,0)+IF(ISNUMBER(I337),IF(I337&lt;1,I337,I337*VLOOKUP(J337,Summary!$H$2:$I$9,2)),VLOOKUP(J337,Summary!$J$2:$K$9,2)*IF(ISNUMBER(H337),H337,1))</f>
        <v>0.79712962962962952</v>
      </c>
      <c r="AG337" s="289">
        <v>336</v>
      </c>
      <c r="AH337" s="94"/>
      <c r="AI337" s="94"/>
    </row>
    <row r="338" spans="1:35" s="22" customFormat="1" ht="12" customHeight="1" x14ac:dyDescent="0.25">
      <c r="A338" s="444" t="s">
        <v>14572</v>
      </c>
      <c r="B338" s="444">
        <v>2</v>
      </c>
      <c r="C338" s="444"/>
      <c r="D338" s="176" t="s">
        <v>1704</v>
      </c>
      <c r="E338" s="313" t="s">
        <v>5312</v>
      </c>
      <c r="F338" s="174">
        <v>25082</v>
      </c>
      <c r="G338" s="174"/>
      <c r="H338" s="176" t="s">
        <v>461</v>
      </c>
      <c r="I338" s="176">
        <v>5</v>
      </c>
      <c r="J338" s="900" t="s">
        <v>2755</v>
      </c>
      <c r="K338" s="164" t="s">
        <v>5784</v>
      </c>
      <c r="L338" s="164" t="s">
        <v>461</v>
      </c>
      <c r="M338" s="164"/>
      <c r="N338" s="164"/>
      <c r="O338" s="164"/>
      <c r="P338" s="173" t="s">
        <v>461</v>
      </c>
      <c r="Q338" s="164" t="s">
        <v>4705</v>
      </c>
      <c r="R338" s="177" t="s">
        <v>4600</v>
      </c>
      <c r="S338" s="354"/>
      <c r="T338" s="173" t="s">
        <v>2331</v>
      </c>
      <c r="U338" s="173" t="s">
        <v>2605</v>
      </c>
      <c r="V338" s="173"/>
      <c r="W338" s="313" t="s">
        <v>5312</v>
      </c>
      <c r="X338" s="645" t="s">
        <v>12314</v>
      </c>
      <c r="Y338" s="354"/>
      <c r="Z338" s="176"/>
      <c r="AA338" s="176"/>
      <c r="AB338" s="32">
        <f t="shared" ca="1" si="6"/>
        <v>0.70582068746734727</v>
      </c>
      <c r="AC338" s="812"/>
      <c r="AD338" s="763" t="s">
        <v>16861</v>
      </c>
      <c r="AE338" s="878" t="s">
        <v>12543</v>
      </c>
      <c r="AF338" s="921">
        <f>IF(X338=X337,AF337,0)+IF(ISNUMBER(I338),IF(I338&lt;1,I338,I338*VLOOKUP(J338,Summary!$H$2:$I$9,2)),VLOOKUP(J338,Summary!$J$2:$K$9,2)*IF(ISNUMBER(H338),H338,1))</f>
        <v>0.80060185185185173</v>
      </c>
      <c r="AG338" s="289">
        <v>337</v>
      </c>
      <c r="AH338" s="94"/>
      <c r="AI338" s="94"/>
    </row>
    <row r="339" spans="1:35" s="22" customFormat="1" ht="12" customHeight="1" x14ac:dyDescent="0.25">
      <c r="A339" s="446" t="s">
        <v>14572</v>
      </c>
      <c r="B339" s="446">
        <v>2</v>
      </c>
      <c r="C339" s="446">
        <v>7</v>
      </c>
      <c r="D339" s="417" t="s">
        <v>2883</v>
      </c>
      <c r="E339" s="316" t="s">
        <v>2884</v>
      </c>
      <c r="F339" s="187">
        <v>37712</v>
      </c>
      <c r="G339" s="188"/>
      <c r="H339" s="188" t="s">
        <v>461</v>
      </c>
      <c r="I339" s="188">
        <v>120</v>
      </c>
      <c r="J339" s="902" t="s">
        <v>6868</v>
      </c>
      <c r="K339" s="162" t="s">
        <v>6241</v>
      </c>
      <c r="L339" s="162" t="s">
        <v>461</v>
      </c>
      <c r="M339" s="162"/>
      <c r="N339" s="162"/>
      <c r="O339" s="162"/>
      <c r="P339" s="178" t="s">
        <v>8862</v>
      </c>
      <c r="Q339" s="162" t="s">
        <v>6055</v>
      </c>
      <c r="R339" s="189" t="s">
        <v>2718</v>
      </c>
      <c r="S339" s="366"/>
      <c r="T339" s="178" t="s">
        <v>2331</v>
      </c>
      <c r="U339" s="178" t="s">
        <v>2605</v>
      </c>
      <c r="V339" s="178"/>
      <c r="W339" s="316" t="s">
        <v>2884</v>
      </c>
      <c r="X339" s="648" t="s">
        <v>12314</v>
      </c>
      <c r="Y339" s="356"/>
      <c r="Z339" s="272">
        <v>17</v>
      </c>
      <c r="AA339" s="272">
        <v>9</v>
      </c>
      <c r="AB339" s="34">
        <f t="shared" ca="1" si="6"/>
        <v>0.14542914039123001</v>
      </c>
      <c r="AC339" s="814"/>
      <c r="AD339" s="815" t="s">
        <v>16531</v>
      </c>
      <c r="AE339" s="942"/>
      <c r="AF339" s="923">
        <f>IF(X339=X338,AF338,0)+IF(ISNUMBER(I339),IF(I339&lt;1,I339,I339*VLOOKUP(J339,Summary!$H$2:$I$9,2)),VLOOKUP(J339,Summary!$J$2:$K$9,2)*IF(ISNUMBER(H339),H339,1))</f>
        <v>0.8839351851851851</v>
      </c>
      <c r="AG339" s="291">
        <v>338</v>
      </c>
      <c r="AH339" s="94"/>
      <c r="AI339" s="94"/>
    </row>
    <row r="340" spans="1:35" s="1" customFormat="1" ht="12" customHeight="1" x14ac:dyDescent="0.25">
      <c r="A340" s="444" t="s">
        <v>14572</v>
      </c>
      <c r="B340" s="444">
        <v>2</v>
      </c>
      <c r="C340" s="445">
        <v>18.03</v>
      </c>
      <c r="D340" s="176" t="s">
        <v>1938</v>
      </c>
      <c r="E340" s="313" t="s">
        <v>1939</v>
      </c>
      <c r="F340" s="174">
        <v>38687</v>
      </c>
      <c r="G340" s="174"/>
      <c r="H340" s="176">
        <v>1</v>
      </c>
      <c r="I340" s="176">
        <v>10</v>
      </c>
      <c r="J340" s="900" t="s">
        <v>2755</v>
      </c>
      <c r="K340" s="164" t="s">
        <v>2312</v>
      </c>
      <c r="L340" s="164" t="s">
        <v>461</v>
      </c>
      <c r="M340" s="164"/>
      <c r="N340" s="164" t="s">
        <v>5664</v>
      </c>
      <c r="O340" s="164"/>
      <c r="P340" s="173" t="s">
        <v>5000</v>
      </c>
      <c r="Q340" s="164" t="s">
        <v>3947</v>
      </c>
      <c r="R340" s="177" t="s">
        <v>2723</v>
      </c>
      <c r="S340" s="354"/>
      <c r="T340" s="173" t="s">
        <v>2331</v>
      </c>
      <c r="U340" s="173" t="s">
        <v>2605</v>
      </c>
      <c r="V340" s="173"/>
      <c r="W340" s="313" t="s">
        <v>1939</v>
      </c>
      <c r="X340" s="645" t="s">
        <v>12314</v>
      </c>
      <c r="Y340" s="354"/>
      <c r="Z340" s="176"/>
      <c r="AA340" s="176"/>
      <c r="AB340" s="32">
        <f t="shared" ca="1" si="6"/>
        <v>0.98766702568294074</v>
      </c>
      <c r="AC340" s="812"/>
      <c r="AD340" s="763" t="s">
        <v>16862</v>
      </c>
      <c r="AE340" s="807" t="s">
        <v>12543</v>
      </c>
      <c r="AF340" s="921">
        <f>IF(X340=X339,AF339,0)+IF(ISNUMBER(I340),IF(I340&lt;1,I340,I340*VLOOKUP(J340,Summary!$H$2:$I$9,2)),VLOOKUP(J340,Summary!$J$2:$K$9,2)*IF(ISNUMBER(H340),H340,1))</f>
        <v>0.89087962962962952</v>
      </c>
      <c r="AG340" s="289">
        <v>339</v>
      </c>
      <c r="AH340" s="94"/>
      <c r="AI340" s="94"/>
    </row>
    <row r="341" spans="1:35" s="43" customFormat="1" ht="12" customHeight="1" x14ac:dyDescent="0.25">
      <c r="A341" s="448" t="s">
        <v>14572</v>
      </c>
      <c r="B341" s="448">
        <v>2</v>
      </c>
      <c r="C341" s="449">
        <v>6.06</v>
      </c>
      <c r="D341" s="192" t="s">
        <v>11394</v>
      </c>
      <c r="E341" s="317" t="s">
        <v>11395</v>
      </c>
      <c r="F341" s="209">
        <v>42537</v>
      </c>
      <c r="G341" s="209"/>
      <c r="H341" s="192">
        <v>1</v>
      </c>
      <c r="I341" s="753">
        <f>TIME(0,37,22)</f>
        <v>2.5949074074074072E-2</v>
      </c>
      <c r="J341" s="903" t="s">
        <v>2755</v>
      </c>
      <c r="K341" s="194" t="s">
        <v>11396</v>
      </c>
      <c r="L341" s="194" t="s">
        <v>5662</v>
      </c>
      <c r="M341" s="194" t="s">
        <v>11397</v>
      </c>
      <c r="N341" s="194"/>
      <c r="O341" s="194"/>
      <c r="P341" s="190" t="s">
        <v>11398</v>
      </c>
      <c r="Q341" s="194" t="s">
        <v>3947</v>
      </c>
      <c r="R341" s="193" t="s">
        <v>2722</v>
      </c>
      <c r="S341" s="357"/>
      <c r="T341" s="190" t="s">
        <v>2331</v>
      </c>
      <c r="U341" s="190" t="s">
        <v>2605</v>
      </c>
      <c r="V341" s="190"/>
      <c r="W341" s="317" t="s">
        <v>11395</v>
      </c>
      <c r="X341" s="649" t="s">
        <v>12314</v>
      </c>
      <c r="Y341" s="357" t="s">
        <v>5643</v>
      </c>
      <c r="Z341" s="192"/>
      <c r="AA341" s="192"/>
      <c r="AB341" s="37">
        <f t="shared" ca="1" si="6"/>
        <v>0.69352192966557025</v>
      </c>
      <c r="AC341" s="816"/>
      <c r="AD341" s="817" t="s">
        <v>16863</v>
      </c>
      <c r="AE341" s="943"/>
      <c r="AF341" s="924">
        <f>IF(X341=X340,AF340,0)+IF(ISNUMBER(I341),IF(I341&lt;1,I341,I341*VLOOKUP(J341,Summary!$H$2:$I$9,2)),VLOOKUP(J341,Summary!$J$2:$K$9,2)*IF(ISNUMBER(H341),H341,1))</f>
        <v>0.91682870370370362</v>
      </c>
      <c r="AG341" s="292">
        <v>340</v>
      </c>
      <c r="AH341" s="94"/>
      <c r="AI341" s="94"/>
    </row>
    <row r="342" spans="1:35" s="22" customFormat="1" ht="12" customHeight="1" x14ac:dyDescent="0.2">
      <c r="A342" s="686"/>
      <c r="B342" s="686" t="s">
        <v>6153</v>
      </c>
      <c r="C342" s="686"/>
      <c r="D342" s="493"/>
      <c r="E342" s="333" t="s">
        <v>14588</v>
      </c>
      <c r="F342" s="233">
        <v>39257</v>
      </c>
      <c r="G342" s="233">
        <v>41657</v>
      </c>
      <c r="H342" s="226"/>
      <c r="I342" s="226">
        <v>714</v>
      </c>
      <c r="J342" s="907" t="s">
        <v>1796</v>
      </c>
      <c r="K342" s="165" t="s">
        <v>14590</v>
      </c>
      <c r="L342" s="165" t="s">
        <v>14590</v>
      </c>
      <c r="M342" s="165"/>
      <c r="N342" s="165"/>
      <c r="O342" s="165"/>
      <c r="P342" s="225" t="s">
        <v>461</v>
      </c>
      <c r="Q342" s="165" t="s">
        <v>14590</v>
      </c>
      <c r="R342" s="234" t="s">
        <v>14589</v>
      </c>
      <c r="S342" s="369"/>
      <c r="T342" s="225"/>
      <c r="U342" s="225"/>
      <c r="V342" s="225"/>
      <c r="W342" s="338"/>
      <c r="X342" s="670" t="s">
        <v>14588</v>
      </c>
      <c r="Y342" s="372"/>
      <c r="Z342" s="269"/>
      <c r="AA342" s="269"/>
      <c r="AB342" s="38">
        <f t="shared" ca="1" si="6"/>
        <v>0.99249591438103624</v>
      </c>
      <c r="AC342" s="830"/>
      <c r="AD342" s="831"/>
      <c r="AE342" s="953"/>
      <c r="AF342" s="928">
        <f>IF(X342=X341,AF341,0)+IF(ISNUMBER(I342),IF(I342&lt;1,I342,I342*VLOOKUP(J342,Summary!$H$2:$I$9,2)),VLOOKUP(J342,Summary!$J$2:$K$9,2)*IF(ISNUMBER(H342),H342,1))</f>
        <v>0.24791666666666667</v>
      </c>
      <c r="AG342" s="300">
        <v>341</v>
      </c>
      <c r="AH342" s="94"/>
      <c r="AI342" s="94"/>
    </row>
    <row r="343" spans="1:35" s="22" customFormat="1" ht="12" customHeight="1" x14ac:dyDescent="0.2">
      <c r="A343" s="443" t="s">
        <v>14573</v>
      </c>
      <c r="B343" s="443">
        <v>2</v>
      </c>
      <c r="C343" s="443">
        <v>31</v>
      </c>
      <c r="D343" s="426" t="s">
        <v>2885</v>
      </c>
      <c r="E343" s="427" t="s">
        <v>2886</v>
      </c>
      <c r="F343" s="203">
        <v>24458</v>
      </c>
      <c r="G343" s="203">
        <v>24479</v>
      </c>
      <c r="H343" s="204">
        <v>4</v>
      </c>
      <c r="I343" s="791">
        <f>TIME(0,24,38)+TIME(0,23,41)+TIME(0,22,54)+TIME(0,24,19)</f>
        <v>6.6342592592592592E-2</v>
      </c>
      <c r="J343" s="905" t="s">
        <v>1588</v>
      </c>
      <c r="K343" s="205" t="s">
        <v>2887</v>
      </c>
      <c r="L343" s="205" t="s">
        <v>5262</v>
      </c>
      <c r="M343" s="205"/>
      <c r="N343" s="205" t="s">
        <v>5405</v>
      </c>
      <c r="O343" s="205" t="s">
        <v>5416</v>
      </c>
      <c r="P343" s="202" t="s">
        <v>461</v>
      </c>
      <c r="Q343" s="205" t="s">
        <v>3946</v>
      </c>
      <c r="R343" s="206" t="s">
        <v>5280</v>
      </c>
      <c r="S343" s="391" t="s">
        <v>2596</v>
      </c>
      <c r="T343" s="202" t="s">
        <v>2331</v>
      </c>
      <c r="U343" s="202" t="s">
        <v>2605</v>
      </c>
      <c r="V343" s="202"/>
      <c r="W343" s="320" t="s">
        <v>9677</v>
      </c>
      <c r="X343" s="652" t="s">
        <v>14574</v>
      </c>
      <c r="Y343" s="359" t="s">
        <v>5423</v>
      </c>
      <c r="Z343" s="360">
        <v>263</v>
      </c>
      <c r="AA343" s="360">
        <v>3</v>
      </c>
      <c r="AB343" s="36">
        <f t="shared" ca="1" si="6"/>
        <v>0.68760277234295641</v>
      </c>
      <c r="AC343" s="822"/>
      <c r="AD343" s="823" t="s">
        <v>16554</v>
      </c>
      <c r="AE343" s="947" t="s">
        <v>9592</v>
      </c>
      <c r="AF343" s="926">
        <f>IF(X343=X342,AF342,0)+IF(ISNUMBER(I343),IF(I343&lt;1,I343,I343*VLOOKUP(J343,Summary!$H$2:$I$9,2)),VLOOKUP(J343,Summary!$J$2:$K$9,2)*IF(ISNUMBER(H343),H343,1))</f>
        <v>6.6342592592592592E-2</v>
      </c>
      <c r="AG343" s="294">
        <v>342</v>
      </c>
      <c r="AH343" s="94"/>
      <c r="AI343" s="94"/>
    </row>
    <row r="344" spans="1:35" s="22" customFormat="1" ht="12" customHeight="1" x14ac:dyDescent="0.25">
      <c r="A344" s="448" t="s">
        <v>14573</v>
      </c>
      <c r="B344" s="448">
        <v>2</v>
      </c>
      <c r="C344" s="450">
        <v>2</v>
      </c>
      <c r="D344" s="192" t="s">
        <v>12633</v>
      </c>
      <c r="E344" s="317" t="s">
        <v>12634</v>
      </c>
      <c r="F344" s="209">
        <v>42985</v>
      </c>
      <c r="G344" s="192"/>
      <c r="H344" s="192" t="s">
        <v>461</v>
      </c>
      <c r="I344" s="192"/>
      <c r="J344" s="903" t="s">
        <v>2755</v>
      </c>
      <c r="K344" s="194" t="s">
        <v>1935</v>
      </c>
      <c r="L344" s="194" t="s">
        <v>12629</v>
      </c>
      <c r="M344" s="194" t="s">
        <v>12635</v>
      </c>
      <c r="N344" s="194"/>
      <c r="O344" s="194"/>
      <c r="P344" s="190" t="s">
        <v>12632</v>
      </c>
      <c r="Q344" s="194" t="s">
        <v>3954</v>
      </c>
      <c r="R344" s="193" t="s">
        <v>12631</v>
      </c>
      <c r="S344" s="357" t="s">
        <v>2596</v>
      </c>
      <c r="T344" s="190" t="s">
        <v>2331</v>
      </c>
      <c r="U344" s="190" t="s">
        <v>2605</v>
      </c>
      <c r="V344" s="190"/>
      <c r="W344" s="317" t="s">
        <v>12628</v>
      </c>
      <c r="X344" s="649" t="s">
        <v>14574</v>
      </c>
      <c r="Y344" s="357"/>
      <c r="Z344" s="192"/>
      <c r="AA344" s="192"/>
      <c r="AB344" s="37">
        <f t="shared" ca="1" si="6"/>
        <v>0.78499232020298948</v>
      </c>
      <c r="AC344" s="816"/>
      <c r="AD344" s="817" t="s">
        <v>461</v>
      </c>
      <c r="AE344" s="943"/>
      <c r="AF344" s="924">
        <f>IF(X344=X343,AF343,0)+IF(ISNUMBER(I344),IF(I344&lt;1,I344,I344*VLOOKUP(J344,Summary!$H$2:$I$9,2)),VLOOKUP(J344,Summary!$J$2:$K$9,2)*IF(ISNUMBER(H344),H344,1))</f>
        <v>8.3703703703703697E-2</v>
      </c>
      <c r="AG344" s="292">
        <v>343</v>
      </c>
      <c r="AH344" s="94"/>
      <c r="AI344" s="94"/>
    </row>
    <row r="345" spans="1:35" s="22" customFormat="1" ht="12" customHeight="1" x14ac:dyDescent="0.2">
      <c r="A345" s="443" t="s">
        <v>14573</v>
      </c>
      <c r="B345" s="443">
        <v>2</v>
      </c>
      <c r="C345" s="443">
        <v>32</v>
      </c>
      <c r="D345" s="426" t="s">
        <v>5263</v>
      </c>
      <c r="E345" s="427" t="s">
        <v>1755</v>
      </c>
      <c r="F345" s="203">
        <v>24486</v>
      </c>
      <c r="G345" s="203">
        <v>24507</v>
      </c>
      <c r="H345" s="204">
        <v>4</v>
      </c>
      <c r="I345" s="791">
        <f>TIME(0,24,18)+TIME(0,25, 0)+TIME(0,24, 9)+TIME(0,23,20)</f>
        <v>6.7210648148148144E-2</v>
      </c>
      <c r="J345" s="905" t="s">
        <v>1588</v>
      </c>
      <c r="K345" s="205" t="s">
        <v>1756</v>
      </c>
      <c r="L345" s="205" t="s">
        <v>5435</v>
      </c>
      <c r="M345" s="205"/>
      <c r="N345" s="205" t="s">
        <v>5405</v>
      </c>
      <c r="O345" s="205" t="s">
        <v>5416</v>
      </c>
      <c r="P345" s="202" t="s">
        <v>461</v>
      </c>
      <c r="Q345" s="205" t="s">
        <v>3946</v>
      </c>
      <c r="R345" s="206" t="s">
        <v>5280</v>
      </c>
      <c r="S345" s="391" t="s">
        <v>2596</v>
      </c>
      <c r="T345" s="202" t="s">
        <v>2331</v>
      </c>
      <c r="U345" s="202" t="s">
        <v>2605</v>
      </c>
      <c r="V345" s="202"/>
      <c r="W345" s="320" t="s">
        <v>9607</v>
      </c>
      <c r="X345" s="652" t="s">
        <v>14574</v>
      </c>
      <c r="Y345" s="359" t="s">
        <v>5423</v>
      </c>
      <c r="Z345" s="360"/>
      <c r="AA345" s="360"/>
      <c r="AB345" s="36">
        <f t="shared" ca="1" si="6"/>
        <v>3.492336352399783E-2</v>
      </c>
      <c r="AC345" s="822"/>
      <c r="AD345" s="823" t="s">
        <v>16003</v>
      </c>
      <c r="AE345" s="947" t="s">
        <v>16004</v>
      </c>
      <c r="AF345" s="926">
        <f>IF(X345=X344,AF344,0)+IF(ISNUMBER(I345),IF(I345&lt;1,I345,I345*VLOOKUP(J345,Summary!$H$2:$I$9,2)),VLOOKUP(J345,Summary!$J$2:$K$9,2)*IF(ISNUMBER(H345),H345,1))</f>
        <v>0.15091435185185184</v>
      </c>
      <c r="AG345" s="294">
        <v>344</v>
      </c>
      <c r="AH345" s="94"/>
      <c r="AI345" s="94"/>
    </row>
    <row r="346" spans="1:35" s="29" customFormat="1" ht="12" customHeight="1" x14ac:dyDescent="0.25">
      <c r="A346" s="443" t="s">
        <v>14573</v>
      </c>
      <c r="B346" s="443">
        <v>2</v>
      </c>
      <c r="C346" s="443">
        <v>33</v>
      </c>
      <c r="D346" s="426" t="s">
        <v>1757</v>
      </c>
      <c r="E346" s="427" t="s">
        <v>1758</v>
      </c>
      <c r="F346" s="198">
        <v>24514</v>
      </c>
      <c r="G346" s="198">
        <v>24535</v>
      </c>
      <c r="H346" s="204">
        <v>4</v>
      </c>
      <c r="I346" s="791">
        <f>TIME(0,24,12)+TIME(0,24,42)+TIME(0,26,11)+TIME(0,23,28)</f>
        <v>6.8437499999999998E-2</v>
      </c>
      <c r="J346" s="905" t="s">
        <v>1588</v>
      </c>
      <c r="K346" s="205" t="s">
        <v>1759</v>
      </c>
      <c r="L346" s="205" t="s">
        <v>1760</v>
      </c>
      <c r="M346" s="205"/>
      <c r="N346" s="205" t="s">
        <v>5405</v>
      </c>
      <c r="O346" s="205" t="s">
        <v>5416</v>
      </c>
      <c r="P346" s="202" t="s">
        <v>461</v>
      </c>
      <c r="Q346" s="205" t="s">
        <v>3946</v>
      </c>
      <c r="R346" s="206" t="s">
        <v>5280</v>
      </c>
      <c r="S346" s="391" t="s">
        <v>2596</v>
      </c>
      <c r="T346" s="202" t="s">
        <v>2331</v>
      </c>
      <c r="U346" s="202" t="s">
        <v>2605</v>
      </c>
      <c r="V346" s="202"/>
      <c r="W346" s="320" t="s">
        <v>9609</v>
      </c>
      <c r="X346" s="652" t="s">
        <v>14574</v>
      </c>
      <c r="Y346" s="359" t="s">
        <v>6141</v>
      </c>
      <c r="Z346" s="360">
        <v>153</v>
      </c>
      <c r="AA346" s="360">
        <v>5.5</v>
      </c>
      <c r="AB346" s="36">
        <f t="shared" ca="1" si="6"/>
        <v>0.12667278656170411</v>
      </c>
      <c r="AC346" s="822"/>
      <c r="AD346" s="823" t="s">
        <v>16102</v>
      </c>
      <c r="AE346" s="947" t="s">
        <v>9608</v>
      </c>
      <c r="AF346" s="926">
        <f>IF(X346=X345,AF345,0)+IF(ISNUMBER(I346),IF(I346&lt;1,I346,I346*VLOOKUP(J346,Summary!$H$2:$I$9,2)),VLOOKUP(J346,Summary!$J$2:$K$9,2)*IF(ISNUMBER(H346),H346,1))</f>
        <v>0.21935185185185185</v>
      </c>
      <c r="AG346" s="294">
        <v>345</v>
      </c>
      <c r="AH346" s="94"/>
      <c r="AI346" s="94"/>
    </row>
    <row r="347" spans="1:35" s="22" customFormat="1" ht="12" customHeight="1" x14ac:dyDescent="0.2">
      <c r="A347" s="443" t="s">
        <v>14573</v>
      </c>
      <c r="B347" s="443">
        <v>2</v>
      </c>
      <c r="C347" s="443">
        <v>34</v>
      </c>
      <c r="D347" s="426" t="s">
        <v>1761</v>
      </c>
      <c r="E347" s="427" t="s">
        <v>1762</v>
      </c>
      <c r="F347" s="203">
        <v>24542</v>
      </c>
      <c r="G347" s="203">
        <v>24563</v>
      </c>
      <c r="H347" s="204">
        <v>4</v>
      </c>
      <c r="I347" s="791">
        <f>TIME(0,22,58)+TIME(0,23,21)+TIME(0,23,24)+TIME(0,24,41)</f>
        <v>6.5555555555555547E-2</v>
      </c>
      <c r="J347" s="905" t="s">
        <v>1588</v>
      </c>
      <c r="K347" s="205" t="s">
        <v>5425</v>
      </c>
      <c r="L347" s="205" t="s">
        <v>1763</v>
      </c>
      <c r="M347" s="205"/>
      <c r="N347" s="205" t="s">
        <v>5405</v>
      </c>
      <c r="O347" s="205" t="s">
        <v>5416</v>
      </c>
      <c r="P347" s="202" t="s">
        <v>461</v>
      </c>
      <c r="Q347" s="205" t="s">
        <v>3946</v>
      </c>
      <c r="R347" s="206" t="s">
        <v>5280</v>
      </c>
      <c r="S347" s="391" t="s">
        <v>2596</v>
      </c>
      <c r="T347" s="202" t="s">
        <v>2331</v>
      </c>
      <c r="U347" s="202" t="s">
        <v>2605</v>
      </c>
      <c r="V347" s="202"/>
      <c r="W347" s="320" t="s">
        <v>9610</v>
      </c>
      <c r="X347" s="652" t="s">
        <v>14574</v>
      </c>
      <c r="Y347" s="359" t="s">
        <v>5423</v>
      </c>
      <c r="Z347" s="360"/>
      <c r="AA347" s="360"/>
      <c r="AB347" s="36">
        <f t="shared" ca="1" si="6"/>
        <v>0.82146427245669695</v>
      </c>
      <c r="AC347" s="822"/>
      <c r="AD347" s="823" t="s">
        <v>16181</v>
      </c>
      <c r="AE347" s="947" t="s">
        <v>16182</v>
      </c>
      <c r="AF347" s="926">
        <f>IF(X347=X346,AF346,0)+IF(ISNUMBER(I347),IF(I347&lt;1,I347,I347*VLOOKUP(J347,Summary!$H$2:$I$9,2)),VLOOKUP(J347,Summary!$J$2:$K$9,2)*IF(ISNUMBER(H347),H347,1))</f>
        <v>0.28490740740740739</v>
      </c>
      <c r="AG347" s="294">
        <v>346</v>
      </c>
      <c r="AH347" s="94"/>
      <c r="AI347" s="94"/>
    </row>
    <row r="348" spans="1:35" s="1" customFormat="1" ht="12" customHeight="1" x14ac:dyDescent="0.25">
      <c r="A348" s="451" t="s">
        <v>14573</v>
      </c>
      <c r="B348" s="451">
        <v>2</v>
      </c>
      <c r="C348" s="452">
        <v>3.09</v>
      </c>
      <c r="D348" s="407" t="s">
        <v>3144</v>
      </c>
      <c r="E348" s="315" t="s">
        <v>698</v>
      </c>
      <c r="F348" s="169">
        <v>39873</v>
      </c>
      <c r="G348" s="170"/>
      <c r="H348" s="170">
        <v>2</v>
      </c>
      <c r="I348" s="746">
        <f>TIME(1,1,20)</f>
        <v>4.2592592592592592E-2</v>
      </c>
      <c r="J348" s="899" t="s">
        <v>4706</v>
      </c>
      <c r="K348" s="167" t="s">
        <v>176</v>
      </c>
      <c r="L348" s="167" t="s">
        <v>5662</v>
      </c>
      <c r="M348" s="167" t="s">
        <v>8042</v>
      </c>
      <c r="N348" s="167"/>
      <c r="O348" s="167"/>
      <c r="P348" s="168" t="s">
        <v>9171</v>
      </c>
      <c r="Q348" s="167" t="s">
        <v>3947</v>
      </c>
      <c r="R348" s="172" t="s">
        <v>3153</v>
      </c>
      <c r="S348" s="388" t="s">
        <v>2596</v>
      </c>
      <c r="T348" s="168" t="s">
        <v>2331</v>
      </c>
      <c r="U348" s="168" t="s">
        <v>2605</v>
      </c>
      <c r="V348" s="168"/>
      <c r="W348" s="312" t="s">
        <v>10103</v>
      </c>
      <c r="X348" s="644" t="s">
        <v>14574</v>
      </c>
      <c r="Y348" s="352" t="s">
        <v>5398</v>
      </c>
      <c r="Z348" s="353">
        <v>154</v>
      </c>
      <c r="AA348" s="353">
        <v>6.5</v>
      </c>
      <c r="AB348" s="31">
        <f t="shared" ca="1" si="6"/>
        <v>0.62735657317639404</v>
      </c>
      <c r="AC348" s="810"/>
      <c r="AD348" s="811" t="s">
        <v>16739</v>
      </c>
      <c r="AE348" s="940"/>
      <c r="AF348" s="920">
        <f>IF(X348=X347,AF347,0)+IF(ISNUMBER(I348),IF(I348&lt;1,I348,I348*VLOOKUP(J348,Summary!$H$2:$I$9,2)),VLOOKUP(J348,Summary!$J$2:$K$9,2)*IF(ISNUMBER(H348),H348,1))</f>
        <v>0.32749999999999996</v>
      </c>
      <c r="AG348" s="287">
        <v>347</v>
      </c>
      <c r="AH348" s="94"/>
      <c r="AI348" s="94"/>
    </row>
    <row r="349" spans="1:35" s="1" customFormat="1" ht="12" customHeight="1" x14ac:dyDescent="0.25">
      <c r="A349" s="451" t="s">
        <v>14573</v>
      </c>
      <c r="B349" s="451">
        <v>2</v>
      </c>
      <c r="C349" s="453">
        <v>2.1</v>
      </c>
      <c r="D349" s="407" t="s">
        <v>10022</v>
      </c>
      <c r="E349" s="315" t="s">
        <v>10023</v>
      </c>
      <c r="F349" s="196">
        <v>42263</v>
      </c>
      <c r="G349" s="170"/>
      <c r="H349" s="170">
        <v>4</v>
      </c>
      <c r="I349" s="746">
        <f>TIME(1,48,1)</f>
        <v>7.5011574074074064E-2</v>
      </c>
      <c r="J349" s="899" t="s">
        <v>4706</v>
      </c>
      <c r="K349" s="167" t="s">
        <v>5664</v>
      </c>
      <c r="L349" s="167" t="s">
        <v>5662</v>
      </c>
      <c r="M349" s="167"/>
      <c r="N349" s="167"/>
      <c r="O349" s="167"/>
      <c r="P349" s="168" t="s">
        <v>10024</v>
      </c>
      <c r="Q349" s="167" t="s">
        <v>3947</v>
      </c>
      <c r="R349" s="172" t="s">
        <v>8512</v>
      </c>
      <c r="S349" s="388" t="s">
        <v>2596</v>
      </c>
      <c r="T349" s="168" t="s">
        <v>2331</v>
      </c>
      <c r="U349" s="168" t="s">
        <v>2605</v>
      </c>
      <c r="V349" s="168"/>
      <c r="W349" s="312" t="s">
        <v>12558</v>
      </c>
      <c r="X349" s="644" t="s">
        <v>14574</v>
      </c>
      <c r="Y349" s="352" t="s">
        <v>5643</v>
      </c>
      <c r="Z349" s="353">
        <v>173</v>
      </c>
      <c r="AA349" s="353">
        <v>6.5</v>
      </c>
      <c r="AB349" s="31">
        <f t="shared" ca="1" si="6"/>
        <v>0.59555051536872572</v>
      </c>
      <c r="AC349" s="810"/>
      <c r="AD349" s="811"/>
      <c r="AE349" s="940"/>
      <c r="AF349" s="920">
        <f>IF(X349=X348,AF348,0)+IF(ISNUMBER(I349),IF(I349&lt;1,I349,I349*VLOOKUP(J349,Summary!$H$2:$I$9,2)),VLOOKUP(J349,Summary!$J$2:$K$9,2)*IF(ISNUMBER(H349),H349,1))</f>
        <v>0.40251157407407401</v>
      </c>
      <c r="AG349" s="287">
        <v>348</v>
      </c>
      <c r="AH349" s="94"/>
      <c r="AI349" s="94"/>
    </row>
    <row r="350" spans="1:35" s="26" customFormat="1" ht="12" customHeight="1" x14ac:dyDescent="0.2">
      <c r="A350" s="451" t="s">
        <v>14573</v>
      </c>
      <c r="B350" s="451">
        <v>2</v>
      </c>
      <c r="C350" s="453">
        <v>4.0999999999999996</v>
      </c>
      <c r="D350" s="407" t="s">
        <v>12659</v>
      </c>
      <c r="E350" s="315" t="s">
        <v>12660</v>
      </c>
      <c r="F350" s="196">
        <v>42992</v>
      </c>
      <c r="G350" s="170"/>
      <c r="H350" s="170">
        <v>4</v>
      </c>
      <c r="I350" s="747">
        <f>TIME(0,120,0)</f>
        <v>8.3333333333333329E-2</v>
      </c>
      <c r="J350" s="899" t="s">
        <v>4706</v>
      </c>
      <c r="K350" s="167" t="s">
        <v>12661</v>
      </c>
      <c r="L350" s="167" t="s">
        <v>12662</v>
      </c>
      <c r="M350" s="167"/>
      <c r="N350" s="167"/>
      <c r="O350" s="167" t="s">
        <v>3295</v>
      </c>
      <c r="P350" s="168" t="s">
        <v>12663</v>
      </c>
      <c r="Q350" s="167" t="s">
        <v>3947</v>
      </c>
      <c r="R350" s="172" t="s">
        <v>8512</v>
      </c>
      <c r="S350" s="388" t="s">
        <v>2596</v>
      </c>
      <c r="T350" s="168" t="s">
        <v>2331</v>
      </c>
      <c r="U350" s="168" t="s">
        <v>2605</v>
      </c>
      <c r="V350" s="168"/>
      <c r="W350" s="312"/>
      <c r="X350" s="644" t="s">
        <v>14574</v>
      </c>
      <c r="Y350" s="352"/>
      <c r="Z350" s="353"/>
      <c r="AA350" s="353"/>
      <c r="AB350" s="31">
        <f t="shared" ca="1" si="6"/>
        <v>0.47231615910610525</v>
      </c>
      <c r="AC350" s="810"/>
      <c r="AD350" s="811" t="s">
        <v>16736</v>
      </c>
      <c r="AE350" s="940"/>
      <c r="AF350" s="920">
        <f>IF(X350=X349,AF349,0)+IF(ISNUMBER(I350),IF(I350&lt;1,I350,I350*VLOOKUP(J350,Summary!$H$2:$I$9,2)),VLOOKUP(J350,Summary!$J$2:$K$9,2)*IF(ISNUMBER(H350),H350,1))</f>
        <v>0.48584490740740732</v>
      </c>
      <c r="AG350" s="287">
        <v>349</v>
      </c>
      <c r="AH350" s="94"/>
      <c r="AI350" s="94"/>
    </row>
    <row r="351" spans="1:35" s="22" customFormat="1" ht="12" customHeight="1" x14ac:dyDescent="0.2">
      <c r="A351" s="451" t="s">
        <v>14573</v>
      </c>
      <c r="B351" s="451">
        <v>2</v>
      </c>
      <c r="C351" s="453">
        <v>10.1</v>
      </c>
      <c r="D351" s="407" t="s">
        <v>10206</v>
      </c>
      <c r="E351" s="315" t="s">
        <v>10207</v>
      </c>
      <c r="F351" s="196">
        <v>42544</v>
      </c>
      <c r="G351" s="170"/>
      <c r="H351" s="170">
        <v>2</v>
      </c>
      <c r="I351" s="746">
        <f>TIME(1,4,3)</f>
        <v>4.447916666666666E-2</v>
      </c>
      <c r="J351" s="899" t="s">
        <v>4706</v>
      </c>
      <c r="K351" s="167" t="s">
        <v>10208</v>
      </c>
      <c r="L351" s="167" t="s">
        <v>5662</v>
      </c>
      <c r="M351" s="167"/>
      <c r="N351" s="167"/>
      <c r="O351" s="167"/>
      <c r="P351" s="168" t="s">
        <v>10209</v>
      </c>
      <c r="Q351" s="167" t="s">
        <v>3947</v>
      </c>
      <c r="R351" s="172" t="s">
        <v>3153</v>
      </c>
      <c r="S351" s="388" t="s">
        <v>2596</v>
      </c>
      <c r="T351" s="168" t="s">
        <v>2331</v>
      </c>
      <c r="U351" s="168" t="s">
        <v>2605</v>
      </c>
      <c r="V351" s="168"/>
      <c r="W351" s="312" t="s">
        <v>10355</v>
      </c>
      <c r="X351" s="644" t="s">
        <v>14574</v>
      </c>
      <c r="Y351" s="352" t="s">
        <v>5643</v>
      </c>
      <c r="Z351" s="353">
        <v>619</v>
      </c>
      <c r="AA351" s="353">
        <v>3.5</v>
      </c>
      <c r="AB351" s="31">
        <f t="shared" ca="1" si="6"/>
        <v>0.24044988855838012</v>
      </c>
      <c r="AC351" s="810"/>
      <c r="AD351" s="811" t="s">
        <v>16864</v>
      </c>
      <c r="AE351" s="940"/>
      <c r="AF351" s="920">
        <f>IF(X351=X350,AF350,0)+IF(ISNUMBER(I351),IF(I351&lt;1,I351,I351*VLOOKUP(J351,Summary!$H$2:$I$9,2)),VLOOKUP(J351,Summary!$J$2:$K$9,2)*IF(ISNUMBER(H351),H351,1))</f>
        <v>0.530324074074074</v>
      </c>
      <c r="AG351" s="287">
        <v>350</v>
      </c>
      <c r="AH351" s="94"/>
      <c r="AI351" s="94"/>
    </row>
    <row r="352" spans="1:35" s="22" customFormat="1" ht="12" customHeight="1" x14ac:dyDescent="0.2">
      <c r="A352" s="447" t="s">
        <v>14573</v>
      </c>
      <c r="B352" s="447">
        <v>2</v>
      </c>
      <c r="C352" s="447"/>
      <c r="D352" s="185" t="s">
        <v>1705</v>
      </c>
      <c r="E352" s="314" t="s">
        <v>4060</v>
      </c>
      <c r="F352" s="183">
        <v>25447</v>
      </c>
      <c r="G352" s="183"/>
      <c r="H352" s="185">
        <v>1</v>
      </c>
      <c r="I352" s="185">
        <v>6</v>
      </c>
      <c r="J352" s="901" t="s">
        <v>1796</v>
      </c>
      <c r="K352" s="163" t="s">
        <v>5784</v>
      </c>
      <c r="L352" s="163" t="s">
        <v>5784</v>
      </c>
      <c r="M352" s="163"/>
      <c r="N352" s="163"/>
      <c r="O352" s="163"/>
      <c r="P352" s="182" t="s">
        <v>461</v>
      </c>
      <c r="Q352" s="163" t="s">
        <v>4705</v>
      </c>
      <c r="R352" s="186" t="s">
        <v>4600</v>
      </c>
      <c r="S352" s="355" t="s">
        <v>2596</v>
      </c>
      <c r="T352" s="271"/>
      <c r="U352" s="182" t="s">
        <v>2605</v>
      </c>
      <c r="V352" s="182"/>
      <c r="W352" s="314" t="s">
        <v>4060</v>
      </c>
      <c r="X352" s="646" t="s">
        <v>14574</v>
      </c>
      <c r="Y352" s="355"/>
      <c r="Z352" s="185"/>
      <c r="AA352" s="185"/>
      <c r="AB352" s="33">
        <f t="shared" ca="1" si="6"/>
        <v>0.3433418074612935</v>
      </c>
      <c r="AC352" s="813"/>
      <c r="AD352" s="211"/>
      <c r="AE352" s="875"/>
      <c r="AF352" s="922">
        <f>IF(X352=X351,AF351,0)+IF(ISNUMBER(I352),IF(I352&lt;1,I352,I352*VLOOKUP(J352,Summary!$H$2:$I$9,2)),VLOOKUP(J352,Summary!$J$2:$K$9,2)*IF(ISNUMBER(H352),H352,1))</f>
        <v>0.53240740740740733</v>
      </c>
      <c r="AG352" s="290">
        <v>351</v>
      </c>
      <c r="AH352" s="94"/>
      <c r="AI352" s="94"/>
    </row>
    <row r="353" spans="1:35" s="22" customFormat="1" ht="12" customHeight="1" x14ac:dyDescent="0.25">
      <c r="A353" s="446" t="s">
        <v>14573</v>
      </c>
      <c r="B353" s="446">
        <v>2</v>
      </c>
      <c r="C353" s="446">
        <v>6</v>
      </c>
      <c r="D353" s="417" t="s">
        <v>1764</v>
      </c>
      <c r="E353" s="316" t="s">
        <v>1765</v>
      </c>
      <c r="F353" s="195">
        <v>35758</v>
      </c>
      <c r="G353" s="188"/>
      <c r="H353" s="188" t="s">
        <v>461</v>
      </c>
      <c r="I353" s="188">
        <v>282</v>
      </c>
      <c r="J353" s="902" t="s">
        <v>6868</v>
      </c>
      <c r="K353" s="162" t="s">
        <v>4964</v>
      </c>
      <c r="L353" s="162" t="s">
        <v>461</v>
      </c>
      <c r="M353" s="162"/>
      <c r="N353" s="162"/>
      <c r="O353" s="162"/>
      <c r="P353" s="178" t="s">
        <v>8931</v>
      </c>
      <c r="Q353" s="162" t="s">
        <v>3953</v>
      </c>
      <c r="R353" s="189" t="s">
        <v>2717</v>
      </c>
      <c r="S353" s="366" t="s">
        <v>2596</v>
      </c>
      <c r="T353" s="178" t="s">
        <v>2331</v>
      </c>
      <c r="U353" s="178" t="s">
        <v>2605</v>
      </c>
      <c r="V353" s="178"/>
      <c r="W353" s="316" t="s">
        <v>1765</v>
      </c>
      <c r="X353" s="648" t="s">
        <v>14574</v>
      </c>
      <c r="Y353" s="356" t="s">
        <v>6868</v>
      </c>
      <c r="Z353" s="272">
        <v>71</v>
      </c>
      <c r="AA353" s="272">
        <v>6.5</v>
      </c>
      <c r="AB353" s="34">
        <f t="shared" ca="1" si="6"/>
        <v>1.9300563166040563E-2</v>
      </c>
      <c r="AC353" s="814"/>
      <c r="AD353" s="815" t="s">
        <v>15117</v>
      </c>
      <c r="AE353" s="942"/>
      <c r="AF353" s="923">
        <f>IF(X353=X352,AF352,0)+IF(ISNUMBER(I353),IF(I353&lt;1,I353,I353*VLOOKUP(J353,Summary!$H$2:$I$9,2)),VLOOKUP(J353,Summary!$J$2:$K$9,2)*IF(ISNUMBER(H353),H353,1))</f>
        <v>0.72824074074074063</v>
      </c>
      <c r="AG353" s="291">
        <v>352</v>
      </c>
      <c r="AH353" s="94"/>
      <c r="AI353" s="94"/>
    </row>
    <row r="354" spans="1:35" s="22" customFormat="1" ht="12" customHeight="1" x14ac:dyDescent="0.25">
      <c r="A354" s="444" t="s">
        <v>14573</v>
      </c>
      <c r="B354" s="444">
        <v>2</v>
      </c>
      <c r="C354" s="445">
        <v>27.03</v>
      </c>
      <c r="D354" s="176" t="s">
        <v>7446</v>
      </c>
      <c r="E354" s="313" t="s">
        <v>7447</v>
      </c>
      <c r="F354" s="174">
        <v>39569</v>
      </c>
      <c r="G354" s="174"/>
      <c r="H354" s="176" t="s">
        <v>461</v>
      </c>
      <c r="I354" s="176">
        <v>22</v>
      </c>
      <c r="J354" s="900" t="s">
        <v>2755</v>
      </c>
      <c r="K354" s="164" t="s">
        <v>7797</v>
      </c>
      <c r="L354" s="164" t="s">
        <v>461</v>
      </c>
      <c r="M354" s="164"/>
      <c r="N354" s="164" t="s">
        <v>7621</v>
      </c>
      <c r="O354" s="164"/>
      <c r="P354" s="173" t="s">
        <v>6705</v>
      </c>
      <c r="Q354" s="164" t="s">
        <v>3947</v>
      </c>
      <c r="R354" s="177" t="s">
        <v>2723</v>
      </c>
      <c r="S354" s="354" t="s">
        <v>2596</v>
      </c>
      <c r="T354" s="173" t="s">
        <v>2331</v>
      </c>
      <c r="U354" s="173" t="s">
        <v>2605</v>
      </c>
      <c r="V354" s="173"/>
      <c r="W354" s="313" t="s">
        <v>7447</v>
      </c>
      <c r="X354" s="645" t="s">
        <v>14574</v>
      </c>
      <c r="Y354" s="354"/>
      <c r="Z354" s="176"/>
      <c r="AA354" s="176"/>
      <c r="AB354" s="32">
        <f t="shared" ca="1" si="6"/>
        <v>0.49020987558889773</v>
      </c>
      <c r="AC354" s="812"/>
      <c r="AD354" s="763" t="s">
        <v>16865</v>
      </c>
      <c r="AE354" s="807"/>
      <c r="AF354" s="921">
        <f>IF(X354=X353,AF353,0)+IF(ISNUMBER(I354),IF(I354&lt;1,I354,I354*VLOOKUP(J354,Summary!$H$2:$I$9,2)),VLOOKUP(J354,Summary!$J$2:$K$9,2)*IF(ISNUMBER(H354),H354,1))</f>
        <v>0.74351851851851847</v>
      </c>
      <c r="AG354" s="289">
        <v>353</v>
      </c>
      <c r="AH354" s="94"/>
      <c r="AI354" s="94"/>
    </row>
    <row r="355" spans="1:35" s="22" customFormat="1" ht="12" customHeight="1" x14ac:dyDescent="0.2">
      <c r="A355" s="451" t="s">
        <v>14573</v>
      </c>
      <c r="B355" s="451">
        <v>2</v>
      </c>
      <c r="C355" s="451">
        <v>6.0010000000000003</v>
      </c>
      <c r="D355" s="407" t="s">
        <v>7739</v>
      </c>
      <c r="E355" s="315" t="s">
        <v>5295</v>
      </c>
      <c r="F355" s="169">
        <v>39904</v>
      </c>
      <c r="G355" s="170"/>
      <c r="H355" s="170">
        <v>4</v>
      </c>
      <c r="I355" s="746">
        <f>TIME(0,43,21)</f>
        <v>3.0104166666666668E-2</v>
      </c>
      <c r="J355" s="899" t="s">
        <v>4706</v>
      </c>
      <c r="K355" s="167" t="s">
        <v>941</v>
      </c>
      <c r="L355" s="167" t="s">
        <v>5662</v>
      </c>
      <c r="M355" s="167" t="s">
        <v>8062</v>
      </c>
      <c r="N355" s="167"/>
      <c r="O355" s="167"/>
      <c r="P355" s="168" t="s">
        <v>9202</v>
      </c>
      <c r="Q355" s="167" t="s">
        <v>3947</v>
      </c>
      <c r="R355" s="172" t="s">
        <v>3153</v>
      </c>
      <c r="S355" s="388" t="s">
        <v>2596</v>
      </c>
      <c r="T355" s="168" t="s">
        <v>2331</v>
      </c>
      <c r="U355" s="168" t="s">
        <v>2605</v>
      </c>
      <c r="V355" s="168"/>
      <c r="W355" s="312" t="s">
        <v>10165</v>
      </c>
      <c r="X355" s="644" t="s">
        <v>14574</v>
      </c>
      <c r="Y355" s="352" t="s">
        <v>5643</v>
      </c>
      <c r="Z355" s="353">
        <v>229</v>
      </c>
      <c r="AA355" s="353">
        <v>6</v>
      </c>
      <c r="AB355" s="31">
        <f t="shared" ca="1" si="6"/>
        <v>0.82254674339218725</v>
      </c>
      <c r="AC355" s="810"/>
      <c r="AD355" s="811"/>
      <c r="AE355" s="940"/>
      <c r="AF355" s="920">
        <f>IF(X355=X354,AF354,0)+IF(ISNUMBER(I355),IF(I355&lt;1,I355,I355*VLOOKUP(J355,Summary!$H$2:$I$9,2)),VLOOKUP(J355,Summary!$J$2:$K$9,2)*IF(ISNUMBER(H355),H355,1))</f>
        <v>0.77362268518518518</v>
      </c>
      <c r="AG355" s="287">
        <v>354</v>
      </c>
      <c r="AH355" s="94"/>
      <c r="AI355" s="94"/>
    </row>
    <row r="356" spans="1:35" s="22" customFormat="1" ht="12" customHeight="1" x14ac:dyDescent="0.2">
      <c r="A356" s="451" t="s">
        <v>14573</v>
      </c>
      <c r="B356" s="451">
        <v>2</v>
      </c>
      <c r="C356" s="452">
        <v>5.09</v>
      </c>
      <c r="D356" s="407" t="s">
        <v>723</v>
      </c>
      <c r="E356" s="315" t="s">
        <v>6243</v>
      </c>
      <c r="F356" s="169">
        <v>40603</v>
      </c>
      <c r="G356" s="170"/>
      <c r="H356" s="170">
        <v>2</v>
      </c>
      <c r="I356" s="746">
        <f>TIME(1,2,48)</f>
        <v>4.3611111111111107E-2</v>
      </c>
      <c r="J356" s="899" t="s">
        <v>4706</v>
      </c>
      <c r="K356" s="167" t="s">
        <v>6242</v>
      </c>
      <c r="L356" s="167" t="s">
        <v>5662</v>
      </c>
      <c r="M356" s="167" t="s">
        <v>1212</v>
      </c>
      <c r="N356" s="167"/>
      <c r="O356" s="167"/>
      <c r="P356" s="168" t="s">
        <v>9198</v>
      </c>
      <c r="Q356" s="167" t="s">
        <v>3947</v>
      </c>
      <c r="R356" s="172" t="s">
        <v>3153</v>
      </c>
      <c r="S356" s="388" t="s">
        <v>2596</v>
      </c>
      <c r="T356" s="168" t="s">
        <v>2331</v>
      </c>
      <c r="U356" s="168" t="s">
        <v>2605</v>
      </c>
      <c r="V356" s="168"/>
      <c r="W356" s="312" t="s">
        <v>10312</v>
      </c>
      <c r="X356" s="644" t="s">
        <v>14574</v>
      </c>
      <c r="Y356" s="352" t="s">
        <v>5643</v>
      </c>
      <c r="Z356" s="353">
        <v>360</v>
      </c>
      <c r="AA356" s="353">
        <v>5</v>
      </c>
      <c r="AB356" s="31">
        <f t="shared" ca="1" si="6"/>
        <v>0.54165159964538423</v>
      </c>
      <c r="AC356" s="810"/>
      <c r="AD356" s="811" t="s">
        <v>15998</v>
      </c>
      <c r="AE356" s="940"/>
      <c r="AF356" s="920">
        <f>IF(X356=X355,AF355,0)+IF(ISNUMBER(I356),IF(I356&lt;1,I356,I356*VLOOKUP(J356,Summary!$H$2:$I$9,2)),VLOOKUP(J356,Summary!$J$2:$K$9,2)*IF(ISNUMBER(H356),H356,1))</f>
        <v>0.81723379629629633</v>
      </c>
      <c r="AG356" s="287">
        <v>355</v>
      </c>
      <c r="AH356" s="94"/>
      <c r="AI356" s="94"/>
    </row>
    <row r="357" spans="1:35" s="2" customFormat="1" ht="12" customHeight="1" x14ac:dyDescent="0.25">
      <c r="A357" s="451" t="s">
        <v>14573</v>
      </c>
      <c r="B357" s="451">
        <v>2</v>
      </c>
      <c r="C357" s="452">
        <v>6.08</v>
      </c>
      <c r="D357" s="407" t="s">
        <v>2276</v>
      </c>
      <c r="E357" s="315" t="s">
        <v>2277</v>
      </c>
      <c r="F357" s="169">
        <v>40940</v>
      </c>
      <c r="G357" s="170"/>
      <c r="H357" s="170">
        <v>2</v>
      </c>
      <c r="I357" s="746">
        <f>TIME(0,53,56)</f>
        <v>3.7453703703703704E-2</v>
      </c>
      <c r="J357" s="899" t="s">
        <v>4706</v>
      </c>
      <c r="K357" s="167" t="s">
        <v>176</v>
      </c>
      <c r="L357" s="167" t="s">
        <v>5662</v>
      </c>
      <c r="M357" s="167" t="s">
        <v>5100</v>
      </c>
      <c r="N357" s="167"/>
      <c r="O357" s="167"/>
      <c r="P357" s="168" t="s">
        <v>9155</v>
      </c>
      <c r="Q357" s="167" t="s">
        <v>3947</v>
      </c>
      <c r="R357" s="172" t="s">
        <v>3153</v>
      </c>
      <c r="S357" s="388" t="s">
        <v>2596</v>
      </c>
      <c r="T357" s="168" t="s">
        <v>2331</v>
      </c>
      <c r="U357" s="168" t="s">
        <v>2605</v>
      </c>
      <c r="V357" s="168"/>
      <c r="W357" s="312" t="s">
        <v>8496</v>
      </c>
      <c r="X357" s="644" t="s">
        <v>14574</v>
      </c>
      <c r="Y357" s="352" t="s">
        <v>5398</v>
      </c>
      <c r="Z357" s="353">
        <v>177</v>
      </c>
      <c r="AA357" s="353">
        <v>6</v>
      </c>
      <c r="AB357" s="31">
        <f t="shared" ca="1" si="6"/>
        <v>0.78070576936060398</v>
      </c>
      <c r="AC357" s="810"/>
      <c r="AD357" s="811"/>
      <c r="AE357" s="940"/>
      <c r="AF357" s="920">
        <f>IF(X357=X356,AF356,0)+IF(ISNUMBER(I357),IF(I357&lt;1,I357,I357*VLOOKUP(J357,Summary!$H$2:$I$9,2)),VLOOKUP(J357,Summary!$J$2:$K$9,2)*IF(ISNUMBER(H357),H357,1))</f>
        <v>0.85468750000000004</v>
      </c>
      <c r="AG357" s="287">
        <v>356</v>
      </c>
      <c r="AH357" s="94"/>
      <c r="AI357" s="94"/>
    </row>
    <row r="358" spans="1:35" s="2" customFormat="1" ht="12" customHeight="1" x14ac:dyDescent="0.25">
      <c r="A358" s="451" t="s">
        <v>14573</v>
      </c>
      <c r="B358" s="451">
        <v>2</v>
      </c>
      <c r="C358" s="452">
        <v>7.08</v>
      </c>
      <c r="D358" s="407" t="s">
        <v>1210</v>
      </c>
      <c r="E358" s="315" t="s">
        <v>1211</v>
      </c>
      <c r="F358" s="169">
        <v>41306</v>
      </c>
      <c r="G358" s="170"/>
      <c r="H358" s="170">
        <v>2</v>
      </c>
      <c r="I358" s="746">
        <f>TIME(0,57,38)</f>
        <v>4.0023148148148148E-2</v>
      </c>
      <c r="J358" s="899" t="s">
        <v>4706</v>
      </c>
      <c r="K358" s="167" t="s">
        <v>176</v>
      </c>
      <c r="L358" s="167" t="s">
        <v>5662</v>
      </c>
      <c r="M358" s="167" t="s">
        <v>1212</v>
      </c>
      <c r="N358" s="167"/>
      <c r="O358" s="167"/>
      <c r="P358" s="168" t="s">
        <v>1213</v>
      </c>
      <c r="Q358" s="167" t="s">
        <v>3947</v>
      </c>
      <c r="R358" s="172" t="s">
        <v>3153</v>
      </c>
      <c r="S358" s="388" t="s">
        <v>2596</v>
      </c>
      <c r="T358" s="168" t="s">
        <v>2331</v>
      </c>
      <c r="U358" s="168" t="s">
        <v>2605</v>
      </c>
      <c r="V358" s="168"/>
      <c r="W358" s="312" t="s">
        <v>9531</v>
      </c>
      <c r="X358" s="644" t="s">
        <v>14574</v>
      </c>
      <c r="Y358" s="352" t="s">
        <v>5643</v>
      </c>
      <c r="Z358" s="353">
        <v>628</v>
      </c>
      <c r="AA358" s="353">
        <v>3</v>
      </c>
      <c r="AB358" s="31">
        <f t="shared" ca="1" si="6"/>
        <v>0.12423422867126066</v>
      </c>
      <c r="AC358" s="810"/>
      <c r="AD358" s="811"/>
      <c r="AE358" s="940"/>
      <c r="AF358" s="920">
        <f>IF(X358=X357,AF357,0)+IF(ISNUMBER(I358),IF(I358&lt;1,I358,I358*VLOOKUP(J358,Summary!$H$2:$I$9,2)),VLOOKUP(J358,Summary!$J$2:$K$9,2)*IF(ISNUMBER(H358),H358,1))</f>
        <v>0.89471064814814816</v>
      </c>
      <c r="AG358" s="287">
        <v>357</v>
      </c>
      <c r="AH358" s="94"/>
      <c r="AI358" s="94"/>
    </row>
    <row r="359" spans="1:35" s="9" customFormat="1" ht="12" customHeight="1" x14ac:dyDescent="0.25">
      <c r="A359" s="451" t="s">
        <v>14573</v>
      </c>
      <c r="B359" s="451">
        <v>2</v>
      </c>
      <c r="C359" s="453">
        <v>2.2000000000000002</v>
      </c>
      <c r="D359" s="407" t="s">
        <v>10025</v>
      </c>
      <c r="E359" s="315" t="s">
        <v>10026</v>
      </c>
      <c r="F359" s="196">
        <v>42292</v>
      </c>
      <c r="G359" s="170"/>
      <c r="H359" s="170">
        <v>4</v>
      </c>
      <c r="I359" s="746">
        <f>TIME(1,33,50)</f>
        <v>6.5162037037037032E-2</v>
      </c>
      <c r="J359" s="899" t="s">
        <v>4706</v>
      </c>
      <c r="K359" s="167" t="s">
        <v>543</v>
      </c>
      <c r="L359" s="167" t="s">
        <v>5662</v>
      </c>
      <c r="M359" s="167"/>
      <c r="N359" s="167"/>
      <c r="O359" s="167"/>
      <c r="P359" s="168" t="s">
        <v>10027</v>
      </c>
      <c r="Q359" s="167" t="s">
        <v>3947</v>
      </c>
      <c r="R359" s="172" t="s">
        <v>8512</v>
      </c>
      <c r="S359" s="388" t="s">
        <v>2596</v>
      </c>
      <c r="T359" s="168" t="s">
        <v>2331</v>
      </c>
      <c r="U359" s="168" t="s">
        <v>2605</v>
      </c>
      <c r="V359" s="168"/>
      <c r="W359" s="312" t="s">
        <v>12559</v>
      </c>
      <c r="X359" s="644" t="s">
        <v>14574</v>
      </c>
      <c r="Y359" s="352" t="s">
        <v>5643</v>
      </c>
      <c r="Z359" s="353">
        <v>612</v>
      </c>
      <c r="AA359" s="353">
        <v>3.5</v>
      </c>
      <c r="AB359" s="31">
        <f t="shared" ca="1" si="6"/>
        <v>0.64621240780147382</v>
      </c>
      <c r="AC359" s="810"/>
      <c r="AD359" s="811" t="s">
        <v>16866</v>
      </c>
      <c r="AE359" s="940"/>
      <c r="AF359" s="920">
        <f>IF(X359=X358,AF358,0)+IF(ISNUMBER(I359),IF(I359&lt;1,I359,I359*VLOOKUP(J359,Summary!$H$2:$I$9,2)),VLOOKUP(J359,Summary!$J$2:$K$9,2)*IF(ISNUMBER(H359),H359,1))</f>
        <v>0.9598726851851852</v>
      </c>
      <c r="AG359" s="287">
        <v>358</v>
      </c>
      <c r="AH359" s="94"/>
      <c r="AI359" s="94"/>
    </row>
    <row r="360" spans="1:35" s="22" customFormat="1" ht="12" customHeight="1" x14ac:dyDescent="0.2">
      <c r="A360" s="451" t="s">
        <v>14573</v>
      </c>
      <c r="B360" s="451">
        <v>2</v>
      </c>
      <c r="C360" s="453">
        <v>4.2</v>
      </c>
      <c r="D360" s="407" t="s">
        <v>12664</v>
      </c>
      <c r="E360" s="315" t="s">
        <v>12665</v>
      </c>
      <c r="F360" s="196">
        <v>43020</v>
      </c>
      <c r="G360" s="170"/>
      <c r="H360" s="170">
        <v>4</v>
      </c>
      <c r="I360" s="747">
        <f>TIME(0,120,0)</f>
        <v>8.3333333333333329E-2</v>
      </c>
      <c r="J360" s="899" t="s">
        <v>4706</v>
      </c>
      <c r="K360" s="167" t="s">
        <v>5664</v>
      </c>
      <c r="L360" s="167" t="s">
        <v>5662</v>
      </c>
      <c r="M360" s="167"/>
      <c r="N360" s="167"/>
      <c r="O360" s="167"/>
      <c r="P360" s="168" t="s">
        <v>12666</v>
      </c>
      <c r="Q360" s="167" t="s">
        <v>3947</v>
      </c>
      <c r="R360" s="172" t="s">
        <v>8512</v>
      </c>
      <c r="S360" s="388" t="s">
        <v>2596</v>
      </c>
      <c r="T360" s="168" t="s">
        <v>2331</v>
      </c>
      <c r="U360" s="168" t="s">
        <v>2605</v>
      </c>
      <c r="V360" s="168"/>
      <c r="W360" s="312"/>
      <c r="X360" s="644" t="s">
        <v>14574</v>
      </c>
      <c r="Y360" s="352"/>
      <c r="Z360" s="353"/>
      <c r="AA360" s="353"/>
      <c r="AB360" s="31">
        <f t="shared" ca="1" si="6"/>
        <v>0.75350603405503935</v>
      </c>
      <c r="AC360" s="810"/>
      <c r="AD360" s="811" t="s">
        <v>16867</v>
      </c>
      <c r="AE360" s="940"/>
      <c r="AF360" s="920">
        <f>IF(X360=X359,AF359,0)+IF(ISNUMBER(I360),IF(I360&lt;1,I360,I360*VLOOKUP(J360,Summary!$H$2:$I$9,2)),VLOOKUP(J360,Summary!$J$2:$K$9,2)*IF(ISNUMBER(H360),H360,1))</f>
        <v>1.0432060185185186</v>
      </c>
      <c r="AG360" s="287">
        <v>359</v>
      </c>
      <c r="AH360" s="94"/>
      <c r="AI360" s="94"/>
    </row>
    <row r="361" spans="1:35" s="1" customFormat="1" ht="12" customHeight="1" x14ac:dyDescent="0.25">
      <c r="A361" s="451" t="s">
        <v>14573</v>
      </c>
      <c r="B361" s="451">
        <v>2</v>
      </c>
      <c r="C361" s="453">
        <v>4.3</v>
      </c>
      <c r="D361" s="407" t="s">
        <v>12667</v>
      </c>
      <c r="E361" s="315" t="s">
        <v>12668</v>
      </c>
      <c r="F361" s="196">
        <v>43055</v>
      </c>
      <c r="G361" s="170"/>
      <c r="H361" s="170">
        <v>4</v>
      </c>
      <c r="I361" s="747">
        <f>TIME(0,120,0)</f>
        <v>8.3333333333333329E-2</v>
      </c>
      <c r="J361" s="899" t="s">
        <v>4706</v>
      </c>
      <c r="K361" s="167" t="s">
        <v>543</v>
      </c>
      <c r="L361" s="167" t="s">
        <v>5662</v>
      </c>
      <c r="M361" s="167"/>
      <c r="N361" s="167"/>
      <c r="O361" s="167"/>
      <c r="P361" s="168" t="s">
        <v>12669</v>
      </c>
      <c r="Q361" s="167" t="s">
        <v>3947</v>
      </c>
      <c r="R361" s="172" t="s">
        <v>8512</v>
      </c>
      <c r="S361" s="388" t="s">
        <v>2596</v>
      </c>
      <c r="T361" s="168" t="s">
        <v>2331</v>
      </c>
      <c r="U361" s="168" t="s">
        <v>2605</v>
      </c>
      <c r="V361" s="168"/>
      <c r="W361" s="312"/>
      <c r="X361" s="644" t="s">
        <v>14574</v>
      </c>
      <c r="Y361" s="352"/>
      <c r="Z361" s="353"/>
      <c r="AA361" s="353"/>
      <c r="AB361" s="31">
        <f t="shared" ca="1" si="6"/>
        <v>0.62130083847394491</v>
      </c>
      <c r="AC361" s="810"/>
      <c r="AD361" s="811"/>
      <c r="AE361" s="940"/>
      <c r="AF361" s="920">
        <f>IF(X361=X360,AF360,0)+IF(ISNUMBER(I361),IF(I361&lt;1,I361,I361*VLOOKUP(J361,Summary!$H$2:$I$9,2)),VLOOKUP(J361,Summary!$J$2:$K$9,2)*IF(ISNUMBER(H361),H361,1))</f>
        <v>1.1265393518518518</v>
      </c>
      <c r="AG361" s="287">
        <v>360</v>
      </c>
      <c r="AH361" s="94"/>
      <c r="AI361" s="94"/>
    </row>
    <row r="362" spans="1:35" s="1" customFormat="1" ht="12" customHeight="1" x14ac:dyDescent="0.25">
      <c r="A362" s="447" t="s">
        <v>14573</v>
      </c>
      <c r="B362" s="447">
        <v>2</v>
      </c>
      <c r="C362" s="447">
        <v>0.02</v>
      </c>
      <c r="D362" s="185" t="s">
        <v>15376</v>
      </c>
      <c r="E362" s="314" t="s">
        <v>15373</v>
      </c>
      <c r="F362" s="184">
        <v>43369</v>
      </c>
      <c r="G362" s="184"/>
      <c r="H362" s="185">
        <v>1</v>
      </c>
      <c r="I362" s="185">
        <v>3</v>
      </c>
      <c r="J362" s="901" t="s">
        <v>1796</v>
      </c>
      <c r="K362" s="163" t="s">
        <v>2675</v>
      </c>
      <c r="L362" s="163" t="s">
        <v>3365</v>
      </c>
      <c r="M362" s="163" t="s">
        <v>3365</v>
      </c>
      <c r="N362" s="163"/>
      <c r="O362" s="163"/>
      <c r="P362" s="182" t="s">
        <v>461</v>
      </c>
      <c r="Q362" s="163" t="s">
        <v>7076</v>
      </c>
      <c r="R362" s="186" t="s">
        <v>15374</v>
      </c>
      <c r="S362" s="355" t="s">
        <v>2596</v>
      </c>
      <c r="T362" s="182" t="s">
        <v>2331</v>
      </c>
      <c r="U362" s="182" t="s">
        <v>2605</v>
      </c>
      <c r="V362" s="182"/>
      <c r="W362" s="314" t="s">
        <v>15373</v>
      </c>
      <c r="X362" s="646" t="s">
        <v>14574</v>
      </c>
      <c r="Y362" s="355"/>
      <c r="Z362" s="185"/>
      <c r="AA362" s="185"/>
      <c r="AB362" s="33">
        <f t="shared" ca="1" si="6"/>
        <v>0.88585317339054936</v>
      </c>
      <c r="AC362" s="813"/>
      <c r="AD362" s="819"/>
      <c r="AE362" s="875"/>
      <c r="AF362" s="922">
        <f>IF(X362=X361,AF361,0)+IF(ISNUMBER(I362),IF(I362&lt;1,I362,I362*VLOOKUP(J362,Summary!$H$2:$I$9,2)),VLOOKUP(J362,Summary!$J$2:$K$9,2)*IF(ISNUMBER(H362),H362,1))</f>
        <v>1.1275810185185184</v>
      </c>
      <c r="AG362" s="290">
        <v>361</v>
      </c>
      <c r="AH362" s="94"/>
      <c r="AI362" s="94"/>
    </row>
    <row r="363" spans="1:35" s="22" customFormat="1" ht="12" customHeight="1" x14ac:dyDescent="0.2">
      <c r="A363" s="443" t="s">
        <v>14573</v>
      </c>
      <c r="B363" s="443">
        <v>2</v>
      </c>
      <c r="C363" s="443">
        <v>35</v>
      </c>
      <c r="D363" s="426" t="s">
        <v>699</v>
      </c>
      <c r="E363" s="427" t="s">
        <v>700</v>
      </c>
      <c r="F363" s="203">
        <v>24570</v>
      </c>
      <c r="G363" s="203">
        <v>24605</v>
      </c>
      <c r="H363" s="204">
        <v>6</v>
      </c>
      <c r="I363" s="791">
        <f>TIME(0,23,47)+TIME(0,25,22)+TIME(0,23,10)+TIME(0,24,28)+TIME(0,23,34)+TIME(0,23,38)</f>
        <v>9.9988425925925911E-2</v>
      </c>
      <c r="J363" s="905" t="s">
        <v>1588</v>
      </c>
      <c r="K363" s="205" t="s">
        <v>6253</v>
      </c>
      <c r="L363" s="205" t="s">
        <v>4048</v>
      </c>
      <c r="M363" s="205"/>
      <c r="N363" s="205" t="s">
        <v>5405</v>
      </c>
      <c r="O363" s="205" t="s">
        <v>5416</v>
      </c>
      <c r="P363" s="202" t="s">
        <v>461</v>
      </c>
      <c r="Q363" s="205" t="s">
        <v>3946</v>
      </c>
      <c r="R363" s="206" t="s">
        <v>5280</v>
      </c>
      <c r="S363" s="391" t="s">
        <v>2596</v>
      </c>
      <c r="T363" s="202" t="s">
        <v>2331</v>
      </c>
      <c r="U363" s="202" t="s">
        <v>2605</v>
      </c>
      <c r="V363" s="202"/>
      <c r="W363" s="320" t="s">
        <v>9611</v>
      </c>
      <c r="X363" s="652" t="s">
        <v>14574</v>
      </c>
      <c r="Y363" s="359" t="s">
        <v>5398</v>
      </c>
      <c r="Z363" s="360"/>
      <c r="AA363" s="360"/>
      <c r="AB363" s="36">
        <f t="shared" ca="1" si="6"/>
        <v>0.97950258510709654</v>
      </c>
      <c r="AC363" s="822"/>
      <c r="AD363" s="827" t="s">
        <v>14948</v>
      </c>
      <c r="AE363" s="947" t="s">
        <v>9612</v>
      </c>
      <c r="AF363" s="926">
        <f>IF(X363=X362,AF362,0)+IF(ISNUMBER(I363),IF(I363&lt;1,I363,I363*VLOOKUP(J363,Summary!$H$2:$I$9,2)),VLOOKUP(J363,Summary!$J$2:$K$9,2)*IF(ISNUMBER(H363),H363,1))</f>
        <v>1.2275694444444443</v>
      </c>
      <c r="AG363" s="294">
        <v>362</v>
      </c>
      <c r="AH363" s="94"/>
      <c r="AI363" s="94"/>
    </row>
    <row r="364" spans="1:35" s="1" customFormat="1" ht="12" customHeight="1" x14ac:dyDescent="0.25">
      <c r="A364" s="443" t="s">
        <v>14573</v>
      </c>
      <c r="B364" s="443">
        <v>2</v>
      </c>
      <c r="C364" s="443">
        <v>36</v>
      </c>
      <c r="D364" s="426" t="s">
        <v>4049</v>
      </c>
      <c r="E364" s="427" t="s">
        <v>4050</v>
      </c>
      <c r="F364" s="203">
        <v>24612</v>
      </c>
      <c r="G364" s="203">
        <v>24654</v>
      </c>
      <c r="H364" s="204">
        <v>7</v>
      </c>
      <c r="I364" s="791">
        <f>TIME(0,24, 7)+TIME(0,25,13)+TIME(0,24,27)+TIME(0,24,43)+TIME(0,25,23)+TIME(0,24,48)+TIME(0,24,33)</f>
        <v>0.12030092592592592</v>
      </c>
      <c r="J364" s="905" t="s">
        <v>1588</v>
      </c>
      <c r="K364" s="205" t="s">
        <v>6145</v>
      </c>
      <c r="L364" s="205" t="s">
        <v>3233</v>
      </c>
      <c r="M364" s="205"/>
      <c r="N364" s="205" t="s">
        <v>5405</v>
      </c>
      <c r="O364" s="205" t="s">
        <v>5416</v>
      </c>
      <c r="P364" s="202" t="s">
        <v>461</v>
      </c>
      <c r="Q364" s="205" t="s">
        <v>3946</v>
      </c>
      <c r="R364" s="206" t="s">
        <v>5280</v>
      </c>
      <c r="S364" s="391" t="s">
        <v>2596</v>
      </c>
      <c r="T364" s="202" t="s">
        <v>2331</v>
      </c>
      <c r="U364" s="202" t="s">
        <v>2605</v>
      </c>
      <c r="V364" s="202"/>
      <c r="W364" s="320" t="s">
        <v>9613</v>
      </c>
      <c r="X364" s="652" t="s">
        <v>14574</v>
      </c>
      <c r="Y364" s="359" t="s">
        <v>5423</v>
      </c>
      <c r="Z364" s="360">
        <v>33</v>
      </c>
      <c r="AA364" s="360">
        <v>9</v>
      </c>
      <c r="AB364" s="36">
        <f t="shared" ca="1" si="6"/>
        <v>0.85950495290732565</v>
      </c>
      <c r="AC364" s="822"/>
      <c r="AD364" s="823" t="s">
        <v>16606</v>
      </c>
      <c r="AE364" s="947" t="s">
        <v>16532</v>
      </c>
      <c r="AF364" s="926">
        <f>IF(X364=X363,AF363,0)+IF(ISNUMBER(I364),IF(I364&lt;1,I364,I364*VLOOKUP(J364,Summary!$H$2:$I$9,2)),VLOOKUP(J364,Summary!$J$2:$K$9,2)*IF(ISNUMBER(H364),H364,1))</f>
        <v>1.3478703703703703</v>
      </c>
      <c r="AG364" s="294">
        <v>363</v>
      </c>
      <c r="AH364" s="94"/>
      <c r="AI364" s="94"/>
    </row>
    <row r="365" spans="1:35" s="22" customFormat="1" ht="12" customHeight="1" x14ac:dyDescent="0.25">
      <c r="A365" s="454" t="s">
        <v>4051</v>
      </c>
      <c r="B365" s="454">
        <v>2</v>
      </c>
      <c r="C365" s="454">
        <v>37</v>
      </c>
      <c r="D365" s="424" t="s">
        <v>4052</v>
      </c>
      <c r="E365" s="319" t="s">
        <v>1633</v>
      </c>
      <c r="F365" s="198">
        <v>24717</v>
      </c>
      <c r="G365" s="198">
        <v>24738</v>
      </c>
      <c r="H365" s="199">
        <v>4</v>
      </c>
      <c r="I365" s="791">
        <f>TIME(0,23,58)+TIME(0,24,44)+TIME(0,24,14)+TIME(0,23,22)</f>
        <v>6.6875000000000004E-2</v>
      </c>
      <c r="J365" s="904" t="s">
        <v>1588</v>
      </c>
      <c r="K365" s="200" t="s">
        <v>2873</v>
      </c>
      <c r="L365" s="200" t="s">
        <v>1760</v>
      </c>
      <c r="M365" s="200"/>
      <c r="N365" s="200" t="s">
        <v>1634</v>
      </c>
      <c r="O365" s="200" t="s">
        <v>5416</v>
      </c>
      <c r="P365" s="197" t="s">
        <v>461</v>
      </c>
      <c r="Q365" s="200" t="s">
        <v>3946</v>
      </c>
      <c r="R365" s="201" t="s">
        <v>5280</v>
      </c>
      <c r="S365" s="390" t="s">
        <v>2596</v>
      </c>
      <c r="T365" s="197" t="s">
        <v>2595</v>
      </c>
      <c r="U365" s="197"/>
      <c r="V365" s="197"/>
      <c r="W365" s="318" t="s">
        <v>8674</v>
      </c>
      <c r="X365" s="650" t="s">
        <v>12315</v>
      </c>
      <c r="Y365" s="358" t="s">
        <v>6141</v>
      </c>
      <c r="Z365" s="253">
        <v>202</v>
      </c>
      <c r="AA365" s="253">
        <v>4.5</v>
      </c>
      <c r="AB365" s="35">
        <f t="shared" ca="1" si="6"/>
        <v>0.10187406678637334</v>
      </c>
      <c r="AC365" s="820"/>
      <c r="AD365" s="821" t="s">
        <v>16204</v>
      </c>
      <c r="AE365" s="944" t="s">
        <v>12543</v>
      </c>
      <c r="AF365" s="925">
        <f>IF(X365=X364,AF364,0)+IF(ISNUMBER(I365),IF(I365&lt;1,I365,I365*VLOOKUP(J365,Summary!$H$2:$I$9,2)),VLOOKUP(J365,Summary!$J$2:$K$9,2)*IF(ISNUMBER(H365),H365,1))</f>
        <v>6.6875000000000004E-2</v>
      </c>
      <c r="AG365" s="293">
        <v>364</v>
      </c>
      <c r="AH365" s="94"/>
      <c r="AI365" s="94"/>
    </row>
    <row r="366" spans="1:35" s="22" customFormat="1" ht="12" customHeight="1" x14ac:dyDescent="0.25">
      <c r="A366" s="444">
        <v>5</v>
      </c>
      <c r="B366" s="444">
        <v>2</v>
      </c>
      <c r="C366" s="445">
        <v>10.14</v>
      </c>
      <c r="D366" s="176" t="s">
        <v>1940</v>
      </c>
      <c r="E366" s="313" t="s">
        <v>1941</v>
      </c>
      <c r="F366" s="174">
        <v>38139</v>
      </c>
      <c r="G366" s="174"/>
      <c r="H366" s="176">
        <v>1</v>
      </c>
      <c r="I366" s="176">
        <v>24</v>
      </c>
      <c r="J366" s="900" t="s">
        <v>2755</v>
      </c>
      <c r="K366" s="164" t="s">
        <v>1942</v>
      </c>
      <c r="L366" s="164" t="s">
        <v>461</v>
      </c>
      <c r="M366" s="164"/>
      <c r="N366" s="164" t="s">
        <v>4996</v>
      </c>
      <c r="O366" s="164"/>
      <c r="P366" s="173" t="s">
        <v>5669</v>
      </c>
      <c r="Q366" s="164" t="s">
        <v>3947</v>
      </c>
      <c r="R366" s="177" t="s">
        <v>2723</v>
      </c>
      <c r="S366" s="354" t="s">
        <v>2596</v>
      </c>
      <c r="T366" s="173" t="s">
        <v>2595</v>
      </c>
      <c r="U366" s="173"/>
      <c r="V366" s="173"/>
      <c r="W366" s="313" t="s">
        <v>1941</v>
      </c>
      <c r="X366" s="645" t="s">
        <v>12315</v>
      </c>
      <c r="Y366" s="354"/>
      <c r="Z366" s="176">
        <v>999</v>
      </c>
      <c r="AA366" s="176"/>
      <c r="AB366" s="32">
        <f t="shared" ca="1" si="6"/>
        <v>0.94856218171486562</v>
      </c>
      <c r="AC366" s="812"/>
      <c r="AD366" s="763" t="s">
        <v>16868</v>
      </c>
      <c r="AE366" s="807"/>
      <c r="AF366" s="921">
        <f>IF(X366=X365,AF365,0)+IF(ISNUMBER(I366),IF(I366&lt;1,I366,I366*VLOOKUP(J366,Summary!$H$2:$I$9,2)),VLOOKUP(J366,Summary!$J$2:$K$9,2)*IF(ISNUMBER(H366),H366,1))</f>
        <v>8.3541666666666667E-2</v>
      </c>
      <c r="AG366" s="289">
        <v>365</v>
      </c>
      <c r="AH366" s="94"/>
      <c r="AI366" s="94"/>
    </row>
    <row r="367" spans="1:35" s="1" customFormat="1" ht="12" customHeight="1" x14ac:dyDescent="0.25">
      <c r="A367" s="451" t="s">
        <v>4051</v>
      </c>
      <c r="B367" s="451">
        <v>2</v>
      </c>
      <c r="C367" s="452">
        <v>3.02</v>
      </c>
      <c r="D367" s="407" t="s">
        <v>3137</v>
      </c>
      <c r="E367" s="315" t="s">
        <v>1635</v>
      </c>
      <c r="F367" s="196">
        <v>39689</v>
      </c>
      <c r="G367" s="170"/>
      <c r="H367" s="170">
        <v>2</v>
      </c>
      <c r="I367" s="746">
        <f>TIME(1,19,2)</f>
        <v>5.4884259259259265E-2</v>
      </c>
      <c r="J367" s="899" t="s">
        <v>4706</v>
      </c>
      <c r="K367" s="167" t="s">
        <v>177</v>
      </c>
      <c r="L367" s="167" t="s">
        <v>7757</v>
      </c>
      <c r="M367" s="167" t="s">
        <v>8035</v>
      </c>
      <c r="N367" s="167"/>
      <c r="O367" s="167"/>
      <c r="P367" s="168" t="s">
        <v>9165</v>
      </c>
      <c r="Q367" s="167" t="s">
        <v>3947</v>
      </c>
      <c r="R367" s="172" t="s">
        <v>3153</v>
      </c>
      <c r="S367" s="388" t="s">
        <v>2596</v>
      </c>
      <c r="T367" s="168" t="s">
        <v>2595</v>
      </c>
      <c r="U367" s="168"/>
      <c r="V367" s="168"/>
      <c r="W367" s="312" t="s">
        <v>10318</v>
      </c>
      <c r="X367" s="644" t="s">
        <v>12315</v>
      </c>
      <c r="Y367" s="352" t="s">
        <v>5643</v>
      </c>
      <c r="Z367" s="353">
        <v>296</v>
      </c>
      <c r="AA367" s="353">
        <v>5.5</v>
      </c>
      <c r="AB367" s="31">
        <f t="shared" ca="1" si="6"/>
        <v>0.51338753910648982</v>
      </c>
      <c r="AC367" s="810"/>
      <c r="AD367" s="811" t="s">
        <v>16091</v>
      </c>
      <c r="AE367" s="940" t="s">
        <v>12543</v>
      </c>
      <c r="AF367" s="920">
        <f>IF(X367=X366,AF366,0)+IF(ISNUMBER(I367),IF(I367&lt;1,I367,I367*VLOOKUP(J367,Summary!$H$2:$I$9,2)),VLOOKUP(J367,Summary!$J$2:$K$9,2)*IF(ISNUMBER(H367),H367,1))</f>
        <v>0.13842592592592592</v>
      </c>
      <c r="AG367" s="287">
        <v>366</v>
      </c>
      <c r="AH367" s="94"/>
      <c r="AI367" s="94"/>
    </row>
    <row r="368" spans="1:35" s="22" customFormat="1" ht="12" customHeight="1" x14ac:dyDescent="0.25">
      <c r="A368" s="444">
        <v>5</v>
      </c>
      <c r="B368" s="444">
        <v>2</v>
      </c>
      <c r="C368" s="445">
        <v>2.02</v>
      </c>
      <c r="D368" s="192" t="s">
        <v>2297</v>
      </c>
      <c r="E368" s="317" t="s">
        <v>1257</v>
      </c>
      <c r="F368" s="209">
        <v>40602</v>
      </c>
      <c r="G368" s="209"/>
      <c r="H368" s="192">
        <v>1</v>
      </c>
      <c r="I368" s="753">
        <f>TIME(0,16,28)</f>
        <v>1.1435185185185185E-2</v>
      </c>
      <c r="J368" s="903" t="s">
        <v>2755</v>
      </c>
      <c r="K368" s="194" t="s">
        <v>1258</v>
      </c>
      <c r="L368" s="194" t="s">
        <v>3426</v>
      </c>
      <c r="M368" s="194" t="s">
        <v>7443</v>
      </c>
      <c r="N368" s="194"/>
      <c r="O368" s="194"/>
      <c r="P368" s="190" t="s">
        <v>6698</v>
      </c>
      <c r="Q368" s="194" t="s">
        <v>3947</v>
      </c>
      <c r="R368" s="193" t="s">
        <v>2722</v>
      </c>
      <c r="S368" s="357"/>
      <c r="T368" s="190" t="s">
        <v>2595</v>
      </c>
      <c r="U368" s="190"/>
      <c r="V368" s="190"/>
      <c r="W368" s="317" t="s">
        <v>1257</v>
      </c>
      <c r="X368" s="649" t="s">
        <v>12315</v>
      </c>
      <c r="Y368" s="357" t="s">
        <v>5643</v>
      </c>
      <c r="Z368" s="192">
        <v>999</v>
      </c>
      <c r="AA368" s="192"/>
      <c r="AB368" s="37">
        <f t="shared" ca="1" si="6"/>
        <v>0.5254886756598367</v>
      </c>
      <c r="AC368" s="816"/>
      <c r="AD368" s="817" t="s">
        <v>16024</v>
      </c>
      <c r="AE368" s="943"/>
      <c r="AF368" s="924">
        <f>IF(X368=X367,AF367,0)+IF(ISNUMBER(I368),IF(I368&lt;1,I368,I368*VLOOKUP(J368,Summary!$H$2:$I$9,2)),VLOOKUP(J368,Summary!$J$2:$K$9,2)*IF(ISNUMBER(H368),H368,1))</f>
        <v>0.14986111111111111</v>
      </c>
      <c r="AG368" s="292">
        <v>367</v>
      </c>
      <c r="AH368" s="94"/>
      <c r="AI368" s="94"/>
    </row>
    <row r="369" spans="1:35" s="22" customFormat="1" ht="12" customHeight="1" x14ac:dyDescent="0.25">
      <c r="A369" s="444">
        <v>5</v>
      </c>
      <c r="B369" s="444">
        <v>2</v>
      </c>
      <c r="C369" s="444"/>
      <c r="D369" s="176" t="s">
        <v>1705</v>
      </c>
      <c r="E369" s="313" t="s">
        <v>7579</v>
      </c>
      <c r="F369" s="174">
        <v>25447</v>
      </c>
      <c r="G369" s="174"/>
      <c r="H369" s="176" t="s">
        <v>461</v>
      </c>
      <c r="I369" s="176">
        <v>5</v>
      </c>
      <c r="J369" s="900" t="s">
        <v>2755</v>
      </c>
      <c r="K369" s="164" t="s">
        <v>5784</v>
      </c>
      <c r="L369" s="164" t="s">
        <v>461</v>
      </c>
      <c r="M369" s="164"/>
      <c r="N369" s="164"/>
      <c r="O369" s="164"/>
      <c r="P369" s="173" t="s">
        <v>461</v>
      </c>
      <c r="Q369" s="164" t="s">
        <v>4705</v>
      </c>
      <c r="R369" s="177" t="s">
        <v>4600</v>
      </c>
      <c r="S369" s="354" t="s">
        <v>2596</v>
      </c>
      <c r="T369" s="173" t="s">
        <v>2595</v>
      </c>
      <c r="U369" s="173"/>
      <c r="V369" s="173"/>
      <c r="W369" s="313" t="s">
        <v>7579</v>
      </c>
      <c r="X369" s="645" t="s">
        <v>12315</v>
      </c>
      <c r="Y369" s="354"/>
      <c r="Z369" s="176"/>
      <c r="AA369" s="176"/>
      <c r="AB369" s="32">
        <f t="shared" ca="1" si="6"/>
        <v>0.30927278730468477</v>
      </c>
      <c r="AC369" s="812"/>
      <c r="AD369" s="763"/>
      <c r="AE369" s="878"/>
      <c r="AF369" s="921">
        <f>IF(X369=X368,AF368,0)+IF(ISNUMBER(I369),IF(I369&lt;1,I369,I369*VLOOKUP(J369,Summary!$H$2:$I$9,2)),VLOOKUP(J369,Summary!$J$2:$K$9,2)*IF(ISNUMBER(H369),H369,1))</f>
        <v>0.15333333333333332</v>
      </c>
      <c r="AG369" s="289">
        <v>368</v>
      </c>
      <c r="AH369" s="94"/>
      <c r="AI369" s="94"/>
    </row>
    <row r="370" spans="1:35" s="1" customFormat="1" ht="12" customHeight="1" x14ac:dyDescent="0.25">
      <c r="A370" s="444">
        <v>5</v>
      </c>
      <c r="B370" s="444">
        <v>2</v>
      </c>
      <c r="C370" s="444"/>
      <c r="D370" s="176" t="s">
        <v>1705</v>
      </c>
      <c r="E370" s="313" t="s">
        <v>7580</v>
      </c>
      <c r="F370" s="174">
        <v>25447</v>
      </c>
      <c r="G370" s="174"/>
      <c r="H370" s="176" t="s">
        <v>461</v>
      </c>
      <c r="I370" s="176">
        <v>5</v>
      </c>
      <c r="J370" s="900" t="s">
        <v>2755</v>
      </c>
      <c r="K370" s="164" t="s">
        <v>5784</v>
      </c>
      <c r="L370" s="164" t="s">
        <v>461</v>
      </c>
      <c r="M370" s="164"/>
      <c r="N370" s="164"/>
      <c r="O370" s="164"/>
      <c r="P370" s="173" t="s">
        <v>461</v>
      </c>
      <c r="Q370" s="164" t="s">
        <v>4705</v>
      </c>
      <c r="R370" s="177" t="s">
        <v>4600</v>
      </c>
      <c r="S370" s="354" t="s">
        <v>2596</v>
      </c>
      <c r="T370" s="173" t="s">
        <v>2595</v>
      </c>
      <c r="U370" s="173"/>
      <c r="V370" s="173"/>
      <c r="W370" s="313" t="s">
        <v>7580</v>
      </c>
      <c r="X370" s="645" t="s">
        <v>12315</v>
      </c>
      <c r="Y370" s="354"/>
      <c r="Z370" s="176"/>
      <c r="AA370" s="176"/>
      <c r="AB370" s="32">
        <f t="shared" ca="1" si="6"/>
        <v>0.64941754603889124</v>
      </c>
      <c r="AC370" s="812"/>
      <c r="AD370" s="763"/>
      <c r="AE370" s="878"/>
      <c r="AF370" s="921">
        <f>IF(X370=X369,AF369,0)+IF(ISNUMBER(I370),IF(I370&lt;1,I370,I370*VLOOKUP(J370,Summary!$H$2:$I$9,2)),VLOOKUP(J370,Summary!$J$2:$K$9,2)*IF(ISNUMBER(H370),H370,1))</f>
        <v>0.15680555555555553</v>
      </c>
      <c r="AG370" s="289">
        <v>369</v>
      </c>
      <c r="AH370" s="94"/>
      <c r="AI370" s="94"/>
    </row>
    <row r="371" spans="1:35" s="22" customFormat="1" ht="12" customHeight="1" x14ac:dyDescent="0.25">
      <c r="A371" s="444">
        <v>5</v>
      </c>
      <c r="B371" s="444">
        <v>2</v>
      </c>
      <c r="C371" s="444"/>
      <c r="D371" s="176" t="s">
        <v>1705</v>
      </c>
      <c r="E371" s="313" t="s">
        <v>4812</v>
      </c>
      <c r="F371" s="174">
        <v>25447</v>
      </c>
      <c r="G371" s="174"/>
      <c r="H371" s="176" t="s">
        <v>461</v>
      </c>
      <c r="I371" s="176">
        <v>6</v>
      </c>
      <c r="J371" s="900" t="s">
        <v>2755</v>
      </c>
      <c r="K371" s="164" t="s">
        <v>5784</v>
      </c>
      <c r="L371" s="164" t="s">
        <v>461</v>
      </c>
      <c r="M371" s="164"/>
      <c r="N371" s="164"/>
      <c r="O371" s="164"/>
      <c r="P371" s="173" t="s">
        <v>461</v>
      </c>
      <c r="Q371" s="164" t="s">
        <v>4705</v>
      </c>
      <c r="R371" s="177" t="s">
        <v>4600</v>
      </c>
      <c r="S371" s="354" t="s">
        <v>2596</v>
      </c>
      <c r="T371" s="173" t="s">
        <v>2595</v>
      </c>
      <c r="U371" s="173"/>
      <c r="V371" s="173"/>
      <c r="W371" s="313" t="s">
        <v>4812</v>
      </c>
      <c r="X371" s="645" t="s">
        <v>12315</v>
      </c>
      <c r="Y371" s="354"/>
      <c r="Z371" s="176"/>
      <c r="AA371" s="176"/>
      <c r="AB371" s="32">
        <f t="shared" ca="1" si="6"/>
        <v>0.69109110030638854</v>
      </c>
      <c r="AC371" s="812"/>
      <c r="AD371" s="763"/>
      <c r="AE371" s="878"/>
      <c r="AF371" s="921">
        <f>IF(X371=X370,AF370,0)+IF(ISNUMBER(I371),IF(I371&lt;1,I371,I371*VLOOKUP(J371,Summary!$H$2:$I$9,2)),VLOOKUP(J371,Summary!$J$2:$K$9,2)*IF(ISNUMBER(H371),H371,1))</f>
        <v>0.16097222222222221</v>
      </c>
      <c r="AG371" s="289">
        <v>370</v>
      </c>
      <c r="AH371" s="94"/>
      <c r="AI371" s="94"/>
    </row>
    <row r="372" spans="1:35" s="22" customFormat="1" ht="12" customHeight="1" x14ac:dyDescent="0.25">
      <c r="A372" s="444">
        <v>5</v>
      </c>
      <c r="B372" s="444">
        <v>2</v>
      </c>
      <c r="C372" s="444"/>
      <c r="D372" s="176" t="s">
        <v>1705</v>
      </c>
      <c r="E372" s="313" t="s">
        <v>4813</v>
      </c>
      <c r="F372" s="174">
        <v>25447</v>
      </c>
      <c r="G372" s="174"/>
      <c r="H372" s="176" t="s">
        <v>461</v>
      </c>
      <c r="I372" s="176">
        <v>6</v>
      </c>
      <c r="J372" s="900" t="s">
        <v>2755</v>
      </c>
      <c r="K372" s="164" t="s">
        <v>5784</v>
      </c>
      <c r="L372" s="164" t="s">
        <v>461</v>
      </c>
      <c r="M372" s="164"/>
      <c r="N372" s="164"/>
      <c r="O372" s="164"/>
      <c r="P372" s="173" t="s">
        <v>461</v>
      </c>
      <c r="Q372" s="164" t="s">
        <v>4705</v>
      </c>
      <c r="R372" s="177" t="s">
        <v>4600</v>
      </c>
      <c r="S372" s="354" t="s">
        <v>2596</v>
      </c>
      <c r="T372" s="173" t="s">
        <v>2595</v>
      </c>
      <c r="U372" s="173"/>
      <c r="V372" s="173"/>
      <c r="W372" s="313" t="s">
        <v>4813</v>
      </c>
      <c r="X372" s="645" t="s">
        <v>12315</v>
      </c>
      <c r="Y372" s="354"/>
      <c r="Z372" s="176"/>
      <c r="AA372" s="176"/>
      <c r="AB372" s="32">
        <f t="shared" ca="1" si="6"/>
        <v>0.12231858535792972</v>
      </c>
      <c r="AC372" s="812"/>
      <c r="AD372" s="763"/>
      <c r="AE372" s="878"/>
      <c r="AF372" s="921">
        <f>IF(X372=X371,AF371,0)+IF(ISNUMBER(I372),IF(I372&lt;1,I372,I372*VLOOKUP(J372,Summary!$H$2:$I$9,2)),VLOOKUP(J372,Summary!$J$2:$K$9,2)*IF(ISNUMBER(H372),H372,1))</f>
        <v>0.16513888888888889</v>
      </c>
      <c r="AG372" s="289">
        <v>371</v>
      </c>
      <c r="AH372" s="94"/>
      <c r="AI372" s="94"/>
    </row>
    <row r="373" spans="1:35" s="1" customFormat="1" ht="12" customHeight="1" x14ac:dyDescent="0.25">
      <c r="A373" s="444">
        <v>5</v>
      </c>
      <c r="B373" s="444">
        <v>2</v>
      </c>
      <c r="C373" s="444"/>
      <c r="D373" s="176" t="s">
        <v>1705</v>
      </c>
      <c r="E373" s="313" t="s">
        <v>15454</v>
      </c>
      <c r="F373" s="174">
        <v>25447</v>
      </c>
      <c r="G373" s="174"/>
      <c r="H373" s="176" t="s">
        <v>461</v>
      </c>
      <c r="I373" s="176">
        <v>6</v>
      </c>
      <c r="J373" s="900" t="s">
        <v>2755</v>
      </c>
      <c r="K373" s="164" t="s">
        <v>5784</v>
      </c>
      <c r="L373" s="164" t="s">
        <v>461</v>
      </c>
      <c r="M373" s="164"/>
      <c r="N373" s="164"/>
      <c r="O373" s="164"/>
      <c r="P373" s="173" t="s">
        <v>461</v>
      </c>
      <c r="Q373" s="164" t="s">
        <v>4705</v>
      </c>
      <c r="R373" s="177" t="s">
        <v>4600</v>
      </c>
      <c r="S373" s="354" t="s">
        <v>2596</v>
      </c>
      <c r="T373" s="173" t="s">
        <v>2595</v>
      </c>
      <c r="U373" s="173"/>
      <c r="V373" s="173"/>
      <c r="W373" s="313" t="s">
        <v>4814</v>
      </c>
      <c r="X373" s="645" t="s">
        <v>12315</v>
      </c>
      <c r="Y373" s="354"/>
      <c r="Z373" s="176"/>
      <c r="AA373" s="176"/>
      <c r="AB373" s="32">
        <f t="shared" ca="1" si="6"/>
        <v>0.68797377464489173</v>
      </c>
      <c r="AC373" s="812"/>
      <c r="AD373" s="763"/>
      <c r="AE373" s="878"/>
      <c r="AF373" s="921">
        <f>IF(X373=X372,AF372,0)+IF(ISNUMBER(I373),IF(I373&lt;1,I373,I373*VLOOKUP(J373,Summary!$H$2:$I$9,2)),VLOOKUP(J373,Summary!$J$2:$K$9,2)*IF(ISNUMBER(H373),H373,1))</f>
        <v>0.16930555555555557</v>
      </c>
      <c r="AG373" s="289">
        <v>372</v>
      </c>
      <c r="AH373" s="94"/>
      <c r="AI373" s="94"/>
    </row>
    <row r="374" spans="1:35" s="22" customFormat="1" ht="12" customHeight="1" x14ac:dyDescent="0.25">
      <c r="A374" s="444">
        <v>5</v>
      </c>
      <c r="B374" s="444">
        <v>2</v>
      </c>
      <c r="C374" s="444"/>
      <c r="D374" s="176" t="s">
        <v>1705</v>
      </c>
      <c r="E374" s="313" t="s">
        <v>15455</v>
      </c>
      <c r="F374" s="174">
        <v>25447</v>
      </c>
      <c r="G374" s="174"/>
      <c r="H374" s="176" t="s">
        <v>461</v>
      </c>
      <c r="I374" s="176">
        <v>7</v>
      </c>
      <c r="J374" s="900" t="s">
        <v>2755</v>
      </c>
      <c r="K374" s="164" t="s">
        <v>5784</v>
      </c>
      <c r="L374" s="164" t="s">
        <v>461</v>
      </c>
      <c r="M374" s="164"/>
      <c r="N374" s="164"/>
      <c r="O374" s="164"/>
      <c r="P374" s="173" t="s">
        <v>461</v>
      </c>
      <c r="Q374" s="164" t="s">
        <v>4705</v>
      </c>
      <c r="R374" s="177" t="s">
        <v>4600</v>
      </c>
      <c r="S374" s="354" t="s">
        <v>2596</v>
      </c>
      <c r="T374" s="173" t="s">
        <v>2595</v>
      </c>
      <c r="U374" s="173"/>
      <c r="V374" s="173"/>
      <c r="W374" s="313" t="s">
        <v>4815</v>
      </c>
      <c r="X374" s="645" t="s">
        <v>12315</v>
      </c>
      <c r="Y374" s="354"/>
      <c r="Z374" s="176"/>
      <c r="AA374" s="176"/>
      <c r="AB374" s="32">
        <f t="shared" ca="1" si="6"/>
        <v>0.71780197523204137</v>
      </c>
      <c r="AC374" s="812"/>
      <c r="AD374" s="763"/>
      <c r="AE374" s="878"/>
      <c r="AF374" s="921">
        <f>IF(X374=X373,AF373,0)+IF(ISNUMBER(I374),IF(I374&lt;1,I374,I374*VLOOKUP(J374,Summary!$H$2:$I$9,2)),VLOOKUP(J374,Summary!$J$2:$K$9,2)*IF(ISNUMBER(H374),H374,1))</f>
        <v>0.17416666666666669</v>
      </c>
      <c r="AG374" s="289">
        <v>373</v>
      </c>
      <c r="AH374" s="94"/>
      <c r="AI374" s="94"/>
    </row>
    <row r="375" spans="1:35" s="1" customFormat="1" ht="12" customHeight="1" x14ac:dyDescent="0.25">
      <c r="A375" s="447">
        <v>5</v>
      </c>
      <c r="B375" s="447">
        <v>2</v>
      </c>
      <c r="C375" s="447"/>
      <c r="D375" s="185" t="s">
        <v>1705</v>
      </c>
      <c r="E375" s="314" t="s">
        <v>4481</v>
      </c>
      <c r="F375" s="183">
        <v>25082</v>
      </c>
      <c r="G375" s="210"/>
      <c r="H375" s="185">
        <v>1</v>
      </c>
      <c r="I375" s="185">
        <v>6</v>
      </c>
      <c r="J375" s="901" t="s">
        <v>1796</v>
      </c>
      <c r="K375" s="163" t="s">
        <v>5784</v>
      </c>
      <c r="L375" s="163" t="s">
        <v>5784</v>
      </c>
      <c r="M375" s="163"/>
      <c r="N375" s="163"/>
      <c r="O375" s="163"/>
      <c r="P375" s="182" t="s">
        <v>461</v>
      </c>
      <c r="Q375" s="163" t="s">
        <v>4705</v>
      </c>
      <c r="R375" s="186" t="s">
        <v>4600</v>
      </c>
      <c r="S375" s="355" t="s">
        <v>2596</v>
      </c>
      <c r="T375" s="182" t="s">
        <v>2595</v>
      </c>
      <c r="U375" s="182"/>
      <c r="V375" s="182"/>
      <c r="W375" s="314" t="s">
        <v>4481</v>
      </c>
      <c r="X375" s="646" t="s">
        <v>12315</v>
      </c>
      <c r="Y375" s="355"/>
      <c r="Z375" s="185"/>
      <c r="AA375" s="185"/>
      <c r="AB375" s="33">
        <f t="shared" ca="1" si="6"/>
        <v>0.96441131084043363</v>
      </c>
      <c r="AC375" s="813"/>
      <c r="AD375" s="211"/>
      <c r="AE375" s="875"/>
      <c r="AF375" s="922">
        <f>IF(X375=X374,AF374,0)+IF(ISNUMBER(I375),IF(I375&lt;1,I375,I375*VLOOKUP(J375,Summary!$H$2:$I$9,2)),VLOOKUP(J375,Summary!$J$2:$K$9,2)*IF(ISNUMBER(H375),H375,1))</f>
        <v>0.17625000000000002</v>
      </c>
      <c r="AG375" s="290">
        <v>374</v>
      </c>
      <c r="AH375" s="94"/>
      <c r="AI375" s="94"/>
    </row>
    <row r="376" spans="1:35" s="1" customFormat="1" ht="12" customHeight="1" x14ac:dyDescent="0.25">
      <c r="A376" s="444">
        <v>5</v>
      </c>
      <c r="B376" s="444">
        <v>2</v>
      </c>
      <c r="C376" s="444"/>
      <c r="D376" s="176" t="s">
        <v>1705</v>
      </c>
      <c r="E376" s="313" t="s">
        <v>4816</v>
      </c>
      <c r="F376" s="174">
        <v>25447</v>
      </c>
      <c r="G376" s="174"/>
      <c r="H376" s="176" t="s">
        <v>461</v>
      </c>
      <c r="I376" s="176">
        <v>4</v>
      </c>
      <c r="J376" s="900" t="s">
        <v>2755</v>
      </c>
      <c r="K376" s="164" t="s">
        <v>5784</v>
      </c>
      <c r="L376" s="164" t="s">
        <v>461</v>
      </c>
      <c r="M376" s="164"/>
      <c r="N376" s="164"/>
      <c r="O376" s="164"/>
      <c r="P376" s="173" t="s">
        <v>461</v>
      </c>
      <c r="Q376" s="164" t="s">
        <v>4705</v>
      </c>
      <c r="R376" s="177" t="s">
        <v>4600</v>
      </c>
      <c r="S376" s="354" t="s">
        <v>2596</v>
      </c>
      <c r="T376" s="173" t="s">
        <v>2595</v>
      </c>
      <c r="U376" s="173"/>
      <c r="V376" s="173"/>
      <c r="W376" s="313" t="s">
        <v>4816</v>
      </c>
      <c r="X376" s="645" t="s">
        <v>12315</v>
      </c>
      <c r="Y376" s="354"/>
      <c r="Z376" s="176"/>
      <c r="AA376" s="176"/>
      <c r="AB376" s="32">
        <f t="shared" ca="1" si="6"/>
        <v>0.95617267962725294</v>
      </c>
      <c r="AC376" s="812"/>
      <c r="AD376" s="763"/>
      <c r="AE376" s="878"/>
      <c r="AF376" s="921">
        <f>IF(X376=X375,AF375,0)+IF(ISNUMBER(I376),IF(I376&lt;1,I376,I376*VLOOKUP(J376,Summary!$H$2:$I$9,2)),VLOOKUP(J376,Summary!$J$2:$K$9,2)*IF(ISNUMBER(H376),H376,1))</f>
        <v>0.17902777777777779</v>
      </c>
      <c r="AG376" s="289">
        <v>375</v>
      </c>
      <c r="AH376" s="94"/>
      <c r="AI376" s="94"/>
    </row>
    <row r="377" spans="1:35" s="27" customFormat="1" ht="12" customHeight="1" x14ac:dyDescent="0.25">
      <c r="A377" s="444">
        <v>5</v>
      </c>
      <c r="B377" s="444">
        <v>2</v>
      </c>
      <c r="C377" s="444"/>
      <c r="D377" s="176" t="s">
        <v>1705</v>
      </c>
      <c r="E377" s="313" t="s">
        <v>4817</v>
      </c>
      <c r="F377" s="174">
        <v>25447</v>
      </c>
      <c r="G377" s="174"/>
      <c r="H377" s="176" t="s">
        <v>461</v>
      </c>
      <c r="I377" s="176">
        <v>5</v>
      </c>
      <c r="J377" s="900" t="s">
        <v>2755</v>
      </c>
      <c r="K377" s="164" t="s">
        <v>5784</v>
      </c>
      <c r="L377" s="164" t="s">
        <v>461</v>
      </c>
      <c r="M377" s="164"/>
      <c r="N377" s="164"/>
      <c r="O377" s="164"/>
      <c r="P377" s="173" t="s">
        <v>461</v>
      </c>
      <c r="Q377" s="164" t="s">
        <v>4705</v>
      </c>
      <c r="R377" s="177" t="s">
        <v>4600</v>
      </c>
      <c r="S377" s="354" t="s">
        <v>2596</v>
      </c>
      <c r="T377" s="173" t="s">
        <v>2595</v>
      </c>
      <c r="U377" s="173"/>
      <c r="V377" s="173"/>
      <c r="W377" s="313" t="s">
        <v>4817</v>
      </c>
      <c r="X377" s="645" t="s">
        <v>12315</v>
      </c>
      <c r="Y377" s="354"/>
      <c r="Z377" s="176"/>
      <c r="AA377" s="176"/>
      <c r="AB377" s="32">
        <f t="shared" ca="1" si="6"/>
        <v>0.26609423604477878</v>
      </c>
      <c r="AC377" s="812"/>
      <c r="AD377" s="763"/>
      <c r="AE377" s="878"/>
      <c r="AF377" s="921">
        <f>IF(X377=X376,AF376,0)+IF(ISNUMBER(I377),IF(I377&lt;1,I377,I377*VLOOKUP(J377,Summary!$H$2:$I$9,2)),VLOOKUP(J377,Summary!$J$2:$K$9,2)*IF(ISNUMBER(H377),H377,1))</f>
        <v>0.1825</v>
      </c>
      <c r="AG377" s="289">
        <v>376</v>
      </c>
      <c r="AH377" s="119"/>
      <c r="AI377" s="119"/>
    </row>
    <row r="378" spans="1:35" s="22" customFormat="1" ht="12" customHeight="1" x14ac:dyDescent="0.25">
      <c r="A378" s="444">
        <v>5</v>
      </c>
      <c r="B378" s="444">
        <v>2</v>
      </c>
      <c r="C378" s="444"/>
      <c r="D378" s="176" t="s">
        <v>1705</v>
      </c>
      <c r="E378" s="313" t="s">
        <v>4818</v>
      </c>
      <c r="F378" s="174">
        <v>25447</v>
      </c>
      <c r="G378" s="174"/>
      <c r="H378" s="176" t="s">
        <v>461</v>
      </c>
      <c r="I378" s="176">
        <v>6</v>
      </c>
      <c r="J378" s="900" t="s">
        <v>2755</v>
      </c>
      <c r="K378" s="164" t="s">
        <v>5784</v>
      </c>
      <c r="L378" s="164" t="s">
        <v>461</v>
      </c>
      <c r="M378" s="164"/>
      <c r="N378" s="164"/>
      <c r="O378" s="164"/>
      <c r="P378" s="173" t="s">
        <v>461</v>
      </c>
      <c r="Q378" s="164" t="s">
        <v>4705</v>
      </c>
      <c r="R378" s="177" t="s">
        <v>4600</v>
      </c>
      <c r="S378" s="354" t="s">
        <v>2596</v>
      </c>
      <c r="T378" s="173" t="s">
        <v>2595</v>
      </c>
      <c r="U378" s="173"/>
      <c r="V378" s="173"/>
      <c r="W378" s="313" t="s">
        <v>4818</v>
      </c>
      <c r="X378" s="645" t="s">
        <v>12315</v>
      </c>
      <c r="Y378" s="354"/>
      <c r="Z378" s="176"/>
      <c r="AA378" s="176"/>
      <c r="AB378" s="32">
        <f t="shared" ca="1" si="6"/>
        <v>0.85092565536727871</v>
      </c>
      <c r="AC378" s="812"/>
      <c r="AD378" s="763"/>
      <c r="AE378" s="878"/>
      <c r="AF378" s="921">
        <f>IF(X378=X377,AF377,0)+IF(ISNUMBER(I378),IF(I378&lt;1,I378,I378*VLOOKUP(J378,Summary!$H$2:$I$9,2)),VLOOKUP(J378,Summary!$J$2:$K$9,2)*IF(ISNUMBER(H378),H378,1))</f>
        <v>0.18666666666666668</v>
      </c>
      <c r="AG378" s="289">
        <v>377</v>
      </c>
      <c r="AH378" s="94"/>
      <c r="AI378" s="94"/>
    </row>
    <row r="379" spans="1:35" s="22" customFormat="1" ht="12" customHeight="1" x14ac:dyDescent="0.25">
      <c r="A379" s="444">
        <v>5</v>
      </c>
      <c r="B379" s="444">
        <v>2</v>
      </c>
      <c r="C379" s="444"/>
      <c r="D379" s="176" t="s">
        <v>1705</v>
      </c>
      <c r="E379" s="313" t="s">
        <v>4819</v>
      </c>
      <c r="F379" s="174">
        <v>25447</v>
      </c>
      <c r="G379" s="174"/>
      <c r="H379" s="176" t="s">
        <v>461</v>
      </c>
      <c r="I379" s="176">
        <v>6</v>
      </c>
      <c r="J379" s="900" t="s">
        <v>2755</v>
      </c>
      <c r="K379" s="164" t="s">
        <v>5784</v>
      </c>
      <c r="L379" s="164" t="s">
        <v>461</v>
      </c>
      <c r="M379" s="164"/>
      <c r="N379" s="164"/>
      <c r="O379" s="164"/>
      <c r="P379" s="173" t="s">
        <v>461</v>
      </c>
      <c r="Q379" s="164" t="s">
        <v>4705</v>
      </c>
      <c r="R379" s="177" t="s">
        <v>4600</v>
      </c>
      <c r="S379" s="354" t="s">
        <v>2596</v>
      </c>
      <c r="T379" s="173" t="s">
        <v>2595</v>
      </c>
      <c r="U379" s="173"/>
      <c r="V379" s="173"/>
      <c r="W379" s="313" t="s">
        <v>4819</v>
      </c>
      <c r="X379" s="645" t="s">
        <v>12315</v>
      </c>
      <c r="Y379" s="354"/>
      <c r="Z379" s="176"/>
      <c r="AA379" s="176"/>
      <c r="AB379" s="32">
        <f t="shared" ca="1" si="6"/>
        <v>3.6593382617449599E-2</v>
      </c>
      <c r="AC379" s="812"/>
      <c r="AD379" s="763"/>
      <c r="AE379" s="878"/>
      <c r="AF379" s="921">
        <f>IF(X379=X378,AF378,0)+IF(ISNUMBER(I379),IF(I379&lt;1,I379,I379*VLOOKUP(J379,Summary!$H$2:$I$9,2)),VLOOKUP(J379,Summary!$J$2:$K$9,2)*IF(ISNUMBER(H379),H379,1))</f>
        <v>0.19083333333333335</v>
      </c>
      <c r="AG379" s="289">
        <v>378</v>
      </c>
      <c r="AH379" s="94"/>
      <c r="AI379" s="94"/>
    </row>
    <row r="380" spans="1:35" s="3" customFormat="1" ht="12" customHeight="1" x14ac:dyDescent="0.25">
      <c r="A380" s="451">
        <v>5</v>
      </c>
      <c r="B380" s="451">
        <v>2</v>
      </c>
      <c r="C380" s="453">
        <v>12.2</v>
      </c>
      <c r="D380" s="407" t="s">
        <v>14527</v>
      </c>
      <c r="E380" s="315" t="s">
        <v>14528</v>
      </c>
      <c r="F380" s="196">
        <v>43271</v>
      </c>
      <c r="G380" s="170"/>
      <c r="H380" s="170">
        <v>2</v>
      </c>
      <c r="I380" s="746">
        <f>TIME(1,17,32)</f>
        <v>5.3842592592592588E-2</v>
      </c>
      <c r="J380" s="899" t="s">
        <v>4706</v>
      </c>
      <c r="K380" s="167" t="s">
        <v>10216</v>
      </c>
      <c r="L380" s="167" t="s">
        <v>14526</v>
      </c>
      <c r="M380" s="167"/>
      <c r="N380" s="167"/>
      <c r="O380" s="167" t="s">
        <v>5195</v>
      </c>
      <c r="P380" s="168" t="s">
        <v>14525</v>
      </c>
      <c r="Q380" s="167" t="s">
        <v>3947</v>
      </c>
      <c r="R380" s="172" t="s">
        <v>3153</v>
      </c>
      <c r="S380" s="388" t="s">
        <v>2596</v>
      </c>
      <c r="T380" s="168" t="s">
        <v>2595</v>
      </c>
      <c r="U380" s="168"/>
      <c r="V380" s="168" t="s">
        <v>2608</v>
      </c>
      <c r="W380" s="312" t="s">
        <v>16950</v>
      </c>
      <c r="X380" s="644" t="s">
        <v>12315</v>
      </c>
      <c r="Y380" s="352" t="s">
        <v>5643</v>
      </c>
      <c r="Z380" s="353">
        <v>470</v>
      </c>
      <c r="AA380" s="353">
        <v>4</v>
      </c>
      <c r="AB380" s="31">
        <f t="shared" ca="1" si="6"/>
        <v>0.89287612351914669</v>
      </c>
      <c r="AC380" s="810"/>
      <c r="AD380" s="811"/>
      <c r="AE380" s="940"/>
      <c r="AF380" s="920">
        <f>IF(X380=X379,AF379,0)+IF(ISNUMBER(I380),IF(I380&lt;1,I380,I380*VLOOKUP(J380,Summary!$H$2:$I$9,2)),VLOOKUP(J380,Summary!$J$2:$K$9,2)*IF(ISNUMBER(H380),H380,1))</f>
        <v>0.24467592592592594</v>
      </c>
      <c r="AG380" s="287">
        <v>379</v>
      </c>
      <c r="AH380" s="94"/>
      <c r="AI380" s="94"/>
    </row>
    <row r="381" spans="1:35" s="29" customFormat="1" ht="12" customHeight="1" x14ac:dyDescent="0.25">
      <c r="A381" s="444">
        <v>5</v>
      </c>
      <c r="B381" s="444">
        <v>2</v>
      </c>
      <c r="C381" s="445">
        <v>20.14</v>
      </c>
      <c r="D381" s="176" t="s">
        <v>1946</v>
      </c>
      <c r="E381" s="313" t="s">
        <v>1947</v>
      </c>
      <c r="F381" s="174">
        <v>38961</v>
      </c>
      <c r="G381" s="174"/>
      <c r="H381" s="176">
        <v>1</v>
      </c>
      <c r="I381" s="176">
        <v>16</v>
      </c>
      <c r="J381" s="900" t="s">
        <v>2755</v>
      </c>
      <c r="K381" s="164" t="s">
        <v>1948</v>
      </c>
      <c r="L381" s="164" t="s">
        <v>461</v>
      </c>
      <c r="M381" s="164"/>
      <c r="N381" s="164" t="s">
        <v>7381</v>
      </c>
      <c r="O381" s="164"/>
      <c r="P381" s="173" t="s">
        <v>705</v>
      </c>
      <c r="Q381" s="164" t="s">
        <v>3947</v>
      </c>
      <c r="R381" s="177" t="s">
        <v>2723</v>
      </c>
      <c r="S381" s="354" t="s">
        <v>2596</v>
      </c>
      <c r="T381" s="173" t="s">
        <v>2595</v>
      </c>
      <c r="U381" s="173"/>
      <c r="V381" s="173"/>
      <c r="W381" s="313" t="s">
        <v>1947</v>
      </c>
      <c r="X381" s="645" t="s">
        <v>12315</v>
      </c>
      <c r="Y381" s="354"/>
      <c r="Z381" s="176"/>
      <c r="AA381" s="176"/>
      <c r="AB381" s="32">
        <f t="shared" ca="1" si="6"/>
        <v>0.11611612981502983</v>
      </c>
      <c r="AC381" s="812"/>
      <c r="AD381" s="763" t="s">
        <v>16849</v>
      </c>
      <c r="AE381" s="807"/>
      <c r="AF381" s="921">
        <f>IF(X381=X380,AF380,0)+IF(ISNUMBER(I381),IF(I381&lt;1,I381,I381*VLOOKUP(J381,Summary!$H$2:$I$9,2)),VLOOKUP(J381,Summary!$J$2:$K$9,2)*IF(ISNUMBER(H381),H381,1))</f>
        <v>0.25578703703703703</v>
      </c>
      <c r="AG381" s="289">
        <v>380</v>
      </c>
      <c r="AH381" s="94"/>
      <c r="AI381" s="94"/>
    </row>
    <row r="382" spans="1:35" s="22" customFormat="1" ht="12" customHeight="1" x14ac:dyDescent="0.2">
      <c r="A382" s="443" t="s">
        <v>4051</v>
      </c>
      <c r="B382" s="443">
        <v>2</v>
      </c>
      <c r="C382" s="443">
        <v>38</v>
      </c>
      <c r="D382" s="426" t="s">
        <v>1636</v>
      </c>
      <c r="E382" s="427" t="s">
        <v>122</v>
      </c>
      <c r="F382" s="203">
        <v>24745</v>
      </c>
      <c r="G382" s="203">
        <v>24749</v>
      </c>
      <c r="H382" s="204">
        <v>6</v>
      </c>
      <c r="I382" s="791">
        <f>TIME(0,24,15)+TIME(0,23,15)+TIME(0,23,55)+TIME(0,24,11)+TIME(0,23,51)+TIME(0,23,31)</f>
        <v>9.9282407407407416E-2</v>
      </c>
      <c r="J382" s="905" t="s">
        <v>1588</v>
      </c>
      <c r="K382" s="205" t="s">
        <v>123</v>
      </c>
      <c r="L382" s="205" t="s">
        <v>124</v>
      </c>
      <c r="M382" s="205"/>
      <c r="N382" s="205" t="s">
        <v>125</v>
      </c>
      <c r="O382" s="205" t="s">
        <v>5416</v>
      </c>
      <c r="P382" s="202" t="s">
        <v>461</v>
      </c>
      <c r="Q382" s="205" t="s">
        <v>3946</v>
      </c>
      <c r="R382" s="206" t="s">
        <v>5280</v>
      </c>
      <c r="S382" s="391" t="s">
        <v>2596</v>
      </c>
      <c r="T382" s="202" t="s">
        <v>2595</v>
      </c>
      <c r="U382" s="202"/>
      <c r="V382" s="202"/>
      <c r="W382" s="318" t="s">
        <v>14266</v>
      </c>
      <c r="X382" s="652" t="s">
        <v>12315</v>
      </c>
      <c r="Y382" s="359" t="s">
        <v>5398</v>
      </c>
      <c r="Z382" s="360">
        <v>130</v>
      </c>
      <c r="AA382" s="360">
        <v>6</v>
      </c>
      <c r="AB382" s="36">
        <f t="shared" ca="1" si="6"/>
        <v>0.97225057345462795</v>
      </c>
      <c r="AC382" s="822"/>
      <c r="AD382" s="823" t="s">
        <v>16710</v>
      </c>
      <c r="AE382" s="947" t="s">
        <v>9614</v>
      </c>
      <c r="AF382" s="926">
        <f>IF(X382=X381,AF381,0)+IF(ISNUMBER(I382),IF(I382&lt;1,I382,I382*VLOOKUP(J382,Summary!$H$2:$I$9,2)),VLOOKUP(J382,Summary!$J$2:$K$9,2)*IF(ISNUMBER(H382),H382,1))</f>
        <v>0.35506944444444444</v>
      </c>
      <c r="AG382" s="294">
        <v>381</v>
      </c>
      <c r="AH382" s="94"/>
      <c r="AI382" s="94"/>
    </row>
    <row r="383" spans="1:35" s="22" customFormat="1" ht="12" customHeight="1" x14ac:dyDescent="0.25">
      <c r="A383" s="410">
        <v>5</v>
      </c>
      <c r="B383" s="410" t="s">
        <v>2650</v>
      </c>
      <c r="C383" s="410"/>
      <c r="D383" s="176" t="s">
        <v>14425</v>
      </c>
      <c r="E383" s="313" t="s">
        <v>13721</v>
      </c>
      <c r="F383" s="175">
        <v>42472</v>
      </c>
      <c r="G383" s="181"/>
      <c r="H383" s="176" t="s">
        <v>461</v>
      </c>
      <c r="I383" s="176"/>
      <c r="J383" s="900" t="s">
        <v>2755</v>
      </c>
      <c r="K383" s="164" t="s">
        <v>13691</v>
      </c>
      <c r="L383" s="164" t="s">
        <v>461</v>
      </c>
      <c r="M383" s="164"/>
      <c r="N383" s="164"/>
      <c r="O383" s="164"/>
      <c r="P383" s="173"/>
      <c r="Q383" s="164" t="s">
        <v>13674</v>
      </c>
      <c r="R383" s="177" t="s">
        <v>13703</v>
      </c>
      <c r="S383" s="354"/>
      <c r="T383" s="173"/>
      <c r="U383" s="173"/>
      <c r="V383" s="173"/>
      <c r="W383" s="313" t="s">
        <v>13721</v>
      </c>
      <c r="X383" s="645" t="s">
        <v>12315</v>
      </c>
      <c r="Y383" s="354"/>
      <c r="Z383" s="157"/>
      <c r="AA383" s="176"/>
      <c r="AB383" s="32">
        <f t="shared" ca="1" si="6"/>
        <v>0.1003737030421531</v>
      </c>
      <c r="AC383" s="812"/>
      <c r="AD383" s="763" t="s">
        <v>16710</v>
      </c>
      <c r="AE383" s="807"/>
      <c r="AF383" s="921">
        <f>IF(X383=X382,AF382,0)+IF(ISNUMBER(I383),IF(I383&lt;1,I383,I383*VLOOKUP(J383,Summary!$H$2:$I$9,2)),VLOOKUP(J383,Summary!$J$2:$K$9,2)*IF(ISNUMBER(H383),H383,1))</f>
        <v>0.37243055555555554</v>
      </c>
      <c r="AG383" s="289">
        <v>382</v>
      </c>
      <c r="AH383" s="94"/>
      <c r="AI383" s="94"/>
    </row>
    <row r="384" spans="1:35" s="22" customFormat="1" ht="12" customHeight="1" x14ac:dyDescent="0.25">
      <c r="A384" s="410">
        <v>5</v>
      </c>
      <c r="B384" s="410" t="s">
        <v>2650</v>
      </c>
      <c r="C384" s="410"/>
      <c r="D384" s="176"/>
      <c r="E384" s="313" t="s">
        <v>13702</v>
      </c>
      <c r="F384" s="174">
        <v>42856</v>
      </c>
      <c r="G384" s="181"/>
      <c r="H384" s="176" t="s">
        <v>461</v>
      </c>
      <c r="I384" s="176"/>
      <c r="J384" s="900" t="s">
        <v>2755</v>
      </c>
      <c r="K384" s="164" t="s">
        <v>2562</v>
      </c>
      <c r="L384" s="164" t="s">
        <v>461</v>
      </c>
      <c r="M384" s="164"/>
      <c r="N384" s="164"/>
      <c r="O384" s="164"/>
      <c r="P384" s="173"/>
      <c r="Q384" s="164" t="s">
        <v>13674</v>
      </c>
      <c r="R384" s="177" t="s">
        <v>13703</v>
      </c>
      <c r="S384" s="354"/>
      <c r="T384" s="173"/>
      <c r="U384" s="173"/>
      <c r="V384" s="173"/>
      <c r="W384" s="313" t="s">
        <v>13702</v>
      </c>
      <c r="X384" s="645" t="s">
        <v>12315</v>
      </c>
      <c r="Y384" s="354"/>
      <c r="Z384" s="157"/>
      <c r="AA384" s="176"/>
      <c r="AB384" s="32">
        <f t="shared" ca="1" si="6"/>
        <v>0.4177493526743461</v>
      </c>
      <c r="AC384" s="812"/>
      <c r="AD384" s="763"/>
      <c r="AE384" s="807"/>
      <c r="AF384" s="921">
        <f>IF(X384=X383,AF383,0)+IF(ISNUMBER(I384),IF(I384&lt;1,I384,I384*VLOOKUP(J384,Summary!$H$2:$I$9,2)),VLOOKUP(J384,Summary!$J$2:$K$9,2)*IF(ISNUMBER(H384),H384,1))</f>
        <v>0.38979166666666665</v>
      </c>
      <c r="AG384" s="289">
        <v>383</v>
      </c>
      <c r="AH384" s="94"/>
      <c r="AI384" s="94"/>
    </row>
    <row r="385" spans="1:35" s="29" customFormat="1" ht="12" customHeight="1" x14ac:dyDescent="0.25">
      <c r="A385" s="458">
        <v>5</v>
      </c>
      <c r="B385" s="457" t="s">
        <v>2650</v>
      </c>
      <c r="C385" s="458">
        <v>3</v>
      </c>
      <c r="D385" s="188" t="s">
        <v>14421</v>
      </c>
      <c r="E385" s="327" t="s">
        <v>13705</v>
      </c>
      <c r="F385" s="187">
        <v>42948</v>
      </c>
      <c r="G385" s="195"/>
      <c r="H385" s="188" t="s">
        <v>461</v>
      </c>
      <c r="I385" s="188">
        <v>121</v>
      </c>
      <c r="J385" s="902" t="s">
        <v>6868</v>
      </c>
      <c r="K385" s="218" t="s">
        <v>2562</v>
      </c>
      <c r="L385" s="218" t="s">
        <v>461</v>
      </c>
      <c r="M385" s="218"/>
      <c r="N385" s="218"/>
      <c r="O385" s="218"/>
      <c r="P385" s="178"/>
      <c r="Q385" s="218" t="s">
        <v>13674</v>
      </c>
      <c r="R385" s="217" t="s">
        <v>13699</v>
      </c>
      <c r="S385" s="366"/>
      <c r="T385" s="178"/>
      <c r="U385" s="178"/>
      <c r="V385" s="178"/>
      <c r="W385" s="327" t="s">
        <v>13705</v>
      </c>
      <c r="X385" s="658" t="s">
        <v>12315</v>
      </c>
      <c r="Y385" s="366"/>
      <c r="Z385" s="188"/>
      <c r="AA385" s="188"/>
      <c r="AB385" s="34">
        <f t="shared" ca="1" si="6"/>
        <v>6.4718241963565792E-2</v>
      </c>
      <c r="AC385" s="814"/>
      <c r="AD385" s="815" t="s">
        <v>16634</v>
      </c>
      <c r="AE385" s="245"/>
      <c r="AF385" s="923">
        <f>IF(X385=X384,AF384,0)+IF(ISNUMBER(I385),IF(I385&lt;1,I385,I385*VLOOKUP(J385,Summary!$H$2:$I$9,2)),VLOOKUP(J385,Summary!$J$2:$K$9,2)*IF(ISNUMBER(H385),H385,1))</f>
        <v>0.47381944444444446</v>
      </c>
      <c r="AG385" s="297">
        <v>384</v>
      </c>
      <c r="AH385" s="94"/>
      <c r="AI385" s="94"/>
    </row>
    <row r="386" spans="1:35" s="10" customFormat="1" ht="12" customHeight="1" x14ac:dyDescent="0.25">
      <c r="A386" s="410">
        <v>5</v>
      </c>
      <c r="B386" s="410" t="s">
        <v>2650</v>
      </c>
      <c r="C386" s="410"/>
      <c r="D386" s="176" t="s">
        <v>14441</v>
      </c>
      <c r="E386" s="313" t="s">
        <v>13733</v>
      </c>
      <c r="F386" s="174">
        <v>42795</v>
      </c>
      <c r="G386" s="181"/>
      <c r="H386" s="176" t="s">
        <v>461</v>
      </c>
      <c r="I386" s="176"/>
      <c r="J386" s="900" t="s">
        <v>2755</v>
      </c>
      <c r="K386" s="164" t="s">
        <v>13367</v>
      </c>
      <c r="L386" s="164" t="s">
        <v>461</v>
      </c>
      <c r="M386" s="164"/>
      <c r="N386" s="164"/>
      <c r="O386" s="164"/>
      <c r="P386" s="173"/>
      <c r="Q386" s="164" t="s">
        <v>13674</v>
      </c>
      <c r="R386" s="177" t="s">
        <v>13703</v>
      </c>
      <c r="S386" s="354"/>
      <c r="T386" s="173"/>
      <c r="U386" s="173" t="s">
        <v>2597</v>
      </c>
      <c r="V386" s="173"/>
      <c r="W386" s="313" t="s">
        <v>13733</v>
      </c>
      <c r="X386" s="645" t="s">
        <v>12315</v>
      </c>
      <c r="Y386" s="354"/>
      <c r="Z386" s="157"/>
      <c r="AA386" s="176"/>
      <c r="AB386" s="32">
        <f t="shared" ref="AB386:AB449" ca="1" si="7">RAND()</f>
        <v>0.59941451942826873</v>
      </c>
      <c r="AC386" s="812"/>
      <c r="AD386" s="763"/>
      <c r="AE386" s="807"/>
      <c r="AF386" s="921">
        <f>IF(X386=X385,AF385,0)+IF(ISNUMBER(I386),IF(I386&lt;1,I386,I386*VLOOKUP(J386,Summary!$H$2:$I$9,2)),VLOOKUP(J386,Summary!$J$2:$K$9,2)*IF(ISNUMBER(H386),H386,1))</f>
        <v>0.49118055555555556</v>
      </c>
      <c r="AG386" s="289">
        <v>385</v>
      </c>
      <c r="AH386" s="94"/>
      <c r="AI386" s="94"/>
    </row>
    <row r="387" spans="1:35" s="3" customFormat="1" ht="12" customHeight="1" x14ac:dyDescent="0.25">
      <c r="A387" s="410">
        <v>5</v>
      </c>
      <c r="B387" s="410" t="s">
        <v>2650</v>
      </c>
      <c r="C387" s="410"/>
      <c r="D387" s="176" t="s">
        <v>14438</v>
      </c>
      <c r="E387" s="313" t="s">
        <v>13727</v>
      </c>
      <c r="F387" s="174">
        <v>42614</v>
      </c>
      <c r="G387" s="181"/>
      <c r="H387" s="176" t="s">
        <v>461</v>
      </c>
      <c r="I387" s="176"/>
      <c r="J387" s="900" t="s">
        <v>2755</v>
      </c>
      <c r="K387" s="164" t="s">
        <v>13690</v>
      </c>
      <c r="L387" s="164" t="s">
        <v>461</v>
      </c>
      <c r="M387" s="164"/>
      <c r="N387" s="164"/>
      <c r="O387" s="164"/>
      <c r="P387" s="173"/>
      <c r="Q387" s="164" t="s">
        <v>13674</v>
      </c>
      <c r="R387" s="177" t="s">
        <v>13703</v>
      </c>
      <c r="S387" s="354"/>
      <c r="T387" s="173"/>
      <c r="U387" s="173" t="s">
        <v>2597</v>
      </c>
      <c r="V387" s="173"/>
      <c r="W387" s="313" t="s">
        <v>13727</v>
      </c>
      <c r="X387" s="645" t="s">
        <v>12315</v>
      </c>
      <c r="Y387" s="354"/>
      <c r="Z387" s="157"/>
      <c r="AA387" s="176"/>
      <c r="AB387" s="32">
        <f t="shared" ca="1" si="7"/>
        <v>0.29740202032311724</v>
      </c>
      <c r="AC387" s="812"/>
      <c r="AD387" s="763"/>
      <c r="AE387" s="807"/>
      <c r="AF387" s="921">
        <f>IF(X387=X386,AF386,0)+IF(ISNUMBER(I387),IF(I387&lt;1,I387,I387*VLOOKUP(J387,Summary!$H$2:$I$9,2)),VLOOKUP(J387,Summary!$J$2:$K$9,2)*IF(ISNUMBER(H387),H387,1))</f>
        <v>0.50854166666666667</v>
      </c>
      <c r="AG387" s="289">
        <v>386</v>
      </c>
      <c r="AH387" s="94"/>
      <c r="AI387" s="94"/>
    </row>
    <row r="388" spans="1:35" s="3" customFormat="1" ht="12" customHeight="1" x14ac:dyDescent="0.25">
      <c r="A388" s="410">
        <v>5</v>
      </c>
      <c r="B388" s="410" t="s">
        <v>2650</v>
      </c>
      <c r="C388" s="410"/>
      <c r="D388" s="176"/>
      <c r="E388" s="313" t="s">
        <v>13748</v>
      </c>
      <c r="F388" s="175">
        <v>43102</v>
      </c>
      <c r="G388" s="181"/>
      <c r="H388" s="176" t="s">
        <v>461</v>
      </c>
      <c r="I388" s="176">
        <v>8</v>
      </c>
      <c r="J388" s="900" t="s">
        <v>2755</v>
      </c>
      <c r="K388" s="164" t="s">
        <v>13688</v>
      </c>
      <c r="L388" s="164" t="s">
        <v>461</v>
      </c>
      <c r="M388" s="164"/>
      <c r="N388" s="164"/>
      <c r="O388" s="164"/>
      <c r="P388" s="173"/>
      <c r="Q388" s="164" t="s">
        <v>13674</v>
      </c>
      <c r="R388" s="177" t="s">
        <v>13703</v>
      </c>
      <c r="S388" s="354"/>
      <c r="T388" s="173"/>
      <c r="U388" s="173" t="s">
        <v>2597</v>
      </c>
      <c r="V388" s="173"/>
      <c r="W388" s="313" t="s">
        <v>13748</v>
      </c>
      <c r="X388" s="645" t="s">
        <v>12315</v>
      </c>
      <c r="Y388" s="354" t="s">
        <v>6000</v>
      </c>
      <c r="Z388" s="157"/>
      <c r="AA388" s="176"/>
      <c r="AB388" s="32">
        <f t="shared" ca="1" si="7"/>
        <v>0.47762236895075383</v>
      </c>
      <c r="AC388" s="812"/>
      <c r="AD388" s="763" t="s">
        <v>16746</v>
      </c>
      <c r="AE388" s="807"/>
      <c r="AF388" s="921">
        <f>IF(X388=X387,AF387,0)+IF(ISNUMBER(I388),IF(I388&lt;1,I388,I388*VLOOKUP(J388,Summary!$H$2:$I$9,2)),VLOOKUP(J388,Summary!$J$2:$K$9,2)*IF(ISNUMBER(H388),H388,1))</f>
        <v>0.51409722222222221</v>
      </c>
      <c r="AG388" s="289">
        <v>387</v>
      </c>
      <c r="AH388" s="94"/>
      <c r="AI388" s="94"/>
    </row>
    <row r="389" spans="1:35" s="22" customFormat="1" ht="12" customHeight="1" x14ac:dyDescent="0.25">
      <c r="A389" s="410">
        <v>5</v>
      </c>
      <c r="B389" s="410" t="s">
        <v>2650</v>
      </c>
      <c r="C389" s="410"/>
      <c r="D389" s="176" t="s">
        <v>14423</v>
      </c>
      <c r="E389" s="313" t="s">
        <v>13715</v>
      </c>
      <c r="F389" s="175">
        <v>42437</v>
      </c>
      <c r="G389" s="181"/>
      <c r="H389" s="176" t="s">
        <v>461</v>
      </c>
      <c r="I389" s="176">
        <v>20</v>
      </c>
      <c r="J389" s="900" t="s">
        <v>2755</v>
      </c>
      <c r="K389" s="164" t="s">
        <v>13719</v>
      </c>
      <c r="L389" s="164" t="s">
        <v>461</v>
      </c>
      <c r="M389" s="164"/>
      <c r="N389" s="164"/>
      <c r="O389" s="164"/>
      <c r="P389" s="173"/>
      <c r="Q389" s="164" t="s">
        <v>13674</v>
      </c>
      <c r="R389" s="177" t="s">
        <v>13703</v>
      </c>
      <c r="S389" s="354"/>
      <c r="T389" s="173"/>
      <c r="U389" s="173" t="s">
        <v>2597</v>
      </c>
      <c r="V389" s="173"/>
      <c r="W389" s="313" t="s">
        <v>13715</v>
      </c>
      <c r="X389" s="645" t="s">
        <v>12315</v>
      </c>
      <c r="Y389" s="354" t="s">
        <v>6000</v>
      </c>
      <c r="Z389" s="157"/>
      <c r="AA389" s="176"/>
      <c r="AB389" s="32">
        <f t="shared" ca="1" si="7"/>
        <v>0.14660372901914265</v>
      </c>
      <c r="AC389" s="812"/>
      <c r="AD389" s="763" t="s">
        <v>16746</v>
      </c>
      <c r="AE389" s="807"/>
      <c r="AF389" s="921">
        <f>IF(X389=X388,AF388,0)+IF(ISNUMBER(I389),IF(I389&lt;1,I389,I389*VLOOKUP(J389,Summary!$H$2:$I$9,2)),VLOOKUP(J389,Summary!$J$2:$K$9,2)*IF(ISNUMBER(H389),H389,1))</f>
        <v>0.52798611111111104</v>
      </c>
      <c r="AG389" s="289">
        <v>388</v>
      </c>
      <c r="AH389" s="94"/>
      <c r="AI389" s="94"/>
    </row>
    <row r="390" spans="1:35" s="22" customFormat="1" ht="12" customHeight="1" x14ac:dyDescent="0.2">
      <c r="A390" s="443" t="s">
        <v>4051</v>
      </c>
      <c r="B390" s="443">
        <v>2</v>
      </c>
      <c r="C390" s="443">
        <v>39</v>
      </c>
      <c r="D390" s="426" t="s">
        <v>126</v>
      </c>
      <c r="E390" s="427" t="s">
        <v>127</v>
      </c>
      <c r="F390" s="203">
        <v>24787</v>
      </c>
      <c r="G390" s="203">
        <v>24822</v>
      </c>
      <c r="H390" s="204">
        <v>6</v>
      </c>
      <c r="I390" s="791">
        <f>TIME(0,24,21)+TIME(0,24,10)+TIME(0,23,58)+TIME(0,24,23)+TIME(0,24,25)+TIME(0,23,58)</f>
        <v>0.10086805555555557</v>
      </c>
      <c r="J390" s="905" t="s">
        <v>1588</v>
      </c>
      <c r="K390" s="205" t="s">
        <v>5434</v>
      </c>
      <c r="L390" s="205" t="s">
        <v>3233</v>
      </c>
      <c r="M390" s="205"/>
      <c r="N390" s="205" t="s">
        <v>125</v>
      </c>
      <c r="O390" s="205" t="s">
        <v>5416</v>
      </c>
      <c r="P390" s="202" t="s">
        <v>461</v>
      </c>
      <c r="Q390" s="205" t="s">
        <v>3946</v>
      </c>
      <c r="R390" s="206" t="s">
        <v>5280</v>
      </c>
      <c r="S390" s="391" t="s">
        <v>2596</v>
      </c>
      <c r="T390" s="202" t="s">
        <v>2595</v>
      </c>
      <c r="U390" s="202"/>
      <c r="V390" s="202"/>
      <c r="W390" s="320" t="s">
        <v>9615</v>
      </c>
      <c r="X390" s="652" t="s">
        <v>12315</v>
      </c>
      <c r="Y390" s="359" t="s">
        <v>6141</v>
      </c>
      <c r="Z390" s="360">
        <v>185</v>
      </c>
      <c r="AA390" s="360">
        <v>5</v>
      </c>
      <c r="AB390" s="36">
        <f t="shared" ca="1" si="7"/>
        <v>0.18418208697158123</v>
      </c>
      <c r="AC390" s="822"/>
      <c r="AD390" s="823" t="s">
        <v>16423</v>
      </c>
      <c r="AE390" s="947" t="s">
        <v>16425</v>
      </c>
      <c r="AF390" s="926">
        <f>IF(X390=X389,AF389,0)+IF(ISNUMBER(I390),IF(I390&lt;1,I390,I390*VLOOKUP(J390,Summary!$H$2:$I$9,2)),VLOOKUP(J390,Summary!$J$2:$K$9,2)*IF(ISNUMBER(H390),H390,1))</f>
        <v>0.6288541666666666</v>
      </c>
      <c r="AG390" s="294">
        <v>389</v>
      </c>
      <c r="AH390" s="94"/>
      <c r="AI390" s="94"/>
    </row>
    <row r="391" spans="1:35" s="22" customFormat="1" ht="12" customHeight="1" x14ac:dyDescent="0.2">
      <c r="A391" s="451">
        <v>5</v>
      </c>
      <c r="B391" s="451">
        <v>2</v>
      </c>
      <c r="C391" s="453">
        <v>2.2999999999999998</v>
      </c>
      <c r="D391" s="407" t="s">
        <v>10028</v>
      </c>
      <c r="E391" s="315" t="s">
        <v>10168</v>
      </c>
      <c r="F391" s="196">
        <v>42325</v>
      </c>
      <c r="G391" s="170"/>
      <c r="H391" s="170">
        <v>4</v>
      </c>
      <c r="I391" s="746">
        <f>TIME(1,55,19)</f>
        <v>8.0081018518518524E-2</v>
      </c>
      <c r="J391" s="899" t="s">
        <v>4706</v>
      </c>
      <c r="K391" s="167" t="s">
        <v>5664</v>
      </c>
      <c r="L391" s="167" t="s">
        <v>5662</v>
      </c>
      <c r="M391" s="167"/>
      <c r="N391" s="167"/>
      <c r="O391" s="167"/>
      <c r="P391" s="168" t="s">
        <v>10029</v>
      </c>
      <c r="Q391" s="167" t="s">
        <v>3947</v>
      </c>
      <c r="R391" s="172" t="s">
        <v>8512</v>
      </c>
      <c r="S391" s="388" t="s">
        <v>2596</v>
      </c>
      <c r="T391" s="168" t="s">
        <v>2595</v>
      </c>
      <c r="U391" s="168"/>
      <c r="V391" s="168"/>
      <c r="W391" s="312" t="s">
        <v>12560</v>
      </c>
      <c r="X391" s="644" t="s">
        <v>12315</v>
      </c>
      <c r="Y391" s="352" t="s">
        <v>5643</v>
      </c>
      <c r="Z391" s="353">
        <v>330</v>
      </c>
      <c r="AA391" s="353">
        <v>5</v>
      </c>
      <c r="AB391" s="31">
        <f t="shared" ca="1" si="7"/>
        <v>0.33203549643679797</v>
      </c>
      <c r="AC391" s="810"/>
      <c r="AD391" s="811"/>
      <c r="AE391" s="940"/>
      <c r="AF391" s="920">
        <f>IF(X391=X390,AF390,0)+IF(ISNUMBER(I391),IF(I391&lt;1,I391,I391*VLOOKUP(J391,Summary!$H$2:$I$9,2)),VLOOKUP(J391,Summary!$J$2:$K$9,2)*IF(ISNUMBER(H391),H391,1))</f>
        <v>0.70893518518518517</v>
      </c>
      <c r="AG391" s="287">
        <v>390</v>
      </c>
      <c r="AH391" s="94"/>
      <c r="AI391" s="94"/>
    </row>
    <row r="392" spans="1:35" s="1" customFormat="1" ht="12" customHeight="1" x14ac:dyDescent="0.25">
      <c r="A392" s="444">
        <v>5</v>
      </c>
      <c r="B392" s="444">
        <v>2</v>
      </c>
      <c r="C392" s="445">
        <v>13.13</v>
      </c>
      <c r="D392" s="176" t="s">
        <v>1943</v>
      </c>
      <c r="E392" s="313" t="s">
        <v>1944</v>
      </c>
      <c r="F392" s="174">
        <v>38261</v>
      </c>
      <c r="G392" s="174"/>
      <c r="H392" s="176">
        <v>1</v>
      </c>
      <c r="I392" s="176">
        <v>12</v>
      </c>
      <c r="J392" s="900" t="s">
        <v>2755</v>
      </c>
      <c r="K392" s="164" t="s">
        <v>4552</v>
      </c>
      <c r="L392" s="164" t="s">
        <v>461</v>
      </c>
      <c r="M392" s="164"/>
      <c r="N392" s="164" t="s">
        <v>4996</v>
      </c>
      <c r="O392" s="164"/>
      <c r="P392" s="173" t="s">
        <v>1945</v>
      </c>
      <c r="Q392" s="164" t="s">
        <v>3947</v>
      </c>
      <c r="R392" s="177" t="s">
        <v>2723</v>
      </c>
      <c r="S392" s="354" t="s">
        <v>2596</v>
      </c>
      <c r="T392" s="173" t="s">
        <v>2595</v>
      </c>
      <c r="U392" s="173">
        <v>6</v>
      </c>
      <c r="V392" s="173" t="s">
        <v>7313</v>
      </c>
      <c r="W392" s="313" t="s">
        <v>1944</v>
      </c>
      <c r="X392" s="645" t="s">
        <v>12315</v>
      </c>
      <c r="Y392" s="354"/>
      <c r="Z392" s="176"/>
      <c r="AA392" s="176"/>
      <c r="AB392" s="32">
        <f t="shared" ca="1" si="7"/>
        <v>7.2625026835124618E-2</v>
      </c>
      <c r="AC392" s="812"/>
      <c r="AD392" s="763" t="s">
        <v>16884</v>
      </c>
      <c r="AE392" s="807"/>
      <c r="AF392" s="921">
        <f>IF(X392=X391,AF391,0)+IF(ISNUMBER(I392),IF(I392&lt;1,I392,I392*VLOOKUP(J392,Summary!$H$2:$I$9,2)),VLOOKUP(J392,Summary!$J$2:$K$9,2)*IF(ISNUMBER(H392),H392,1))</f>
        <v>0.71726851851851847</v>
      </c>
      <c r="AG392" s="289">
        <v>391</v>
      </c>
      <c r="AH392" s="94"/>
      <c r="AI392" s="94"/>
    </row>
    <row r="393" spans="1:35" s="22" customFormat="1" ht="12" customHeight="1" x14ac:dyDescent="0.25">
      <c r="A393" s="446" t="s">
        <v>4051</v>
      </c>
      <c r="B393" s="446">
        <v>2</v>
      </c>
      <c r="C393" s="446">
        <v>14</v>
      </c>
      <c r="D393" s="417" t="s">
        <v>128</v>
      </c>
      <c r="E393" s="316" t="s">
        <v>129</v>
      </c>
      <c r="F393" s="195">
        <v>36010</v>
      </c>
      <c r="G393" s="188"/>
      <c r="H393" s="188" t="s">
        <v>461</v>
      </c>
      <c r="I393" s="188">
        <v>288</v>
      </c>
      <c r="J393" s="902" t="s">
        <v>6868</v>
      </c>
      <c r="K393" s="162" t="s">
        <v>543</v>
      </c>
      <c r="L393" s="162" t="s">
        <v>461</v>
      </c>
      <c r="M393" s="162"/>
      <c r="N393" s="162"/>
      <c r="O393" s="162"/>
      <c r="P393" s="178" t="s">
        <v>8939</v>
      </c>
      <c r="Q393" s="162" t="s">
        <v>3953</v>
      </c>
      <c r="R393" s="189" t="s">
        <v>2717</v>
      </c>
      <c r="S393" s="366" t="s">
        <v>2596</v>
      </c>
      <c r="T393" s="178" t="s">
        <v>2595</v>
      </c>
      <c r="U393" s="178"/>
      <c r="V393" s="178"/>
      <c r="W393" s="316" t="s">
        <v>129</v>
      </c>
      <c r="X393" s="648" t="s">
        <v>12315</v>
      </c>
      <c r="Y393" s="356" t="s">
        <v>6868</v>
      </c>
      <c r="Z393" s="272"/>
      <c r="AA393" s="272"/>
      <c r="AB393" s="34">
        <f t="shared" ca="1" si="7"/>
        <v>0.54137420040216266</v>
      </c>
      <c r="AC393" s="814"/>
      <c r="AD393" s="815"/>
      <c r="AE393" s="942"/>
      <c r="AF393" s="923">
        <f>IF(X393=X392,AF392,0)+IF(ISNUMBER(I393),IF(I393&lt;1,I393,I393*VLOOKUP(J393,Summary!$H$2:$I$9,2)),VLOOKUP(J393,Summary!$J$2:$K$9,2)*IF(ISNUMBER(H393),H393,1))</f>
        <v>0.91726851851851854</v>
      </c>
      <c r="AG393" s="291">
        <v>392</v>
      </c>
      <c r="AH393" s="94"/>
      <c r="AI393" s="94"/>
    </row>
    <row r="394" spans="1:35" s="120" customFormat="1" ht="12" customHeight="1" x14ac:dyDescent="0.25">
      <c r="A394" s="446" t="s">
        <v>4051</v>
      </c>
      <c r="B394" s="446">
        <v>2</v>
      </c>
      <c r="C394" s="446">
        <v>55</v>
      </c>
      <c r="D394" s="417" t="s">
        <v>130</v>
      </c>
      <c r="E394" s="316" t="s">
        <v>131</v>
      </c>
      <c r="F394" s="195">
        <v>37439</v>
      </c>
      <c r="G394" s="188"/>
      <c r="H394" s="188" t="s">
        <v>461</v>
      </c>
      <c r="I394" s="188">
        <v>288</v>
      </c>
      <c r="J394" s="902" t="s">
        <v>6868</v>
      </c>
      <c r="K394" s="162" t="s">
        <v>544</v>
      </c>
      <c r="L394" s="162" t="s">
        <v>461</v>
      </c>
      <c r="M394" s="162"/>
      <c r="N394" s="162"/>
      <c r="O394" s="162"/>
      <c r="P394" s="178" t="s">
        <v>8979</v>
      </c>
      <c r="Q394" s="162" t="s">
        <v>3953</v>
      </c>
      <c r="R394" s="189" t="s">
        <v>2717</v>
      </c>
      <c r="S394" s="366" t="s">
        <v>2596</v>
      </c>
      <c r="T394" s="178" t="s">
        <v>2595</v>
      </c>
      <c r="U394" s="178"/>
      <c r="V394" s="178"/>
      <c r="W394" s="316" t="s">
        <v>131</v>
      </c>
      <c r="X394" s="648" t="s">
        <v>12315</v>
      </c>
      <c r="Y394" s="356"/>
      <c r="Z394" s="272"/>
      <c r="AA394" s="272"/>
      <c r="AB394" s="34">
        <f t="shared" ca="1" si="7"/>
        <v>0.42796772434253594</v>
      </c>
      <c r="AC394" s="814"/>
      <c r="AD394" s="815" t="s">
        <v>16446</v>
      </c>
      <c r="AE394" s="942" t="s">
        <v>3365</v>
      </c>
      <c r="AF394" s="923">
        <f>IF(X394=X393,AF393,0)+IF(ISNUMBER(I394),IF(I394&lt;1,I394,I394*VLOOKUP(J394,Summary!$H$2:$I$9,2)),VLOOKUP(J394,Summary!$J$2:$K$9,2)*IF(ISNUMBER(H394),H394,1))</f>
        <v>1.1172685185185185</v>
      </c>
      <c r="AG394" s="291">
        <v>393</v>
      </c>
      <c r="AH394" s="94"/>
      <c r="AI394" s="94"/>
    </row>
    <row r="395" spans="1:35" s="2" customFormat="1" ht="12" customHeight="1" x14ac:dyDescent="0.25">
      <c r="A395" s="444">
        <v>5</v>
      </c>
      <c r="B395" s="444">
        <v>2</v>
      </c>
      <c r="C395" s="445">
        <v>6.04</v>
      </c>
      <c r="D395" s="176" t="s">
        <v>1949</v>
      </c>
      <c r="E395" s="313" t="s">
        <v>1950</v>
      </c>
      <c r="F395" s="174">
        <v>37773</v>
      </c>
      <c r="G395" s="174"/>
      <c r="H395" s="176">
        <v>1</v>
      </c>
      <c r="I395" s="176">
        <v>10</v>
      </c>
      <c r="J395" s="900" t="s">
        <v>2755</v>
      </c>
      <c r="K395" s="164" t="s">
        <v>1951</v>
      </c>
      <c r="L395" s="164" t="s">
        <v>461</v>
      </c>
      <c r="M395" s="164"/>
      <c r="N395" s="164" t="s">
        <v>4996</v>
      </c>
      <c r="O395" s="164"/>
      <c r="P395" s="173" t="s">
        <v>4997</v>
      </c>
      <c r="Q395" s="164" t="s">
        <v>3947</v>
      </c>
      <c r="R395" s="177" t="s">
        <v>2723</v>
      </c>
      <c r="S395" s="354" t="s">
        <v>2596</v>
      </c>
      <c r="T395" s="173" t="s">
        <v>2595</v>
      </c>
      <c r="U395" s="173"/>
      <c r="V395" s="173"/>
      <c r="W395" s="313" t="s">
        <v>1950</v>
      </c>
      <c r="X395" s="645" t="s">
        <v>12315</v>
      </c>
      <c r="Y395" s="354"/>
      <c r="Z395" s="176">
        <v>999</v>
      </c>
      <c r="AA395" s="176"/>
      <c r="AB395" s="32">
        <f t="shared" ca="1" si="7"/>
        <v>0.87723462954590847</v>
      </c>
      <c r="AC395" s="812"/>
      <c r="AD395" s="763"/>
      <c r="AE395" s="807"/>
      <c r="AF395" s="921">
        <f>IF(X395=X394,AF394,0)+IF(ISNUMBER(I395),IF(I395&lt;1,I395,I395*VLOOKUP(J395,Summary!$H$2:$I$9,2)),VLOOKUP(J395,Summary!$J$2:$K$9,2)*IF(ISNUMBER(H395),H395,1))</f>
        <v>1.1242129629629629</v>
      </c>
      <c r="AG395" s="289">
        <v>394</v>
      </c>
      <c r="AH395" s="94"/>
      <c r="AI395" s="94"/>
    </row>
    <row r="396" spans="1:35" s="22" customFormat="1" ht="12" customHeight="1" x14ac:dyDescent="0.25">
      <c r="A396" s="444">
        <v>5</v>
      </c>
      <c r="B396" s="444">
        <v>2</v>
      </c>
      <c r="C396" s="445">
        <v>11.11</v>
      </c>
      <c r="D396" s="176" t="s">
        <v>1954</v>
      </c>
      <c r="E396" s="313" t="s">
        <v>1955</v>
      </c>
      <c r="F396" s="174">
        <v>38200</v>
      </c>
      <c r="G396" s="174"/>
      <c r="H396" s="176">
        <v>1</v>
      </c>
      <c r="I396" s="176">
        <v>18</v>
      </c>
      <c r="J396" s="900" t="s">
        <v>2755</v>
      </c>
      <c r="K396" s="164" t="s">
        <v>1956</v>
      </c>
      <c r="L396" s="164" t="s">
        <v>461</v>
      </c>
      <c r="M396" s="164"/>
      <c r="N396" s="164" t="s">
        <v>7375</v>
      </c>
      <c r="O396" s="164"/>
      <c r="P396" s="173" t="s">
        <v>2559</v>
      </c>
      <c r="Q396" s="164" t="s">
        <v>3947</v>
      </c>
      <c r="R396" s="177" t="s">
        <v>2723</v>
      </c>
      <c r="S396" s="354" t="s">
        <v>2596</v>
      </c>
      <c r="T396" s="173" t="s">
        <v>2595</v>
      </c>
      <c r="U396" s="173"/>
      <c r="V396" s="173"/>
      <c r="W396" s="313" t="s">
        <v>1955</v>
      </c>
      <c r="X396" s="645" t="s">
        <v>12315</v>
      </c>
      <c r="Y396" s="354"/>
      <c r="Z396" s="176">
        <v>999</v>
      </c>
      <c r="AA396" s="176"/>
      <c r="AB396" s="32">
        <f t="shared" ca="1" si="7"/>
        <v>0.99400629855865719</v>
      </c>
      <c r="AC396" s="812"/>
      <c r="AD396" s="763" t="s">
        <v>16885</v>
      </c>
      <c r="AE396" s="807"/>
      <c r="AF396" s="921">
        <f>IF(X396=X395,AF395,0)+IF(ISNUMBER(I396),IF(I396&lt;1,I396,I396*VLOOKUP(J396,Summary!$H$2:$I$9,2)),VLOOKUP(J396,Summary!$J$2:$K$9,2)*IF(ISNUMBER(H396),H396,1))</f>
        <v>1.1367129629629629</v>
      </c>
      <c r="AG396" s="289">
        <v>395</v>
      </c>
      <c r="AH396" s="94"/>
      <c r="AI396" s="94"/>
    </row>
    <row r="397" spans="1:35" s="22" customFormat="1" ht="12" customHeight="1" x14ac:dyDescent="0.25">
      <c r="A397" s="444">
        <v>5</v>
      </c>
      <c r="B397" s="444">
        <v>2</v>
      </c>
      <c r="C397" s="445">
        <v>18.23</v>
      </c>
      <c r="D397" s="176" t="s">
        <v>1957</v>
      </c>
      <c r="E397" s="313" t="s">
        <v>1958</v>
      </c>
      <c r="F397" s="174">
        <v>38687</v>
      </c>
      <c r="G397" s="174"/>
      <c r="H397" s="176">
        <v>1</v>
      </c>
      <c r="I397" s="176">
        <v>6</v>
      </c>
      <c r="J397" s="900" t="s">
        <v>2755</v>
      </c>
      <c r="K397" s="164" t="s">
        <v>4944</v>
      </c>
      <c r="L397" s="164" t="s">
        <v>461</v>
      </c>
      <c r="M397" s="164"/>
      <c r="N397" s="164" t="s">
        <v>5664</v>
      </c>
      <c r="O397" s="164"/>
      <c r="P397" s="173" t="s">
        <v>5000</v>
      </c>
      <c r="Q397" s="164" t="s">
        <v>3947</v>
      </c>
      <c r="R397" s="177" t="s">
        <v>2723</v>
      </c>
      <c r="S397" s="354" t="s">
        <v>2596</v>
      </c>
      <c r="T397" s="173" t="s">
        <v>2595</v>
      </c>
      <c r="U397" s="173"/>
      <c r="V397" s="173"/>
      <c r="W397" s="313" t="s">
        <v>1958</v>
      </c>
      <c r="X397" s="645" t="s">
        <v>12315</v>
      </c>
      <c r="Y397" s="354"/>
      <c r="Z397" s="176"/>
      <c r="AA397" s="176"/>
      <c r="AB397" s="32">
        <f t="shared" ca="1" si="7"/>
        <v>0.45397321791741529</v>
      </c>
      <c r="AC397" s="812"/>
      <c r="AD397" s="763"/>
      <c r="AE397" s="807"/>
      <c r="AF397" s="921">
        <f>IF(X397=X396,AF396,0)+IF(ISNUMBER(I397),IF(I397&lt;1,I397,I397*VLOOKUP(J397,Summary!$H$2:$I$9,2)),VLOOKUP(J397,Summary!$J$2:$K$9,2)*IF(ISNUMBER(H397),H397,1))</f>
        <v>1.1408796296296295</v>
      </c>
      <c r="AG397" s="289">
        <v>396</v>
      </c>
      <c r="AH397" s="94"/>
      <c r="AI397" s="94"/>
    </row>
    <row r="398" spans="1:35" s="22" customFormat="1" ht="12" customHeight="1" x14ac:dyDescent="0.25">
      <c r="A398" s="444">
        <v>5</v>
      </c>
      <c r="B398" s="444">
        <v>2</v>
      </c>
      <c r="C398" s="445">
        <v>27.1</v>
      </c>
      <c r="D398" s="176" t="s">
        <v>1959</v>
      </c>
      <c r="E398" s="313" t="s">
        <v>1960</v>
      </c>
      <c r="F398" s="174">
        <v>39569</v>
      </c>
      <c r="G398" s="174"/>
      <c r="H398" s="176" t="s">
        <v>461</v>
      </c>
      <c r="I398" s="176">
        <v>18</v>
      </c>
      <c r="J398" s="900" t="s">
        <v>2755</v>
      </c>
      <c r="K398" s="164" t="s">
        <v>1961</v>
      </c>
      <c r="L398" s="164" t="s">
        <v>461</v>
      </c>
      <c r="M398" s="164"/>
      <c r="N398" s="164" t="s">
        <v>7621</v>
      </c>
      <c r="O398" s="164"/>
      <c r="P398" s="173" t="s">
        <v>6705</v>
      </c>
      <c r="Q398" s="164" t="s">
        <v>3947</v>
      </c>
      <c r="R398" s="177" t="s">
        <v>2723</v>
      </c>
      <c r="S398" s="354" t="s">
        <v>2596</v>
      </c>
      <c r="T398" s="173" t="s">
        <v>2595</v>
      </c>
      <c r="U398" s="173"/>
      <c r="V398" s="173"/>
      <c r="W398" s="313" t="s">
        <v>1960</v>
      </c>
      <c r="X398" s="645" t="s">
        <v>12315</v>
      </c>
      <c r="Y398" s="354"/>
      <c r="Z398" s="176"/>
      <c r="AA398" s="176"/>
      <c r="AB398" s="32">
        <f t="shared" ca="1" si="7"/>
        <v>0.63533879029235318</v>
      </c>
      <c r="AC398" s="812"/>
      <c r="AD398" s="763" t="s">
        <v>16886</v>
      </c>
      <c r="AE398" s="807"/>
      <c r="AF398" s="921">
        <f>IF(X398=X397,AF397,0)+IF(ISNUMBER(I398),IF(I398&lt;1,I398,I398*VLOOKUP(J398,Summary!$H$2:$I$9,2)),VLOOKUP(J398,Summary!$J$2:$K$9,2)*IF(ISNUMBER(H398),H398,1))</f>
        <v>1.1533796296296295</v>
      </c>
      <c r="AG398" s="289">
        <v>397</v>
      </c>
      <c r="AH398" s="94"/>
      <c r="AI398" s="94"/>
    </row>
    <row r="399" spans="1:35" s="22" customFormat="1" ht="12" customHeight="1" x14ac:dyDescent="0.2">
      <c r="A399" s="451">
        <v>5</v>
      </c>
      <c r="B399" s="451">
        <v>2</v>
      </c>
      <c r="C399" s="453">
        <v>10.199999999999999</v>
      </c>
      <c r="D399" s="407" t="s">
        <v>10210</v>
      </c>
      <c r="E399" s="315" t="s">
        <v>10211</v>
      </c>
      <c r="F399" s="196">
        <v>42544</v>
      </c>
      <c r="G399" s="170"/>
      <c r="H399" s="170">
        <v>2</v>
      </c>
      <c r="I399" s="746">
        <f>TIME(1,2,13)</f>
        <v>4.3206018518518519E-2</v>
      </c>
      <c r="J399" s="899" t="s">
        <v>4706</v>
      </c>
      <c r="K399" s="167" t="s">
        <v>5195</v>
      </c>
      <c r="L399" s="167" t="s">
        <v>5662</v>
      </c>
      <c r="M399" s="167"/>
      <c r="N399" s="167"/>
      <c r="O399" s="167"/>
      <c r="P399" s="168" t="s">
        <v>10209</v>
      </c>
      <c r="Q399" s="167" t="s">
        <v>3947</v>
      </c>
      <c r="R399" s="172" t="s">
        <v>3153</v>
      </c>
      <c r="S399" s="388" t="s">
        <v>2596</v>
      </c>
      <c r="T399" s="168" t="s">
        <v>2595</v>
      </c>
      <c r="U399" s="168"/>
      <c r="V399" s="168"/>
      <c r="W399" s="312" t="s">
        <v>10357</v>
      </c>
      <c r="X399" s="644" t="s">
        <v>12315</v>
      </c>
      <c r="Y399" s="352" t="s">
        <v>5643</v>
      </c>
      <c r="Z399" s="353">
        <v>468</v>
      </c>
      <c r="AA399" s="353">
        <v>4.5</v>
      </c>
      <c r="AB399" s="31">
        <f t="shared" ca="1" si="7"/>
        <v>0.7425567145981804</v>
      </c>
      <c r="AC399" s="810"/>
      <c r="AD399" s="811"/>
      <c r="AE399" s="940"/>
      <c r="AF399" s="920">
        <f>IF(X399=X398,AF398,0)+IF(ISNUMBER(I399),IF(I399&lt;1,I399,I399*VLOOKUP(J399,Summary!$H$2:$I$9,2)),VLOOKUP(J399,Summary!$J$2:$K$9,2)*IF(ISNUMBER(H399),H399,1))</f>
        <v>1.1965856481481481</v>
      </c>
      <c r="AG399" s="287">
        <v>398</v>
      </c>
      <c r="AH399" s="94"/>
      <c r="AI399" s="94"/>
    </row>
    <row r="400" spans="1:35" s="1" customFormat="1" ht="12" customHeight="1" x14ac:dyDescent="0.25">
      <c r="A400" s="454" t="s">
        <v>4051</v>
      </c>
      <c r="B400" s="454">
        <v>2</v>
      </c>
      <c r="C400" s="454">
        <v>40</v>
      </c>
      <c r="D400" s="424" t="s">
        <v>132</v>
      </c>
      <c r="E400" s="319" t="s">
        <v>1883</v>
      </c>
      <c r="F400" s="198">
        <v>24829</v>
      </c>
      <c r="G400" s="198">
        <v>24864</v>
      </c>
      <c r="H400" s="199">
        <v>6</v>
      </c>
      <c r="I400" s="791">
        <f>TIME(0,23,45)+TIME(0,23,48)+TIME(0,23, 5)+TIME(0,23,46)+TIME(0,24,22)+TIME(0,21,41)</f>
        <v>9.7534722222222231E-2</v>
      </c>
      <c r="J400" s="904" t="s">
        <v>1588</v>
      </c>
      <c r="K400" s="200" t="s">
        <v>6145</v>
      </c>
      <c r="L400" s="200" t="s">
        <v>1884</v>
      </c>
      <c r="M400" s="200"/>
      <c r="N400" s="200" t="s">
        <v>125</v>
      </c>
      <c r="O400" s="200" t="s">
        <v>5416</v>
      </c>
      <c r="P400" s="197" t="s">
        <v>461</v>
      </c>
      <c r="Q400" s="200" t="s">
        <v>3946</v>
      </c>
      <c r="R400" s="201" t="s">
        <v>5280</v>
      </c>
      <c r="S400" s="390" t="s">
        <v>2596</v>
      </c>
      <c r="T400" s="197" t="s">
        <v>2595</v>
      </c>
      <c r="U400" s="197"/>
      <c r="V400" s="197"/>
      <c r="W400" s="318" t="s">
        <v>8675</v>
      </c>
      <c r="X400" s="650" t="s">
        <v>12315</v>
      </c>
      <c r="Y400" s="358" t="s">
        <v>6141</v>
      </c>
      <c r="Z400" s="253">
        <v>59</v>
      </c>
      <c r="AA400" s="253">
        <v>8</v>
      </c>
      <c r="AB400" s="35">
        <f t="shared" ca="1" si="7"/>
        <v>0.3578857100406122</v>
      </c>
      <c r="AC400" s="820"/>
      <c r="AD400" s="821" t="s">
        <v>15903</v>
      </c>
      <c r="AE400" s="944" t="s">
        <v>3365</v>
      </c>
      <c r="AF400" s="925">
        <f>IF(X400=X399,AF399,0)+IF(ISNUMBER(I400),IF(I400&lt;1,I400,I400*VLOOKUP(J400,Summary!$H$2:$I$9,2)),VLOOKUP(J400,Summary!$J$2:$K$9,2)*IF(ISNUMBER(H400),H400,1))</f>
        <v>1.2941203703703703</v>
      </c>
      <c r="AG400" s="293">
        <v>399</v>
      </c>
      <c r="AH400" s="94"/>
      <c r="AI400" s="94"/>
    </row>
    <row r="401" spans="1:35" s="22" customFormat="1" ht="12" customHeight="1" x14ac:dyDescent="0.25">
      <c r="A401" s="410">
        <v>5</v>
      </c>
      <c r="B401" s="410" t="s">
        <v>2650</v>
      </c>
      <c r="C401" s="410">
        <v>0</v>
      </c>
      <c r="D401" s="176" t="s">
        <v>14426</v>
      </c>
      <c r="E401" s="313" t="s">
        <v>13707</v>
      </c>
      <c r="F401" s="174">
        <v>42064</v>
      </c>
      <c r="G401" s="181"/>
      <c r="H401" s="176" t="s">
        <v>461</v>
      </c>
      <c r="I401" s="176"/>
      <c r="J401" s="900" t="s">
        <v>2755</v>
      </c>
      <c r="K401" s="164" t="s">
        <v>13688</v>
      </c>
      <c r="L401" s="164" t="s">
        <v>6043</v>
      </c>
      <c r="M401" s="164"/>
      <c r="N401" s="164"/>
      <c r="O401" s="164"/>
      <c r="P401" s="173"/>
      <c r="Q401" s="164" t="s">
        <v>4104</v>
      </c>
      <c r="R401" s="177" t="s">
        <v>13703</v>
      </c>
      <c r="S401" s="354"/>
      <c r="T401" s="173"/>
      <c r="U401" s="173" t="s">
        <v>2597</v>
      </c>
      <c r="V401" s="173"/>
      <c r="W401" s="313" t="s">
        <v>13707</v>
      </c>
      <c r="X401" s="645" t="s">
        <v>12315</v>
      </c>
      <c r="Y401" s="354"/>
      <c r="Z401" s="157"/>
      <c r="AA401" s="176"/>
      <c r="AB401" s="32">
        <f t="shared" ca="1" si="7"/>
        <v>0.81180668112994281</v>
      </c>
      <c r="AC401" s="812"/>
      <c r="AD401" s="763" t="s">
        <v>16887</v>
      </c>
      <c r="AE401" s="807"/>
      <c r="AF401" s="921">
        <f>IF(X401=X400,AF400,0)+IF(ISNUMBER(I401),IF(I401&lt;1,I401,I401*VLOOKUP(J401,Summary!$H$2:$I$9,2)),VLOOKUP(J401,Summary!$J$2:$K$9,2)*IF(ISNUMBER(H401),H401,1))</f>
        <v>1.3114814814814815</v>
      </c>
      <c r="AG401" s="289">
        <v>400</v>
      </c>
      <c r="AH401" s="94"/>
      <c r="AI401" s="94"/>
    </row>
    <row r="402" spans="1:35" s="22" customFormat="1" ht="12" customHeight="1" x14ac:dyDescent="0.2">
      <c r="A402" s="405">
        <v>5</v>
      </c>
      <c r="B402" s="406" t="s">
        <v>2650</v>
      </c>
      <c r="C402" s="405">
        <v>6.2</v>
      </c>
      <c r="D402" s="407" t="s">
        <v>15778</v>
      </c>
      <c r="E402" s="336" t="s">
        <v>15779</v>
      </c>
      <c r="F402" s="196" t="s">
        <v>11072</v>
      </c>
      <c r="G402" s="169"/>
      <c r="H402" s="170">
        <v>1</v>
      </c>
      <c r="I402" s="747">
        <f>TIME(0,60,0)</f>
        <v>4.1666666666666664E-2</v>
      </c>
      <c r="J402" s="899" t="s">
        <v>4706</v>
      </c>
      <c r="K402" s="167" t="s">
        <v>5666</v>
      </c>
      <c r="L402" s="167" t="s">
        <v>2313</v>
      </c>
      <c r="M402" s="167"/>
      <c r="N402" s="167" t="s">
        <v>6452</v>
      </c>
      <c r="O402" s="167" t="s">
        <v>3295</v>
      </c>
      <c r="P402" s="168" t="s">
        <v>15777</v>
      </c>
      <c r="Q402" s="167" t="s">
        <v>3947</v>
      </c>
      <c r="R402" s="172" t="s">
        <v>10102</v>
      </c>
      <c r="S402" s="388"/>
      <c r="T402" s="168"/>
      <c r="U402" s="168" t="s">
        <v>7344</v>
      </c>
      <c r="V402" s="168"/>
      <c r="W402" s="336" t="s">
        <v>15779</v>
      </c>
      <c r="X402" s="644" t="s">
        <v>12315</v>
      </c>
      <c r="Y402" s="352"/>
      <c r="Z402" s="353"/>
      <c r="AA402" s="353"/>
      <c r="AB402" s="31">
        <f t="shared" ca="1" si="7"/>
        <v>0.38425392031458727</v>
      </c>
      <c r="AC402" s="810"/>
      <c r="AD402" s="811"/>
      <c r="AE402" s="945"/>
      <c r="AF402" s="920">
        <f>IF(X402=X401,AF401,0)+IF(ISNUMBER(I402),IF(I402&lt;1,I402,I402*VLOOKUP(J402,Summary!$H$2:$I$9,2)),VLOOKUP(J402,Summary!$J$2:$K$9,2)*IF(ISNUMBER(H402),H402,1))</f>
        <v>1.3531481481481482</v>
      </c>
      <c r="AG402" s="287">
        <v>401</v>
      </c>
      <c r="AH402" s="94"/>
      <c r="AI402" s="94"/>
    </row>
    <row r="403" spans="1:35" s="22" customFormat="1" ht="12" customHeight="1" x14ac:dyDescent="0.2">
      <c r="A403" s="443" t="s">
        <v>4051</v>
      </c>
      <c r="B403" s="443">
        <v>2</v>
      </c>
      <c r="C403" s="443">
        <v>41</v>
      </c>
      <c r="D403" s="426" t="s">
        <v>1885</v>
      </c>
      <c r="E403" s="427" t="s">
        <v>1886</v>
      </c>
      <c r="F403" s="203">
        <v>24871</v>
      </c>
      <c r="G403" s="203">
        <v>24906</v>
      </c>
      <c r="H403" s="204">
        <v>6</v>
      </c>
      <c r="I403" s="791">
        <f>TIME(0,24,53)+TIME(0,24,38)+TIME(0,24,34)+TIME(0,24,50)+TIME(0,24,19)+TIME(0,24,41)</f>
        <v>0.10271990740740741</v>
      </c>
      <c r="J403" s="905" t="s">
        <v>1588</v>
      </c>
      <c r="K403" s="205" t="s">
        <v>123</v>
      </c>
      <c r="L403" s="205" t="s">
        <v>3211</v>
      </c>
      <c r="M403" s="205"/>
      <c r="N403" s="205" t="s">
        <v>6066</v>
      </c>
      <c r="O403" s="205" t="s">
        <v>125</v>
      </c>
      <c r="P403" s="202" t="s">
        <v>461</v>
      </c>
      <c r="Q403" s="205" t="s">
        <v>3946</v>
      </c>
      <c r="R403" s="206" t="s">
        <v>5280</v>
      </c>
      <c r="S403" s="391" t="s">
        <v>2596</v>
      </c>
      <c r="T403" s="202" t="s">
        <v>2595</v>
      </c>
      <c r="U403" s="202" t="s">
        <v>2597</v>
      </c>
      <c r="V403" s="202"/>
      <c r="W403" s="320" t="s">
        <v>10187</v>
      </c>
      <c r="X403" s="652" t="s">
        <v>12315</v>
      </c>
      <c r="Y403" s="359" t="s">
        <v>5398</v>
      </c>
      <c r="Z403" s="199">
        <v>50</v>
      </c>
      <c r="AA403" s="360">
        <v>8.5</v>
      </c>
      <c r="AB403" s="36">
        <f t="shared" ca="1" si="7"/>
        <v>0.4209865962122884</v>
      </c>
      <c r="AC403" s="822"/>
      <c r="AD403" s="823" t="s">
        <v>14949</v>
      </c>
      <c r="AE403" s="947" t="s">
        <v>12549</v>
      </c>
      <c r="AF403" s="926">
        <f>IF(X403=X402,AF402,0)+IF(ISNUMBER(I403),IF(I403&lt;1,I403,I403*VLOOKUP(J403,Summary!$H$2:$I$9,2)),VLOOKUP(J403,Summary!$J$2:$K$9,2)*IF(ISNUMBER(H403),H403,1))</f>
        <v>1.4558680555555557</v>
      </c>
      <c r="AG403" s="294">
        <v>402</v>
      </c>
      <c r="AH403" s="94"/>
      <c r="AI403" s="94"/>
    </row>
    <row r="404" spans="1:35" s="1" customFormat="1" ht="12" customHeight="1" x14ac:dyDescent="0.25">
      <c r="A404" s="444">
        <v>5</v>
      </c>
      <c r="B404" s="444">
        <v>2</v>
      </c>
      <c r="C404" s="445">
        <v>19.02</v>
      </c>
      <c r="D404" s="176" t="s">
        <v>1962</v>
      </c>
      <c r="E404" s="313" t="s">
        <v>1963</v>
      </c>
      <c r="F404" s="174">
        <v>38808</v>
      </c>
      <c r="G404" s="174"/>
      <c r="H404" s="176">
        <v>1</v>
      </c>
      <c r="I404" s="176">
        <v>8</v>
      </c>
      <c r="J404" s="900" t="s">
        <v>2755</v>
      </c>
      <c r="K404" s="164" t="s">
        <v>176</v>
      </c>
      <c r="L404" s="164" t="s">
        <v>461</v>
      </c>
      <c r="M404" s="164"/>
      <c r="N404" s="164" t="s">
        <v>4552</v>
      </c>
      <c r="O404" s="164"/>
      <c r="P404" s="173" t="s">
        <v>5020</v>
      </c>
      <c r="Q404" s="164" t="s">
        <v>3947</v>
      </c>
      <c r="R404" s="177" t="s">
        <v>2723</v>
      </c>
      <c r="S404" s="354"/>
      <c r="T404" s="173" t="s">
        <v>2595</v>
      </c>
      <c r="U404" s="173"/>
      <c r="V404" s="173"/>
      <c r="W404" s="313" t="s">
        <v>1963</v>
      </c>
      <c r="X404" s="645" t="s">
        <v>12315</v>
      </c>
      <c r="Y404" s="354"/>
      <c r="Z404" s="176"/>
      <c r="AA404" s="176"/>
      <c r="AB404" s="32">
        <f t="shared" ca="1" si="7"/>
        <v>0.87127489821918502</v>
      </c>
      <c r="AC404" s="812"/>
      <c r="AD404" s="763" t="s">
        <v>16888</v>
      </c>
      <c r="AE404" s="807"/>
      <c r="AF404" s="921">
        <f>IF(X404=X403,AF403,0)+IF(ISNUMBER(I404),IF(I404&lt;1,I404,I404*VLOOKUP(J404,Summary!$H$2:$I$9,2)),VLOOKUP(J404,Summary!$J$2:$K$9,2)*IF(ISNUMBER(H404),H404,1))</f>
        <v>1.4614236111111112</v>
      </c>
      <c r="AG404" s="289">
        <v>403</v>
      </c>
      <c r="AH404" s="94"/>
      <c r="AI404" s="94"/>
    </row>
    <row r="405" spans="1:35" s="22" customFormat="1" ht="12" customHeight="1" x14ac:dyDescent="0.2">
      <c r="A405" s="447">
        <v>5</v>
      </c>
      <c r="B405" s="447">
        <v>2</v>
      </c>
      <c r="C405" s="447"/>
      <c r="D405" s="185" t="s">
        <v>4334</v>
      </c>
      <c r="E405" s="314" t="s">
        <v>4107</v>
      </c>
      <c r="F405" s="183">
        <v>25082</v>
      </c>
      <c r="G405" s="210"/>
      <c r="H405" s="185">
        <v>1</v>
      </c>
      <c r="I405" s="185">
        <v>7</v>
      </c>
      <c r="J405" s="901" t="s">
        <v>1796</v>
      </c>
      <c r="K405" s="163" t="s">
        <v>552</v>
      </c>
      <c r="L405" s="163" t="s">
        <v>4108</v>
      </c>
      <c r="M405" s="163"/>
      <c r="N405" s="211" t="s">
        <v>7375</v>
      </c>
      <c r="O405" s="163"/>
      <c r="P405" s="182" t="s">
        <v>461</v>
      </c>
      <c r="Q405" s="163" t="s">
        <v>4062</v>
      </c>
      <c r="R405" s="186" t="s">
        <v>5266</v>
      </c>
      <c r="S405" s="355" t="s">
        <v>2596</v>
      </c>
      <c r="T405" s="182" t="s">
        <v>2598</v>
      </c>
      <c r="U405" s="182"/>
      <c r="V405" s="182"/>
      <c r="W405" s="314" t="s">
        <v>4107</v>
      </c>
      <c r="X405" s="646" t="s">
        <v>12315</v>
      </c>
      <c r="Y405" s="355"/>
      <c r="Z405" s="185"/>
      <c r="AA405" s="185"/>
      <c r="AB405" s="33">
        <f t="shared" ca="1" si="7"/>
        <v>0.40073096659650109</v>
      </c>
      <c r="AC405" s="813"/>
      <c r="AD405" s="211" t="s">
        <v>16330</v>
      </c>
      <c r="AE405" s="875" t="s">
        <v>16331</v>
      </c>
      <c r="AF405" s="922">
        <f>IF(X405=X404,AF404,0)+IF(ISNUMBER(I405),IF(I405&lt;1,I405,I405*VLOOKUP(J405,Summary!$H$2:$I$9,2)),VLOOKUP(J405,Summary!$J$2:$K$9,2)*IF(ISNUMBER(H405),H405,1))</f>
        <v>1.4638541666666667</v>
      </c>
      <c r="AG405" s="290">
        <v>404</v>
      </c>
      <c r="AH405" s="94"/>
      <c r="AI405" s="94"/>
    </row>
    <row r="406" spans="1:35" s="29" customFormat="1" ht="12" customHeight="1" x14ac:dyDescent="0.25">
      <c r="A406" s="446" t="s">
        <v>4051</v>
      </c>
      <c r="B406" s="446">
        <v>2</v>
      </c>
      <c r="C406" s="446">
        <v>26</v>
      </c>
      <c r="D406" s="417" t="s">
        <v>6067</v>
      </c>
      <c r="E406" s="316" t="s">
        <v>6068</v>
      </c>
      <c r="F406" s="187">
        <v>35309</v>
      </c>
      <c r="G406" s="188"/>
      <c r="H406" s="188" t="s">
        <v>461</v>
      </c>
      <c r="I406" s="188">
        <v>299</v>
      </c>
      <c r="J406" s="902" t="s">
        <v>6868</v>
      </c>
      <c r="K406" s="162" t="s">
        <v>181</v>
      </c>
      <c r="L406" s="162" t="s">
        <v>461</v>
      </c>
      <c r="M406" s="162"/>
      <c r="N406" s="162"/>
      <c r="O406" s="162"/>
      <c r="P406" s="178" t="s">
        <v>8611</v>
      </c>
      <c r="Q406" s="162" t="s">
        <v>601</v>
      </c>
      <c r="R406" s="189" t="s">
        <v>2715</v>
      </c>
      <c r="S406" s="366" t="s">
        <v>2596</v>
      </c>
      <c r="T406" s="178" t="s">
        <v>2595</v>
      </c>
      <c r="U406" s="178"/>
      <c r="V406" s="178"/>
      <c r="W406" s="316" t="s">
        <v>6068</v>
      </c>
      <c r="X406" s="648" t="s">
        <v>12315</v>
      </c>
      <c r="Y406" s="356"/>
      <c r="Z406" s="272">
        <v>173</v>
      </c>
      <c r="AA406" s="272">
        <v>4</v>
      </c>
      <c r="AB406" s="34">
        <f t="shared" ca="1" si="7"/>
        <v>0.29909271730951892</v>
      </c>
      <c r="AC406" s="814"/>
      <c r="AD406" s="815" t="s">
        <v>16486</v>
      </c>
      <c r="AE406" s="942" t="s">
        <v>12543</v>
      </c>
      <c r="AF406" s="923">
        <f>IF(X406=X405,AF405,0)+IF(ISNUMBER(I406),IF(I406&lt;1,I406,I406*VLOOKUP(J406,Summary!$H$2:$I$9,2)),VLOOKUP(J406,Summary!$J$2:$K$9,2)*IF(ISNUMBER(H406),H406,1))</f>
        <v>1.6714930555555556</v>
      </c>
      <c r="AG406" s="291">
        <v>405</v>
      </c>
      <c r="AH406" s="94"/>
      <c r="AI406" s="94"/>
    </row>
    <row r="407" spans="1:35" s="1" customFormat="1" ht="12" customHeight="1" x14ac:dyDescent="0.25">
      <c r="A407" s="446" t="s">
        <v>4051</v>
      </c>
      <c r="B407" s="446">
        <v>2</v>
      </c>
      <c r="C407" s="446">
        <v>32</v>
      </c>
      <c r="D407" s="417" t="s">
        <v>6069</v>
      </c>
      <c r="E407" s="316" t="s">
        <v>6070</v>
      </c>
      <c r="F407" s="187">
        <v>35490</v>
      </c>
      <c r="G407" s="188"/>
      <c r="H407" s="188" t="s">
        <v>461</v>
      </c>
      <c r="I407" s="188">
        <v>295</v>
      </c>
      <c r="J407" s="902" t="s">
        <v>6868</v>
      </c>
      <c r="K407" s="162" t="s">
        <v>6234</v>
      </c>
      <c r="L407" s="162" t="s">
        <v>461</v>
      </c>
      <c r="M407" s="162"/>
      <c r="N407" s="162"/>
      <c r="O407" s="162"/>
      <c r="P407" s="178" t="s">
        <v>8616</v>
      </c>
      <c r="Q407" s="162" t="s">
        <v>601</v>
      </c>
      <c r="R407" s="189" t="s">
        <v>2715</v>
      </c>
      <c r="S407" s="366" t="s">
        <v>2596</v>
      </c>
      <c r="T407" s="178" t="s">
        <v>2595</v>
      </c>
      <c r="U407" s="178"/>
      <c r="V407" s="178"/>
      <c r="W407" s="316" t="s">
        <v>6070</v>
      </c>
      <c r="X407" s="648" t="s">
        <v>12315</v>
      </c>
      <c r="Y407" s="356"/>
      <c r="Z407" s="272"/>
      <c r="AA407" s="272"/>
      <c r="AB407" s="34">
        <f t="shared" ca="1" si="7"/>
        <v>0.47422505223333056</v>
      </c>
      <c r="AC407" s="814"/>
      <c r="AD407" s="815" t="s">
        <v>16357</v>
      </c>
      <c r="AE407" s="942" t="s">
        <v>12543</v>
      </c>
      <c r="AF407" s="923">
        <f>IF(X407=X406,AF406,0)+IF(ISNUMBER(I407),IF(I407&lt;1,I407,I407*VLOOKUP(J407,Summary!$H$2:$I$9,2)),VLOOKUP(J407,Summary!$J$2:$K$9,2)*IF(ISNUMBER(H407),H407,1))</f>
        <v>1.8763541666666668</v>
      </c>
      <c r="AG407" s="291">
        <v>406</v>
      </c>
      <c r="AH407" s="94"/>
      <c r="AI407" s="94"/>
    </row>
    <row r="408" spans="1:35" s="3" customFormat="1" ht="12" customHeight="1" x14ac:dyDescent="0.25">
      <c r="A408" s="444">
        <v>5</v>
      </c>
      <c r="B408" s="444">
        <v>2</v>
      </c>
      <c r="C408" s="444">
        <v>6</v>
      </c>
      <c r="D408" s="176" t="s">
        <v>893</v>
      </c>
      <c r="E408" s="313" t="s">
        <v>829</v>
      </c>
      <c r="F408" s="174">
        <v>36100</v>
      </c>
      <c r="G408" s="175"/>
      <c r="H408" s="176" t="s">
        <v>461</v>
      </c>
      <c r="I408" s="176"/>
      <c r="J408" s="900" t="s">
        <v>2755</v>
      </c>
      <c r="K408" s="164" t="s">
        <v>6234</v>
      </c>
      <c r="L408" s="164"/>
      <c r="M408" s="164"/>
      <c r="N408" s="164" t="s">
        <v>819</v>
      </c>
      <c r="O408" s="164"/>
      <c r="P408" s="178" t="s">
        <v>461</v>
      </c>
      <c r="Q408" s="164" t="s">
        <v>820</v>
      </c>
      <c r="R408" s="177" t="s">
        <v>895</v>
      </c>
      <c r="S408" s="354" t="s">
        <v>2596</v>
      </c>
      <c r="T408" s="173" t="s">
        <v>2595</v>
      </c>
      <c r="U408" s="173"/>
      <c r="V408" s="173"/>
      <c r="W408" s="313" t="s">
        <v>829</v>
      </c>
      <c r="X408" s="645" t="s">
        <v>12315</v>
      </c>
      <c r="Y408" s="354"/>
      <c r="Z408" s="176"/>
      <c r="AA408" s="176"/>
      <c r="AB408" s="32">
        <f t="shared" ca="1" si="7"/>
        <v>0.76277315538914758</v>
      </c>
      <c r="AC408" s="812"/>
      <c r="AD408" s="763"/>
      <c r="AE408" s="807"/>
      <c r="AF408" s="921">
        <f>IF(X408=X407,AF407,0)+IF(ISNUMBER(I408),IF(I408&lt;1,I408,I408*VLOOKUP(J408,Summary!$H$2:$I$9,2)),VLOOKUP(J408,Summary!$J$2:$K$9,2)*IF(ISNUMBER(H408),H408,1))</f>
        <v>1.8937152777777779</v>
      </c>
      <c r="AG408" s="289">
        <v>407</v>
      </c>
      <c r="AH408" s="94"/>
      <c r="AI408" s="94"/>
    </row>
    <row r="409" spans="1:35" s="1" customFormat="1" ht="12" customHeight="1" x14ac:dyDescent="0.25">
      <c r="A409" s="444">
        <v>5</v>
      </c>
      <c r="B409" s="444">
        <v>2</v>
      </c>
      <c r="C409" s="445">
        <v>25.05</v>
      </c>
      <c r="D409" s="176" t="s">
        <v>1964</v>
      </c>
      <c r="E409" s="313" t="s">
        <v>1965</v>
      </c>
      <c r="F409" s="174">
        <v>39417</v>
      </c>
      <c r="G409" s="174"/>
      <c r="H409" s="176">
        <v>1</v>
      </c>
      <c r="I409" s="176">
        <v>10</v>
      </c>
      <c r="J409" s="900" t="s">
        <v>2755</v>
      </c>
      <c r="K409" s="164" t="s">
        <v>1966</v>
      </c>
      <c r="L409" s="164" t="s">
        <v>461</v>
      </c>
      <c r="M409" s="164"/>
      <c r="N409" s="164" t="s">
        <v>5146</v>
      </c>
      <c r="O409" s="164"/>
      <c r="P409" s="173" t="s">
        <v>6701</v>
      </c>
      <c r="Q409" s="164" t="s">
        <v>3947</v>
      </c>
      <c r="R409" s="177" t="s">
        <v>2723</v>
      </c>
      <c r="S409" s="354" t="s">
        <v>2596</v>
      </c>
      <c r="T409" s="173" t="s">
        <v>2595</v>
      </c>
      <c r="U409" s="173"/>
      <c r="V409" s="173"/>
      <c r="W409" s="313" t="s">
        <v>1965</v>
      </c>
      <c r="X409" s="645" t="s">
        <v>12315</v>
      </c>
      <c r="Y409" s="354"/>
      <c r="Z409" s="176"/>
      <c r="AA409" s="176"/>
      <c r="AB409" s="32">
        <f t="shared" ca="1" si="7"/>
        <v>0.80894748779226178</v>
      </c>
      <c r="AC409" s="812"/>
      <c r="AD409" s="763" t="s">
        <v>16889</v>
      </c>
      <c r="AE409" s="807"/>
      <c r="AF409" s="921">
        <f>IF(X409=X408,AF408,0)+IF(ISNUMBER(I409),IF(I409&lt;1,I409,I409*VLOOKUP(J409,Summary!$H$2:$I$9,2)),VLOOKUP(J409,Summary!$J$2:$K$9,2)*IF(ISNUMBER(H409),H409,1))</f>
        <v>1.9006597222222223</v>
      </c>
      <c r="AG409" s="289">
        <v>408</v>
      </c>
      <c r="AH409" s="94"/>
      <c r="AI409" s="94"/>
    </row>
    <row r="410" spans="1:35" s="22" customFormat="1" ht="12" customHeight="1" x14ac:dyDescent="0.2">
      <c r="A410" s="451" t="s">
        <v>4051</v>
      </c>
      <c r="B410" s="451">
        <v>2</v>
      </c>
      <c r="C410" s="452">
        <v>4.08</v>
      </c>
      <c r="D410" s="407" t="s">
        <v>714</v>
      </c>
      <c r="E410" s="315" t="s">
        <v>4555</v>
      </c>
      <c r="F410" s="169">
        <v>40238</v>
      </c>
      <c r="G410" s="170"/>
      <c r="H410" s="170">
        <v>2</v>
      </c>
      <c r="I410" s="746">
        <f>TIME(1,6,44)</f>
        <v>4.6342592592592595E-2</v>
      </c>
      <c r="J410" s="899" t="s">
        <v>4706</v>
      </c>
      <c r="K410" s="167" t="s">
        <v>4556</v>
      </c>
      <c r="L410" s="167" t="s">
        <v>5662</v>
      </c>
      <c r="M410" s="167" t="s">
        <v>8049</v>
      </c>
      <c r="N410" s="167"/>
      <c r="O410" s="167"/>
      <c r="P410" s="168" t="s">
        <v>9185</v>
      </c>
      <c r="Q410" s="167" t="s">
        <v>3947</v>
      </c>
      <c r="R410" s="172" t="s">
        <v>3153</v>
      </c>
      <c r="S410" s="388" t="s">
        <v>2596</v>
      </c>
      <c r="T410" s="168" t="s">
        <v>2595</v>
      </c>
      <c r="U410" s="168"/>
      <c r="V410" s="168"/>
      <c r="W410" s="312" t="s">
        <v>10175</v>
      </c>
      <c r="X410" s="644" t="s">
        <v>12315</v>
      </c>
      <c r="Y410" s="352" t="s">
        <v>5398</v>
      </c>
      <c r="Z410" s="353">
        <v>438</v>
      </c>
      <c r="AA410" s="353">
        <v>4.5</v>
      </c>
      <c r="AB410" s="31">
        <f t="shared" ca="1" si="7"/>
        <v>0.66392005513748842</v>
      </c>
      <c r="AC410" s="810"/>
      <c r="AD410" s="825" t="s">
        <v>15052</v>
      </c>
      <c r="AE410" s="940" t="s">
        <v>12543</v>
      </c>
      <c r="AF410" s="920">
        <f>IF(X410=X409,AF409,0)+IF(ISNUMBER(I410),IF(I410&lt;1,I410,I410*VLOOKUP(J410,Summary!$H$2:$I$9,2)),VLOOKUP(J410,Summary!$J$2:$K$9,2)*IF(ISNUMBER(H410),H410,1))</f>
        <v>1.947002314814815</v>
      </c>
      <c r="AG410" s="287">
        <v>409</v>
      </c>
      <c r="AH410" s="94"/>
      <c r="AI410" s="94"/>
    </row>
    <row r="411" spans="1:35" s="22" customFormat="1" ht="12" customHeight="1" x14ac:dyDescent="0.25">
      <c r="A411" s="444">
        <v>5</v>
      </c>
      <c r="B411" s="444">
        <v>2</v>
      </c>
      <c r="C411" s="445">
        <v>7.07</v>
      </c>
      <c r="D411" s="176" t="s">
        <v>1952</v>
      </c>
      <c r="E411" s="313" t="s">
        <v>1953</v>
      </c>
      <c r="F411" s="174">
        <v>37865</v>
      </c>
      <c r="G411" s="174"/>
      <c r="H411" s="176">
        <v>1</v>
      </c>
      <c r="I411" s="176">
        <v>24</v>
      </c>
      <c r="J411" s="900" t="s">
        <v>2755</v>
      </c>
      <c r="K411" s="164" t="s">
        <v>2308</v>
      </c>
      <c r="L411" s="164" t="s">
        <v>461</v>
      </c>
      <c r="M411" s="164"/>
      <c r="N411" s="164" t="s">
        <v>4552</v>
      </c>
      <c r="O411" s="164"/>
      <c r="P411" s="173" t="s">
        <v>6281</v>
      </c>
      <c r="Q411" s="164" t="s">
        <v>3947</v>
      </c>
      <c r="R411" s="177" t="s">
        <v>2723</v>
      </c>
      <c r="S411" s="354" t="s">
        <v>2596</v>
      </c>
      <c r="T411" s="173" t="s">
        <v>2595</v>
      </c>
      <c r="U411" s="173"/>
      <c r="V411" s="173"/>
      <c r="W411" s="313" t="s">
        <v>1953</v>
      </c>
      <c r="X411" s="645" t="s">
        <v>12315</v>
      </c>
      <c r="Y411" s="354"/>
      <c r="Z411" s="176"/>
      <c r="AA411" s="176"/>
      <c r="AB411" s="32">
        <f t="shared" ca="1" si="7"/>
        <v>0.98384099491788679</v>
      </c>
      <c r="AC411" s="812"/>
      <c r="AD411" s="763"/>
      <c r="AE411" s="807"/>
      <c r="AF411" s="921">
        <f>IF(X411=X410,AF410,0)+IF(ISNUMBER(I411),IF(I411&lt;1,I411,I411*VLOOKUP(J411,Summary!$H$2:$I$9,2)),VLOOKUP(J411,Summary!$J$2:$K$9,2)*IF(ISNUMBER(H411),H411,1))</f>
        <v>1.9636689814814816</v>
      </c>
      <c r="AG411" s="289">
        <v>410</v>
      </c>
      <c r="AH411" s="94"/>
      <c r="AI411" s="94"/>
    </row>
    <row r="412" spans="1:35" s="2" customFormat="1" ht="12" customHeight="1" x14ac:dyDescent="0.25">
      <c r="A412" s="444">
        <v>5</v>
      </c>
      <c r="B412" s="444">
        <v>2</v>
      </c>
      <c r="C412" s="445">
        <v>12.1</v>
      </c>
      <c r="D412" s="176" t="s">
        <v>1967</v>
      </c>
      <c r="E412" s="313" t="s">
        <v>1968</v>
      </c>
      <c r="F412" s="174">
        <v>38261</v>
      </c>
      <c r="G412" s="174"/>
      <c r="H412" s="176">
        <v>1</v>
      </c>
      <c r="I412" s="176">
        <v>14</v>
      </c>
      <c r="J412" s="900" t="s">
        <v>2755</v>
      </c>
      <c r="K412" s="164" t="s">
        <v>4552</v>
      </c>
      <c r="L412" s="164" t="s">
        <v>461</v>
      </c>
      <c r="M412" s="164"/>
      <c r="N412" s="164" t="s">
        <v>7381</v>
      </c>
      <c r="O412" s="164"/>
      <c r="P412" s="173" t="s">
        <v>2756</v>
      </c>
      <c r="Q412" s="164" t="s">
        <v>3947</v>
      </c>
      <c r="R412" s="177" t="s">
        <v>2723</v>
      </c>
      <c r="S412" s="354" t="s">
        <v>2596</v>
      </c>
      <c r="T412" s="173" t="s">
        <v>2595</v>
      </c>
      <c r="U412" s="173"/>
      <c r="V412" s="173"/>
      <c r="W412" s="313" t="s">
        <v>1968</v>
      </c>
      <c r="X412" s="645" t="s">
        <v>12315</v>
      </c>
      <c r="Y412" s="354"/>
      <c r="Z412" s="176"/>
      <c r="AA412" s="176"/>
      <c r="AB412" s="32">
        <f t="shared" ca="1" si="7"/>
        <v>0.23926651791182763</v>
      </c>
      <c r="AC412" s="812"/>
      <c r="AD412" s="763" t="s">
        <v>16890</v>
      </c>
      <c r="AE412" s="807"/>
      <c r="AF412" s="921">
        <f>IF(X412=X411,AF411,0)+IF(ISNUMBER(I412),IF(I412&lt;1,I412,I412*VLOOKUP(J412,Summary!$H$2:$I$9,2)),VLOOKUP(J412,Summary!$J$2:$K$9,2)*IF(ISNUMBER(H412),H412,1))</f>
        <v>1.9733912037037038</v>
      </c>
      <c r="AG412" s="289">
        <v>411</v>
      </c>
      <c r="AH412" s="94"/>
      <c r="AI412" s="94"/>
    </row>
    <row r="413" spans="1:35" s="22" customFormat="1" ht="12" customHeight="1" x14ac:dyDescent="0.2">
      <c r="A413" s="443" t="s">
        <v>4051</v>
      </c>
      <c r="B413" s="443">
        <v>2</v>
      </c>
      <c r="C413" s="443">
        <v>42</v>
      </c>
      <c r="D413" s="426" t="s">
        <v>6071</v>
      </c>
      <c r="E413" s="427" t="s">
        <v>5988</v>
      </c>
      <c r="F413" s="203">
        <v>24913</v>
      </c>
      <c r="G413" s="203">
        <v>24948</v>
      </c>
      <c r="H413" s="204">
        <v>6</v>
      </c>
      <c r="I413" s="791">
        <f>TIME(0,24,54)+TIME(0,23, 8)+TIME(0,20,29)+TIME(0,24,17)+TIME(0,23,40)+TIME(0,24,24)</f>
        <v>9.7824074074074077E-2</v>
      </c>
      <c r="J413" s="905" t="s">
        <v>1588</v>
      </c>
      <c r="K413" s="205" t="s">
        <v>1634</v>
      </c>
      <c r="L413" s="205" t="s">
        <v>5262</v>
      </c>
      <c r="M413" s="205"/>
      <c r="N413" s="205" t="s">
        <v>6066</v>
      </c>
      <c r="O413" s="205" t="s">
        <v>125</v>
      </c>
      <c r="P413" s="202" t="s">
        <v>461</v>
      </c>
      <c r="Q413" s="205" t="s">
        <v>3946</v>
      </c>
      <c r="R413" s="206" t="s">
        <v>5280</v>
      </c>
      <c r="S413" s="391" t="s">
        <v>2596</v>
      </c>
      <c r="T413" s="202" t="s">
        <v>2595</v>
      </c>
      <c r="U413" s="202"/>
      <c r="V413" s="202"/>
      <c r="W413" s="320" t="s">
        <v>9616</v>
      </c>
      <c r="X413" s="652" t="s">
        <v>12315</v>
      </c>
      <c r="Y413" s="359" t="s">
        <v>14263</v>
      </c>
      <c r="Z413" s="360">
        <v>36</v>
      </c>
      <c r="AA413" s="360">
        <v>8.5</v>
      </c>
      <c r="AB413" s="36">
        <f t="shared" ca="1" si="7"/>
        <v>4.8188675672842241E-3</v>
      </c>
      <c r="AC413" s="822"/>
      <c r="AD413" s="823" t="s">
        <v>15999</v>
      </c>
      <c r="AE413" s="947" t="s">
        <v>16000</v>
      </c>
      <c r="AF413" s="926">
        <f>IF(X413=X412,AF412,0)+IF(ISNUMBER(I413),IF(I413&lt;1,I413,I413*VLOOKUP(J413,Summary!$H$2:$I$9,2)),VLOOKUP(J413,Summary!$J$2:$K$9,2)*IF(ISNUMBER(H413),H413,1))</f>
        <v>2.0712152777777777</v>
      </c>
      <c r="AG413" s="294">
        <v>412</v>
      </c>
      <c r="AH413" s="94"/>
      <c r="AI413" s="94"/>
    </row>
    <row r="414" spans="1:35" s="22" customFormat="1" ht="12" customHeight="1" x14ac:dyDescent="0.25">
      <c r="A414" s="448">
        <v>5</v>
      </c>
      <c r="B414" s="448">
        <v>2</v>
      </c>
      <c r="C414" s="449" t="s">
        <v>15909</v>
      </c>
      <c r="D414" s="192" t="s">
        <v>15910</v>
      </c>
      <c r="E414" s="317" t="s">
        <v>15911</v>
      </c>
      <c r="F414" s="209">
        <v>43463</v>
      </c>
      <c r="G414" s="209"/>
      <c r="H414" s="192">
        <v>1</v>
      </c>
      <c r="I414" s="753">
        <f>TIME(0,39,8)</f>
        <v>2.7175925925925926E-2</v>
      </c>
      <c r="J414" s="903" t="s">
        <v>2755</v>
      </c>
      <c r="K414" s="194" t="s">
        <v>14461</v>
      </c>
      <c r="L414" s="194" t="s">
        <v>15912</v>
      </c>
      <c r="M414" s="194" t="s">
        <v>4549</v>
      </c>
      <c r="N414" s="194"/>
      <c r="O414" s="194"/>
      <c r="P414" s="190" t="s">
        <v>15913</v>
      </c>
      <c r="Q414" s="194" t="s">
        <v>3947</v>
      </c>
      <c r="R414" s="193" t="s">
        <v>2722</v>
      </c>
      <c r="S414" s="357" t="s">
        <v>2596</v>
      </c>
      <c r="T414" s="190"/>
      <c r="U414" s="190"/>
      <c r="V414" s="190"/>
      <c r="W414" s="317" t="s">
        <v>15911</v>
      </c>
      <c r="X414" s="649" t="s">
        <v>12315</v>
      </c>
      <c r="Y414" s="357" t="s">
        <v>5643</v>
      </c>
      <c r="Z414" s="192">
        <v>999</v>
      </c>
      <c r="AA414" s="192"/>
      <c r="AB414" s="37">
        <f t="shared" ca="1" si="7"/>
        <v>5.1260890608118226E-2</v>
      </c>
      <c r="AC414" s="816"/>
      <c r="AD414" s="817" t="s">
        <v>15120</v>
      </c>
      <c r="AE414" s="943"/>
      <c r="AF414" s="924">
        <f>IF(X414=X413,AF413,0)+IF(ISNUMBER(I414),IF(I414&lt;1,I414,I414*VLOOKUP(J414,Summary!$H$2:$I$9,2)),VLOOKUP(J414,Summary!$J$2:$K$9,2)*IF(ISNUMBER(H414),H414,1))</f>
        <v>2.0983912037037036</v>
      </c>
      <c r="AG414" s="292">
        <v>413</v>
      </c>
      <c r="AH414" s="94"/>
      <c r="AI414" s="94"/>
    </row>
    <row r="415" spans="1:35" s="22" customFormat="1" ht="12" customHeight="1" x14ac:dyDescent="0.25">
      <c r="A415" s="444">
        <v>5</v>
      </c>
      <c r="B415" s="444">
        <v>2</v>
      </c>
      <c r="C415" s="445">
        <v>4.03</v>
      </c>
      <c r="D415" s="176" t="s">
        <v>1969</v>
      </c>
      <c r="E415" s="313" t="s">
        <v>4408</v>
      </c>
      <c r="F415" s="174">
        <v>37591</v>
      </c>
      <c r="G415" s="174"/>
      <c r="H415" s="176">
        <v>1</v>
      </c>
      <c r="I415" s="176">
        <v>14</v>
      </c>
      <c r="J415" s="900" t="s">
        <v>2755</v>
      </c>
      <c r="K415" s="164" t="s">
        <v>1970</v>
      </c>
      <c r="L415" s="164" t="s">
        <v>461</v>
      </c>
      <c r="M415" s="164"/>
      <c r="N415" s="164" t="s">
        <v>4552</v>
      </c>
      <c r="O415" s="164"/>
      <c r="P415" s="173" t="s">
        <v>6556</v>
      </c>
      <c r="Q415" s="164" t="s">
        <v>3947</v>
      </c>
      <c r="R415" s="177" t="s">
        <v>2723</v>
      </c>
      <c r="S415" s="354" t="s">
        <v>2596</v>
      </c>
      <c r="T415" s="173"/>
      <c r="U415" s="173"/>
      <c r="V415" s="173"/>
      <c r="W415" s="313" t="s">
        <v>4408</v>
      </c>
      <c r="X415" s="645" t="s">
        <v>12315</v>
      </c>
      <c r="Y415" s="354"/>
      <c r="Z415" s="176"/>
      <c r="AA415" s="176"/>
      <c r="AB415" s="32">
        <f t="shared" ca="1" si="7"/>
        <v>0.92017071906670611</v>
      </c>
      <c r="AC415" s="812"/>
      <c r="AD415" s="763"/>
      <c r="AE415" s="807"/>
      <c r="AF415" s="921">
        <f>IF(X415=X414,AF414,0)+IF(ISNUMBER(I415),IF(I415&lt;1,I415,I415*VLOOKUP(J415,Summary!$H$2:$I$9,2)),VLOOKUP(J415,Summary!$J$2:$K$9,2)*IF(ISNUMBER(H415),H415,1))</f>
        <v>2.108113425925926</v>
      </c>
      <c r="AG415" s="289">
        <v>414</v>
      </c>
      <c r="AH415" s="94"/>
      <c r="AI415" s="94"/>
    </row>
    <row r="416" spans="1:35" s="7" customFormat="1" ht="12" customHeight="1" x14ac:dyDescent="0.25">
      <c r="A416" s="444">
        <v>5</v>
      </c>
      <c r="B416" s="444">
        <v>2</v>
      </c>
      <c r="C416" s="445">
        <v>18.18</v>
      </c>
      <c r="D416" s="176" t="s">
        <v>1971</v>
      </c>
      <c r="E416" s="313" t="s">
        <v>2976</v>
      </c>
      <c r="F416" s="174">
        <v>38687</v>
      </c>
      <c r="G416" s="174"/>
      <c r="H416" s="176">
        <v>1</v>
      </c>
      <c r="I416" s="176">
        <v>8</v>
      </c>
      <c r="J416" s="900" t="s">
        <v>2755</v>
      </c>
      <c r="K416" s="164" t="s">
        <v>2977</v>
      </c>
      <c r="L416" s="164" t="s">
        <v>461</v>
      </c>
      <c r="M416" s="164"/>
      <c r="N416" s="164" t="s">
        <v>5664</v>
      </c>
      <c r="O416" s="164"/>
      <c r="P416" s="173" t="s">
        <v>5000</v>
      </c>
      <c r="Q416" s="164" t="s">
        <v>3947</v>
      </c>
      <c r="R416" s="177" t="s">
        <v>2723</v>
      </c>
      <c r="S416" s="354" t="s">
        <v>2596</v>
      </c>
      <c r="T416" s="173"/>
      <c r="U416" s="173"/>
      <c r="V416" s="173"/>
      <c r="W416" s="313" t="s">
        <v>2976</v>
      </c>
      <c r="X416" s="645" t="s">
        <v>12315</v>
      </c>
      <c r="Y416" s="354"/>
      <c r="Z416" s="176"/>
      <c r="AA416" s="176"/>
      <c r="AB416" s="32">
        <f t="shared" ca="1" si="7"/>
        <v>0.24554736345760164</v>
      </c>
      <c r="AC416" s="812"/>
      <c r="AD416" s="763" t="s">
        <v>16891</v>
      </c>
      <c r="AE416" s="807" t="s">
        <v>15093</v>
      </c>
      <c r="AF416" s="921">
        <f>IF(X416=X415,AF415,0)+IF(ISNUMBER(I416),IF(I416&lt;1,I416,I416*VLOOKUP(J416,Summary!$H$2:$I$9,2)),VLOOKUP(J416,Summary!$J$2:$K$9,2)*IF(ISNUMBER(H416),H416,1))</f>
        <v>2.1136689814814815</v>
      </c>
      <c r="AG416" s="289">
        <v>415</v>
      </c>
      <c r="AH416" s="94"/>
      <c r="AI416" s="94"/>
    </row>
    <row r="417" spans="1:35" s="22" customFormat="1" ht="12" customHeight="1" x14ac:dyDescent="0.25">
      <c r="A417" s="455"/>
      <c r="B417" s="455" t="s">
        <v>2650</v>
      </c>
      <c r="C417" s="456">
        <v>1</v>
      </c>
      <c r="D417" s="214" t="s">
        <v>14406</v>
      </c>
      <c r="E417" s="326" t="s">
        <v>13675</v>
      </c>
      <c r="F417" s="213">
        <v>42061</v>
      </c>
      <c r="G417" s="213"/>
      <c r="H417" s="214" t="s">
        <v>461</v>
      </c>
      <c r="I417" s="214">
        <v>288</v>
      </c>
      <c r="J417" s="906" t="s">
        <v>6868</v>
      </c>
      <c r="K417" s="216" t="s">
        <v>13688</v>
      </c>
      <c r="L417" s="216" t="s">
        <v>461</v>
      </c>
      <c r="M417" s="216" t="s">
        <v>13694</v>
      </c>
      <c r="N417" s="216"/>
      <c r="O417" s="216"/>
      <c r="P417" s="212" t="s">
        <v>13693</v>
      </c>
      <c r="Q417" s="216" t="s">
        <v>13674</v>
      </c>
      <c r="R417" s="215" t="s">
        <v>13700</v>
      </c>
      <c r="S417" s="365"/>
      <c r="T417" s="212"/>
      <c r="U417" s="212" t="s">
        <v>2597</v>
      </c>
      <c r="V417" s="212"/>
      <c r="W417" s="326" t="s">
        <v>13675</v>
      </c>
      <c r="X417" s="659" t="s">
        <v>13750</v>
      </c>
      <c r="Y417" s="365"/>
      <c r="Z417" s="214"/>
      <c r="AA417" s="214"/>
      <c r="AB417" s="39">
        <f t="shared" ca="1" si="7"/>
        <v>0.94834784934299055</v>
      </c>
      <c r="AC417" s="828"/>
      <c r="AD417" s="829" t="s">
        <v>16878</v>
      </c>
      <c r="AE417" s="954"/>
      <c r="AF417" s="927">
        <f>IF(X417=X416,AF416,0)+IF(ISNUMBER(I417),IF(I417&lt;1,I417,I417*VLOOKUP(J417,Summary!$H$2:$I$9,2)),VLOOKUP(J417,Summary!$J$2:$K$9,2)*IF(ISNUMBER(H417),H417,1))</f>
        <v>0.2</v>
      </c>
      <c r="AG417" s="296">
        <v>416</v>
      </c>
      <c r="AH417" s="94"/>
      <c r="AI417" s="94"/>
    </row>
    <row r="418" spans="1:35" s="22" customFormat="1" ht="12" customHeight="1" x14ac:dyDescent="0.25">
      <c r="A418" s="410"/>
      <c r="B418" s="410" t="s">
        <v>2650</v>
      </c>
      <c r="C418" s="410"/>
      <c r="D418" s="176" t="s">
        <v>14441</v>
      </c>
      <c r="E418" s="313" t="s">
        <v>14455</v>
      </c>
      <c r="F418" s="175">
        <v>43160</v>
      </c>
      <c r="G418" s="181"/>
      <c r="H418" s="176" t="s">
        <v>461</v>
      </c>
      <c r="I418" s="176"/>
      <c r="J418" s="900" t="s">
        <v>2755</v>
      </c>
      <c r="K418" s="164" t="s">
        <v>14460</v>
      </c>
      <c r="L418" s="164" t="s">
        <v>461</v>
      </c>
      <c r="M418" s="164"/>
      <c r="N418" s="164"/>
      <c r="O418" s="164"/>
      <c r="P418" s="173"/>
      <c r="Q418" s="164" t="s">
        <v>13674</v>
      </c>
      <c r="R418" s="177" t="s">
        <v>13703</v>
      </c>
      <c r="S418" s="354"/>
      <c r="T418" s="173"/>
      <c r="U418" s="173" t="s">
        <v>2597</v>
      </c>
      <c r="V418" s="173"/>
      <c r="W418" s="313" t="s">
        <v>14455</v>
      </c>
      <c r="X418" s="645" t="s">
        <v>13750</v>
      </c>
      <c r="Y418" s="354"/>
      <c r="Z418" s="157"/>
      <c r="AA418" s="176"/>
      <c r="AB418" s="32">
        <f t="shared" ca="1" si="7"/>
        <v>0.75566243587268334</v>
      </c>
      <c r="AC418" s="812"/>
      <c r="AD418" s="763"/>
      <c r="AE418" s="807"/>
      <c r="AF418" s="921">
        <f>IF(X418=X417,AF417,0)+IF(ISNUMBER(I418),IF(I418&lt;1,I418,I418*VLOOKUP(J418,Summary!$H$2:$I$9,2)),VLOOKUP(J418,Summary!$J$2:$K$9,2)*IF(ISNUMBER(H418),H418,1))</f>
        <v>0.21736111111111112</v>
      </c>
      <c r="AG418" s="289">
        <v>417</v>
      </c>
      <c r="AH418" s="94"/>
      <c r="AI418" s="94"/>
    </row>
    <row r="419" spans="1:35" s="29" customFormat="1" ht="12" customHeight="1" x14ac:dyDescent="0.25">
      <c r="A419" s="410"/>
      <c r="B419" s="410" t="s">
        <v>2650</v>
      </c>
      <c r="C419" s="410"/>
      <c r="D419" s="176" t="s">
        <v>14427</v>
      </c>
      <c r="E419" s="313" t="s">
        <v>13710</v>
      </c>
      <c r="F419" s="175">
        <v>42193</v>
      </c>
      <c r="G419" s="181"/>
      <c r="H419" s="176" t="s">
        <v>461</v>
      </c>
      <c r="I419" s="176"/>
      <c r="J419" s="900" t="s">
        <v>2755</v>
      </c>
      <c r="K419" s="164" t="s">
        <v>13711</v>
      </c>
      <c r="L419" s="164" t="s">
        <v>461</v>
      </c>
      <c r="M419" s="164"/>
      <c r="N419" s="164"/>
      <c r="O419" s="164"/>
      <c r="P419" s="173"/>
      <c r="Q419" s="164" t="s">
        <v>13674</v>
      </c>
      <c r="R419" s="177" t="s">
        <v>13703</v>
      </c>
      <c r="S419" s="354"/>
      <c r="T419" s="173"/>
      <c r="U419" s="173"/>
      <c r="V419" s="173"/>
      <c r="W419" s="313" t="s">
        <v>13710</v>
      </c>
      <c r="X419" s="645" t="s">
        <v>13750</v>
      </c>
      <c r="Y419" s="354"/>
      <c r="Z419" s="157"/>
      <c r="AA419" s="176"/>
      <c r="AB419" s="32">
        <f t="shared" ca="1" si="7"/>
        <v>0.47543224295102504</v>
      </c>
      <c r="AC419" s="812"/>
      <c r="AD419" s="763" t="s">
        <v>16892</v>
      </c>
      <c r="AE419" s="807"/>
      <c r="AF419" s="921">
        <f>IF(X419=X418,AF418,0)+IF(ISNUMBER(I419),IF(I419&lt;1,I419,I419*VLOOKUP(J419,Summary!$H$2:$I$9,2)),VLOOKUP(J419,Summary!$J$2:$K$9,2)*IF(ISNUMBER(H419),H419,1))</f>
        <v>0.23472222222222222</v>
      </c>
      <c r="AG419" s="289">
        <v>418</v>
      </c>
      <c r="AH419" s="94"/>
      <c r="AI419" s="94"/>
    </row>
    <row r="420" spans="1:35" s="22" customFormat="1" ht="12" customHeight="1" x14ac:dyDescent="0.25">
      <c r="A420" s="410"/>
      <c r="B420" s="410" t="s">
        <v>2650</v>
      </c>
      <c r="C420" s="410"/>
      <c r="D420" s="176" t="s">
        <v>14428</v>
      </c>
      <c r="E420" s="313" t="s">
        <v>13712</v>
      </c>
      <c r="F420" s="175">
        <v>42272</v>
      </c>
      <c r="G420" s="181"/>
      <c r="H420" s="176" t="s">
        <v>461</v>
      </c>
      <c r="I420" s="176"/>
      <c r="J420" s="900" t="s">
        <v>2755</v>
      </c>
      <c r="K420" s="164" t="s">
        <v>13720</v>
      </c>
      <c r="L420" s="164" t="s">
        <v>461</v>
      </c>
      <c r="M420" s="164"/>
      <c r="N420" s="164"/>
      <c r="O420" s="164"/>
      <c r="P420" s="173"/>
      <c r="Q420" s="164" t="s">
        <v>13674</v>
      </c>
      <c r="R420" s="177" t="s">
        <v>13703</v>
      </c>
      <c r="S420" s="354"/>
      <c r="T420" s="173"/>
      <c r="U420" s="173" t="s">
        <v>2597</v>
      </c>
      <c r="V420" s="173"/>
      <c r="W420" s="313" t="s">
        <v>13712</v>
      </c>
      <c r="X420" s="645" t="s">
        <v>13750</v>
      </c>
      <c r="Y420" s="354"/>
      <c r="Z420" s="157"/>
      <c r="AA420" s="176"/>
      <c r="AB420" s="32">
        <f t="shared" ca="1" si="7"/>
        <v>0.5667197161363875</v>
      </c>
      <c r="AC420" s="812"/>
      <c r="AD420" s="763" t="s">
        <v>16893</v>
      </c>
      <c r="AE420" s="807"/>
      <c r="AF420" s="921">
        <f>IF(X420=X419,AF419,0)+IF(ISNUMBER(I420),IF(I420&lt;1,I420,I420*VLOOKUP(J420,Summary!$H$2:$I$9,2)),VLOOKUP(J420,Summary!$J$2:$K$9,2)*IF(ISNUMBER(H420),H420,1))</f>
        <v>0.25208333333333333</v>
      </c>
      <c r="AG420" s="289">
        <v>419</v>
      </c>
      <c r="AH420" s="94"/>
      <c r="AI420" s="94"/>
    </row>
    <row r="421" spans="1:35" s="2" customFormat="1" ht="12" customHeight="1" x14ac:dyDescent="0.25">
      <c r="A421" s="455"/>
      <c r="B421" s="455" t="s">
        <v>2650</v>
      </c>
      <c r="C421" s="456">
        <v>2</v>
      </c>
      <c r="D421" s="214" t="s">
        <v>14407</v>
      </c>
      <c r="E421" s="326" t="s">
        <v>13676</v>
      </c>
      <c r="F421" s="213">
        <v>42272</v>
      </c>
      <c r="G421" s="213"/>
      <c r="H421" s="214" t="s">
        <v>461</v>
      </c>
      <c r="I421" s="214">
        <v>227</v>
      </c>
      <c r="J421" s="906" t="s">
        <v>6868</v>
      </c>
      <c r="K421" s="216" t="s">
        <v>6234</v>
      </c>
      <c r="L421" s="216" t="s">
        <v>461</v>
      </c>
      <c r="M421" s="216" t="s">
        <v>13694</v>
      </c>
      <c r="N421" s="216"/>
      <c r="O421" s="216"/>
      <c r="P421" s="212"/>
      <c r="Q421" s="216" t="s">
        <v>13674</v>
      </c>
      <c r="R421" s="215" t="s">
        <v>13700</v>
      </c>
      <c r="S421" s="365"/>
      <c r="T421" s="212"/>
      <c r="U421" s="212" t="s">
        <v>2597</v>
      </c>
      <c r="V421" s="212"/>
      <c r="W421" s="326" t="s">
        <v>13676</v>
      </c>
      <c r="X421" s="659" t="s">
        <v>13750</v>
      </c>
      <c r="Y421" s="365"/>
      <c r="Z421" s="214"/>
      <c r="AA421" s="214"/>
      <c r="AB421" s="39">
        <f t="shared" ca="1" si="7"/>
        <v>0.20893425417838807</v>
      </c>
      <c r="AC421" s="828"/>
      <c r="AD421" s="829" t="s">
        <v>16877</v>
      </c>
      <c r="AE421" s="954" t="s">
        <v>16571</v>
      </c>
      <c r="AF421" s="927">
        <f>IF(X421=X420,AF420,0)+IF(ISNUMBER(I421),IF(I421&lt;1,I421,I421*VLOOKUP(J421,Summary!$H$2:$I$9,2)),VLOOKUP(J421,Summary!$J$2:$K$9,2)*IF(ISNUMBER(H421),H421,1))</f>
        <v>0.40972222222222221</v>
      </c>
      <c r="AG421" s="296">
        <v>420</v>
      </c>
      <c r="AH421" s="94"/>
      <c r="AI421" s="94"/>
    </row>
    <row r="422" spans="1:35" s="1" customFormat="1" ht="12" customHeight="1" x14ac:dyDescent="0.25">
      <c r="A422" s="410"/>
      <c r="B422" s="410" t="s">
        <v>2650</v>
      </c>
      <c r="C422" s="410"/>
      <c r="D422" s="176" t="s">
        <v>14429</v>
      </c>
      <c r="E422" s="313" t="s">
        <v>13713</v>
      </c>
      <c r="F422" s="175">
        <v>42291</v>
      </c>
      <c r="G422" s="181"/>
      <c r="H422" s="176" t="s">
        <v>461</v>
      </c>
      <c r="I422" s="176"/>
      <c r="J422" s="900" t="s">
        <v>2755</v>
      </c>
      <c r="K422" s="164" t="s">
        <v>13718</v>
      </c>
      <c r="L422" s="164" t="s">
        <v>461</v>
      </c>
      <c r="M422" s="164"/>
      <c r="N422" s="164"/>
      <c r="O422" s="164"/>
      <c r="P422" s="173"/>
      <c r="Q422" s="164" t="s">
        <v>13674</v>
      </c>
      <c r="R422" s="177" t="s">
        <v>13703</v>
      </c>
      <c r="S422" s="354"/>
      <c r="T422" s="173"/>
      <c r="U422" s="173" t="s">
        <v>2597</v>
      </c>
      <c r="V422" s="173"/>
      <c r="W422" s="313" t="s">
        <v>13713</v>
      </c>
      <c r="X422" s="645" t="s">
        <v>13750</v>
      </c>
      <c r="Y422" s="354"/>
      <c r="Z422" s="157"/>
      <c r="AA422" s="176"/>
      <c r="AB422" s="32">
        <f t="shared" ca="1" si="7"/>
        <v>0.89988273609022185</v>
      </c>
      <c r="AC422" s="812"/>
      <c r="AD422" s="763" t="s">
        <v>16894</v>
      </c>
      <c r="AE422" s="807"/>
      <c r="AF422" s="921">
        <f>IF(X422=X421,AF421,0)+IF(ISNUMBER(I422),IF(I422&lt;1,I422,I422*VLOOKUP(J422,Summary!$H$2:$I$9,2)),VLOOKUP(J422,Summary!$J$2:$K$9,2)*IF(ISNUMBER(H422),H422,1))</f>
        <v>0.42708333333333331</v>
      </c>
      <c r="AG422" s="289">
        <v>421</v>
      </c>
      <c r="AH422" s="94"/>
      <c r="AI422" s="94"/>
    </row>
    <row r="423" spans="1:35" s="22" customFormat="1" ht="12" customHeight="1" x14ac:dyDescent="0.25">
      <c r="A423" s="455"/>
      <c r="B423" s="455" t="s">
        <v>2650</v>
      </c>
      <c r="C423" s="456">
        <v>3</v>
      </c>
      <c r="D423" s="214" t="s">
        <v>14408</v>
      </c>
      <c r="E423" s="326" t="s">
        <v>13677</v>
      </c>
      <c r="F423" s="213">
        <v>42306</v>
      </c>
      <c r="G423" s="213"/>
      <c r="H423" s="214" t="s">
        <v>461</v>
      </c>
      <c r="I423" s="214">
        <v>225</v>
      </c>
      <c r="J423" s="906" t="s">
        <v>6868</v>
      </c>
      <c r="K423" s="216" t="s">
        <v>13688</v>
      </c>
      <c r="L423" s="216" t="s">
        <v>461</v>
      </c>
      <c r="M423" s="216" t="s">
        <v>13694</v>
      </c>
      <c r="N423" s="216"/>
      <c r="O423" s="216"/>
      <c r="P423" s="212" t="s">
        <v>13695</v>
      </c>
      <c r="Q423" s="216" t="s">
        <v>13674</v>
      </c>
      <c r="R423" s="215" t="s">
        <v>13700</v>
      </c>
      <c r="S423" s="365"/>
      <c r="T423" s="212"/>
      <c r="U423" s="212" t="s">
        <v>2597</v>
      </c>
      <c r="V423" s="212"/>
      <c r="W423" s="326" t="s">
        <v>13677</v>
      </c>
      <c r="X423" s="659" t="s">
        <v>13750</v>
      </c>
      <c r="Y423" s="365" t="s">
        <v>2174</v>
      </c>
      <c r="Z423" s="214"/>
      <c r="AA423" s="214"/>
      <c r="AB423" s="39">
        <f t="shared" ca="1" si="7"/>
        <v>0.10136416427656225</v>
      </c>
      <c r="AC423" s="828"/>
      <c r="AD423" s="829" t="s">
        <v>16876</v>
      </c>
      <c r="AE423" s="954"/>
      <c r="AF423" s="927">
        <f>IF(X423=X422,AF422,0)+IF(ISNUMBER(I423),IF(I423&lt;1,I423,I423*VLOOKUP(J423,Summary!$H$2:$I$9,2)),VLOOKUP(J423,Summary!$J$2:$K$9,2)*IF(ISNUMBER(H423),H423,1))</f>
        <v>0.58333333333333326</v>
      </c>
      <c r="AG423" s="296">
        <v>422</v>
      </c>
      <c r="AH423" s="94"/>
      <c r="AI423" s="94"/>
    </row>
    <row r="424" spans="1:35" s="22" customFormat="1" ht="12" customHeight="1" x14ac:dyDescent="0.25">
      <c r="A424" s="410"/>
      <c r="B424" s="410" t="s">
        <v>2650</v>
      </c>
      <c r="C424" s="410"/>
      <c r="D424" s="176" t="s">
        <v>14430</v>
      </c>
      <c r="E424" s="313" t="s">
        <v>1009</v>
      </c>
      <c r="F424" s="175">
        <v>42325</v>
      </c>
      <c r="G424" s="181"/>
      <c r="H424" s="176" t="s">
        <v>461</v>
      </c>
      <c r="I424" s="176">
        <v>43</v>
      </c>
      <c r="J424" s="900" t="s">
        <v>2755</v>
      </c>
      <c r="K424" s="164" t="s">
        <v>13688</v>
      </c>
      <c r="L424" s="164" t="s">
        <v>461</v>
      </c>
      <c r="M424" s="164"/>
      <c r="N424" s="164"/>
      <c r="O424" s="164"/>
      <c r="P424" s="173"/>
      <c r="Q424" s="164" t="s">
        <v>13674</v>
      </c>
      <c r="R424" s="177" t="s">
        <v>13703</v>
      </c>
      <c r="S424" s="354"/>
      <c r="T424" s="173"/>
      <c r="U424" s="173" t="s">
        <v>2597</v>
      </c>
      <c r="V424" s="173"/>
      <c r="W424" s="313" t="s">
        <v>1009</v>
      </c>
      <c r="X424" s="645" t="s">
        <v>13750</v>
      </c>
      <c r="Y424" s="354" t="s">
        <v>6000</v>
      </c>
      <c r="Z424" s="157"/>
      <c r="AA424" s="176"/>
      <c r="AB424" s="32">
        <f t="shared" ca="1" si="7"/>
        <v>0.43757316083081554</v>
      </c>
      <c r="AC424" s="812"/>
      <c r="AD424" s="763" t="s">
        <v>16894</v>
      </c>
      <c r="AE424" s="807"/>
      <c r="AF424" s="921">
        <f>IF(X424=X423,AF423,0)+IF(ISNUMBER(I424),IF(I424&lt;1,I424,I424*VLOOKUP(J424,Summary!$H$2:$I$9,2)),VLOOKUP(J424,Summary!$J$2:$K$9,2)*IF(ISNUMBER(H424),H424,1))</f>
        <v>0.61319444444444438</v>
      </c>
      <c r="AG424" s="289">
        <v>423</v>
      </c>
      <c r="AH424" s="94"/>
      <c r="AI424" s="94"/>
    </row>
    <row r="425" spans="1:35" s="22" customFormat="1" ht="12" customHeight="1" x14ac:dyDescent="0.25">
      <c r="A425" s="455"/>
      <c r="B425" s="455" t="s">
        <v>2650</v>
      </c>
      <c r="C425" s="456">
        <v>4</v>
      </c>
      <c r="D425" s="214" t="s">
        <v>14409</v>
      </c>
      <c r="E425" s="326" t="s">
        <v>13678</v>
      </c>
      <c r="F425" s="213">
        <v>42328</v>
      </c>
      <c r="G425" s="213"/>
      <c r="H425" s="214" t="s">
        <v>461</v>
      </c>
      <c r="I425" s="214">
        <v>218</v>
      </c>
      <c r="J425" s="906" t="s">
        <v>6868</v>
      </c>
      <c r="K425" s="216" t="s">
        <v>4034</v>
      </c>
      <c r="L425" s="216" t="s">
        <v>461</v>
      </c>
      <c r="M425" s="216" t="s">
        <v>13694</v>
      </c>
      <c r="N425" s="216"/>
      <c r="O425" s="216"/>
      <c r="P425" s="212"/>
      <c r="Q425" s="216" t="s">
        <v>13674</v>
      </c>
      <c r="R425" s="215" t="s">
        <v>13700</v>
      </c>
      <c r="S425" s="365"/>
      <c r="T425" s="212"/>
      <c r="U425" s="212" t="s">
        <v>2597</v>
      </c>
      <c r="V425" s="212"/>
      <c r="W425" s="326" t="s">
        <v>13678</v>
      </c>
      <c r="X425" s="659" t="s">
        <v>13750</v>
      </c>
      <c r="Y425" s="365"/>
      <c r="Z425" s="214"/>
      <c r="AA425" s="214"/>
      <c r="AB425" s="39">
        <f t="shared" ca="1" si="7"/>
        <v>0.10155852335006044</v>
      </c>
      <c r="AC425" s="828"/>
      <c r="AD425" s="829" t="s">
        <v>16875</v>
      </c>
      <c r="AE425" s="954"/>
      <c r="AF425" s="927">
        <f>IF(X425=X424,AF424,0)+IF(ISNUMBER(I425),IF(I425&lt;1,I425,I425*VLOOKUP(J425,Summary!$H$2:$I$9,2)),VLOOKUP(J425,Summary!$J$2:$K$9,2)*IF(ISNUMBER(H425),H425,1))</f>
        <v>0.76458333333333328</v>
      </c>
      <c r="AG425" s="296">
        <v>424</v>
      </c>
      <c r="AH425" s="94"/>
      <c r="AI425" s="94"/>
    </row>
    <row r="426" spans="1:35" s="26" customFormat="1" ht="12" customHeight="1" x14ac:dyDescent="0.25">
      <c r="A426" s="410"/>
      <c r="B426" s="410" t="s">
        <v>2650</v>
      </c>
      <c r="C426" s="410"/>
      <c r="D426" s="176" t="s">
        <v>14437</v>
      </c>
      <c r="E426" s="313" t="s">
        <v>13726</v>
      </c>
      <c r="F426" s="174">
        <v>42614</v>
      </c>
      <c r="G426" s="181"/>
      <c r="H426" s="176" t="s">
        <v>461</v>
      </c>
      <c r="I426" s="176"/>
      <c r="J426" s="900" t="s">
        <v>2755</v>
      </c>
      <c r="K426" s="164" t="s">
        <v>13691</v>
      </c>
      <c r="L426" s="164" t="s">
        <v>461</v>
      </c>
      <c r="M426" s="164"/>
      <c r="N426" s="164"/>
      <c r="O426" s="164"/>
      <c r="P426" s="173"/>
      <c r="Q426" s="164" t="s">
        <v>13674</v>
      </c>
      <c r="R426" s="177" t="s">
        <v>13703</v>
      </c>
      <c r="S426" s="354"/>
      <c r="T426" s="173"/>
      <c r="U426" s="173" t="s">
        <v>2597</v>
      </c>
      <c r="V426" s="173"/>
      <c r="W426" s="313" t="s">
        <v>13726</v>
      </c>
      <c r="X426" s="645" t="s">
        <v>13750</v>
      </c>
      <c r="Y426" s="354"/>
      <c r="Z426" s="157"/>
      <c r="AA426" s="176"/>
      <c r="AB426" s="32">
        <f t="shared" ca="1" si="7"/>
        <v>0.3706732128362874</v>
      </c>
      <c r="AC426" s="812"/>
      <c r="AD426" s="763" t="s">
        <v>16888</v>
      </c>
      <c r="AE426" s="807"/>
      <c r="AF426" s="921">
        <f>IF(X426=X425,AF425,0)+IF(ISNUMBER(I426),IF(I426&lt;1,I426,I426*VLOOKUP(J426,Summary!$H$2:$I$9,2)),VLOOKUP(J426,Summary!$J$2:$K$9,2)*IF(ISNUMBER(H426),H426,1))</f>
        <v>0.78194444444444444</v>
      </c>
      <c r="AG426" s="289">
        <v>425</v>
      </c>
      <c r="AH426" s="94"/>
      <c r="AI426" s="94"/>
    </row>
    <row r="427" spans="1:35" s="22" customFormat="1" ht="12" customHeight="1" x14ac:dyDescent="0.25">
      <c r="A427" s="410"/>
      <c r="B427" s="410" t="s">
        <v>2650</v>
      </c>
      <c r="C427" s="410"/>
      <c r="D427" s="176" t="s">
        <v>14432</v>
      </c>
      <c r="E427" s="313" t="s">
        <v>13716</v>
      </c>
      <c r="F427" s="175">
        <v>42455</v>
      </c>
      <c r="G427" s="181"/>
      <c r="H427" s="176" t="s">
        <v>461</v>
      </c>
      <c r="I427" s="176">
        <v>28</v>
      </c>
      <c r="J427" s="900" t="s">
        <v>2755</v>
      </c>
      <c r="K427" s="164" t="s">
        <v>13718</v>
      </c>
      <c r="L427" s="164" t="s">
        <v>461</v>
      </c>
      <c r="M427" s="164"/>
      <c r="N427" s="164"/>
      <c r="O427" s="164"/>
      <c r="P427" s="173"/>
      <c r="Q427" s="164" t="s">
        <v>13674</v>
      </c>
      <c r="R427" s="177" t="s">
        <v>13703</v>
      </c>
      <c r="S427" s="354"/>
      <c r="T427" s="173"/>
      <c r="U427" s="173" t="s">
        <v>2597</v>
      </c>
      <c r="V427" s="173"/>
      <c r="W427" s="313" t="s">
        <v>13716</v>
      </c>
      <c r="X427" s="645" t="s">
        <v>13750</v>
      </c>
      <c r="Y427" s="354" t="s">
        <v>6000</v>
      </c>
      <c r="Z427" s="157"/>
      <c r="AA427" s="176"/>
      <c r="AB427" s="32">
        <f t="shared" ca="1" si="7"/>
        <v>0.20018750853041367</v>
      </c>
      <c r="AC427" s="812"/>
      <c r="AD427" s="763" t="s">
        <v>16874</v>
      </c>
      <c r="AE427" s="807"/>
      <c r="AF427" s="921">
        <f>IF(X427=X426,AF426,0)+IF(ISNUMBER(I427),IF(I427&lt;1,I427,I427*VLOOKUP(J427,Summary!$H$2:$I$9,2)),VLOOKUP(J427,Summary!$J$2:$K$9,2)*IF(ISNUMBER(H427),H427,1))</f>
        <v>0.80138888888888893</v>
      </c>
      <c r="AG427" s="289">
        <v>426</v>
      </c>
      <c r="AH427" s="94"/>
      <c r="AI427" s="94"/>
    </row>
    <row r="428" spans="1:35" s="22" customFormat="1" ht="12" customHeight="1" x14ac:dyDescent="0.25">
      <c r="A428" s="457"/>
      <c r="B428" s="457" t="s">
        <v>2650</v>
      </c>
      <c r="C428" s="458">
        <v>5</v>
      </c>
      <c r="D428" s="188" t="s">
        <v>14410</v>
      </c>
      <c r="E428" s="327" t="s">
        <v>13679</v>
      </c>
      <c r="F428" s="195">
        <v>42507</v>
      </c>
      <c r="G428" s="195"/>
      <c r="H428" s="188" t="s">
        <v>461</v>
      </c>
      <c r="I428" s="188">
        <v>185</v>
      </c>
      <c r="J428" s="902" t="s">
        <v>6868</v>
      </c>
      <c r="K428" s="218" t="s">
        <v>13689</v>
      </c>
      <c r="L428" s="218" t="s">
        <v>461</v>
      </c>
      <c r="M428" s="218"/>
      <c r="N428" s="218"/>
      <c r="O428" s="218"/>
      <c r="P428" s="178"/>
      <c r="Q428" s="218" t="s">
        <v>13674</v>
      </c>
      <c r="R428" s="217" t="s">
        <v>13700</v>
      </c>
      <c r="S428" s="366"/>
      <c r="T428" s="178"/>
      <c r="U428" s="178" t="s">
        <v>2597</v>
      </c>
      <c r="V428" s="178"/>
      <c r="W428" s="327" t="s">
        <v>13679</v>
      </c>
      <c r="X428" s="658" t="s">
        <v>13750</v>
      </c>
      <c r="Y428" s="366"/>
      <c r="Z428" s="188"/>
      <c r="AA428" s="188"/>
      <c r="AB428" s="34">
        <f t="shared" ca="1" si="7"/>
        <v>0.498633312971973</v>
      </c>
      <c r="AC428" s="814"/>
      <c r="AD428" s="815" t="s">
        <v>16874</v>
      </c>
      <c r="AE428" s="245"/>
      <c r="AF428" s="923">
        <f>IF(X428=X427,AF427,0)+IF(ISNUMBER(I428),IF(I428&lt;1,I428,I428*VLOOKUP(J428,Summary!$H$2:$I$9,2)),VLOOKUP(J428,Summary!$J$2:$K$9,2)*IF(ISNUMBER(H428),H428,1))</f>
        <v>0.92986111111111114</v>
      </c>
      <c r="AG428" s="297">
        <v>427</v>
      </c>
      <c r="AH428" s="94"/>
      <c r="AI428" s="94"/>
    </row>
    <row r="429" spans="1:35" s="29" customFormat="1" ht="12" customHeight="1" x14ac:dyDescent="0.25">
      <c r="A429" s="410"/>
      <c r="B429" s="410" t="s">
        <v>2650</v>
      </c>
      <c r="C429" s="410"/>
      <c r="D429" s="176" t="s">
        <v>14434</v>
      </c>
      <c r="E429" s="313" t="s">
        <v>13723</v>
      </c>
      <c r="F429" s="175">
        <v>42527</v>
      </c>
      <c r="G429" s="181"/>
      <c r="H429" s="176" t="s">
        <v>461</v>
      </c>
      <c r="I429" s="176">
        <v>34</v>
      </c>
      <c r="J429" s="900" t="s">
        <v>2755</v>
      </c>
      <c r="K429" s="164" t="s">
        <v>13734</v>
      </c>
      <c r="L429" s="164" t="s">
        <v>461</v>
      </c>
      <c r="M429" s="164"/>
      <c r="N429" s="164"/>
      <c r="O429" s="164"/>
      <c r="P429" s="173"/>
      <c r="Q429" s="164" t="s">
        <v>13674</v>
      </c>
      <c r="R429" s="177" t="s">
        <v>13703</v>
      </c>
      <c r="S429" s="354"/>
      <c r="T429" s="173"/>
      <c r="U429" s="173" t="s">
        <v>2597</v>
      </c>
      <c r="V429" s="173"/>
      <c r="W429" s="313" t="s">
        <v>13723</v>
      </c>
      <c r="X429" s="645" t="s">
        <v>13750</v>
      </c>
      <c r="Y429" s="354" t="s">
        <v>6000</v>
      </c>
      <c r="Z429" s="157"/>
      <c r="AA429" s="176"/>
      <c r="AB429" s="32">
        <f t="shared" ca="1" si="7"/>
        <v>0.63638204294468415</v>
      </c>
      <c r="AC429" s="812"/>
      <c r="AD429" s="763" t="s">
        <v>16873</v>
      </c>
      <c r="AE429" s="807"/>
      <c r="AF429" s="921">
        <f>IF(X429=X428,AF428,0)+IF(ISNUMBER(I429),IF(I429&lt;1,I429,I429*VLOOKUP(J429,Summary!$H$2:$I$9,2)),VLOOKUP(J429,Summary!$J$2:$K$9,2)*IF(ISNUMBER(H429),H429,1))</f>
        <v>0.95347222222222228</v>
      </c>
      <c r="AG429" s="289">
        <v>428</v>
      </c>
      <c r="AH429" s="94"/>
      <c r="AI429" s="94"/>
    </row>
    <row r="430" spans="1:35" s="22" customFormat="1" ht="12" customHeight="1" x14ac:dyDescent="0.25">
      <c r="A430" s="457"/>
      <c r="B430" s="457" t="s">
        <v>2650</v>
      </c>
      <c r="C430" s="458">
        <v>6</v>
      </c>
      <c r="D430" s="188" t="s">
        <v>14411</v>
      </c>
      <c r="E430" s="327" t="s">
        <v>13680</v>
      </c>
      <c r="F430" s="195">
        <v>42546</v>
      </c>
      <c r="G430" s="195"/>
      <c r="H430" s="188" t="s">
        <v>461</v>
      </c>
      <c r="I430" s="188">
        <v>188</v>
      </c>
      <c r="J430" s="902" t="s">
        <v>6868</v>
      </c>
      <c r="K430" s="218" t="s">
        <v>13690</v>
      </c>
      <c r="L430" s="218" t="s">
        <v>461</v>
      </c>
      <c r="M430" s="218"/>
      <c r="N430" s="218"/>
      <c r="O430" s="218"/>
      <c r="P430" s="178"/>
      <c r="Q430" s="218" t="s">
        <v>13674</v>
      </c>
      <c r="R430" s="217" t="s">
        <v>13700</v>
      </c>
      <c r="S430" s="366"/>
      <c r="T430" s="178"/>
      <c r="U430" s="178" t="s">
        <v>2597</v>
      </c>
      <c r="V430" s="178"/>
      <c r="W430" s="327" t="s">
        <v>13680</v>
      </c>
      <c r="X430" s="658" t="s">
        <v>13750</v>
      </c>
      <c r="Y430" s="366"/>
      <c r="Z430" s="188"/>
      <c r="AA430" s="188"/>
      <c r="AB430" s="34">
        <f t="shared" ca="1" si="7"/>
        <v>0.96726494740108782</v>
      </c>
      <c r="AC430" s="814"/>
      <c r="AD430" s="815" t="s">
        <v>16873</v>
      </c>
      <c r="AE430" s="245"/>
      <c r="AF430" s="923">
        <f>IF(X430=X429,AF429,0)+IF(ISNUMBER(I430),IF(I430&lt;1,I430,I430*VLOOKUP(J430,Summary!$H$2:$I$9,2)),VLOOKUP(J430,Summary!$J$2:$K$9,2)*IF(ISNUMBER(H430),H430,1))</f>
        <v>1.0840277777777778</v>
      </c>
      <c r="AG430" s="297">
        <v>429</v>
      </c>
      <c r="AH430" s="94"/>
      <c r="AI430" s="94"/>
    </row>
    <row r="431" spans="1:35" s="1" customFormat="1" ht="12" customHeight="1" x14ac:dyDescent="0.25">
      <c r="A431" s="410"/>
      <c r="B431" s="410" t="s">
        <v>2650</v>
      </c>
      <c r="C431" s="410"/>
      <c r="D431" s="176" t="s">
        <v>14439</v>
      </c>
      <c r="E431" s="313" t="s">
        <v>13728</v>
      </c>
      <c r="F431" s="174">
        <v>42614</v>
      </c>
      <c r="G431" s="181"/>
      <c r="H431" s="176" t="s">
        <v>461</v>
      </c>
      <c r="I431" s="176"/>
      <c r="J431" s="900" t="s">
        <v>2755</v>
      </c>
      <c r="K431" s="164" t="s">
        <v>7085</v>
      </c>
      <c r="L431" s="164" t="s">
        <v>461</v>
      </c>
      <c r="M431" s="164"/>
      <c r="N431" s="164"/>
      <c r="O431" s="164"/>
      <c r="P431" s="173"/>
      <c r="Q431" s="164" t="s">
        <v>13674</v>
      </c>
      <c r="R431" s="177" t="s">
        <v>13703</v>
      </c>
      <c r="S431" s="354"/>
      <c r="T431" s="173"/>
      <c r="U431" s="173" t="s">
        <v>2597</v>
      </c>
      <c r="V431" s="173"/>
      <c r="W431" s="313" t="s">
        <v>13728</v>
      </c>
      <c r="X431" s="645" t="s">
        <v>13750</v>
      </c>
      <c r="Y431" s="354"/>
      <c r="Z431" s="157"/>
      <c r="AA431" s="176"/>
      <c r="AB431" s="32">
        <f t="shared" ca="1" si="7"/>
        <v>0.64693491094454558</v>
      </c>
      <c r="AC431" s="812"/>
      <c r="AD431" s="763" t="s">
        <v>16888</v>
      </c>
      <c r="AE431" s="807"/>
      <c r="AF431" s="921">
        <f>IF(X431=X430,AF430,0)+IF(ISNUMBER(I431),IF(I431&lt;1,I431,I431*VLOOKUP(J431,Summary!$H$2:$I$9,2)),VLOOKUP(J431,Summary!$J$2:$K$9,2)*IF(ISNUMBER(H431),H431,1))</f>
        <v>1.101388888888889</v>
      </c>
      <c r="AG431" s="289">
        <v>430</v>
      </c>
      <c r="AH431" s="94"/>
      <c r="AI431" s="94"/>
    </row>
    <row r="432" spans="1:35" s="22" customFormat="1" ht="12" customHeight="1" x14ac:dyDescent="0.25">
      <c r="A432" s="457"/>
      <c r="B432" s="457" t="s">
        <v>2650</v>
      </c>
      <c r="C432" s="458">
        <v>7</v>
      </c>
      <c r="D432" s="188" t="s">
        <v>14412</v>
      </c>
      <c r="E432" s="327" t="s">
        <v>13681</v>
      </c>
      <c r="F432" s="195">
        <v>42580</v>
      </c>
      <c r="G432" s="195"/>
      <c r="H432" s="188" t="s">
        <v>461</v>
      </c>
      <c r="I432" s="188">
        <v>225</v>
      </c>
      <c r="J432" s="902" t="s">
        <v>6868</v>
      </c>
      <c r="K432" s="218" t="s">
        <v>7085</v>
      </c>
      <c r="L432" s="218" t="s">
        <v>461</v>
      </c>
      <c r="M432" s="218"/>
      <c r="N432" s="218"/>
      <c r="O432" s="218"/>
      <c r="P432" s="178" t="s">
        <v>13696</v>
      </c>
      <c r="Q432" s="218" t="s">
        <v>13674</v>
      </c>
      <c r="R432" s="217" t="s">
        <v>13700</v>
      </c>
      <c r="S432" s="366"/>
      <c r="T432" s="178"/>
      <c r="U432" s="178" t="s">
        <v>2597</v>
      </c>
      <c r="V432" s="178"/>
      <c r="W432" s="327" t="s">
        <v>13681</v>
      </c>
      <c r="X432" s="658" t="s">
        <v>13750</v>
      </c>
      <c r="Y432" s="366"/>
      <c r="Z432" s="188"/>
      <c r="AA432" s="188"/>
      <c r="AB432" s="34">
        <f t="shared" ca="1" si="7"/>
        <v>6.8932803562508083E-2</v>
      </c>
      <c r="AC432" s="814"/>
      <c r="AD432" s="815" t="s">
        <v>16872</v>
      </c>
      <c r="AE432" s="245"/>
      <c r="AF432" s="923">
        <f>IF(X432=X431,AF431,0)+IF(ISNUMBER(I432),IF(I432&lt;1,I432,I432*VLOOKUP(J432,Summary!$H$2:$I$9,2)),VLOOKUP(J432,Summary!$J$2:$K$9,2)*IF(ISNUMBER(H432),H432,1))</f>
        <v>1.257638888888889</v>
      </c>
      <c r="AG432" s="297">
        <v>431</v>
      </c>
      <c r="AH432" s="94"/>
      <c r="AI432" s="94"/>
    </row>
    <row r="433" spans="1:35" s="29" customFormat="1" ht="12" customHeight="1" x14ac:dyDescent="0.25">
      <c r="A433" s="410"/>
      <c r="B433" s="410" t="s">
        <v>2650</v>
      </c>
      <c r="C433" s="410"/>
      <c r="D433" s="176" t="s">
        <v>14442</v>
      </c>
      <c r="E433" s="313" t="s">
        <v>13743</v>
      </c>
      <c r="F433" s="175">
        <v>42888</v>
      </c>
      <c r="G433" s="181"/>
      <c r="H433" s="176" t="s">
        <v>461</v>
      </c>
      <c r="I433" s="176"/>
      <c r="J433" s="900" t="s">
        <v>2755</v>
      </c>
      <c r="K433" s="164" t="s">
        <v>4034</v>
      </c>
      <c r="L433" s="164" t="s">
        <v>461</v>
      </c>
      <c r="M433" s="164"/>
      <c r="N433" s="164"/>
      <c r="O433" s="164"/>
      <c r="P433" s="173"/>
      <c r="Q433" s="164" t="s">
        <v>13674</v>
      </c>
      <c r="R433" s="177" t="s">
        <v>13703</v>
      </c>
      <c r="S433" s="354"/>
      <c r="T433" s="173"/>
      <c r="U433" s="173" t="s">
        <v>2597</v>
      </c>
      <c r="V433" s="173"/>
      <c r="W433" s="313" t="s">
        <v>13743</v>
      </c>
      <c r="X433" s="645" t="s">
        <v>13750</v>
      </c>
      <c r="Y433" s="354"/>
      <c r="Z433" s="157"/>
      <c r="AA433" s="176"/>
      <c r="AB433" s="32">
        <f t="shared" ca="1" si="7"/>
        <v>0.21562591659719521</v>
      </c>
      <c r="AC433" s="812"/>
      <c r="AD433" s="763" t="s">
        <v>16897</v>
      </c>
      <c r="AE433" s="807"/>
      <c r="AF433" s="921">
        <f>IF(X433=X432,AF432,0)+IF(ISNUMBER(I433),IF(I433&lt;1,I433,I433*VLOOKUP(J433,Summary!$H$2:$I$9,2)),VLOOKUP(J433,Summary!$J$2:$K$9,2)*IF(ISNUMBER(H433),H433,1))</f>
        <v>1.2750000000000001</v>
      </c>
      <c r="AG433" s="289">
        <v>432</v>
      </c>
      <c r="AH433" s="94"/>
      <c r="AI433" s="94"/>
    </row>
    <row r="434" spans="1:35" s="2" customFormat="1" ht="12" customHeight="1" x14ac:dyDescent="0.25">
      <c r="A434" s="410"/>
      <c r="B434" s="410" t="s">
        <v>2650</v>
      </c>
      <c r="C434" s="410"/>
      <c r="D434" s="176" t="s">
        <v>14445</v>
      </c>
      <c r="E434" s="313" t="s">
        <v>13725</v>
      </c>
      <c r="F434" s="175">
        <v>42622</v>
      </c>
      <c r="G434" s="181"/>
      <c r="H434" s="176" t="s">
        <v>461</v>
      </c>
      <c r="I434" s="176">
        <v>25</v>
      </c>
      <c r="J434" s="900" t="s">
        <v>2755</v>
      </c>
      <c r="K434" s="164" t="s">
        <v>12006</v>
      </c>
      <c r="L434" s="164" t="s">
        <v>461</v>
      </c>
      <c r="M434" s="164"/>
      <c r="N434" s="164"/>
      <c r="O434" s="164"/>
      <c r="P434" s="173"/>
      <c r="Q434" s="164" t="s">
        <v>13674</v>
      </c>
      <c r="R434" s="177" t="s">
        <v>13703</v>
      </c>
      <c r="S434" s="354"/>
      <c r="T434" s="173"/>
      <c r="U434" s="173" t="s">
        <v>2597</v>
      </c>
      <c r="V434" s="173"/>
      <c r="W434" s="313" t="s">
        <v>13725</v>
      </c>
      <c r="X434" s="645" t="s">
        <v>13750</v>
      </c>
      <c r="Y434" s="354" t="s">
        <v>6000</v>
      </c>
      <c r="Z434" s="157"/>
      <c r="AA434" s="176"/>
      <c r="AB434" s="32">
        <f t="shared" ca="1" si="7"/>
        <v>0.74903286861152607</v>
      </c>
      <c r="AC434" s="812"/>
      <c r="AD434" s="763"/>
      <c r="AE434" s="807"/>
      <c r="AF434" s="921">
        <f>IF(X434=X433,AF433,0)+IF(ISNUMBER(I434),IF(I434&lt;1,I434,I434*VLOOKUP(J434,Summary!$H$2:$I$9,2)),VLOOKUP(J434,Summary!$J$2:$K$9,2)*IF(ISNUMBER(H434),H434,1))</f>
        <v>1.2923611111111113</v>
      </c>
      <c r="AG434" s="289">
        <v>433</v>
      </c>
      <c r="AH434" s="94"/>
      <c r="AI434" s="94"/>
    </row>
    <row r="435" spans="1:35" s="22" customFormat="1" ht="12" customHeight="1" x14ac:dyDescent="0.25">
      <c r="A435" s="457"/>
      <c r="B435" s="457" t="s">
        <v>2650</v>
      </c>
      <c r="C435" s="458">
        <v>8</v>
      </c>
      <c r="D435" s="188" t="s">
        <v>14413</v>
      </c>
      <c r="E435" s="327" t="s">
        <v>13682</v>
      </c>
      <c r="F435" s="195">
        <v>42673</v>
      </c>
      <c r="G435" s="195"/>
      <c r="H435" s="188" t="s">
        <v>461</v>
      </c>
      <c r="I435" s="188">
        <v>194</v>
      </c>
      <c r="J435" s="902" t="s">
        <v>6868</v>
      </c>
      <c r="K435" s="218" t="s">
        <v>13691</v>
      </c>
      <c r="L435" s="218" t="s">
        <v>461</v>
      </c>
      <c r="M435" s="218"/>
      <c r="N435" s="218"/>
      <c r="O435" s="218"/>
      <c r="P435" s="178"/>
      <c r="Q435" s="218" t="s">
        <v>13674</v>
      </c>
      <c r="R435" s="217" t="s">
        <v>13700</v>
      </c>
      <c r="S435" s="366"/>
      <c r="T435" s="178"/>
      <c r="U435" s="178" t="s">
        <v>2597</v>
      </c>
      <c r="V435" s="178"/>
      <c r="W435" s="327" t="s">
        <v>13682</v>
      </c>
      <c r="X435" s="658" t="s">
        <v>13750</v>
      </c>
      <c r="Y435" s="366"/>
      <c r="Z435" s="188"/>
      <c r="AA435" s="188"/>
      <c r="AB435" s="34">
        <f t="shared" ca="1" si="7"/>
        <v>0.59534087264398683</v>
      </c>
      <c r="AC435" s="814"/>
      <c r="AD435" s="815" t="s">
        <v>16870</v>
      </c>
      <c r="AE435" s="245"/>
      <c r="AF435" s="923">
        <f>IF(X435=X434,AF434,0)+IF(ISNUMBER(I435),IF(I435&lt;1,I435,I435*VLOOKUP(J435,Summary!$H$2:$I$9,2)),VLOOKUP(J435,Summary!$J$2:$K$9,2)*IF(ISNUMBER(H435),H435,1))</f>
        <v>1.4270833333333335</v>
      </c>
      <c r="AG435" s="297">
        <v>434</v>
      </c>
      <c r="AH435" s="94"/>
      <c r="AI435" s="94"/>
    </row>
    <row r="436" spans="1:35" s="29" customFormat="1" ht="12" customHeight="1" x14ac:dyDescent="0.25">
      <c r="A436" s="458"/>
      <c r="B436" s="457" t="s">
        <v>2650</v>
      </c>
      <c r="C436" s="458">
        <v>4</v>
      </c>
      <c r="D436" s="188" t="s">
        <v>14422</v>
      </c>
      <c r="E436" s="327" t="s">
        <v>13706</v>
      </c>
      <c r="F436" s="187">
        <v>43070</v>
      </c>
      <c r="G436" s="195"/>
      <c r="H436" s="188" t="s">
        <v>461</v>
      </c>
      <c r="I436" s="188"/>
      <c r="J436" s="902" t="s">
        <v>6868</v>
      </c>
      <c r="K436" s="218" t="s">
        <v>13688</v>
      </c>
      <c r="L436" s="218" t="s">
        <v>461</v>
      </c>
      <c r="M436" s="218"/>
      <c r="N436" s="218"/>
      <c r="O436" s="218"/>
      <c r="P436" s="178"/>
      <c r="Q436" s="218" t="s">
        <v>13674</v>
      </c>
      <c r="R436" s="217" t="s">
        <v>13699</v>
      </c>
      <c r="S436" s="366"/>
      <c r="T436" s="178"/>
      <c r="U436" s="178"/>
      <c r="V436" s="178"/>
      <c r="W436" s="327" t="s">
        <v>13706</v>
      </c>
      <c r="X436" s="658" t="s">
        <v>13750</v>
      </c>
      <c r="Y436" s="366"/>
      <c r="Z436" s="188"/>
      <c r="AA436" s="188"/>
      <c r="AB436" s="34">
        <f t="shared" ca="1" si="7"/>
        <v>0.5048072292032455</v>
      </c>
      <c r="AC436" s="814"/>
      <c r="AD436" s="815" t="s">
        <v>16870</v>
      </c>
      <c r="AE436" s="245"/>
      <c r="AF436" s="923">
        <f>IF(X436=X435,AF435,0)+IF(ISNUMBER(I436),IF(I436&lt;1,I436,I436*VLOOKUP(J436,Summary!$H$2:$I$9,2)),VLOOKUP(J436,Summary!$J$2:$K$9,2)*IF(ISNUMBER(H436),H436,1))</f>
        <v>1.5520833333333335</v>
      </c>
      <c r="AG436" s="297">
        <v>435</v>
      </c>
      <c r="AH436" s="94"/>
      <c r="AI436" s="94"/>
    </row>
    <row r="437" spans="1:35" s="29" customFormat="1" ht="12" customHeight="1" x14ac:dyDescent="0.25">
      <c r="A437" s="410"/>
      <c r="B437" s="410" t="s">
        <v>2650</v>
      </c>
      <c r="C437" s="410"/>
      <c r="D437" s="176" t="s">
        <v>14440</v>
      </c>
      <c r="E437" s="313" t="s">
        <v>13729</v>
      </c>
      <c r="F437" s="175">
        <v>42663</v>
      </c>
      <c r="G437" s="181"/>
      <c r="H437" s="176" t="s">
        <v>461</v>
      </c>
      <c r="I437" s="176"/>
      <c r="J437" s="900" t="s">
        <v>2755</v>
      </c>
      <c r="K437" s="164" t="s">
        <v>2562</v>
      </c>
      <c r="L437" s="164" t="s">
        <v>461</v>
      </c>
      <c r="M437" s="164"/>
      <c r="N437" s="164"/>
      <c r="O437" s="164"/>
      <c r="P437" s="173"/>
      <c r="Q437" s="164" t="s">
        <v>13674</v>
      </c>
      <c r="R437" s="177" t="s">
        <v>13703</v>
      </c>
      <c r="S437" s="354"/>
      <c r="T437" s="173"/>
      <c r="U437" s="173"/>
      <c r="V437" s="173"/>
      <c r="W437" s="313" t="s">
        <v>13729</v>
      </c>
      <c r="X437" s="645" t="s">
        <v>13750</v>
      </c>
      <c r="Y437" s="354"/>
      <c r="Z437" s="157"/>
      <c r="AA437" s="176"/>
      <c r="AB437" s="32">
        <f t="shared" ca="1" si="7"/>
        <v>0.195144957778699</v>
      </c>
      <c r="AC437" s="812"/>
      <c r="AD437" s="763" t="s">
        <v>16898</v>
      </c>
      <c r="AE437" s="807"/>
      <c r="AF437" s="921">
        <f>IF(X437=X436,AF436,0)+IF(ISNUMBER(I437),IF(I437&lt;1,I437,I437*VLOOKUP(J437,Summary!$H$2:$I$9,2)),VLOOKUP(J437,Summary!$J$2:$K$9,2)*IF(ISNUMBER(H437),H437,1))</f>
        <v>1.5694444444444446</v>
      </c>
      <c r="AG437" s="289">
        <v>436</v>
      </c>
      <c r="AH437" s="94"/>
      <c r="AI437" s="94"/>
    </row>
    <row r="438" spans="1:35" s="29" customFormat="1" ht="12" customHeight="1" x14ac:dyDescent="0.25">
      <c r="A438" s="410"/>
      <c r="B438" s="410" t="s">
        <v>2650</v>
      </c>
      <c r="C438" s="410"/>
      <c r="D438" s="176" t="s">
        <v>14446</v>
      </c>
      <c r="E438" s="313" t="s">
        <v>13730</v>
      </c>
      <c r="F438" s="175">
        <v>42699</v>
      </c>
      <c r="G438" s="181"/>
      <c r="H438" s="176" t="s">
        <v>461</v>
      </c>
      <c r="I438" s="176">
        <v>24</v>
      </c>
      <c r="J438" s="900" t="s">
        <v>2755</v>
      </c>
      <c r="K438" s="164" t="s">
        <v>13698</v>
      </c>
      <c r="L438" s="164" t="s">
        <v>461</v>
      </c>
      <c r="M438" s="164"/>
      <c r="N438" s="164"/>
      <c r="O438" s="164"/>
      <c r="P438" s="173"/>
      <c r="Q438" s="164" t="s">
        <v>13674</v>
      </c>
      <c r="R438" s="177" t="s">
        <v>13703</v>
      </c>
      <c r="S438" s="354"/>
      <c r="T438" s="173"/>
      <c r="U438" s="173" t="s">
        <v>2597</v>
      </c>
      <c r="V438" s="173"/>
      <c r="W438" s="313" t="s">
        <v>13730</v>
      </c>
      <c r="X438" s="645" t="s">
        <v>13750</v>
      </c>
      <c r="Y438" s="354" t="s">
        <v>6000</v>
      </c>
      <c r="Z438" s="157"/>
      <c r="AA438" s="176"/>
      <c r="AB438" s="32">
        <f t="shared" ca="1" si="7"/>
        <v>0.27001973473971241</v>
      </c>
      <c r="AC438" s="812"/>
      <c r="AD438" s="763" t="s">
        <v>16888</v>
      </c>
      <c r="AE438" s="807"/>
      <c r="AF438" s="921">
        <f>IF(X438=X437,AF437,0)+IF(ISNUMBER(I438),IF(I438&lt;1,I438,I438*VLOOKUP(J438,Summary!$H$2:$I$9,2)),VLOOKUP(J438,Summary!$J$2:$K$9,2)*IF(ISNUMBER(H438),H438,1))</f>
        <v>1.5861111111111112</v>
      </c>
      <c r="AG438" s="289">
        <v>437</v>
      </c>
      <c r="AH438" s="94"/>
      <c r="AI438" s="94"/>
    </row>
    <row r="439" spans="1:35" s="29" customFormat="1" ht="12" customHeight="1" x14ac:dyDescent="0.25">
      <c r="A439" s="457"/>
      <c r="B439" s="457" t="s">
        <v>2650</v>
      </c>
      <c r="C439" s="458">
        <v>9</v>
      </c>
      <c r="D439" s="188" t="s">
        <v>14414</v>
      </c>
      <c r="E439" s="327" t="s">
        <v>13683</v>
      </c>
      <c r="F439" s="195">
        <v>42705</v>
      </c>
      <c r="G439" s="195"/>
      <c r="H439" s="188" t="s">
        <v>461</v>
      </c>
      <c r="I439" s="188">
        <v>374</v>
      </c>
      <c r="J439" s="902" t="s">
        <v>6868</v>
      </c>
      <c r="K439" s="218" t="s">
        <v>2308</v>
      </c>
      <c r="L439" s="218" t="s">
        <v>461</v>
      </c>
      <c r="M439" s="218"/>
      <c r="N439" s="218"/>
      <c r="O439" s="218"/>
      <c r="P439" s="178"/>
      <c r="Q439" s="218" t="s">
        <v>13674</v>
      </c>
      <c r="R439" s="217" t="s">
        <v>13700</v>
      </c>
      <c r="S439" s="366"/>
      <c r="T439" s="178"/>
      <c r="U439" s="178" t="s">
        <v>2597</v>
      </c>
      <c r="V439" s="178"/>
      <c r="W439" s="327" t="s">
        <v>13683</v>
      </c>
      <c r="X439" s="658" t="s">
        <v>13750</v>
      </c>
      <c r="Y439" s="366"/>
      <c r="Z439" s="188"/>
      <c r="AA439" s="188"/>
      <c r="AB439" s="34">
        <f t="shared" ca="1" si="7"/>
        <v>0.13366796939637604</v>
      </c>
      <c r="AC439" s="814"/>
      <c r="AD439" s="815" t="s">
        <v>16879</v>
      </c>
      <c r="AE439" s="245"/>
      <c r="AF439" s="923">
        <f>IF(X439=X438,AF438,0)+IF(ISNUMBER(I439),IF(I439&lt;1,I439,I439*VLOOKUP(J439,Summary!$H$2:$I$9,2)),VLOOKUP(J439,Summary!$J$2:$K$9,2)*IF(ISNUMBER(H439),H439,1))</f>
        <v>1.8458333333333334</v>
      </c>
      <c r="AG439" s="297">
        <v>438</v>
      </c>
      <c r="AH439" s="94"/>
      <c r="AI439" s="94"/>
    </row>
    <row r="440" spans="1:35" s="22" customFormat="1" ht="12" customHeight="1" x14ac:dyDescent="0.25">
      <c r="A440" s="457"/>
      <c r="B440" s="457" t="s">
        <v>2650</v>
      </c>
      <c r="C440" s="458">
        <v>10</v>
      </c>
      <c r="D440" s="188" t="s">
        <v>14415</v>
      </c>
      <c r="E440" s="327" t="s">
        <v>13684</v>
      </c>
      <c r="F440" s="195">
        <v>42720</v>
      </c>
      <c r="G440" s="195"/>
      <c r="H440" s="188" t="s">
        <v>461</v>
      </c>
      <c r="I440" s="188">
        <v>257</v>
      </c>
      <c r="J440" s="902" t="s">
        <v>6868</v>
      </c>
      <c r="K440" s="218" t="s">
        <v>4035</v>
      </c>
      <c r="L440" s="218" t="s">
        <v>461</v>
      </c>
      <c r="M440" s="218"/>
      <c r="N440" s="218"/>
      <c r="O440" s="218"/>
      <c r="P440" s="178"/>
      <c r="Q440" s="218" t="s">
        <v>13674</v>
      </c>
      <c r="R440" s="217" t="s">
        <v>13700</v>
      </c>
      <c r="S440" s="366"/>
      <c r="T440" s="178"/>
      <c r="U440" s="178" t="s">
        <v>2597</v>
      </c>
      <c r="V440" s="178"/>
      <c r="W440" s="327" t="s">
        <v>13684</v>
      </c>
      <c r="X440" s="658" t="s">
        <v>13751</v>
      </c>
      <c r="Y440" s="366"/>
      <c r="Z440" s="188"/>
      <c r="AA440" s="188"/>
      <c r="AB440" s="34">
        <f t="shared" ca="1" si="7"/>
        <v>0.65413282391314276</v>
      </c>
      <c r="AC440" s="814"/>
      <c r="AD440" s="815" t="s">
        <v>16880</v>
      </c>
      <c r="AE440" s="245"/>
      <c r="AF440" s="923">
        <f>IF(X440=X439,AF439,0)+IF(ISNUMBER(I440),IF(I440&lt;1,I440,I440*VLOOKUP(J440,Summary!$H$2:$I$9,2)),VLOOKUP(J440,Summary!$J$2:$K$9,2)*IF(ISNUMBER(H440),H440,1))</f>
        <v>0.17847222222222223</v>
      </c>
      <c r="AG440" s="297">
        <v>439</v>
      </c>
      <c r="AH440" s="94"/>
      <c r="AI440" s="94"/>
    </row>
    <row r="441" spans="1:35" s="22" customFormat="1" ht="12" customHeight="1" x14ac:dyDescent="0.25">
      <c r="A441" s="410"/>
      <c r="B441" s="410" t="s">
        <v>2650</v>
      </c>
      <c r="C441" s="410"/>
      <c r="D441" s="176" t="s">
        <v>14447</v>
      </c>
      <c r="E441" s="313" t="s">
        <v>13731</v>
      </c>
      <c r="F441" s="175">
        <v>42719</v>
      </c>
      <c r="G441" s="181"/>
      <c r="H441" s="176" t="s">
        <v>461</v>
      </c>
      <c r="I441" s="176"/>
      <c r="J441" s="900" t="s">
        <v>2755</v>
      </c>
      <c r="K441" s="164" t="s">
        <v>2308</v>
      </c>
      <c r="L441" s="164" t="s">
        <v>461</v>
      </c>
      <c r="M441" s="164"/>
      <c r="N441" s="164"/>
      <c r="O441" s="164"/>
      <c r="P441" s="173"/>
      <c r="Q441" s="164" t="s">
        <v>13674</v>
      </c>
      <c r="R441" s="177" t="s">
        <v>13703</v>
      </c>
      <c r="S441" s="354"/>
      <c r="T441" s="173"/>
      <c r="U441" s="173" t="s">
        <v>2597</v>
      </c>
      <c r="V441" s="173"/>
      <c r="W441" s="313" t="s">
        <v>13731</v>
      </c>
      <c r="X441" s="645" t="s">
        <v>13751</v>
      </c>
      <c r="Y441" s="354"/>
      <c r="Z441" s="157"/>
      <c r="AA441" s="176"/>
      <c r="AB441" s="32">
        <f t="shared" ca="1" si="7"/>
        <v>0.52391598523622118</v>
      </c>
      <c r="AC441" s="812"/>
      <c r="AD441" s="763" t="s">
        <v>16895</v>
      </c>
      <c r="AE441" s="807"/>
      <c r="AF441" s="921">
        <f>IF(X441=X440,AF440,0)+IF(ISNUMBER(I441),IF(I441&lt;1,I441,I441*VLOOKUP(J441,Summary!$H$2:$I$9,2)),VLOOKUP(J441,Summary!$J$2:$K$9,2)*IF(ISNUMBER(H441),H441,1))</f>
        <v>0.19583333333333333</v>
      </c>
      <c r="AG441" s="289">
        <v>440</v>
      </c>
      <c r="AH441" s="94"/>
      <c r="AI441" s="94"/>
    </row>
    <row r="442" spans="1:35" s="29" customFormat="1" ht="12" customHeight="1" x14ac:dyDescent="0.25">
      <c r="A442" s="410"/>
      <c r="B442" s="410" t="s">
        <v>2650</v>
      </c>
      <c r="C442" s="410"/>
      <c r="D442" s="176" t="s">
        <v>14431</v>
      </c>
      <c r="E442" s="313" t="s">
        <v>13714</v>
      </c>
      <c r="F442" s="175">
        <v>42361</v>
      </c>
      <c r="G442" s="181"/>
      <c r="H442" s="176" t="s">
        <v>461</v>
      </c>
      <c r="I442" s="176"/>
      <c r="J442" s="900" t="s">
        <v>2755</v>
      </c>
      <c r="K442" s="164" t="s">
        <v>13718</v>
      </c>
      <c r="L442" s="164" t="s">
        <v>461</v>
      </c>
      <c r="M442" s="164"/>
      <c r="N442" s="164"/>
      <c r="O442" s="164"/>
      <c r="P442" s="173"/>
      <c r="Q442" s="164" t="s">
        <v>13674</v>
      </c>
      <c r="R442" s="177" t="s">
        <v>13703</v>
      </c>
      <c r="S442" s="354"/>
      <c r="T442" s="173"/>
      <c r="U442" s="173" t="s">
        <v>2597</v>
      </c>
      <c r="V442" s="173"/>
      <c r="W442" s="313" t="s">
        <v>13714</v>
      </c>
      <c r="X442" s="645" t="s">
        <v>13751</v>
      </c>
      <c r="Y442" s="354"/>
      <c r="Z442" s="157"/>
      <c r="AA442" s="176"/>
      <c r="AB442" s="32">
        <f t="shared" ca="1" si="7"/>
        <v>0.32853273898778279</v>
      </c>
      <c r="AC442" s="812"/>
      <c r="AD442" s="763" t="s">
        <v>16895</v>
      </c>
      <c r="AE442" s="807"/>
      <c r="AF442" s="921">
        <f>IF(X442=X441,AF441,0)+IF(ISNUMBER(I442),IF(I442&lt;1,I442,I442*VLOOKUP(J442,Summary!$H$2:$I$9,2)),VLOOKUP(J442,Summary!$J$2:$K$9,2)*IF(ISNUMBER(H442),H442,1))</f>
        <v>0.21319444444444444</v>
      </c>
      <c r="AG442" s="289">
        <v>441</v>
      </c>
      <c r="AH442" s="94"/>
      <c r="AI442" s="94"/>
    </row>
    <row r="443" spans="1:35" s="1" customFormat="1" ht="12" customHeight="1" x14ac:dyDescent="0.25">
      <c r="A443" s="410"/>
      <c r="B443" s="410" t="s">
        <v>2650</v>
      </c>
      <c r="C443" s="410"/>
      <c r="D443" s="176" t="s">
        <v>14448</v>
      </c>
      <c r="E443" s="313" t="s">
        <v>13732</v>
      </c>
      <c r="F443" s="175">
        <v>42719</v>
      </c>
      <c r="G443" s="181"/>
      <c r="H443" s="176" t="s">
        <v>461</v>
      </c>
      <c r="I443" s="176"/>
      <c r="J443" s="900" t="s">
        <v>2755</v>
      </c>
      <c r="K443" s="164" t="s">
        <v>9281</v>
      </c>
      <c r="L443" s="164" t="s">
        <v>461</v>
      </c>
      <c r="M443" s="164"/>
      <c r="N443" s="164"/>
      <c r="O443" s="164"/>
      <c r="P443" s="173"/>
      <c r="Q443" s="164" t="s">
        <v>13674</v>
      </c>
      <c r="R443" s="177" t="s">
        <v>13703</v>
      </c>
      <c r="S443" s="354"/>
      <c r="T443" s="173"/>
      <c r="U443" s="173" t="s">
        <v>2597</v>
      </c>
      <c r="V443" s="173"/>
      <c r="W443" s="313" t="s">
        <v>13732</v>
      </c>
      <c r="X443" s="645" t="s">
        <v>13751</v>
      </c>
      <c r="Y443" s="354"/>
      <c r="Z443" s="157"/>
      <c r="AA443" s="176"/>
      <c r="AB443" s="32">
        <f t="shared" ca="1" si="7"/>
        <v>0.43946054140692958</v>
      </c>
      <c r="AC443" s="812"/>
      <c r="AD443" s="763" t="s">
        <v>16896</v>
      </c>
      <c r="AE443" s="807"/>
      <c r="AF443" s="921">
        <f>IF(X443=X442,AF442,0)+IF(ISNUMBER(I443),IF(I443&lt;1,I443,I443*VLOOKUP(J443,Summary!$H$2:$I$9,2)),VLOOKUP(J443,Summary!$J$2:$K$9,2)*IF(ISNUMBER(H443),H443,1))</f>
        <v>0.23055555555555554</v>
      </c>
      <c r="AG443" s="289">
        <v>442</v>
      </c>
      <c r="AH443" s="94"/>
      <c r="AI443" s="94"/>
    </row>
    <row r="444" spans="1:35" s="43" customFormat="1" ht="12" customHeight="1" x14ac:dyDescent="0.25">
      <c r="A444" s="410"/>
      <c r="B444" s="410" t="s">
        <v>2650</v>
      </c>
      <c r="C444" s="410"/>
      <c r="D444" s="176" t="s">
        <v>14449</v>
      </c>
      <c r="E444" s="313" t="s">
        <v>13736</v>
      </c>
      <c r="F444" s="174">
        <v>42795</v>
      </c>
      <c r="G444" s="181"/>
      <c r="H444" s="176" t="s">
        <v>461</v>
      </c>
      <c r="I444" s="176"/>
      <c r="J444" s="900" t="s">
        <v>2755</v>
      </c>
      <c r="K444" s="164" t="s">
        <v>13738</v>
      </c>
      <c r="L444" s="164" t="s">
        <v>461</v>
      </c>
      <c r="M444" s="164"/>
      <c r="N444" s="164"/>
      <c r="O444" s="164"/>
      <c r="P444" s="173"/>
      <c r="Q444" s="164" t="s">
        <v>13674</v>
      </c>
      <c r="R444" s="177" t="s">
        <v>13703</v>
      </c>
      <c r="S444" s="354"/>
      <c r="T444" s="173"/>
      <c r="U444" s="173"/>
      <c r="V444" s="173"/>
      <c r="W444" s="313" t="s">
        <v>13736</v>
      </c>
      <c r="X444" s="645" t="s">
        <v>13751</v>
      </c>
      <c r="Y444" s="354"/>
      <c r="Z444" s="157"/>
      <c r="AA444" s="176"/>
      <c r="AB444" s="32">
        <f t="shared" ca="1" si="7"/>
        <v>0.36814426045501625</v>
      </c>
      <c r="AC444" s="812"/>
      <c r="AD444" s="763" t="s">
        <v>16880</v>
      </c>
      <c r="AE444" s="807"/>
      <c r="AF444" s="921">
        <f>IF(X444=X443,AF443,0)+IF(ISNUMBER(I444),IF(I444&lt;1,I444,I444*VLOOKUP(J444,Summary!$H$2:$I$9,2)),VLOOKUP(J444,Summary!$J$2:$K$9,2)*IF(ISNUMBER(H444),H444,1))</f>
        <v>0.24791666666666665</v>
      </c>
      <c r="AG444" s="289">
        <v>443</v>
      </c>
      <c r="AH444" s="94"/>
      <c r="AI444" s="94"/>
    </row>
    <row r="445" spans="1:35" s="22" customFormat="1" ht="12" customHeight="1" x14ac:dyDescent="0.25">
      <c r="A445" s="410"/>
      <c r="B445" s="410" t="s">
        <v>2650</v>
      </c>
      <c r="C445" s="410"/>
      <c r="D445" s="176" t="s">
        <v>14443</v>
      </c>
      <c r="E445" s="313" t="s">
        <v>13739</v>
      </c>
      <c r="F445" s="175">
        <v>42851</v>
      </c>
      <c r="G445" s="181"/>
      <c r="H445" s="176" t="s">
        <v>461</v>
      </c>
      <c r="I445" s="176"/>
      <c r="J445" s="900" t="s">
        <v>2755</v>
      </c>
      <c r="K445" s="164" t="s">
        <v>13740</v>
      </c>
      <c r="L445" s="164" t="s">
        <v>461</v>
      </c>
      <c r="M445" s="164"/>
      <c r="N445" s="164"/>
      <c r="O445" s="164"/>
      <c r="P445" s="173"/>
      <c r="Q445" s="164" t="s">
        <v>13674</v>
      </c>
      <c r="R445" s="177" t="s">
        <v>13703</v>
      </c>
      <c r="S445" s="354"/>
      <c r="T445" s="173"/>
      <c r="U445" s="173" t="s">
        <v>2597</v>
      </c>
      <c r="V445" s="173"/>
      <c r="W445" s="313" t="s">
        <v>13739</v>
      </c>
      <c r="X445" s="645" t="s">
        <v>13751</v>
      </c>
      <c r="Y445" s="354"/>
      <c r="Z445" s="157"/>
      <c r="AA445" s="176"/>
      <c r="AB445" s="32">
        <f t="shared" ca="1" si="7"/>
        <v>3.1056571090086083E-2</v>
      </c>
      <c r="AC445" s="812"/>
      <c r="AD445" s="763" t="s">
        <v>16899</v>
      </c>
      <c r="AE445" s="807"/>
      <c r="AF445" s="921">
        <f>IF(X445=X444,AF444,0)+IF(ISNUMBER(I445),IF(I445&lt;1,I445,I445*VLOOKUP(J445,Summary!$H$2:$I$9,2)),VLOOKUP(J445,Summary!$J$2:$K$9,2)*IF(ISNUMBER(H445),H445,1))</f>
        <v>0.26527777777777778</v>
      </c>
      <c r="AG445" s="289">
        <v>444</v>
      </c>
      <c r="AH445" s="94"/>
      <c r="AI445" s="94"/>
    </row>
    <row r="446" spans="1:35" s="29" customFormat="1" ht="12" customHeight="1" x14ac:dyDescent="0.25">
      <c r="A446" s="458"/>
      <c r="B446" s="457" t="s">
        <v>2650</v>
      </c>
      <c r="C446" s="458">
        <v>11</v>
      </c>
      <c r="D446" s="188" t="s">
        <v>14416</v>
      </c>
      <c r="E446" s="327" t="s">
        <v>13685</v>
      </c>
      <c r="F446" s="195">
        <v>42895</v>
      </c>
      <c r="G446" s="195"/>
      <c r="H446" s="188" t="s">
        <v>461</v>
      </c>
      <c r="I446" s="188">
        <v>214</v>
      </c>
      <c r="J446" s="902" t="s">
        <v>6868</v>
      </c>
      <c r="K446" s="218" t="s">
        <v>13688</v>
      </c>
      <c r="L446" s="218" t="s">
        <v>461</v>
      </c>
      <c r="M446" s="218"/>
      <c r="N446" s="218"/>
      <c r="O446" s="218"/>
      <c r="P446" s="178"/>
      <c r="Q446" s="218" t="s">
        <v>13674</v>
      </c>
      <c r="R446" s="217" t="s">
        <v>13700</v>
      </c>
      <c r="S446" s="366"/>
      <c r="T446" s="178"/>
      <c r="U446" s="178" t="s">
        <v>2597</v>
      </c>
      <c r="V446" s="178"/>
      <c r="W446" s="327" t="s">
        <v>13685</v>
      </c>
      <c r="X446" s="658" t="s">
        <v>13751</v>
      </c>
      <c r="Y446" s="366"/>
      <c r="Z446" s="188"/>
      <c r="AA446" s="188"/>
      <c r="AB446" s="34">
        <f t="shared" ca="1" si="7"/>
        <v>5.8192747207940765E-2</v>
      </c>
      <c r="AC446" s="814"/>
      <c r="AD446" s="815" t="s">
        <v>16881</v>
      </c>
      <c r="AE446" s="245"/>
      <c r="AF446" s="923">
        <f>IF(X446=X445,AF445,0)+IF(ISNUMBER(I446),IF(I446&lt;1,I446,I446*VLOOKUP(J446,Summary!$H$2:$I$9,2)),VLOOKUP(J446,Summary!$J$2:$K$9,2)*IF(ISNUMBER(H446),H446,1))</f>
        <v>0.41388888888888886</v>
      </c>
      <c r="AG446" s="297">
        <v>445</v>
      </c>
      <c r="AH446" s="94"/>
      <c r="AI446" s="94"/>
    </row>
    <row r="447" spans="1:35" s="2" customFormat="1" ht="12" customHeight="1" x14ac:dyDescent="0.25">
      <c r="A447" s="458"/>
      <c r="B447" s="457" t="s">
        <v>2650</v>
      </c>
      <c r="C447" s="458">
        <v>1</v>
      </c>
      <c r="D447" s="188" t="s">
        <v>14419</v>
      </c>
      <c r="E447" s="327" t="s">
        <v>13701</v>
      </c>
      <c r="F447" s="187">
        <v>42856</v>
      </c>
      <c r="G447" s="195"/>
      <c r="H447" s="188" t="s">
        <v>461</v>
      </c>
      <c r="I447" s="188"/>
      <c r="J447" s="902" t="s">
        <v>6868</v>
      </c>
      <c r="K447" s="218" t="s">
        <v>7085</v>
      </c>
      <c r="L447" s="218" t="s">
        <v>461</v>
      </c>
      <c r="M447" s="218"/>
      <c r="N447" s="218"/>
      <c r="O447" s="218"/>
      <c r="P447" s="178"/>
      <c r="Q447" s="218" t="s">
        <v>13674</v>
      </c>
      <c r="R447" s="217" t="s">
        <v>13699</v>
      </c>
      <c r="S447" s="366"/>
      <c r="T447" s="178"/>
      <c r="U447" s="178"/>
      <c r="V447" s="178"/>
      <c r="W447" s="327" t="s">
        <v>13701</v>
      </c>
      <c r="X447" s="658" t="s">
        <v>13751</v>
      </c>
      <c r="Y447" s="366"/>
      <c r="Z447" s="188"/>
      <c r="AA447" s="188"/>
      <c r="AB447" s="34">
        <f t="shared" ca="1" si="7"/>
        <v>0.62134678056254189</v>
      </c>
      <c r="AC447" s="814"/>
      <c r="AD447" s="815" t="s">
        <v>16869</v>
      </c>
      <c r="AE447" s="245"/>
      <c r="AF447" s="923">
        <f>IF(X447=X446,AF446,0)+IF(ISNUMBER(I447),IF(I447&lt;1,I447,I447*VLOOKUP(J447,Summary!$H$2:$I$9,2)),VLOOKUP(J447,Summary!$J$2:$K$9,2)*IF(ISNUMBER(H447),H447,1))</f>
        <v>0.53888888888888886</v>
      </c>
      <c r="AG447" s="297">
        <v>446</v>
      </c>
      <c r="AH447" s="94"/>
      <c r="AI447" s="94"/>
    </row>
    <row r="448" spans="1:35" s="43" customFormat="1" ht="12" customHeight="1" x14ac:dyDescent="0.25">
      <c r="A448" s="458"/>
      <c r="B448" s="457" t="s">
        <v>2650</v>
      </c>
      <c r="C448" s="458">
        <v>12</v>
      </c>
      <c r="D448" s="188" t="s">
        <v>14417</v>
      </c>
      <c r="E448" s="327" t="s">
        <v>13686</v>
      </c>
      <c r="F448" s="195">
        <v>42940</v>
      </c>
      <c r="G448" s="195"/>
      <c r="H448" s="188" t="s">
        <v>461</v>
      </c>
      <c r="I448" s="188">
        <v>207</v>
      </c>
      <c r="J448" s="902" t="s">
        <v>6868</v>
      </c>
      <c r="K448" s="218" t="s">
        <v>3500</v>
      </c>
      <c r="L448" s="218" t="s">
        <v>461</v>
      </c>
      <c r="M448" s="218"/>
      <c r="N448" s="218"/>
      <c r="O448" s="218"/>
      <c r="P448" s="178"/>
      <c r="Q448" s="218" t="s">
        <v>13674</v>
      </c>
      <c r="R448" s="217" t="s">
        <v>13700</v>
      </c>
      <c r="S448" s="366"/>
      <c r="T448" s="178"/>
      <c r="U448" s="178" t="s">
        <v>2597</v>
      </c>
      <c r="V448" s="178"/>
      <c r="W448" s="327" t="s">
        <v>13686</v>
      </c>
      <c r="X448" s="658" t="s">
        <v>13751</v>
      </c>
      <c r="Y448" s="366"/>
      <c r="Z448" s="188"/>
      <c r="AA448" s="188"/>
      <c r="AB448" s="34">
        <f t="shared" ca="1" si="7"/>
        <v>0.91414280295201933</v>
      </c>
      <c r="AC448" s="814"/>
      <c r="AD448" s="815" t="s">
        <v>16882</v>
      </c>
      <c r="AE448" s="245"/>
      <c r="AF448" s="923">
        <f>IF(X448=X447,AF447,0)+IF(ISNUMBER(I448),IF(I448&lt;1,I448,I448*VLOOKUP(J448,Summary!$H$2:$I$9,2)),VLOOKUP(J448,Summary!$J$2:$K$9,2)*IF(ISNUMBER(H448),H448,1))</f>
        <v>0.68263888888888891</v>
      </c>
      <c r="AG448" s="297">
        <v>447</v>
      </c>
      <c r="AH448" s="94"/>
      <c r="AI448" s="94"/>
    </row>
    <row r="449" spans="1:35" s="2" customFormat="1" ht="12" customHeight="1" x14ac:dyDescent="0.25">
      <c r="A449" s="410"/>
      <c r="B449" s="410" t="s">
        <v>2650</v>
      </c>
      <c r="C449" s="410"/>
      <c r="D449" s="176" t="s">
        <v>14444</v>
      </c>
      <c r="E449" s="313" t="s">
        <v>14456</v>
      </c>
      <c r="F449" s="175">
        <v>43160</v>
      </c>
      <c r="G449" s="181"/>
      <c r="H449" s="176" t="s">
        <v>461</v>
      </c>
      <c r="I449" s="176"/>
      <c r="J449" s="900" t="s">
        <v>2755</v>
      </c>
      <c r="K449" s="164" t="s">
        <v>14461</v>
      </c>
      <c r="L449" s="164" t="s">
        <v>461</v>
      </c>
      <c r="M449" s="164"/>
      <c r="N449" s="164"/>
      <c r="O449" s="164"/>
      <c r="P449" s="173"/>
      <c r="Q449" s="164" t="s">
        <v>13674</v>
      </c>
      <c r="R449" s="177" t="s">
        <v>13703</v>
      </c>
      <c r="S449" s="354"/>
      <c r="T449" s="173"/>
      <c r="U449" s="173" t="s">
        <v>2597</v>
      </c>
      <c r="V449" s="173"/>
      <c r="W449" s="313" t="s">
        <v>14456</v>
      </c>
      <c r="X449" s="645" t="s">
        <v>13751</v>
      </c>
      <c r="Y449" s="354"/>
      <c r="Z449" s="157"/>
      <c r="AA449" s="176"/>
      <c r="AB449" s="32">
        <f t="shared" ca="1" si="7"/>
        <v>0.24405782153583566</v>
      </c>
      <c r="AC449" s="812"/>
      <c r="AD449" s="763"/>
      <c r="AE449" s="807"/>
      <c r="AF449" s="921">
        <f>IF(X449=X448,AF448,0)+IF(ISNUMBER(I449),IF(I449&lt;1,I449,I449*VLOOKUP(J449,Summary!$H$2:$I$9,2)),VLOOKUP(J449,Summary!$J$2:$K$9,2)*IF(ISNUMBER(H449),H449,1))</f>
        <v>0.70000000000000007</v>
      </c>
      <c r="AG449" s="289">
        <v>448</v>
      </c>
      <c r="AH449" s="94"/>
      <c r="AI449" s="94"/>
    </row>
    <row r="450" spans="1:35" s="22" customFormat="1" ht="12" customHeight="1" x14ac:dyDescent="0.25">
      <c r="A450" s="458"/>
      <c r="B450" s="457" t="s">
        <v>2650</v>
      </c>
      <c r="C450" s="458">
        <v>13</v>
      </c>
      <c r="D450" s="188" t="s">
        <v>14418</v>
      </c>
      <c r="E450" s="327" t="s">
        <v>13687</v>
      </c>
      <c r="F450" s="195">
        <v>42957</v>
      </c>
      <c r="G450" s="195"/>
      <c r="H450" s="188" t="s">
        <v>461</v>
      </c>
      <c r="I450" s="188">
        <v>193</v>
      </c>
      <c r="J450" s="902" t="s">
        <v>6868</v>
      </c>
      <c r="K450" s="218" t="s">
        <v>13692</v>
      </c>
      <c r="L450" s="218" t="s">
        <v>461</v>
      </c>
      <c r="M450" s="218"/>
      <c r="N450" s="218"/>
      <c r="O450" s="218"/>
      <c r="P450" s="178"/>
      <c r="Q450" s="218" t="s">
        <v>13674</v>
      </c>
      <c r="R450" s="217" t="s">
        <v>13700</v>
      </c>
      <c r="S450" s="366"/>
      <c r="T450" s="178"/>
      <c r="U450" s="178" t="s">
        <v>2597</v>
      </c>
      <c r="V450" s="178"/>
      <c r="W450" s="327" t="s">
        <v>13687</v>
      </c>
      <c r="X450" s="658" t="s">
        <v>13751</v>
      </c>
      <c r="Y450" s="366"/>
      <c r="Z450" s="188"/>
      <c r="AA450" s="188"/>
      <c r="AB450" s="34">
        <f t="shared" ref="AB450:AB513" ca="1" si="8">RAND()</f>
        <v>0.50342382471785252</v>
      </c>
      <c r="AC450" s="814"/>
      <c r="AD450" s="815" t="s">
        <v>16883</v>
      </c>
      <c r="AE450" s="245"/>
      <c r="AF450" s="923">
        <f>IF(X450=X449,AF449,0)+IF(ISNUMBER(I450),IF(I450&lt;1,I450,I450*VLOOKUP(J450,Summary!$H$2:$I$9,2)),VLOOKUP(J450,Summary!$J$2:$K$9,2)*IF(ISNUMBER(H450),H450,1))</f>
        <v>0.83402777777777781</v>
      </c>
      <c r="AG450" s="297">
        <v>449</v>
      </c>
      <c r="AH450" s="94"/>
      <c r="AI450" s="94"/>
    </row>
    <row r="451" spans="1:35" s="29" customFormat="1" ht="12" customHeight="1" x14ac:dyDescent="0.25">
      <c r="A451" s="410"/>
      <c r="B451" s="410" t="s">
        <v>2650</v>
      </c>
      <c r="C451" s="410"/>
      <c r="D451" s="176"/>
      <c r="E451" s="313" t="s">
        <v>13745</v>
      </c>
      <c r="F451" s="175">
        <v>43070</v>
      </c>
      <c r="G451" s="181"/>
      <c r="H451" s="176" t="s">
        <v>461</v>
      </c>
      <c r="I451" s="176"/>
      <c r="J451" s="900" t="s">
        <v>2755</v>
      </c>
      <c r="K451" s="164" t="s">
        <v>13367</v>
      </c>
      <c r="L451" s="164" t="s">
        <v>461</v>
      </c>
      <c r="M451" s="164"/>
      <c r="N451" s="164"/>
      <c r="O451" s="164"/>
      <c r="P451" s="173"/>
      <c r="Q451" s="164" t="s">
        <v>13674</v>
      </c>
      <c r="R451" s="177" t="s">
        <v>13703</v>
      </c>
      <c r="S451" s="354"/>
      <c r="T451" s="173"/>
      <c r="U451" s="173" t="s">
        <v>2597</v>
      </c>
      <c r="V451" s="173"/>
      <c r="W451" s="313" t="s">
        <v>13745</v>
      </c>
      <c r="X451" s="645" t="s">
        <v>13751</v>
      </c>
      <c r="Y451" s="354"/>
      <c r="Z451" s="157"/>
      <c r="AA451" s="176"/>
      <c r="AB451" s="32">
        <f t="shared" ca="1" si="8"/>
        <v>0.139023292432642</v>
      </c>
      <c r="AC451" s="812"/>
      <c r="AD451" s="763" t="s">
        <v>16882</v>
      </c>
      <c r="AE451" s="807"/>
      <c r="AF451" s="921">
        <f>IF(X451=X450,AF450,0)+IF(ISNUMBER(I451),IF(I451&lt;1,I451,I451*VLOOKUP(J451,Summary!$H$2:$I$9,2)),VLOOKUP(J451,Summary!$J$2:$K$9,2)*IF(ISNUMBER(H451),H451,1))</f>
        <v>0.85138888888888897</v>
      </c>
      <c r="AG451" s="289">
        <v>450</v>
      </c>
      <c r="AH451" s="94"/>
      <c r="AI451" s="94"/>
    </row>
    <row r="452" spans="1:35" s="2" customFormat="1" ht="12" customHeight="1" x14ac:dyDescent="0.25">
      <c r="A452" s="410"/>
      <c r="B452" s="410" t="s">
        <v>2650</v>
      </c>
      <c r="C452" s="410"/>
      <c r="D452" s="176" t="s">
        <v>14452</v>
      </c>
      <c r="E452" s="313" t="s">
        <v>14465</v>
      </c>
      <c r="F452" s="175">
        <v>43160</v>
      </c>
      <c r="G452" s="181"/>
      <c r="H452" s="176" t="s">
        <v>461</v>
      </c>
      <c r="I452" s="176"/>
      <c r="J452" s="900" t="s">
        <v>2755</v>
      </c>
      <c r="K452" s="164" t="s">
        <v>14462</v>
      </c>
      <c r="L452" s="164" t="s">
        <v>461</v>
      </c>
      <c r="M452" s="164"/>
      <c r="N452" s="164"/>
      <c r="O452" s="164"/>
      <c r="P452" s="173"/>
      <c r="Q452" s="164" t="s">
        <v>13674</v>
      </c>
      <c r="R452" s="177" t="s">
        <v>13703</v>
      </c>
      <c r="S452" s="354"/>
      <c r="T452" s="173"/>
      <c r="U452" s="173" t="s">
        <v>2597</v>
      </c>
      <c r="V452" s="173"/>
      <c r="W452" s="313" t="s">
        <v>14457</v>
      </c>
      <c r="X452" s="645" t="s">
        <v>13751</v>
      </c>
      <c r="Y452" s="354"/>
      <c r="Z452" s="157"/>
      <c r="AA452" s="176"/>
      <c r="AB452" s="32">
        <f t="shared" ca="1" si="8"/>
        <v>0.53888662588089775</v>
      </c>
      <c r="AC452" s="812"/>
      <c r="AD452" s="763"/>
      <c r="AE452" s="807"/>
      <c r="AF452" s="921">
        <f>IF(X452=X451,AF451,0)+IF(ISNUMBER(I452),IF(I452&lt;1,I452,I452*VLOOKUP(J452,Summary!$H$2:$I$9,2)),VLOOKUP(J452,Summary!$J$2:$K$9,2)*IF(ISNUMBER(H452),H452,1))</f>
        <v>0.86875000000000013</v>
      </c>
      <c r="AG452" s="289">
        <v>451</v>
      </c>
      <c r="AH452" s="94"/>
      <c r="AI452" s="94"/>
    </row>
    <row r="453" spans="1:35" s="2" customFormat="1" ht="12" customHeight="1" x14ac:dyDescent="0.25">
      <c r="A453" s="458"/>
      <c r="B453" s="457" t="s">
        <v>2650</v>
      </c>
      <c r="C453" s="458">
        <v>2</v>
      </c>
      <c r="D453" s="188" t="s">
        <v>14420</v>
      </c>
      <c r="E453" s="327" t="s">
        <v>13704</v>
      </c>
      <c r="F453" s="187">
        <v>42948</v>
      </c>
      <c r="G453" s="195"/>
      <c r="H453" s="188" t="s">
        <v>461</v>
      </c>
      <c r="I453" s="188">
        <v>125</v>
      </c>
      <c r="J453" s="902" t="s">
        <v>6868</v>
      </c>
      <c r="K453" s="218" t="s">
        <v>12006</v>
      </c>
      <c r="L453" s="218" t="s">
        <v>461</v>
      </c>
      <c r="M453" s="218"/>
      <c r="N453" s="218"/>
      <c r="O453" s="218"/>
      <c r="P453" s="178"/>
      <c r="Q453" s="218" t="s">
        <v>13674</v>
      </c>
      <c r="R453" s="217" t="s">
        <v>13699</v>
      </c>
      <c r="S453" s="366"/>
      <c r="T453" s="178"/>
      <c r="U453" s="178" t="s">
        <v>2597</v>
      </c>
      <c r="V453" s="178"/>
      <c r="W453" s="327" t="s">
        <v>13704</v>
      </c>
      <c r="X453" s="658" t="s">
        <v>13751</v>
      </c>
      <c r="Y453" s="366"/>
      <c r="Z453" s="188"/>
      <c r="AA453" s="188"/>
      <c r="AB453" s="34">
        <f t="shared" ca="1" si="8"/>
        <v>0.4526935653543892</v>
      </c>
      <c r="AC453" s="814"/>
      <c r="AD453" s="815" t="s">
        <v>16871</v>
      </c>
      <c r="AE453" s="245"/>
      <c r="AF453" s="923">
        <f>IF(X453=X452,AF452,0)+IF(ISNUMBER(I453),IF(I453&lt;1,I453,I453*VLOOKUP(J453,Summary!$H$2:$I$9,2)),VLOOKUP(J453,Summary!$J$2:$K$9,2)*IF(ISNUMBER(H453),H453,1))</f>
        <v>0.95555555555555571</v>
      </c>
      <c r="AG453" s="297">
        <v>452</v>
      </c>
      <c r="AH453" s="94"/>
      <c r="AI453" s="94"/>
    </row>
    <row r="454" spans="1:35" s="3" customFormat="1" ht="12" customHeight="1" x14ac:dyDescent="0.25">
      <c r="A454" s="410"/>
      <c r="B454" s="410" t="s">
        <v>2650</v>
      </c>
      <c r="C454" s="410"/>
      <c r="D454" s="176" t="s">
        <v>14453</v>
      </c>
      <c r="E454" s="313" t="s">
        <v>14458</v>
      </c>
      <c r="F454" s="175">
        <v>43160</v>
      </c>
      <c r="G454" s="181"/>
      <c r="H454" s="176" t="s">
        <v>461</v>
      </c>
      <c r="I454" s="176"/>
      <c r="J454" s="900" t="s">
        <v>2755</v>
      </c>
      <c r="K454" s="164" t="s">
        <v>14463</v>
      </c>
      <c r="L454" s="164" t="s">
        <v>461</v>
      </c>
      <c r="M454" s="164"/>
      <c r="N454" s="164"/>
      <c r="O454" s="164"/>
      <c r="P454" s="173"/>
      <c r="Q454" s="164" t="s">
        <v>13674</v>
      </c>
      <c r="R454" s="177" t="s">
        <v>13703</v>
      </c>
      <c r="S454" s="354"/>
      <c r="T454" s="173"/>
      <c r="U454" s="173" t="s">
        <v>2597</v>
      </c>
      <c r="V454" s="173"/>
      <c r="W454" s="313" t="s">
        <v>14458</v>
      </c>
      <c r="X454" s="645" t="s">
        <v>13751</v>
      </c>
      <c r="Y454" s="354"/>
      <c r="Z454" s="157"/>
      <c r="AA454" s="176"/>
      <c r="AB454" s="32">
        <f t="shared" ca="1" si="8"/>
        <v>4.4321721289777405E-2</v>
      </c>
      <c r="AC454" s="812"/>
      <c r="AD454" s="763"/>
      <c r="AE454" s="807"/>
      <c r="AF454" s="921">
        <f>IF(X454=X453,AF453,0)+IF(ISNUMBER(I454),IF(I454&lt;1,I454,I454*VLOOKUP(J454,Summary!$H$2:$I$9,2)),VLOOKUP(J454,Summary!$J$2:$K$9,2)*IF(ISNUMBER(H454),H454,1))</f>
        <v>0.97291666666666687</v>
      </c>
      <c r="AG454" s="289">
        <v>453</v>
      </c>
      <c r="AH454" s="94"/>
      <c r="AI454" s="94"/>
    </row>
    <row r="455" spans="1:35" s="2" customFormat="1" ht="12" customHeight="1" x14ac:dyDescent="0.25">
      <c r="A455" s="458"/>
      <c r="B455" s="457" t="s">
        <v>2650</v>
      </c>
      <c r="C455" s="458">
        <v>14</v>
      </c>
      <c r="D455" s="188" t="s">
        <v>14404</v>
      </c>
      <c r="E455" s="327" t="s">
        <v>13697</v>
      </c>
      <c r="F455" s="187">
        <v>43101</v>
      </c>
      <c r="G455" s="195"/>
      <c r="H455" s="188" t="s">
        <v>461</v>
      </c>
      <c r="I455" s="188">
        <v>211</v>
      </c>
      <c r="J455" s="902" t="s">
        <v>6868</v>
      </c>
      <c r="K455" s="218" t="s">
        <v>13698</v>
      </c>
      <c r="L455" s="218" t="s">
        <v>461</v>
      </c>
      <c r="M455" s="218"/>
      <c r="N455" s="218"/>
      <c r="O455" s="218"/>
      <c r="P455" s="178"/>
      <c r="Q455" s="218" t="s">
        <v>13674</v>
      </c>
      <c r="R455" s="217" t="s">
        <v>13700</v>
      </c>
      <c r="S455" s="366"/>
      <c r="T455" s="178"/>
      <c r="U455" s="178" t="s">
        <v>2597</v>
      </c>
      <c r="V455" s="178"/>
      <c r="W455" s="327" t="s">
        <v>13697</v>
      </c>
      <c r="X455" s="658" t="s">
        <v>13751</v>
      </c>
      <c r="Y455" s="366"/>
      <c r="Z455" s="188"/>
      <c r="AA455" s="188"/>
      <c r="AB455" s="34">
        <f t="shared" ca="1" si="8"/>
        <v>0.2388823552192213</v>
      </c>
      <c r="AC455" s="814"/>
      <c r="AD455" s="815"/>
      <c r="AE455" s="245"/>
      <c r="AF455" s="923">
        <f>IF(X455=X454,AF454,0)+IF(ISNUMBER(I455),IF(I455&lt;1,I455,I455*VLOOKUP(J455,Summary!$H$2:$I$9,2)),VLOOKUP(J455,Summary!$J$2:$K$9,2)*IF(ISNUMBER(H455),H455,1))</f>
        <v>1.1194444444444447</v>
      </c>
      <c r="AG455" s="297">
        <v>454</v>
      </c>
      <c r="AH455" s="94"/>
      <c r="AI455" s="94"/>
    </row>
    <row r="456" spans="1:35" s="22" customFormat="1" ht="12" customHeight="1" x14ac:dyDescent="0.25">
      <c r="A456" s="458"/>
      <c r="B456" s="457" t="s">
        <v>2650</v>
      </c>
      <c r="C456" s="458">
        <v>15</v>
      </c>
      <c r="D456" s="188" t="s">
        <v>14403</v>
      </c>
      <c r="E456" s="327" t="s">
        <v>14400</v>
      </c>
      <c r="F456" s="187">
        <v>43221</v>
      </c>
      <c r="G456" s="195"/>
      <c r="H456" s="188" t="s">
        <v>461</v>
      </c>
      <c r="I456" s="188">
        <v>184</v>
      </c>
      <c r="J456" s="902" t="s">
        <v>6868</v>
      </c>
      <c r="K456" s="218" t="s">
        <v>14405</v>
      </c>
      <c r="L456" s="218" t="s">
        <v>461</v>
      </c>
      <c r="M456" s="218"/>
      <c r="N456" s="218"/>
      <c r="O456" s="218"/>
      <c r="P456" s="178"/>
      <c r="Q456" s="218" t="s">
        <v>13674</v>
      </c>
      <c r="R456" s="217" t="s">
        <v>13700</v>
      </c>
      <c r="S456" s="366"/>
      <c r="T456" s="178"/>
      <c r="U456" s="178" t="s">
        <v>2597</v>
      </c>
      <c r="V456" s="178"/>
      <c r="W456" s="327" t="s">
        <v>14400</v>
      </c>
      <c r="X456" s="658" t="s">
        <v>13751</v>
      </c>
      <c r="Y456" s="366"/>
      <c r="Z456" s="188"/>
      <c r="AA456" s="188"/>
      <c r="AB456" s="34">
        <f t="shared" ca="1" si="8"/>
        <v>0.39592262093428832</v>
      </c>
      <c r="AC456" s="814"/>
      <c r="AD456" s="815"/>
      <c r="AE456" s="245"/>
      <c r="AF456" s="923">
        <f>IF(X456=X455,AF455,0)+IF(ISNUMBER(I456),IF(I456&lt;1,I456,I456*VLOOKUP(J456,Summary!$H$2:$I$9,2)),VLOOKUP(J456,Summary!$J$2:$K$9,2)*IF(ISNUMBER(H456),H456,1))</f>
        <v>1.2472222222222225</v>
      </c>
      <c r="AG456" s="297">
        <v>455</v>
      </c>
      <c r="AH456" s="94"/>
      <c r="AI456" s="94"/>
    </row>
    <row r="457" spans="1:35" s="2" customFormat="1" ht="12" customHeight="1" x14ac:dyDescent="0.25">
      <c r="A457" s="410"/>
      <c r="B457" s="410" t="s">
        <v>2650</v>
      </c>
      <c r="C457" s="410"/>
      <c r="D457" s="176" t="s">
        <v>14435</v>
      </c>
      <c r="E457" s="313" t="s">
        <v>13724</v>
      </c>
      <c r="F457" s="175">
        <v>42572</v>
      </c>
      <c r="G457" s="181"/>
      <c r="H457" s="176" t="s">
        <v>461</v>
      </c>
      <c r="I457" s="176"/>
      <c r="J457" s="900" t="s">
        <v>2755</v>
      </c>
      <c r="K457" s="164" t="s">
        <v>13735</v>
      </c>
      <c r="L457" s="164" t="s">
        <v>461</v>
      </c>
      <c r="M457" s="164"/>
      <c r="N457" s="164"/>
      <c r="O457" s="164"/>
      <c r="P457" s="173"/>
      <c r="Q457" s="164" t="s">
        <v>13674</v>
      </c>
      <c r="R457" s="177" t="s">
        <v>13703</v>
      </c>
      <c r="S457" s="354"/>
      <c r="T457" s="173"/>
      <c r="U457" s="173" t="s">
        <v>2597</v>
      </c>
      <c r="V457" s="173"/>
      <c r="W457" s="313" t="s">
        <v>13724</v>
      </c>
      <c r="X457" s="645" t="s">
        <v>13751</v>
      </c>
      <c r="Y457" s="354"/>
      <c r="Z457" s="157"/>
      <c r="AA457" s="176"/>
      <c r="AB457" s="32">
        <f t="shared" ca="1" si="8"/>
        <v>0.78590102142211282</v>
      </c>
      <c r="AC457" s="812"/>
      <c r="AD457" s="763"/>
      <c r="AE457" s="807"/>
      <c r="AF457" s="921">
        <f>IF(X457=X456,AF456,0)+IF(ISNUMBER(I457),IF(I457&lt;1,I457,I457*VLOOKUP(J457,Summary!$H$2:$I$9,2)),VLOOKUP(J457,Summary!$J$2:$K$9,2)*IF(ISNUMBER(H457),H457,1))</f>
        <v>1.2645833333333336</v>
      </c>
      <c r="AG457" s="289">
        <v>456</v>
      </c>
      <c r="AH457" s="94"/>
      <c r="AI457" s="94"/>
    </row>
    <row r="458" spans="1:35" s="22" customFormat="1" ht="12" customHeight="1" x14ac:dyDescent="0.25">
      <c r="A458" s="458"/>
      <c r="B458" s="457" t="s">
        <v>2650</v>
      </c>
      <c r="C458" s="458">
        <v>16</v>
      </c>
      <c r="D458" s="188" t="s">
        <v>14402</v>
      </c>
      <c r="E458" s="327" t="s">
        <v>14401</v>
      </c>
      <c r="F458" s="187">
        <v>43160</v>
      </c>
      <c r="G458" s="195"/>
      <c r="H458" s="188" t="s">
        <v>461</v>
      </c>
      <c r="I458" s="188">
        <v>210</v>
      </c>
      <c r="J458" s="902" t="s">
        <v>6868</v>
      </c>
      <c r="K458" s="218" t="s">
        <v>4034</v>
      </c>
      <c r="L458" s="218" t="s">
        <v>461</v>
      </c>
      <c r="M458" s="218"/>
      <c r="N458" s="218"/>
      <c r="O458" s="218"/>
      <c r="P458" s="178"/>
      <c r="Q458" s="218" t="s">
        <v>13674</v>
      </c>
      <c r="R458" s="217" t="s">
        <v>13700</v>
      </c>
      <c r="S458" s="366"/>
      <c r="T458" s="178"/>
      <c r="U458" s="178" t="s">
        <v>2597</v>
      </c>
      <c r="V458" s="178"/>
      <c r="W458" s="327" t="s">
        <v>14401</v>
      </c>
      <c r="X458" s="658" t="s">
        <v>13751</v>
      </c>
      <c r="Y458" s="366"/>
      <c r="Z458" s="188"/>
      <c r="AA458" s="188"/>
      <c r="AB458" s="34">
        <f t="shared" ca="1" si="8"/>
        <v>0.23850670915367722</v>
      </c>
      <c r="AC458" s="814"/>
      <c r="AD458" s="815" t="s">
        <v>16882</v>
      </c>
      <c r="AE458" s="245"/>
      <c r="AF458" s="923">
        <f>IF(X458=X457,AF457,0)+IF(ISNUMBER(I458),IF(I458&lt;1,I458,I458*VLOOKUP(J458,Summary!$H$2:$I$9,2)),VLOOKUP(J458,Summary!$J$2:$K$9,2)*IF(ISNUMBER(H458),H458,1))</f>
        <v>1.4104166666666669</v>
      </c>
      <c r="AG458" s="297">
        <v>457</v>
      </c>
      <c r="AH458" s="94"/>
      <c r="AI458" s="94"/>
    </row>
    <row r="459" spans="1:35" s="29" customFormat="1" ht="12" customHeight="1" x14ac:dyDescent="0.25">
      <c r="A459" s="410"/>
      <c r="B459" s="410" t="s">
        <v>2650</v>
      </c>
      <c r="C459" s="410"/>
      <c r="D459" s="176" t="s">
        <v>14467</v>
      </c>
      <c r="E459" s="638" t="s">
        <v>14466</v>
      </c>
      <c r="F459" s="175">
        <v>43008</v>
      </c>
      <c r="G459" s="181"/>
      <c r="H459" s="176" t="s">
        <v>461</v>
      </c>
      <c r="I459" s="176"/>
      <c r="J459" s="900" t="s">
        <v>2755</v>
      </c>
      <c r="K459" s="164" t="s">
        <v>14468</v>
      </c>
      <c r="L459" s="164" t="s">
        <v>461</v>
      </c>
      <c r="M459" s="164"/>
      <c r="N459" s="164"/>
      <c r="O459" s="164"/>
      <c r="P459" s="173"/>
      <c r="Q459" s="164" t="s">
        <v>13674</v>
      </c>
      <c r="R459" s="177" t="s">
        <v>13703</v>
      </c>
      <c r="S459" s="354"/>
      <c r="T459" s="173"/>
      <c r="U459" s="173" t="s">
        <v>2597</v>
      </c>
      <c r="V459" s="173"/>
      <c r="W459" s="313" t="s">
        <v>13724</v>
      </c>
      <c r="X459" s="645" t="s">
        <v>13751</v>
      </c>
      <c r="Y459" s="354"/>
      <c r="Z459" s="157"/>
      <c r="AA459" s="176"/>
      <c r="AB459" s="32">
        <f t="shared" ca="1" si="8"/>
        <v>6.0018092857687666E-3</v>
      </c>
      <c r="AC459" s="812"/>
      <c r="AD459" s="763"/>
      <c r="AE459" s="807"/>
      <c r="AF459" s="921">
        <f>IF(X459=X458,AF458,0)+IF(ISNUMBER(I459),IF(I459&lt;1,I459,I459*VLOOKUP(J459,Summary!$H$2:$I$9,2)),VLOOKUP(J459,Summary!$J$2:$K$9,2)*IF(ISNUMBER(H459),H459,1))</f>
        <v>1.427777777777778</v>
      </c>
      <c r="AG459" s="289">
        <v>458</v>
      </c>
      <c r="AH459" s="94"/>
      <c r="AI459" s="94"/>
    </row>
    <row r="460" spans="1:35" s="43" customFormat="1" ht="12" customHeight="1" x14ac:dyDescent="0.25">
      <c r="A460" s="443" t="s">
        <v>14575</v>
      </c>
      <c r="B460" s="443">
        <v>2</v>
      </c>
      <c r="C460" s="443">
        <v>43</v>
      </c>
      <c r="D460" s="426" t="s">
        <v>5989</v>
      </c>
      <c r="E460" s="427" t="s">
        <v>5990</v>
      </c>
      <c r="F460" s="203">
        <v>24955</v>
      </c>
      <c r="G460" s="203">
        <v>24990</v>
      </c>
      <c r="H460" s="204">
        <v>6</v>
      </c>
      <c r="I460" s="791">
        <f>TIME(0,23,47)+TIME(0,22,50)+TIME(0,24,25)+TIME(0,24,14)+TIME(0,21,55)+TIME(0,23,10)</f>
        <v>9.7465277777777776E-2</v>
      </c>
      <c r="J460" s="905" t="s">
        <v>1588</v>
      </c>
      <c r="K460" s="205" t="s">
        <v>5991</v>
      </c>
      <c r="L460" s="205" t="s">
        <v>5992</v>
      </c>
      <c r="M460" s="205"/>
      <c r="N460" s="205" t="s">
        <v>6066</v>
      </c>
      <c r="O460" s="205" t="s">
        <v>125</v>
      </c>
      <c r="P460" s="202" t="s">
        <v>461</v>
      </c>
      <c r="Q460" s="205" t="s">
        <v>3946</v>
      </c>
      <c r="R460" s="206" t="s">
        <v>5280</v>
      </c>
      <c r="S460" s="391" t="s">
        <v>2596</v>
      </c>
      <c r="T460" s="202" t="s">
        <v>2598</v>
      </c>
      <c r="U460" s="202"/>
      <c r="V460" s="202"/>
      <c r="W460" s="318" t="s">
        <v>14266</v>
      </c>
      <c r="X460" s="652" t="s">
        <v>14576</v>
      </c>
      <c r="Y460" s="359" t="s">
        <v>5398</v>
      </c>
      <c r="Z460" s="360">
        <v>294</v>
      </c>
      <c r="AA460" s="360">
        <v>2</v>
      </c>
      <c r="AB460" s="36">
        <f t="shared" ca="1" si="8"/>
        <v>0.80682889537322311</v>
      </c>
      <c r="AC460" s="822"/>
      <c r="AD460" s="823" t="s">
        <v>16100</v>
      </c>
      <c r="AE460" s="947" t="s">
        <v>16101</v>
      </c>
      <c r="AF460" s="926">
        <f>IF(X460=X459,AF459,0)+IF(ISNUMBER(I460),IF(I460&lt;1,I460,I460*VLOOKUP(J460,Summary!$H$2:$I$9,2)),VLOOKUP(J460,Summary!$J$2:$K$9,2)*IF(ISNUMBER(H460),H460,1))</f>
        <v>9.7465277777777776E-2</v>
      </c>
      <c r="AG460" s="294">
        <v>459</v>
      </c>
      <c r="AH460" s="94"/>
      <c r="AI460" s="94"/>
    </row>
    <row r="461" spans="1:35" s="29" customFormat="1" ht="12" customHeight="1" x14ac:dyDescent="0.25">
      <c r="A461" s="444" t="s">
        <v>14575</v>
      </c>
      <c r="B461" s="444">
        <v>2</v>
      </c>
      <c r="C461" s="459">
        <v>43</v>
      </c>
      <c r="D461" s="176" t="s">
        <v>186</v>
      </c>
      <c r="E461" s="313" t="s">
        <v>5539</v>
      </c>
      <c r="F461" s="174">
        <v>33848</v>
      </c>
      <c r="G461" s="174"/>
      <c r="H461" s="176">
        <v>1</v>
      </c>
      <c r="I461" s="176">
        <v>2</v>
      </c>
      <c r="J461" s="900" t="s">
        <v>2755</v>
      </c>
      <c r="K461" s="164" t="s">
        <v>4556</v>
      </c>
      <c r="L461" s="164" t="s">
        <v>461</v>
      </c>
      <c r="M461" s="164"/>
      <c r="N461" s="164" t="s">
        <v>7375</v>
      </c>
      <c r="O461" s="164"/>
      <c r="P461" s="173" t="s">
        <v>189</v>
      </c>
      <c r="Q461" s="164" t="s">
        <v>4062</v>
      </c>
      <c r="R461" s="177" t="s">
        <v>4599</v>
      </c>
      <c r="S461" s="354"/>
      <c r="T461" s="173" t="s">
        <v>2598</v>
      </c>
      <c r="U461" s="173">
        <v>7</v>
      </c>
      <c r="V461" s="173"/>
      <c r="W461" s="313" t="s">
        <v>5539</v>
      </c>
      <c r="X461" s="645" t="s">
        <v>14576</v>
      </c>
      <c r="Y461" s="354" t="s">
        <v>6868</v>
      </c>
      <c r="Z461" s="176">
        <v>999</v>
      </c>
      <c r="AA461" s="176"/>
      <c r="AB461" s="32">
        <f t="shared" ca="1" si="8"/>
        <v>0.31168776908934226</v>
      </c>
      <c r="AC461" s="812"/>
      <c r="AD461" s="763"/>
      <c r="AE461" s="807"/>
      <c r="AF461" s="921">
        <f>IF(X461=X460,AF460,0)+IF(ISNUMBER(I461),IF(I461&lt;1,I461,I461*VLOOKUP(J461,Summary!$H$2:$I$9,2)),VLOOKUP(J461,Summary!$J$2:$K$9,2)*IF(ISNUMBER(H461),H461,1))</f>
        <v>9.885416666666666E-2</v>
      </c>
      <c r="AG461" s="289">
        <v>460</v>
      </c>
      <c r="AH461" s="94"/>
      <c r="AI461" s="94"/>
    </row>
    <row r="462" spans="1:35" s="22" customFormat="1" ht="12" customHeight="1" x14ac:dyDescent="0.2">
      <c r="A462" s="451" t="s">
        <v>14575</v>
      </c>
      <c r="B462" s="451">
        <v>2</v>
      </c>
      <c r="C462" s="452">
        <v>1.02</v>
      </c>
      <c r="D462" s="407" t="s">
        <v>141</v>
      </c>
      <c r="E462" s="315" t="s">
        <v>5994</v>
      </c>
      <c r="F462" s="196">
        <v>39118</v>
      </c>
      <c r="G462" s="170"/>
      <c r="H462" s="170">
        <v>2</v>
      </c>
      <c r="I462" s="746">
        <f>TIME(1,6,17)</f>
        <v>4.6030092592592588E-2</v>
      </c>
      <c r="J462" s="899" t="s">
        <v>4706</v>
      </c>
      <c r="K462" s="167" t="s">
        <v>7740</v>
      </c>
      <c r="L462" s="167" t="s">
        <v>4553</v>
      </c>
      <c r="M462" s="167" t="s">
        <v>8031</v>
      </c>
      <c r="N462" s="167"/>
      <c r="O462" s="167"/>
      <c r="P462" s="168" t="s">
        <v>9158</v>
      </c>
      <c r="Q462" s="167" t="s">
        <v>3947</v>
      </c>
      <c r="R462" s="172" t="s">
        <v>3153</v>
      </c>
      <c r="S462" s="388" t="s">
        <v>2596</v>
      </c>
      <c r="T462" s="168" t="s">
        <v>2598</v>
      </c>
      <c r="U462" s="168"/>
      <c r="V462" s="168"/>
      <c r="W462" s="312" t="s">
        <v>9618</v>
      </c>
      <c r="X462" s="644" t="s">
        <v>14576</v>
      </c>
      <c r="Y462" s="352" t="s">
        <v>5398</v>
      </c>
      <c r="Z462" s="353">
        <v>562</v>
      </c>
      <c r="AA462" s="353">
        <v>3.5</v>
      </c>
      <c r="AB462" s="31">
        <f t="shared" ca="1" si="8"/>
        <v>0.54173554830425774</v>
      </c>
      <c r="AC462" s="810"/>
      <c r="AD462" s="811"/>
      <c r="AE462" s="940"/>
      <c r="AF462" s="920">
        <f>IF(X462=X461,AF461,0)+IF(ISNUMBER(I462),IF(I462&lt;1,I462,I462*VLOOKUP(J462,Summary!$H$2:$I$9,2)),VLOOKUP(J462,Summary!$J$2:$K$9,2)*IF(ISNUMBER(H462),H462,1))</f>
        <v>0.14488425925925924</v>
      </c>
      <c r="AG462" s="287">
        <v>461</v>
      </c>
      <c r="AH462" s="94"/>
      <c r="AI462" s="94"/>
    </row>
    <row r="463" spans="1:35" s="9" customFormat="1" ht="12" customHeight="1" x14ac:dyDescent="0.25">
      <c r="A463" s="451" t="s">
        <v>14575</v>
      </c>
      <c r="B463" s="451">
        <v>2</v>
      </c>
      <c r="C463" s="452">
        <v>7.02</v>
      </c>
      <c r="D463" s="407" t="s">
        <v>6632</v>
      </c>
      <c r="E463" s="315" t="s">
        <v>6633</v>
      </c>
      <c r="F463" s="169">
        <v>41122</v>
      </c>
      <c r="G463" s="170"/>
      <c r="H463" s="170">
        <v>2</v>
      </c>
      <c r="I463" s="746">
        <f>TIME(1,3,35)</f>
        <v>4.4155092592592593E-2</v>
      </c>
      <c r="J463" s="899" t="s">
        <v>4706</v>
      </c>
      <c r="K463" s="167" t="s">
        <v>5664</v>
      </c>
      <c r="L463" s="167" t="s">
        <v>5662</v>
      </c>
      <c r="M463" s="167" t="s">
        <v>1217</v>
      </c>
      <c r="N463" s="167"/>
      <c r="O463" s="167"/>
      <c r="P463" s="168" t="s">
        <v>6634</v>
      </c>
      <c r="Q463" s="167" t="s">
        <v>3947</v>
      </c>
      <c r="R463" s="172" t="s">
        <v>3153</v>
      </c>
      <c r="S463" s="388" t="s">
        <v>2596</v>
      </c>
      <c r="T463" s="168" t="s">
        <v>2598</v>
      </c>
      <c r="U463" s="168"/>
      <c r="V463" s="168"/>
      <c r="W463" s="312" t="s">
        <v>11112</v>
      </c>
      <c r="X463" s="644" t="s">
        <v>14576</v>
      </c>
      <c r="Y463" s="352" t="s">
        <v>5643</v>
      </c>
      <c r="Z463" s="353">
        <v>421</v>
      </c>
      <c r="AA463" s="353">
        <v>4.5</v>
      </c>
      <c r="AB463" s="31">
        <f t="shared" ca="1" si="8"/>
        <v>0.94983418403241526</v>
      </c>
      <c r="AC463" s="810"/>
      <c r="AD463" s="811" t="s">
        <v>16119</v>
      </c>
      <c r="AE463" s="940" t="s">
        <v>16118</v>
      </c>
      <c r="AF463" s="920">
        <f>IF(X463=X462,AF462,0)+IF(ISNUMBER(I463),IF(I463&lt;1,I463,I463*VLOOKUP(J463,Summary!$H$2:$I$9,2)),VLOOKUP(J463,Summary!$J$2:$K$9,2)*IF(ISNUMBER(H463),H463,1))</f>
        <v>0.18903935185185183</v>
      </c>
      <c r="AG463" s="287">
        <v>462</v>
      </c>
      <c r="AH463" s="94"/>
      <c r="AI463" s="94"/>
    </row>
    <row r="464" spans="1:35" s="22" customFormat="1" ht="12" customHeight="1" x14ac:dyDescent="0.25">
      <c r="A464" s="454" t="s">
        <v>5993</v>
      </c>
      <c r="B464" s="454">
        <v>2</v>
      </c>
      <c r="C464" s="454">
        <v>44</v>
      </c>
      <c r="D464" s="424" t="s">
        <v>5995</v>
      </c>
      <c r="E464" s="319" t="s">
        <v>5996</v>
      </c>
      <c r="F464" s="198">
        <v>25060</v>
      </c>
      <c r="G464" s="198">
        <v>25088</v>
      </c>
      <c r="H464" s="199">
        <v>5</v>
      </c>
      <c r="I464" s="791">
        <f>TIME(0,24,25)+TIME(0,24, 7)+TIME(0,24, 6)+TIME(0,23,54)+TIME(0,24,19)</f>
        <v>8.3923611111111102E-2</v>
      </c>
      <c r="J464" s="904" t="s">
        <v>1588</v>
      </c>
      <c r="K464" s="200" t="s">
        <v>123</v>
      </c>
      <c r="L464" s="200" t="s">
        <v>1760</v>
      </c>
      <c r="M464" s="200"/>
      <c r="N464" s="200" t="s">
        <v>6066</v>
      </c>
      <c r="O464" s="200" t="s">
        <v>125</v>
      </c>
      <c r="P464" s="197" t="s">
        <v>461</v>
      </c>
      <c r="Q464" s="200" t="s">
        <v>3946</v>
      </c>
      <c r="R464" s="201" t="s">
        <v>5280</v>
      </c>
      <c r="S464" s="390" t="s">
        <v>2596</v>
      </c>
      <c r="T464" s="197" t="s">
        <v>2598</v>
      </c>
      <c r="U464" s="197"/>
      <c r="V464" s="197"/>
      <c r="W464" s="318" t="s">
        <v>8676</v>
      </c>
      <c r="X464" s="650" t="s">
        <v>14576</v>
      </c>
      <c r="Y464" s="358" t="s">
        <v>6141</v>
      </c>
      <c r="Z464" s="253">
        <v>269</v>
      </c>
      <c r="AA464" s="253">
        <v>2.5</v>
      </c>
      <c r="AB464" s="35">
        <f t="shared" ca="1" si="8"/>
        <v>0.8791578340198557</v>
      </c>
      <c r="AC464" s="820"/>
      <c r="AD464" s="821"/>
      <c r="AE464" s="944"/>
      <c r="AF464" s="925">
        <f>IF(X464=X463,AF463,0)+IF(ISNUMBER(I464),IF(I464&lt;1,I464,I464*VLOOKUP(J464,Summary!$H$2:$I$9,2)),VLOOKUP(J464,Summary!$J$2:$K$9,2)*IF(ISNUMBER(H464),H464,1))</f>
        <v>0.27296296296296296</v>
      </c>
      <c r="AG464" s="293">
        <v>463</v>
      </c>
      <c r="AH464" s="94"/>
      <c r="AI464" s="94"/>
    </row>
    <row r="465" spans="1:36" s="29" customFormat="1" ht="12" customHeight="1" x14ac:dyDescent="0.25">
      <c r="A465" s="454" t="s">
        <v>5993</v>
      </c>
      <c r="B465" s="454">
        <v>2</v>
      </c>
      <c r="C465" s="454">
        <v>45</v>
      </c>
      <c r="D465" s="424" t="s">
        <v>5997</v>
      </c>
      <c r="E465" s="319" t="s">
        <v>5998</v>
      </c>
      <c r="F465" s="198">
        <v>25095</v>
      </c>
      <c r="G465" s="198">
        <v>25123</v>
      </c>
      <c r="H465" s="199">
        <v>5</v>
      </c>
      <c r="I465" s="791">
        <f>TIME(0,21,27)+TIME(0,21,39)+TIME(0,19,29)+TIME(0,19,14)+TIME(0,18,0)</f>
        <v>6.9317129629629631E-2</v>
      </c>
      <c r="J465" s="904" t="s">
        <v>1588</v>
      </c>
      <c r="K465" s="200" t="s">
        <v>6124</v>
      </c>
      <c r="L465" s="200" t="s">
        <v>6125</v>
      </c>
      <c r="M465" s="200"/>
      <c r="N465" s="200" t="s">
        <v>6066</v>
      </c>
      <c r="O465" s="200" t="s">
        <v>125</v>
      </c>
      <c r="P465" s="197" t="s">
        <v>461</v>
      </c>
      <c r="Q465" s="200" t="s">
        <v>3946</v>
      </c>
      <c r="R465" s="201" t="s">
        <v>5280</v>
      </c>
      <c r="S465" s="390" t="s">
        <v>2596</v>
      </c>
      <c r="T465" s="197" t="s">
        <v>2598</v>
      </c>
      <c r="U465" s="197"/>
      <c r="V465" s="197"/>
      <c r="W465" s="318" t="s">
        <v>8677</v>
      </c>
      <c r="X465" s="650" t="s">
        <v>14576</v>
      </c>
      <c r="Y465" s="358" t="s">
        <v>6141</v>
      </c>
      <c r="Z465" s="253">
        <v>26</v>
      </c>
      <c r="AA465" s="253">
        <v>9</v>
      </c>
      <c r="AB465" s="35">
        <f t="shared" ca="1" si="8"/>
        <v>0.39857389847479729</v>
      </c>
      <c r="AC465" s="820"/>
      <c r="AD465" s="821" t="s">
        <v>461</v>
      </c>
      <c r="AE465" s="944"/>
      <c r="AF465" s="925">
        <f>IF(X465=X464,AF464,0)+IF(ISNUMBER(I465),IF(I465&lt;1,I465,I465*VLOOKUP(J465,Summary!$H$2:$I$9,2)),VLOOKUP(J465,Summary!$J$2:$K$9,2)*IF(ISNUMBER(H465),H465,1))</f>
        <v>0.34228009259259262</v>
      </c>
      <c r="AG465" s="293">
        <v>464</v>
      </c>
      <c r="AH465" s="94"/>
      <c r="AI465" s="94"/>
    </row>
    <row r="466" spans="1:36" s="3" customFormat="1" ht="12" customHeight="1" x14ac:dyDescent="0.25">
      <c r="A466" s="454" t="s">
        <v>5993</v>
      </c>
      <c r="B466" s="454">
        <v>2</v>
      </c>
      <c r="C466" s="454">
        <v>46</v>
      </c>
      <c r="D466" s="424" t="s">
        <v>1085</v>
      </c>
      <c r="E466" s="319" t="s">
        <v>1086</v>
      </c>
      <c r="F466" s="198">
        <v>25144</v>
      </c>
      <c r="G466" s="198">
        <v>25193</v>
      </c>
      <c r="H466" s="199">
        <v>8</v>
      </c>
      <c r="I466" s="791">
        <f>TIME(0,24,32)+TIME(0,24,26)+TIME(0,23,44)+TIME(0,24,18)+TIME(0,23,25)+TIME(0,23,20)+TIME(0,24,46)+TIME(0,25,3)</f>
        <v>0.13442129629629632</v>
      </c>
      <c r="J466" s="904" t="s">
        <v>1588</v>
      </c>
      <c r="K466" s="200" t="s">
        <v>1087</v>
      </c>
      <c r="L466" s="200" t="s">
        <v>3211</v>
      </c>
      <c r="M466" s="200"/>
      <c r="N466" s="200" t="s">
        <v>1088</v>
      </c>
      <c r="O466" s="200" t="s">
        <v>125</v>
      </c>
      <c r="P466" s="197" t="s">
        <v>461</v>
      </c>
      <c r="Q466" s="200" t="s">
        <v>3946</v>
      </c>
      <c r="R466" s="201" t="s">
        <v>5280</v>
      </c>
      <c r="S466" s="390" t="s">
        <v>2596</v>
      </c>
      <c r="T466" s="197" t="s">
        <v>2598</v>
      </c>
      <c r="U466" s="197" t="s">
        <v>2597</v>
      </c>
      <c r="V466" s="197"/>
      <c r="W466" s="318" t="s">
        <v>9617</v>
      </c>
      <c r="X466" s="650" t="s">
        <v>14576</v>
      </c>
      <c r="Y466" s="358" t="s">
        <v>6141</v>
      </c>
      <c r="Z466" s="253">
        <v>150</v>
      </c>
      <c r="AA466" s="253">
        <v>5.5</v>
      </c>
      <c r="AB466" s="35">
        <f t="shared" ca="1" si="8"/>
        <v>2.9883442362172552E-2</v>
      </c>
      <c r="AC466" s="820"/>
      <c r="AD466" s="821" t="s">
        <v>14950</v>
      </c>
      <c r="AE466" s="944" t="s">
        <v>12550</v>
      </c>
      <c r="AF466" s="925">
        <f>IF(X466=X465,AF465,0)+IF(ISNUMBER(I466),IF(I466&lt;1,I466,I466*VLOOKUP(J466,Summary!$H$2:$I$9,2)),VLOOKUP(J466,Summary!$J$2:$K$9,2)*IF(ISNUMBER(H466),H466,1))</f>
        <v>0.47670138888888891</v>
      </c>
      <c r="AG466" s="293">
        <v>465</v>
      </c>
      <c r="AH466" s="94"/>
      <c r="AI466" s="94"/>
    </row>
    <row r="467" spans="1:36" s="2" customFormat="1" ht="12" customHeight="1" x14ac:dyDescent="0.25">
      <c r="A467" s="451">
        <v>6</v>
      </c>
      <c r="B467" s="451">
        <v>2</v>
      </c>
      <c r="C467" s="453">
        <v>2.4</v>
      </c>
      <c r="D467" s="407" t="s">
        <v>10030</v>
      </c>
      <c r="E467" s="315" t="s">
        <v>10031</v>
      </c>
      <c r="F467" s="196">
        <v>42382</v>
      </c>
      <c r="G467" s="170"/>
      <c r="H467" s="170">
        <v>4</v>
      </c>
      <c r="I467" s="746">
        <f>TIME(1,53,5)</f>
        <v>7.8530092592592596E-2</v>
      </c>
      <c r="J467" s="899" t="s">
        <v>4706</v>
      </c>
      <c r="K467" s="167" t="s">
        <v>4549</v>
      </c>
      <c r="L467" s="167" t="s">
        <v>4549</v>
      </c>
      <c r="M467" s="167"/>
      <c r="N467" s="167"/>
      <c r="O467" s="167"/>
      <c r="P467" s="168" t="s">
        <v>10032</v>
      </c>
      <c r="Q467" s="167" t="s">
        <v>3947</v>
      </c>
      <c r="R467" s="172" t="s">
        <v>8512</v>
      </c>
      <c r="S467" s="388" t="s">
        <v>2596</v>
      </c>
      <c r="T467" s="168" t="s">
        <v>2598</v>
      </c>
      <c r="U467" s="168"/>
      <c r="V467" s="168"/>
      <c r="W467" s="312" t="s">
        <v>12561</v>
      </c>
      <c r="X467" s="644" t="s">
        <v>14576</v>
      </c>
      <c r="Y467" s="352" t="s">
        <v>5643</v>
      </c>
      <c r="Z467" s="353">
        <v>508</v>
      </c>
      <c r="AA467" s="353">
        <v>4</v>
      </c>
      <c r="AB467" s="31">
        <f t="shared" ca="1" si="8"/>
        <v>0.6625224461213165</v>
      </c>
      <c r="AC467" s="810"/>
      <c r="AD467" s="811" t="s">
        <v>14950</v>
      </c>
      <c r="AE467" s="940" t="s">
        <v>15062</v>
      </c>
      <c r="AF467" s="920">
        <f>IF(X467=X466,AF466,0)+IF(ISNUMBER(I467),IF(I467&lt;1,I467,I467*VLOOKUP(J467,Summary!$H$2:$I$9,2)),VLOOKUP(J467,Summary!$J$2:$K$9,2)*IF(ISNUMBER(H467),H467,1))</f>
        <v>0.55523148148148149</v>
      </c>
      <c r="AG467" s="287">
        <v>466</v>
      </c>
      <c r="AH467" s="94"/>
      <c r="AI467" s="94"/>
    </row>
    <row r="468" spans="1:36" s="22" customFormat="1" ht="12" customHeight="1" x14ac:dyDescent="0.25">
      <c r="A468" s="444">
        <v>6</v>
      </c>
      <c r="B468" s="444">
        <v>2</v>
      </c>
      <c r="C468" s="444">
        <v>39</v>
      </c>
      <c r="D468" s="176" t="s">
        <v>5847</v>
      </c>
      <c r="E468" s="313" t="s">
        <v>5848</v>
      </c>
      <c r="F468" s="174">
        <v>33482</v>
      </c>
      <c r="G468" s="174"/>
      <c r="H468" s="176">
        <v>1</v>
      </c>
      <c r="I468" s="176">
        <v>2</v>
      </c>
      <c r="J468" s="900" t="s">
        <v>2755</v>
      </c>
      <c r="K468" s="164" t="s">
        <v>941</v>
      </c>
      <c r="L468" s="164" t="s">
        <v>461</v>
      </c>
      <c r="M468" s="164"/>
      <c r="N468" s="164" t="s">
        <v>561</v>
      </c>
      <c r="O468" s="164"/>
      <c r="P468" s="173" t="s">
        <v>5849</v>
      </c>
      <c r="Q468" s="164" t="s">
        <v>4062</v>
      </c>
      <c r="R468" s="177" t="s">
        <v>4599</v>
      </c>
      <c r="S468" s="354" t="s">
        <v>5850</v>
      </c>
      <c r="T468" s="173"/>
      <c r="U468" s="173"/>
      <c r="V468" s="173"/>
      <c r="W468" s="313" t="s">
        <v>5848</v>
      </c>
      <c r="X468" s="645" t="s">
        <v>14576</v>
      </c>
      <c r="Y468" s="354" t="s">
        <v>6868</v>
      </c>
      <c r="Z468" s="176">
        <v>999</v>
      </c>
      <c r="AA468" s="176"/>
      <c r="AB468" s="32">
        <f t="shared" ca="1" si="8"/>
        <v>0.7428309896994536</v>
      </c>
      <c r="AC468" s="812"/>
      <c r="AD468" s="763" t="s">
        <v>14967</v>
      </c>
      <c r="AE468" s="807" t="s">
        <v>15062</v>
      </c>
      <c r="AF468" s="921">
        <f>IF(X468=X467,AF467,0)+IF(ISNUMBER(I468),IF(I468&lt;1,I468,I468*VLOOKUP(J468,Summary!$H$2:$I$9,2)),VLOOKUP(J468,Summary!$J$2:$K$9,2)*IF(ISNUMBER(H468),H468,1))</f>
        <v>0.55662037037037038</v>
      </c>
      <c r="AG468" s="289">
        <v>467</v>
      </c>
      <c r="AH468" s="94"/>
      <c r="AI468" s="94"/>
    </row>
    <row r="469" spans="1:36" s="22" customFormat="1" ht="12" customHeight="1" x14ac:dyDescent="0.25">
      <c r="A469" s="444">
        <v>6</v>
      </c>
      <c r="B469" s="444">
        <v>2</v>
      </c>
      <c r="C469" s="444">
        <v>55</v>
      </c>
      <c r="D469" s="176" t="s">
        <v>7624</v>
      </c>
      <c r="E469" s="313" t="s">
        <v>2315</v>
      </c>
      <c r="F469" s="174">
        <v>34578</v>
      </c>
      <c r="G469" s="174"/>
      <c r="H469" s="176">
        <v>1</v>
      </c>
      <c r="I469" s="176">
        <v>4</v>
      </c>
      <c r="J469" s="900" t="s">
        <v>2755</v>
      </c>
      <c r="K469" s="164" t="s">
        <v>543</v>
      </c>
      <c r="L469" s="164" t="s">
        <v>461</v>
      </c>
      <c r="M469" s="164"/>
      <c r="N469" s="164" t="s">
        <v>7626</v>
      </c>
      <c r="O469" s="164"/>
      <c r="P469" s="173" t="s">
        <v>7627</v>
      </c>
      <c r="Q469" s="164" t="s">
        <v>4062</v>
      </c>
      <c r="R469" s="177" t="s">
        <v>4599</v>
      </c>
      <c r="S469" s="354" t="s">
        <v>2596</v>
      </c>
      <c r="T469" s="173" t="s">
        <v>2598</v>
      </c>
      <c r="U469" s="173"/>
      <c r="V469" s="173"/>
      <c r="W469" s="313" t="s">
        <v>2315</v>
      </c>
      <c r="X469" s="645" t="s">
        <v>14576</v>
      </c>
      <c r="Y469" s="354" t="s">
        <v>6868</v>
      </c>
      <c r="Z469" s="176">
        <v>999</v>
      </c>
      <c r="AA469" s="176"/>
      <c r="AB469" s="32">
        <f t="shared" ca="1" si="8"/>
        <v>0.5554284508423688</v>
      </c>
      <c r="AC469" s="812"/>
      <c r="AD469" s="763"/>
      <c r="AE469" s="807"/>
      <c r="AF469" s="921">
        <f>IF(X469=X468,AF468,0)+IF(ISNUMBER(I469),IF(I469&lt;1,I469,I469*VLOOKUP(J469,Summary!$H$2:$I$9,2)),VLOOKUP(J469,Summary!$J$2:$K$9,2)*IF(ISNUMBER(H469),H469,1))</f>
        <v>0.55939814814814814</v>
      </c>
      <c r="AG469" s="289">
        <v>468</v>
      </c>
      <c r="AH469" s="94"/>
      <c r="AI469" s="94"/>
    </row>
    <row r="470" spans="1:36" s="1" customFormat="1" ht="12" customHeight="1" x14ac:dyDescent="0.25">
      <c r="A470" s="451">
        <v>6</v>
      </c>
      <c r="B470" s="451">
        <v>2</v>
      </c>
      <c r="C470" s="453">
        <v>4.4000000000000004</v>
      </c>
      <c r="D470" s="407" t="s">
        <v>12670</v>
      </c>
      <c r="E470" s="315" t="s">
        <v>12671</v>
      </c>
      <c r="F470" s="196">
        <v>43082</v>
      </c>
      <c r="G470" s="170"/>
      <c r="H470" s="170">
        <v>4</v>
      </c>
      <c r="I470" s="747">
        <f>TIME(0,120,0)</f>
        <v>8.3333333333333329E-2</v>
      </c>
      <c r="J470" s="899" t="s">
        <v>4706</v>
      </c>
      <c r="K470" s="167" t="s">
        <v>12672</v>
      </c>
      <c r="L470" s="167" t="s">
        <v>5662</v>
      </c>
      <c r="M470" s="167"/>
      <c r="N470" s="167"/>
      <c r="O470" s="167"/>
      <c r="P470" s="168" t="s">
        <v>12673</v>
      </c>
      <c r="Q470" s="167" t="s">
        <v>3947</v>
      </c>
      <c r="R470" s="172" t="s">
        <v>8512</v>
      </c>
      <c r="S470" s="388" t="s">
        <v>2596</v>
      </c>
      <c r="T470" s="168" t="s">
        <v>2598</v>
      </c>
      <c r="U470" s="168"/>
      <c r="V470" s="168"/>
      <c r="W470" s="312"/>
      <c r="X470" s="644" t="s">
        <v>14576</v>
      </c>
      <c r="Y470" s="352"/>
      <c r="Z470" s="353"/>
      <c r="AA470" s="353"/>
      <c r="AB470" s="31">
        <f t="shared" ca="1" si="8"/>
        <v>0.29115358351846843</v>
      </c>
      <c r="AC470" s="810"/>
      <c r="AD470" s="811"/>
      <c r="AE470" s="940"/>
      <c r="AF470" s="920">
        <f>IF(X470=X469,AF469,0)+IF(ISNUMBER(I470),IF(I470&lt;1,I470,I470*VLOOKUP(J470,Summary!$H$2:$I$9,2)),VLOOKUP(J470,Summary!$J$2:$K$9,2)*IF(ISNUMBER(H470),H470,1))</f>
        <v>0.64273148148148151</v>
      </c>
      <c r="AG470" s="287">
        <v>469</v>
      </c>
      <c r="AH470" s="94"/>
      <c r="AI470" s="94"/>
    </row>
    <row r="471" spans="1:36" s="2" customFormat="1" ht="12" customHeight="1" x14ac:dyDescent="0.25">
      <c r="A471" s="448">
        <v>6</v>
      </c>
      <c r="B471" s="448">
        <v>2</v>
      </c>
      <c r="C471" s="449">
        <v>0.31</v>
      </c>
      <c r="D471" s="192" t="s">
        <v>13142</v>
      </c>
      <c r="E471" s="317" t="s">
        <v>12674</v>
      </c>
      <c r="F471" s="209">
        <v>42909</v>
      </c>
      <c r="G471" s="209"/>
      <c r="H471" s="192" t="s">
        <v>461</v>
      </c>
      <c r="I471" s="753"/>
      <c r="J471" s="903" t="s">
        <v>2755</v>
      </c>
      <c r="K471" s="194" t="s">
        <v>12675</v>
      </c>
      <c r="L471" s="194" t="s">
        <v>3365</v>
      </c>
      <c r="M471" s="194" t="s">
        <v>9290</v>
      </c>
      <c r="N471" s="194"/>
      <c r="O471" s="194"/>
      <c r="P471" s="190" t="s">
        <v>461</v>
      </c>
      <c r="Q471" s="194" t="s">
        <v>3947</v>
      </c>
      <c r="R471" s="193" t="s">
        <v>2722</v>
      </c>
      <c r="S471" s="357" t="s">
        <v>2596</v>
      </c>
      <c r="T471" s="190" t="s">
        <v>2598</v>
      </c>
      <c r="U471" s="190"/>
      <c r="V471" s="190"/>
      <c r="W471" s="317" t="s">
        <v>12674</v>
      </c>
      <c r="X471" s="649" t="s">
        <v>14576</v>
      </c>
      <c r="Y471" s="357"/>
      <c r="Z471" s="192"/>
      <c r="AA471" s="192"/>
      <c r="AB471" s="37">
        <f t="shared" ca="1" si="8"/>
        <v>0.71627598321199737</v>
      </c>
      <c r="AC471" s="816"/>
      <c r="AD471" s="817"/>
      <c r="AE471" s="943"/>
      <c r="AF471" s="924">
        <f>IF(X471=X470,AF470,0)+IF(ISNUMBER(I471),IF(I471&lt;1,I471,I471*VLOOKUP(J471,Summary!$H$2:$I$9,2)),VLOOKUP(J471,Summary!$J$2:$K$9,2)*IF(ISNUMBER(H471),H471,1))</f>
        <v>0.66009259259259268</v>
      </c>
      <c r="AG471" s="292">
        <v>470</v>
      </c>
      <c r="AH471" s="94"/>
      <c r="AI471" s="94"/>
    </row>
    <row r="472" spans="1:36" s="22" customFormat="1" ht="12" customHeight="1" x14ac:dyDescent="0.25">
      <c r="A472" s="448">
        <v>6</v>
      </c>
      <c r="B472" s="448">
        <v>2</v>
      </c>
      <c r="C472" s="449">
        <v>5.0199999999999996</v>
      </c>
      <c r="D472" s="192" t="s">
        <v>9422</v>
      </c>
      <c r="E472" s="317" t="s">
        <v>9423</v>
      </c>
      <c r="F472" s="191">
        <v>42036</v>
      </c>
      <c r="G472" s="209"/>
      <c r="H472" s="192">
        <v>1</v>
      </c>
      <c r="I472" s="753">
        <f>TIME(0,33,13)</f>
        <v>2.3067129629629632E-2</v>
      </c>
      <c r="J472" s="903" t="s">
        <v>2755</v>
      </c>
      <c r="K472" s="194" t="s">
        <v>6451</v>
      </c>
      <c r="L472" s="194" t="s">
        <v>5662</v>
      </c>
      <c r="M472" s="194" t="s">
        <v>9424</v>
      </c>
      <c r="N472" s="194"/>
      <c r="O472" s="194"/>
      <c r="P472" s="190" t="s">
        <v>9425</v>
      </c>
      <c r="Q472" s="194" t="s">
        <v>3947</v>
      </c>
      <c r="R472" s="193" t="s">
        <v>2722</v>
      </c>
      <c r="S472" s="357" t="s">
        <v>2596</v>
      </c>
      <c r="T472" s="190" t="s">
        <v>2598</v>
      </c>
      <c r="U472" s="190"/>
      <c r="V472" s="190"/>
      <c r="W472" s="317" t="s">
        <v>9423</v>
      </c>
      <c r="X472" s="649" t="s">
        <v>14576</v>
      </c>
      <c r="Y472" s="357" t="s">
        <v>5643</v>
      </c>
      <c r="Z472" s="192">
        <v>52</v>
      </c>
      <c r="AA472" s="192">
        <v>3.5</v>
      </c>
      <c r="AB472" s="37">
        <f t="shared" ca="1" si="8"/>
        <v>0.64004007918082984</v>
      </c>
      <c r="AC472" s="816"/>
      <c r="AD472" s="817"/>
      <c r="AE472" s="943"/>
      <c r="AF472" s="924">
        <f>IF(X472=X471,AF471,0)+IF(ISNUMBER(I472),IF(I472&lt;1,I472,I472*VLOOKUP(J472,Summary!$H$2:$I$9,2)),VLOOKUP(J472,Summary!$J$2:$K$9,2)*IF(ISNUMBER(H472),H472,1))</f>
        <v>0.68315972222222232</v>
      </c>
      <c r="AG472" s="292">
        <v>471</v>
      </c>
      <c r="AH472" s="94"/>
      <c r="AI472" s="94"/>
    </row>
    <row r="473" spans="1:36" s="22" customFormat="1" ht="12" customHeight="1" x14ac:dyDescent="0.2">
      <c r="A473" s="451">
        <v>6</v>
      </c>
      <c r="B473" s="451">
        <v>2</v>
      </c>
      <c r="C473" s="451">
        <v>2</v>
      </c>
      <c r="D473" s="407" t="s">
        <v>2097</v>
      </c>
      <c r="E473" s="315" t="s">
        <v>2098</v>
      </c>
      <c r="F473" s="196">
        <v>41306</v>
      </c>
      <c r="G473" s="170"/>
      <c r="H473" s="170">
        <v>1</v>
      </c>
      <c r="I473" s="746">
        <f>TIME(0,57,49)</f>
        <v>4.0150462962962964E-2</v>
      </c>
      <c r="J473" s="899" t="s">
        <v>4706</v>
      </c>
      <c r="K473" s="167" t="s">
        <v>5664</v>
      </c>
      <c r="L473" s="167" t="s">
        <v>6231</v>
      </c>
      <c r="M473" s="167" t="s">
        <v>2100</v>
      </c>
      <c r="N473" s="167"/>
      <c r="O473" s="167"/>
      <c r="P473" s="168" t="s">
        <v>2099</v>
      </c>
      <c r="Q473" s="167" t="s">
        <v>2096</v>
      </c>
      <c r="R473" s="172" t="s">
        <v>2092</v>
      </c>
      <c r="S473" s="388" t="s">
        <v>2596</v>
      </c>
      <c r="T473" s="168" t="s">
        <v>2598</v>
      </c>
      <c r="U473" s="168"/>
      <c r="V473" s="168"/>
      <c r="W473" s="312" t="s">
        <v>2098</v>
      </c>
      <c r="X473" s="644" t="s">
        <v>14576</v>
      </c>
      <c r="Y473" s="352" t="s">
        <v>5643</v>
      </c>
      <c r="Z473" s="353">
        <v>415</v>
      </c>
      <c r="AA473" s="353">
        <v>4.5</v>
      </c>
      <c r="AB473" s="31">
        <f t="shared" ca="1" si="8"/>
        <v>0.45136335372398873</v>
      </c>
      <c r="AC473" s="810"/>
      <c r="AD473" s="811" t="s">
        <v>16900</v>
      </c>
      <c r="AE473" s="940"/>
      <c r="AF473" s="920">
        <f>IF(X473=X472,AF472,0)+IF(ISNUMBER(I473),IF(I473&lt;1,I473,I473*VLOOKUP(J473,Summary!$H$2:$I$9,2)),VLOOKUP(J473,Summary!$J$2:$K$9,2)*IF(ISNUMBER(H473),H473,1))</f>
        <v>0.72331018518518531</v>
      </c>
      <c r="AG473" s="287">
        <v>472</v>
      </c>
      <c r="AH473" s="94"/>
      <c r="AI473" s="94"/>
    </row>
    <row r="474" spans="1:36" s="29" customFormat="1" ht="12" customHeight="1" x14ac:dyDescent="0.25">
      <c r="A474" s="444">
        <v>6</v>
      </c>
      <c r="B474" s="444">
        <v>2</v>
      </c>
      <c r="C474" s="445">
        <v>16.03</v>
      </c>
      <c r="D474" s="176" t="s">
        <v>2987</v>
      </c>
      <c r="E474" s="313" t="s">
        <v>2988</v>
      </c>
      <c r="F474" s="174">
        <v>38473</v>
      </c>
      <c r="G474" s="174"/>
      <c r="H474" s="176">
        <v>1</v>
      </c>
      <c r="I474" s="176">
        <v>16</v>
      </c>
      <c r="J474" s="900" t="s">
        <v>2755</v>
      </c>
      <c r="K474" s="164" t="s">
        <v>2989</v>
      </c>
      <c r="L474" s="164" t="s">
        <v>461</v>
      </c>
      <c r="M474" s="164"/>
      <c r="N474" s="164" t="s">
        <v>7381</v>
      </c>
      <c r="O474" s="164"/>
      <c r="P474" s="173" t="s">
        <v>1652</v>
      </c>
      <c r="Q474" s="164" t="s">
        <v>3947</v>
      </c>
      <c r="R474" s="177" t="s">
        <v>2723</v>
      </c>
      <c r="S474" s="354" t="s">
        <v>2596</v>
      </c>
      <c r="T474" s="173" t="s">
        <v>2598</v>
      </c>
      <c r="U474" s="173"/>
      <c r="V474" s="173"/>
      <c r="W474" s="313" t="s">
        <v>2988</v>
      </c>
      <c r="X474" s="645" t="s">
        <v>14576</v>
      </c>
      <c r="Y474" s="354"/>
      <c r="Z474" s="176"/>
      <c r="AA474" s="176"/>
      <c r="AB474" s="32">
        <f t="shared" ca="1" si="8"/>
        <v>0.42028534069747159</v>
      </c>
      <c r="AC474" s="812"/>
      <c r="AD474" s="763" t="s">
        <v>461</v>
      </c>
      <c r="AE474" s="807"/>
      <c r="AF474" s="921">
        <f>IF(X474=X473,AF473,0)+IF(ISNUMBER(I474),IF(I474&lt;1,I474,I474*VLOOKUP(J474,Summary!$H$2:$I$9,2)),VLOOKUP(J474,Summary!$J$2:$K$9,2)*IF(ISNUMBER(H474),H474,1))</f>
        <v>0.73442129629629638</v>
      </c>
      <c r="AG474" s="289">
        <v>473</v>
      </c>
      <c r="AH474" s="94"/>
      <c r="AI474" s="94"/>
    </row>
    <row r="475" spans="1:36" s="22" customFormat="1" ht="12" customHeight="1" x14ac:dyDescent="0.25">
      <c r="A475" s="444">
        <v>6</v>
      </c>
      <c r="B475" s="444">
        <v>2</v>
      </c>
      <c r="C475" s="445">
        <v>29.08</v>
      </c>
      <c r="D475" s="176" t="s">
        <v>958</v>
      </c>
      <c r="E475" s="313" t="s">
        <v>1260</v>
      </c>
      <c r="F475" s="174">
        <v>39692</v>
      </c>
      <c r="G475" s="174"/>
      <c r="H475" s="176" t="s">
        <v>461</v>
      </c>
      <c r="I475" s="176">
        <v>6</v>
      </c>
      <c r="J475" s="900" t="s">
        <v>2755</v>
      </c>
      <c r="K475" s="164" t="s">
        <v>1261</v>
      </c>
      <c r="L475" s="164" t="s">
        <v>461</v>
      </c>
      <c r="M475" s="164"/>
      <c r="N475" s="164" t="s">
        <v>5664</v>
      </c>
      <c r="O475" s="164"/>
      <c r="P475" s="173" t="s">
        <v>6707</v>
      </c>
      <c r="Q475" s="164" t="s">
        <v>3947</v>
      </c>
      <c r="R475" s="177" t="s">
        <v>2723</v>
      </c>
      <c r="S475" s="354" t="s">
        <v>2596</v>
      </c>
      <c r="T475" s="173" t="s">
        <v>2598</v>
      </c>
      <c r="U475" s="173"/>
      <c r="V475" s="173"/>
      <c r="W475" s="313" t="s">
        <v>1260</v>
      </c>
      <c r="X475" s="645" t="s">
        <v>14576</v>
      </c>
      <c r="Y475" s="354"/>
      <c r="Z475" s="176"/>
      <c r="AA475" s="176"/>
      <c r="AB475" s="32">
        <f t="shared" ca="1" si="8"/>
        <v>0.68465428173824572</v>
      </c>
      <c r="AC475" s="812"/>
      <c r="AD475" s="763"/>
      <c r="AE475" s="807"/>
      <c r="AF475" s="921">
        <f>IF(X475=X474,AF474,0)+IF(ISNUMBER(I475),IF(I475&lt;1,I475,I475*VLOOKUP(J475,Summary!$H$2:$I$9,2)),VLOOKUP(J475,Summary!$J$2:$K$9,2)*IF(ISNUMBER(H475),H475,1))</f>
        <v>0.73858796296296303</v>
      </c>
      <c r="AG475" s="289">
        <v>474</v>
      </c>
      <c r="AH475" s="94"/>
      <c r="AI475" s="94"/>
    </row>
    <row r="476" spans="1:36" s="22" customFormat="1" ht="12" customHeight="1" x14ac:dyDescent="0.2">
      <c r="A476" s="451">
        <v>6</v>
      </c>
      <c r="B476" s="451">
        <v>2</v>
      </c>
      <c r="C476" s="451">
        <v>2.2000000000000002</v>
      </c>
      <c r="D476" s="407" t="s">
        <v>4749</v>
      </c>
      <c r="E476" s="315" t="s">
        <v>545</v>
      </c>
      <c r="F476" s="169">
        <v>40513</v>
      </c>
      <c r="G476" s="170"/>
      <c r="H476" s="170">
        <v>4</v>
      </c>
      <c r="I476" s="746">
        <f>TIME(1,11,22)+TIME(1,13,25)</f>
        <v>0.10054398148148147</v>
      </c>
      <c r="J476" s="899" t="s">
        <v>4706</v>
      </c>
      <c r="K476" s="167" t="s">
        <v>1744</v>
      </c>
      <c r="L476" s="167" t="s">
        <v>5662</v>
      </c>
      <c r="M476" s="167"/>
      <c r="N476" s="167" t="s">
        <v>5664</v>
      </c>
      <c r="O476" s="167"/>
      <c r="P476" s="168" t="s">
        <v>8907</v>
      </c>
      <c r="Q476" s="167" t="s">
        <v>3947</v>
      </c>
      <c r="R476" s="172" t="s">
        <v>6992</v>
      </c>
      <c r="S476" s="388" t="s">
        <v>2596</v>
      </c>
      <c r="T476" s="168" t="s">
        <v>2598</v>
      </c>
      <c r="U476" s="168"/>
      <c r="V476" s="168"/>
      <c r="W476" s="312" t="s">
        <v>9627</v>
      </c>
      <c r="X476" s="644" t="s">
        <v>14576</v>
      </c>
      <c r="Y476" s="352" t="s">
        <v>5398</v>
      </c>
      <c r="Z476" s="353">
        <v>693</v>
      </c>
      <c r="AA476" s="353">
        <v>1</v>
      </c>
      <c r="AB476" s="31">
        <f t="shared" ca="1" si="8"/>
        <v>0.6328477691156762</v>
      </c>
      <c r="AC476" s="810"/>
      <c r="AD476" s="811"/>
      <c r="AE476" s="940"/>
      <c r="AF476" s="920">
        <f>IF(X476=X475,AF475,0)+IF(ISNUMBER(I476),IF(I476&lt;1,I476,I476*VLOOKUP(J476,Summary!$H$2:$I$9,2)),VLOOKUP(J476,Summary!$J$2:$K$9,2)*IF(ISNUMBER(H476),H476,1))</f>
        <v>0.8391319444444445</v>
      </c>
      <c r="AG476" s="287">
        <v>475</v>
      </c>
      <c r="AH476" s="94"/>
      <c r="AI476" s="94"/>
    </row>
    <row r="477" spans="1:36" s="3" customFormat="1" ht="12" customHeight="1" x14ac:dyDescent="0.25">
      <c r="A477" s="451">
        <v>6</v>
      </c>
      <c r="B477" s="451">
        <v>2</v>
      </c>
      <c r="C477" s="451">
        <v>3.8</v>
      </c>
      <c r="D477" s="407" t="s">
        <v>4515</v>
      </c>
      <c r="E477" s="315" t="s">
        <v>4516</v>
      </c>
      <c r="F477" s="169">
        <v>41153</v>
      </c>
      <c r="G477" s="170"/>
      <c r="H477" s="170">
        <v>4</v>
      </c>
      <c r="I477" s="746">
        <f>TIME(0,57,15)+TIME(1,0,45)</f>
        <v>8.1944444444444445E-2</v>
      </c>
      <c r="J477" s="899" t="s">
        <v>4706</v>
      </c>
      <c r="K477" s="167" t="s">
        <v>3223</v>
      </c>
      <c r="L477" s="167" t="s">
        <v>5662</v>
      </c>
      <c r="M477" s="167"/>
      <c r="N477" s="167"/>
      <c r="O477" s="167" t="s">
        <v>2500</v>
      </c>
      <c r="P477" s="168" t="s">
        <v>8905</v>
      </c>
      <c r="Q477" s="167" t="s">
        <v>3947</v>
      </c>
      <c r="R477" s="172" t="s">
        <v>6992</v>
      </c>
      <c r="S477" s="388" t="s">
        <v>2596</v>
      </c>
      <c r="T477" s="168" t="s">
        <v>2598</v>
      </c>
      <c r="U477" s="168"/>
      <c r="V477" s="168"/>
      <c r="W477" s="312" t="s">
        <v>10091</v>
      </c>
      <c r="X477" s="644" t="s">
        <v>14576</v>
      </c>
      <c r="Y477" s="352" t="s">
        <v>5398</v>
      </c>
      <c r="Z477" s="353">
        <v>207</v>
      </c>
      <c r="AA477" s="353">
        <v>6</v>
      </c>
      <c r="AB477" s="31">
        <f t="shared" ca="1" si="8"/>
        <v>0.21185505378613267</v>
      </c>
      <c r="AC477" s="810"/>
      <c r="AD477" s="811" t="s">
        <v>16901</v>
      </c>
      <c r="AE477" s="940"/>
      <c r="AF477" s="920">
        <f>IF(X477=X476,AF476,0)+IF(ISNUMBER(I477),IF(I477&lt;1,I477,I477*VLOOKUP(J477,Summary!$H$2:$I$9,2)),VLOOKUP(J477,Summary!$J$2:$K$9,2)*IF(ISNUMBER(H477),H477,1))</f>
        <v>0.92107638888888899</v>
      </c>
      <c r="AG477" s="287">
        <v>476</v>
      </c>
      <c r="AH477" s="94"/>
      <c r="AI477" s="94"/>
    </row>
    <row r="478" spans="1:36" s="2" customFormat="1" ht="12" customHeight="1" x14ac:dyDescent="0.25">
      <c r="A478" s="444">
        <v>6</v>
      </c>
      <c r="B478" s="444">
        <v>2</v>
      </c>
      <c r="C478" s="444">
        <v>8</v>
      </c>
      <c r="D478" s="176" t="s">
        <v>9513</v>
      </c>
      <c r="E478" s="313" t="s">
        <v>9514</v>
      </c>
      <c r="F478" s="175">
        <v>41977</v>
      </c>
      <c r="G478" s="176"/>
      <c r="H478" s="176">
        <v>1</v>
      </c>
      <c r="I478" s="176"/>
      <c r="J478" s="900" t="s">
        <v>2755</v>
      </c>
      <c r="K478" s="164" t="s">
        <v>9515</v>
      </c>
      <c r="L478" s="164" t="s">
        <v>461</v>
      </c>
      <c r="M478" s="164"/>
      <c r="N478" s="164"/>
      <c r="O478" s="164"/>
      <c r="P478" s="173" t="s">
        <v>10232</v>
      </c>
      <c r="Q478" s="164" t="s">
        <v>2173</v>
      </c>
      <c r="R478" s="177" t="s">
        <v>10233</v>
      </c>
      <c r="S478" s="354" t="s">
        <v>2596</v>
      </c>
      <c r="T478" s="173" t="s">
        <v>2598</v>
      </c>
      <c r="U478" s="173"/>
      <c r="V478" s="173"/>
      <c r="W478" s="313" t="s">
        <v>9514</v>
      </c>
      <c r="X478" s="645" t="s">
        <v>14576</v>
      </c>
      <c r="Y478" s="354"/>
      <c r="Z478" s="176"/>
      <c r="AA478" s="176"/>
      <c r="AB478" s="32">
        <f t="shared" ca="1" si="8"/>
        <v>2.6334063676714536E-2</v>
      </c>
      <c r="AC478" s="812"/>
      <c r="AD478" s="763"/>
      <c r="AE478" s="807"/>
      <c r="AF478" s="921">
        <f>IF(X478=X477,AF477,0)+IF(ISNUMBER(I478),IF(I478&lt;1,I478,I478*VLOOKUP(J478,Summary!$H$2:$I$9,2)),VLOOKUP(J478,Summary!$J$2:$K$9,2)*IF(ISNUMBER(H478),H478,1))</f>
        <v>0.93843750000000015</v>
      </c>
      <c r="AG478" s="289">
        <v>477</v>
      </c>
      <c r="AH478" s="94"/>
      <c r="AI478" s="94"/>
      <c r="AJ478" s="22"/>
    </row>
    <row r="479" spans="1:36" s="22" customFormat="1" ht="12" customHeight="1" x14ac:dyDescent="0.25">
      <c r="A479" s="446" t="s">
        <v>5993</v>
      </c>
      <c r="B479" s="446">
        <v>2</v>
      </c>
      <c r="C479" s="446">
        <v>5</v>
      </c>
      <c r="D479" s="417" t="s">
        <v>1089</v>
      </c>
      <c r="E479" s="316" t="s">
        <v>1090</v>
      </c>
      <c r="F479" s="187">
        <v>37561</v>
      </c>
      <c r="G479" s="188"/>
      <c r="H479" s="984" t="s">
        <v>461</v>
      </c>
      <c r="I479" s="188">
        <v>124</v>
      </c>
      <c r="J479" s="902" t="s">
        <v>6868</v>
      </c>
      <c r="K479" s="162" t="s">
        <v>2939</v>
      </c>
      <c r="L479" s="162" t="s">
        <v>461</v>
      </c>
      <c r="M479" s="162"/>
      <c r="N479" s="162"/>
      <c r="O479" s="162"/>
      <c r="P479" s="178" t="s">
        <v>8860</v>
      </c>
      <c r="Q479" s="162" t="s">
        <v>6055</v>
      </c>
      <c r="R479" s="189" t="s">
        <v>2718</v>
      </c>
      <c r="S479" s="366" t="s">
        <v>2596</v>
      </c>
      <c r="T479" s="178" t="s">
        <v>2598</v>
      </c>
      <c r="U479" s="178"/>
      <c r="V479" s="178"/>
      <c r="W479" s="316" t="s">
        <v>1090</v>
      </c>
      <c r="X479" s="648" t="s">
        <v>14576</v>
      </c>
      <c r="Y479" s="356"/>
      <c r="Z479" s="272">
        <v>144</v>
      </c>
      <c r="AA479" s="272">
        <v>4.5</v>
      </c>
      <c r="AB479" s="34">
        <f t="shared" ca="1" si="8"/>
        <v>0.84212249233913949</v>
      </c>
      <c r="AC479" s="814"/>
      <c r="AD479" s="815" t="s">
        <v>16657</v>
      </c>
      <c r="AE479" s="942"/>
      <c r="AF479" s="923">
        <f>IF(X479=X478,AF478,0)+IF(ISNUMBER(I479),IF(I479&lt;1,I479,I479*VLOOKUP(J479,Summary!$H$2:$I$9,2)),VLOOKUP(J479,Summary!$J$2:$K$9,2)*IF(ISNUMBER(H479),H479,1))</f>
        <v>1.0245486111111113</v>
      </c>
      <c r="AG479" s="291">
        <v>478</v>
      </c>
      <c r="AH479" s="94"/>
      <c r="AI479" s="94"/>
    </row>
    <row r="480" spans="1:36" s="3" customFormat="1" ht="12" customHeight="1" x14ac:dyDescent="0.25">
      <c r="A480" s="451">
        <v>6</v>
      </c>
      <c r="B480" s="451">
        <v>2</v>
      </c>
      <c r="C480" s="453">
        <v>10.3</v>
      </c>
      <c r="D480" s="407" t="s">
        <v>10212</v>
      </c>
      <c r="E480" s="315" t="s">
        <v>10213</v>
      </c>
      <c r="F480" s="196">
        <v>42544</v>
      </c>
      <c r="G480" s="170"/>
      <c r="H480" s="170">
        <v>2</v>
      </c>
      <c r="I480" s="746">
        <f>TIME(1,10,36)</f>
        <v>4.9027777777777781E-2</v>
      </c>
      <c r="J480" s="899" t="s">
        <v>4706</v>
      </c>
      <c r="K480" s="167" t="s">
        <v>10214</v>
      </c>
      <c r="L480" s="167" t="s">
        <v>5662</v>
      </c>
      <c r="M480" s="167"/>
      <c r="N480" s="167"/>
      <c r="O480" s="167"/>
      <c r="P480" s="168" t="s">
        <v>10209</v>
      </c>
      <c r="Q480" s="167" t="s">
        <v>3947</v>
      </c>
      <c r="R480" s="172" t="s">
        <v>3153</v>
      </c>
      <c r="S480" s="388" t="s">
        <v>2596</v>
      </c>
      <c r="T480" s="168" t="s">
        <v>2598</v>
      </c>
      <c r="U480" s="168"/>
      <c r="V480" s="168"/>
      <c r="W480" s="312" t="s">
        <v>10356</v>
      </c>
      <c r="X480" s="644" t="s">
        <v>14576</v>
      </c>
      <c r="Y480" s="352" t="s">
        <v>5643</v>
      </c>
      <c r="Z480" s="353">
        <v>501</v>
      </c>
      <c r="AA480" s="353">
        <v>4</v>
      </c>
      <c r="AB480" s="31">
        <f t="shared" ca="1" si="8"/>
        <v>0.50461447967155415</v>
      </c>
      <c r="AC480" s="810"/>
      <c r="AD480" s="811" t="s">
        <v>16902</v>
      </c>
      <c r="AE480" s="940"/>
      <c r="AF480" s="920">
        <f>IF(X480=X479,AF479,0)+IF(ISNUMBER(I480),IF(I480&lt;1,I480,I480*VLOOKUP(J480,Summary!$H$2:$I$9,2)),VLOOKUP(J480,Summary!$J$2:$K$9,2)*IF(ISNUMBER(H480),H480,1))</f>
        <v>1.0735763888888892</v>
      </c>
      <c r="AG480" s="287">
        <v>479</v>
      </c>
      <c r="AH480" s="94"/>
      <c r="AI480" s="94"/>
    </row>
    <row r="481" spans="1:35" s="2" customFormat="1" ht="12" customHeight="1" x14ac:dyDescent="0.25">
      <c r="A481" s="444">
        <v>6</v>
      </c>
      <c r="B481" s="444">
        <v>2</v>
      </c>
      <c r="C481" s="444">
        <v>1.01</v>
      </c>
      <c r="D481" s="176" t="s">
        <v>6524</v>
      </c>
      <c r="E481" s="313" t="s">
        <v>567</v>
      </c>
      <c r="F481" s="176">
        <v>1994</v>
      </c>
      <c r="G481" s="176"/>
      <c r="H481" s="176">
        <v>1</v>
      </c>
      <c r="I481" s="176">
        <v>31</v>
      </c>
      <c r="J481" s="900" t="s">
        <v>2755</v>
      </c>
      <c r="K481" s="164" t="s">
        <v>175</v>
      </c>
      <c r="L481" s="164" t="s">
        <v>461</v>
      </c>
      <c r="M481" s="164"/>
      <c r="N481" s="164" t="s">
        <v>7001</v>
      </c>
      <c r="O481" s="164"/>
      <c r="P481" s="173" t="s">
        <v>7002</v>
      </c>
      <c r="Q481" s="164" t="s">
        <v>6548</v>
      </c>
      <c r="R481" s="177" t="s">
        <v>4598</v>
      </c>
      <c r="S481" s="354" t="s">
        <v>2596</v>
      </c>
      <c r="T481" s="173" t="s">
        <v>2598</v>
      </c>
      <c r="U481" s="173"/>
      <c r="V481" s="173"/>
      <c r="W481" s="313" t="s">
        <v>567</v>
      </c>
      <c r="X481" s="645" t="s">
        <v>14576</v>
      </c>
      <c r="Y481" s="354" t="s">
        <v>6868</v>
      </c>
      <c r="Z481" s="176">
        <v>999</v>
      </c>
      <c r="AA481" s="176"/>
      <c r="AB481" s="32">
        <f t="shared" ca="1" si="8"/>
        <v>0.54143898049331696</v>
      </c>
      <c r="AC481" s="812"/>
      <c r="AD481" s="763" t="s">
        <v>16903</v>
      </c>
      <c r="AE481" s="807"/>
      <c r="AF481" s="921">
        <f>IF(X481=X480,AF480,0)+IF(ISNUMBER(I481),IF(I481&lt;1,I481,I481*VLOOKUP(J481,Summary!$H$2:$I$9,2)),VLOOKUP(J481,Summary!$J$2:$K$9,2)*IF(ISNUMBER(H481),H481,1))</f>
        <v>1.095104166666667</v>
      </c>
      <c r="AG481" s="289">
        <v>480</v>
      </c>
      <c r="AH481" s="94"/>
      <c r="AI481" s="94"/>
    </row>
    <row r="482" spans="1:35" s="2" customFormat="1" ht="12" customHeight="1" x14ac:dyDescent="0.25">
      <c r="A482" s="451" t="s">
        <v>5993</v>
      </c>
      <c r="B482" s="451">
        <v>2</v>
      </c>
      <c r="C482" s="452">
        <v>4.0199999999999996</v>
      </c>
      <c r="D482" s="407" t="s">
        <v>8385</v>
      </c>
      <c r="E482" s="315" t="s">
        <v>8386</v>
      </c>
      <c r="F482" s="169">
        <v>41548</v>
      </c>
      <c r="G482" s="170"/>
      <c r="H482" s="170">
        <v>4</v>
      </c>
      <c r="I482" s="746">
        <f>TIME(1,42,25)</f>
        <v>7.1122685185185178E-2</v>
      </c>
      <c r="J482" s="899" t="s">
        <v>4706</v>
      </c>
      <c r="K482" s="167" t="s">
        <v>8387</v>
      </c>
      <c r="L482" s="167" t="s">
        <v>5662</v>
      </c>
      <c r="M482" s="167"/>
      <c r="N482" s="167"/>
      <c r="O482" s="167"/>
      <c r="P482" s="168" t="s">
        <v>8388</v>
      </c>
      <c r="Q482" s="167" t="s">
        <v>3947</v>
      </c>
      <c r="R482" s="172" t="s">
        <v>6992</v>
      </c>
      <c r="S482" s="388" t="s">
        <v>2596</v>
      </c>
      <c r="T482" s="168" t="s">
        <v>2598</v>
      </c>
      <c r="U482" s="168"/>
      <c r="V482" s="168"/>
      <c r="W482" s="312" t="s">
        <v>10358</v>
      </c>
      <c r="X482" s="644" t="s">
        <v>14576</v>
      </c>
      <c r="Y482" s="352" t="s">
        <v>5643</v>
      </c>
      <c r="Z482" s="353">
        <v>691</v>
      </c>
      <c r="AA482" s="353">
        <v>1.5</v>
      </c>
      <c r="AB482" s="31">
        <f t="shared" ca="1" si="8"/>
        <v>0.99602293742451942</v>
      </c>
      <c r="AC482" s="810"/>
      <c r="AD482" s="811" t="s">
        <v>461</v>
      </c>
      <c r="AE482" s="940"/>
      <c r="AF482" s="920">
        <f>IF(X482=X481,AF481,0)+IF(ISNUMBER(I482),IF(I482&lt;1,I482,I482*VLOOKUP(J482,Summary!$H$2:$I$9,2)),VLOOKUP(J482,Summary!$J$2:$K$9,2)*IF(ISNUMBER(H482),H482,1))</f>
        <v>1.1662268518518522</v>
      </c>
      <c r="AG482" s="287">
        <v>481</v>
      </c>
      <c r="AH482" s="94"/>
      <c r="AI482" s="94"/>
    </row>
    <row r="483" spans="1:35" s="22" customFormat="1" ht="12" customHeight="1" x14ac:dyDescent="0.25">
      <c r="A483" s="444">
        <v>6</v>
      </c>
      <c r="B483" s="444">
        <v>2</v>
      </c>
      <c r="C483" s="459">
        <v>3</v>
      </c>
      <c r="D483" s="176" t="s">
        <v>9282</v>
      </c>
      <c r="E483" s="313" t="s">
        <v>9283</v>
      </c>
      <c r="F483" s="175">
        <v>41802</v>
      </c>
      <c r="G483" s="174"/>
      <c r="H483" s="176">
        <v>1</v>
      </c>
      <c r="I483" s="176">
        <v>40</v>
      </c>
      <c r="J483" s="900" t="s">
        <v>2755</v>
      </c>
      <c r="K483" s="164" t="s">
        <v>9281</v>
      </c>
      <c r="L483" s="164" t="s">
        <v>461</v>
      </c>
      <c r="M483" s="164"/>
      <c r="N483" s="164" t="s">
        <v>543</v>
      </c>
      <c r="O483" s="164"/>
      <c r="P483" s="173" t="s">
        <v>9278</v>
      </c>
      <c r="Q483" s="164" t="s">
        <v>3953</v>
      </c>
      <c r="R483" s="177" t="s">
        <v>9279</v>
      </c>
      <c r="S483" s="354" t="s">
        <v>2596</v>
      </c>
      <c r="T483" s="173" t="s">
        <v>2598</v>
      </c>
      <c r="U483" s="173"/>
      <c r="V483" s="173"/>
      <c r="W483" s="313" t="s">
        <v>9283</v>
      </c>
      <c r="X483" s="645" t="s">
        <v>14576</v>
      </c>
      <c r="Y483" s="354" t="s">
        <v>6868</v>
      </c>
      <c r="Z483" s="176"/>
      <c r="AA483" s="176"/>
      <c r="AB483" s="32">
        <f t="shared" ca="1" si="8"/>
        <v>0.16954344889205319</v>
      </c>
      <c r="AC483" s="812"/>
      <c r="AD483" s="763"/>
      <c r="AE483" s="807"/>
      <c r="AF483" s="921">
        <f>IF(X483=X482,AF482,0)+IF(ISNUMBER(I483),IF(I483&lt;1,I483,I483*VLOOKUP(J483,Summary!$H$2:$I$9,2)),VLOOKUP(J483,Summary!$J$2:$K$9,2)*IF(ISNUMBER(H483),H483,1))</f>
        <v>1.1940046296296298</v>
      </c>
      <c r="AG483" s="289">
        <v>482</v>
      </c>
      <c r="AH483" s="94"/>
      <c r="AI483" s="94"/>
    </row>
    <row r="484" spans="1:35" s="1" customFormat="1" ht="12" customHeight="1" x14ac:dyDescent="0.25">
      <c r="A484" s="444">
        <v>6</v>
      </c>
      <c r="B484" s="444">
        <v>2</v>
      </c>
      <c r="C484" s="445">
        <v>21.03</v>
      </c>
      <c r="D484" s="176" t="s">
        <v>2803</v>
      </c>
      <c r="E484" s="313" t="s">
        <v>490</v>
      </c>
      <c r="F484" s="174">
        <v>38991</v>
      </c>
      <c r="G484" s="174"/>
      <c r="H484" s="176">
        <v>1</v>
      </c>
      <c r="I484" s="176">
        <v>20</v>
      </c>
      <c r="J484" s="900" t="s">
        <v>2755</v>
      </c>
      <c r="K484" s="164" t="s">
        <v>6353</v>
      </c>
      <c r="L484" s="164" t="s">
        <v>461</v>
      </c>
      <c r="M484" s="164"/>
      <c r="N484" s="164" t="s">
        <v>5664</v>
      </c>
      <c r="O484" s="164"/>
      <c r="P484" s="173" t="s">
        <v>3325</v>
      </c>
      <c r="Q484" s="164" t="s">
        <v>3947</v>
      </c>
      <c r="R484" s="177" t="s">
        <v>2723</v>
      </c>
      <c r="S484" s="354" t="s">
        <v>2596</v>
      </c>
      <c r="T484" s="173" t="s">
        <v>2598</v>
      </c>
      <c r="U484" s="173"/>
      <c r="V484" s="173"/>
      <c r="W484" s="313" t="s">
        <v>490</v>
      </c>
      <c r="X484" s="645" t="s">
        <v>14576</v>
      </c>
      <c r="Y484" s="354"/>
      <c r="Z484" s="176"/>
      <c r="AA484" s="176"/>
      <c r="AB484" s="32">
        <f t="shared" ca="1" si="8"/>
        <v>0.23058975984839769</v>
      </c>
      <c r="AC484" s="812"/>
      <c r="AD484" s="763"/>
      <c r="AE484" s="807"/>
      <c r="AF484" s="921">
        <f>IF(X484=X483,AF483,0)+IF(ISNUMBER(I484),IF(I484&lt;1,I484,I484*VLOOKUP(J484,Summary!$H$2:$I$9,2)),VLOOKUP(J484,Summary!$J$2:$K$9,2)*IF(ISNUMBER(H484),H484,1))</f>
        <v>1.2078935185185187</v>
      </c>
      <c r="AG484" s="289">
        <v>483</v>
      </c>
      <c r="AH484" s="94"/>
      <c r="AI484" s="94"/>
    </row>
    <row r="485" spans="1:35" s="2" customFormat="1" ht="12" customHeight="1" x14ac:dyDescent="0.25">
      <c r="A485" s="451" t="s">
        <v>5993</v>
      </c>
      <c r="B485" s="451">
        <v>2</v>
      </c>
      <c r="C485" s="452">
        <v>8.06</v>
      </c>
      <c r="D485" s="407" t="s">
        <v>8016</v>
      </c>
      <c r="E485" s="315" t="s">
        <v>8017</v>
      </c>
      <c r="F485" s="169">
        <v>41609</v>
      </c>
      <c r="G485" s="170"/>
      <c r="H485" s="170">
        <v>2</v>
      </c>
      <c r="I485" s="746">
        <f>TIME(0,58,0)</f>
        <v>4.027777777777778E-2</v>
      </c>
      <c r="J485" s="899" t="s">
        <v>4706</v>
      </c>
      <c r="K485" s="167" t="s">
        <v>338</v>
      </c>
      <c r="L485" s="167" t="s">
        <v>5662</v>
      </c>
      <c r="M485" s="167" t="s">
        <v>8018</v>
      </c>
      <c r="N485" s="167"/>
      <c r="O485" s="167"/>
      <c r="P485" s="168" t="s">
        <v>8019</v>
      </c>
      <c r="Q485" s="167" t="s">
        <v>3947</v>
      </c>
      <c r="R485" s="172" t="s">
        <v>3153</v>
      </c>
      <c r="S485" s="388" t="s">
        <v>2596</v>
      </c>
      <c r="T485" s="168" t="s">
        <v>2598</v>
      </c>
      <c r="U485" s="168"/>
      <c r="V485" s="168"/>
      <c r="W485" s="312" t="s">
        <v>9526</v>
      </c>
      <c r="X485" s="644" t="s">
        <v>14576</v>
      </c>
      <c r="Y485" s="352" t="s">
        <v>5643</v>
      </c>
      <c r="Z485" s="353">
        <v>652</v>
      </c>
      <c r="AA485" s="353">
        <v>3</v>
      </c>
      <c r="AB485" s="31">
        <f t="shared" ca="1" si="8"/>
        <v>0.32489417554083755</v>
      </c>
      <c r="AC485" s="810"/>
      <c r="AD485" s="811"/>
      <c r="AE485" s="940"/>
      <c r="AF485" s="920">
        <f>IF(X485=X484,AF484,0)+IF(ISNUMBER(I485),IF(I485&lt;1,I485,I485*VLOOKUP(J485,Summary!$H$2:$I$9,2)),VLOOKUP(J485,Summary!$J$2:$K$9,2)*IF(ISNUMBER(H485),H485,1))</f>
        <v>1.2481712962962965</v>
      </c>
      <c r="AG485" s="287">
        <v>484</v>
      </c>
      <c r="AH485" s="94"/>
      <c r="AI485" s="94"/>
    </row>
    <row r="486" spans="1:35" s="2" customFormat="1" ht="12" customHeight="1" x14ac:dyDescent="0.25">
      <c r="A486" s="447">
        <v>6</v>
      </c>
      <c r="B486" s="447">
        <v>2</v>
      </c>
      <c r="C486" s="460">
        <v>2.21</v>
      </c>
      <c r="D486" s="428" t="s">
        <v>6570</v>
      </c>
      <c r="E486" s="325" t="s">
        <v>6571</v>
      </c>
      <c r="F486" s="183">
        <v>39722</v>
      </c>
      <c r="G486" s="183"/>
      <c r="H486" s="185">
        <v>1</v>
      </c>
      <c r="I486" s="185">
        <v>6</v>
      </c>
      <c r="J486" s="901" t="s">
        <v>1796</v>
      </c>
      <c r="K486" s="163" t="s">
        <v>3303</v>
      </c>
      <c r="L486" s="163" t="s">
        <v>6572</v>
      </c>
      <c r="M486" s="158"/>
      <c r="N486" s="158" t="s">
        <v>6573</v>
      </c>
      <c r="O486" s="158"/>
      <c r="P486" s="182" t="s">
        <v>461</v>
      </c>
      <c r="Q486" s="158" t="s">
        <v>5719</v>
      </c>
      <c r="R486" s="207" t="s">
        <v>5718</v>
      </c>
      <c r="S486" s="355" t="s">
        <v>2596</v>
      </c>
      <c r="T486" s="182" t="s">
        <v>2598</v>
      </c>
      <c r="U486" s="182"/>
      <c r="V486" s="182"/>
      <c r="W486" s="321"/>
      <c r="X486" s="653" t="s">
        <v>14576</v>
      </c>
      <c r="Y486" s="355" t="s">
        <v>6000</v>
      </c>
      <c r="Z486" s="362">
        <v>999</v>
      </c>
      <c r="AA486" s="362"/>
      <c r="AB486" s="33">
        <f t="shared" ca="1" si="8"/>
        <v>0.56356568103617555</v>
      </c>
      <c r="AC486" s="813"/>
      <c r="AD486" s="211" t="s">
        <v>16102</v>
      </c>
      <c r="AE486" s="949" t="s">
        <v>3365</v>
      </c>
      <c r="AF486" s="922">
        <f>IF(X486=X485,AF485,0)+IF(ISNUMBER(I486),IF(I486&lt;1,I486,I486*VLOOKUP(J486,Summary!$H$2:$I$9,2)),VLOOKUP(J486,Summary!$J$2:$K$9,2)*IF(ISNUMBER(H486),H486,1))</f>
        <v>1.25025462962963</v>
      </c>
      <c r="AG486" s="295">
        <v>485</v>
      </c>
      <c r="AH486" s="94"/>
      <c r="AI486" s="94"/>
    </row>
    <row r="487" spans="1:35" s="22" customFormat="1" ht="12" customHeight="1" x14ac:dyDescent="0.25">
      <c r="A487" s="454" t="s">
        <v>5993</v>
      </c>
      <c r="B487" s="454">
        <v>2</v>
      </c>
      <c r="C487" s="454">
        <v>47</v>
      </c>
      <c r="D487" s="424" t="s">
        <v>1091</v>
      </c>
      <c r="E487" s="319" t="s">
        <v>1092</v>
      </c>
      <c r="F487" s="198">
        <v>25200</v>
      </c>
      <c r="G487" s="198">
        <v>25221</v>
      </c>
      <c r="H487" s="199">
        <v>4</v>
      </c>
      <c r="I487" s="791">
        <f>TIME(0,23, 0)+TIME(0,23, 3)+TIME(0,21,47)+TIME(0,22,39)</f>
        <v>6.2835648148148154E-2</v>
      </c>
      <c r="J487" s="904" t="s">
        <v>1588</v>
      </c>
      <c r="K487" s="200" t="s">
        <v>1093</v>
      </c>
      <c r="L487" s="200" t="s">
        <v>6125</v>
      </c>
      <c r="M487" s="200"/>
      <c r="N487" s="200" t="s">
        <v>6066</v>
      </c>
      <c r="O487" s="200" t="s">
        <v>125</v>
      </c>
      <c r="P487" s="197" t="s">
        <v>461</v>
      </c>
      <c r="Q487" s="200" t="s">
        <v>3946</v>
      </c>
      <c r="R487" s="201" t="s">
        <v>5280</v>
      </c>
      <c r="S487" s="390" t="s">
        <v>2596</v>
      </c>
      <c r="T487" s="197" t="s">
        <v>2598</v>
      </c>
      <c r="U487" s="197"/>
      <c r="V487" s="197"/>
      <c r="W487" s="318" t="s">
        <v>8678</v>
      </c>
      <c r="X487" s="650" t="s">
        <v>14576</v>
      </c>
      <c r="Y487" s="358" t="s">
        <v>6141</v>
      </c>
      <c r="Z487" s="253">
        <v>216</v>
      </c>
      <c r="AA487" s="253">
        <v>4.5</v>
      </c>
      <c r="AB487" s="35">
        <f t="shared" ca="1" si="8"/>
        <v>0.51914066157092686</v>
      </c>
      <c r="AC487" s="820"/>
      <c r="AD487" s="821" t="s">
        <v>16448</v>
      </c>
      <c r="AE487" s="944" t="s">
        <v>12543</v>
      </c>
      <c r="AF487" s="925">
        <f>IF(X487=X486,AF486,0)+IF(ISNUMBER(I487),IF(I487&lt;1,I487,I487*VLOOKUP(J487,Summary!$H$2:$I$9,2)),VLOOKUP(J487,Summary!$J$2:$K$9,2)*IF(ISNUMBER(H487),H487,1))</f>
        <v>1.3130902777777782</v>
      </c>
      <c r="AG487" s="293">
        <v>486</v>
      </c>
      <c r="AH487" s="94"/>
      <c r="AI487" s="94"/>
    </row>
    <row r="488" spans="1:35" s="2" customFormat="1" ht="12" customHeight="1" x14ac:dyDescent="0.25">
      <c r="A488" s="447" t="s">
        <v>5993</v>
      </c>
      <c r="B488" s="447">
        <v>2</v>
      </c>
      <c r="C488" s="447">
        <v>74</v>
      </c>
      <c r="D488" s="185" t="s">
        <v>7929</v>
      </c>
      <c r="E488" s="314" t="s">
        <v>4335</v>
      </c>
      <c r="F488" s="184">
        <v>34801</v>
      </c>
      <c r="G488" s="184">
        <v>34857</v>
      </c>
      <c r="H488" s="185">
        <v>3</v>
      </c>
      <c r="I488" s="185">
        <v>21</v>
      </c>
      <c r="J488" s="901" t="s">
        <v>1796</v>
      </c>
      <c r="K488" s="163" t="s">
        <v>5251</v>
      </c>
      <c r="L488" s="163" t="s">
        <v>7928</v>
      </c>
      <c r="M488" s="163"/>
      <c r="N488" s="163"/>
      <c r="O488" s="163"/>
      <c r="P488" s="182" t="s">
        <v>461</v>
      </c>
      <c r="Q488" s="163" t="s">
        <v>4062</v>
      </c>
      <c r="R488" s="186" t="s">
        <v>5266</v>
      </c>
      <c r="S488" s="355" t="s">
        <v>2596</v>
      </c>
      <c r="T488" s="182" t="s">
        <v>2598</v>
      </c>
      <c r="U488" s="182"/>
      <c r="V488" s="182"/>
      <c r="W488" s="328"/>
      <c r="X488" s="660" t="s">
        <v>14576</v>
      </c>
      <c r="Y488" s="355"/>
      <c r="Z488" s="185"/>
      <c r="AA488" s="185"/>
      <c r="AB488" s="33">
        <f t="shared" ca="1" si="8"/>
        <v>0.47213662156565372</v>
      </c>
      <c r="AC488" s="813"/>
      <c r="AD488" s="211"/>
      <c r="AE488" s="949"/>
      <c r="AF488" s="922">
        <f>IF(X488=X487,AF487,0)+IF(ISNUMBER(I488),IF(I488&lt;1,I488,I488*VLOOKUP(J488,Summary!$H$2:$I$9,2)),VLOOKUP(J488,Summary!$J$2:$K$9,2)*IF(ISNUMBER(H488),H488,1))</f>
        <v>1.3203819444444449</v>
      </c>
      <c r="AG488" s="295">
        <v>487</v>
      </c>
      <c r="AH488" s="94"/>
      <c r="AI488" s="94"/>
    </row>
    <row r="489" spans="1:35" s="22" customFormat="1" ht="12" customHeight="1" x14ac:dyDescent="0.25">
      <c r="A489" s="446" t="s">
        <v>5993</v>
      </c>
      <c r="B489" s="446">
        <v>2</v>
      </c>
      <c r="C489" s="446">
        <v>69</v>
      </c>
      <c r="D489" s="417" t="s">
        <v>1094</v>
      </c>
      <c r="E489" s="316" t="s">
        <v>1095</v>
      </c>
      <c r="F489" s="187">
        <v>38292</v>
      </c>
      <c r="G489" s="188"/>
      <c r="H489" s="188" t="s">
        <v>461</v>
      </c>
      <c r="I489" s="188">
        <v>256</v>
      </c>
      <c r="J489" s="902" t="s">
        <v>6868</v>
      </c>
      <c r="K489" s="162" t="s">
        <v>6356</v>
      </c>
      <c r="L489" s="162" t="s">
        <v>461</v>
      </c>
      <c r="M489" s="162"/>
      <c r="N489" s="162"/>
      <c r="O489" s="162"/>
      <c r="P489" s="178" t="s">
        <v>8992</v>
      </c>
      <c r="Q489" s="162" t="s">
        <v>3953</v>
      </c>
      <c r="R489" s="189" t="s">
        <v>2717</v>
      </c>
      <c r="S489" s="366" t="s">
        <v>2596</v>
      </c>
      <c r="T489" s="178" t="s">
        <v>2598</v>
      </c>
      <c r="U489" s="178"/>
      <c r="V489" s="178"/>
      <c r="W489" s="316" t="s">
        <v>1095</v>
      </c>
      <c r="X489" s="648" t="s">
        <v>14576</v>
      </c>
      <c r="Y489" s="356"/>
      <c r="Z489" s="272">
        <v>67</v>
      </c>
      <c r="AA489" s="272">
        <v>6.5</v>
      </c>
      <c r="AB489" s="34">
        <f t="shared" ca="1" si="8"/>
        <v>0.84426369806933832</v>
      </c>
      <c r="AC489" s="814"/>
      <c r="AD489" s="815" t="s">
        <v>16109</v>
      </c>
      <c r="AE489" s="942"/>
      <c r="AF489" s="923">
        <f>IF(X489=X488,AF488,0)+IF(ISNUMBER(I489),IF(I489&lt;1,I489,I489*VLOOKUP(J489,Summary!$H$2:$I$9,2)),VLOOKUP(J489,Summary!$J$2:$K$9,2)*IF(ISNUMBER(H489),H489,1))</f>
        <v>1.4981597222222227</v>
      </c>
      <c r="AG489" s="291">
        <v>488</v>
      </c>
      <c r="AH489" s="94"/>
      <c r="AI489" s="94"/>
    </row>
    <row r="490" spans="1:35" s="2" customFormat="1" ht="12" customHeight="1" x14ac:dyDescent="0.25">
      <c r="A490" s="444">
        <v>6</v>
      </c>
      <c r="B490" s="444">
        <v>2</v>
      </c>
      <c r="C490" s="445">
        <v>2.15</v>
      </c>
      <c r="D490" s="176" t="s">
        <v>2992</v>
      </c>
      <c r="E490" s="313" t="s">
        <v>2993</v>
      </c>
      <c r="F490" s="174">
        <v>36220</v>
      </c>
      <c r="G490" s="174"/>
      <c r="H490" s="176">
        <v>1</v>
      </c>
      <c r="I490" s="176">
        <v>12</v>
      </c>
      <c r="J490" s="900" t="s">
        <v>2755</v>
      </c>
      <c r="K490" s="164" t="s">
        <v>2994</v>
      </c>
      <c r="L490" s="164" t="s">
        <v>461</v>
      </c>
      <c r="M490" s="164"/>
      <c r="N490" s="164" t="s">
        <v>6237</v>
      </c>
      <c r="O490" s="164"/>
      <c r="P490" s="173" t="s">
        <v>6561</v>
      </c>
      <c r="Q490" s="164" t="s">
        <v>3953</v>
      </c>
      <c r="R490" s="177" t="s">
        <v>2723</v>
      </c>
      <c r="S490" s="354" t="s">
        <v>2596</v>
      </c>
      <c r="T490" s="173" t="s">
        <v>2598</v>
      </c>
      <c r="U490" s="173">
        <v>7</v>
      </c>
      <c r="V490" s="173" t="s">
        <v>2542</v>
      </c>
      <c r="W490" s="313" t="s">
        <v>2993</v>
      </c>
      <c r="X490" s="645" t="s">
        <v>14576</v>
      </c>
      <c r="Y490" s="354" t="s">
        <v>6868</v>
      </c>
      <c r="Z490" s="176">
        <v>999</v>
      </c>
      <c r="AA490" s="176"/>
      <c r="AB490" s="32">
        <f t="shared" ca="1" si="8"/>
        <v>6.3802568072207189E-2</v>
      </c>
      <c r="AC490" s="812"/>
      <c r="AD490" s="763" t="s">
        <v>461</v>
      </c>
      <c r="AE490" s="807"/>
      <c r="AF490" s="921">
        <f>IF(X490=X489,AF489,0)+IF(ISNUMBER(I490),IF(I490&lt;1,I490,I490*VLOOKUP(J490,Summary!$H$2:$I$9,2)),VLOOKUP(J490,Summary!$J$2:$K$9,2)*IF(ISNUMBER(H490),H490,1))</f>
        <v>1.506493055555556</v>
      </c>
      <c r="AG490" s="289">
        <v>489</v>
      </c>
      <c r="AH490" s="94"/>
      <c r="AI490" s="94"/>
    </row>
    <row r="491" spans="1:35" s="2" customFormat="1" ht="12" customHeight="1" x14ac:dyDescent="0.25">
      <c r="A491" s="448">
        <v>6</v>
      </c>
      <c r="B491" s="448">
        <v>2</v>
      </c>
      <c r="C491" s="449">
        <v>4.0199999999999996</v>
      </c>
      <c r="D491" s="192" t="s">
        <v>405</v>
      </c>
      <c r="E491" s="317" t="s">
        <v>419</v>
      </c>
      <c r="F491" s="209">
        <v>40786</v>
      </c>
      <c r="G491" s="209"/>
      <c r="H491" s="192">
        <v>1</v>
      </c>
      <c r="I491" s="753">
        <f>TIME(0,17,31)</f>
        <v>1.2164351851851852E-2</v>
      </c>
      <c r="J491" s="903" t="s">
        <v>2755</v>
      </c>
      <c r="K491" s="194" t="s">
        <v>417</v>
      </c>
      <c r="L491" s="194" t="s">
        <v>3426</v>
      </c>
      <c r="M491" s="194" t="s">
        <v>7443</v>
      </c>
      <c r="N491" s="194"/>
      <c r="O491" s="194"/>
      <c r="P491" s="190" t="s">
        <v>5598</v>
      </c>
      <c r="Q491" s="194" t="s">
        <v>3947</v>
      </c>
      <c r="R491" s="193" t="s">
        <v>2722</v>
      </c>
      <c r="S491" s="357"/>
      <c r="T491" s="190"/>
      <c r="U491" s="190"/>
      <c r="V491" s="190"/>
      <c r="W491" s="317" t="s">
        <v>419</v>
      </c>
      <c r="X491" s="649" t="s">
        <v>14576</v>
      </c>
      <c r="Y491" s="357" t="s">
        <v>5643</v>
      </c>
      <c r="Z491" s="192">
        <v>999</v>
      </c>
      <c r="AA491" s="192"/>
      <c r="AB491" s="37">
        <f t="shared" ca="1" si="8"/>
        <v>0.82659167126482558</v>
      </c>
      <c r="AC491" s="816"/>
      <c r="AD491" s="817"/>
      <c r="AE491" s="943"/>
      <c r="AF491" s="924">
        <f>IF(X491=X490,AF490,0)+IF(ISNUMBER(I491),IF(I491&lt;1,I491,I491*VLOOKUP(J491,Summary!$H$2:$I$9,2)),VLOOKUP(J491,Summary!$J$2:$K$9,2)*IF(ISNUMBER(H491),H491,1))</f>
        <v>1.518657407407408</v>
      </c>
      <c r="AG491" s="292">
        <v>490</v>
      </c>
      <c r="AH491" s="94"/>
      <c r="AI491" s="94"/>
    </row>
    <row r="492" spans="1:35" s="2" customFormat="1" ht="12" customHeight="1" x14ac:dyDescent="0.25">
      <c r="A492" s="444">
        <v>6</v>
      </c>
      <c r="B492" s="444">
        <v>2</v>
      </c>
      <c r="C492" s="444">
        <v>2</v>
      </c>
      <c r="D492" s="176" t="s">
        <v>13270</v>
      </c>
      <c r="E492" s="313" t="s">
        <v>13271</v>
      </c>
      <c r="F492" s="175">
        <v>42649</v>
      </c>
      <c r="G492" s="174"/>
      <c r="H492" s="176" t="s">
        <v>461</v>
      </c>
      <c r="I492" s="176"/>
      <c r="J492" s="900" t="s">
        <v>2755</v>
      </c>
      <c r="K492" s="164" t="s">
        <v>6355</v>
      </c>
      <c r="L492" s="164" t="s">
        <v>13272</v>
      </c>
      <c r="M492" s="164"/>
      <c r="N492" s="164"/>
      <c r="O492" s="164"/>
      <c r="P492" s="173" t="s">
        <v>12400</v>
      </c>
      <c r="Q492" s="164" t="s">
        <v>3953</v>
      </c>
      <c r="R492" s="177" t="s">
        <v>13260</v>
      </c>
      <c r="S492" s="354" t="s">
        <v>2596</v>
      </c>
      <c r="T492" s="173" t="s">
        <v>2598</v>
      </c>
      <c r="U492" s="173"/>
      <c r="V492" s="173"/>
      <c r="W492" s="313" t="s">
        <v>13271</v>
      </c>
      <c r="X492" s="645" t="s">
        <v>14576</v>
      </c>
      <c r="Y492" s="354"/>
      <c r="Z492" s="176"/>
      <c r="AA492" s="176"/>
      <c r="AB492" s="32">
        <f t="shared" ca="1" si="8"/>
        <v>0.51931946971898368</v>
      </c>
      <c r="AC492" s="812"/>
      <c r="AD492" s="763"/>
      <c r="AE492" s="807"/>
      <c r="AF492" s="921">
        <f>IF(X492=X491,AF491,0)+IF(ISNUMBER(I492),IF(I492&lt;1,I492,I492*VLOOKUP(J492,Summary!$H$2:$I$9,2)),VLOOKUP(J492,Summary!$J$2:$K$9,2)*IF(ISNUMBER(H492),H492,1))</f>
        <v>1.5360185185185191</v>
      </c>
      <c r="AG492" s="289">
        <v>491</v>
      </c>
      <c r="AH492" s="94"/>
      <c r="AI492" s="94"/>
    </row>
    <row r="493" spans="1:35" s="22" customFormat="1" ht="12" customHeight="1" x14ac:dyDescent="0.2">
      <c r="A493" s="451">
        <v>6</v>
      </c>
      <c r="B493" s="451">
        <v>2</v>
      </c>
      <c r="C493" s="453">
        <v>12.3</v>
      </c>
      <c r="D493" s="407" t="s">
        <v>14529</v>
      </c>
      <c r="E493" s="315" t="s">
        <v>14531</v>
      </c>
      <c r="F493" s="196">
        <v>43271</v>
      </c>
      <c r="G493" s="170"/>
      <c r="H493" s="170">
        <v>2</v>
      </c>
      <c r="I493" s="746">
        <f>TIME(1,7,27)</f>
        <v>4.6840277777777779E-2</v>
      </c>
      <c r="J493" s="899" t="s">
        <v>4706</v>
      </c>
      <c r="K493" s="167" t="s">
        <v>10208</v>
      </c>
      <c r="L493" s="167" t="s">
        <v>14526</v>
      </c>
      <c r="M493" s="167"/>
      <c r="N493" s="167"/>
      <c r="O493" s="167" t="s">
        <v>5195</v>
      </c>
      <c r="P493" s="168" t="s">
        <v>14525</v>
      </c>
      <c r="Q493" s="167" t="s">
        <v>3947</v>
      </c>
      <c r="R493" s="172" t="s">
        <v>3153</v>
      </c>
      <c r="S493" s="388" t="s">
        <v>2596</v>
      </c>
      <c r="T493" s="168" t="s">
        <v>2598</v>
      </c>
      <c r="U493" s="168"/>
      <c r="V493" s="168"/>
      <c r="W493" s="312" t="s">
        <v>16952</v>
      </c>
      <c r="X493" s="644" t="s">
        <v>14576</v>
      </c>
      <c r="Y493" s="352" t="s">
        <v>5643</v>
      </c>
      <c r="Z493" s="353">
        <v>319</v>
      </c>
      <c r="AA493" s="353">
        <v>5.5</v>
      </c>
      <c r="AB493" s="31">
        <f t="shared" ca="1" si="8"/>
        <v>0.90826875584429123</v>
      </c>
      <c r="AC493" s="810"/>
      <c r="AD493" s="811" t="s">
        <v>16890</v>
      </c>
      <c r="AE493" s="940"/>
      <c r="AF493" s="920">
        <f>IF(X493=X492,AF492,0)+IF(ISNUMBER(I493),IF(I493&lt;1,I493,I493*VLOOKUP(J493,Summary!$H$2:$I$9,2)),VLOOKUP(J493,Summary!$J$2:$K$9,2)*IF(ISNUMBER(H493),H493,1))</f>
        <v>1.582858796296297</v>
      </c>
      <c r="AG493" s="287">
        <v>492</v>
      </c>
      <c r="AH493" s="94"/>
      <c r="AI493" s="94"/>
    </row>
    <row r="494" spans="1:35" s="22" customFormat="1" ht="12" customHeight="1" x14ac:dyDescent="0.25">
      <c r="A494" s="444">
        <v>6</v>
      </c>
      <c r="B494" s="444">
        <v>2</v>
      </c>
      <c r="C494" s="444"/>
      <c r="D494" s="176" t="s">
        <v>1706</v>
      </c>
      <c r="E494" s="313" t="s">
        <v>5313</v>
      </c>
      <c r="F494" s="174">
        <v>25812</v>
      </c>
      <c r="G494" s="210"/>
      <c r="H494" s="176" t="s">
        <v>461</v>
      </c>
      <c r="I494" s="176">
        <v>5</v>
      </c>
      <c r="J494" s="900" t="s">
        <v>2755</v>
      </c>
      <c r="K494" s="164" t="s">
        <v>5784</v>
      </c>
      <c r="L494" s="164" t="s">
        <v>7931</v>
      </c>
      <c r="M494" s="164"/>
      <c r="N494" s="164"/>
      <c r="O494" s="164"/>
      <c r="P494" s="173" t="s">
        <v>461</v>
      </c>
      <c r="Q494" s="164" t="s">
        <v>4705</v>
      </c>
      <c r="R494" s="177" t="s">
        <v>4600</v>
      </c>
      <c r="S494" s="354" t="s">
        <v>2596</v>
      </c>
      <c r="T494" s="173" t="s">
        <v>2598</v>
      </c>
      <c r="U494" s="173"/>
      <c r="V494" s="173"/>
      <c r="W494" s="313" t="s">
        <v>5313</v>
      </c>
      <c r="X494" s="645" t="s">
        <v>14576</v>
      </c>
      <c r="Y494" s="354"/>
      <c r="Z494" s="176"/>
      <c r="AA494" s="176"/>
      <c r="AB494" s="32">
        <f t="shared" ca="1" si="8"/>
        <v>0.91188758622771526</v>
      </c>
      <c r="AC494" s="812"/>
      <c r="AD494" s="763"/>
      <c r="AE494" s="807"/>
      <c r="AF494" s="921">
        <f>IF(X494=X493,AF493,0)+IF(ISNUMBER(I494),IF(I494&lt;1,I494,I494*VLOOKUP(J494,Summary!$H$2:$I$9,2)),VLOOKUP(J494,Summary!$J$2:$K$9,2)*IF(ISNUMBER(H494),H494,1))</f>
        <v>1.5863310185185193</v>
      </c>
      <c r="AG494" s="289">
        <v>493</v>
      </c>
      <c r="AH494" s="94"/>
      <c r="AI494" s="94"/>
    </row>
    <row r="495" spans="1:35" s="22" customFormat="1" ht="12" customHeight="1" x14ac:dyDescent="0.25">
      <c r="A495" s="444">
        <v>6</v>
      </c>
      <c r="B495" s="444">
        <v>2</v>
      </c>
      <c r="C495" s="444"/>
      <c r="D495" s="176" t="s">
        <v>1706</v>
      </c>
      <c r="E495" s="313" t="s">
        <v>5314</v>
      </c>
      <c r="F495" s="174">
        <v>25812</v>
      </c>
      <c r="G495" s="210"/>
      <c r="H495" s="176" t="s">
        <v>461</v>
      </c>
      <c r="I495" s="176">
        <v>6</v>
      </c>
      <c r="J495" s="900" t="s">
        <v>2755</v>
      </c>
      <c r="K495" s="164" t="s">
        <v>5784</v>
      </c>
      <c r="L495" s="164" t="s">
        <v>7931</v>
      </c>
      <c r="M495" s="164"/>
      <c r="N495" s="164"/>
      <c r="O495" s="164"/>
      <c r="P495" s="173" t="s">
        <v>461</v>
      </c>
      <c r="Q495" s="164" t="s">
        <v>4705</v>
      </c>
      <c r="R495" s="177" t="s">
        <v>4600</v>
      </c>
      <c r="S495" s="354" t="s">
        <v>2596</v>
      </c>
      <c r="T495" s="173" t="s">
        <v>2598</v>
      </c>
      <c r="U495" s="173"/>
      <c r="V495" s="173"/>
      <c r="W495" s="313" t="s">
        <v>5314</v>
      </c>
      <c r="X495" s="645" t="s">
        <v>14576</v>
      </c>
      <c r="Y495" s="354"/>
      <c r="Z495" s="176"/>
      <c r="AA495" s="176"/>
      <c r="AB495" s="32">
        <f t="shared" ca="1" si="8"/>
        <v>0.71137725208322877</v>
      </c>
      <c r="AC495" s="812"/>
      <c r="AD495" s="763"/>
      <c r="AE495" s="807"/>
      <c r="AF495" s="921">
        <f>IF(X495=X494,AF494,0)+IF(ISNUMBER(I495),IF(I495&lt;1,I495,I495*VLOOKUP(J495,Summary!$H$2:$I$9,2)),VLOOKUP(J495,Summary!$J$2:$K$9,2)*IF(ISNUMBER(H495),H495,1))</f>
        <v>1.590497685185186</v>
      </c>
      <c r="AG495" s="289">
        <v>494</v>
      </c>
      <c r="AH495" s="94"/>
      <c r="AI495" s="94"/>
    </row>
    <row r="496" spans="1:35" s="2" customFormat="1" ht="12" customHeight="1" x14ac:dyDescent="0.25">
      <c r="A496" s="447">
        <v>6</v>
      </c>
      <c r="B496" s="447">
        <v>2</v>
      </c>
      <c r="C496" s="447"/>
      <c r="D496" s="185" t="s">
        <v>1706</v>
      </c>
      <c r="E496" s="314" t="s">
        <v>7930</v>
      </c>
      <c r="F496" s="183">
        <v>25082</v>
      </c>
      <c r="G496" s="210"/>
      <c r="H496" s="185">
        <v>1</v>
      </c>
      <c r="I496" s="185">
        <v>6</v>
      </c>
      <c r="J496" s="901" t="s">
        <v>1796</v>
      </c>
      <c r="K496" s="163" t="s">
        <v>5784</v>
      </c>
      <c r="L496" s="163" t="s">
        <v>7931</v>
      </c>
      <c r="M496" s="163"/>
      <c r="N496" s="163"/>
      <c r="O496" s="163"/>
      <c r="P496" s="182" t="s">
        <v>461</v>
      </c>
      <c r="Q496" s="163" t="s">
        <v>4705</v>
      </c>
      <c r="R496" s="186" t="s">
        <v>4600</v>
      </c>
      <c r="S496" s="355" t="s">
        <v>2596</v>
      </c>
      <c r="T496" s="182" t="s">
        <v>2598</v>
      </c>
      <c r="U496" s="182"/>
      <c r="V496" s="182"/>
      <c r="W496" s="314" t="s">
        <v>7930</v>
      </c>
      <c r="X496" s="646" t="s">
        <v>14576</v>
      </c>
      <c r="Y496" s="355"/>
      <c r="Z496" s="185"/>
      <c r="AA496" s="185"/>
      <c r="AB496" s="33">
        <f t="shared" ca="1" si="8"/>
        <v>0.85371133886293404</v>
      </c>
      <c r="AC496" s="813"/>
      <c r="AD496" s="211"/>
      <c r="AE496" s="875"/>
      <c r="AF496" s="922">
        <f>IF(X496=X495,AF495,0)+IF(ISNUMBER(I496),IF(I496&lt;1,I496,I496*VLOOKUP(J496,Summary!$H$2:$I$9,2)),VLOOKUP(J496,Summary!$J$2:$K$9,2)*IF(ISNUMBER(H496),H496,1))</f>
        <v>1.5925810185185194</v>
      </c>
      <c r="AG496" s="290">
        <v>495</v>
      </c>
      <c r="AH496" s="94"/>
      <c r="AI496" s="94"/>
    </row>
    <row r="497" spans="1:35" s="22" customFormat="1" ht="12" customHeight="1" x14ac:dyDescent="0.25">
      <c r="A497" s="444">
        <v>6</v>
      </c>
      <c r="B497" s="444">
        <v>2</v>
      </c>
      <c r="C497" s="444"/>
      <c r="D497" s="176" t="s">
        <v>1706</v>
      </c>
      <c r="E497" s="313" t="s">
        <v>7460</v>
      </c>
      <c r="F497" s="174">
        <v>25812</v>
      </c>
      <c r="G497" s="210"/>
      <c r="H497" s="176" t="s">
        <v>461</v>
      </c>
      <c r="I497" s="176">
        <v>7</v>
      </c>
      <c r="J497" s="900" t="s">
        <v>2755</v>
      </c>
      <c r="K497" s="164" t="s">
        <v>5784</v>
      </c>
      <c r="L497" s="164" t="s">
        <v>7931</v>
      </c>
      <c r="M497" s="164"/>
      <c r="N497" s="164"/>
      <c r="O497" s="164"/>
      <c r="P497" s="173" t="s">
        <v>461</v>
      </c>
      <c r="Q497" s="164" t="s">
        <v>4705</v>
      </c>
      <c r="R497" s="177" t="s">
        <v>4600</v>
      </c>
      <c r="S497" s="354" t="s">
        <v>2596</v>
      </c>
      <c r="T497" s="173" t="s">
        <v>2598</v>
      </c>
      <c r="U497" s="173"/>
      <c r="V497" s="173"/>
      <c r="W497" s="313" t="s">
        <v>7460</v>
      </c>
      <c r="X497" s="645" t="s">
        <v>14576</v>
      </c>
      <c r="Y497" s="354"/>
      <c r="Z497" s="176"/>
      <c r="AA497" s="176"/>
      <c r="AB497" s="32">
        <f t="shared" ca="1" si="8"/>
        <v>0.34138010155264698</v>
      </c>
      <c r="AC497" s="812"/>
      <c r="AD497" s="763"/>
      <c r="AE497" s="807"/>
      <c r="AF497" s="921">
        <f>IF(X497=X496,AF496,0)+IF(ISNUMBER(I497),IF(I497&lt;1,I497,I497*VLOOKUP(J497,Summary!$H$2:$I$9,2)),VLOOKUP(J497,Summary!$J$2:$K$9,2)*IF(ISNUMBER(H497),H497,1))</f>
        <v>1.5974421296296306</v>
      </c>
      <c r="AG497" s="289">
        <v>496</v>
      </c>
      <c r="AH497" s="94"/>
      <c r="AI497" s="94"/>
    </row>
    <row r="498" spans="1:35" s="2" customFormat="1" ht="12" customHeight="1" x14ac:dyDescent="0.25">
      <c r="A498" s="444">
        <v>6</v>
      </c>
      <c r="B498" s="444">
        <v>2</v>
      </c>
      <c r="C498" s="444"/>
      <c r="D498" s="176" t="s">
        <v>1706</v>
      </c>
      <c r="E498" s="313" t="s">
        <v>7461</v>
      </c>
      <c r="F498" s="174">
        <v>25812</v>
      </c>
      <c r="G498" s="210"/>
      <c r="H498" s="176" t="s">
        <v>461</v>
      </c>
      <c r="I498" s="176">
        <v>8</v>
      </c>
      <c r="J498" s="900" t="s">
        <v>2755</v>
      </c>
      <c r="K498" s="164" t="s">
        <v>5784</v>
      </c>
      <c r="L498" s="164" t="s">
        <v>7931</v>
      </c>
      <c r="M498" s="164"/>
      <c r="N498" s="164"/>
      <c r="O498" s="164"/>
      <c r="P498" s="173" t="s">
        <v>461</v>
      </c>
      <c r="Q498" s="164" t="s">
        <v>4705</v>
      </c>
      <c r="R498" s="177" t="s">
        <v>4600</v>
      </c>
      <c r="S498" s="354" t="s">
        <v>2596</v>
      </c>
      <c r="T498" s="173" t="s">
        <v>2598</v>
      </c>
      <c r="U498" s="173"/>
      <c r="V498" s="173"/>
      <c r="W498" s="313" t="s">
        <v>7461</v>
      </c>
      <c r="X498" s="645" t="s">
        <v>14576</v>
      </c>
      <c r="Y498" s="354"/>
      <c r="Z498" s="176"/>
      <c r="AA498" s="176"/>
      <c r="AB498" s="32">
        <f t="shared" ca="1" si="8"/>
        <v>0.55492040684896116</v>
      </c>
      <c r="AC498" s="812"/>
      <c r="AD498" s="763"/>
      <c r="AE498" s="878"/>
      <c r="AF498" s="921">
        <f>IF(X498=X497,AF497,0)+IF(ISNUMBER(I498),IF(I498&lt;1,I498,I498*VLOOKUP(J498,Summary!$H$2:$I$9,2)),VLOOKUP(J498,Summary!$J$2:$K$9,2)*IF(ISNUMBER(H498),H498,1))</f>
        <v>1.6029976851851861</v>
      </c>
      <c r="AG498" s="289">
        <v>497</v>
      </c>
      <c r="AH498" s="94"/>
      <c r="AI498" s="94"/>
    </row>
    <row r="499" spans="1:35" s="7" customFormat="1" ht="12" customHeight="1" x14ac:dyDescent="0.25">
      <c r="A499" s="444">
        <v>6</v>
      </c>
      <c r="B499" s="444">
        <v>2</v>
      </c>
      <c r="C499" s="444"/>
      <c r="D499" s="176" t="s">
        <v>1706</v>
      </c>
      <c r="E499" s="313" t="s">
        <v>7462</v>
      </c>
      <c r="F499" s="174">
        <v>25812</v>
      </c>
      <c r="G499" s="210"/>
      <c r="H499" s="176" t="s">
        <v>461</v>
      </c>
      <c r="I499" s="176">
        <v>7</v>
      </c>
      <c r="J499" s="900" t="s">
        <v>2755</v>
      </c>
      <c r="K499" s="164" t="s">
        <v>5784</v>
      </c>
      <c r="L499" s="164" t="s">
        <v>7931</v>
      </c>
      <c r="M499" s="164"/>
      <c r="N499" s="164"/>
      <c r="O499" s="164"/>
      <c r="P499" s="173" t="s">
        <v>461</v>
      </c>
      <c r="Q499" s="164" t="s">
        <v>4705</v>
      </c>
      <c r="R499" s="177" t="s">
        <v>4600</v>
      </c>
      <c r="S499" s="354" t="s">
        <v>2596</v>
      </c>
      <c r="T499" s="173" t="s">
        <v>2598</v>
      </c>
      <c r="U499" s="173"/>
      <c r="V499" s="173"/>
      <c r="W499" s="313" t="s">
        <v>7462</v>
      </c>
      <c r="X499" s="645" t="s">
        <v>14576</v>
      </c>
      <c r="Y499" s="354"/>
      <c r="Z499" s="176"/>
      <c r="AA499" s="176"/>
      <c r="AB499" s="32">
        <f t="shared" ca="1" si="8"/>
        <v>0.26994283831412003</v>
      </c>
      <c r="AC499" s="812"/>
      <c r="AD499" s="763"/>
      <c r="AE499" s="878"/>
      <c r="AF499" s="921">
        <f>IF(X499=X498,AF498,0)+IF(ISNUMBER(I499),IF(I499&lt;1,I499,I499*VLOOKUP(J499,Summary!$H$2:$I$9,2)),VLOOKUP(J499,Summary!$J$2:$K$9,2)*IF(ISNUMBER(H499),H499,1))</f>
        <v>1.6078587962962974</v>
      </c>
      <c r="AG499" s="289">
        <v>498</v>
      </c>
      <c r="AH499" s="94"/>
      <c r="AI499" s="94"/>
    </row>
    <row r="500" spans="1:35" s="22" customFormat="1" ht="12" customHeight="1" x14ac:dyDescent="0.25">
      <c r="A500" s="444">
        <v>6</v>
      </c>
      <c r="B500" s="444">
        <v>2</v>
      </c>
      <c r="C500" s="444"/>
      <c r="D500" s="176" t="s">
        <v>1706</v>
      </c>
      <c r="E500" s="313" t="s">
        <v>7463</v>
      </c>
      <c r="F500" s="174">
        <v>25812</v>
      </c>
      <c r="G500" s="210"/>
      <c r="H500" s="176" t="s">
        <v>461</v>
      </c>
      <c r="I500" s="176">
        <v>7</v>
      </c>
      <c r="J500" s="900" t="s">
        <v>2755</v>
      </c>
      <c r="K500" s="164" t="s">
        <v>5784</v>
      </c>
      <c r="L500" s="164" t="s">
        <v>7931</v>
      </c>
      <c r="M500" s="164"/>
      <c r="N500" s="164"/>
      <c r="O500" s="164"/>
      <c r="P500" s="173" t="s">
        <v>461</v>
      </c>
      <c r="Q500" s="164" t="s">
        <v>4705</v>
      </c>
      <c r="R500" s="177" t="s">
        <v>4600</v>
      </c>
      <c r="S500" s="354" t="s">
        <v>2596</v>
      </c>
      <c r="T500" s="173" t="s">
        <v>2598</v>
      </c>
      <c r="U500" s="173"/>
      <c r="V500" s="173"/>
      <c r="W500" s="313" t="s">
        <v>7463</v>
      </c>
      <c r="X500" s="645" t="s">
        <v>14576</v>
      </c>
      <c r="Y500" s="354"/>
      <c r="Z500" s="176"/>
      <c r="AA500" s="176"/>
      <c r="AB500" s="32">
        <f t="shared" ca="1" si="8"/>
        <v>0.7074156246198553</v>
      </c>
      <c r="AC500" s="812"/>
      <c r="AD500" s="763"/>
      <c r="AE500" s="807"/>
      <c r="AF500" s="921">
        <f>IF(X500=X499,AF499,0)+IF(ISNUMBER(I500),IF(I500&lt;1,I500,I500*VLOOKUP(J500,Summary!$H$2:$I$9,2)),VLOOKUP(J500,Summary!$J$2:$K$9,2)*IF(ISNUMBER(H500),H500,1))</f>
        <v>1.6127199074074086</v>
      </c>
      <c r="AG500" s="289">
        <v>499</v>
      </c>
      <c r="AH500" s="94"/>
      <c r="AI500" s="94"/>
    </row>
    <row r="501" spans="1:35" s="29" customFormat="1" ht="12" customHeight="1" x14ac:dyDescent="0.25">
      <c r="A501" s="447">
        <v>6</v>
      </c>
      <c r="B501" s="447">
        <v>2</v>
      </c>
      <c r="C501" s="447"/>
      <c r="D501" s="185" t="s">
        <v>1706</v>
      </c>
      <c r="E501" s="314" t="s">
        <v>7932</v>
      </c>
      <c r="F501" s="183">
        <v>25812</v>
      </c>
      <c r="G501" s="210"/>
      <c r="H501" s="185">
        <v>1</v>
      </c>
      <c r="I501" s="185">
        <v>6</v>
      </c>
      <c r="J501" s="901" t="s">
        <v>1796</v>
      </c>
      <c r="K501" s="163" t="s">
        <v>5784</v>
      </c>
      <c r="L501" s="163" t="s">
        <v>7931</v>
      </c>
      <c r="M501" s="163"/>
      <c r="N501" s="163"/>
      <c r="O501" s="163"/>
      <c r="P501" s="182" t="s">
        <v>461</v>
      </c>
      <c r="Q501" s="163" t="s">
        <v>4705</v>
      </c>
      <c r="R501" s="186" t="s">
        <v>4600</v>
      </c>
      <c r="S501" s="355" t="s">
        <v>2596</v>
      </c>
      <c r="T501" s="182" t="s">
        <v>2598</v>
      </c>
      <c r="U501" s="182"/>
      <c r="V501" s="182"/>
      <c r="W501" s="314" t="s">
        <v>7932</v>
      </c>
      <c r="X501" s="646" t="s">
        <v>14576</v>
      </c>
      <c r="Y501" s="355"/>
      <c r="Z501" s="185"/>
      <c r="AA501" s="185"/>
      <c r="AB501" s="33">
        <f t="shared" ca="1" si="8"/>
        <v>0.41108256782494901</v>
      </c>
      <c r="AC501" s="813"/>
      <c r="AD501" s="211"/>
      <c r="AE501" s="875"/>
      <c r="AF501" s="922">
        <f>IF(X501=X500,AF500,0)+IF(ISNUMBER(I501),IF(I501&lt;1,I501,I501*VLOOKUP(J501,Summary!$H$2:$I$9,2)),VLOOKUP(J501,Summary!$J$2:$K$9,2)*IF(ISNUMBER(H501),H501,1))</f>
        <v>1.614803240740742</v>
      </c>
      <c r="AG501" s="290">
        <v>500</v>
      </c>
      <c r="AH501" s="94"/>
      <c r="AI501" s="94"/>
    </row>
    <row r="502" spans="1:35" s="22" customFormat="1" ht="12" customHeight="1" x14ac:dyDescent="0.25">
      <c r="A502" s="444">
        <v>6</v>
      </c>
      <c r="B502" s="444">
        <v>2</v>
      </c>
      <c r="C502" s="444"/>
      <c r="D502" s="176" t="s">
        <v>1706</v>
      </c>
      <c r="E502" s="313" t="s">
        <v>7577</v>
      </c>
      <c r="F502" s="174">
        <v>25812</v>
      </c>
      <c r="G502" s="210"/>
      <c r="H502" s="176" t="s">
        <v>461</v>
      </c>
      <c r="I502" s="176">
        <v>7</v>
      </c>
      <c r="J502" s="900" t="s">
        <v>2755</v>
      </c>
      <c r="K502" s="164" t="s">
        <v>5784</v>
      </c>
      <c r="L502" s="164" t="s">
        <v>7931</v>
      </c>
      <c r="M502" s="164"/>
      <c r="N502" s="164"/>
      <c r="O502" s="164"/>
      <c r="P502" s="173" t="s">
        <v>461</v>
      </c>
      <c r="Q502" s="164" t="s">
        <v>4705</v>
      </c>
      <c r="R502" s="177" t="s">
        <v>4600</v>
      </c>
      <c r="S502" s="354" t="s">
        <v>2596</v>
      </c>
      <c r="T502" s="173" t="s">
        <v>2598</v>
      </c>
      <c r="U502" s="173"/>
      <c r="V502" s="173"/>
      <c r="W502" s="313" t="s">
        <v>7577</v>
      </c>
      <c r="X502" s="645" t="s">
        <v>14576</v>
      </c>
      <c r="Y502" s="354"/>
      <c r="Z502" s="176"/>
      <c r="AA502" s="176"/>
      <c r="AB502" s="32">
        <f t="shared" ca="1" si="8"/>
        <v>0.72639517632844186</v>
      </c>
      <c r="AC502" s="812"/>
      <c r="AD502" s="763"/>
      <c r="AE502" s="878"/>
      <c r="AF502" s="921">
        <f>IF(X502=X501,AF501,0)+IF(ISNUMBER(I502),IF(I502&lt;1,I502,I502*VLOOKUP(J502,Summary!$H$2:$I$9,2)),VLOOKUP(J502,Summary!$J$2:$K$9,2)*IF(ISNUMBER(H502),H502,1))</f>
        <v>1.6196643518518532</v>
      </c>
      <c r="AG502" s="289">
        <v>501</v>
      </c>
      <c r="AH502" s="94"/>
      <c r="AI502" s="94"/>
    </row>
    <row r="503" spans="1:35" s="2" customFormat="1" ht="12" customHeight="1" x14ac:dyDescent="0.25">
      <c r="A503" s="444">
        <v>6</v>
      </c>
      <c r="B503" s="444">
        <v>2</v>
      </c>
      <c r="C503" s="444"/>
      <c r="D503" s="176" t="s">
        <v>1706</v>
      </c>
      <c r="E503" s="313" t="s">
        <v>7578</v>
      </c>
      <c r="F503" s="174">
        <v>25812</v>
      </c>
      <c r="G503" s="210"/>
      <c r="H503" s="176" t="s">
        <v>461</v>
      </c>
      <c r="I503" s="176">
        <v>6</v>
      </c>
      <c r="J503" s="900" t="s">
        <v>2755</v>
      </c>
      <c r="K503" s="164" t="s">
        <v>5784</v>
      </c>
      <c r="L503" s="164" t="s">
        <v>7931</v>
      </c>
      <c r="M503" s="164"/>
      <c r="N503" s="164"/>
      <c r="O503" s="164"/>
      <c r="P503" s="173" t="s">
        <v>461</v>
      </c>
      <c r="Q503" s="164" t="s">
        <v>4705</v>
      </c>
      <c r="R503" s="177" t="s">
        <v>4600</v>
      </c>
      <c r="S503" s="354" t="s">
        <v>2596</v>
      </c>
      <c r="T503" s="173" t="s">
        <v>2598</v>
      </c>
      <c r="U503" s="173"/>
      <c r="V503" s="173"/>
      <c r="W503" s="313" t="s">
        <v>7578</v>
      </c>
      <c r="X503" s="645" t="s">
        <v>14576</v>
      </c>
      <c r="Y503" s="354"/>
      <c r="Z503" s="176"/>
      <c r="AA503" s="176"/>
      <c r="AB503" s="32">
        <f t="shared" ca="1" si="8"/>
        <v>0.55766097728290764</v>
      </c>
      <c r="AC503" s="812"/>
      <c r="AD503" s="763"/>
      <c r="AE503" s="878"/>
      <c r="AF503" s="921">
        <f>IF(X503=X502,AF502,0)+IF(ISNUMBER(I503),IF(I503&lt;1,I503,I503*VLOOKUP(J503,Summary!$H$2:$I$9,2)),VLOOKUP(J503,Summary!$J$2:$K$9,2)*IF(ISNUMBER(H503),H503,1))</f>
        <v>1.6238310185185199</v>
      </c>
      <c r="AG503" s="289">
        <v>502</v>
      </c>
      <c r="AH503" s="94"/>
      <c r="AI503" s="94"/>
    </row>
    <row r="504" spans="1:35" s="22" customFormat="1" ht="12" customHeight="1" x14ac:dyDescent="0.25">
      <c r="A504" s="448" t="s">
        <v>15653</v>
      </c>
      <c r="B504" s="448">
        <v>2</v>
      </c>
      <c r="C504" s="449">
        <v>9.14</v>
      </c>
      <c r="D504" s="192" t="s">
        <v>491</v>
      </c>
      <c r="E504" s="317" t="s">
        <v>492</v>
      </c>
      <c r="F504" s="191">
        <v>38047</v>
      </c>
      <c r="G504" s="191"/>
      <c r="H504" s="192">
        <v>1</v>
      </c>
      <c r="I504" s="192">
        <v>6</v>
      </c>
      <c r="J504" s="903" t="s">
        <v>2755</v>
      </c>
      <c r="K504" s="194" t="s">
        <v>4549</v>
      </c>
      <c r="L504" s="194" t="s">
        <v>461</v>
      </c>
      <c r="M504" s="194" t="s">
        <v>4549</v>
      </c>
      <c r="N504" s="194" t="s">
        <v>7381</v>
      </c>
      <c r="O504" s="194"/>
      <c r="P504" s="190" t="s">
        <v>3431</v>
      </c>
      <c r="Q504" s="194" t="s">
        <v>3947</v>
      </c>
      <c r="R504" s="193" t="s">
        <v>2723</v>
      </c>
      <c r="S504" s="357" t="s">
        <v>2596</v>
      </c>
      <c r="T504" s="190" t="s">
        <v>2598</v>
      </c>
      <c r="U504" s="190"/>
      <c r="V504" s="190"/>
      <c r="W504" s="317" t="s">
        <v>492</v>
      </c>
      <c r="X504" s="649" t="s">
        <v>14576</v>
      </c>
      <c r="Y504" s="357"/>
      <c r="Z504" s="192">
        <v>999</v>
      </c>
      <c r="AA504" s="192"/>
      <c r="AB504" s="37">
        <f t="shared" ca="1" si="8"/>
        <v>0.54428781414223604</v>
      </c>
      <c r="AC504" s="816"/>
      <c r="AD504" s="817" t="s">
        <v>16904</v>
      </c>
      <c r="AE504" s="943"/>
      <c r="AF504" s="924">
        <f>IF(X504=X503,AF503,0)+IF(ISNUMBER(I504),IF(I504&lt;1,I504,I504*VLOOKUP(J504,Summary!$H$2:$I$9,2)),VLOOKUP(J504,Summary!$J$2:$K$9,2)*IF(ISNUMBER(H504),H504,1))</f>
        <v>1.6279976851851865</v>
      </c>
      <c r="AG504" s="292">
        <v>503</v>
      </c>
      <c r="AH504" s="94"/>
      <c r="AI504" s="94"/>
    </row>
    <row r="505" spans="1:35" s="22" customFormat="1" ht="12" customHeight="1" x14ac:dyDescent="0.25">
      <c r="A505" s="444" t="s">
        <v>15653</v>
      </c>
      <c r="B505" s="444">
        <v>2</v>
      </c>
      <c r="C505" s="445">
        <v>26.14</v>
      </c>
      <c r="D505" s="176" t="s">
        <v>493</v>
      </c>
      <c r="E505" s="313" t="s">
        <v>494</v>
      </c>
      <c r="F505" s="174">
        <v>39508</v>
      </c>
      <c r="G505" s="174"/>
      <c r="H505" s="869">
        <v>1</v>
      </c>
      <c r="I505" s="176">
        <v>6</v>
      </c>
      <c r="J505" s="900" t="s">
        <v>2755</v>
      </c>
      <c r="K505" s="164" t="s">
        <v>495</v>
      </c>
      <c r="L505" s="164" t="s">
        <v>461</v>
      </c>
      <c r="M505" s="164"/>
      <c r="N505" s="164" t="s">
        <v>7381</v>
      </c>
      <c r="O505" s="164"/>
      <c r="P505" s="173" t="s">
        <v>6706</v>
      </c>
      <c r="Q505" s="164" t="s">
        <v>3947</v>
      </c>
      <c r="R505" s="177" t="s">
        <v>2723</v>
      </c>
      <c r="S505" s="354" t="s">
        <v>2596</v>
      </c>
      <c r="T505" s="173" t="s">
        <v>2598</v>
      </c>
      <c r="U505" s="173"/>
      <c r="V505" s="173"/>
      <c r="W505" s="313" t="s">
        <v>494</v>
      </c>
      <c r="X505" s="645" t="s">
        <v>14576</v>
      </c>
      <c r="Y505" s="354"/>
      <c r="Z505" s="176"/>
      <c r="AA505" s="176"/>
      <c r="AB505" s="32">
        <f t="shared" ca="1" si="8"/>
        <v>0.81932090669776103</v>
      </c>
      <c r="AC505" s="812"/>
      <c r="AD505" s="763" t="s">
        <v>14580</v>
      </c>
      <c r="AE505" s="807"/>
      <c r="AF505" s="921">
        <f>IF(X505=X504,AF504,0)+IF(ISNUMBER(I505),IF(I505&lt;1,I505,I505*VLOOKUP(J505,Summary!$H$2:$I$9,2)),VLOOKUP(J505,Summary!$J$2:$K$9,2)*IF(ISNUMBER(H505),H505,1))</f>
        <v>1.6321643518518532</v>
      </c>
      <c r="AG505" s="289">
        <v>504</v>
      </c>
      <c r="AH505" s="94"/>
      <c r="AI505" s="94"/>
    </row>
    <row r="506" spans="1:35" s="22" customFormat="1" ht="12" customHeight="1" x14ac:dyDescent="0.2">
      <c r="A506" s="451" t="s">
        <v>15653</v>
      </c>
      <c r="B506" s="451">
        <v>2</v>
      </c>
      <c r="C506" s="452">
        <v>6.03</v>
      </c>
      <c r="D506" s="407" t="s">
        <v>725</v>
      </c>
      <c r="E506" s="315" t="s">
        <v>459</v>
      </c>
      <c r="F506" s="169">
        <v>40787</v>
      </c>
      <c r="G506" s="170"/>
      <c r="H506" s="170">
        <v>2</v>
      </c>
      <c r="I506" s="746">
        <f>TIME(1,5,31)</f>
        <v>4.5497685185185183E-2</v>
      </c>
      <c r="J506" s="899" t="s">
        <v>4706</v>
      </c>
      <c r="K506" s="167" t="s">
        <v>5664</v>
      </c>
      <c r="L506" s="167" t="s">
        <v>5662</v>
      </c>
      <c r="M506" s="167" t="s">
        <v>1217</v>
      </c>
      <c r="N506" s="167"/>
      <c r="O506" s="167"/>
      <c r="P506" s="168" t="s">
        <v>9150</v>
      </c>
      <c r="Q506" s="167" t="s">
        <v>3947</v>
      </c>
      <c r="R506" s="172" t="s">
        <v>3153</v>
      </c>
      <c r="S506" s="388" t="s">
        <v>2596</v>
      </c>
      <c r="T506" s="168" t="s">
        <v>2598</v>
      </c>
      <c r="U506" s="168"/>
      <c r="V506" s="168"/>
      <c r="W506" s="312" t="s">
        <v>11110</v>
      </c>
      <c r="X506" s="644" t="s">
        <v>14576</v>
      </c>
      <c r="Y506" s="352" t="s">
        <v>5643</v>
      </c>
      <c r="Z506" s="353">
        <v>182</v>
      </c>
      <c r="AA506" s="353">
        <v>6</v>
      </c>
      <c r="AB506" s="31">
        <f t="shared" ca="1" si="8"/>
        <v>0.16253407051094115</v>
      </c>
      <c r="AC506" s="810"/>
      <c r="AD506" s="811" t="s">
        <v>16685</v>
      </c>
      <c r="AE506" s="940" t="s">
        <v>16118</v>
      </c>
      <c r="AF506" s="920">
        <f>IF(X506=X505,AF505,0)+IF(ISNUMBER(I506),IF(I506&lt;1,I506,I506*VLOOKUP(J506,Summary!$H$2:$I$9,2)),VLOOKUP(J506,Summary!$J$2:$K$9,2)*IF(ISNUMBER(H506),H506,1))</f>
        <v>1.6776620370370383</v>
      </c>
      <c r="AG506" s="287">
        <v>505</v>
      </c>
      <c r="AH506" s="94"/>
      <c r="AI506" s="94"/>
    </row>
    <row r="507" spans="1:35" s="22" customFormat="1" ht="12" customHeight="1" x14ac:dyDescent="0.2">
      <c r="A507" s="451" t="s">
        <v>15653</v>
      </c>
      <c r="B507" s="451">
        <v>2</v>
      </c>
      <c r="C507" s="452">
        <v>6.11</v>
      </c>
      <c r="D507" s="407" t="s">
        <v>4324</v>
      </c>
      <c r="E507" s="315" t="s">
        <v>4325</v>
      </c>
      <c r="F507" s="169">
        <v>41030</v>
      </c>
      <c r="G507" s="170"/>
      <c r="H507" s="170">
        <v>2</v>
      </c>
      <c r="I507" s="746">
        <f>TIME(0,47,52)</f>
        <v>3.3240740740740744E-2</v>
      </c>
      <c r="J507" s="899" t="s">
        <v>4706</v>
      </c>
      <c r="K507" s="167" t="s">
        <v>6353</v>
      </c>
      <c r="L507" s="167" t="s">
        <v>5662</v>
      </c>
      <c r="M507" s="167" t="s">
        <v>4326</v>
      </c>
      <c r="N507" s="167"/>
      <c r="O507" s="167"/>
      <c r="P507" s="168" t="s">
        <v>8640</v>
      </c>
      <c r="Q507" s="167" t="s">
        <v>3947</v>
      </c>
      <c r="R507" s="172" t="s">
        <v>3153</v>
      </c>
      <c r="S507" s="388" t="s">
        <v>2596</v>
      </c>
      <c r="T507" s="168" t="s">
        <v>2598</v>
      </c>
      <c r="U507" s="168"/>
      <c r="V507" s="168"/>
      <c r="W507" s="312" t="s">
        <v>10114</v>
      </c>
      <c r="X507" s="644" t="s">
        <v>12316</v>
      </c>
      <c r="Y507" s="352" t="s">
        <v>5398</v>
      </c>
      <c r="Z507" s="353">
        <v>312</v>
      </c>
      <c r="AA507" s="353">
        <v>5.5</v>
      </c>
      <c r="AB507" s="31">
        <f t="shared" ca="1" si="8"/>
        <v>0.20058207556202035</v>
      </c>
      <c r="AC507" s="810"/>
      <c r="AD507" s="811"/>
      <c r="AE507" s="940"/>
      <c r="AF507" s="920">
        <f>IF(X507=X506,AF506,0)+IF(ISNUMBER(I507),IF(I507&lt;1,I507,I507*VLOOKUP(J507,Summary!$H$2:$I$9,2)),VLOOKUP(J507,Summary!$J$2:$K$9,2)*IF(ISNUMBER(H507),H507,1))</f>
        <v>3.3240740740740744E-2</v>
      </c>
      <c r="AG507" s="287">
        <v>506</v>
      </c>
      <c r="AH507" s="94"/>
      <c r="AI507" s="94"/>
    </row>
    <row r="508" spans="1:35" s="2" customFormat="1" ht="12" customHeight="1" x14ac:dyDescent="0.25">
      <c r="A508" s="444" t="s">
        <v>15653</v>
      </c>
      <c r="B508" s="444">
        <v>2</v>
      </c>
      <c r="C508" s="445">
        <v>3.02</v>
      </c>
      <c r="D508" s="192" t="s">
        <v>7444</v>
      </c>
      <c r="E508" s="317" t="s">
        <v>7445</v>
      </c>
      <c r="F508" s="209">
        <v>40602</v>
      </c>
      <c r="G508" s="209"/>
      <c r="H508" s="192">
        <v>1</v>
      </c>
      <c r="I508" s="753">
        <f>TIME(0,18,27)</f>
        <v>1.2812499999999999E-2</v>
      </c>
      <c r="J508" s="903" t="s">
        <v>2755</v>
      </c>
      <c r="K508" s="194" t="s">
        <v>7800</v>
      </c>
      <c r="L508" s="194" t="s">
        <v>3426</v>
      </c>
      <c r="M508" s="194" t="s">
        <v>7443</v>
      </c>
      <c r="N508" s="194"/>
      <c r="O508" s="194"/>
      <c r="P508" s="190" t="s">
        <v>5600</v>
      </c>
      <c r="Q508" s="194" t="s">
        <v>3947</v>
      </c>
      <c r="R508" s="193" t="s">
        <v>2722</v>
      </c>
      <c r="S508" s="357" t="s">
        <v>2596</v>
      </c>
      <c r="T508" s="190" t="s">
        <v>2598</v>
      </c>
      <c r="U508" s="190"/>
      <c r="V508" s="190"/>
      <c r="W508" s="317" t="s">
        <v>7445</v>
      </c>
      <c r="X508" s="649" t="s">
        <v>12316</v>
      </c>
      <c r="Y508" s="357" t="s">
        <v>5643</v>
      </c>
      <c r="Z508" s="192">
        <v>999</v>
      </c>
      <c r="AA508" s="192"/>
      <c r="AB508" s="37">
        <f t="shared" ca="1" si="8"/>
        <v>0.9106643540443512</v>
      </c>
      <c r="AC508" s="816"/>
      <c r="AD508" s="817" t="s">
        <v>16905</v>
      </c>
      <c r="AE508" s="943"/>
      <c r="AF508" s="924">
        <f>IF(X508=X507,AF507,0)+IF(ISNUMBER(I508),IF(I508&lt;1,I508,I508*VLOOKUP(J508,Summary!$H$2:$I$9,2)),VLOOKUP(J508,Summary!$J$2:$K$9,2)*IF(ISNUMBER(H508),H508,1))</f>
        <v>4.6053240740740742E-2</v>
      </c>
      <c r="AG508" s="292">
        <v>507</v>
      </c>
      <c r="AH508" s="94"/>
      <c r="AI508" s="94"/>
    </row>
    <row r="509" spans="1:35" s="22" customFormat="1" ht="12" customHeight="1" x14ac:dyDescent="0.25">
      <c r="A509" s="454" t="s">
        <v>15653</v>
      </c>
      <c r="B509" s="454">
        <v>2</v>
      </c>
      <c r="C509" s="454">
        <v>48</v>
      </c>
      <c r="D509" s="424" t="s">
        <v>1096</v>
      </c>
      <c r="E509" s="319" t="s">
        <v>1097</v>
      </c>
      <c r="F509" s="198">
        <v>25228</v>
      </c>
      <c r="G509" s="198">
        <v>25263</v>
      </c>
      <c r="H509" s="199">
        <v>6</v>
      </c>
      <c r="I509" s="791">
        <f>TIME(0,23,11)+TIME(0,24,26)+TIME(0,24,10)+TIME(0,24,57)+TIME(0,24,56)+TIME(0,24,31)</f>
        <v>0.10151620370370371</v>
      </c>
      <c r="J509" s="904" t="s">
        <v>1588</v>
      </c>
      <c r="K509" s="200" t="s">
        <v>1098</v>
      </c>
      <c r="L509" s="200" t="s">
        <v>5431</v>
      </c>
      <c r="M509" s="200"/>
      <c r="N509" s="200" t="s">
        <v>6066</v>
      </c>
      <c r="O509" s="200" t="s">
        <v>125</v>
      </c>
      <c r="P509" s="197" t="s">
        <v>461</v>
      </c>
      <c r="Q509" s="200" t="s">
        <v>3946</v>
      </c>
      <c r="R509" s="201" t="s">
        <v>5280</v>
      </c>
      <c r="S509" s="390" t="s">
        <v>2596</v>
      </c>
      <c r="T509" s="197" t="s">
        <v>2598</v>
      </c>
      <c r="U509" s="197"/>
      <c r="V509" s="197"/>
      <c r="W509" s="318" t="s">
        <v>9661</v>
      </c>
      <c r="X509" s="650" t="s">
        <v>12316</v>
      </c>
      <c r="Y509" s="358" t="s">
        <v>6141</v>
      </c>
      <c r="Z509" s="253">
        <v>111</v>
      </c>
      <c r="AA509" s="253">
        <v>6.5</v>
      </c>
      <c r="AB509" s="35">
        <f t="shared" ca="1" si="8"/>
        <v>0.13585085780374717</v>
      </c>
      <c r="AC509" s="820"/>
      <c r="AD509" s="821" t="s">
        <v>16089</v>
      </c>
      <c r="AE509" s="944" t="s">
        <v>12543</v>
      </c>
      <c r="AF509" s="925">
        <f>IF(X509=X508,AF508,0)+IF(ISNUMBER(I509),IF(I509&lt;1,I509,I509*VLOOKUP(J509,Summary!$H$2:$I$9,2)),VLOOKUP(J509,Summary!$J$2:$K$9,2)*IF(ISNUMBER(H509),H509,1))</f>
        <v>0.14756944444444445</v>
      </c>
      <c r="AG509" s="293">
        <v>508</v>
      </c>
      <c r="AH509" s="94"/>
      <c r="AI509" s="94"/>
    </row>
    <row r="510" spans="1:35" s="22" customFormat="1" ht="12" customHeight="1" x14ac:dyDescent="0.25">
      <c r="A510" s="444" t="s">
        <v>15653</v>
      </c>
      <c r="B510" s="444">
        <v>2</v>
      </c>
      <c r="C510" s="459">
        <v>3</v>
      </c>
      <c r="D510" s="176" t="s">
        <v>9511</v>
      </c>
      <c r="E510" s="313" t="s">
        <v>9512</v>
      </c>
      <c r="F510" s="175">
        <v>42159</v>
      </c>
      <c r="G510" s="174"/>
      <c r="H510" s="176" t="s">
        <v>461</v>
      </c>
      <c r="I510" s="176"/>
      <c r="J510" s="900" t="s">
        <v>2755</v>
      </c>
      <c r="K510" s="164" t="s">
        <v>1643</v>
      </c>
      <c r="L510" s="164" t="s">
        <v>461</v>
      </c>
      <c r="M510" s="164"/>
      <c r="N510" s="164"/>
      <c r="O510" s="164"/>
      <c r="P510" s="173" t="s">
        <v>9509</v>
      </c>
      <c r="Q510" s="164" t="s">
        <v>3953</v>
      </c>
      <c r="R510" s="177" t="s">
        <v>9510</v>
      </c>
      <c r="S510" s="354"/>
      <c r="T510" s="173"/>
      <c r="U510" s="173"/>
      <c r="V510" s="173"/>
      <c r="W510" s="313" t="s">
        <v>9512</v>
      </c>
      <c r="X510" s="645" t="s">
        <v>12316</v>
      </c>
      <c r="Y510" s="354"/>
      <c r="Z510" s="157"/>
      <c r="AA510" s="176"/>
      <c r="AB510" s="32">
        <f t="shared" ca="1" si="8"/>
        <v>0.92075251831301397</v>
      </c>
      <c r="AC510" s="812"/>
      <c r="AD510" s="763"/>
      <c r="AE510" s="807"/>
      <c r="AF510" s="921">
        <f>IF(X510=X509,AF509,0)+IF(ISNUMBER(I510),IF(I510&lt;1,I510,I510*VLOOKUP(J510,Summary!$H$2:$I$9,2)),VLOOKUP(J510,Summary!$J$2:$K$9,2)*IF(ISNUMBER(H510),H510,1))</f>
        <v>0.16493055555555555</v>
      </c>
      <c r="AG510" s="289">
        <v>509</v>
      </c>
      <c r="AH510" s="94"/>
      <c r="AI510" s="94"/>
    </row>
    <row r="511" spans="1:35" s="26" customFormat="1" ht="12" customHeight="1" x14ac:dyDescent="0.25">
      <c r="A511" s="448" t="s">
        <v>15653</v>
      </c>
      <c r="B511" s="448">
        <v>2</v>
      </c>
      <c r="C511" s="449">
        <v>26.12</v>
      </c>
      <c r="D511" s="192" t="s">
        <v>496</v>
      </c>
      <c r="E511" s="317" t="s">
        <v>7916</v>
      </c>
      <c r="F511" s="191">
        <v>39508</v>
      </c>
      <c r="G511" s="191"/>
      <c r="H511" s="192">
        <v>1</v>
      </c>
      <c r="I511" s="753">
        <f>TIME(0,43,11)</f>
        <v>2.9988425925925922E-2</v>
      </c>
      <c r="J511" s="903" t="s">
        <v>2755</v>
      </c>
      <c r="K511" s="194" t="s">
        <v>5666</v>
      </c>
      <c r="L511" s="194" t="s">
        <v>461</v>
      </c>
      <c r="M511" s="194" t="s">
        <v>13150</v>
      </c>
      <c r="N511" s="194" t="s">
        <v>7381</v>
      </c>
      <c r="O511" s="194"/>
      <c r="P511" s="190" t="s">
        <v>6706</v>
      </c>
      <c r="Q511" s="194" t="s">
        <v>3947</v>
      </c>
      <c r="R511" s="193" t="s">
        <v>2723</v>
      </c>
      <c r="S511" s="357" t="s">
        <v>2596</v>
      </c>
      <c r="T511" s="190" t="s">
        <v>2598</v>
      </c>
      <c r="U511" s="190"/>
      <c r="V511" s="190"/>
      <c r="W511" s="317" t="s">
        <v>7916</v>
      </c>
      <c r="X511" s="649" t="s">
        <v>12316</v>
      </c>
      <c r="Y511" s="357" t="s">
        <v>5643</v>
      </c>
      <c r="Z511" s="192">
        <v>999</v>
      </c>
      <c r="AA511" s="192"/>
      <c r="AB511" s="37">
        <f t="shared" ca="1" si="8"/>
        <v>0.53637552561702539</v>
      </c>
      <c r="AC511" s="816"/>
      <c r="AD511" s="817"/>
      <c r="AE511" s="943"/>
      <c r="AF511" s="924">
        <f>IF(X511=X510,AF510,0)+IF(ISNUMBER(I511),IF(I511&lt;1,I511,I511*VLOOKUP(J511,Summary!$H$2:$I$9,2)),VLOOKUP(J511,Summary!$J$2:$K$9,2)*IF(ISNUMBER(H511),H511,1))</f>
        <v>0.19491898148148148</v>
      </c>
      <c r="AG511" s="292">
        <v>510</v>
      </c>
      <c r="AH511" s="94"/>
      <c r="AI511" s="94"/>
    </row>
    <row r="512" spans="1:35" s="26" customFormat="1" ht="12" customHeight="1" x14ac:dyDescent="0.25">
      <c r="A512" s="444" t="s">
        <v>15653</v>
      </c>
      <c r="B512" s="444">
        <v>2</v>
      </c>
      <c r="C512" s="459">
        <v>23</v>
      </c>
      <c r="D512" s="176" t="s">
        <v>14133</v>
      </c>
      <c r="E512" s="313" t="s">
        <v>14132</v>
      </c>
      <c r="F512" s="175">
        <v>34550</v>
      </c>
      <c r="G512" s="174"/>
      <c r="H512" s="176">
        <v>1</v>
      </c>
      <c r="I512" s="176">
        <v>2</v>
      </c>
      <c r="J512" s="900" t="s">
        <v>2755</v>
      </c>
      <c r="K512" s="164" t="s">
        <v>6234</v>
      </c>
      <c r="L512" s="164" t="s">
        <v>10253</v>
      </c>
      <c r="M512" s="164"/>
      <c r="N512" s="164" t="s">
        <v>7375</v>
      </c>
      <c r="O512" s="164"/>
      <c r="P512" s="173" t="s">
        <v>461</v>
      </c>
      <c r="Q512" s="164" t="s">
        <v>4062</v>
      </c>
      <c r="R512" s="177" t="s">
        <v>14089</v>
      </c>
      <c r="S512" s="354" t="s">
        <v>2596</v>
      </c>
      <c r="T512" s="173"/>
      <c r="U512" s="173"/>
      <c r="V512" s="173"/>
      <c r="W512" s="313" t="s">
        <v>14132</v>
      </c>
      <c r="X512" s="645" t="s">
        <v>12316</v>
      </c>
      <c r="Y512" s="354"/>
      <c r="Z512" s="176"/>
      <c r="AA512" s="176"/>
      <c r="AB512" s="32">
        <f t="shared" ca="1" si="8"/>
        <v>7.4711807613777492E-2</v>
      </c>
      <c r="AC512" s="812"/>
      <c r="AD512" s="763"/>
      <c r="AE512" s="807"/>
      <c r="AF512" s="921">
        <f>IF(X512=X511,AF511,0)+IF(ISNUMBER(I512),IF(I512&lt;1,I512,I512*VLOOKUP(J512,Summary!$H$2:$I$9,2)),VLOOKUP(J512,Summary!$J$2:$K$9,2)*IF(ISNUMBER(H512),H512,1))</f>
        <v>0.19630787037037037</v>
      </c>
      <c r="AG512" s="289">
        <v>511</v>
      </c>
      <c r="AH512" s="94"/>
      <c r="AI512" s="94"/>
    </row>
    <row r="513" spans="1:35" s="22" customFormat="1" ht="12" customHeight="1" x14ac:dyDescent="0.2">
      <c r="A513" s="451" t="s">
        <v>15653</v>
      </c>
      <c r="B513" s="451">
        <v>2</v>
      </c>
      <c r="C513" s="452">
        <v>4.03</v>
      </c>
      <c r="D513" s="407" t="s">
        <v>8389</v>
      </c>
      <c r="E513" s="315" t="s">
        <v>8390</v>
      </c>
      <c r="F513" s="169">
        <v>41579</v>
      </c>
      <c r="G513" s="170"/>
      <c r="H513" s="170">
        <v>6</v>
      </c>
      <c r="I513" s="746">
        <f>TIME(3,21,11)</f>
        <v>0.13971064814814815</v>
      </c>
      <c r="J513" s="899" t="s">
        <v>4706</v>
      </c>
      <c r="K513" s="167" t="s">
        <v>8391</v>
      </c>
      <c r="L513" s="167" t="s">
        <v>5662</v>
      </c>
      <c r="M513" s="167"/>
      <c r="N513" s="167"/>
      <c r="O513" s="167"/>
      <c r="P513" s="168" t="s">
        <v>8392</v>
      </c>
      <c r="Q513" s="167" t="s">
        <v>3947</v>
      </c>
      <c r="R513" s="172" t="s">
        <v>6992</v>
      </c>
      <c r="S513" s="388" t="s">
        <v>2596</v>
      </c>
      <c r="T513" s="168" t="s">
        <v>2598</v>
      </c>
      <c r="U513" s="168"/>
      <c r="V513" s="168"/>
      <c r="W513" s="312" t="s">
        <v>10362</v>
      </c>
      <c r="X513" s="644" t="s">
        <v>12316</v>
      </c>
      <c r="Y513" s="352" t="s">
        <v>5643</v>
      </c>
      <c r="Z513" s="353">
        <v>517</v>
      </c>
      <c r="AA513" s="353">
        <v>4</v>
      </c>
      <c r="AB513" s="31">
        <f t="shared" ca="1" si="8"/>
        <v>0.80586890055400462</v>
      </c>
      <c r="AC513" s="810"/>
      <c r="AD513" s="811"/>
      <c r="AE513" s="940"/>
      <c r="AF513" s="920">
        <f>IF(X513=X512,AF512,0)+IF(ISNUMBER(I513),IF(I513&lt;1,I513,I513*VLOOKUP(J513,Summary!$H$2:$I$9,2)),VLOOKUP(J513,Summary!$J$2:$K$9,2)*IF(ISNUMBER(H513),H513,1))</f>
        <v>0.33601851851851849</v>
      </c>
      <c r="AG513" s="287">
        <v>512</v>
      </c>
      <c r="AH513" s="94"/>
      <c r="AI513" s="94"/>
    </row>
    <row r="514" spans="1:35" s="2" customFormat="1" ht="12" customHeight="1" x14ac:dyDescent="0.25">
      <c r="A514" s="444" t="s">
        <v>15653</v>
      </c>
      <c r="B514" s="444">
        <v>2</v>
      </c>
      <c r="C514" s="444">
        <v>7</v>
      </c>
      <c r="D514" s="176" t="s">
        <v>894</v>
      </c>
      <c r="E514" s="313" t="s">
        <v>830</v>
      </c>
      <c r="F514" s="174">
        <v>36100</v>
      </c>
      <c r="G514" s="175"/>
      <c r="H514" s="176" t="s">
        <v>461</v>
      </c>
      <c r="I514" s="176"/>
      <c r="J514" s="900" t="s">
        <v>2755</v>
      </c>
      <c r="K514" s="164" t="s">
        <v>2644</v>
      </c>
      <c r="L514" s="164"/>
      <c r="M514" s="164"/>
      <c r="N514" s="164" t="s">
        <v>819</v>
      </c>
      <c r="O514" s="164"/>
      <c r="P514" s="178" t="s">
        <v>461</v>
      </c>
      <c r="Q514" s="164" t="s">
        <v>820</v>
      </c>
      <c r="R514" s="177" t="s">
        <v>895</v>
      </c>
      <c r="S514" s="354" t="s">
        <v>2596</v>
      </c>
      <c r="T514" s="173" t="s">
        <v>2598</v>
      </c>
      <c r="U514" s="173"/>
      <c r="V514" s="173"/>
      <c r="W514" s="313" t="s">
        <v>830</v>
      </c>
      <c r="X514" s="645" t="s">
        <v>12316</v>
      </c>
      <c r="Y514" s="354"/>
      <c r="Z514" s="176"/>
      <c r="AA514" s="176"/>
      <c r="AB514" s="32">
        <f t="shared" ref="AB514:AB577" ca="1" si="9">RAND()</f>
        <v>0.93474368248885165</v>
      </c>
      <c r="AC514" s="812"/>
      <c r="AD514" s="763"/>
      <c r="AE514" s="807"/>
      <c r="AF514" s="921">
        <f>IF(X514=X513,AF513,0)+IF(ISNUMBER(I514),IF(I514&lt;1,I514,I514*VLOOKUP(J514,Summary!$H$2:$I$9,2)),VLOOKUP(J514,Summary!$J$2:$K$9,2)*IF(ISNUMBER(H514),H514,1))</f>
        <v>0.3533796296296296</v>
      </c>
      <c r="AG514" s="289">
        <v>513</v>
      </c>
      <c r="AH514" s="94"/>
      <c r="AI514" s="94"/>
    </row>
    <row r="515" spans="1:35" s="2" customFormat="1" ht="12" customHeight="1" x14ac:dyDescent="0.25">
      <c r="A515" s="444" t="s">
        <v>15653</v>
      </c>
      <c r="B515" s="444">
        <v>2</v>
      </c>
      <c r="C515" s="444">
        <v>2.0099999999999998</v>
      </c>
      <c r="D515" s="176" t="s">
        <v>7917</v>
      </c>
      <c r="E515" s="313" t="s">
        <v>7918</v>
      </c>
      <c r="F515" s="176">
        <v>1995</v>
      </c>
      <c r="G515" s="176"/>
      <c r="H515" s="176" t="s">
        <v>461</v>
      </c>
      <c r="I515" s="176">
        <v>36</v>
      </c>
      <c r="J515" s="900" t="s">
        <v>2755</v>
      </c>
      <c r="K515" s="164" t="s">
        <v>3451</v>
      </c>
      <c r="L515" s="164" t="s">
        <v>461</v>
      </c>
      <c r="M515" s="164"/>
      <c r="N515" s="164" t="s">
        <v>7001</v>
      </c>
      <c r="O515" s="164"/>
      <c r="P515" s="173" t="s">
        <v>6554</v>
      </c>
      <c r="Q515" s="164" t="s">
        <v>6548</v>
      </c>
      <c r="R515" s="177" t="s">
        <v>4598</v>
      </c>
      <c r="S515" s="354" t="s">
        <v>2596</v>
      </c>
      <c r="T515" s="173" t="s">
        <v>2598</v>
      </c>
      <c r="U515" s="173"/>
      <c r="V515" s="173"/>
      <c r="W515" s="313" t="s">
        <v>7918</v>
      </c>
      <c r="X515" s="645" t="s">
        <v>12316</v>
      </c>
      <c r="Y515" s="354" t="s">
        <v>6868</v>
      </c>
      <c r="Z515" s="176">
        <v>39</v>
      </c>
      <c r="AA515" s="176">
        <v>4.5</v>
      </c>
      <c r="AB515" s="32">
        <f t="shared" ca="1" si="9"/>
        <v>0.98181279978713909</v>
      </c>
      <c r="AC515" s="812"/>
      <c r="AD515" s="763"/>
      <c r="AE515" s="807"/>
      <c r="AF515" s="921">
        <f>IF(X515=X514,AF514,0)+IF(ISNUMBER(I515),IF(I515&lt;1,I515,I515*VLOOKUP(J515,Summary!$H$2:$I$9,2)),VLOOKUP(J515,Summary!$J$2:$K$9,2)*IF(ISNUMBER(H515),H515,1))</f>
        <v>0.37837962962962962</v>
      </c>
      <c r="AG515" s="289">
        <v>514</v>
      </c>
      <c r="AH515" s="94"/>
      <c r="AI515" s="94"/>
    </row>
    <row r="516" spans="1:35" s="2" customFormat="1" ht="12" customHeight="1" x14ac:dyDescent="0.25">
      <c r="A516" s="444" t="s">
        <v>15653</v>
      </c>
      <c r="B516" s="444">
        <v>2</v>
      </c>
      <c r="C516" s="444">
        <v>3.06</v>
      </c>
      <c r="D516" s="176" t="s">
        <v>2990</v>
      </c>
      <c r="E516" s="313" t="s">
        <v>2991</v>
      </c>
      <c r="F516" s="176">
        <v>1996</v>
      </c>
      <c r="G516" s="176"/>
      <c r="H516" s="176" t="s">
        <v>461</v>
      </c>
      <c r="I516" s="176"/>
      <c r="J516" s="900" t="s">
        <v>2755</v>
      </c>
      <c r="K516" s="164" t="s">
        <v>6355</v>
      </c>
      <c r="L516" s="164" t="s">
        <v>461</v>
      </c>
      <c r="M516" s="164"/>
      <c r="N516" s="164" t="s">
        <v>333</v>
      </c>
      <c r="O516" s="164"/>
      <c r="P516" s="173" t="s">
        <v>3523</v>
      </c>
      <c r="Q516" s="164" t="s">
        <v>6548</v>
      </c>
      <c r="R516" s="177" t="s">
        <v>4598</v>
      </c>
      <c r="S516" s="354" t="s">
        <v>2596</v>
      </c>
      <c r="T516" s="173" t="s">
        <v>2598</v>
      </c>
      <c r="U516" s="173"/>
      <c r="V516" s="173"/>
      <c r="W516" s="313" t="s">
        <v>2991</v>
      </c>
      <c r="X516" s="645" t="s">
        <v>12316</v>
      </c>
      <c r="Y516" s="354" t="s">
        <v>6868</v>
      </c>
      <c r="Z516" s="176">
        <v>59</v>
      </c>
      <c r="AA516" s="176">
        <v>1</v>
      </c>
      <c r="AB516" s="32">
        <f t="shared" ca="1" si="9"/>
        <v>0.84124901765132798</v>
      </c>
      <c r="AC516" s="812"/>
      <c r="AD516" s="763"/>
      <c r="AE516" s="807"/>
      <c r="AF516" s="921">
        <f>IF(X516=X515,AF515,0)+IF(ISNUMBER(I516),IF(I516&lt;1,I516,I516*VLOOKUP(J516,Summary!$H$2:$I$9,2)),VLOOKUP(J516,Summary!$J$2:$K$9,2)*IF(ISNUMBER(H516),H516,1))</f>
        <v>0.39574074074074073</v>
      </c>
      <c r="AG516" s="289">
        <v>515</v>
      </c>
      <c r="AH516" s="94"/>
      <c r="AI516" s="94"/>
    </row>
    <row r="517" spans="1:35" s="26" customFormat="1" ht="12" customHeight="1" x14ac:dyDescent="0.2">
      <c r="A517" s="447" t="s">
        <v>15653</v>
      </c>
      <c r="B517" s="447">
        <v>2</v>
      </c>
      <c r="C517" s="447">
        <v>2</v>
      </c>
      <c r="D517" s="185" t="s">
        <v>8357</v>
      </c>
      <c r="E517" s="314" t="s">
        <v>8358</v>
      </c>
      <c r="F517" s="184">
        <v>41333</v>
      </c>
      <c r="G517" s="184"/>
      <c r="H517" s="185">
        <v>1</v>
      </c>
      <c r="I517" s="185">
        <v>22</v>
      </c>
      <c r="J517" s="901" t="s">
        <v>1796</v>
      </c>
      <c r="K517" s="163" t="s">
        <v>8333</v>
      </c>
      <c r="L517" s="163" t="s">
        <v>7928</v>
      </c>
      <c r="M517" s="163" t="s">
        <v>2150</v>
      </c>
      <c r="N517" s="163" t="s">
        <v>6573</v>
      </c>
      <c r="O517" s="163"/>
      <c r="P517" s="182" t="s">
        <v>461</v>
      </c>
      <c r="Q517" s="163" t="s">
        <v>5719</v>
      </c>
      <c r="R517" s="186" t="s">
        <v>5718</v>
      </c>
      <c r="S517" s="355" t="s">
        <v>2596</v>
      </c>
      <c r="T517" s="182" t="s">
        <v>2598</v>
      </c>
      <c r="U517" s="182"/>
      <c r="V517" s="182"/>
      <c r="W517" s="314" t="s">
        <v>10146</v>
      </c>
      <c r="X517" s="646" t="s">
        <v>12316</v>
      </c>
      <c r="Y517" s="355" t="s">
        <v>6000</v>
      </c>
      <c r="Z517" s="185">
        <v>999</v>
      </c>
      <c r="AA517" s="185"/>
      <c r="AB517" s="33">
        <f t="shared" ca="1" si="9"/>
        <v>0.29277907742778153</v>
      </c>
      <c r="AC517" s="813"/>
      <c r="AD517" s="211"/>
      <c r="AE517" s="949"/>
      <c r="AF517" s="922">
        <f>IF(X517=X516,AF516,0)+IF(ISNUMBER(I517),IF(I517&lt;1,I517,I517*VLOOKUP(J517,Summary!$H$2:$I$9,2)),VLOOKUP(J517,Summary!$J$2:$K$9,2)*IF(ISNUMBER(H517),H517,1))</f>
        <v>0.40337962962962959</v>
      </c>
      <c r="AG517" s="295">
        <v>516</v>
      </c>
      <c r="AH517" s="94"/>
      <c r="AI517" s="94"/>
    </row>
    <row r="518" spans="1:35" s="2" customFormat="1" ht="12" customHeight="1" x14ac:dyDescent="0.25">
      <c r="A518" s="446" t="s">
        <v>15653</v>
      </c>
      <c r="B518" s="446">
        <v>2</v>
      </c>
      <c r="C518" s="446">
        <v>24</v>
      </c>
      <c r="D518" s="417" t="s">
        <v>5008</v>
      </c>
      <c r="E518" s="316" t="s">
        <v>5007</v>
      </c>
      <c r="F518" s="195">
        <v>36346</v>
      </c>
      <c r="G518" s="188"/>
      <c r="H518" s="188" t="s">
        <v>461</v>
      </c>
      <c r="I518" s="188">
        <v>285</v>
      </c>
      <c r="J518" s="902" t="s">
        <v>6868</v>
      </c>
      <c r="K518" s="162" t="s">
        <v>176</v>
      </c>
      <c r="L518" s="162" t="s">
        <v>461</v>
      </c>
      <c r="M518" s="162"/>
      <c r="N518" s="162"/>
      <c r="O518" s="162"/>
      <c r="P518" s="178" t="s">
        <v>8949</v>
      </c>
      <c r="Q518" s="162" t="s">
        <v>3953</v>
      </c>
      <c r="R518" s="189" t="s">
        <v>2717</v>
      </c>
      <c r="S518" s="366" t="s">
        <v>2596</v>
      </c>
      <c r="T518" s="178" t="s">
        <v>2598</v>
      </c>
      <c r="U518" s="178"/>
      <c r="V518" s="178"/>
      <c r="W518" s="316" t="s">
        <v>5007</v>
      </c>
      <c r="X518" s="648" t="s">
        <v>12316</v>
      </c>
      <c r="Y518" s="356" t="s">
        <v>6868</v>
      </c>
      <c r="Z518" s="272"/>
      <c r="AA518" s="272"/>
      <c r="AB518" s="34">
        <f t="shared" ca="1" si="9"/>
        <v>0.2131947024966806</v>
      </c>
      <c r="AC518" s="814"/>
      <c r="AD518" s="815" t="s">
        <v>16150</v>
      </c>
      <c r="AE518" s="942"/>
      <c r="AF518" s="923">
        <f>IF(X518=X517,AF517,0)+IF(ISNUMBER(I518),IF(I518&lt;1,I518,I518*VLOOKUP(J518,Summary!$H$2:$I$9,2)),VLOOKUP(J518,Summary!$J$2:$K$9,2)*IF(ISNUMBER(H518),H518,1))</f>
        <v>0.60129629629629622</v>
      </c>
      <c r="AG518" s="291">
        <v>517</v>
      </c>
      <c r="AH518" s="94"/>
      <c r="AI518" s="94"/>
    </row>
    <row r="519" spans="1:35" s="2" customFormat="1" ht="12" customHeight="1" x14ac:dyDescent="0.25">
      <c r="A519" s="444" t="s">
        <v>15653</v>
      </c>
      <c r="B519" s="444">
        <v>2</v>
      </c>
      <c r="C519" s="445">
        <v>3.09</v>
      </c>
      <c r="D519" s="176" t="s">
        <v>7919</v>
      </c>
      <c r="E519" s="313" t="s">
        <v>7920</v>
      </c>
      <c r="F519" s="174">
        <v>36586</v>
      </c>
      <c r="G519" s="174"/>
      <c r="H519" s="176">
        <v>1</v>
      </c>
      <c r="I519" s="176">
        <v>8</v>
      </c>
      <c r="J519" s="900" t="s">
        <v>2755</v>
      </c>
      <c r="K519" s="164" t="s">
        <v>7921</v>
      </c>
      <c r="L519" s="164" t="s">
        <v>461</v>
      </c>
      <c r="M519" s="164"/>
      <c r="N519" s="164" t="s">
        <v>4992</v>
      </c>
      <c r="O519" s="164"/>
      <c r="P519" s="173" t="s">
        <v>4993</v>
      </c>
      <c r="Q519" s="164" t="s">
        <v>3953</v>
      </c>
      <c r="R519" s="177" t="s">
        <v>2723</v>
      </c>
      <c r="S519" s="354" t="s">
        <v>2596</v>
      </c>
      <c r="T519" s="173" t="s">
        <v>2598</v>
      </c>
      <c r="U519" s="173"/>
      <c r="V519" s="173"/>
      <c r="W519" s="313" t="s">
        <v>7920</v>
      </c>
      <c r="X519" s="645" t="s">
        <v>12316</v>
      </c>
      <c r="Y519" s="354" t="s">
        <v>6868</v>
      </c>
      <c r="Z519" s="176">
        <v>999</v>
      </c>
      <c r="AA519" s="176"/>
      <c r="AB519" s="32">
        <f t="shared" ca="1" si="9"/>
        <v>0.39241466875066733</v>
      </c>
      <c r="AC519" s="812"/>
      <c r="AD519" s="763" t="s">
        <v>16906</v>
      </c>
      <c r="AE519" s="807"/>
      <c r="AF519" s="921">
        <f>IF(X519=X518,AF518,0)+IF(ISNUMBER(I519),IF(I519&lt;1,I519,I519*VLOOKUP(J519,Summary!$H$2:$I$9,2)),VLOOKUP(J519,Summary!$J$2:$K$9,2)*IF(ISNUMBER(H519),H519,1))</f>
        <v>0.60685185185185175</v>
      </c>
      <c r="AG519" s="289">
        <v>518</v>
      </c>
      <c r="AH519" s="94"/>
      <c r="AI519" s="94"/>
    </row>
    <row r="520" spans="1:35" s="2" customFormat="1" ht="12" customHeight="1" x14ac:dyDescent="0.25">
      <c r="A520" s="444" t="s">
        <v>15653</v>
      </c>
      <c r="B520" s="444">
        <v>2</v>
      </c>
      <c r="C520" s="445">
        <v>14.24</v>
      </c>
      <c r="D520" s="176" t="s">
        <v>4937</v>
      </c>
      <c r="E520" s="313" t="s">
        <v>6063</v>
      </c>
      <c r="F520" s="174">
        <v>38322</v>
      </c>
      <c r="G520" s="174"/>
      <c r="H520" s="176">
        <v>1</v>
      </c>
      <c r="I520" s="176">
        <v>10</v>
      </c>
      <c r="J520" s="900" t="s">
        <v>2755</v>
      </c>
      <c r="K520" s="164" t="s">
        <v>6064</v>
      </c>
      <c r="L520" s="164" t="s">
        <v>461</v>
      </c>
      <c r="M520" s="164"/>
      <c r="N520" s="164" t="s">
        <v>3807</v>
      </c>
      <c r="O520" s="164"/>
      <c r="P520" s="173" t="s">
        <v>6565</v>
      </c>
      <c r="Q520" s="164" t="s">
        <v>3947</v>
      </c>
      <c r="R520" s="179" t="s">
        <v>2723</v>
      </c>
      <c r="S520" s="354" t="s">
        <v>2596</v>
      </c>
      <c r="T520" s="173" t="s">
        <v>2598</v>
      </c>
      <c r="U520" s="173"/>
      <c r="V520" s="173"/>
      <c r="W520" s="313" t="s">
        <v>6063</v>
      </c>
      <c r="X520" s="645" t="s">
        <v>12316</v>
      </c>
      <c r="Y520" s="354"/>
      <c r="Z520" s="176"/>
      <c r="AA520" s="176"/>
      <c r="AB520" s="32">
        <f t="shared" ca="1" si="9"/>
        <v>0.63095576037852741</v>
      </c>
      <c r="AC520" s="812"/>
      <c r="AD520" s="763"/>
      <c r="AE520" s="807"/>
      <c r="AF520" s="921">
        <f>IF(X520=X519,AF519,0)+IF(ISNUMBER(I520),IF(I520&lt;1,I520,I520*VLOOKUP(J520,Summary!$H$2:$I$9,2)),VLOOKUP(J520,Summary!$J$2:$K$9,2)*IF(ISNUMBER(H520),H520,1))</f>
        <v>0.61379629629629617</v>
      </c>
      <c r="AG520" s="289">
        <v>519</v>
      </c>
      <c r="AH520" s="94"/>
      <c r="AI520" s="94"/>
    </row>
    <row r="521" spans="1:35" s="2" customFormat="1" ht="12" customHeight="1" x14ac:dyDescent="0.25">
      <c r="A521" s="444" t="s">
        <v>15653</v>
      </c>
      <c r="B521" s="444">
        <v>2</v>
      </c>
      <c r="C521" s="445">
        <v>15.02</v>
      </c>
      <c r="D521" s="176" t="s">
        <v>6065</v>
      </c>
      <c r="E521" s="313" t="s">
        <v>1577</v>
      </c>
      <c r="F521" s="174">
        <v>38412</v>
      </c>
      <c r="G521" s="174"/>
      <c r="H521" s="176">
        <v>1</v>
      </c>
      <c r="I521" s="176">
        <v>44</v>
      </c>
      <c r="J521" s="900" t="s">
        <v>2755</v>
      </c>
      <c r="K521" s="164" t="s">
        <v>563</v>
      </c>
      <c r="L521" s="164" t="s">
        <v>461</v>
      </c>
      <c r="M521" s="164"/>
      <c r="N521" s="164" t="s">
        <v>6997</v>
      </c>
      <c r="O521" s="164"/>
      <c r="P521" s="173" t="s">
        <v>6998</v>
      </c>
      <c r="Q521" s="164" t="s">
        <v>3947</v>
      </c>
      <c r="R521" s="177" t="s">
        <v>2723</v>
      </c>
      <c r="S521" s="354" t="s">
        <v>2596</v>
      </c>
      <c r="T521" s="173" t="s">
        <v>2598</v>
      </c>
      <c r="U521" s="173"/>
      <c r="V521" s="173"/>
      <c r="W521" s="313" t="s">
        <v>1577</v>
      </c>
      <c r="X521" s="645" t="s">
        <v>12316</v>
      </c>
      <c r="Y521" s="354"/>
      <c r="Z521" s="176"/>
      <c r="AA521" s="176"/>
      <c r="AB521" s="32">
        <f t="shared" ca="1" si="9"/>
        <v>4.5863493916447839E-2</v>
      </c>
      <c r="AC521" s="812"/>
      <c r="AD521" s="763"/>
      <c r="AE521" s="807"/>
      <c r="AF521" s="921">
        <f>IF(X521=X520,AF520,0)+IF(ISNUMBER(I521),IF(I521&lt;1,I521,I521*VLOOKUP(J521,Summary!$H$2:$I$9,2)),VLOOKUP(J521,Summary!$J$2:$K$9,2)*IF(ISNUMBER(H521),H521,1))</f>
        <v>0.64435185185185173</v>
      </c>
      <c r="AG521" s="289">
        <v>520</v>
      </c>
      <c r="AH521" s="94"/>
      <c r="AI521" s="94"/>
    </row>
    <row r="522" spans="1:35" s="22" customFormat="1" ht="12" customHeight="1" x14ac:dyDescent="0.25">
      <c r="A522" s="444" t="s">
        <v>15653</v>
      </c>
      <c r="B522" s="444">
        <v>2</v>
      </c>
      <c r="C522" s="445">
        <v>17.010000000000002</v>
      </c>
      <c r="D522" s="176" t="s">
        <v>564</v>
      </c>
      <c r="E522" s="313" t="s">
        <v>565</v>
      </c>
      <c r="F522" s="174">
        <v>38596</v>
      </c>
      <c r="G522" s="174"/>
      <c r="H522" s="176">
        <v>1</v>
      </c>
      <c r="I522" s="176">
        <v>17</v>
      </c>
      <c r="J522" s="900" t="s">
        <v>2755</v>
      </c>
      <c r="K522" s="164" t="s">
        <v>6353</v>
      </c>
      <c r="L522" s="164" t="s">
        <v>461</v>
      </c>
      <c r="M522" s="164"/>
      <c r="N522" s="164" t="s">
        <v>7375</v>
      </c>
      <c r="O522" s="164"/>
      <c r="P522" s="173" t="s">
        <v>2568</v>
      </c>
      <c r="Q522" s="164" t="s">
        <v>3947</v>
      </c>
      <c r="R522" s="177" t="s">
        <v>2723</v>
      </c>
      <c r="S522" s="354" t="s">
        <v>2596</v>
      </c>
      <c r="T522" s="173" t="s">
        <v>2598</v>
      </c>
      <c r="U522" s="173"/>
      <c r="V522" s="173"/>
      <c r="W522" s="313" t="s">
        <v>565</v>
      </c>
      <c r="X522" s="645" t="s">
        <v>12316</v>
      </c>
      <c r="Y522" s="354"/>
      <c r="Z522" s="176"/>
      <c r="AA522" s="176"/>
      <c r="AB522" s="32">
        <f t="shared" ca="1" si="9"/>
        <v>0.29304951585910088</v>
      </c>
      <c r="AC522" s="812"/>
      <c r="AD522" s="763"/>
      <c r="AE522" s="807"/>
      <c r="AF522" s="921">
        <f>IF(X522=X521,AF521,0)+IF(ISNUMBER(I522),IF(I522&lt;1,I522,I522*VLOOKUP(J522,Summary!$H$2:$I$9,2)),VLOOKUP(J522,Summary!$J$2:$K$9,2)*IF(ISNUMBER(H522),H522,1))</f>
        <v>0.65615740740740724</v>
      </c>
      <c r="AG522" s="289">
        <v>521</v>
      </c>
      <c r="AH522" s="94"/>
      <c r="AI522" s="94"/>
    </row>
    <row r="523" spans="1:35" s="2" customFormat="1" ht="12" customHeight="1" x14ac:dyDescent="0.25">
      <c r="A523" s="451" t="s">
        <v>15653</v>
      </c>
      <c r="B523" s="451">
        <v>2</v>
      </c>
      <c r="C523" s="452">
        <v>5.0199999999999996</v>
      </c>
      <c r="D523" s="407" t="s">
        <v>716</v>
      </c>
      <c r="E523" s="315" t="s">
        <v>6350</v>
      </c>
      <c r="F523" s="169">
        <v>40391</v>
      </c>
      <c r="G523" s="170"/>
      <c r="H523" s="170">
        <v>2</v>
      </c>
      <c r="I523" s="746">
        <f>TIME(1,17,28)</f>
        <v>5.3796296296296293E-2</v>
      </c>
      <c r="J523" s="899" t="s">
        <v>4706</v>
      </c>
      <c r="K523" s="167" t="s">
        <v>5666</v>
      </c>
      <c r="L523" s="167" t="s">
        <v>5662</v>
      </c>
      <c r="M523" s="167" t="s">
        <v>1219</v>
      </c>
      <c r="N523" s="167"/>
      <c r="O523" s="167"/>
      <c r="P523" s="168" t="s">
        <v>9191</v>
      </c>
      <c r="Q523" s="167" t="s">
        <v>3947</v>
      </c>
      <c r="R523" s="172" t="s">
        <v>3153</v>
      </c>
      <c r="S523" s="388" t="s">
        <v>2596</v>
      </c>
      <c r="T523" s="168" t="s">
        <v>2598</v>
      </c>
      <c r="U523" s="168"/>
      <c r="V523" s="168"/>
      <c r="W523" s="312" t="s">
        <v>11111</v>
      </c>
      <c r="X523" s="644" t="s">
        <v>12316</v>
      </c>
      <c r="Y523" s="352" t="s">
        <v>5643</v>
      </c>
      <c r="Z523" s="353">
        <v>388</v>
      </c>
      <c r="AA523" s="353">
        <v>5</v>
      </c>
      <c r="AB523" s="31">
        <f t="shared" ca="1" si="9"/>
        <v>0.77338647427945073</v>
      </c>
      <c r="AC523" s="810"/>
      <c r="AD523" s="811" t="s">
        <v>16119</v>
      </c>
      <c r="AE523" s="940" t="s">
        <v>16118</v>
      </c>
      <c r="AF523" s="920">
        <f>IF(X523=X522,AF522,0)+IF(ISNUMBER(I523),IF(I523&lt;1,I523,I523*VLOOKUP(J523,Summary!$H$2:$I$9,2)),VLOOKUP(J523,Summary!$J$2:$K$9,2)*IF(ISNUMBER(H523),H523,1))</f>
        <v>0.70995370370370359</v>
      </c>
      <c r="AG523" s="287">
        <v>522</v>
      </c>
      <c r="AH523" s="94"/>
      <c r="AI523" s="94"/>
    </row>
    <row r="524" spans="1:35" s="2" customFormat="1" ht="12" customHeight="1" x14ac:dyDescent="0.25">
      <c r="A524" s="451" t="s">
        <v>15653</v>
      </c>
      <c r="B524" s="451">
        <v>2</v>
      </c>
      <c r="C524" s="452">
        <v>7.11</v>
      </c>
      <c r="D524" s="407" t="s">
        <v>1214</v>
      </c>
      <c r="E524" s="315" t="s">
        <v>1215</v>
      </c>
      <c r="F524" s="196">
        <v>41402</v>
      </c>
      <c r="G524" s="170"/>
      <c r="H524" s="170">
        <v>2</v>
      </c>
      <c r="I524" s="746">
        <f>TIME(0,50,27)</f>
        <v>3.5034722222222224E-2</v>
      </c>
      <c r="J524" s="899" t="s">
        <v>4706</v>
      </c>
      <c r="K524" s="167" t="s">
        <v>6353</v>
      </c>
      <c r="L524" s="167" t="s">
        <v>5662</v>
      </c>
      <c r="M524" s="167" t="s">
        <v>1216</v>
      </c>
      <c r="N524" s="167"/>
      <c r="O524" s="167"/>
      <c r="P524" s="168" t="s">
        <v>1218</v>
      </c>
      <c r="Q524" s="167" t="s">
        <v>3947</v>
      </c>
      <c r="R524" s="172" t="s">
        <v>3153</v>
      </c>
      <c r="S524" s="388" t="s">
        <v>2596</v>
      </c>
      <c r="T524" s="168" t="s">
        <v>2598</v>
      </c>
      <c r="U524" s="168"/>
      <c r="V524" s="168"/>
      <c r="W524" s="312" t="s">
        <v>11103</v>
      </c>
      <c r="X524" s="644" t="s">
        <v>12316</v>
      </c>
      <c r="Y524" s="352" t="s">
        <v>5643</v>
      </c>
      <c r="Z524" s="353">
        <v>645</v>
      </c>
      <c r="AA524" s="353">
        <v>3</v>
      </c>
      <c r="AB524" s="31">
        <f t="shared" ca="1" si="9"/>
        <v>0.91970832191297713</v>
      </c>
      <c r="AC524" s="810"/>
      <c r="AD524" s="811"/>
      <c r="AE524" s="940"/>
      <c r="AF524" s="920">
        <f>IF(X524=X523,AF523,0)+IF(ISNUMBER(I524),IF(I524&lt;1,I524,I524*VLOOKUP(J524,Summary!$H$2:$I$9,2)),VLOOKUP(J524,Summary!$J$2:$K$9,2)*IF(ISNUMBER(H524),H524,1))</f>
        <v>0.74498842592592585</v>
      </c>
      <c r="AG524" s="287">
        <v>523</v>
      </c>
      <c r="AH524" s="94"/>
      <c r="AI524" s="94"/>
    </row>
    <row r="525" spans="1:35" s="2" customFormat="1" ht="12" customHeight="1" x14ac:dyDescent="0.25">
      <c r="A525" s="451" t="s">
        <v>15653</v>
      </c>
      <c r="B525" s="451">
        <v>2</v>
      </c>
      <c r="C525" s="461">
        <v>6.0129999999999999</v>
      </c>
      <c r="D525" s="407" t="s">
        <v>3333</v>
      </c>
      <c r="E525" s="315" t="s">
        <v>7566</v>
      </c>
      <c r="F525" s="169">
        <v>40725</v>
      </c>
      <c r="G525" s="170"/>
      <c r="H525" s="170">
        <v>1</v>
      </c>
      <c r="I525" s="170">
        <v>0</v>
      </c>
      <c r="J525" s="899" t="s">
        <v>4706</v>
      </c>
      <c r="K525" s="167" t="s">
        <v>177</v>
      </c>
      <c r="L525" s="167" t="s">
        <v>5662</v>
      </c>
      <c r="M525" s="167" t="s">
        <v>7567</v>
      </c>
      <c r="N525" s="167"/>
      <c r="O525" s="167"/>
      <c r="P525" s="168" t="s">
        <v>6703</v>
      </c>
      <c r="Q525" s="167" t="s">
        <v>3947</v>
      </c>
      <c r="R525" s="172" t="s">
        <v>3153</v>
      </c>
      <c r="S525" s="388" t="s">
        <v>2596</v>
      </c>
      <c r="T525" s="168" t="s">
        <v>2598</v>
      </c>
      <c r="U525" s="168"/>
      <c r="V525" s="168"/>
      <c r="W525" s="315" t="s">
        <v>8661</v>
      </c>
      <c r="X525" s="647" t="s">
        <v>12316</v>
      </c>
      <c r="Y525" s="352" t="s">
        <v>5643</v>
      </c>
      <c r="Z525" s="353" t="s">
        <v>461</v>
      </c>
      <c r="AA525" s="353"/>
      <c r="AB525" s="31">
        <f t="shared" ca="1" si="9"/>
        <v>0.23934896165848107</v>
      </c>
      <c r="AC525" s="810"/>
      <c r="AD525" s="811"/>
      <c r="AE525" s="948"/>
      <c r="AF525" s="920">
        <f>IF(X525=X524,AF524,0)+IF(ISNUMBER(I525),IF(I525&lt;1,I525,I525*VLOOKUP(J525,Summary!$H$2:$I$9,2)),VLOOKUP(J525,Summary!$J$2:$K$9,2)*IF(ISNUMBER(H525),H525,1))</f>
        <v>0.74498842592592585</v>
      </c>
      <c r="AG525" s="287">
        <v>524</v>
      </c>
      <c r="AH525" s="94"/>
      <c r="AI525" s="94"/>
    </row>
    <row r="526" spans="1:35" s="2" customFormat="1" ht="12" customHeight="1" x14ac:dyDescent="0.25">
      <c r="A526" s="448" t="s">
        <v>15653</v>
      </c>
      <c r="B526" s="448">
        <v>2</v>
      </c>
      <c r="C526" s="449">
        <v>5.0999999999999996</v>
      </c>
      <c r="D526" s="192" t="s">
        <v>10217</v>
      </c>
      <c r="E526" s="317" t="s">
        <v>10218</v>
      </c>
      <c r="F526" s="209">
        <v>42299</v>
      </c>
      <c r="G526" s="209"/>
      <c r="H526" s="192">
        <v>1</v>
      </c>
      <c r="I526" s="753">
        <f>TIME(0,27,50)</f>
        <v>1.9328703703703702E-2</v>
      </c>
      <c r="J526" s="903" t="s">
        <v>2755</v>
      </c>
      <c r="K526" s="194" t="s">
        <v>10219</v>
      </c>
      <c r="L526" s="194" t="s">
        <v>5662</v>
      </c>
      <c r="M526" s="194" t="s">
        <v>9424</v>
      </c>
      <c r="N526" s="194"/>
      <c r="O526" s="194"/>
      <c r="P526" s="190" t="s">
        <v>10220</v>
      </c>
      <c r="Q526" s="194" t="s">
        <v>3947</v>
      </c>
      <c r="R526" s="193" t="s">
        <v>2722</v>
      </c>
      <c r="S526" s="357" t="s">
        <v>2596</v>
      </c>
      <c r="T526" s="190" t="s">
        <v>2598</v>
      </c>
      <c r="U526" s="190"/>
      <c r="V526" s="190"/>
      <c r="W526" s="317" t="s">
        <v>10218</v>
      </c>
      <c r="X526" s="649" t="s">
        <v>12316</v>
      </c>
      <c r="Y526" s="357" t="s">
        <v>5643</v>
      </c>
      <c r="Z526" s="192">
        <v>44</v>
      </c>
      <c r="AA526" s="192">
        <v>4</v>
      </c>
      <c r="AB526" s="37">
        <f t="shared" ca="1" si="9"/>
        <v>0.13340356369465156</v>
      </c>
      <c r="AC526" s="816"/>
      <c r="AD526" s="817"/>
      <c r="AE526" s="943"/>
      <c r="AF526" s="924">
        <f>IF(X526=X525,AF525,0)+IF(ISNUMBER(I526),IF(I526&lt;1,I526,I526*VLOOKUP(J526,Summary!$H$2:$I$9,2)),VLOOKUP(J526,Summary!$J$2:$K$9,2)*IF(ISNUMBER(H526),H526,1))</f>
        <v>0.7643171296296295</v>
      </c>
      <c r="AG526" s="292">
        <v>525</v>
      </c>
      <c r="AH526" s="94"/>
      <c r="AI526" s="94"/>
    </row>
    <row r="527" spans="1:35" s="1" customFormat="1" ht="12" customHeight="1" x14ac:dyDescent="0.25">
      <c r="A527" s="446" t="s">
        <v>15653</v>
      </c>
      <c r="B527" s="446">
        <v>2</v>
      </c>
      <c r="C527" s="446">
        <v>77</v>
      </c>
      <c r="D527" s="417" t="s">
        <v>2185</v>
      </c>
      <c r="E527" s="316" t="s">
        <v>2186</v>
      </c>
      <c r="F527" s="195">
        <v>41137</v>
      </c>
      <c r="G527" s="188"/>
      <c r="H527" s="188" t="s">
        <v>461</v>
      </c>
      <c r="I527" s="188">
        <v>311</v>
      </c>
      <c r="J527" s="902" t="s">
        <v>6868</v>
      </c>
      <c r="K527" s="162" t="s">
        <v>2187</v>
      </c>
      <c r="L527" s="162" t="s">
        <v>461</v>
      </c>
      <c r="M527" s="162"/>
      <c r="N527" s="162"/>
      <c r="O527" s="162"/>
      <c r="P527" s="178" t="s">
        <v>2188</v>
      </c>
      <c r="Q527" s="162" t="s">
        <v>3953</v>
      </c>
      <c r="R527" s="189" t="s">
        <v>2717</v>
      </c>
      <c r="S527" s="366" t="s">
        <v>2596</v>
      </c>
      <c r="T527" s="178" t="s">
        <v>2598</v>
      </c>
      <c r="U527" s="178"/>
      <c r="V527" s="178"/>
      <c r="W527" s="316" t="s">
        <v>2186</v>
      </c>
      <c r="X527" s="648" t="s">
        <v>12316</v>
      </c>
      <c r="Y527" s="356"/>
      <c r="Z527" s="272">
        <v>82</v>
      </c>
      <c r="AA527" s="272">
        <v>6</v>
      </c>
      <c r="AB527" s="34">
        <f t="shared" ca="1" si="9"/>
        <v>0.57654566723149148</v>
      </c>
      <c r="AC527" s="814"/>
      <c r="AD527" s="815" t="s">
        <v>16907</v>
      </c>
      <c r="AE527" s="942"/>
      <c r="AF527" s="923">
        <f>IF(X527=X526,AF526,0)+IF(ISNUMBER(I527),IF(I527&lt;1,I527,I527*VLOOKUP(J527,Summary!$H$2:$I$9,2)),VLOOKUP(J527,Summary!$J$2:$K$9,2)*IF(ISNUMBER(H527),H527,1))</f>
        <v>0.98028935185185173</v>
      </c>
      <c r="AG527" s="291">
        <v>526</v>
      </c>
      <c r="AH527" s="94"/>
      <c r="AI527" s="94"/>
    </row>
    <row r="528" spans="1:35" s="2" customFormat="1" ht="12" customHeight="1" x14ac:dyDescent="0.25">
      <c r="A528" s="443" t="s">
        <v>15653</v>
      </c>
      <c r="B528" s="443">
        <v>2</v>
      </c>
      <c r="C528" s="443">
        <v>49</v>
      </c>
      <c r="D528" s="426" t="s">
        <v>1100</v>
      </c>
      <c r="E528" s="427" t="s">
        <v>1101</v>
      </c>
      <c r="F528" s="198">
        <v>25270</v>
      </c>
      <c r="G528" s="198">
        <v>25305</v>
      </c>
      <c r="H528" s="204">
        <v>6</v>
      </c>
      <c r="I528" s="791">
        <f>TIME(0,24,11)+TIME(0,25, 2)+TIME(0,23,50)+TIME(0,22,25)+TIME(0,24,44)+TIME(0,24,26)</f>
        <v>0.10043981481481482</v>
      </c>
      <c r="J528" s="905" t="s">
        <v>1588</v>
      </c>
      <c r="K528" s="205" t="s">
        <v>1093</v>
      </c>
      <c r="L528" s="205" t="s">
        <v>7039</v>
      </c>
      <c r="M528" s="205"/>
      <c r="N528" s="205" t="s">
        <v>6066</v>
      </c>
      <c r="O528" s="205" t="s">
        <v>125</v>
      </c>
      <c r="P528" s="202" t="s">
        <v>461</v>
      </c>
      <c r="Q528" s="205" t="s">
        <v>3946</v>
      </c>
      <c r="R528" s="206" t="s">
        <v>5280</v>
      </c>
      <c r="S528" s="391" t="s">
        <v>2596</v>
      </c>
      <c r="T528" s="202" t="s">
        <v>2598</v>
      </c>
      <c r="U528" s="202"/>
      <c r="V528" s="202"/>
      <c r="W528" s="318" t="s">
        <v>14266</v>
      </c>
      <c r="X528" s="652" t="s">
        <v>12316</v>
      </c>
      <c r="Y528" s="359" t="s">
        <v>5398</v>
      </c>
      <c r="Z528" s="360"/>
      <c r="AA528" s="360"/>
      <c r="AB528" s="36">
        <f t="shared" ca="1" si="9"/>
        <v>0.85351534821742281</v>
      </c>
      <c r="AC528" s="822"/>
      <c r="AD528" s="823" t="s">
        <v>16128</v>
      </c>
      <c r="AE528" s="947" t="s">
        <v>16129</v>
      </c>
      <c r="AF528" s="926">
        <f>IF(X528=X527,AF527,0)+IF(ISNUMBER(I528),IF(I528&lt;1,I528,I528*VLOOKUP(J528,Summary!$H$2:$I$9,2)),VLOOKUP(J528,Summary!$J$2:$K$9,2)*IF(ISNUMBER(H528),H528,1))</f>
        <v>1.0807291666666665</v>
      </c>
      <c r="AG528" s="294">
        <v>527</v>
      </c>
      <c r="AH528" s="94"/>
      <c r="AI528" s="94"/>
    </row>
    <row r="529" spans="1:35" s="2" customFormat="1" ht="12" customHeight="1" x14ac:dyDescent="0.25">
      <c r="A529" s="446" t="s">
        <v>15653</v>
      </c>
      <c r="B529" s="446">
        <v>2</v>
      </c>
      <c r="C529" s="446">
        <v>10</v>
      </c>
      <c r="D529" s="417" t="s">
        <v>7040</v>
      </c>
      <c r="E529" s="316" t="s">
        <v>7041</v>
      </c>
      <c r="F529" s="187">
        <v>34790</v>
      </c>
      <c r="G529" s="188"/>
      <c r="H529" s="188" t="s">
        <v>461</v>
      </c>
      <c r="I529" s="188">
        <v>264</v>
      </c>
      <c r="J529" s="902" t="s">
        <v>6868</v>
      </c>
      <c r="K529" s="162" t="s">
        <v>6235</v>
      </c>
      <c r="L529" s="162" t="s">
        <v>461</v>
      </c>
      <c r="M529" s="162"/>
      <c r="N529" s="162"/>
      <c r="O529" s="162"/>
      <c r="P529" s="178" t="s">
        <v>8594</v>
      </c>
      <c r="Q529" s="162" t="s">
        <v>601</v>
      </c>
      <c r="R529" s="189" t="s">
        <v>2715</v>
      </c>
      <c r="S529" s="366" t="s">
        <v>2596</v>
      </c>
      <c r="T529" s="178" t="s">
        <v>2598</v>
      </c>
      <c r="U529" s="178"/>
      <c r="V529" s="178"/>
      <c r="W529" s="316" t="s">
        <v>7041</v>
      </c>
      <c r="X529" s="648" t="s">
        <v>12316</v>
      </c>
      <c r="Y529" s="356" t="s">
        <v>6868</v>
      </c>
      <c r="Z529" s="272">
        <v>202</v>
      </c>
      <c r="AA529" s="272">
        <v>3</v>
      </c>
      <c r="AB529" s="34">
        <f t="shared" ca="1" si="9"/>
        <v>0.86999840593259992</v>
      </c>
      <c r="AC529" s="814"/>
      <c r="AD529" s="815" t="s">
        <v>16360</v>
      </c>
      <c r="AE529" s="942" t="s">
        <v>3365</v>
      </c>
      <c r="AF529" s="923">
        <f>IF(X529=X528,AF528,0)+IF(ISNUMBER(I529),IF(I529&lt;1,I529,I529*VLOOKUP(J529,Summary!$H$2:$I$9,2)),VLOOKUP(J529,Summary!$J$2:$K$9,2)*IF(ISNUMBER(H529),H529,1))</f>
        <v>1.2640624999999999</v>
      </c>
      <c r="AG529" s="291">
        <v>528</v>
      </c>
      <c r="AH529" s="94"/>
      <c r="AI529" s="94"/>
    </row>
    <row r="530" spans="1:35" s="22" customFormat="1" ht="12" customHeight="1" x14ac:dyDescent="0.2">
      <c r="A530" s="451" t="s">
        <v>15653</v>
      </c>
      <c r="B530" s="451">
        <v>2</v>
      </c>
      <c r="C530" s="452">
        <v>8.1199999999999992</v>
      </c>
      <c r="D530" s="407" t="s">
        <v>8369</v>
      </c>
      <c r="E530" s="315" t="s">
        <v>4043</v>
      </c>
      <c r="F530" s="196">
        <v>41807</v>
      </c>
      <c r="G530" s="170"/>
      <c r="H530" s="170">
        <v>2</v>
      </c>
      <c r="I530" s="746">
        <f>TIME(1,7,56)</f>
        <v>4.7175925925925927E-2</v>
      </c>
      <c r="J530" s="899" t="s">
        <v>4706</v>
      </c>
      <c r="K530" s="167" t="s">
        <v>5666</v>
      </c>
      <c r="L530" s="167" t="s">
        <v>5662</v>
      </c>
      <c r="M530" s="167" t="s">
        <v>1219</v>
      </c>
      <c r="N530" s="167"/>
      <c r="O530" s="167"/>
      <c r="P530" s="168" t="s">
        <v>8367</v>
      </c>
      <c r="Q530" s="167" t="s">
        <v>3947</v>
      </c>
      <c r="R530" s="172" t="s">
        <v>3153</v>
      </c>
      <c r="S530" s="388" t="s">
        <v>2596</v>
      </c>
      <c r="T530" s="168" t="s">
        <v>2598</v>
      </c>
      <c r="U530" s="168"/>
      <c r="V530" s="168"/>
      <c r="W530" s="312" t="s">
        <v>11113</v>
      </c>
      <c r="X530" s="644" t="s">
        <v>12316</v>
      </c>
      <c r="Y530" s="352" t="s">
        <v>5643</v>
      </c>
      <c r="Z530" s="353">
        <v>190</v>
      </c>
      <c r="AA530" s="353">
        <v>6</v>
      </c>
      <c r="AB530" s="31">
        <f t="shared" ca="1" si="9"/>
        <v>0.68642774101171666</v>
      </c>
      <c r="AC530" s="810"/>
      <c r="AD530" s="811" t="s">
        <v>16117</v>
      </c>
      <c r="AE530" s="940" t="s">
        <v>15062</v>
      </c>
      <c r="AF530" s="920">
        <f>IF(X530=X529,AF529,0)+IF(ISNUMBER(I530),IF(I530&lt;1,I530,I530*VLOOKUP(J530,Summary!$H$2:$I$9,2)),VLOOKUP(J530,Summary!$J$2:$K$9,2)*IF(ISNUMBER(H530),H530,1))</f>
        <v>1.3112384259259258</v>
      </c>
      <c r="AG530" s="287">
        <v>529</v>
      </c>
      <c r="AH530" s="94"/>
      <c r="AI530" s="94"/>
    </row>
    <row r="531" spans="1:35" s="2" customFormat="1" ht="12" customHeight="1" x14ac:dyDescent="0.25">
      <c r="A531" s="444" t="s">
        <v>15653</v>
      </c>
      <c r="B531" s="444">
        <v>2</v>
      </c>
      <c r="C531" s="445">
        <v>30.06</v>
      </c>
      <c r="D531" s="176" t="s">
        <v>314</v>
      </c>
      <c r="E531" s="313" t="s">
        <v>6930</v>
      </c>
      <c r="F531" s="174">
        <v>39783</v>
      </c>
      <c r="G531" s="174"/>
      <c r="H531" s="176" t="s">
        <v>461</v>
      </c>
      <c r="I531" s="176">
        <v>14</v>
      </c>
      <c r="J531" s="900" t="s">
        <v>2755</v>
      </c>
      <c r="K531" s="164" t="s">
        <v>5019</v>
      </c>
      <c r="L531" s="164" t="s">
        <v>461</v>
      </c>
      <c r="M531" s="164"/>
      <c r="N531" s="164" t="s">
        <v>4944</v>
      </c>
      <c r="O531" s="164"/>
      <c r="P531" s="173" t="s">
        <v>6702</v>
      </c>
      <c r="Q531" s="164" t="s">
        <v>3947</v>
      </c>
      <c r="R531" s="177" t="s">
        <v>2723</v>
      </c>
      <c r="S531" s="354" t="s">
        <v>2596</v>
      </c>
      <c r="T531" s="173" t="s">
        <v>2598</v>
      </c>
      <c r="U531" s="173"/>
      <c r="V531" s="173"/>
      <c r="W531" s="313" t="s">
        <v>6930</v>
      </c>
      <c r="X531" s="645" t="s">
        <v>12316</v>
      </c>
      <c r="Y531" s="354"/>
      <c r="Z531" s="176"/>
      <c r="AA531" s="176"/>
      <c r="AB531" s="32">
        <f t="shared" ca="1" si="9"/>
        <v>0.4342729422216135</v>
      </c>
      <c r="AC531" s="812"/>
      <c r="AD531" s="763" t="s">
        <v>14865</v>
      </c>
      <c r="AE531" s="807"/>
      <c r="AF531" s="921">
        <f>IF(X531=X530,AF530,0)+IF(ISNUMBER(I531),IF(I531&lt;1,I531,I531*VLOOKUP(J531,Summary!$H$2:$I$9,2)),VLOOKUP(J531,Summary!$J$2:$K$9,2)*IF(ISNUMBER(H531),H531,1))</f>
        <v>1.320960648148148</v>
      </c>
      <c r="AG531" s="289">
        <v>530</v>
      </c>
      <c r="AH531" s="94"/>
      <c r="AI531" s="94"/>
    </row>
    <row r="532" spans="1:35" s="22" customFormat="1" ht="12" customHeight="1" x14ac:dyDescent="0.25">
      <c r="A532" s="446" t="s">
        <v>15653</v>
      </c>
      <c r="B532" s="446">
        <v>2</v>
      </c>
      <c r="C532" s="446">
        <v>61</v>
      </c>
      <c r="D532" s="417" t="s">
        <v>7042</v>
      </c>
      <c r="E532" s="316" t="s">
        <v>7043</v>
      </c>
      <c r="F532" s="195">
        <v>37809</v>
      </c>
      <c r="G532" s="188"/>
      <c r="H532" s="188" t="s">
        <v>461</v>
      </c>
      <c r="I532" s="188">
        <v>272</v>
      </c>
      <c r="J532" s="902" t="s">
        <v>6868</v>
      </c>
      <c r="K532" s="162" t="s">
        <v>6355</v>
      </c>
      <c r="L532" s="162" t="s">
        <v>461</v>
      </c>
      <c r="M532" s="162"/>
      <c r="N532" s="162"/>
      <c r="O532" s="162"/>
      <c r="P532" s="178" t="s">
        <v>8985</v>
      </c>
      <c r="Q532" s="162" t="s">
        <v>3953</v>
      </c>
      <c r="R532" s="189" t="s">
        <v>2717</v>
      </c>
      <c r="S532" s="366" t="s">
        <v>2596</v>
      </c>
      <c r="T532" s="178" t="s">
        <v>2598</v>
      </c>
      <c r="U532" s="178"/>
      <c r="V532" s="178"/>
      <c r="W532" s="316" t="s">
        <v>7043</v>
      </c>
      <c r="X532" s="648" t="s">
        <v>12316</v>
      </c>
      <c r="Y532" s="356"/>
      <c r="Z532" s="272"/>
      <c r="AA532" s="272"/>
      <c r="AB532" s="34">
        <f t="shared" ca="1" si="9"/>
        <v>0.72019162470485742</v>
      </c>
      <c r="AC532" s="814"/>
      <c r="AD532" s="815" t="s">
        <v>16240</v>
      </c>
      <c r="AE532" s="942"/>
      <c r="AF532" s="923">
        <f>IF(X532=X531,AF531,0)+IF(ISNUMBER(I532),IF(I532&lt;1,I532,I532*VLOOKUP(J532,Summary!$H$2:$I$9,2)),VLOOKUP(J532,Summary!$J$2:$K$9,2)*IF(ISNUMBER(H532),H532,1))</f>
        <v>1.5098495370370368</v>
      </c>
      <c r="AG532" s="291">
        <v>531</v>
      </c>
      <c r="AH532" s="94"/>
      <c r="AI532" s="94"/>
    </row>
    <row r="533" spans="1:35" s="43" customFormat="1" ht="12" customHeight="1" x14ac:dyDescent="0.25">
      <c r="A533" s="451" t="s">
        <v>15653</v>
      </c>
      <c r="B533" s="451">
        <v>2</v>
      </c>
      <c r="C533" s="452">
        <v>4.0199999999999996</v>
      </c>
      <c r="D533" s="407" t="s">
        <v>708</v>
      </c>
      <c r="E533" s="315" t="s">
        <v>1099</v>
      </c>
      <c r="F533" s="169">
        <v>40026</v>
      </c>
      <c r="G533" s="170"/>
      <c r="H533" s="170">
        <v>2</v>
      </c>
      <c r="I533" s="746">
        <f>TIME(0,57,45)</f>
        <v>4.010416666666667E-2</v>
      </c>
      <c r="J533" s="899" t="s">
        <v>4706</v>
      </c>
      <c r="K533" s="167" t="s">
        <v>177</v>
      </c>
      <c r="L533" s="167" t="s">
        <v>7757</v>
      </c>
      <c r="M533" s="167" t="s">
        <v>8045</v>
      </c>
      <c r="N533" s="167"/>
      <c r="O533" s="167"/>
      <c r="P533" s="168" t="s">
        <v>9179</v>
      </c>
      <c r="Q533" s="167" t="s">
        <v>3947</v>
      </c>
      <c r="R533" s="172" t="s">
        <v>3153</v>
      </c>
      <c r="S533" s="388" t="s">
        <v>2596</v>
      </c>
      <c r="T533" s="168" t="s">
        <v>2598</v>
      </c>
      <c r="U533" s="168"/>
      <c r="V533" s="168"/>
      <c r="W533" s="312" t="s">
        <v>10267</v>
      </c>
      <c r="X533" s="644" t="s">
        <v>12316</v>
      </c>
      <c r="Y533" s="352" t="s">
        <v>5398</v>
      </c>
      <c r="Z533" s="353">
        <v>83</v>
      </c>
      <c r="AA533" s="353">
        <v>7.5</v>
      </c>
      <c r="AB533" s="31">
        <f t="shared" ca="1" si="9"/>
        <v>0.65159021475012169</v>
      </c>
      <c r="AC533" s="810"/>
      <c r="AD533" s="811" t="s">
        <v>16543</v>
      </c>
      <c r="AE533" s="940" t="s">
        <v>16075</v>
      </c>
      <c r="AF533" s="920">
        <f>IF(X533=X532,AF532,0)+IF(ISNUMBER(I533),IF(I533&lt;1,I533,I533*VLOOKUP(J533,Summary!$H$2:$I$9,2)),VLOOKUP(J533,Summary!$J$2:$K$9,2)*IF(ISNUMBER(H533),H533,1))</f>
        <v>1.5499537037037034</v>
      </c>
      <c r="AG533" s="287">
        <v>532</v>
      </c>
      <c r="AH533" s="94"/>
      <c r="AI533" s="94"/>
    </row>
    <row r="534" spans="1:35" s="2" customFormat="1" ht="12" customHeight="1" x14ac:dyDescent="0.25">
      <c r="A534" s="448" t="s">
        <v>15653</v>
      </c>
      <c r="B534" s="448">
        <v>2</v>
      </c>
      <c r="C534" s="448">
        <v>10</v>
      </c>
      <c r="D534" s="192" t="s">
        <v>13427</v>
      </c>
      <c r="E534" s="317" t="s">
        <v>13428</v>
      </c>
      <c r="F534" s="209">
        <v>42278</v>
      </c>
      <c r="G534" s="209"/>
      <c r="H534" s="192">
        <v>1</v>
      </c>
      <c r="I534" s="192"/>
      <c r="J534" s="903" t="s">
        <v>2755</v>
      </c>
      <c r="K534" s="194" t="s">
        <v>543</v>
      </c>
      <c r="L534" s="194" t="s">
        <v>13401</v>
      </c>
      <c r="M534" s="194" t="s">
        <v>4549</v>
      </c>
      <c r="N534" s="194"/>
      <c r="O534" s="194"/>
      <c r="P534" s="190" t="s">
        <v>13331</v>
      </c>
      <c r="Q534" s="194" t="s">
        <v>3953</v>
      </c>
      <c r="R534" s="193" t="s">
        <v>11447</v>
      </c>
      <c r="S534" s="357"/>
      <c r="T534" s="190"/>
      <c r="U534" s="190"/>
      <c r="V534" s="190"/>
      <c r="W534" s="317" t="s">
        <v>13428</v>
      </c>
      <c r="X534" s="649" t="s">
        <v>12316</v>
      </c>
      <c r="Y534" s="357"/>
      <c r="Z534" s="192"/>
      <c r="AA534" s="192"/>
      <c r="AB534" s="37">
        <f t="shared" ca="1" si="9"/>
        <v>0.12974684054777219</v>
      </c>
      <c r="AC534" s="816"/>
      <c r="AD534" s="817"/>
      <c r="AE534" s="943"/>
      <c r="AF534" s="924">
        <f>IF(X534=X533,AF533,0)+IF(ISNUMBER(I534),IF(I534&lt;1,I534,I534*VLOOKUP(J534,Summary!$H$2:$I$9,2)),VLOOKUP(J534,Summary!$J$2:$K$9,2)*IF(ISNUMBER(H534),H534,1))</f>
        <v>1.5673148148148146</v>
      </c>
      <c r="AG534" s="292">
        <v>533</v>
      </c>
      <c r="AH534" s="94"/>
      <c r="AI534" s="94"/>
    </row>
    <row r="535" spans="1:35" s="2" customFormat="1" ht="12" customHeight="1" x14ac:dyDescent="0.25">
      <c r="A535" s="444" t="s">
        <v>15653</v>
      </c>
      <c r="B535" s="444">
        <v>2</v>
      </c>
      <c r="C535" s="445">
        <v>16.16</v>
      </c>
      <c r="D535" s="176" t="s">
        <v>568</v>
      </c>
      <c r="E535" s="313" t="s">
        <v>569</v>
      </c>
      <c r="F535" s="174">
        <v>38473</v>
      </c>
      <c r="G535" s="174"/>
      <c r="H535" s="176">
        <v>1</v>
      </c>
      <c r="I535" s="176">
        <v>14</v>
      </c>
      <c r="J535" s="900" t="s">
        <v>2755</v>
      </c>
      <c r="K535" s="164" t="s">
        <v>6353</v>
      </c>
      <c r="L535" s="164" t="s">
        <v>461</v>
      </c>
      <c r="M535" s="164"/>
      <c r="N535" s="164" t="s">
        <v>7381</v>
      </c>
      <c r="O535" s="164"/>
      <c r="P535" s="173" t="s">
        <v>1652</v>
      </c>
      <c r="Q535" s="164" t="s">
        <v>3947</v>
      </c>
      <c r="R535" s="177" t="s">
        <v>2723</v>
      </c>
      <c r="S535" s="354" t="s">
        <v>2596</v>
      </c>
      <c r="T535" s="173" t="s">
        <v>2598</v>
      </c>
      <c r="U535" s="173"/>
      <c r="V535" s="173"/>
      <c r="W535" s="313" t="s">
        <v>569</v>
      </c>
      <c r="X535" s="645" t="s">
        <v>12316</v>
      </c>
      <c r="Y535" s="354"/>
      <c r="Z535" s="176"/>
      <c r="AA535" s="176"/>
      <c r="AB535" s="32">
        <f t="shared" ca="1" si="9"/>
        <v>0.27224516859046655</v>
      </c>
      <c r="AC535" s="812"/>
      <c r="AD535" s="763"/>
      <c r="AE535" s="807"/>
      <c r="AF535" s="921">
        <f>IF(X535=X534,AF534,0)+IF(ISNUMBER(I535),IF(I535&lt;1,I535,I535*VLOOKUP(J535,Summary!$H$2:$I$9,2)),VLOOKUP(J535,Summary!$J$2:$K$9,2)*IF(ISNUMBER(H535),H535,1))</f>
        <v>1.5770370370370368</v>
      </c>
      <c r="AG535" s="289">
        <v>534</v>
      </c>
      <c r="AH535" s="94"/>
      <c r="AI535" s="94"/>
    </row>
    <row r="536" spans="1:35" s="22" customFormat="1" ht="12" customHeight="1" x14ac:dyDescent="0.2">
      <c r="A536" s="451" t="s">
        <v>15653</v>
      </c>
      <c r="B536" s="451">
        <v>2</v>
      </c>
      <c r="C536" s="453">
        <v>10.4</v>
      </c>
      <c r="D536" s="407" t="s">
        <v>10215</v>
      </c>
      <c r="E536" s="315" t="s">
        <v>8118</v>
      </c>
      <c r="F536" s="196">
        <v>42544</v>
      </c>
      <c r="G536" s="170"/>
      <c r="H536" s="170">
        <v>2</v>
      </c>
      <c r="I536" s="746">
        <f>TIME(1,1,34)</f>
        <v>4.2754629629629635E-2</v>
      </c>
      <c r="J536" s="899" t="s">
        <v>4706</v>
      </c>
      <c r="K536" s="167" t="s">
        <v>10216</v>
      </c>
      <c r="L536" s="167" t="s">
        <v>5662</v>
      </c>
      <c r="M536" s="167"/>
      <c r="N536" s="167"/>
      <c r="O536" s="167"/>
      <c r="P536" s="168" t="s">
        <v>10209</v>
      </c>
      <c r="Q536" s="167" t="s">
        <v>3947</v>
      </c>
      <c r="R536" s="172" t="s">
        <v>3153</v>
      </c>
      <c r="S536" s="388" t="s">
        <v>2596</v>
      </c>
      <c r="T536" s="168" t="s">
        <v>2598</v>
      </c>
      <c r="U536" s="168"/>
      <c r="V536" s="168"/>
      <c r="W536" s="312" t="s">
        <v>10353</v>
      </c>
      <c r="X536" s="644" t="s">
        <v>12316</v>
      </c>
      <c r="Y536" s="352" t="s">
        <v>5643</v>
      </c>
      <c r="Z536" s="353">
        <v>502</v>
      </c>
      <c r="AA536" s="353">
        <v>4</v>
      </c>
      <c r="AB536" s="31">
        <f t="shared" ca="1" si="9"/>
        <v>0.1255152372321503</v>
      </c>
      <c r="AC536" s="810"/>
      <c r="AD536" s="811"/>
      <c r="AE536" s="940"/>
      <c r="AF536" s="920">
        <f>IF(X536=X535,AF535,0)+IF(ISNUMBER(I536),IF(I536&lt;1,I536,I536*VLOOKUP(J536,Summary!$H$2:$I$9,2)),VLOOKUP(J536,Summary!$J$2:$K$9,2)*IF(ISNUMBER(H536),H536,1))</f>
        <v>1.6197916666666665</v>
      </c>
      <c r="AG536" s="287">
        <v>535</v>
      </c>
      <c r="AH536" s="94"/>
      <c r="AI536" s="94"/>
    </row>
    <row r="537" spans="1:35" s="2" customFormat="1" ht="12" customHeight="1" x14ac:dyDescent="0.25">
      <c r="A537" s="444" t="s">
        <v>15653</v>
      </c>
      <c r="B537" s="444">
        <v>2</v>
      </c>
      <c r="C537" s="445">
        <v>31.04</v>
      </c>
      <c r="D537" s="176" t="s">
        <v>5841</v>
      </c>
      <c r="E537" s="313" t="s">
        <v>7452</v>
      </c>
      <c r="F537" s="174">
        <v>39873</v>
      </c>
      <c r="G537" s="174"/>
      <c r="H537" s="176" t="s">
        <v>461</v>
      </c>
      <c r="I537" s="176">
        <v>11</v>
      </c>
      <c r="J537" s="900" t="s">
        <v>2755</v>
      </c>
      <c r="K537" s="164" t="s">
        <v>7381</v>
      </c>
      <c r="L537" s="164" t="s">
        <v>461</v>
      </c>
      <c r="M537" s="164"/>
      <c r="N537" s="164" t="s">
        <v>1805</v>
      </c>
      <c r="O537" s="164"/>
      <c r="P537" s="173" t="s">
        <v>6699</v>
      </c>
      <c r="Q537" s="164" t="s">
        <v>3947</v>
      </c>
      <c r="R537" s="177" t="s">
        <v>2723</v>
      </c>
      <c r="S537" s="354"/>
      <c r="T537" s="173"/>
      <c r="U537" s="173"/>
      <c r="V537" s="173"/>
      <c r="W537" s="313" t="s">
        <v>7452</v>
      </c>
      <c r="X537" s="645" t="s">
        <v>12316</v>
      </c>
      <c r="Y537" s="354"/>
      <c r="Z537" s="176"/>
      <c r="AA537" s="176"/>
      <c r="AB537" s="32">
        <f t="shared" ca="1" si="9"/>
        <v>0.12643782780341717</v>
      </c>
      <c r="AC537" s="812"/>
      <c r="AD537" s="763"/>
      <c r="AE537" s="807"/>
      <c r="AF537" s="921">
        <f>IF(X537=X536,AF536,0)+IF(ISNUMBER(I537),IF(I537&lt;1,I537,I537*VLOOKUP(J537,Summary!$H$2:$I$9,2)),VLOOKUP(J537,Summary!$J$2:$K$9,2)*IF(ISNUMBER(H537),H537,1))</f>
        <v>1.6274305555555555</v>
      </c>
      <c r="AG537" s="289">
        <v>536</v>
      </c>
      <c r="AH537" s="94"/>
      <c r="AI537" s="94"/>
    </row>
    <row r="538" spans="1:35" s="2" customFormat="1" ht="12" customHeight="1" x14ac:dyDescent="0.25">
      <c r="A538" s="444" t="s">
        <v>15653</v>
      </c>
      <c r="B538" s="444">
        <v>2</v>
      </c>
      <c r="C538" s="445">
        <v>7.08</v>
      </c>
      <c r="D538" s="192" t="s">
        <v>12676</v>
      </c>
      <c r="E538" s="317" t="s">
        <v>12677</v>
      </c>
      <c r="F538" s="209">
        <v>42976</v>
      </c>
      <c r="G538" s="209"/>
      <c r="H538" s="192">
        <v>1</v>
      </c>
      <c r="I538" s="753">
        <f>TIME(0,42,14)</f>
        <v>2.9328703703703704E-2</v>
      </c>
      <c r="J538" s="903" t="s">
        <v>2755</v>
      </c>
      <c r="K538" s="194" t="s">
        <v>3424</v>
      </c>
      <c r="L538" s="194" t="s">
        <v>5662</v>
      </c>
      <c r="M538" s="194" t="s">
        <v>7567</v>
      </c>
      <c r="N538" s="194"/>
      <c r="O538" s="194"/>
      <c r="P538" s="190" t="s">
        <v>12678</v>
      </c>
      <c r="Q538" s="194" t="s">
        <v>3947</v>
      </c>
      <c r="R538" s="193" t="s">
        <v>2722</v>
      </c>
      <c r="S538" s="357" t="s">
        <v>2596</v>
      </c>
      <c r="T538" s="190" t="s">
        <v>2598</v>
      </c>
      <c r="U538" s="190"/>
      <c r="V538" s="190"/>
      <c r="W538" s="317" t="s">
        <v>12677</v>
      </c>
      <c r="X538" s="649" t="s">
        <v>12316</v>
      </c>
      <c r="Y538" s="357" t="s">
        <v>5643</v>
      </c>
      <c r="Z538" s="192"/>
      <c r="AA538" s="192"/>
      <c r="AB538" s="37">
        <f t="shared" ca="1" si="9"/>
        <v>5.6843383957430049E-2</v>
      </c>
      <c r="AC538" s="816"/>
      <c r="AD538" s="817" t="s">
        <v>16908</v>
      </c>
      <c r="AE538" s="943"/>
      <c r="AF538" s="924">
        <f>IF(X538=X537,AF537,0)+IF(ISNUMBER(I538),IF(I538&lt;1,I538,I538*VLOOKUP(J538,Summary!$H$2:$I$9,2)),VLOOKUP(J538,Summary!$J$2:$K$9,2)*IF(ISNUMBER(H538),H538,1))</f>
        <v>1.6567592592592593</v>
      </c>
      <c r="AG538" s="292">
        <v>537</v>
      </c>
      <c r="AH538" s="94"/>
      <c r="AI538" s="94"/>
    </row>
    <row r="539" spans="1:35" s="22" customFormat="1" ht="12" customHeight="1" x14ac:dyDescent="0.2">
      <c r="A539" s="405" t="s">
        <v>15653</v>
      </c>
      <c r="B539" s="406" t="s">
        <v>2650</v>
      </c>
      <c r="C539" s="405">
        <v>12.4</v>
      </c>
      <c r="D539" s="407" t="s">
        <v>14530</v>
      </c>
      <c r="E539" s="315" t="s">
        <v>14532</v>
      </c>
      <c r="F539" s="196">
        <v>43271</v>
      </c>
      <c r="G539" s="170"/>
      <c r="H539" s="170">
        <v>2</v>
      </c>
      <c r="I539" s="746">
        <f>TIME(1,5,9)</f>
        <v>4.5243055555555557E-2</v>
      </c>
      <c r="J539" s="899" t="s">
        <v>4706</v>
      </c>
      <c r="K539" s="167" t="s">
        <v>12616</v>
      </c>
      <c r="L539" s="167" t="s">
        <v>14526</v>
      </c>
      <c r="M539" s="167"/>
      <c r="N539" s="167"/>
      <c r="O539" s="167" t="s">
        <v>5195</v>
      </c>
      <c r="P539" s="168" t="s">
        <v>14525</v>
      </c>
      <c r="Q539" s="167" t="s">
        <v>3947</v>
      </c>
      <c r="R539" s="172" t="s">
        <v>3153</v>
      </c>
      <c r="S539" s="388"/>
      <c r="T539" s="168" t="s">
        <v>2598</v>
      </c>
      <c r="U539" s="168"/>
      <c r="V539" s="168"/>
      <c r="W539" s="312" t="s">
        <v>16953</v>
      </c>
      <c r="X539" s="644" t="s">
        <v>12316</v>
      </c>
      <c r="Y539" s="352" t="s">
        <v>5643</v>
      </c>
      <c r="Z539" s="353">
        <v>402</v>
      </c>
      <c r="AA539" s="353">
        <v>5</v>
      </c>
      <c r="AB539" s="31">
        <f t="shared" ca="1" si="9"/>
        <v>0.71203554285475801</v>
      </c>
      <c r="AC539" s="810"/>
      <c r="AD539" s="811" t="s">
        <v>16909</v>
      </c>
      <c r="AE539" s="940"/>
      <c r="AF539" s="920">
        <f>IF(X539=X538,AF538,0)+IF(ISNUMBER(I539),IF(I539&lt;1,I539,I539*VLOOKUP(J539,Summary!$H$2:$I$9,2)),VLOOKUP(J539,Summary!$J$2:$K$9,2)*IF(ISNUMBER(H539),H539,1))</f>
        <v>1.7020023148148149</v>
      </c>
      <c r="AG539" s="287">
        <v>538</v>
      </c>
      <c r="AH539" s="94"/>
      <c r="AI539" s="94"/>
    </row>
    <row r="540" spans="1:35" s="2" customFormat="1" ht="12" customHeight="1" x14ac:dyDescent="0.25">
      <c r="A540" s="444" t="s">
        <v>15653</v>
      </c>
      <c r="B540" s="444">
        <v>2</v>
      </c>
      <c r="C540" s="445">
        <v>4.05</v>
      </c>
      <c r="D540" s="176" t="s">
        <v>7922</v>
      </c>
      <c r="E540" s="313" t="s">
        <v>4410</v>
      </c>
      <c r="F540" s="174">
        <v>37591</v>
      </c>
      <c r="G540" s="174"/>
      <c r="H540" s="176">
        <v>1</v>
      </c>
      <c r="I540" s="176">
        <v>12</v>
      </c>
      <c r="J540" s="900" t="s">
        <v>2755</v>
      </c>
      <c r="K540" s="164" t="s">
        <v>2308</v>
      </c>
      <c r="L540" s="164" t="s">
        <v>461</v>
      </c>
      <c r="M540" s="164"/>
      <c r="N540" s="164" t="s">
        <v>4552</v>
      </c>
      <c r="O540" s="164"/>
      <c r="P540" s="173" t="s">
        <v>6556</v>
      </c>
      <c r="Q540" s="164" t="s">
        <v>3947</v>
      </c>
      <c r="R540" s="177" t="s">
        <v>2723</v>
      </c>
      <c r="S540" s="354" t="s">
        <v>2596</v>
      </c>
      <c r="T540" s="173" t="s">
        <v>2598</v>
      </c>
      <c r="U540" s="173"/>
      <c r="V540" s="173"/>
      <c r="W540" s="313" t="s">
        <v>4410</v>
      </c>
      <c r="X540" s="645" t="s">
        <v>12316</v>
      </c>
      <c r="Y540" s="354"/>
      <c r="Z540" s="176"/>
      <c r="AA540" s="176"/>
      <c r="AB540" s="32">
        <f t="shared" ca="1" si="9"/>
        <v>0.34239510191462708</v>
      </c>
      <c r="AC540" s="812"/>
      <c r="AD540" s="763"/>
      <c r="AE540" s="807"/>
      <c r="AF540" s="921">
        <f>IF(X540=X539,AF539,0)+IF(ISNUMBER(I540),IF(I540&lt;1,I540,I540*VLOOKUP(J540,Summary!$H$2:$I$9,2)),VLOOKUP(J540,Summary!$J$2:$K$9,2)*IF(ISNUMBER(H540),H540,1))</f>
        <v>1.7103356481481482</v>
      </c>
      <c r="AG540" s="289">
        <v>539</v>
      </c>
      <c r="AH540" s="94"/>
      <c r="AI540" s="94"/>
    </row>
    <row r="541" spans="1:35" s="2" customFormat="1" ht="12" customHeight="1" x14ac:dyDescent="0.25">
      <c r="A541" s="454" t="s">
        <v>15653</v>
      </c>
      <c r="B541" s="454">
        <v>2</v>
      </c>
      <c r="C541" s="454">
        <v>50</v>
      </c>
      <c r="D541" s="424" t="s">
        <v>5544</v>
      </c>
      <c r="E541" s="319" t="s">
        <v>5545</v>
      </c>
      <c r="F541" s="198">
        <v>25312</v>
      </c>
      <c r="G541" s="198">
        <v>25375</v>
      </c>
      <c r="H541" s="199">
        <v>10</v>
      </c>
      <c r="I541" s="791">
        <f>TIME(0,25, 0)+TIME(0,25, 0)+TIME(0,24,30)+TIME(0,23,40)+TIME(0,24,30)+TIME(0,22,53)+TIME(0,22,28)+TIME(0,24,37)+TIME(0,24,34)+TIME(0,24,23)</f>
        <v>0.16776620370370368</v>
      </c>
      <c r="J541" s="904" t="s">
        <v>1588</v>
      </c>
      <c r="K541" s="200" t="s">
        <v>5546</v>
      </c>
      <c r="L541" s="200" t="s">
        <v>6125</v>
      </c>
      <c r="M541" s="200"/>
      <c r="N541" s="200" t="s">
        <v>1088</v>
      </c>
      <c r="O541" s="200" t="s">
        <v>6066</v>
      </c>
      <c r="P541" s="197" t="s">
        <v>461</v>
      </c>
      <c r="Q541" s="200" t="s">
        <v>3946</v>
      </c>
      <c r="R541" s="201" t="s">
        <v>5280</v>
      </c>
      <c r="S541" s="390" t="s">
        <v>2596</v>
      </c>
      <c r="T541" s="197" t="s">
        <v>2598</v>
      </c>
      <c r="U541" s="197"/>
      <c r="V541" s="197"/>
      <c r="W541" s="318" t="s">
        <v>9312</v>
      </c>
      <c r="X541" s="650" t="s">
        <v>12316</v>
      </c>
      <c r="Y541" s="358" t="s">
        <v>6141</v>
      </c>
      <c r="Z541" s="253">
        <v>25</v>
      </c>
      <c r="AA541" s="253">
        <v>9</v>
      </c>
      <c r="AB541" s="35">
        <f t="shared" ca="1" si="9"/>
        <v>0.45600631083838694</v>
      </c>
      <c r="AC541" s="820"/>
      <c r="AD541" s="821" t="s">
        <v>16508</v>
      </c>
      <c r="AE541" s="944" t="s">
        <v>3365</v>
      </c>
      <c r="AF541" s="925">
        <f>IF(X541=X540,AF540,0)+IF(ISNUMBER(I541),IF(I541&lt;1,I541,I541*VLOOKUP(J541,Summary!$H$2:$I$9,2)),VLOOKUP(J541,Summary!$J$2:$K$9,2)*IF(ISNUMBER(H541),H541,1))</f>
        <v>1.878101851851852</v>
      </c>
      <c r="AG541" s="293">
        <v>540</v>
      </c>
      <c r="AH541" s="94"/>
      <c r="AI541" s="94"/>
    </row>
    <row r="542" spans="1:35" s="22" customFormat="1" ht="12" customHeight="1" x14ac:dyDescent="0.25">
      <c r="A542" s="444" t="s">
        <v>15653</v>
      </c>
      <c r="B542" s="444">
        <v>2</v>
      </c>
      <c r="C542" s="445">
        <v>1.03</v>
      </c>
      <c r="D542" s="176" t="s">
        <v>570</v>
      </c>
      <c r="E542" s="313" t="s">
        <v>571</v>
      </c>
      <c r="F542" s="174">
        <v>35855</v>
      </c>
      <c r="G542" s="174"/>
      <c r="H542" s="176">
        <v>1</v>
      </c>
      <c r="I542" s="176">
        <v>10</v>
      </c>
      <c r="J542" s="900" t="s">
        <v>2755</v>
      </c>
      <c r="K542" s="164" t="s">
        <v>4738</v>
      </c>
      <c r="L542" s="164" t="s">
        <v>461</v>
      </c>
      <c r="M542" s="164"/>
      <c r="N542" s="164" t="s">
        <v>6237</v>
      </c>
      <c r="O542" s="164"/>
      <c r="P542" s="173" t="s">
        <v>5042</v>
      </c>
      <c r="Q542" s="164" t="s">
        <v>3953</v>
      </c>
      <c r="R542" s="177" t="s">
        <v>2723</v>
      </c>
      <c r="S542" s="354" t="s">
        <v>2596</v>
      </c>
      <c r="T542" s="173" t="s">
        <v>2598</v>
      </c>
      <c r="U542" s="173"/>
      <c r="V542" s="173"/>
      <c r="W542" s="313" t="s">
        <v>571</v>
      </c>
      <c r="X542" s="645" t="s">
        <v>12316</v>
      </c>
      <c r="Y542" s="354" t="s">
        <v>6868</v>
      </c>
      <c r="Z542" s="176">
        <v>999</v>
      </c>
      <c r="AA542" s="176"/>
      <c r="AB542" s="32">
        <f t="shared" ca="1" si="9"/>
        <v>0.16393939327177076</v>
      </c>
      <c r="AC542" s="812"/>
      <c r="AD542" s="763"/>
      <c r="AE542" s="807"/>
      <c r="AF542" s="921">
        <f>IF(X542=X541,AF541,0)+IF(ISNUMBER(I542),IF(I542&lt;1,I542,I542*VLOOKUP(J542,Summary!$H$2:$I$9,2)),VLOOKUP(J542,Summary!$J$2:$K$9,2)*IF(ISNUMBER(H542),H542,1))</f>
        <v>1.8850462962962964</v>
      </c>
      <c r="AG542" s="289">
        <v>541</v>
      </c>
      <c r="AH542" s="94"/>
      <c r="AI542" s="94"/>
    </row>
    <row r="543" spans="1:35" s="22" customFormat="1" ht="12" customHeight="1" x14ac:dyDescent="0.25">
      <c r="A543" s="462" t="s">
        <v>15653</v>
      </c>
      <c r="B543" s="462" t="s">
        <v>2650</v>
      </c>
      <c r="C543" s="462"/>
      <c r="D543" s="463"/>
      <c r="E543" s="330" t="s">
        <v>14084</v>
      </c>
      <c r="F543" s="191">
        <v>41456</v>
      </c>
      <c r="G543" s="209"/>
      <c r="H543" s="192" t="s">
        <v>461</v>
      </c>
      <c r="I543" s="192"/>
      <c r="J543" s="903" t="s">
        <v>2755</v>
      </c>
      <c r="K543" s="159" t="s">
        <v>7378</v>
      </c>
      <c r="L543" s="159" t="s">
        <v>461</v>
      </c>
      <c r="M543" s="159" t="s">
        <v>9424</v>
      </c>
      <c r="N543" s="194"/>
      <c r="O543" s="159"/>
      <c r="P543" s="190" t="s">
        <v>461</v>
      </c>
      <c r="Q543" s="159" t="s">
        <v>9424</v>
      </c>
      <c r="R543" s="221" t="s">
        <v>14086</v>
      </c>
      <c r="S543" s="357" t="s">
        <v>2596</v>
      </c>
      <c r="T543" s="190"/>
      <c r="U543" s="190"/>
      <c r="V543" s="190"/>
      <c r="W543" s="330" t="s">
        <v>14084</v>
      </c>
      <c r="X543" s="649" t="s">
        <v>12316</v>
      </c>
      <c r="Y543" s="357"/>
      <c r="Z543" s="192"/>
      <c r="AA543" s="367"/>
      <c r="AB543" s="37">
        <f t="shared" ca="1" si="9"/>
        <v>0.82292431562848101</v>
      </c>
      <c r="AC543" s="816"/>
      <c r="AD543" s="817"/>
      <c r="AE543" s="955"/>
      <c r="AF543" s="924">
        <f>IF(X543=X542,AF542,0)+IF(ISNUMBER(I543),IF(I543&lt;1,I543,I543*VLOOKUP(J543,Summary!$H$2:$I$9,2)),VLOOKUP(J543,Summary!$J$2:$K$9,2)*IF(ISNUMBER(H543),H543,1))</f>
        <v>1.9024074074074075</v>
      </c>
      <c r="AG543" s="298">
        <v>542</v>
      </c>
      <c r="AH543" s="94"/>
      <c r="AI543" s="94"/>
    </row>
    <row r="544" spans="1:35" s="27" customFormat="1" ht="12" customHeight="1" x14ac:dyDescent="0.25">
      <c r="A544" s="446" t="s">
        <v>572</v>
      </c>
      <c r="B544" s="446">
        <v>2</v>
      </c>
      <c r="C544" s="446">
        <v>74</v>
      </c>
      <c r="D544" s="417" t="s">
        <v>5547</v>
      </c>
      <c r="E544" s="316" t="s">
        <v>5548</v>
      </c>
      <c r="F544" s="195">
        <v>38631</v>
      </c>
      <c r="G544" s="188"/>
      <c r="H544" s="188" t="s">
        <v>461</v>
      </c>
      <c r="I544" s="188">
        <v>285</v>
      </c>
      <c r="J544" s="902" t="s">
        <v>6868</v>
      </c>
      <c r="K544" s="162" t="s">
        <v>1088</v>
      </c>
      <c r="L544" s="162" t="s">
        <v>461</v>
      </c>
      <c r="M544" s="162"/>
      <c r="N544" s="162"/>
      <c r="O544" s="162"/>
      <c r="P544" s="178" t="s">
        <v>8997</v>
      </c>
      <c r="Q544" s="162" t="s">
        <v>3953</v>
      </c>
      <c r="R544" s="189" t="s">
        <v>2717</v>
      </c>
      <c r="S544" s="366"/>
      <c r="T544" s="178"/>
      <c r="U544" s="178"/>
      <c r="V544" s="178"/>
      <c r="W544" s="316" t="s">
        <v>5548</v>
      </c>
      <c r="X544" s="648" t="s">
        <v>12319</v>
      </c>
      <c r="Y544" s="356"/>
      <c r="Z544" s="272"/>
      <c r="AA544" s="272"/>
      <c r="AB544" s="34">
        <f t="shared" ca="1" si="9"/>
        <v>0.50187816245179606</v>
      </c>
      <c r="AC544" s="814"/>
      <c r="AD544" s="815" t="s">
        <v>16605</v>
      </c>
      <c r="AE544" s="942" t="s">
        <v>16603</v>
      </c>
      <c r="AF544" s="923">
        <f>IF(X544=X543,AF543,0)+IF(ISNUMBER(I544),IF(I544&lt;1,I544,I544*VLOOKUP(J544,Summary!$H$2:$I$9,2)),VLOOKUP(J544,Summary!$J$2:$K$9,2)*IF(ISNUMBER(H544),H544,1))</f>
        <v>0.19791666666666669</v>
      </c>
      <c r="AG544" s="291">
        <v>543</v>
      </c>
      <c r="AH544" s="119"/>
      <c r="AI544" s="119"/>
    </row>
    <row r="545" spans="1:35" s="22" customFormat="1" ht="12" customHeight="1" x14ac:dyDescent="0.25">
      <c r="A545" s="444" t="s">
        <v>572</v>
      </c>
      <c r="B545" s="444">
        <v>2</v>
      </c>
      <c r="C545" s="445">
        <v>23.16</v>
      </c>
      <c r="D545" s="176" t="s">
        <v>573</v>
      </c>
      <c r="E545" s="313" t="s">
        <v>574</v>
      </c>
      <c r="F545" s="174">
        <v>39234</v>
      </c>
      <c r="G545" s="174"/>
      <c r="H545" s="176">
        <v>1</v>
      </c>
      <c r="I545" s="176">
        <v>10</v>
      </c>
      <c r="J545" s="900" t="s">
        <v>2755</v>
      </c>
      <c r="K545" s="164" t="s">
        <v>5186</v>
      </c>
      <c r="L545" s="164" t="s">
        <v>461</v>
      </c>
      <c r="M545" s="164"/>
      <c r="N545" s="164" t="s">
        <v>804</v>
      </c>
      <c r="O545" s="164"/>
      <c r="P545" s="173" t="s">
        <v>6700</v>
      </c>
      <c r="Q545" s="164" t="s">
        <v>3947</v>
      </c>
      <c r="R545" s="177" t="s">
        <v>2723</v>
      </c>
      <c r="S545" s="354" t="s">
        <v>2596</v>
      </c>
      <c r="T545" s="173"/>
      <c r="U545" s="173"/>
      <c r="V545" s="173"/>
      <c r="W545" s="313" t="s">
        <v>574</v>
      </c>
      <c r="X545" s="645" t="s">
        <v>12319</v>
      </c>
      <c r="Y545" s="354"/>
      <c r="Z545" s="176"/>
      <c r="AA545" s="176"/>
      <c r="AB545" s="32">
        <f t="shared" ca="1" si="9"/>
        <v>0.84480574305193978</v>
      </c>
      <c r="AC545" s="812"/>
      <c r="AD545" s="763"/>
      <c r="AE545" s="807"/>
      <c r="AF545" s="921">
        <f>IF(X545=X544,AF544,0)+IF(ISNUMBER(I545),IF(I545&lt;1,I545,I545*VLOOKUP(J545,Summary!$H$2:$I$9,2)),VLOOKUP(J545,Summary!$J$2:$K$9,2)*IF(ISNUMBER(H545),H545,1))</f>
        <v>0.20486111111111113</v>
      </c>
      <c r="AG545" s="289">
        <v>544</v>
      </c>
      <c r="AH545" s="94"/>
      <c r="AI545" s="94"/>
    </row>
    <row r="546" spans="1:35" s="22" customFormat="1" ht="12" customHeight="1" x14ac:dyDescent="0.2">
      <c r="A546" s="451" t="s">
        <v>572</v>
      </c>
      <c r="B546" s="451">
        <v>2</v>
      </c>
      <c r="C546" s="452">
        <v>2.02</v>
      </c>
      <c r="D546" s="407" t="s">
        <v>642</v>
      </c>
      <c r="E546" s="315" t="s">
        <v>5549</v>
      </c>
      <c r="F546" s="169">
        <v>39387</v>
      </c>
      <c r="G546" s="170"/>
      <c r="H546" s="170">
        <v>2</v>
      </c>
      <c r="I546" s="746">
        <f>TIME(1,3,20)</f>
        <v>4.3981481481481483E-2</v>
      </c>
      <c r="J546" s="899" t="s">
        <v>4706</v>
      </c>
      <c r="K546" s="167" t="s">
        <v>542</v>
      </c>
      <c r="L546" s="167" t="s">
        <v>7757</v>
      </c>
      <c r="M546" s="167" t="s">
        <v>8026</v>
      </c>
      <c r="N546" s="167"/>
      <c r="O546" s="167"/>
      <c r="P546" s="168" t="s">
        <v>9161</v>
      </c>
      <c r="Q546" s="167" t="s">
        <v>3947</v>
      </c>
      <c r="R546" s="172" t="s">
        <v>3153</v>
      </c>
      <c r="S546" s="388" t="s">
        <v>2596</v>
      </c>
      <c r="T546" s="168"/>
      <c r="U546" s="168"/>
      <c r="V546" s="168"/>
      <c r="W546" s="312" t="s">
        <v>9570</v>
      </c>
      <c r="X546" s="644" t="s">
        <v>12319</v>
      </c>
      <c r="Y546" s="352" t="s">
        <v>4262</v>
      </c>
      <c r="Z546" s="353">
        <v>552</v>
      </c>
      <c r="AA546" s="353">
        <v>3.5</v>
      </c>
      <c r="AB546" s="31">
        <f t="shared" ca="1" si="9"/>
        <v>0.57980585618530001</v>
      </c>
      <c r="AC546" s="810"/>
      <c r="AD546" s="811" t="s">
        <v>16542</v>
      </c>
      <c r="AE546" s="940" t="s">
        <v>16389</v>
      </c>
      <c r="AF546" s="920">
        <f>IF(X546=X545,AF545,0)+IF(ISNUMBER(I546),IF(I546&lt;1,I546,I546*VLOOKUP(J546,Summary!$H$2:$I$9,2)),VLOOKUP(J546,Summary!$J$2:$K$9,2)*IF(ISNUMBER(H546),H546,1))</f>
        <v>0.24884259259259262</v>
      </c>
      <c r="AG546" s="287">
        <v>545</v>
      </c>
      <c r="AH546" s="94"/>
      <c r="AI546" s="94"/>
    </row>
    <row r="547" spans="1:35" s="22" customFormat="1" ht="12" customHeight="1" x14ac:dyDescent="0.25">
      <c r="A547" s="444" t="s">
        <v>572</v>
      </c>
      <c r="B547" s="444">
        <v>2</v>
      </c>
      <c r="C547" s="445">
        <v>1.02</v>
      </c>
      <c r="D547" s="176" t="s">
        <v>9238</v>
      </c>
      <c r="E547" s="313" t="s">
        <v>9239</v>
      </c>
      <c r="F547" s="175">
        <v>41328</v>
      </c>
      <c r="G547" s="174"/>
      <c r="H547" s="176">
        <v>1</v>
      </c>
      <c r="I547" s="176">
        <v>47</v>
      </c>
      <c r="J547" s="900" t="s">
        <v>2755</v>
      </c>
      <c r="K547" s="164" t="s">
        <v>9240</v>
      </c>
      <c r="L547" s="164" t="s">
        <v>461</v>
      </c>
      <c r="M547" s="164"/>
      <c r="N547" s="164"/>
      <c r="O547" s="164"/>
      <c r="P547" s="173" t="s">
        <v>9237</v>
      </c>
      <c r="Q547" s="164" t="s">
        <v>9235</v>
      </c>
      <c r="R547" s="177" t="s">
        <v>9236</v>
      </c>
      <c r="S547" s="354" t="s">
        <v>2596</v>
      </c>
      <c r="T547" s="173"/>
      <c r="U547" s="173"/>
      <c r="V547" s="173"/>
      <c r="W547" s="313" t="s">
        <v>9239</v>
      </c>
      <c r="X547" s="645" t="s">
        <v>12319</v>
      </c>
      <c r="Y547" s="354" t="s">
        <v>6868</v>
      </c>
      <c r="Z547" s="176"/>
      <c r="AA547" s="176"/>
      <c r="AB547" s="32">
        <f t="shared" ca="1" si="9"/>
        <v>0.26605948719646799</v>
      </c>
      <c r="AC547" s="812"/>
      <c r="AD547" s="763" t="s">
        <v>16910</v>
      </c>
      <c r="AE547" s="807"/>
      <c r="AF547" s="921">
        <f>IF(X547=X546,AF546,0)+IF(ISNUMBER(I547),IF(I547&lt;1,I547,I547*VLOOKUP(J547,Summary!$H$2:$I$9,2)),VLOOKUP(J547,Summary!$J$2:$K$9,2)*IF(ISNUMBER(H547),H547,1))</f>
        <v>0.2814814814814815</v>
      </c>
      <c r="AG547" s="289">
        <v>546</v>
      </c>
      <c r="AH547" s="94"/>
      <c r="AI547" s="94"/>
    </row>
    <row r="548" spans="1:35" s="2" customFormat="1" ht="12" customHeight="1" x14ac:dyDescent="0.25">
      <c r="A548" s="444" t="s">
        <v>572</v>
      </c>
      <c r="B548" s="444">
        <v>2</v>
      </c>
      <c r="C548" s="445">
        <v>24.03</v>
      </c>
      <c r="D548" s="176" t="s">
        <v>5187</v>
      </c>
      <c r="E548" s="313" t="s">
        <v>5188</v>
      </c>
      <c r="F548" s="174">
        <v>39264</v>
      </c>
      <c r="G548" s="174"/>
      <c r="H548" s="176">
        <v>1</v>
      </c>
      <c r="I548" s="176">
        <v>12</v>
      </c>
      <c r="J548" s="900" t="s">
        <v>2755</v>
      </c>
      <c r="K548" s="164" t="s">
        <v>7907</v>
      </c>
      <c r="L548" s="164" t="s">
        <v>461</v>
      </c>
      <c r="M548" s="164"/>
      <c r="N548" s="164" t="s">
        <v>4425</v>
      </c>
      <c r="O548" s="164"/>
      <c r="P548" s="173" t="s">
        <v>5601</v>
      </c>
      <c r="Q548" s="164" t="s">
        <v>3947</v>
      </c>
      <c r="R548" s="177" t="s">
        <v>2723</v>
      </c>
      <c r="S548" s="354" t="s">
        <v>2596</v>
      </c>
      <c r="T548" s="173"/>
      <c r="U548" s="173"/>
      <c r="V548" s="173"/>
      <c r="W548" s="313" t="s">
        <v>5188</v>
      </c>
      <c r="X548" s="645" t="s">
        <v>12319</v>
      </c>
      <c r="Y548" s="354"/>
      <c r="Z548" s="176"/>
      <c r="AA548" s="176"/>
      <c r="AB548" s="32">
        <f t="shared" ca="1" si="9"/>
        <v>0.99173486338476036</v>
      </c>
      <c r="AC548" s="812"/>
      <c r="AD548" s="763" t="s">
        <v>16911</v>
      </c>
      <c r="AE548" s="807"/>
      <c r="AF548" s="921">
        <f>IF(X548=X547,AF547,0)+IF(ISNUMBER(I548),IF(I548&lt;1,I548,I548*VLOOKUP(J548,Summary!$H$2:$I$9,2)),VLOOKUP(J548,Summary!$J$2:$K$9,2)*IF(ISNUMBER(H548),H548,1))</f>
        <v>0.28981481481481486</v>
      </c>
      <c r="AG548" s="289">
        <v>547</v>
      </c>
      <c r="AH548" s="94"/>
      <c r="AI548" s="94"/>
    </row>
    <row r="549" spans="1:35" s="1" customFormat="1" ht="12" customHeight="1" x14ac:dyDescent="0.25">
      <c r="A549" s="422" t="s">
        <v>572</v>
      </c>
      <c r="B549" s="422" t="s">
        <v>2650</v>
      </c>
      <c r="C549" s="422">
        <v>1.08</v>
      </c>
      <c r="D549" s="434" t="s">
        <v>3539</v>
      </c>
      <c r="E549" s="324" t="s">
        <v>1224</v>
      </c>
      <c r="F549" s="174">
        <v>35855</v>
      </c>
      <c r="G549" s="175"/>
      <c r="H549" s="176">
        <v>1</v>
      </c>
      <c r="I549" s="176">
        <v>6</v>
      </c>
      <c r="J549" s="900" t="s">
        <v>2755</v>
      </c>
      <c r="K549" s="157" t="s">
        <v>5525</v>
      </c>
      <c r="L549" s="157" t="s">
        <v>461</v>
      </c>
      <c r="M549" s="157"/>
      <c r="N549" s="164" t="s">
        <v>6237</v>
      </c>
      <c r="O549" s="157"/>
      <c r="P549" s="173" t="s">
        <v>5042</v>
      </c>
      <c r="Q549" s="157" t="s">
        <v>3953</v>
      </c>
      <c r="R549" s="179" t="s">
        <v>2723</v>
      </c>
      <c r="S549" s="354"/>
      <c r="T549" s="173" t="s">
        <v>2331</v>
      </c>
      <c r="U549" s="173" t="s">
        <v>2605</v>
      </c>
      <c r="V549" s="173"/>
      <c r="W549" s="324" t="s">
        <v>1224</v>
      </c>
      <c r="X549" s="656" t="s">
        <v>12319</v>
      </c>
      <c r="Y549" s="354" t="s">
        <v>6868</v>
      </c>
      <c r="Z549" s="176">
        <v>999</v>
      </c>
      <c r="AA549" s="364"/>
      <c r="AB549" s="32">
        <f t="shared" ca="1" si="9"/>
        <v>1.4456443055209545E-2</v>
      </c>
      <c r="AC549" s="812"/>
      <c r="AD549" s="763" t="s">
        <v>16912</v>
      </c>
      <c r="AE549" s="951"/>
      <c r="AF549" s="921">
        <f>IF(X549=X548,AF548,0)+IF(ISNUMBER(I549),IF(I549&lt;1,I549,I549*VLOOKUP(J549,Summary!$H$2:$I$9,2)),VLOOKUP(J549,Summary!$J$2:$K$9,2)*IF(ISNUMBER(H549),H549,1))</f>
        <v>0.29398148148148151</v>
      </c>
      <c r="AG549" s="288">
        <v>548</v>
      </c>
      <c r="AH549" s="94"/>
      <c r="AI549" s="94"/>
    </row>
    <row r="550" spans="1:35" s="2" customFormat="1" ht="12" customHeight="1" x14ac:dyDescent="0.25">
      <c r="A550" s="422" t="s">
        <v>572</v>
      </c>
      <c r="B550" s="422" t="s">
        <v>2650</v>
      </c>
      <c r="C550" s="422">
        <v>5.1100000000000003</v>
      </c>
      <c r="D550" s="434" t="s">
        <v>6886</v>
      </c>
      <c r="E550" s="324" t="s">
        <v>6893</v>
      </c>
      <c r="F550" s="174">
        <v>37681</v>
      </c>
      <c r="G550" s="174"/>
      <c r="H550" s="176">
        <v>1</v>
      </c>
      <c r="I550" s="176">
        <v>6</v>
      </c>
      <c r="J550" s="900" t="s">
        <v>2755</v>
      </c>
      <c r="K550" s="164" t="s">
        <v>5664</v>
      </c>
      <c r="L550" s="164" t="s">
        <v>461</v>
      </c>
      <c r="M550" s="164"/>
      <c r="N550" s="164" t="s">
        <v>4552</v>
      </c>
      <c r="O550" s="164"/>
      <c r="P550" s="173" t="s">
        <v>6556</v>
      </c>
      <c r="Q550" s="164" t="s">
        <v>3947</v>
      </c>
      <c r="R550" s="177" t="s">
        <v>2723</v>
      </c>
      <c r="S550" s="354"/>
      <c r="T550" s="173"/>
      <c r="U550" s="173" t="s">
        <v>2605</v>
      </c>
      <c r="V550" s="173"/>
      <c r="W550" s="324" t="s">
        <v>6893</v>
      </c>
      <c r="X550" s="656" t="s">
        <v>12319</v>
      </c>
      <c r="Y550" s="354"/>
      <c r="Z550" s="176"/>
      <c r="AA550" s="176"/>
      <c r="AB550" s="32">
        <f t="shared" ca="1" si="9"/>
        <v>0.82601680017315837</v>
      </c>
      <c r="AC550" s="812"/>
      <c r="AD550" s="763"/>
      <c r="AE550" s="951"/>
      <c r="AF550" s="921">
        <f>IF(X550=X549,AF549,0)+IF(ISNUMBER(I550),IF(I550&lt;1,I550,I550*VLOOKUP(J550,Summary!$H$2:$I$9,2)),VLOOKUP(J550,Summary!$J$2:$K$9,2)*IF(ISNUMBER(H550),H550,1))</f>
        <v>0.29814814814814816</v>
      </c>
      <c r="AG550" s="288">
        <v>549</v>
      </c>
      <c r="AH550" s="94"/>
      <c r="AI550" s="94"/>
    </row>
    <row r="551" spans="1:35" s="2" customFormat="1" ht="12" customHeight="1" x14ac:dyDescent="0.25">
      <c r="A551" s="422" t="s">
        <v>572</v>
      </c>
      <c r="B551" s="422" t="s">
        <v>2650</v>
      </c>
      <c r="C551" s="422">
        <v>25.06</v>
      </c>
      <c r="D551" s="176" t="s">
        <v>3006</v>
      </c>
      <c r="E551" s="313" t="s">
        <v>3007</v>
      </c>
      <c r="F551" s="174">
        <v>39417</v>
      </c>
      <c r="G551" s="174"/>
      <c r="H551" s="176">
        <v>1</v>
      </c>
      <c r="I551" s="176">
        <v>15</v>
      </c>
      <c r="J551" s="900" t="s">
        <v>2755</v>
      </c>
      <c r="K551" s="164" t="s">
        <v>7375</v>
      </c>
      <c r="L551" s="164" t="s">
        <v>461</v>
      </c>
      <c r="M551" s="164"/>
      <c r="N551" s="164" t="s">
        <v>5146</v>
      </c>
      <c r="O551" s="164"/>
      <c r="P551" s="173" t="s">
        <v>6701</v>
      </c>
      <c r="Q551" s="164" t="s">
        <v>3947</v>
      </c>
      <c r="R551" s="177" t="s">
        <v>2723</v>
      </c>
      <c r="S551" s="354"/>
      <c r="T551" s="173" t="s">
        <v>2331</v>
      </c>
      <c r="U551" s="173" t="s">
        <v>2605</v>
      </c>
      <c r="V551" s="173"/>
      <c r="W551" s="313" t="s">
        <v>3007</v>
      </c>
      <c r="X551" s="645" t="s">
        <v>12319</v>
      </c>
      <c r="Y551" s="354"/>
      <c r="Z551" s="176"/>
      <c r="AA551" s="176"/>
      <c r="AB551" s="32">
        <f t="shared" ca="1" si="9"/>
        <v>0.92065257428705349</v>
      </c>
      <c r="AC551" s="812"/>
      <c r="AD551" s="763"/>
      <c r="AE551" s="807"/>
      <c r="AF551" s="921">
        <f>IF(X551=X550,AF550,0)+IF(ISNUMBER(I551),IF(I551&lt;1,I551,I551*VLOOKUP(J551,Summary!$H$2:$I$9,2)),VLOOKUP(J551,Summary!$J$2:$K$9,2)*IF(ISNUMBER(H551),H551,1))</f>
        <v>0.30856481481481485</v>
      </c>
      <c r="AG551" s="289">
        <v>550</v>
      </c>
      <c r="AH551" s="94"/>
      <c r="AI551" s="94"/>
    </row>
    <row r="552" spans="1:35" s="2" customFormat="1" ht="12" customHeight="1" x14ac:dyDescent="0.25">
      <c r="A552" s="444" t="s">
        <v>572</v>
      </c>
      <c r="B552" s="444">
        <v>2</v>
      </c>
      <c r="C552" s="445">
        <v>9.17</v>
      </c>
      <c r="D552" s="176" t="s">
        <v>5189</v>
      </c>
      <c r="E552" s="313" t="s">
        <v>5190</v>
      </c>
      <c r="F552" s="174">
        <v>38047</v>
      </c>
      <c r="G552" s="174"/>
      <c r="H552" s="176">
        <v>1</v>
      </c>
      <c r="I552" s="176">
        <v>18</v>
      </c>
      <c r="J552" s="900" t="s">
        <v>2755</v>
      </c>
      <c r="K552" s="164" t="s">
        <v>4425</v>
      </c>
      <c r="L552" s="164" t="s">
        <v>461</v>
      </c>
      <c r="M552" s="164"/>
      <c r="N552" s="164" t="s">
        <v>7381</v>
      </c>
      <c r="O552" s="164"/>
      <c r="P552" s="173" t="s">
        <v>3431</v>
      </c>
      <c r="Q552" s="164" t="s">
        <v>3947</v>
      </c>
      <c r="R552" s="177" t="s">
        <v>2723</v>
      </c>
      <c r="S552" s="354" t="s">
        <v>2605</v>
      </c>
      <c r="T552" s="173"/>
      <c r="U552" s="173"/>
      <c r="V552" s="173"/>
      <c r="W552" s="313" t="s">
        <v>5190</v>
      </c>
      <c r="X552" s="645" t="s">
        <v>12319</v>
      </c>
      <c r="Y552" s="354"/>
      <c r="Z552" s="176">
        <v>999</v>
      </c>
      <c r="AA552" s="176"/>
      <c r="AB552" s="32">
        <f t="shared" ca="1" si="9"/>
        <v>0.4176726475682232</v>
      </c>
      <c r="AC552" s="812"/>
      <c r="AD552" s="763" t="s">
        <v>16913</v>
      </c>
      <c r="AE552" s="807"/>
      <c r="AF552" s="921">
        <f>IF(X552=X551,AF551,0)+IF(ISNUMBER(I552),IF(I552&lt;1,I552,I552*VLOOKUP(J552,Summary!$H$2:$I$9,2)),VLOOKUP(J552,Summary!$J$2:$K$9,2)*IF(ISNUMBER(H552),H552,1))</f>
        <v>0.32106481481481486</v>
      </c>
      <c r="AG552" s="289">
        <v>551</v>
      </c>
      <c r="AH552" s="94"/>
      <c r="AI552" s="94"/>
    </row>
    <row r="553" spans="1:35" s="22" customFormat="1" ht="12" customHeight="1" x14ac:dyDescent="0.25">
      <c r="A553" s="444" t="s">
        <v>572</v>
      </c>
      <c r="B553" s="444">
        <v>2</v>
      </c>
      <c r="C553" s="444">
        <v>36</v>
      </c>
      <c r="D553" s="176" t="s">
        <v>886</v>
      </c>
      <c r="E553" s="313" t="s">
        <v>821</v>
      </c>
      <c r="F553" s="174">
        <v>36465</v>
      </c>
      <c r="G553" s="175"/>
      <c r="H553" s="176" t="s">
        <v>461</v>
      </c>
      <c r="I553" s="176"/>
      <c r="J553" s="900" t="s">
        <v>2755</v>
      </c>
      <c r="K553" s="164" t="s">
        <v>822</v>
      </c>
      <c r="L553" s="164"/>
      <c r="M553" s="164"/>
      <c r="N553" s="164" t="s">
        <v>819</v>
      </c>
      <c r="O553" s="164"/>
      <c r="P553" s="178" t="s">
        <v>461</v>
      </c>
      <c r="Q553" s="164" t="s">
        <v>820</v>
      </c>
      <c r="R553" s="177" t="s">
        <v>895</v>
      </c>
      <c r="S553" s="354"/>
      <c r="T553" s="173"/>
      <c r="U553" s="173"/>
      <c r="V553" s="173"/>
      <c r="W553" s="313" t="s">
        <v>821</v>
      </c>
      <c r="X553" s="645" t="s">
        <v>12319</v>
      </c>
      <c r="Y553" s="354"/>
      <c r="Z553" s="176"/>
      <c r="AA553" s="176"/>
      <c r="AB553" s="32">
        <f t="shared" ca="1" si="9"/>
        <v>0.54727875966968931</v>
      </c>
      <c r="AC553" s="812"/>
      <c r="AD553" s="763"/>
      <c r="AE553" s="807"/>
      <c r="AF553" s="921">
        <f>IF(X553=X552,AF552,0)+IF(ISNUMBER(I553),IF(I553&lt;1,I553,I553*VLOOKUP(J553,Summary!$H$2:$I$9,2)),VLOOKUP(J553,Summary!$J$2:$K$9,2)*IF(ISNUMBER(H553),H553,1))</f>
        <v>0.33842592592592596</v>
      </c>
      <c r="AG553" s="289">
        <v>552</v>
      </c>
      <c r="AH553" s="94"/>
      <c r="AI553" s="94"/>
    </row>
    <row r="554" spans="1:35" s="2" customFormat="1" ht="12" customHeight="1" x14ac:dyDescent="0.25">
      <c r="A554" s="444" t="s">
        <v>572</v>
      </c>
      <c r="B554" s="444">
        <v>2</v>
      </c>
      <c r="C554" s="445">
        <v>11.15</v>
      </c>
      <c r="D554" s="176" t="s">
        <v>5015</v>
      </c>
      <c r="E554" s="313" t="s">
        <v>5957</v>
      </c>
      <c r="F554" s="174">
        <v>38200</v>
      </c>
      <c r="G554" s="174"/>
      <c r="H554" s="176">
        <v>1</v>
      </c>
      <c r="I554" s="176">
        <v>10</v>
      </c>
      <c r="J554" s="900" t="s">
        <v>2755</v>
      </c>
      <c r="K554" s="164" t="s">
        <v>1936</v>
      </c>
      <c r="L554" s="164" t="s">
        <v>461</v>
      </c>
      <c r="M554" s="164"/>
      <c r="N554" s="164" t="s">
        <v>7375</v>
      </c>
      <c r="O554" s="164"/>
      <c r="P554" s="173" t="s">
        <v>2559</v>
      </c>
      <c r="Q554" s="164" t="s">
        <v>3947</v>
      </c>
      <c r="R554" s="177" t="s">
        <v>2723</v>
      </c>
      <c r="S554" s="354"/>
      <c r="T554" s="173"/>
      <c r="U554" s="173"/>
      <c r="V554" s="173"/>
      <c r="W554" s="313" t="s">
        <v>5957</v>
      </c>
      <c r="X554" s="645" t="s">
        <v>12319</v>
      </c>
      <c r="Y554" s="354"/>
      <c r="Z554" s="176">
        <v>999</v>
      </c>
      <c r="AA554" s="176"/>
      <c r="AB554" s="32">
        <f t="shared" ca="1" si="9"/>
        <v>0.27904941204344769</v>
      </c>
      <c r="AC554" s="812"/>
      <c r="AD554" s="763"/>
      <c r="AE554" s="807"/>
      <c r="AF554" s="921">
        <f>IF(X554=X553,AF553,0)+IF(ISNUMBER(I554),IF(I554&lt;1,I554,I554*VLOOKUP(J554,Summary!$H$2:$I$9,2)),VLOOKUP(J554,Summary!$J$2:$K$9,2)*IF(ISNUMBER(H554),H554,1))</f>
        <v>0.34537037037037038</v>
      </c>
      <c r="AG554" s="289">
        <v>553</v>
      </c>
      <c r="AH554" s="94"/>
      <c r="AI554" s="94"/>
    </row>
    <row r="555" spans="1:35" s="22" customFormat="1" ht="12" customHeight="1" x14ac:dyDescent="0.25">
      <c r="A555" s="444" t="s">
        <v>572</v>
      </c>
      <c r="B555" s="444">
        <v>2</v>
      </c>
      <c r="C555" s="445">
        <v>29.25</v>
      </c>
      <c r="D555" s="176" t="s">
        <v>5355</v>
      </c>
      <c r="E555" s="313" t="s">
        <v>7449</v>
      </c>
      <c r="F555" s="174">
        <v>39692</v>
      </c>
      <c r="G555" s="174"/>
      <c r="H555" s="176" t="s">
        <v>461</v>
      </c>
      <c r="I555" s="176">
        <v>7</v>
      </c>
      <c r="J555" s="900" t="s">
        <v>2755</v>
      </c>
      <c r="K555" s="164" t="s">
        <v>7450</v>
      </c>
      <c r="L555" s="164" t="s">
        <v>461</v>
      </c>
      <c r="M555" s="164"/>
      <c r="N555" s="164" t="s">
        <v>5664</v>
      </c>
      <c r="O555" s="164"/>
      <c r="P555" s="173" t="s">
        <v>6707</v>
      </c>
      <c r="Q555" s="164" t="s">
        <v>3947</v>
      </c>
      <c r="R555" s="177" t="s">
        <v>2723</v>
      </c>
      <c r="S555" s="354"/>
      <c r="T555" s="173"/>
      <c r="U555" s="173"/>
      <c r="V555" s="173"/>
      <c r="W555" s="313" t="s">
        <v>7449</v>
      </c>
      <c r="X555" s="645" t="s">
        <v>12319</v>
      </c>
      <c r="Y555" s="354"/>
      <c r="Z555" s="176"/>
      <c r="AA555" s="176"/>
      <c r="AB555" s="32">
        <f t="shared" ca="1" si="9"/>
        <v>0.93145373231969975</v>
      </c>
      <c r="AC555" s="812"/>
      <c r="AD555" s="763"/>
      <c r="AE555" s="807"/>
      <c r="AF555" s="921">
        <f>IF(X555=X554,AF554,0)+IF(ISNUMBER(I555),IF(I555&lt;1,I555,I555*VLOOKUP(J555,Summary!$H$2:$I$9,2)),VLOOKUP(J555,Summary!$J$2:$K$9,2)*IF(ISNUMBER(H555),H555,1))</f>
        <v>0.35023148148148148</v>
      </c>
      <c r="AG555" s="289">
        <v>554</v>
      </c>
      <c r="AH555" s="94"/>
      <c r="AI555" s="94"/>
    </row>
    <row r="556" spans="1:35" s="29" customFormat="1" ht="12" customHeight="1" x14ac:dyDescent="0.25">
      <c r="A556" s="444" t="s">
        <v>572</v>
      </c>
      <c r="B556" s="444">
        <v>2</v>
      </c>
      <c r="C556" s="445">
        <v>1.02</v>
      </c>
      <c r="D556" s="192" t="s">
        <v>6931</v>
      </c>
      <c r="E556" s="317" t="s">
        <v>6932</v>
      </c>
      <c r="F556" s="191">
        <v>40483</v>
      </c>
      <c r="G556" s="191"/>
      <c r="H556" s="192">
        <v>1</v>
      </c>
      <c r="I556" s="753">
        <f>TIME(0,14,30)</f>
        <v>1.0069444444444445E-2</v>
      </c>
      <c r="J556" s="903" t="s">
        <v>2755</v>
      </c>
      <c r="K556" s="194" t="s">
        <v>7442</v>
      </c>
      <c r="L556" s="194" t="s">
        <v>3426</v>
      </c>
      <c r="M556" s="194" t="s">
        <v>7443</v>
      </c>
      <c r="N556" s="194"/>
      <c r="O556" s="194"/>
      <c r="P556" s="190" t="s">
        <v>5599</v>
      </c>
      <c r="Q556" s="194" t="s">
        <v>3947</v>
      </c>
      <c r="R556" s="193" t="s">
        <v>2722</v>
      </c>
      <c r="S556" s="357"/>
      <c r="T556" s="190" t="s">
        <v>2598</v>
      </c>
      <c r="U556" s="190"/>
      <c r="V556" s="190"/>
      <c r="W556" s="317" t="s">
        <v>6932</v>
      </c>
      <c r="X556" s="649" t="s">
        <v>12319</v>
      </c>
      <c r="Y556" s="357" t="s">
        <v>5643</v>
      </c>
      <c r="Z556" s="192">
        <v>999</v>
      </c>
      <c r="AA556" s="192"/>
      <c r="AB556" s="37">
        <f t="shared" ca="1" si="9"/>
        <v>0.27643085887587526</v>
      </c>
      <c r="AC556" s="816"/>
      <c r="AD556" s="817"/>
      <c r="AE556" s="943"/>
      <c r="AF556" s="924">
        <f>IF(X556=X555,AF555,0)+IF(ISNUMBER(I556),IF(I556&lt;1,I556,I556*VLOOKUP(J556,Summary!$H$2:$I$9,2)),VLOOKUP(J556,Summary!$J$2:$K$9,2)*IF(ISNUMBER(H556),H556,1))</f>
        <v>0.36030092592592594</v>
      </c>
      <c r="AG556" s="292">
        <v>555</v>
      </c>
      <c r="AH556" s="94"/>
      <c r="AI556" s="94"/>
    </row>
    <row r="557" spans="1:35" s="22" customFormat="1" ht="12" customHeight="1" x14ac:dyDescent="0.25">
      <c r="A557" s="444" t="s">
        <v>572</v>
      </c>
      <c r="B557" s="444">
        <v>2</v>
      </c>
      <c r="C557" s="445">
        <v>28.07</v>
      </c>
      <c r="D557" s="176" t="s">
        <v>5961</v>
      </c>
      <c r="E557" s="313" t="s">
        <v>5962</v>
      </c>
      <c r="F557" s="174">
        <v>39630</v>
      </c>
      <c r="G557" s="174"/>
      <c r="H557" s="176" t="s">
        <v>461</v>
      </c>
      <c r="I557" s="176">
        <v>20</v>
      </c>
      <c r="J557" s="900" t="s">
        <v>2755</v>
      </c>
      <c r="K557" s="164" t="s">
        <v>5963</v>
      </c>
      <c r="L557" s="164" t="s">
        <v>461</v>
      </c>
      <c r="M557" s="164"/>
      <c r="N557" s="164" t="s">
        <v>185</v>
      </c>
      <c r="O557" s="164"/>
      <c r="P557" s="173" t="s">
        <v>6704</v>
      </c>
      <c r="Q557" s="164" t="s">
        <v>3947</v>
      </c>
      <c r="R557" s="177" t="s">
        <v>2723</v>
      </c>
      <c r="S557" s="354"/>
      <c r="T557" s="173"/>
      <c r="U557" s="173"/>
      <c r="V557" s="173"/>
      <c r="W557" s="313" t="s">
        <v>5962</v>
      </c>
      <c r="X557" s="645" t="s">
        <v>12319</v>
      </c>
      <c r="Y557" s="354"/>
      <c r="Z557" s="176"/>
      <c r="AA557" s="176"/>
      <c r="AB557" s="32">
        <f t="shared" ca="1" si="9"/>
        <v>0.79498171480352942</v>
      </c>
      <c r="AC557" s="812"/>
      <c r="AD557" s="763" t="s">
        <v>16914</v>
      </c>
      <c r="AE557" s="807"/>
      <c r="AF557" s="921">
        <f>IF(X557=X556,AF556,0)+IF(ISNUMBER(I557),IF(I557&lt;1,I557,I557*VLOOKUP(J557,Summary!$H$2:$I$9,2)),VLOOKUP(J557,Summary!$J$2:$K$9,2)*IF(ISNUMBER(H557),H557,1))</f>
        <v>0.37418981481481484</v>
      </c>
      <c r="AG557" s="289">
        <v>556</v>
      </c>
      <c r="AH557" s="94"/>
      <c r="AI557" s="94"/>
    </row>
    <row r="558" spans="1:35" s="22" customFormat="1" ht="12" customHeight="1" x14ac:dyDescent="0.25">
      <c r="A558" s="444" t="s">
        <v>572</v>
      </c>
      <c r="B558" s="444">
        <v>2</v>
      </c>
      <c r="C558" s="445">
        <v>0.18</v>
      </c>
      <c r="D558" s="192" t="s">
        <v>13133</v>
      </c>
      <c r="E558" s="317" t="s">
        <v>9285</v>
      </c>
      <c r="F558" s="191">
        <v>41974</v>
      </c>
      <c r="G558" s="191"/>
      <c r="H558" s="192" t="s">
        <v>461</v>
      </c>
      <c r="I558" s="753"/>
      <c r="J558" s="903" t="s">
        <v>2755</v>
      </c>
      <c r="K558" s="194" t="s">
        <v>9286</v>
      </c>
      <c r="L558" s="194" t="s">
        <v>3365</v>
      </c>
      <c r="M558" s="194" t="s">
        <v>9287</v>
      </c>
      <c r="N558" s="194"/>
      <c r="O558" s="194"/>
      <c r="P558" s="190" t="s">
        <v>461</v>
      </c>
      <c r="Q558" s="194" t="s">
        <v>3947</v>
      </c>
      <c r="R558" s="193" t="s">
        <v>2722</v>
      </c>
      <c r="S558" s="357"/>
      <c r="T558" s="190"/>
      <c r="U558" s="190"/>
      <c r="V558" s="190"/>
      <c r="W558" s="317" t="s">
        <v>9285</v>
      </c>
      <c r="X558" s="649" t="s">
        <v>12319</v>
      </c>
      <c r="Y558" s="357"/>
      <c r="Z558" s="176"/>
      <c r="AA558" s="192"/>
      <c r="AB558" s="37">
        <f t="shared" ca="1" si="9"/>
        <v>0.56911754460302699</v>
      </c>
      <c r="AC558" s="816"/>
      <c r="AD558" s="817"/>
      <c r="AE558" s="943"/>
      <c r="AF558" s="924">
        <f>IF(X558=X557,AF557,0)+IF(ISNUMBER(I558),IF(I558&lt;1,I558,I558*VLOOKUP(J558,Summary!$H$2:$I$9,2)),VLOOKUP(J558,Summary!$J$2:$K$9,2)*IF(ISNUMBER(H558),H558,1))</f>
        <v>0.39155092592592594</v>
      </c>
      <c r="AG558" s="292">
        <v>557</v>
      </c>
      <c r="AH558" s="94"/>
      <c r="AI558" s="94"/>
    </row>
    <row r="559" spans="1:35" s="22" customFormat="1" ht="12" customHeight="1" x14ac:dyDescent="0.2">
      <c r="A559" s="447" t="s">
        <v>572</v>
      </c>
      <c r="B559" s="447">
        <v>2</v>
      </c>
      <c r="C559" s="447">
        <v>32</v>
      </c>
      <c r="D559" s="185" t="s">
        <v>7559</v>
      </c>
      <c r="E559" s="314" t="s">
        <v>7558</v>
      </c>
      <c r="F559" s="184">
        <v>24465</v>
      </c>
      <c r="G559" s="184">
        <v>24486</v>
      </c>
      <c r="H559" s="185">
        <v>4</v>
      </c>
      <c r="I559" s="185">
        <v>8</v>
      </c>
      <c r="J559" s="901" t="s">
        <v>1796</v>
      </c>
      <c r="K559" s="163" t="s">
        <v>6642</v>
      </c>
      <c r="L559" s="163" t="s">
        <v>5174</v>
      </c>
      <c r="M559" s="163"/>
      <c r="N559" s="163"/>
      <c r="O559" s="163"/>
      <c r="P559" s="182" t="s">
        <v>461</v>
      </c>
      <c r="Q559" s="163" t="s">
        <v>1797</v>
      </c>
      <c r="R559" s="186" t="s">
        <v>4601</v>
      </c>
      <c r="S559" s="355"/>
      <c r="T559" s="182" t="s">
        <v>2751</v>
      </c>
      <c r="U559" s="182" t="s">
        <v>2752</v>
      </c>
      <c r="V559" s="182"/>
      <c r="W559" s="328"/>
      <c r="X559" s="660" t="s">
        <v>12319</v>
      </c>
      <c r="Y559" s="355"/>
      <c r="Z559" s="185"/>
      <c r="AA559" s="185"/>
      <c r="AB559" s="33">
        <f t="shared" ca="1" si="9"/>
        <v>0.424620199637056</v>
      </c>
      <c r="AC559" s="813"/>
      <c r="AD559" s="211"/>
      <c r="AE559" s="941"/>
      <c r="AF559" s="922">
        <f>IF(X559=X558,AF558,0)+IF(ISNUMBER(I559),IF(I559&lt;1,I559,I559*VLOOKUP(J559,Summary!$H$2:$I$9,2)),VLOOKUP(J559,Summary!$J$2:$K$9,2)*IF(ISNUMBER(H559),H559,1))</f>
        <v>0.39432870370370371</v>
      </c>
      <c r="AG559" s="290">
        <v>558</v>
      </c>
      <c r="AH559" s="94"/>
      <c r="AI559" s="94"/>
    </row>
    <row r="560" spans="1:35" s="22" customFormat="1" ht="12" customHeight="1" x14ac:dyDescent="0.2">
      <c r="A560" s="447" t="s">
        <v>572</v>
      </c>
      <c r="B560" s="447">
        <v>2</v>
      </c>
      <c r="C560" s="447">
        <v>33</v>
      </c>
      <c r="D560" s="185" t="s">
        <v>7561</v>
      </c>
      <c r="E560" s="314" t="s">
        <v>7560</v>
      </c>
      <c r="F560" s="184">
        <v>24493</v>
      </c>
      <c r="G560" s="184">
        <v>24514</v>
      </c>
      <c r="H560" s="185">
        <v>4</v>
      </c>
      <c r="I560" s="185">
        <v>12</v>
      </c>
      <c r="J560" s="901" t="s">
        <v>1796</v>
      </c>
      <c r="K560" s="163" t="s">
        <v>6642</v>
      </c>
      <c r="L560" s="163" t="s">
        <v>5174</v>
      </c>
      <c r="M560" s="163"/>
      <c r="N560" s="163"/>
      <c r="O560" s="163"/>
      <c r="P560" s="182" t="s">
        <v>461</v>
      </c>
      <c r="Q560" s="163" t="s">
        <v>1797</v>
      </c>
      <c r="R560" s="186" t="s">
        <v>4601</v>
      </c>
      <c r="S560" s="355"/>
      <c r="T560" s="182" t="s">
        <v>2751</v>
      </c>
      <c r="U560" s="182" t="s">
        <v>2752</v>
      </c>
      <c r="V560" s="182"/>
      <c r="W560" s="328"/>
      <c r="X560" s="660" t="s">
        <v>12319</v>
      </c>
      <c r="Y560" s="355"/>
      <c r="Z560" s="185"/>
      <c r="AA560" s="185"/>
      <c r="AB560" s="33">
        <f t="shared" ca="1" si="9"/>
        <v>8.8935142227745345E-2</v>
      </c>
      <c r="AC560" s="813"/>
      <c r="AD560" s="211"/>
      <c r="AE560" s="875"/>
      <c r="AF560" s="922">
        <f>IF(X560=X559,AF559,0)+IF(ISNUMBER(I560),IF(I560&lt;1,I560,I560*VLOOKUP(J560,Summary!$H$2:$I$9,2)),VLOOKUP(J560,Summary!$J$2:$K$9,2)*IF(ISNUMBER(H560),H560,1))</f>
        <v>0.39849537037037036</v>
      </c>
      <c r="AG560" s="290">
        <v>559</v>
      </c>
      <c r="AH560" s="94"/>
      <c r="AI560" s="94"/>
    </row>
    <row r="561" spans="1:35" s="3" customFormat="1" ht="12" customHeight="1" x14ac:dyDescent="0.25">
      <c r="A561" s="447" t="s">
        <v>572</v>
      </c>
      <c r="B561" s="447">
        <v>2</v>
      </c>
      <c r="C561" s="447">
        <v>34</v>
      </c>
      <c r="D561" s="185" t="s">
        <v>5130</v>
      </c>
      <c r="E561" s="314" t="s">
        <v>5129</v>
      </c>
      <c r="F561" s="184">
        <v>24521</v>
      </c>
      <c r="G561" s="184">
        <v>24542</v>
      </c>
      <c r="H561" s="185">
        <v>4</v>
      </c>
      <c r="I561" s="185">
        <v>12</v>
      </c>
      <c r="J561" s="901" t="s">
        <v>1796</v>
      </c>
      <c r="K561" s="163" t="s">
        <v>6642</v>
      </c>
      <c r="L561" s="163" t="s">
        <v>5174</v>
      </c>
      <c r="M561" s="163"/>
      <c r="N561" s="163"/>
      <c r="O561" s="163"/>
      <c r="P561" s="182" t="s">
        <v>461</v>
      </c>
      <c r="Q561" s="163" t="s">
        <v>1797</v>
      </c>
      <c r="R561" s="186" t="s">
        <v>4601</v>
      </c>
      <c r="S561" s="355"/>
      <c r="T561" s="182" t="s">
        <v>2751</v>
      </c>
      <c r="U561" s="182" t="s">
        <v>2752</v>
      </c>
      <c r="V561" s="182"/>
      <c r="W561" s="328"/>
      <c r="X561" s="660" t="s">
        <v>12319</v>
      </c>
      <c r="Y561" s="355"/>
      <c r="Z561" s="185"/>
      <c r="AA561" s="185"/>
      <c r="AB561" s="33">
        <f t="shared" ca="1" si="9"/>
        <v>0.52716828024271944</v>
      </c>
      <c r="AC561" s="813"/>
      <c r="AD561" s="211"/>
      <c r="AE561" s="875"/>
      <c r="AF561" s="922">
        <f>IF(X561=X560,AF560,0)+IF(ISNUMBER(I561),IF(I561&lt;1,I561,I561*VLOOKUP(J561,Summary!$H$2:$I$9,2)),VLOOKUP(J561,Summary!$J$2:$K$9,2)*IF(ISNUMBER(H561),H561,1))</f>
        <v>0.40266203703703701</v>
      </c>
      <c r="AG561" s="290">
        <v>560</v>
      </c>
      <c r="AH561" s="94"/>
      <c r="AI561" s="94"/>
    </row>
    <row r="562" spans="1:35" s="43" customFormat="1" ht="12" customHeight="1" x14ac:dyDescent="0.25">
      <c r="A562" s="447" t="s">
        <v>572</v>
      </c>
      <c r="B562" s="447">
        <v>2</v>
      </c>
      <c r="C562" s="447">
        <v>35</v>
      </c>
      <c r="D562" s="185" t="s">
        <v>5132</v>
      </c>
      <c r="E562" s="314" t="s">
        <v>5131</v>
      </c>
      <c r="F562" s="184">
        <v>24549</v>
      </c>
      <c r="G562" s="184">
        <v>24563</v>
      </c>
      <c r="H562" s="185">
        <v>3</v>
      </c>
      <c r="I562" s="185">
        <v>9</v>
      </c>
      <c r="J562" s="901" t="s">
        <v>1796</v>
      </c>
      <c r="K562" s="163" t="s">
        <v>6642</v>
      </c>
      <c r="L562" s="163" t="s">
        <v>5174</v>
      </c>
      <c r="M562" s="163"/>
      <c r="N562" s="163"/>
      <c r="O562" s="163"/>
      <c r="P562" s="182" t="s">
        <v>461</v>
      </c>
      <c r="Q562" s="163" t="s">
        <v>1797</v>
      </c>
      <c r="R562" s="186" t="s">
        <v>4601</v>
      </c>
      <c r="S562" s="355"/>
      <c r="T562" s="182" t="s">
        <v>2751</v>
      </c>
      <c r="U562" s="182" t="s">
        <v>2752</v>
      </c>
      <c r="V562" s="182"/>
      <c r="W562" s="328"/>
      <c r="X562" s="660" t="s">
        <v>12319</v>
      </c>
      <c r="Y562" s="355"/>
      <c r="Z562" s="185"/>
      <c r="AA562" s="185"/>
      <c r="AB562" s="33">
        <f t="shared" ca="1" si="9"/>
        <v>0.24206611283151669</v>
      </c>
      <c r="AC562" s="813"/>
      <c r="AD562" s="211"/>
      <c r="AE562" s="875"/>
      <c r="AF562" s="922">
        <f>IF(X562=X561,AF561,0)+IF(ISNUMBER(I562),IF(I562&lt;1,I562,I562*VLOOKUP(J562,Summary!$H$2:$I$9,2)),VLOOKUP(J562,Summary!$J$2:$K$9,2)*IF(ISNUMBER(H562),H562,1))</f>
        <v>0.405787037037037</v>
      </c>
      <c r="AG562" s="290">
        <v>561</v>
      </c>
      <c r="AH562" s="94"/>
      <c r="AI562" s="94"/>
    </row>
    <row r="563" spans="1:35" s="22" customFormat="1" ht="12" customHeight="1" x14ac:dyDescent="0.2">
      <c r="A563" s="447" t="s">
        <v>572</v>
      </c>
      <c r="B563" s="447">
        <v>2</v>
      </c>
      <c r="C563" s="447">
        <v>36</v>
      </c>
      <c r="D563" s="185" t="s">
        <v>5134</v>
      </c>
      <c r="E563" s="314" t="s">
        <v>5133</v>
      </c>
      <c r="F563" s="184">
        <v>24570</v>
      </c>
      <c r="G563" s="184">
        <v>24591</v>
      </c>
      <c r="H563" s="185">
        <v>4</v>
      </c>
      <c r="I563" s="185">
        <v>12</v>
      </c>
      <c r="J563" s="901" t="s">
        <v>1796</v>
      </c>
      <c r="K563" s="163" t="s">
        <v>6642</v>
      </c>
      <c r="L563" s="163" t="s">
        <v>5174</v>
      </c>
      <c r="M563" s="163"/>
      <c r="N563" s="163"/>
      <c r="O563" s="163"/>
      <c r="P563" s="182" t="s">
        <v>461</v>
      </c>
      <c r="Q563" s="163" t="s">
        <v>1797</v>
      </c>
      <c r="R563" s="186" t="s">
        <v>4601</v>
      </c>
      <c r="S563" s="355"/>
      <c r="T563" s="182" t="s">
        <v>2751</v>
      </c>
      <c r="U563" s="182" t="s">
        <v>2752</v>
      </c>
      <c r="V563" s="182"/>
      <c r="W563" s="328"/>
      <c r="X563" s="660" t="s">
        <v>12319</v>
      </c>
      <c r="Y563" s="355"/>
      <c r="Z563" s="185"/>
      <c r="AA563" s="185"/>
      <c r="AB563" s="33">
        <f t="shared" ca="1" si="9"/>
        <v>0.80044088890607568</v>
      </c>
      <c r="AC563" s="813"/>
      <c r="AD563" s="211"/>
      <c r="AE563" s="875"/>
      <c r="AF563" s="922">
        <f>IF(X563=X562,AF562,0)+IF(ISNUMBER(I563),IF(I563&lt;1,I563,I563*VLOOKUP(J563,Summary!$H$2:$I$9,2)),VLOOKUP(J563,Summary!$J$2:$K$9,2)*IF(ISNUMBER(H563),H563,1))</f>
        <v>0.40995370370370365</v>
      </c>
      <c r="AG563" s="290">
        <v>562</v>
      </c>
      <c r="AH563" s="94"/>
      <c r="AI563" s="94"/>
    </row>
    <row r="564" spans="1:35" s="22" customFormat="1" ht="12" customHeight="1" x14ac:dyDescent="0.2">
      <c r="A564" s="447" t="s">
        <v>572</v>
      </c>
      <c r="B564" s="447">
        <v>2</v>
      </c>
      <c r="C564" s="447">
        <v>37</v>
      </c>
      <c r="D564" s="185" t="s">
        <v>3858</v>
      </c>
      <c r="E564" s="314" t="s">
        <v>5135</v>
      </c>
      <c r="F564" s="184">
        <v>24598</v>
      </c>
      <c r="G564" s="184">
        <v>24619</v>
      </c>
      <c r="H564" s="185">
        <v>4</v>
      </c>
      <c r="I564" s="185">
        <v>12</v>
      </c>
      <c r="J564" s="901" t="s">
        <v>1796</v>
      </c>
      <c r="K564" s="163" t="s">
        <v>6642</v>
      </c>
      <c r="L564" s="163" t="s">
        <v>5174</v>
      </c>
      <c r="M564" s="163"/>
      <c r="N564" s="163"/>
      <c r="O564" s="163"/>
      <c r="P564" s="182" t="s">
        <v>461</v>
      </c>
      <c r="Q564" s="163" t="s">
        <v>1797</v>
      </c>
      <c r="R564" s="186" t="s">
        <v>4601</v>
      </c>
      <c r="S564" s="355"/>
      <c r="T564" s="182" t="s">
        <v>2751</v>
      </c>
      <c r="U564" s="182" t="s">
        <v>2752</v>
      </c>
      <c r="V564" s="182"/>
      <c r="W564" s="328"/>
      <c r="X564" s="660" t="s">
        <v>12319</v>
      </c>
      <c r="Y564" s="355"/>
      <c r="Z564" s="185"/>
      <c r="AA564" s="185"/>
      <c r="AB564" s="33">
        <f t="shared" ca="1" si="9"/>
        <v>0.12250979680054308</v>
      </c>
      <c r="AC564" s="813"/>
      <c r="AD564" s="211"/>
      <c r="AE564" s="875"/>
      <c r="AF564" s="922">
        <f>IF(X564=X563,AF563,0)+IF(ISNUMBER(I564),IF(I564&lt;1,I564,I564*VLOOKUP(J564,Summary!$H$2:$I$9,2)),VLOOKUP(J564,Summary!$J$2:$K$9,2)*IF(ISNUMBER(H564),H564,1))</f>
        <v>0.41412037037037031</v>
      </c>
      <c r="AG564" s="290">
        <v>563</v>
      </c>
      <c r="AH564" s="94"/>
      <c r="AI564" s="94"/>
    </row>
    <row r="565" spans="1:35" s="22" customFormat="1" ht="12" customHeight="1" x14ac:dyDescent="0.2">
      <c r="A565" s="447" t="s">
        <v>572</v>
      </c>
      <c r="B565" s="447">
        <v>2</v>
      </c>
      <c r="C565" s="447">
        <v>38</v>
      </c>
      <c r="D565" s="185" t="s">
        <v>2141</v>
      </c>
      <c r="E565" s="314" t="s">
        <v>2139</v>
      </c>
      <c r="F565" s="183">
        <v>24624</v>
      </c>
      <c r="G565" s="183"/>
      <c r="H565" s="185">
        <v>1</v>
      </c>
      <c r="I565" s="185">
        <v>2</v>
      </c>
      <c r="J565" s="901" t="s">
        <v>1796</v>
      </c>
      <c r="K565" s="163" t="s">
        <v>6642</v>
      </c>
      <c r="L565" s="163" t="s">
        <v>2140</v>
      </c>
      <c r="M565" s="163"/>
      <c r="N565" s="163"/>
      <c r="O565" s="163"/>
      <c r="P565" s="182" t="s">
        <v>461</v>
      </c>
      <c r="Q565" s="163" t="s">
        <v>1797</v>
      </c>
      <c r="R565" s="186" t="s">
        <v>4601</v>
      </c>
      <c r="S565" s="355"/>
      <c r="T565" s="182" t="s">
        <v>2751</v>
      </c>
      <c r="U565" s="182" t="s">
        <v>2752</v>
      </c>
      <c r="V565" s="182"/>
      <c r="W565" s="314" t="s">
        <v>2139</v>
      </c>
      <c r="X565" s="646" t="s">
        <v>12319</v>
      </c>
      <c r="Y565" s="355"/>
      <c r="Z565" s="185"/>
      <c r="AA565" s="185"/>
      <c r="AB565" s="33">
        <f t="shared" ca="1" si="9"/>
        <v>0.35477332778082582</v>
      </c>
      <c r="AC565" s="813"/>
      <c r="AD565" s="211"/>
      <c r="AE565" s="875"/>
      <c r="AF565" s="922">
        <f>IF(X565=X564,AF564,0)+IF(ISNUMBER(I565),IF(I565&lt;1,I565,I565*VLOOKUP(J565,Summary!$H$2:$I$9,2)),VLOOKUP(J565,Summary!$J$2:$K$9,2)*IF(ISNUMBER(H565),H565,1))</f>
        <v>0.41481481481481475</v>
      </c>
      <c r="AG565" s="290">
        <v>564</v>
      </c>
      <c r="AH565" s="94"/>
      <c r="AI565" s="94"/>
    </row>
    <row r="566" spans="1:35" s="1" customFormat="1" ht="12" customHeight="1" x14ac:dyDescent="0.25">
      <c r="A566" s="447" t="s">
        <v>572</v>
      </c>
      <c r="B566" s="447">
        <v>2</v>
      </c>
      <c r="C566" s="447">
        <v>39</v>
      </c>
      <c r="D566" s="185" t="s">
        <v>2141</v>
      </c>
      <c r="E566" s="314" t="s">
        <v>2142</v>
      </c>
      <c r="F566" s="183">
        <v>24624</v>
      </c>
      <c r="G566" s="183"/>
      <c r="H566" s="185">
        <v>1</v>
      </c>
      <c r="I566" s="185">
        <v>2</v>
      </c>
      <c r="J566" s="901" t="s">
        <v>1796</v>
      </c>
      <c r="K566" s="163" t="s">
        <v>6642</v>
      </c>
      <c r="L566" s="163" t="s">
        <v>2140</v>
      </c>
      <c r="M566" s="163"/>
      <c r="N566" s="163"/>
      <c r="O566" s="163"/>
      <c r="P566" s="182" t="s">
        <v>461</v>
      </c>
      <c r="Q566" s="163" t="s">
        <v>1797</v>
      </c>
      <c r="R566" s="186" t="s">
        <v>4601</v>
      </c>
      <c r="S566" s="355"/>
      <c r="T566" s="182" t="s">
        <v>2751</v>
      </c>
      <c r="U566" s="182" t="s">
        <v>2752</v>
      </c>
      <c r="V566" s="182"/>
      <c r="W566" s="314" t="s">
        <v>2142</v>
      </c>
      <c r="X566" s="646" t="s">
        <v>12319</v>
      </c>
      <c r="Y566" s="355"/>
      <c r="Z566" s="185"/>
      <c r="AA566" s="185"/>
      <c r="AB566" s="33">
        <f t="shared" ca="1" si="9"/>
        <v>0.67828908773956276</v>
      </c>
      <c r="AC566" s="813"/>
      <c r="AD566" s="211"/>
      <c r="AE566" s="875"/>
      <c r="AF566" s="922">
        <f>IF(X566=X565,AF565,0)+IF(ISNUMBER(I566),IF(I566&lt;1,I566,I566*VLOOKUP(J566,Summary!$H$2:$I$9,2)),VLOOKUP(J566,Summary!$J$2:$K$9,2)*IF(ISNUMBER(H566),H566,1))</f>
        <v>0.41550925925925919</v>
      </c>
      <c r="AG566" s="290">
        <v>565</v>
      </c>
      <c r="AH566" s="94"/>
      <c r="AI566" s="94"/>
    </row>
    <row r="567" spans="1:35" s="2" customFormat="1" ht="12" customHeight="1" x14ac:dyDescent="0.25">
      <c r="A567" s="447" t="s">
        <v>572</v>
      </c>
      <c r="B567" s="447">
        <v>2</v>
      </c>
      <c r="C567" s="447">
        <v>40</v>
      </c>
      <c r="D567" s="185" t="s">
        <v>2144</v>
      </c>
      <c r="E567" s="314" t="s">
        <v>2143</v>
      </c>
      <c r="F567" s="184">
        <v>24626</v>
      </c>
      <c r="G567" s="184">
        <v>24654</v>
      </c>
      <c r="H567" s="185">
        <v>5</v>
      </c>
      <c r="I567" s="185">
        <v>13</v>
      </c>
      <c r="J567" s="901" t="s">
        <v>1796</v>
      </c>
      <c r="K567" s="163" t="s">
        <v>6642</v>
      </c>
      <c r="L567" s="163" t="s">
        <v>5174</v>
      </c>
      <c r="M567" s="163"/>
      <c r="N567" s="163"/>
      <c r="O567" s="163"/>
      <c r="P567" s="182" t="s">
        <v>461</v>
      </c>
      <c r="Q567" s="163" t="s">
        <v>1797</v>
      </c>
      <c r="R567" s="186" t="s">
        <v>4601</v>
      </c>
      <c r="S567" s="355"/>
      <c r="T567" s="182" t="s">
        <v>2751</v>
      </c>
      <c r="U567" s="182" t="s">
        <v>2752</v>
      </c>
      <c r="V567" s="182"/>
      <c r="W567" s="328"/>
      <c r="X567" s="660" t="s">
        <v>12319</v>
      </c>
      <c r="Y567" s="355"/>
      <c r="Z567" s="185"/>
      <c r="AA567" s="185"/>
      <c r="AB567" s="33">
        <f t="shared" ca="1" si="9"/>
        <v>0.65632203174355952</v>
      </c>
      <c r="AC567" s="813"/>
      <c r="AD567" s="211"/>
      <c r="AE567" s="875"/>
      <c r="AF567" s="922">
        <f>IF(X567=X566,AF566,0)+IF(ISNUMBER(I567),IF(I567&lt;1,I567,I567*VLOOKUP(J567,Summary!$H$2:$I$9,2)),VLOOKUP(J567,Summary!$J$2:$K$9,2)*IF(ISNUMBER(H567),H567,1))</f>
        <v>0.42002314814814806</v>
      </c>
      <c r="AG567" s="290">
        <v>566</v>
      </c>
      <c r="AH567" s="94"/>
      <c r="AI567" s="94"/>
    </row>
    <row r="568" spans="1:35" s="22" customFormat="1" ht="12" customHeight="1" x14ac:dyDescent="0.2">
      <c r="A568" s="447" t="s">
        <v>572</v>
      </c>
      <c r="B568" s="447">
        <v>2</v>
      </c>
      <c r="C568" s="447">
        <v>41</v>
      </c>
      <c r="D568" s="185" t="s">
        <v>6934</v>
      </c>
      <c r="E568" s="314" t="s">
        <v>6933</v>
      </c>
      <c r="F568" s="184">
        <v>24661</v>
      </c>
      <c r="G568" s="184">
        <v>24682</v>
      </c>
      <c r="H568" s="185">
        <v>4</v>
      </c>
      <c r="I568" s="185">
        <v>8</v>
      </c>
      <c r="J568" s="901" t="s">
        <v>1796</v>
      </c>
      <c r="K568" s="163" t="s">
        <v>6642</v>
      </c>
      <c r="L568" s="163" t="s">
        <v>5174</v>
      </c>
      <c r="M568" s="163"/>
      <c r="N568" s="163"/>
      <c r="O568" s="163"/>
      <c r="P568" s="182" t="s">
        <v>461</v>
      </c>
      <c r="Q568" s="163" t="s">
        <v>1797</v>
      </c>
      <c r="R568" s="186" t="s">
        <v>4601</v>
      </c>
      <c r="S568" s="355"/>
      <c r="T568" s="182" t="s">
        <v>2751</v>
      </c>
      <c r="U568" s="182" t="s">
        <v>2752</v>
      </c>
      <c r="V568" s="182"/>
      <c r="W568" s="328"/>
      <c r="X568" s="660" t="s">
        <v>12319</v>
      </c>
      <c r="Y568" s="355"/>
      <c r="Z568" s="185"/>
      <c r="AA568" s="185"/>
      <c r="AB568" s="33">
        <f t="shared" ca="1" si="9"/>
        <v>0.39072765522129993</v>
      </c>
      <c r="AC568" s="813"/>
      <c r="AD568" s="211"/>
      <c r="AE568" s="875"/>
      <c r="AF568" s="922">
        <f>IF(X568=X567,AF567,0)+IF(ISNUMBER(I568),IF(I568&lt;1,I568,I568*VLOOKUP(J568,Summary!$H$2:$I$9,2)),VLOOKUP(J568,Summary!$J$2:$K$9,2)*IF(ISNUMBER(H568),H568,1))</f>
        <v>0.42280092592592583</v>
      </c>
      <c r="AG568" s="290">
        <v>567</v>
      </c>
      <c r="AH568" s="94"/>
      <c r="AI568" s="94"/>
    </row>
    <row r="569" spans="1:35" s="29" customFormat="1" ht="12" customHeight="1" x14ac:dyDescent="0.25">
      <c r="A569" s="447" t="s">
        <v>572</v>
      </c>
      <c r="B569" s="447">
        <v>2</v>
      </c>
      <c r="C569" s="447">
        <v>42</v>
      </c>
      <c r="D569" s="185" t="s">
        <v>6936</v>
      </c>
      <c r="E569" s="314" t="s">
        <v>6935</v>
      </c>
      <c r="F569" s="184">
        <v>24689</v>
      </c>
      <c r="G569" s="184">
        <v>24710</v>
      </c>
      <c r="H569" s="185">
        <v>4</v>
      </c>
      <c r="I569" s="185">
        <v>8</v>
      </c>
      <c r="J569" s="901" t="s">
        <v>1796</v>
      </c>
      <c r="K569" s="163" t="s">
        <v>6642</v>
      </c>
      <c r="L569" s="163" t="s">
        <v>5174</v>
      </c>
      <c r="M569" s="163"/>
      <c r="N569" s="163"/>
      <c r="O569" s="163"/>
      <c r="P569" s="182" t="s">
        <v>461</v>
      </c>
      <c r="Q569" s="163" t="s">
        <v>1797</v>
      </c>
      <c r="R569" s="186" t="s">
        <v>4601</v>
      </c>
      <c r="S569" s="355"/>
      <c r="T569" s="182" t="s">
        <v>2751</v>
      </c>
      <c r="U569" s="182" t="s">
        <v>2752</v>
      </c>
      <c r="V569" s="182"/>
      <c r="W569" s="328"/>
      <c r="X569" s="660" t="s">
        <v>12319</v>
      </c>
      <c r="Y569" s="355"/>
      <c r="Z569" s="185"/>
      <c r="AA569" s="185"/>
      <c r="AB569" s="33">
        <f t="shared" ca="1" si="9"/>
        <v>0.43810393013197024</v>
      </c>
      <c r="AC569" s="813"/>
      <c r="AD569" s="211"/>
      <c r="AE569" s="875"/>
      <c r="AF569" s="922">
        <f>IF(X569=X568,AF568,0)+IF(ISNUMBER(I569),IF(I569&lt;1,I569,I569*VLOOKUP(J569,Summary!$H$2:$I$9,2)),VLOOKUP(J569,Summary!$J$2:$K$9,2)*IF(ISNUMBER(H569),H569,1))</f>
        <v>0.4255787037037036</v>
      </c>
      <c r="AG569" s="290">
        <v>568</v>
      </c>
      <c r="AH569" s="94"/>
      <c r="AI569" s="94"/>
    </row>
    <row r="570" spans="1:35" s="1" customFormat="1" ht="12" customHeight="1" x14ac:dyDescent="0.25">
      <c r="A570" s="447" t="s">
        <v>572</v>
      </c>
      <c r="B570" s="447">
        <v>2</v>
      </c>
      <c r="C570" s="447">
        <v>43</v>
      </c>
      <c r="D570" s="185" t="s">
        <v>6938</v>
      </c>
      <c r="E570" s="314" t="s">
        <v>6937</v>
      </c>
      <c r="F570" s="184">
        <v>24717</v>
      </c>
      <c r="G570" s="184">
        <v>24738</v>
      </c>
      <c r="H570" s="185">
        <v>4</v>
      </c>
      <c r="I570" s="185">
        <v>8</v>
      </c>
      <c r="J570" s="901" t="s">
        <v>1796</v>
      </c>
      <c r="K570" s="163" t="s">
        <v>6642</v>
      </c>
      <c r="L570" s="163" t="s">
        <v>5174</v>
      </c>
      <c r="M570" s="163"/>
      <c r="N570" s="163"/>
      <c r="O570" s="163"/>
      <c r="P570" s="182" t="s">
        <v>461</v>
      </c>
      <c r="Q570" s="163" t="s">
        <v>1797</v>
      </c>
      <c r="R570" s="186" t="s">
        <v>4601</v>
      </c>
      <c r="S570" s="355"/>
      <c r="T570" s="182" t="s">
        <v>2751</v>
      </c>
      <c r="U570" s="182" t="s">
        <v>2752</v>
      </c>
      <c r="V570" s="182"/>
      <c r="W570" s="328"/>
      <c r="X570" s="660" t="s">
        <v>12319</v>
      </c>
      <c r="Y570" s="355"/>
      <c r="Z570" s="185"/>
      <c r="AA570" s="185"/>
      <c r="AB570" s="33">
        <f t="shared" ca="1" si="9"/>
        <v>0.96140956000514977</v>
      </c>
      <c r="AC570" s="813"/>
      <c r="AD570" s="211"/>
      <c r="AE570" s="875"/>
      <c r="AF570" s="922">
        <f>IF(X570=X569,AF569,0)+IF(ISNUMBER(I570),IF(I570&lt;1,I570,I570*VLOOKUP(J570,Summary!$H$2:$I$9,2)),VLOOKUP(J570,Summary!$J$2:$K$9,2)*IF(ISNUMBER(H570),H570,1))</f>
        <v>0.42835648148148137</v>
      </c>
      <c r="AG570" s="290">
        <v>569</v>
      </c>
      <c r="AH570" s="94"/>
      <c r="AI570" s="94"/>
    </row>
    <row r="571" spans="1:35" s="29" customFormat="1" ht="12" customHeight="1" x14ac:dyDescent="0.25">
      <c r="A571" s="447" t="s">
        <v>572</v>
      </c>
      <c r="B571" s="447">
        <v>2</v>
      </c>
      <c r="C571" s="447">
        <v>44</v>
      </c>
      <c r="D571" s="185" t="s">
        <v>6940</v>
      </c>
      <c r="E571" s="314" t="s">
        <v>6939</v>
      </c>
      <c r="F571" s="184">
        <v>24745</v>
      </c>
      <c r="G571" s="184">
        <v>24766</v>
      </c>
      <c r="H571" s="185">
        <v>4</v>
      </c>
      <c r="I571" s="185">
        <v>8</v>
      </c>
      <c r="J571" s="901" t="s">
        <v>1796</v>
      </c>
      <c r="K571" s="163" t="s">
        <v>6642</v>
      </c>
      <c r="L571" s="163" t="s">
        <v>5174</v>
      </c>
      <c r="M571" s="163"/>
      <c r="N571" s="163"/>
      <c r="O571" s="163"/>
      <c r="P571" s="182" t="s">
        <v>461</v>
      </c>
      <c r="Q571" s="163" t="s">
        <v>1797</v>
      </c>
      <c r="R571" s="186" t="s">
        <v>4601</v>
      </c>
      <c r="S571" s="355"/>
      <c r="T571" s="182" t="s">
        <v>2751</v>
      </c>
      <c r="U571" s="182" t="s">
        <v>2752</v>
      </c>
      <c r="V571" s="182"/>
      <c r="W571" s="328"/>
      <c r="X571" s="660" t="s">
        <v>12319</v>
      </c>
      <c r="Y571" s="355"/>
      <c r="Z571" s="185"/>
      <c r="AA571" s="185"/>
      <c r="AB571" s="33">
        <f t="shared" ca="1" si="9"/>
        <v>0.3767730017998786</v>
      </c>
      <c r="AC571" s="813"/>
      <c r="AD571" s="211"/>
      <c r="AE571" s="875"/>
      <c r="AF571" s="922">
        <f>IF(X571=X570,AF570,0)+IF(ISNUMBER(I571),IF(I571&lt;1,I571,I571*VLOOKUP(J571,Summary!$H$2:$I$9,2)),VLOOKUP(J571,Summary!$J$2:$K$9,2)*IF(ISNUMBER(H571),H571,1))</f>
        <v>0.43113425925925913</v>
      </c>
      <c r="AG571" s="290">
        <v>570</v>
      </c>
      <c r="AH571" s="94"/>
      <c r="AI571" s="94"/>
    </row>
    <row r="572" spans="1:35" s="29" customFormat="1" ht="12" customHeight="1" x14ac:dyDescent="0.25">
      <c r="A572" s="447" t="s">
        <v>572</v>
      </c>
      <c r="B572" s="447">
        <v>2</v>
      </c>
      <c r="C572" s="447">
        <v>45</v>
      </c>
      <c r="D572" s="185" t="s">
        <v>3272</v>
      </c>
      <c r="E572" s="314" t="s">
        <v>3271</v>
      </c>
      <c r="F572" s="184">
        <v>24773</v>
      </c>
      <c r="G572" s="184">
        <v>24794</v>
      </c>
      <c r="H572" s="185">
        <v>4</v>
      </c>
      <c r="I572" s="185">
        <v>8</v>
      </c>
      <c r="J572" s="901" t="s">
        <v>1796</v>
      </c>
      <c r="K572" s="163" t="s">
        <v>6642</v>
      </c>
      <c r="L572" s="163" t="s">
        <v>5174</v>
      </c>
      <c r="M572" s="163"/>
      <c r="N572" s="163"/>
      <c r="O572" s="163"/>
      <c r="P572" s="182" t="s">
        <v>461</v>
      </c>
      <c r="Q572" s="163" t="s">
        <v>1797</v>
      </c>
      <c r="R572" s="186" t="s">
        <v>4601</v>
      </c>
      <c r="S572" s="355"/>
      <c r="T572" s="182" t="s">
        <v>2751</v>
      </c>
      <c r="U572" s="182" t="s">
        <v>2752</v>
      </c>
      <c r="V572" s="182"/>
      <c r="W572" s="328"/>
      <c r="X572" s="660" t="s">
        <v>12319</v>
      </c>
      <c r="Y572" s="355"/>
      <c r="Z572" s="185"/>
      <c r="AA572" s="185"/>
      <c r="AB572" s="33">
        <f t="shared" ca="1" si="9"/>
        <v>0.32252595066534895</v>
      </c>
      <c r="AC572" s="813"/>
      <c r="AD572" s="211"/>
      <c r="AE572" s="875"/>
      <c r="AF572" s="922">
        <f>IF(X572=X571,AF571,0)+IF(ISNUMBER(I572),IF(I572&lt;1,I572,I572*VLOOKUP(J572,Summary!$H$2:$I$9,2)),VLOOKUP(J572,Summary!$J$2:$K$9,2)*IF(ISNUMBER(H572),H572,1))</f>
        <v>0.4339120370370369</v>
      </c>
      <c r="AG572" s="290">
        <v>571</v>
      </c>
      <c r="AH572" s="94"/>
      <c r="AI572" s="94"/>
    </row>
    <row r="573" spans="1:35" s="22" customFormat="1" ht="12" customHeight="1" x14ac:dyDescent="0.2">
      <c r="A573" s="447" t="s">
        <v>572</v>
      </c>
      <c r="B573" s="447">
        <v>2</v>
      </c>
      <c r="C573" s="447">
        <v>46</v>
      </c>
      <c r="D573" s="185" t="s">
        <v>3274</v>
      </c>
      <c r="E573" s="314" t="s">
        <v>3273</v>
      </c>
      <c r="F573" s="184">
        <v>24801</v>
      </c>
      <c r="G573" s="184">
        <v>24829</v>
      </c>
      <c r="H573" s="185">
        <v>5</v>
      </c>
      <c r="I573" s="185">
        <v>10</v>
      </c>
      <c r="J573" s="901" t="s">
        <v>1796</v>
      </c>
      <c r="K573" s="163" t="s">
        <v>6642</v>
      </c>
      <c r="L573" s="163" t="s">
        <v>5174</v>
      </c>
      <c r="M573" s="163"/>
      <c r="N573" s="163"/>
      <c r="O573" s="163"/>
      <c r="P573" s="182" t="s">
        <v>461</v>
      </c>
      <c r="Q573" s="163" t="s">
        <v>1797</v>
      </c>
      <c r="R573" s="186" t="s">
        <v>4601</v>
      </c>
      <c r="S573" s="355"/>
      <c r="T573" s="182" t="s">
        <v>2751</v>
      </c>
      <c r="U573" s="182" t="s">
        <v>2752</v>
      </c>
      <c r="V573" s="182"/>
      <c r="W573" s="328"/>
      <c r="X573" s="660" t="s">
        <v>12319</v>
      </c>
      <c r="Y573" s="355"/>
      <c r="Z573" s="185"/>
      <c r="AA573" s="185"/>
      <c r="AB573" s="33">
        <f t="shared" ca="1" si="9"/>
        <v>0.55685298896556523</v>
      </c>
      <c r="AC573" s="813"/>
      <c r="AD573" s="211"/>
      <c r="AE573" s="875"/>
      <c r="AF573" s="922">
        <f>IF(X573=X572,AF572,0)+IF(ISNUMBER(I573),IF(I573&lt;1,I573,I573*VLOOKUP(J573,Summary!$H$2:$I$9,2)),VLOOKUP(J573,Summary!$J$2:$K$9,2)*IF(ISNUMBER(H573),H573,1))</f>
        <v>0.43738425925925911</v>
      </c>
      <c r="AG573" s="290">
        <v>572</v>
      </c>
      <c r="AH573" s="94"/>
      <c r="AI573" s="94"/>
    </row>
    <row r="574" spans="1:35" s="29" customFormat="1" ht="12" customHeight="1" x14ac:dyDescent="0.25">
      <c r="A574" s="447" t="s">
        <v>572</v>
      </c>
      <c r="B574" s="447">
        <v>2</v>
      </c>
      <c r="C574" s="447">
        <v>47</v>
      </c>
      <c r="D574" s="185" t="s">
        <v>2460</v>
      </c>
      <c r="E574" s="314" t="s">
        <v>6533</v>
      </c>
      <c r="F574" s="183">
        <v>25082</v>
      </c>
      <c r="G574" s="183"/>
      <c r="H574" s="185">
        <v>1</v>
      </c>
      <c r="I574" s="185">
        <v>4</v>
      </c>
      <c r="J574" s="901" t="s">
        <v>1796</v>
      </c>
      <c r="K574" s="163" t="s">
        <v>6642</v>
      </c>
      <c r="L574" s="163" t="s">
        <v>2140</v>
      </c>
      <c r="M574" s="163"/>
      <c r="N574" s="163"/>
      <c r="O574" s="163"/>
      <c r="P574" s="182" t="s">
        <v>461</v>
      </c>
      <c r="Q574" s="163" t="s">
        <v>1797</v>
      </c>
      <c r="R574" s="186" t="s">
        <v>4601</v>
      </c>
      <c r="S574" s="355"/>
      <c r="T574" s="182" t="s">
        <v>2751</v>
      </c>
      <c r="U574" s="182" t="s">
        <v>2752</v>
      </c>
      <c r="V574" s="182"/>
      <c r="W574" s="314" t="s">
        <v>6533</v>
      </c>
      <c r="X574" s="646" t="s">
        <v>12319</v>
      </c>
      <c r="Y574" s="355"/>
      <c r="Z574" s="185"/>
      <c r="AA574" s="185"/>
      <c r="AB574" s="33">
        <f t="shared" ca="1" si="9"/>
        <v>0.39204438375788542</v>
      </c>
      <c r="AC574" s="813"/>
      <c r="AD574" s="211"/>
      <c r="AE574" s="875"/>
      <c r="AF574" s="922">
        <f>IF(X574=X573,AF573,0)+IF(ISNUMBER(I574),IF(I574&lt;1,I574,I574*VLOOKUP(J574,Summary!$H$2:$I$9,2)),VLOOKUP(J574,Summary!$J$2:$K$9,2)*IF(ISNUMBER(H574),H574,1))</f>
        <v>0.438773148148148</v>
      </c>
      <c r="AG574" s="290">
        <v>573</v>
      </c>
      <c r="AH574" s="94"/>
      <c r="AI574" s="94"/>
    </row>
    <row r="575" spans="1:35" s="3" customFormat="1" ht="12" customHeight="1" x14ac:dyDescent="0.25">
      <c r="A575" s="447" t="s">
        <v>572</v>
      </c>
      <c r="B575" s="447">
        <v>2</v>
      </c>
      <c r="C575" s="447">
        <v>48</v>
      </c>
      <c r="D575" s="185" t="s">
        <v>2460</v>
      </c>
      <c r="E575" s="314" t="s">
        <v>6534</v>
      </c>
      <c r="F575" s="183">
        <v>25082</v>
      </c>
      <c r="G575" s="183"/>
      <c r="H575" s="185">
        <v>1</v>
      </c>
      <c r="I575" s="185">
        <v>4</v>
      </c>
      <c r="J575" s="901" t="s">
        <v>1796</v>
      </c>
      <c r="K575" s="163" t="s">
        <v>6642</v>
      </c>
      <c r="L575" s="163" t="s">
        <v>2140</v>
      </c>
      <c r="M575" s="163"/>
      <c r="N575" s="163"/>
      <c r="O575" s="163"/>
      <c r="P575" s="182" t="s">
        <v>461</v>
      </c>
      <c r="Q575" s="163" t="s">
        <v>1797</v>
      </c>
      <c r="R575" s="186" t="s">
        <v>4601</v>
      </c>
      <c r="S575" s="355"/>
      <c r="T575" s="182" t="s">
        <v>2751</v>
      </c>
      <c r="U575" s="182" t="s">
        <v>2752</v>
      </c>
      <c r="V575" s="182"/>
      <c r="W575" s="314" t="s">
        <v>6534</v>
      </c>
      <c r="X575" s="646" t="s">
        <v>12319</v>
      </c>
      <c r="Y575" s="355"/>
      <c r="Z575" s="185"/>
      <c r="AA575" s="185"/>
      <c r="AB575" s="33">
        <f t="shared" ca="1" si="9"/>
        <v>0.57176460217441816</v>
      </c>
      <c r="AC575" s="813"/>
      <c r="AD575" s="211"/>
      <c r="AE575" s="875"/>
      <c r="AF575" s="922">
        <f>IF(X575=X574,AF574,0)+IF(ISNUMBER(I575),IF(I575&lt;1,I575,I575*VLOOKUP(J575,Summary!$H$2:$I$9,2)),VLOOKUP(J575,Summary!$J$2:$K$9,2)*IF(ISNUMBER(H575),H575,1))</f>
        <v>0.44016203703703688</v>
      </c>
      <c r="AG575" s="290">
        <v>574</v>
      </c>
      <c r="AH575" s="94"/>
      <c r="AI575" s="94"/>
    </row>
    <row r="576" spans="1:35" s="22" customFormat="1" ht="12" customHeight="1" x14ac:dyDescent="0.2">
      <c r="A576" s="447" t="s">
        <v>572</v>
      </c>
      <c r="B576" s="447">
        <v>2</v>
      </c>
      <c r="C576" s="447">
        <v>49</v>
      </c>
      <c r="D576" s="185" t="s">
        <v>6536</v>
      </c>
      <c r="E576" s="314" t="s">
        <v>6535</v>
      </c>
      <c r="F576" s="184">
        <v>24836</v>
      </c>
      <c r="G576" s="184">
        <v>24864</v>
      </c>
      <c r="H576" s="185">
        <v>5</v>
      </c>
      <c r="I576" s="185">
        <v>10</v>
      </c>
      <c r="J576" s="901" t="s">
        <v>1796</v>
      </c>
      <c r="K576" s="163" t="s">
        <v>6642</v>
      </c>
      <c r="L576" s="163" t="s">
        <v>5174</v>
      </c>
      <c r="M576" s="163"/>
      <c r="N576" s="163"/>
      <c r="O576" s="163"/>
      <c r="P576" s="182" t="s">
        <v>461</v>
      </c>
      <c r="Q576" s="163" t="s">
        <v>1797</v>
      </c>
      <c r="R576" s="186" t="s">
        <v>4601</v>
      </c>
      <c r="S576" s="355"/>
      <c r="T576" s="182" t="s">
        <v>2751</v>
      </c>
      <c r="U576" s="182" t="s">
        <v>2752</v>
      </c>
      <c r="V576" s="182"/>
      <c r="W576" s="328"/>
      <c r="X576" s="660" t="s">
        <v>12319</v>
      </c>
      <c r="Y576" s="355"/>
      <c r="Z576" s="185"/>
      <c r="AA576" s="185"/>
      <c r="AB576" s="33">
        <f t="shared" ca="1" si="9"/>
        <v>0.15013209979105624</v>
      </c>
      <c r="AC576" s="813"/>
      <c r="AD576" s="211"/>
      <c r="AE576" s="875"/>
      <c r="AF576" s="922">
        <f>IF(X576=X575,AF575,0)+IF(ISNUMBER(I576),IF(I576&lt;1,I576,I576*VLOOKUP(J576,Summary!$H$2:$I$9,2)),VLOOKUP(J576,Summary!$J$2:$K$9,2)*IF(ISNUMBER(H576),H576,1))</f>
        <v>0.44363425925925909</v>
      </c>
      <c r="AG576" s="290">
        <v>575</v>
      </c>
      <c r="AH576" s="94"/>
      <c r="AI576" s="94"/>
    </row>
    <row r="577" spans="1:35" s="22" customFormat="1" ht="12" customHeight="1" x14ac:dyDescent="0.2">
      <c r="A577" s="447" t="s">
        <v>572</v>
      </c>
      <c r="B577" s="447">
        <v>2</v>
      </c>
      <c r="C577" s="447">
        <v>50</v>
      </c>
      <c r="D577" s="185" t="s">
        <v>6538</v>
      </c>
      <c r="E577" s="314" t="s">
        <v>6537</v>
      </c>
      <c r="F577" s="184">
        <v>24871</v>
      </c>
      <c r="G577" s="184">
        <v>24892</v>
      </c>
      <c r="H577" s="185">
        <v>4</v>
      </c>
      <c r="I577" s="185">
        <v>8</v>
      </c>
      <c r="J577" s="901" t="s">
        <v>1796</v>
      </c>
      <c r="K577" s="163" t="s">
        <v>6642</v>
      </c>
      <c r="L577" s="163" t="s">
        <v>5174</v>
      </c>
      <c r="M577" s="163"/>
      <c r="N577" s="163"/>
      <c r="O577" s="163"/>
      <c r="P577" s="182" t="s">
        <v>461</v>
      </c>
      <c r="Q577" s="163" t="s">
        <v>1797</v>
      </c>
      <c r="R577" s="186" t="s">
        <v>4601</v>
      </c>
      <c r="S577" s="355"/>
      <c r="T577" s="182" t="s">
        <v>2751</v>
      </c>
      <c r="U577" s="182" t="s">
        <v>2752</v>
      </c>
      <c r="V577" s="182"/>
      <c r="W577" s="328"/>
      <c r="X577" s="660" t="s">
        <v>12319</v>
      </c>
      <c r="Y577" s="355"/>
      <c r="Z577" s="185"/>
      <c r="AA577" s="185"/>
      <c r="AB577" s="33">
        <f t="shared" ca="1" si="9"/>
        <v>0.64921211734545614</v>
      </c>
      <c r="AC577" s="813"/>
      <c r="AD577" s="211"/>
      <c r="AE577" s="875"/>
      <c r="AF577" s="922">
        <f>IF(X577=X576,AF576,0)+IF(ISNUMBER(I577),IF(I577&lt;1,I577,I577*VLOOKUP(J577,Summary!$H$2:$I$9,2)),VLOOKUP(J577,Summary!$J$2:$K$9,2)*IF(ISNUMBER(H577),H577,1))</f>
        <v>0.44641203703703686</v>
      </c>
      <c r="AG577" s="290">
        <v>576</v>
      </c>
      <c r="AH577" s="94"/>
      <c r="AI577" s="94"/>
    </row>
    <row r="578" spans="1:35" s="1" customFormat="1" ht="12" customHeight="1" x14ac:dyDescent="0.25">
      <c r="A578" s="447" t="s">
        <v>572</v>
      </c>
      <c r="B578" s="447">
        <v>2</v>
      </c>
      <c r="C578" s="447">
        <v>51</v>
      </c>
      <c r="D578" s="185" t="s">
        <v>6540</v>
      </c>
      <c r="E578" s="314" t="s">
        <v>6539</v>
      </c>
      <c r="F578" s="184">
        <v>24899</v>
      </c>
      <c r="G578" s="184">
        <v>24920</v>
      </c>
      <c r="H578" s="185">
        <v>4</v>
      </c>
      <c r="I578" s="185">
        <v>8</v>
      </c>
      <c r="J578" s="901" t="s">
        <v>1796</v>
      </c>
      <c r="K578" s="163" t="s">
        <v>6642</v>
      </c>
      <c r="L578" s="163" t="s">
        <v>5174</v>
      </c>
      <c r="M578" s="163"/>
      <c r="N578" s="163"/>
      <c r="O578" s="163"/>
      <c r="P578" s="182" t="s">
        <v>461</v>
      </c>
      <c r="Q578" s="163" t="s">
        <v>1797</v>
      </c>
      <c r="R578" s="186" t="s">
        <v>4601</v>
      </c>
      <c r="S578" s="355"/>
      <c r="T578" s="182" t="s">
        <v>2751</v>
      </c>
      <c r="U578" s="182" t="s">
        <v>2752</v>
      </c>
      <c r="V578" s="182"/>
      <c r="W578" s="328"/>
      <c r="X578" s="660" t="s">
        <v>12319</v>
      </c>
      <c r="Y578" s="355"/>
      <c r="Z578" s="185"/>
      <c r="AA578" s="185"/>
      <c r="AB578" s="33">
        <f t="shared" ref="AB578:AB641" ca="1" si="10">RAND()</f>
        <v>0.71352885273590616</v>
      </c>
      <c r="AC578" s="813"/>
      <c r="AD578" s="211"/>
      <c r="AE578" s="875"/>
      <c r="AF578" s="922">
        <f>IF(X578=X577,AF577,0)+IF(ISNUMBER(I578),IF(I578&lt;1,I578,I578*VLOOKUP(J578,Summary!$H$2:$I$9,2)),VLOOKUP(J578,Summary!$J$2:$K$9,2)*IF(ISNUMBER(H578),H578,1))</f>
        <v>0.44918981481481463</v>
      </c>
      <c r="AG578" s="290">
        <v>577</v>
      </c>
      <c r="AH578" s="94"/>
      <c r="AI578" s="94"/>
    </row>
    <row r="579" spans="1:35" s="29" customFormat="1" ht="12" customHeight="1" x14ac:dyDescent="0.25">
      <c r="A579" s="447" t="s">
        <v>572</v>
      </c>
      <c r="B579" s="447">
        <v>2</v>
      </c>
      <c r="C579" s="447">
        <v>52</v>
      </c>
      <c r="D579" s="185" t="s">
        <v>2629</v>
      </c>
      <c r="E579" s="314" t="s">
        <v>2628</v>
      </c>
      <c r="F579" s="184">
        <v>24927</v>
      </c>
      <c r="G579" s="184">
        <v>24948</v>
      </c>
      <c r="H579" s="185">
        <v>4</v>
      </c>
      <c r="I579" s="185">
        <v>8</v>
      </c>
      <c r="J579" s="901" t="s">
        <v>1796</v>
      </c>
      <c r="K579" s="163" t="s">
        <v>6642</v>
      </c>
      <c r="L579" s="163" t="s">
        <v>5174</v>
      </c>
      <c r="M579" s="163"/>
      <c r="N579" s="163"/>
      <c r="O579" s="163"/>
      <c r="P579" s="182" t="s">
        <v>461</v>
      </c>
      <c r="Q579" s="163" t="s">
        <v>1797</v>
      </c>
      <c r="R579" s="186" t="s">
        <v>4601</v>
      </c>
      <c r="S579" s="355"/>
      <c r="T579" s="182" t="s">
        <v>2751</v>
      </c>
      <c r="U579" s="182" t="s">
        <v>2752</v>
      </c>
      <c r="V579" s="182"/>
      <c r="W579" s="328"/>
      <c r="X579" s="660" t="s">
        <v>12319</v>
      </c>
      <c r="Y579" s="355"/>
      <c r="Z579" s="185"/>
      <c r="AA579" s="185"/>
      <c r="AB579" s="33">
        <f t="shared" ca="1" si="10"/>
        <v>0.47808400505646476</v>
      </c>
      <c r="AC579" s="813"/>
      <c r="AD579" s="211"/>
      <c r="AE579" s="875"/>
      <c r="AF579" s="922">
        <f>IF(X579=X578,AF578,0)+IF(ISNUMBER(I579),IF(I579&lt;1,I579,I579*VLOOKUP(J579,Summary!$H$2:$I$9,2)),VLOOKUP(J579,Summary!$J$2:$K$9,2)*IF(ISNUMBER(H579),H579,1))</f>
        <v>0.45196759259259239</v>
      </c>
      <c r="AG579" s="290">
        <v>578</v>
      </c>
      <c r="AH579" s="94"/>
      <c r="AI579" s="94"/>
    </row>
    <row r="580" spans="1:35" s="1" customFormat="1" ht="12" customHeight="1" x14ac:dyDescent="0.25">
      <c r="A580" s="447" t="s">
        <v>572</v>
      </c>
      <c r="B580" s="447">
        <v>2</v>
      </c>
      <c r="C580" s="447">
        <v>53</v>
      </c>
      <c r="D580" s="185" t="s">
        <v>2631</v>
      </c>
      <c r="E580" s="314" t="s">
        <v>2630</v>
      </c>
      <c r="F580" s="184">
        <v>24955</v>
      </c>
      <c r="G580" s="184">
        <v>24983</v>
      </c>
      <c r="H580" s="185">
        <v>5</v>
      </c>
      <c r="I580" s="185">
        <v>10</v>
      </c>
      <c r="J580" s="901" t="s">
        <v>1796</v>
      </c>
      <c r="K580" s="163" t="s">
        <v>6642</v>
      </c>
      <c r="L580" s="163" t="s">
        <v>5174</v>
      </c>
      <c r="M580" s="163"/>
      <c r="N580" s="163"/>
      <c r="O580" s="163"/>
      <c r="P580" s="182" t="s">
        <v>461</v>
      </c>
      <c r="Q580" s="163" t="s">
        <v>1797</v>
      </c>
      <c r="R580" s="186" t="s">
        <v>4601</v>
      </c>
      <c r="S580" s="355"/>
      <c r="T580" s="182" t="s">
        <v>2751</v>
      </c>
      <c r="U580" s="182" t="s">
        <v>2752</v>
      </c>
      <c r="V580" s="182"/>
      <c r="W580" s="328"/>
      <c r="X580" s="660" t="s">
        <v>12319</v>
      </c>
      <c r="Y580" s="355"/>
      <c r="Z580" s="185"/>
      <c r="AA580" s="185"/>
      <c r="AB580" s="33">
        <f t="shared" ca="1" si="10"/>
        <v>6.0271240796705428E-4</v>
      </c>
      <c r="AC580" s="813"/>
      <c r="AD580" s="211"/>
      <c r="AE580" s="875"/>
      <c r="AF580" s="922">
        <f>IF(X580=X579,AF579,0)+IF(ISNUMBER(I580),IF(I580&lt;1,I580,I580*VLOOKUP(J580,Summary!$H$2:$I$9,2)),VLOOKUP(J580,Summary!$J$2:$K$9,2)*IF(ISNUMBER(H580),H580,1))</f>
        <v>0.4554398148148146</v>
      </c>
      <c r="AG580" s="290">
        <v>579</v>
      </c>
      <c r="AH580" s="94"/>
      <c r="AI580" s="94"/>
    </row>
    <row r="581" spans="1:35" s="22" customFormat="1" ht="12" customHeight="1" x14ac:dyDescent="0.2">
      <c r="A581" s="447" t="s">
        <v>572</v>
      </c>
      <c r="B581" s="447">
        <v>2</v>
      </c>
      <c r="C581" s="447">
        <v>54</v>
      </c>
      <c r="D581" s="185" t="s">
        <v>2633</v>
      </c>
      <c r="E581" s="314" t="s">
        <v>2632</v>
      </c>
      <c r="F581" s="184">
        <v>24990</v>
      </c>
      <c r="G581" s="184">
        <v>25018</v>
      </c>
      <c r="H581" s="185">
        <v>5</v>
      </c>
      <c r="I581" s="185"/>
      <c r="J581" s="901" t="s">
        <v>1796</v>
      </c>
      <c r="K581" s="163" t="s">
        <v>6642</v>
      </c>
      <c r="L581" s="163" t="s">
        <v>5174</v>
      </c>
      <c r="M581" s="163"/>
      <c r="N581" s="163"/>
      <c r="O581" s="163"/>
      <c r="P581" s="182" t="s">
        <v>461</v>
      </c>
      <c r="Q581" s="163" t="s">
        <v>1797</v>
      </c>
      <c r="R581" s="186" t="s">
        <v>4601</v>
      </c>
      <c r="S581" s="355"/>
      <c r="T581" s="182" t="s">
        <v>2751</v>
      </c>
      <c r="U581" s="182" t="s">
        <v>2752</v>
      </c>
      <c r="V581" s="182"/>
      <c r="W581" s="328"/>
      <c r="X581" s="660" t="s">
        <v>12319</v>
      </c>
      <c r="Y581" s="355"/>
      <c r="Z581" s="185"/>
      <c r="AA581" s="185"/>
      <c r="AB581" s="33">
        <f t="shared" ca="1" si="10"/>
        <v>0.78493360891215502</v>
      </c>
      <c r="AC581" s="813"/>
      <c r="AD581" s="211"/>
      <c r="AE581" s="875"/>
      <c r="AF581" s="922">
        <f>IF(X581=X580,AF580,0)+IF(ISNUMBER(I581),IF(I581&lt;1,I581,I581*VLOOKUP(J581,Summary!$H$2:$I$9,2)),VLOOKUP(J581,Summary!$J$2:$K$9,2)*IF(ISNUMBER(H581),H581,1))</f>
        <v>0.47280092592592571</v>
      </c>
      <c r="AG581" s="290">
        <v>580</v>
      </c>
      <c r="AH581" s="94"/>
      <c r="AI581" s="94"/>
    </row>
    <row r="582" spans="1:35" s="29" customFormat="1" ht="12" customHeight="1" x14ac:dyDescent="0.25">
      <c r="A582" s="447" t="s">
        <v>572</v>
      </c>
      <c r="B582" s="447">
        <v>2</v>
      </c>
      <c r="C582" s="447">
        <v>55</v>
      </c>
      <c r="D582" s="185" t="s">
        <v>2635</v>
      </c>
      <c r="E582" s="314" t="s">
        <v>2634</v>
      </c>
      <c r="F582" s="183">
        <v>24990</v>
      </c>
      <c r="G582" s="183"/>
      <c r="H582" s="185">
        <v>1</v>
      </c>
      <c r="I582" s="185"/>
      <c r="J582" s="901" t="s">
        <v>1796</v>
      </c>
      <c r="K582" s="163" t="s">
        <v>6642</v>
      </c>
      <c r="L582" s="163" t="s">
        <v>2140</v>
      </c>
      <c r="M582" s="163"/>
      <c r="N582" s="163"/>
      <c r="O582" s="163"/>
      <c r="P582" s="182" t="s">
        <v>461</v>
      </c>
      <c r="Q582" s="163" t="s">
        <v>1797</v>
      </c>
      <c r="R582" s="186" t="s">
        <v>4601</v>
      </c>
      <c r="S582" s="355"/>
      <c r="T582" s="182" t="s">
        <v>2751</v>
      </c>
      <c r="U582" s="182" t="s">
        <v>2752</v>
      </c>
      <c r="V582" s="182"/>
      <c r="W582" s="314" t="s">
        <v>2634</v>
      </c>
      <c r="X582" s="646" t="s">
        <v>12319</v>
      </c>
      <c r="Y582" s="355"/>
      <c r="Z582" s="185"/>
      <c r="AA582" s="185"/>
      <c r="AB582" s="33">
        <f t="shared" ca="1" si="10"/>
        <v>0.74937932784409877</v>
      </c>
      <c r="AC582" s="813"/>
      <c r="AD582" s="211"/>
      <c r="AE582" s="875"/>
      <c r="AF582" s="922">
        <f>IF(X582=X581,AF581,0)+IF(ISNUMBER(I582),IF(I582&lt;1,I582,I582*VLOOKUP(J582,Summary!$H$2:$I$9,2)),VLOOKUP(J582,Summary!$J$2:$K$9,2)*IF(ISNUMBER(H582),H582,1))</f>
        <v>0.47627314814814792</v>
      </c>
      <c r="AG582" s="290">
        <v>581</v>
      </c>
      <c r="AH582" s="94"/>
      <c r="AI582" s="94"/>
    </row>
    <row r="583" spans="1:35" s="29" customFormat="1" ht="12" customHeight="1" x14ac:dyDescent="0.25">
      <c r="A583" s="447" t="s">
        <v>572</v>
      </c>
      <c r="B583" s="447">
        <v>2</v>
      </c>
      <c r="C583" s="447">
        <v>56</v>
      </c>
      <c r="D583" s="185" t="s">
        <v>2635</v>
      </c>
      <c r="E583" s="314" t="s">
        <v>1547</v>
      </c>
      <c r="F583" s="183">
        <v>24990</v>
      </c>
      <c r="G583" s="183"/>
      <c r="H583" s="185">
        <v>1</v>
      </c>
      <c r="I583" s="185"/>
      <c r="J583" s="901" t="s">
        <v>1796</v>
      </c>
      <c r="K583" s="163" t="s">
        <v>6642</v>
      </c>
      <c r="L583" s="163" t="s">
        <v>2140</v>
      </c>
      <c r="M583" s="163"/>
      <c r="N583" s="163"/>
      <c r="O583" s="163"/>
      <c r="P583" s="182" t="s">
        <v>461</v>
      </c>
      <c r="Q583" s="163" t="s">
        <v>1797</v>
      </c>
      <c r="R583" s="186" t="s">
        <v>4601</v>
      </c>
      <c r="S583" s="355"/>
      <c r="T583" s="182" t="s">
        <v>2751</v>
      </c>
      <c r="U583" s="182" t="s">
        <v>2752</v>
      </c>
      <c r="V583" s="182"/>
      <c r="W583" s="314" t="s">
        <v>1547</v>
      </c>
      <c r="X583" s="646" t="s">
        <v>12319</v>
      </c>
      <c r="Y583" s="355"/>
      <c r="Z583" s="185"/>
      <c r="AA583" s="185"/>
      <c r="AB583" s="33">
        <f t="shared" ca="1" si="10"/>
        <v>3.5154857679357776E-2</v>
      </c>
      <c r="AC583" s="813"/>
      <c r="AD583" s="211"/>
      <c r="AE583" s="875"/>
      <c r="AF583" s="922">
        <f>IF(X583=X582,AF582,0)+IF(ISNUMBER(I583),IF(I583&lt;1,I583,I583*VLOOKUP(J583,Summary!$H$2:$I$9,2)),VLOOKUP(J583,Summary!$J$2:$K$9,2)*IF(ISNUMBER(H583),H583,1))</f>
        <v>0.47974537037037013</v>
      </c>
      <c r="AG583" s="290">
        <v>582</v>
      </c>
      <c r="AH583" s="94"/>
      <c r="AI583" s="94"/>
    </row>
    <row r="584" spans="1:35" s="29" customFormat="1" ht="12" customHeight="1" x14ac:dyDescent="0.25">
      <c r="A584" s="447" t="s">
        <v>572</v>
      </c>
      <c r="B584" s="447">
        <v>2</v>
      </c>
      <c r="C584" s="447">
        <v>57</v>
      </c>
      <c r="D584" s="185" t="s">
        <v>3304</v>
      </c>
      <c r="E584" s="314" t="s">
        <v>1548</v>
      </c>
      <c r="F584" s="184">
        <v>25025</v>
      </c>
      <c r="G584" s="184">
        <v>25046</v>
      </c>
      <c r="H584" s="185">
        <v>4</v>
      </c>
      <c r="I584" s="185"/>
      <c r="J584" s="901" t="s">
        <v>1796</v>
      </c>
      <c r="K584" s="163" t="s">
        <v>6642</v>
      </c>
      <c r="L584" s="163" t="s">
        <v>5174</v>
      </c>
      <c r="M584" s="163"/>
      <c r="N584" s="163"/>
      <c r="O584" s="163"/>
      <c r="P584" s="182" t="s">
        <v>461</v>
      </c>
      <c r="Q584" s="163" t="s">
        <v>1797</v>
      </c>
      <c r="R584" s="186" t="s">
        <v>4601</v>
      </c>
      <c r="S584" s="355"/>
      <c r="T584" s="182" t="s">
        <v>2751</v>
      </c>
      <c r="U584" s="182" t="s">
        <v>2752</v>
      </c>
      <c r="V584" s="182"/>
      <c r="W584" s="328"/>
      <c r="X584" s="660" t="s">
        <v>12319</v>
      </c>
      <c r="Y584" s="355"/>
      <c r="Z584" s="185"/>
      <c r="AA584" s="185"/>
      <c r="AB584" s="33">
        <f t="shared" ca="1" si="10"/>
        <v>0.29211354595187555</v>
      </c>
      <c r="AC584" s="813"/>
      <c r="AD584" s="211"/>
      <c r="AE584" s="875"/>
      <c r="AF584" s="922">
        <f>IF(X584=X583,AF583,0)+IF(ISNUMBER(I584),IF(I584&lt;1,I584,I584*VLOOKUP(J584,Summary!$H$2:$I$9,2)),VLOOKUP(J584,Summary!$J$2:$K$9,2)*IF(ISNUMBER(H584),H584,1))</f>
        <v>0.49363425925925902</v>
      </c>
      <c r="AG584" s="290">
        <v>583</v>
      </c>
      <c r="AH584" s="94"/>
      <c r="AI584" s="94"/>
    </row>
    <row r="585" spans="1:35" s="22" customFormat="1" ht="12" customHeight="1" x14ac:dyDescent="0.2">
      <c r="A585" s="447" t="s">
        <v>572</v>
      </c>
      <c r="B585" s="447">
        <v>2</v>
      </c>
      <c r="C585" s="447">
        <v>58</v>
      </c>
      <c r="D585" s="185" t="s">
        <v>3306</v>
      </c>
      <c r="E585" s="314" t="s">
        <v>3305</v>
      </c>
      <c r="F585" s="184">
        <v>25053</v>
      </c>
      <c r="G585" s="184">
        <v>25074</v>
      </c>
      <c r="H585" s="185">
        <v>4</v>
      </c>
      <c r="I585" s="185"/>
      <c r="J585" s="901" t="s">
        <v>1796</v>
      </c>
      <c r="K585" s="163" t="s">
        <v>6642</v>
      </c>
      <c r="L585" s="163" t="s">
        <v>5174</v>
      </c>
      <c r="M585" s="163"/>
      <c r="N585" s="163"/>
      <c r="O585" s="163"/>
      <c r="P585" s="182" t="s">
        <v>461</v>
      </c>
      <c r="Q585" s="163" t="s">
        <v>1797</v>
      </c>
      <c r="R585" s="186" t="s">
        <v>4601</v>
      </c>
      <c r="S585" s="355"/>
      <c r="T585" s="182" t="s">
        <v>2751</v>
      </c>
      <c r="U585" s="182" t="s">
        <v>2752</v>
      </c>
      <c r="V585" s="182"/>
      <c r="W585" s="328"/>
      <c r="X585" s="660" t="s">
        <v>12319</v>
      </c>
      <c r="Y585" s="355"/>
      <c r="Z585" s="185"/>
      <c r="AA585" s="185"/>
      <c r="AB585" s="33">
        <f t="shared" ca="1" si="10"/>
        <v>0.31063016252641507</v>
      </c>
      <c r="AC585" s="813"/>
      <c r="AD585" s="211"/>
      <c r="AE585" s="875"/>
      <c r="AF585" s="922">
        <f>IF(X585=X584,AF584,0)+IF(ISNUMBER(I585),IF(I585&lt;1,I585,I585*VLOOKUP(J585,Summary!$H$2:$I$9,2)),VLOOKUP(J585,Summary!$J$2:$K$9,2)*IF(ISNUMBER(H585),H585,1))</f>
        <v>0.50752314814814792</v>
      </c>
      <c r="AG585" s="290">
        <v>584</v>
      </c>
      <c r="AH585" s="94"/>
      <c r="AI585" s="94"/>
    </row>
    <row r="586" spans="1:35" s="7" customFormat="1" ht="12" customHeight="1" x14ac:dyDescent="0.25">
      <c r="A586" s="447" t="s">
        <v>572</v>
      </c>
      <c r="B586" s="447">
        <v>2</v>
      </c>
      <c r="C586" s="447">
        <v>63</v>
      </c>
      <c r="D586" s="185" t="s">
        <v>2461</v>
      </c>
      <c r="E586" s="314" t="s">
        <v>4482</v>
      </c>
      <c r="F586" s="183">
        <v>25447</v>
      </c>
      <c r="G586" s="183"/>
      <c r="H586" s="185">
        <v>1</v>
      </c>
      <c r="I586" s="185">
        <v>4</v>
      </c>
      <c r="J586" s="901" t="s">
        <v>1796</v>
      </c>
      <c r="K586" s="163" t="s">
        <v>6642</v>
      </c>
      <c r="L586" s="163" t="s">
        <v>5174</v>
      </c>
      <c r="M586" s="163"/>
      <c r="N586" s="163"/>
      <c r="O586" s="163"/>
      <c r="P586" s="182" t="s">
        <v>461</v>
      </c>
      <c r="Q586" s="163" t="s">
        <v>1797</v>
      </c>
      <c r="R586" s="186" t="s">
        <v>4601</v>
      </c>
      <c r="S586" s="355"/>
      <c r="T586" s="182" t="s">
        <v>2751</v>
      </c>
      <c r="U586" s="182" t="s">
        <v>2752</v>
      </c>
      <c r="V586" s="182"/>
      <c r="W586" s="314" t="s">
        <v>4482</v>
      </c>
      <c r="X586" s="646" t="s">
        <v>12319</v>
      </c>
      <c r="Y586" s="355"/>
      <c r="Z586" s="185"/>
      <c r="AA586" s="185"/>
      <c r="AB586" s="33">
        <f t="shared" ca="1" si="10"/>
        <v>0.87972307102371072</v>
      </c>
      <c r="AC586" s="813"/>
      <c r="AD586" s="211"/>
      <c r="AE586" s="875"/>
      <c r="AF586" s="922">
        <f>IF(X586=X585,AF585,0)+IF(ISNUMBER(I586),IF(I586&lt;1,I586,I586*VLOOKUP(J586,Summary!$H$2:$I$9,2)),VLOOKUP(J586,Summary!$J$2:$K$9,2)*IF(ISNUMBER(H586),H586,1))</f>
        <v>0.5089120370370368</v>
      </c>
      <c r="AG586" s="290">
        <v>585</v>
      </c>
      <c r="AH586" s="94"/>
      <c r="AI586" s="94"/>
    </row>
    <row r="587" spans="1:35" s="29" customFormat="1" ht="12" customHeight="1" x14ac:dyDescent="0.25">
      <c r="A587" s="447" t="s">
        <v>572</v>
      </c>
      <c r="B587" s="447">
        <v>2</v>
      </c>
      <c r="C587" s="447">
        <v>64</v>
      </c>
      <c r="D587" s="185" t="s">
        <v>2461</v>
      </c>
      <c r="E587" s="314" t="s">
        <v>4483</v>
      </c>
      <c r="F587" s="183">
        <v>25447</v>
      </c>
      <c r="G587" s="183"/>
      <c r="H587" s="185">
        <v>1</v>
      </c>
      <c r="I587" s="185">
        <v>4</v>
      </c>
      <c r="J587" s="901" t="s">
        <v>1796</v>
      </c>
      <c r="K587" s="163" t="s">
        <v>6642</v>
      </c>
      <c r="L587" s="163" t="s">
        <v>5174</v>
      </c>
      <c r="M587" s="163"/>
      <c r="N587" s="163"/>
      <c r="O587" s="163"/>
      <c r="P587" s="182" t="s">
        <v>461</v>
      </c>
      <c r="Q587" s="163" t="s">
        <v>1797</v>
      </c>
      <c r="R587" s="186" t="s">
        <v>4601</v>
      </c>
      <c r="S587" s="355"/>
      <c r="T587" s="182" t="s">
        <v>2751</v>
      </c>
      <c r="U587" s="182" t="s">
        <v>2752</v>
      </c>
      <c r="V587" s="182"/>
      <c r="W587" s="314" t="s">
        <v>4483</v>
      </c>
      <c r="X587" s="646" t="s">
        <v>12319</v>
      </c>
      <c r="Y587" s="355"/>
      <c r="Z587" s="185"/>
      <c r="AA587" s="185"/>
      <c r="AB587" s="33">
        <f t="shared" ca="1" si="10"/>
        <v>7.6015951033286733E-2</v>
      </c>
      <c r="AC587" s="813"/>
      <c r="AD587" s="211"/>
      <c r="AE587" s="875"/>
      <c r="AF587" s="922">
        <f>IF(X587=X586,AF586,0)+IF(ISNUMBER(I587),IF(I587&lt;1,I587,I587*VLOOKUP(J587,Summary!$H$2:$I$9,2)),VLOOKUP(J587,Summary!$J$2:$K$9,2)*IF(ISNUMBER(H587),H587,1))</f>
        <v>0.51030092592592569</v>
      </c>
      <c r="AG587" s="290">
        <v>586</v>
      </c>
      <c r="AH587" s="94"/>
      <c r="AI587" s="94"/>
    </row>
    <row r="588" spans="1:35" s="22" customFormat="1" ht="12" customHeight="1" x14ac:dyDescent="0.2">
      <c r="A588" s="447" t="s">
        <v>572</v>
      </c>
      <c r="B588" s="447">
        <v>2</v>
      </c>
      <c r="C588" s="447">
        <v>59</v>
      </c>
      <c r="D588" s="185" t="s">
        <v>815</v>
      </c>
      <c r="E588" s="314" t="s">
        <v>814</v>
      </c>
      <c r="F588" s="184">
        <v>25080</v>
      </c>
      <c r="G588" s="184">
        <v>25109</v>
      </c>
      <c r="H588" s="185">
        <v>5</v>
      </c>
      <c r="I588" s="185">
        <v>10</v>
      </c>
      <c r="J588" s="901" t="s">
        <v>1796</v>
      </c>
      <c r="K588" s="163" t="s">
        <v>6642</v>
      </c>
      <c r="L588" s="163" t="s">
        <v>5174</v>
      </c>
      <c r="M588" s="163"/>
      <c r="N588" s="163"/>
      <c r="O588" s="163"/>
      <c r="P588" s="182" t="s">
        <v>461</v>
      </c>
      <c r="Q588" s="163" t="s">
        <v>1797</v>
      </c>
      <c r="R588" s="186" t="s">
        <v>4601</v>
      </c>
      <c r="S588" s="355" t="s">
        <v>2596</v>
      </c>
      <c r="T588" s="182" t="s">
        <v>2751</v>
      </c>
      <c r="U588" s="182" t="s">
        <v>2752</v>
      </c>
      <c r="V588" s="182"/>
      <c r="W588" s="328"/>
      <c r="X588" s="660" t="s">
        <v>12319</v>
      </c>
      <c r="Y588" s="355"/>
      <c r="Z588" s="185"/>
      <c r="AA588" s="185"/>
      <c r="AB588" s="33">
        <f t="shared" ca="1" si="10"/>
        <v>0.67685996994637987</v>
      </c>
      <c r="AC588" s="813"/>
      <c r="AD588" s="211"/>
      <c r="AE588" s="875"/>
      <c r="AF588" s="922">
        <f>IF(X588=X587,AF587,0)+IF(ISNUMBER(I588),IF(I588&lt;1,I588,I588*VLOOKUP(J588,Summary!$H$2:$I$9,2)),VLOOKUP(J588,Summary!$J$2:$K$9,2)*IF(ISNUMBER(H588),H588,1))</f>
        <v>0.5137731481481479</v>
      </c>
      <c r="AG588" s="290">
        <v>587</v>
      </c>
      <c r="AH588" s="94"/>
      <c r="AI588" s="94"/>
    </row>
    <row r="589" spans="1:35" s="22" customFormat="1" ht="12" customHeight="1" x14ac:dyDescent="0.2">
      <c r="A589" s="447" t="s">
        <v>572</v>
      </c>
      <c r="B589" s="447">
        <v>2</v>
      </c>
      <c r="C589" s="447">
        <v>60</v>
      </c>
      <c r="D589" s="185" t="s">
        <v>4379</v>
      </c>
      <c r="E589" s="314" t="s">
        <v>816</v>
      </c>
      <c r="F589" s="184">
        <v>25116</v>
      </c>
      <c r="G589" s="184">
        <v>25137</v>
      </c>
      <c r="H589" s="185">
        <v>4</v>
      </c>
      <c r="I589" s="185">
        <v>8</v>
      </c>
      <c r="J589" s="901" t="s">
        <v>1796</v>
      </c>
      <c r="K589" s="163" t="s">
        <v>6642</v>
      </c>
      <c r="L589" s="163" t="s">
        <v>5174</v>
      </c>
      <c r="M589" s="163"/>
      <c r="N589" s="163"/>
      <c r="O589" s="163"/>
      <c r="P589" s="182" t="s">
        <v>461</v>
      </c>
      <c r="Q589" s="163" t="s">
        <v>1797</v>
      </c>
      <c r="R589" s="186" t="s">
        <v>4601</v>
      </c>
      <c r="S589" s="355" t="s">
        <v>2596</v>
      </c>
      <c r="T589" s="182"/>
      <c r="U589" s="182"/>
      <c r="V589" s="182"/>
      <c r="W589" s="328"/>
      <c r="X589" s="660" t="s">
        <v>12319</v>
      </c>
      <c r="Y589" s="355"/>
      <c r="Z589" s="185"/>
      <c r="AA589" s="185"/>
      <c r="AB589" s="33">
        <f t="shared" ca="1" si="10"/>
        <v>0.82812301793634058</v>
      </c>
      <c r="AC589" s="813"/>
      <c r="AD589" s="211"/>
      <c r="AE589" s="875"/>
      <c r="AF589" s="922">
        <f>IF(X589=X588,AF588,0)+IF(ISNUMBER(I589),IF(I589&lt;1,I589,I589*VLOOKUP(J589,Summary!$H$2:$I$9,2)),VLOOKUP(J589,Summary!$J$2:$K$9,2)*IF(ISNUMBER(H589),H589,1))</f>
        <v>0.51655092592592566</v>
      </c>
      <c r="AG589" s="290">
        <v>588</v>
      </c>
      <c r="AH589" s="94"/>
      <c r="AI589" s="94"/>
    </row>
    <row r="590" spans="1:35" s="22" customFormat="1" ht="12" customHeight="1" x14ac:dyDescent="0.2">
      <c r="A590" s="447" t="s">
        <v>572</v>
      </c>
      <c r="B590" s="447">
        <v>2</v>
      </c>
      <c r="C590" s="447">
        <v>61</v>
      </c>
      <c r="D590" s="185" t="s">
        <v>4381</v>
      </c>
      <c r="E590" s="314" t="s">
        <v>4380</v>
      </c>
      <c r="F590" s="184">
        <v>25144</v>
      </c>
      <c r="G590" s="184">
        <v>25165</v>
      </c>
      <c r="H590" s="185">
        <v>4</v>
      </c>
      <c r="I590" s="185">
        <v>8</v>
      </c>
      <c r="J590" s="901" t="s">
        <v>1796</v>
      </c>
      <c r="K590" s="163" t="s">
        <v>6642</v>
      </c>
      <c r="L590" s="163" t="s">
        <v>5174</v>
      </c>
      <c r="M590" s="163"/>
      <c r="N590" s="163"/>
      <c r="O590" s="163"/>
      <c r="P590" s="182" t="s">
        <v>461</v>
      </c>
      <c r="Q590" s="163" t="s">
        <v>1797</v>
      </c>
      <c r="R590" s="186" t="s">
        <v>4601</v>
      </c>
      <c r="S590" s="355" t="s">
        <v>2596</v>
      </c>
      <c r="T590" s="182"/>
      <c r="U590" s="182"/>
      <c r="V590" s="182"/>
      <c r="W590" s="328"/>
      <c r="X590" s="660" t="s">
        <v>12319</v>
      </c>
      <c r="Y590" s="355"/>
      <c r="Z590" s="185"/>
      <c r="AA590" s="185"/>
      <c r="AB590" s="33">
        <f t="shared" ca="1" si="10"/>
        <v>0.62020274790526231</v>
      </c>
      <c r="AC590" s="813"/>
      <c r="AD590" s="211"/>
      <c r="AE590" s="875"/>
      <c r="AF590" s="922">
        <f>IF(X590=X589,AF589,0)+IF(ISNUMBER(I590),IF(I590&lt;1,I590,I590*VLOOKUP(J590,Summary!$H$2:$I$9,2)),VLOOKUP(J590,Summary!$J$2:$K$9,2)*IF(ISNUMBER(H590),H590,1))</f>
        <v>0.51932870370370343</v>
      </c>
      <c r="AG590" s="290">
        <v>589</v>
      </c>
      <c r="AH590" s="94"/>
      <c r="AI590" s="94"/>
    </row>
    <row r="591" spans="1:35" s="43" customFormat="1" ht="12" customHeight="1" x14ac:dyDescent="0.25">
      <c r="A591" s="447" t="s">
        <v>572</v>
      </c>
      <c r="B591" s="447">
        <v>2</v>
      </c>
      <c r="C591" s="447">
        <v>62</v>
      </c>
      <c r="D591" s="185" t="s">
        <v>4383</v>
      </c>
      <c r="E591" s="314" t="s">
        <v>4382</v>
      </c>
      <c r="F591" s="184">
        <v>25172</v>
      </c>
      <c r="G591" s="184">
        <v>25200</v>
      </c>
      <c r="H591" s="185">
        <v>5</v>
      </c>
      <c r="I591" s="185">
        <v>10</v>
      </c>
      <c r="J591" s="901" t="s">
        <v>1796</v>
      </c>
      <c r="K591" s="163" t="s">
        <v>6642</v>
      </c>
      <c r="L591" s="163" t="s">
        <v>5174</v>
      </c>
      <c r="M591" s="163"/>
      <c r="N591" s="163"/>
      <c r="O591" s="163"/>
      <c r="P591" s="182" t="s">
        <v>461</v>
      </c>
      <c r="Q591" s="163" t="s">
        <v>1797</v>
      </c>
      <c r="R591" s="186" t="s">
        <v>4601</v>
      </c>
      <c r="S591" s="355" t="s">
        <v>2596</v>
      </c>
      <c r="T591" s="182"/>
      <c r="U591" s="182"/>
      <c r="V591" s="182"/>
      <c r="W591" s="328"/>
      <c r="X591" s="660" t="s">
        <v>12319</v>
      </c>
      <c r="Y591" s="355"/>
      <c r="Z591" s="185"/>
      <c r="AA591" s="185"/>
      <c r="AB591" s="33">
        <f t="shared" ca="1" si="10"/>
        <v>0.46256383211369556</v>
      </c>
      <c r="AC591" s="813"/>
      <c r="AD591" s="211"/>
      <c r="AE591" s="875"/>
      <c r="AF591" s="922">
        <f>IF(X591=X590,AF590,0)+IF(ISNUMBER(I591),IF(I591&lt;1,I591,I591*VLOOKUP(J591,Summary!$H$2:$I$9,2)),VLOOKUP(J591,Summary!$J$2:$K$9,2)*IF(ISNUMBER(H591),H591,1))</f>
        <v>0.52280092592592564</v>
      </c>
      <c r="AG591" s="290">
        <v>590</v>
      </c>
      <c r="AH591" s="94"/>
      <c r="AI591" s="94"/>
    </row>
    <row r="592" spans="1:35" s="2" customFormat="1" ht="12" customHeight="1" x14ac:dyDescent="0.25">
      <c r="A592" s="447" t="s">
        <v>572</v>
      </c>
      <c r="B592" s="447">
        <v>2</v>
      </c>
      <c r="C592" s="447">
        <v>65</v>
      </c>
      <c r="D592" s="185" t="s">
        <v>4484</v>
      </c>
      <c r="E592" s="314" t="s">
        <v>4393</v>
      </c>
      <c r="F592" s="184">
        <v>25207</v>
      </c>
      <c r="G592" s="184">
        <v>25228</v>
      </c>
      <c r="H592" s="185">
        <v>4</v>
      </c>
      <c r="I592" s="185">
        <v>8</v>
      </c>
      <c r="J592" s="901" t="s">
        <v>1796</v>
      </c>
      <c r="K592" s="163" t="s">
        <v>6642</v>
      </c>
      <c r="L592" s="163" t="s">
        <v>5174</v>
      </c>
      <c r="M592" s="163"/>
      <c r="N592" s="163"/>
      <c r="O592" s="163"/>
      <c r="P592" s="182" t="s">
        <v>461</v>
      </c>
      <c r="Q592" s="163" t="s">
        <v>1797</v>
      </c>
      <c r="R592" s="186" t="s">
        <v>4601</v>
      </c>
      <c r="S592" s="355" t="s">
        <v>2596</v>
      </c>
      <c r="T592" s="182"/>
      <c r="U592" s="182"/>
      <c r="V592" s="182"/>
      <c r="W592" s="328"/>
      <c r="X592" s="660" t="s">
        <v>12319</v>
      </c>
      <c r="Y592" s="355"/>
      <c r="Z592" s="185"/>
      <c r="AA592" s="185"/>
      <c r="AB592" s="33">
        <f t="shared" ca="1" si="10"/>
        <v>0.16930436237934388</v>
      </c>
      <c r="AC592" s="813"/>
      <c r="AD592" s="211"/>
      <c r="AE592" s="875"/>
      <c r="AF592" s="922">
        <f>IF(X592=X591,AF591,0)+IF(ISNUMBER(I592),IF(I592&lt;1,I592,I592*VLOOKUP(J592,Summary!$H$2:$I$9,2)),VLOOKUP(J592,Summary!$J$2:$K$9,2)*IF(ISNUMBER(H592),H592,1))</f>
        <v>0.52557870370370341</v>
      </c>
      <c r="AG592" s="290">
        <v>591</v>
      </c>
      <c r="AH592" s="94"/>
      <c r="AI592" s="94"/>
    </row>
    <row r="593" spans="1:35" s="22" customFormat="1" ht="12" customHeight="1" x14ac:dyDescent="0.2">
      <c r="A593" s="447" t="s">
        <v>572</v>
      </c>
      <c r="B593" s="447">
        <v>2</v>
      </c>
      <c r="C593" s="447">
        <v>66</v>
      </c>
      <c r="D593" s="185" t="s">
        <v>4486</v>
      </c>
      <c r="E593" s="314" t="s">
        <v>4485</v>
      </c>
      <c r="F593" s="184">
        <v>25235</v>
      </c>
      <c r="G593" s="184">
        <v>25263</v>
      </c>
      <c r="H593" s="185">
        <v>5</v>
      </c>
      <c r="I593" s="185">
        <v>10</v>
      </c>
      <c r="J593" s="901" t="s">
        <v>1796</v>
      </c>
      <c r="K593" s="163" t="s">
        <v>6642</v>
      </c>
      <c r="L593" s="163" t="s">
        <v>5174</v>
      </c>
      <c r="M593" s="163"/>
      <c r="N593" s="163"/>
      <c r="O593" s="163"/>
      <c r="P593" s="182" t="s">
        <v>461</v>
      </c>
      <c r="Q593" s="163" t="s">
        <v>1797</v>
      </c>
      <c r="R593" s="186" t="s">
        <v>4601</v>
      </c>
      <c r="S593" s="355" t="s">
        <v>2596</v>
      </c>
      <c r="T593" s="182"/>
      <c r="U593" s="182"/>
      <c r="V593" s="182"/>
      <c r="W593" s="328"/>
      <c r="X593" s="660" t="s">
        <v>12319</v>
      </c>
      <c r="Y593" s="355"/>
      <c r="Z593" s="185"/>
      <c r="AA593" s="185"/>
      <c r="AB593" s="33">
        <f t="shared" ca="1" si="10"/>
        <v>4.793998416121803E-2</v>
      </c>
      <c r="AC593" s="813"/>
      <c r="AD593" s="211"/>
      <c r="AE593" s="875"/>
      <c r="AF593" s="922">
        <f>IF(X593=X592,AF592,0)+IF(ISNUMBER(I593),IF(I593&lt;1,I593,I593*VLOOKUP(J593,Summary!$H$2:$I$9,2)),VLOOKUP(J593,Summary!$J$2:$K$9,2)*IF(ISNUMBER(H593),H593,1))</f>
        <v>0.52905092592592562</v>
      </c>
      <c r="AG593" s="290">
        <v>592</v>
      </c>
      <c r="AH593" s="94"/>
      <c r="AI593" s="94"/>
    </row>
    <row r="594" spans="1:35" s="2" customFormat="1" ht="12" customHeight="1" x14ac:dyDescent="0.25">
      <c r="A594" s="444" t="s">
        <v>572</v>
      </c>
      <c r="B594" s="444">
        <v>2</v>
      </c>
      <c r="C594" s="445">
        <v>23.19</v>
      </c>
      <c r="D594" s="176" t="s">
        <v>2978</v>
      </c>
      <c r="E594" s="313" t="s">
        <v>2979</v>
      </c>
      <c r="F594" s="174">
        <v>39234</v>
      </c>
      <c r="G594" s="174"/>
      <c r="H594" s="176">
        <v>1</v>
      </c>
      <c r="I594" s="176">
        <v>17</v>
      </c>
      <c r="J594" s="900" t="s">
        <v>2755</v>
      </c>
      <c r="K594" s="164" t="s">
        <v>2980</v>
      </c>
      <c r="L594" s="164" t="s">
        <v>461</v>
      </c>
      <c r="M594" s="164"/>
      <c r="N594" s="164" t="s">
        <v>804</v>
      </c>
      <c r="O594" s="164"/>
      <c r="P594" s="173" t="s">
        <v>6700</v>
      </c>
      <c r="Q594" s="164" t="s">
        <v>3947</v>
      </c>
      <c r="R594" s="177" t="s">
        <v>2723</v>
      </c>
      <c r="S594" s="354" t="s">
        <v>2596</v>
      </c>
      <c r="T594" s="173"/>
      <c r="U594" s="173"/>
      <c r="V594" s="173"/>
      <c r="W594" s="313" t="s">
        <v>2979</v>
      </c>
      <c r="X594" s="645" t="s">
        <v>12319</v>
      </c>
      <c r="Y594" s="354"/>
      <c r="Z594" s="176"/>
      <c r="AA594" s="176"/>
      <c r="AB594" s="32">
        <f t="shared" ca="1" si="10"/>
        <v>0.31767205485279992</v>
      </c>
      <c r="AC594" s="812"/>
      <c r="AD594" s="763"/>
      <c r="AE594" s="807"/>
      <c r="AF594" s="921">
        <f>IF(X594=X593,AF593,0)+IF(ISNUMBER(I594),IF(I594&lt;1,I594,I594*VLOOKUP(J594,Summary!$H$2:$I$9,2)),VLOOKUP(J594,Summary!$J$2:$K$9,2)*IF(ISNUMBER(H594),H594,1))</f>
        <v>0.54085648148148113</v>
      </c>
      <c r="AG594" s="289">
        <v>593</v>
      </c>
      <c r="AH594" s="94"/>
      <c r="AI594" s="94"/>
    </row>
    <row r="595" spans="1:35" s="43" customFormat="1" ht="12" customHeight="1" x14ac:dyDescent="0.25">
      <c r="A595" s="444" t="s">
        <v>572</v>
      </c>
      <c r="B595" s="444">
        <v>2</v>
      </c>
      <c r="C595" s="445">
        <v>25.14</v>
      </c>
      <c r="D595" s="176" t="s">
        <v>2981</v>
      </c>
      <c r="E595" s="313" t="s">
        <v>2982</v>
      </c>
      <c r="F595" s="174">
        <v>39417</v>
      </c>
      <c r="G595" s="174"/>
      <c r="H595" s="176">
        <v>1</v>
      </c>
      <c r="I595" s="176">
        <v>11</v>
      </c>
      <c r="J595" s="900" t="s">
        <v>2755</v>
      </c>
      <c r="K595" s="164" t="s">
        <v>2983</v>
      </c>
      <c r="L595" s="164" t="s">
        <v>461</v>
      </c>
      <c r="M595" s="164"/>
      <c r="N595" s="164" t="s">
        <v>5146</v>
      </c>
      <c r="O595" s="164"/>
      <c r="P595" s="173" t="s">
        <v>6701</v>
      </c>
      <c r="Q595" s="164" t="s">
        <v>3947</v>
      </c>
      <c r="R595" s="177" t="s">
        <v>2723</v>
      </c>
      <c r="S595" s="354" t="s">
        <v>2596</v>
      </c>
      <c r="T595" s="173"/>
      <c r="U595" s="173"/>
      <c r="V595" s="173"/>
      <c r="W595" s="313" t="s">
        <v>2982</v>
      </c>
      <c r="X595" s="645" t="s">
        <v>12319</v>
      </c>
      <c r="Y595" s="354"/>
      <c r="Z595" s="176"/>
      <c r="AA595" s="176"/>
      <c r="AB595" s="32">
        <f t="shared" ca="1" si="10"/>
        <v>0.37843942839199984</v>
      </c>
      <c r="AC595" s="812"/>
      <c r="AD595" s="763" t="s">
        <v>16915</v>
      </c>
      <c r="AE595" s="807"/>
      <c r="AF595" s="921">
        <f>IF(X595=X594,AF594,0)+IF(ISNUMBER(I595),IF(I595&lt;1,I595,I595*VLOOKUP(J595,Summary!$H$2:$I$9,2)),VLOOKUP(J595,Summary!$J$2:$K$9,2)*IF(ISNUMBER(H595),H595,1))</f>
        <v>0.54849537037036999</v>
      </c>
      <c r="AG595" s="289">
        <v>594</v>
      </c>
      <c r="AH595" s="94"/>
      <c r="AI595" s="94"/>
    </row>
    <row r="596" spans="1:35" s="29" customFormat="1" ht="12" customHeight="1" x14ac:dyDescent="0.25">
      <c r="A596" s="444" t="s">
        <v>572</v>
      </c>
      <c r="B596" s="444">
        <v>2</v>
      </c>
      <c r="C596" s="445">
        <v>26.13</v>
      </c>
      <c r="D596" s="176" t="s">
        <v>2984</v>
      </c>
      <c r="E596" s="313" t="s">
        <v>2985</v>
      </c>
      <c r="F596" s="174">
        <v>39508</v>
      </c>
      <c r="G596" s="174"/>
      <c r="H596" s="176">
        <v>1</v>
      </c>
      <c r="I596" s="176">
        <v>15</v>
      </c>
      <c r="J596" s="900" t="s">
        <v>2755</v>
      </c>
      <c r="K596" s="164" t="s">
        <v>2986</v>
      </c>
      <c r="L596" s="164" t="s">
        <v>461</v>
      </c>
      <c r="M596" s="164"/>
      <c r="N596" s="164" t="s">
        <v>7381</v>
      </c>
      <c r="O596" s="164"/>
      <c r="P596" s="173" t="s">
        <v>6706</v>
      </c>
      <c r="Q596" s="164" t="s">
        <v>3947</v>
      </c>
      <c r="R596" s="177" t="s">
        <v>2723</v>
      </c>
      <c r="S596" s="354" t="s">
        <v>2596</v>
      </c>
      <c r="T596" s="173">
        <v>5</v>
      </c>
      <c r="U596" s="173" t="s">
        <v>2322</v>
      </c>
      <c r="V596" s="173"/>
      <c r="W596" s="313" t="s">
        <v>2985</v>
      </c>
      <c r="X596" s="645" t="s">
        <v>12319</v>
      </c>
      <c r="Y596" s="354"/>
      <c r="Z596" s="176"/>
      <c r="AA596" s="176"/>
      <c r="AB596" s="32">
        <f t="shared" ca="1" si="10"/>
        <v>0.59673276747493642</v>
      </c>
      <c r="AC596" s="812"/>
      <c r="AD596" s="763"/>
      <c r="AE596" s="807"/>
      <c r="AF596" s="921">
        <f>IF(X596=X595,AF595,0)+IF(ISNUMBER(I596),IF(I596&lt;1,I596,I596*VLOOKUP(J596,Summary!$H$2:$I$9,2)),VLOOKUP(J596,Summary!$J$2:$K$9,2)*IF(ISNUMBER(H596),H596,1))</f>
        <v>0.55891203703703662</v>
      </c>
      <c r="AG596" s="289">
        <v>595</v>
      </c>
      <c r="AH596" s="94"/>
      <c r="AI596" s="94"/>
    </row>
    <row r="597" spans="1:35" s="22" customFormat="1" ht="12" customHeight="1" x14ac:dyDescent="0.2">
      <c r="A597" s="447" t="s">
        <v>572</v>
      </c>
      <c r="B597" s="447">
        <v>2</v>
      </c>
      <c r="C597" s="447">
        <v>67</v>
      </c>
      <c r="D597" s="185" t="s">
        <v>4488</v>
      </c>
      <c r="E597" s="314" t="s">
        <v>4487</v>
      </c>
      <c r="F597" s="184">
        <v>25270</v>
      </c>
      <c r="G597" s="184">
        <v>25291</v>
      </c>
      <c r="H597" s="185">
        <v>4</v>
      </c>
      <c r="I597" s="185">
        <v>8</v>
      </c>
      <c r="J597" s="901" t="s">
        <v>1796</v>
      </c>
      <c r="K597" s="163" t="s">
        <v>6642</v>
      </c>
      <c r="L597" s="163" t="s">
        <v>5174</v>
      </c>
      <c r="M597" s="163"/>
      <c r="N597" s="163"/>
      <c r="O597" s="163"/>
      <c r="P597" s="182" t="s">
        <v>461</v>
      </c>
      <c r="Q597" s="163" t="s">
        <v>1797</v>
      </c>
      <c r="R597" s="186" t="s">
        <v>4601</v>
      </c>
      <c r="S597" s="355"/>
      <c r="T597" s="182"/>
      <c r="U597" s="182"/>
      <c r="V597" s="182"/>
      <c r="W597" s="328"/>
      <c r="X597" s="660" t="s">
        <v>12319</v>
      </c>
      <c r="Y597" s="355"/>
      <c r="Z597" s="185"/>
      <c r="AA597" s="185"/>
      <c r="AB597" s="33">
        <f t="shared" ca="1" si="10"/>
        <v>0.33568491627173169</v>
      </c>
      <c r="AC597" s="813"/>
      <c r="AD597" s="211"/>
      <c r="AE597" s="875"/>
      <c r="AF597" s="922">
        <f>IF(X597=X596,AF596,0)+IF(ISNUMBER(I597),IF(I597&lt;1,I597,I597*VLOOKUP(J597,Summary!$H$2:$I$9,2)),VLOOKUP(J597,Summary!$J$2:$K$9,2)*IF(ISNUMBER(H597),H597,1))</f>
        <v>0.56168981481481439</v>
      </c>
      <c r="AG597" s="290">
        <v>596</v>
      </c>
      <c r="AH597" s="94"/>
      <c r="AI597" s="94"/>
    </row>
    <row r="598" spans="1:35" s="3" customFormat="1" ht="12" customHeight="1" x14ac:dyDescent="0.25">
      <c r="A598" s="447" t="s">
        <v>572</v>
      </c>
      <c r="B598" s="447">
        <v>2</v>
      </c>
      <c r="C598" s="447">
        <v>70</v>
      </c>
      <c r="D598" s="185" t="s">
        <v>4490</v>
      </c>
      <c r="E598" s="314" t="s">
        <v>4489</v>
      </c>
      <c r="F598" s="184">
        <v>25298</v>
      </c>
      <c r="G598" s="184">
        <v>25319</v>
      </c>
      <c r="H598" s="185">
        <v>4</v>
      </c>
      <c r="I598" s="185">
        <v>8</v>
      </c>
      <c r="J598" s="901" t="s">
        <v>1796</v>
      </c>
      <c r="K598" s="163" t="s">
        <v>6642</v>
      </c>
      <c r="L598" s="163" t="s">
        <v>5174</v>
      </c>
      <c r="M598" s="163"/>
      <c r="N598" s="163"/>
      <c r="O598" s="163"/>
      <c r="P598" s="182" t="s">
        <v>461</v>
      </c>
      <c r="Q598" s="163" t="s">
        <v>1797</v>
      </c>
      <c r="R598" s="186" t="s">
        <v>4601</v>
      </c>
      <c r="S598" s="355"/>
      <c r="T598" s="182"/>
      <c r="U598" s="182"/>
      <c r="V598" s="182"/>
      <c r="W598" s="328"/>
      <c r="X598" s="660" t="s">
        <v>12319</v>
      </c>
      <c r="Y598" s="355"/>
      <c r="Z598" s="185"/>
      <c r="AA598" s="185"/>
      <c r="AB598" s="33">
        <f t="shared" ca="1" si="10"/>
        <v>0.34925993588105886</v>
      </c>
      <c r="AC598" s="813"/>
      <c r="AD598" s="211"/>
      <c r="AE598" s="875"/>
      <c r="AF598" s="922">
        <f>IF(X598=X597,AF597,0)+IF(ISNUMBER(I598),IF(I598&lt;1,I598,I598*VLOOKUP(J598,Summary!$H$2:$I$9,2)),VLOOKUP(J598,Summary!$J$2:$K$9,2)*IF(ISNUMBER(H598),H598,1))</f>
        <v>0.56446759259259216</v>
      </c>
      <c r="AG598" s="290">
        <v>597</v>
      </c>
      <c r="AH598" s="94"/>
      <c r="AI598" s="94"/>
    </row>
    <row r="599" spans="1:35" s="1" customFormat="1" ht="12" customHeight="1" x14ac:dyDescent="0.25">
      <c r="A599" s="447" t="s">
        <v>572</v>
      </c>
      <c r="B599" s="447">
        <v>2</v>
      </c>
      <c r="C599" s="447">
        <v>71</v>
      </c>
      <c r="D599" s="185" t="s">
        <v>4492</v>
      </c>
      <c r="E599" s="314" t="s">
        <v>4491</v>
      </c>
      <c r="F599" s="184">
        <v>25326</v>
      </c>
      <c r="G599" s="184">
        <v>25347</v>
      </c>
      <c r="H599" s="185">
        <v>4</v>
      </c>
      <c r="I599" s="185">
        <v>8</v>
      </c>
      <c r="J599" s="901" t="s">
        <v>1796</v>
      </c>
      <c r="K599" s="163" t="s">
        <v>6642</v>
      </c>
      <c r="L599" s="163" t="s">
        <v>5174</v>
      </c>
      <c r="M599" s="163"/>
      <c r="N599" s="163"/>
      <c r="O599" s="163"/>
      <c r="P599" s="182" t="s">
        <v>461</v>
      </c>
      <c r="Q599" s="163" t="s">
        <v>1797</v>
      </c>
      <c r="R599" s="186" t="s">
        <v>4601</v>
      </c>
      <c r="S599" s="355"/>
      <c r="T599" s="182"/>
      <c r="U599" s="182"/>
      <c r="V599" s="182"/>
      <c r="W599" s="328"/>
      <c r="X599" s="660" t="s">
        <v>12319</v>
      </c>
      <c r="Y599" s="355"/>
      <c r="Z599" s="185"/>
      <c r="AA599" s="185"/>
      <c r="AB599" s="33">
        <f t="shared" ca="1" si="10"/>
        <v>0.14138921353112877</v>
      </c>
      <c r="AC599" s="813"/>
      <c r="AD599" s="211"/>
      <c r="AE599" s="875"/>
      <c r="AF599" s="922">
        <f>IF(X599=X598,AF598,0)+IF(ISNUMBER(I599),IF(I599&lt;1,I599,I599*VLOOKUP(J599,Summary!$H$2:$I$9,2)),VLOOKUP(J599,Summary!$J$2:$K$9,2)*IF(ISNUMBER(H599),H599,1))</f>
        <v>0.56724537037036993</v>
      </c>
      <c r="AG599" s="290">
        <v>598</v>
      </c>
      <c r="AH599" s="94"/>
      <c r="AI599" s="94"/>
    </row>
    <row r="600" spans="1:35" s="22" customFormat="1" ht="12" customHeight="1" x14ac:dyDescent="0.2">
      <c r="A600" s="447" t="s">
        <v>572</v>
      </c>
      <c r="B600" s="447">
        <v>2</v>
      </c>
      <c r="C600" s="447">
        <v>72</v>
      </c>
      <c r="D600" s="185" t="s">
        <v>4496</v>
      </c>
      <c r="E600" s="314" t="s">
        <v>4495</v>
      </c>
      <c r="F600" s="183">
        <v>25355</v>
      </c>
      <c r="G600" s="183"/>
      <c r="H600" s="185">
        <v>1</v>
      </c>
      <c r="I600" s="185">
        <v>2</v>
      </c>
      <c r="J600" s="901" t="s">
        <v>1796</v>
      </c>
      <c r="K600" s="163" t="s">
        <v>6642</v>
      </c>
      <c r="L600" s="163" t="s">
        <v>2140</v>
      </c>
      <c r="M600" s="163"/>
      <c r="N600" s="163"/>
      <c r="O600" s="163"/>
      <c r="P600" s="182" t="s">
        <v>461</v>
      </c>
      <c r="Q600" s="163" t="s">
        <v>1797</v>
      </c>
      <c r="R600" s="186" t="s">
        <v>4601</v>
      </c>
      <c r="S600" s="355"/>
      <c r="T600" s="182"/>
      <c r="U600" s="182"/>
      <c r="V600" s="182"/>
      <c r="W600" s="314" t="s">
        <v>4495</v>
      </c>
      <c r="X600" s="646" t="s">
        <v>12319</v>
      </c>
      <c r="Y600" s="355"/>
      <c r="Z600" s="185"/>
      <c r="AA600" s="185"/>
      <c r="AB600" s="33">
        <f t="shared" ca="1" si="10"/>
        <v>0.19169259258450178</v>
      </c>
      <c r="AC600" s="813"/>
      <c r="AD600" s="211"/>
      <c r="AE600" s="875"/>
      <c r="AF600" s="922">
        <f>IF(X600=X599,AF599,0)+IF(ISNUMBER(I600),IF(I600&lt;1,I600,I600*VLOOKUP(J600,Summary!$H$2:$I$9,2)),VLOOKUP(J600,Summary!$J$2:$K$9,2)*IF(ISNUMBER(H600),H600,1))</f>
        <v>0.56793981481481437</v>
      </c>
      <c r="AG600" s="290">
        <v>599</v>
      </c>
      <c r="AH600" s="94"/>
      <c r="AI600" s="94"/>
    </row>
    <row r="601" spans="1:35" s="22" customFormat="1" ht="12" customHeight="1" x14ac:dyDescent="0.2">
      <c r="A601" s="447" t="s">
        <v>572</v>
      </c>
      <c r="B601" s="447">
        <v>2</v>
      </c>
      <c r="C601" s="447">
        <v>73</v>
      </c>
      <c r="D601" s="185" t="s">
        <v>4496</v>
      </c>
      <c r="E601" s="314" t="s">
        <v>4497</v>
      </c>
      <c r="F601" s="183">
        <v>25355</v>
      </c>
      <c r="G601" s="183"/>
      <c r="H601" s="185">
        <v>1</v>
      </c>
      <c r="I601" s="185">
        <v>2</v>
      </c>
      <c r="J601" s="901" t="s">
        <v>1796</v>
      </c>
      <c r="K601" s="163" t="s">
        <v>6642</v>
      </c>
      <c r="L601" s="163" t="s">
        <v>2140</v>
      </c>
      <c r="M601" s="163"/>
      <c r="N601" s="163"/>
      <c r="O601" s="163"/>
      <c r="P601" s="182" t="s">
        <v>461</v>
      </c>
      <c r="Q601" s="163" t="s">
        <v>1797</v>
      </c>
      <c r="R601" s="186" t="s">
        <v>4601</v>
      </c>
      <c r="S601" s="355"/>
      <c r="T601" s="182"/>
      <c r="U601" s="182"/>
      <c r="V601" s="182"/>
      <c r="W601" s="314" t="s">
        <v>4497</v>
      </c>
      <c r="X601" s="646" t="s">
        <v>12319</v>
      </c>
      <c r="Y601" s="355"/>
      <c r="Z601" s="185"/>
      <c r="AA601" s="185"/>
      <c r="AB601" s="33">
        <f t="shared" ca="1" si="10"/>
        <v>0.27561218696045398</v>
      </c>
      <c r="AC601" s="813"/>
      <c r="AD601" s="211"/>
      <c r="AE601" s="875"/>
      <c r="AF601" s="922">
        <f>IF(X601=X600,AF600,0)+IF(ISNUMBER(I601),IF(I601&lt;1,I601,I601*VLOOKUP(J601,Summary!$H$2:$I$9,2)),VLOOKUP(J601,Summary!$J$2:$K$9,2)*IF(ISNUMBER(H601),H601,1))</f>
        <v>0.56863425925925881</v>
      </c>
      <c r="AG601" s="290">
        <v>600</v>
      </c>
      <c r="AH601" s="94"/>
      <c r="AI601" s="94"/>
    </row>
    <row r="602" spans="1:35" s="22" customFormat="1" ht="12" customHeight="1" x14ac:dyDescent="0.2">
      <c r="A602" s="447" t="s">
        <v>572</v>
      </c>
      <c r="B602" s="447">
        <v>2</v>
      </c>
      <c r="C602" s="447">
        <v>74</v>
      </c>
      <c r="D602" s="185" t="s">
        <v>4494</v>
      </c>
      <c r="E602" s="314" t="s">
        <v>4493</v>
      </c>
      <c r="F602" s="184">
        <v>25354</v>
      </c>
      <c r="G602" s="184">
        <v>25382</v>
      </c>
      <c r="H602" s="185">
        <v>5</v>
      </c>
      <c r="I602" s="185">
        <v>10</v>
      </c>
      <c r="J602" s="901" t="s">
        <v>1796</v>
      </c>
      <c r="K602" s="163" t="s">
        <v>6642</v>
      </c>
      <c r="L602" s="163" t="s">
        <v>5174</v>
      </c>
      <c r="M602" s="163"/>
      <c r="N602" s="163"/>
      <c r="O602" s="163"/>
      <c r="P602" s="182" t="s">
        <v>461</v>
      </c>
      <c r="Q602" s="163" t="s">
        <v>1797</v>
      </c>
      <c r="R602" s="186" t="s">
        <v>4601</v>
      </c>
      <c r="S602" s="355"/>
      <c r="T602" s="182"/>
      <c r="U602" s="182"/>
      <c r="V602" s="182"/>
      <c r="W602" s="328"/>
      <c r="X602" s="660" t="s">
        <v>12319</v>
      </c>
      <c r="Y602" s="355"/>
      <c r="Z602" s="185"/>
      <c r="AA602" s="185"/>
      <c r="AB602" s="33">
        <f t="shared" ca="1" si="10"/>
        <v>0.78934434077628846</v>
      </c>
      <c r="AC602" s="813"/>
      <c r="AD602" s="211"/>
      <c r="AE602" s="875"/>
      <c r="AF602" s="922">
        <f>IF(X602=X601,AF601,0)+IF(ISNUMBER(I602),IF(I602&lt;1,I602,I602*VLOOKUP(J602,Summary!$H$2:$I$9,2)),VLOOKUP(J602,Summary!$J$2:$K$9,2)*IF(ISNUMBER(H602),H602,1))</f>
        <v>0.57210648148148102</v>
      </c>
      <c r="AG602" s="290">
        <v>601</v>
      </c>
      <c r="AH602" s="94"/>
      <c r="AI602" s="94"/>
    </row>
    <row r="603" spans="1:35" s="29" customFormat="1" ht="12" customHeight="1" x14ac:dyDescent="0.25">
      <c r="A603" s="444" t="s">
        <v>572</v>
      </c>
      <c r="B603" s="444">
        <v>2</v>
      </c>
      <c r="C603" s="445">
        <v>14.1</v>
      </c>
      <c r="D603" s="176" t="s">
        <v>2813</v>
      </c>
      <c r="E603" s="313" t="s">
        <v>313</v>
      </c>
      <c r="F603" s="174">
        <v>38322</v>
      </c>
      <c r="G603" s="183"/>
      <c r="H603" s="176">
        <v>1</v>
      </c>
      <c r="I603" s="176">
        <v>10</v>
      </c>
      <c r="J603" s="900" t="s">
        <v>2755</v>
      </c>
      <c r="K603" s="164" t="s">
        <v>1936</v>
      </c>
      <c r="L603" s="164" t="s">
        <v>461</v>
      </c>
      <c r="M603" s="164"/>
      <c r="N603" s="164" t="s">
        <v>3807</v>
      </c>
      <c r="O603" s="164"/>
      <c r="P603" s="173" t="s">
        <v>6565</v>
      </c>
      <c r="Q603" s="164" t="s">
        <v>3947</v>
      </c>
      <c r="R603" s="177" t="s">
        <v>2723</v>
      </c>
      <c r="S603" s="354"/>
      <c r="T603" s="173"/>
      <c r="U603" s="173"/>
      <c r="V603" s="173"/>
      <c r="W603" s="313" t="s">
        <v>313</v>
      </c>
      <c r="X603" s="645" t="s">
        <v>12319</v>
      </c>
      <c r="Y603" s="354"/>
      <c r="Z603" s="176"/>
      <c r="AA603" s="176"/>
      <c r="AB603" s="32">
        <f t="shared" ca="1" si="10"/>
        <v>0.86968095179276161</v>
      </c>
      <c r="AC603" s="812"/>
      <c r="AD603" s="763" t="s">
        <v>16916</v>
      </c>
      <c r="AE603" s="807"/>
      <c r="AF603" s="921">
        <f>IF(X603=X602,AF602,0)+IF(ISNUMBER(I603),IF(I603&lt;1,I603,I603*VLOOKUP(J603,Summary!$H$2:$I$9,2)),VLOOKUP(J603,Summary!$J$2:$K$9,2)*IF(ISNUMBER(H603),H603,1))</f>
        <v>0.57905092592592544</v>
      </c>
      <c r="AG603" s="289">
        <v>602</v>
      </c>
      <c r="AH603" s="94"/>
      <c r="AI603" s="94"/>
    </row>
    <row r="604" spans="1:35" s="22" customFormat="1" ht="12" customHeight="1" x14ac:dyDescent="0.2">
      <c r="A604" s="447" t="s">
        <v>572</v>
      </c>
      <c r="B604" s="447">
        <v>2</v>
      </c>
      <c r="C604" s="447">
        <v>68</v>
      </c>
      <c r="D604" s="185" t="s">
        <v>4224</v>
      </c>
      <c r="E604" s="314" t="s">
        <v>2788</v>
      </c>
      <c r="F604" s="183">
        <v>25812</v>
      </c>
      <c r="G604" s="183"/>
      <c r="H604" s="185">
        <v>1</v>
      </c>
      <c r="I604" s="185">
        <v>4</v>
      </c>
      <c r="J604" s="901" t="s">
        <v>1796</v>
      </c>
      <c r="K604" s="163" t="s">
        <v>6642</v>
      </c>
      <c r="L604" s="163" t="s">
        <v>5174</v>
      </c>
      <c r="M604" s="163"/>
      <c r="N604" s="163"/>
      <c r="O604" s="163"/>
      <c r="P604" s="182" t="s">
        <v>461</v>
      </c>
      <c r="Q604" s="163" t="s">
        <v>1797</v>
      </c>
      <c r="R604" s="186" t="s">
        <v>4601</v>
      </c>
      <c r="S604" s="355"/>
      <c r="T604" s="182"/>
      <c r="U604" s="182"/>
      <c r="V604" s="182"/>
      <c r="W604" s="314" t="s">
        <v>2788</v>
      </c>
      <c r="X604" s="646" t="s">
        <v>12319</v>
      </c>
      <c r="Y604" s="355"/>
      <c r="Z604" s="185"/>
      <c r="AA604" s="185"/>
      <c r="AB604" s="33">
        <f t="shared" ca="1" si="10"/>
        <v>0.33813523027843573</v>
      </c>
      <c r="AC604" s="813"/>
      <c r="AD604" s="211"/>
      <c r="AE604" s="875"/>
      <c r="AF604" s="922">
        <f>IF(X604=X603,AF603,0)+IF(ISNUMBER(I604),IF(I604&lt;1,I604,I604*VLOOKUP(J604,Summary!$H$2:$I$9,2)),VLOOKUP(J604,Summary!$J$2:$K$9,2)*IF(ISNUMBER(H604),H604,1))</f>
        <v>0.58043981481481433</v>
      </c>
      <c r="AG604" s="290">
        <v>603</v>
      </c>
      <c r="AH604" s="94"/>
      <c r="AI604" s="94"/>
    </row>
    <row r="605" spans="1:35" s="1" customFormat="1" ht="12" customHeight="1" x14ac:dyDescent="0.25">
      <c r="A605" s="447" t="s">
        <v>572</v>
      </c>
      <c r="B605" s="447">
        <v>2</v>
      </c>
      <c r="C605" s="447">
        <v>69</v>
      </c>
      <c r="D605" s="185" t="s">
        <v>4224</v>
      </c>
      <c r="E605" s="314" t="s">
        <v>2789</v>
      </c>
      <c r="F605" s="183">
        <v>25812</v>
      </c>
      <c r="G605" s="183"/>
      <c r="H605" s="185">
        <v>1</v>
      </c>
      <c r="I605" s="185">
        <v>4</v>
      </c>
      <c r="J605" s="901" t="s">
        <v>1796</v>
      </c>
      <c r="K605" s="163" t="s">
        <v>6642</v>
      </c>
      <c r="L605" s="163" t="s">
        <v>5174</v>
      </c>
      <c r="M605" s="163"/>
      <c r="N605" s="163"/>
      <c r="O605" s="163"/>
      <c r="P605" s="182" t="s">
        <v>461</v>
      </c>
      <c r="Q605" s="163" t="s">
        <v>1797</v>
      </c>
      <c r="R605" s="186" t="s">
        <v>4601</v>
      </c>
      <c r="S605" s="355"/>
      <c r="T605" s="182"/>
      <c r="U605" s="182"/>
      <c r="V605" s="182"/>
      <c r="W605" s="314" t="s">
        <v>2789</v>
      </c>
      <c r="X605" s="646" t="s">
        <v>12319</v>
      </c>
      <c r="Y605" s="355"/>
      <c r="Z605" s="185"/>
      <c r="AA605" s="185"/>
      <c r="AB605" s="33">
        <f t="shared" ca="1" si="10"/>
        <v>0.78273149111385176</v>
      </c>
      <c r="AC605" s="813"/>
      <c r="AD605" s="211"/>
      <c r="AE605" s="875"/>
      <c r="AF605" s="922">
        <f>IF(X605=X604,AF604,0)+IF(ISNUMBER(I605),IF(I605&lt;1,I605,I605*VLOOKUP(J605,Summary!$H$2:$I$9,2)),VLOOKUP(J605,Summary!$J$2:$K$9,2)*IF(ISNUMBER(H605),H605,1))</f>
        <v>0.58182870370370321</v>
      </c>
      <c r="AG605" s="290">
        <v>604</v>
      </c>
      <c r="AH605" s="94"/>
      <c r="AI605" s="94"/>
    </row>
    <row r="606" spans="1:35" s="22" customFormat="1" ht="12" customHeight="1" x14ac:dyDescent="0.25">
      <c r="A606" s="444" t="s">
        <v>572</v>
      </c>
      <c r="B606" s="444">
        <v>2</v>
      </c>
      <c r="C606" s="444">
        <v>48</v>
      </c>
      <c r="D606" s="176" t="s">
        <v>558</v>
      </c>
      <c r="E606" s="313" t="s">
        <v>5851</v>
      </c>
      <c r="F606" s="174">
        <v>34213</v>
      </c>
      <c r="G606" s="174"/>
      <c r="H606" s="176">
        <v>1</v>
      </c>
      <c r="I606" s="176">
        <v>5</v>
      </c>
      <c r="J606" s="900" t="s">
        <v>2755</v>
      </c>
      <c r="K606" s="164" t="s">
        <v>941</v>
      </c>
      <c r="L606" s="164" t="s">
        <v>461</v>
      </c>
      <c r="M606" s="164"/>
      <c r="N606" s="164" t="s">
        <v>7375</v>
      </c>
      <c r="O606" s="164"/>
      <c r="P606" s="173" t="s">
        <v>2413</v>
      </c>
      <c r="Q606" s="164" t="s">
        <v>4062</v>
      </c>
      <c r="R606" s="177" t="s">
        <v>4599</v>
      </c>
      <c r="S606" s="354"/>
      <c r="T606" s="173"/>
      <c r="U606" s="173"/>
      <c r="V606" s="173"/>
      <c r="W606" s="313" t="s">
        <v>5851</v>
      </c>
      <c r="X606" s="645" t="s">
        <v>12319</v>
      </c>
      <c r="Y606" s="354"/>
      <c r="Z606" s="176"/>
      <c r="AA606" s="176"/>
      <c r="AB606" s="32">
        <f t="shared" ca="1" si="10"/>
        <v>0.98867909345146932</v>
      </c>
      <c r="AC606" s="812"/>
      <c r="AD606" s="842" t="s">
        <v>16917</v>
      </c>
      <c r="AE606" s="807"/>
      <c r="AF606" s="921">
        <f>IF(X606=X605,AF605,0)+IF(ISNUMBER(I606),IF(I606&lt;1,I606,I606*VLOOKUP(J606,Summary!$H$2:$I$9,2)),VLOOKUP(J606,Summary!$J$2:$K$9,2)*IF(ISNUMBER(H606),H606,1))</f>
        <v>0.58530092592592542</v>
      </c>
      <c r="AG606" s="289">
        <v>605</v>
      </c>
      <c r="AH606" s="94"/>
      <c r="AI606" s="94"/>
    </row>
    <row r="607" spans="1:35" s="1" customFormat="1" ht="12" customHeight="1" x14ac:dyDescent="0.25">
      <c r="A607" s="444" t="s">
        <v>572</v>
      </c>
      <c r="B607" s="444">
        <v>2</v>
      </c>
      <c r="C607" s="464">
        <v>1.1000000000000001</v>
      </c>
      <c r="D607" s="176" t="s">
        <v>5191</v>
      </c>
      <c r="E607" s="313" t="s">
        <v>5192</v>
      </c>
      <c r="F607" s="174">
        <v>35855</v>
      </c>
      <c r="G607" s="174"/>
      <c r="H607" s="176">
        <v>1</v>
      </c>
      <c r="I607" s="176">
        <v>18</v>
      </c>
      <c r="J607" s="900" t="s">
        <v>2755</v>
      </c>
      <c r="K607" s="164" t="s">
        <v>4740</v>
      </c>
      <c r="L607" s="164" t="s">
        <v>461</v>
      </c>
      <c r="M607" s="164"/>
      <c r="N607" s="164" t="s">
        <v>6237</v>
      </c>
      <c r="O607" s="164"/>
      <c r="P607" s="173" t="s">
        <v>5042</v>
      </c>
      <c r="Q607" s="164" t="s">
        <v>3953</v>
      </c>
      <c r="R607" s="177" t="s">
        <v>2723</v>
      </c>
      <c r="S607" s="354"/>
      <c r="T607" s="173"/>
      <c r="U607" s="173"/>
      <c r="V607" s="173"/>
      <c r="W607" s="313" t="s">
        <v>5192</v>
      </c>
      <c r="X607" s="645" t="s">
        <v>12319</v>
      </c>
      <c r="Y607" s="354" t="s">
        <v>6868</v>
      </c>
      <c r="Z607" s="176">
        <v>999</v>
      </c>
      <c r="AA607" s="176"/>
      <c r="AB607" s="32">
        <f t="shared" ca="1" si="10"/>
        <v>0.58715065643633735</v>
      </c>
      <c r="AC607" s="812"/>
      <c r="AD607" s="763"/>
      <c r="AE607" s="807"/>
      <c r="AF607" s="921">
        <f>IF(X607=X606,AF606,0)+IF(ISNUMBER(I607),IF(I607&lt;1,I607,I607*VLOOKUP(J607,Summary!$H$2:$I$9,2)),VLOOKUP(J607,Summary!$J$2:$K$9,2)*IF(ISNUMBER(H607),H607,1))</f>
        <v>0.59780092592592537</v>
      </c>
      <c r="AG607" s="289">
        <v>606</v>
      </c>
      <c r="AH607" s="94"/>
      <c r="AI607" s="94"/>
    </row>
    <row r="608" spans="1:35" s="22" customFormat="1" ht="12" customHeight="1" x14ac:dyDescent="0.25">
      <c r="A608" s="444" t="s">
        <v>572</v>
      </c>
      <c r="B608" s="444">
        <v>2</v>
      </c>
      <c r="C608" s="445">
        <v>3.14</v>
      </c>
      <c r="D608" s="176" t="s">
        <v>5196</v>
      </c>
      <c r="E608" s="313" t="s">
        <v>5197</v>
      </c>
      <c r="F608" s="174">
        <v>36586</v>
      </c>
      <c r="G608" s="174"/>
      <c r="H608" s="176">
        <v>1</v>
      </c>
      <c r="I608" s="176">
        <v>22</v>
      </c>
      <c r="J608" s="900" t="s">
        <v>2755</v>
      </c>
      <c r="K608" s="164" t="s">
        <v>5198</v>
      </c>
      <c r="L608" s="164" t="s">
        <v>461</v>
      </c>
      <c r="M608" s="164"/>
      <c r="N608" s="164" t="s">
        <v>4992</v>
      </c>
      <c r="O608" s="164"/>
      <c r="P608" s="173" t="s">
        <v>4993</v>
      </c>
      <c r="Q608" s="164" t="s">
        <v>3953</v>
      </c>
      <c r="R608" s="177" t="s">
        <v>2723</v>
      </c>
      <c r="S608" s="354"/>
      <c r="T608" s="173"/>
      <c r="U608" s="173"/>
      <c r="V608" s="173"/>
      <c r="W608" s="313" t="s">
        <v>5197</v>
      </c>
      <c r="X608" s="645" t="s">
        <v>12319</v>
      </c>
      <c r="Y608" s="354" t="s">
        <v>6868</v>
      </c>
      <c r="Z608" s="176">
        <v>999</v>
      </c>
      <c r="AA608" s="176"/>
      <c r="AB608" s="32">
        <f t="shared" ca="1" si="10"/>
        <v>3.4440510074950081E-2</v>
      </c>
      <c r="AC608" s="812"/>
      <c r="AD608" s="763"/>
      <c r="AE608" s="807"/>
      <c r="AF608" s="921">
        <f>IF(X608=X607,AF607,0)+IF(ISNUMBER(I608),IF(I608&lt;1,I608,I608*VLOOKUP(J608,Summary!$H$2:$I$9,2)),VLOOKUP(J608,Summary!$J$2:$K$9,2)*IF(ISNUMBER(H608),H608,1))</f>
        <v>0.6130787037037031</v>
      </c>
      <c r="AG608" s="289">
        <v>607</v>
      </c>
      <c r="AH608" s="94"/>
      <c r="AI608" s="94"/>
    </row>
    <row r="609" spans="1:35" s="22" customFormat="1" ht="12" customHeight="1" x14ac:dyDescent="0.25">
      <c r="A609" s="444" t="s">
        <v>572</v>
      </c>
      <c r="B609" s="444">
        <v>2</v>
      </c>
      <c r="C609" s="445">
        <v>8.0500000000000007</v>
      </c>
      <c r="D609" s="176" t="s">
        <v>5199</v>
      </c>
      <c r="E609" s="313" t="s">
        <v>5200</v>
      </c>
      <c r="F609" s="174">
        <v>37956</v>
      </c>
      <c r="G609" s="174"/>
      <c r="H609" s="176">
        <v>1</v>
      </c>
      <c r="I609" s="176">
        <v>9</v>
      </c>
      <c r="J609" s="900" t="s">
        <v>2755</v>
      </c>
      <c r="K609" s="164" t="s">
        <v>6232</v>
      </c>
      <c r="L609" s="164" t="s">
        <v>461</v>
      </c>
      <c r="M609" s="164"/>
      <c r="N609" s="164" t="s">
        <v>4996</v>
      </c>
      <c r="O609" s="164"/>
      <c r="P609" s="173" t="s">
        <v>2555</v>
      </c>
      <c r="Q609" s="164" t="s">
        <v>3947</v>
      </c>
      <c r="R609" s="177" t="s">
        <v>2723</v>
      </c>
      <c r="S609" s="354"/>
      <c r="T609" s="173"/>
      <c r="U609" s="173"/>
      <c r="V609" s="173"/>
      <c r="W609" s="313" t="s">
        <v>5200</v>
      </c>
      <c r="X609" s="645" t="s">
        <v>12319</v>
      </c>
      <c r="Y609" s="354"/>
      <c r="Z609" s="176"/>
      <c r="AA609" s="176"/>
      <c r="AB609" s="32">
        <f t="shared" ca="1" si="10"/>
        <v>0.30325765215143585</v>
      </c>
      <c r="AC609" s="812"/>
      <c r="AD609" s="763"/>
      <c r="AE609" s="807"/>
      <c r="AF609" s="921">
        <f>IF(X609=X608,AF608,0)+IF(ISNUMBER(I609),IF(I609&lt;1,I609,I609*VLOOKUP(J609,Summary!$H$2:$I$9,2)),VLOOKUP(J609,Summary!$J$2:$K$9,2)*IF(ISNUMBER(H609),H609,1))</f>
        <v>0.61932870370370308</v>
      </c>
      <c r="AG609" s="289">
        <v>608</v>
      </c>
      <c r="AH609" s="94"/>
      <c r="AI609" s="94"/>
    </row>
    <row r="610" spans="1:35" s="1" customFormat="1" ht="12" customHeight="1" x14ac:dyDescent="0.25">
      <c r="A610" s="444" t="s">
        <v>572</v>
      </c>
      <c r="B610" s="444">
        <v>2</v>
      </c>
      <c r="C610" s="445">
        <v>24.01</v>
      </c>
      <c r="D610" s="176" t="s">
        <v>5958</v>
      </c>
      <c r="E610" s="313" t="s">
        <v>5959</v>
      </c>
      <c r="F610" s="174">
        <v>39264</v>
      </c>
      <c r="G610" s="174"/>
      <c r="H610" s="176">
        <v>1</v>
      </c>
      <c r="I610" s="176">
        <v>7</v>
      </c>
      <c r="J610" s="900" t="s">
        <v>2755</v>
      </c>
      <c r="K610" s="164" t="s">
        <v>5960</v>
      </c>
      <c r="L610" s="164" t="s">
        <v>461</v>
      </c>
      <c r="M610" s="164"/>
      <c r="N610" s="164" t="s">
        <v>4425</v>
      </c>
      <c r="O610" s="164"/>
      <c r="P610" s="173" t="s">
        <v>5601</v>
      </c>
      <c r="Q610" s="164" t="s">
        <v>3947</v>
      </c>
      <c r="R610" s="177" t="s">
        <v>2723</v>
      </c>
      <c r="S610" s="354"/>
      <c r="T610" s="173"/>
      <c r="U610" s="173"/>
      <c r="V610" s="173"/>
      <c r="W610" s="313" t="s">
        <v>5959</v>
      </c>
      <c r="X610" s="645" t="s">
        <v>12319</v>
      </c>
      <c r="Y610" s="354"/>
      <c r="Z610" s="176"/>
      <c r="AA610" s="176"/>
      <c r="AB610" s="32">
        <f t="shared" ca="1" si="10"/>
        <v>5.9995283502000563E-2</v>
      </c>
      <c r="AC610" s="812"/>
      <c r="AD610" s="763"/>
      <c r="AE610" s="807"/>
      <c r="AF610" s="921">
        <f>IF(X610=X609,AF609,0)+IF(ISNUMBER(I610),IF(I610&lt;1,I610,I610*VLOOKUP(J610,Summary!$H$2:$I$9,2)),VLOOKUP(J610,Summary!$J$2:$K$9,2)*IF(ISNUMBER(H610),H610,1))</f>
        <v>0.62418981481481417</v>
      </c>
      <c r="AG610" s="289">
        <v>609</v>
      </c>
      <c r="AH610" s="94"/>
      <c r="AI610" s="94"/>
    </row>
    <row r="611" spans="1:35" s="22" customFormat="1" ht="12" customHeight="1" x14ac:dyDescent="0.25">
      <c r="A611" s="444" t="s">
        <v>572</v>
      </c>
      <c r="B611" s="444">
        <v>2</v>
      </c>
      <c r="C611" s="445">
        <v>31.11</v>
      </c>
      <c r="D611" s="176" t="s">
        <v>5844</v>
      </c>
      <c r="E611" s="313" t="s">
        <v>2294</v>
      </c>
      <c r="F611" s="174">
        <v>39873</v>
      </c>
      <c r="G611" s="174"/>
      <c r="H611" s="176" t="s">
        <v>461</v>
      </c>
      <c r="I611" s="176">
        <v>13</v>
      </c>
      <c r="J611" s="900" t="s">
        <v>2755</v>
      </c>
      <c r="K611" s="164" t="s">
        <v>5664</v>
      </c>
      <c r="L611" s="164" t="s">
        <v>461</v>
      </c>
      <c r="M611" s="164"/>
      <c r="N611" s="164" t="s">
        <v>1805</v>
      </c>
      <c r="O611" s="164"/>
      <c r="P611" s="173" t="s">
        <v>6699</v>
      </c>
      <c r="Q611" s="164" t="s">
        <v>3947</v>
      </c>
      <c r="R611" s="177" t="s">
        <v>2723</v>
      </c>
      <c r="S611" s="354">
        <v>6</v>
      </c>
      <c r="T611" s="173" t="s">
        <v>2542</v>
      </c>
      <c r="U611" s="173"/>
      <c r="V611" s="173"/>
      <c r="W611" s="313" t="s">
        <v>2294</v>
      </c>
      <c r="X611" s="645" t="s">
        <v>12319</v>
      </c>
      <c r="Y611" s="354"/>
      <c r="Z611" s="176"/>
      <c r="AA611" s="176"/>
      <c r="AB611" s="32">
        <f t="shared" ca="1" si="10"/>
        <v>0.93729740747062307</v>
      </c>
      <c r="AC611" s="812"/>
      <c r="AD611" s="763" t="s">
        <v>16918</v>
      </c>
      <c r="AE611" s="807"/>
      <c r="AF611" s="921">
        <f>IF(X611=X610,AF610,0)+IF(ISNUMBER(I611),IF(I611&lt;1,I611,I611*VLOOKUP(J611,Summary!$H$2:$I$9,2)),VLOOKUP(J611,Summary!$J$2:$K$9,2)*IF(ISNUMBER(H611),H611,1))</f>
        <v>0.63321759259259192</v>
      </c>
      <c r="AG611" s="289">
        <v>610</v>
      </c>
      <c r="AH611" s="94"/>
      <c r="AI611" s="94"/>
    </row>
    <row r="612" spans="1:35" s="22" customFormat="1" ht="12" customHeight="1" x14ac:dyDescent="0.25">
      <c r="A612" s="444" t="s">
        <v>572</v>
      </c>
      <c r="B612" s="444">
        <v>2</v>
      </c>
      <c r="C612" s="445">
        <v>2.02</v>
      </c>
      <c r="D612" s="176" t="s">
        <v>5193</v>
      </c>
      <c r="E612" s="313" t="s">
        <v>5194</v>
      </c>
      <c r="F612" s="174">
        <v>36220</v>
      </c>
      <c r="G612" s="174"/>
      <c r="H612" s="176">
        <v>1</v>
      </c>
      <c r="I612" s="176">
        <v>22</v>
      </c>
      <c r="J612" s="900" t="s">
        <v>2755</v>
      </c>
      <c r="K612" s="164" t="s">
        <v>5195</v>
      </c>
      <c r="L612" s="164" t="s">
        <v>461</v>
      </c>
      <c r="M612" s="164"/>
      <c r="N612" s="164" t="s">
        <v>6237</v>
      </c>
      <c r="O612" s="164"/>
      <c r="P612" s="173" t="s">
        <v>6561</v>
      </c>
      <c r="Q612" s="164" t="s">
        <v>3953</v>
      </c>
      <c r="R612" s="177" t="s">
        <v>2723</v>
      </c>
      <c r="S612" s="354"/>
      <c r="T612" s="173"/>
      <c r="U612" s="173"/>
      <c r="V612" s="173"/>
      <c r="W612" s="313" t="s">
        <v>5194</v>
      </c>
      <c r="X612" s="645" t="s">
        <v>12319</v>
      </c>
      <c r="Y612" s="354" t="s">
        <v>6868</v>
      </c>
      <c r="Z612" s="176">
        <v>999</v>
      </c>
      <c r="AA612" s="176"/>
      <c r="AB612" s="32">
        <f t="shared" ca="1" si="10"/>
        <v>0.39308645152376853</v>
      </c>
      <c r="AC612" s="812"/>
      <c r="AD612" s="763" t="s">
        <v>16809</v>
      </c>
      <c r="AE612" s="807"/>
      <c r="AF612" s="921">
        <f>IF(X612=X611,AF611,0)+IF(ISNUMBER(I612),IF(I612&lt;1,I612,I612*VLOOKUP(J612,Summary!$H$2:$I$9,2)),VLOOKUP(J612,Summary!$J$2:$K$9,2)*IF(ISNUMBER(H612),H612,1))</f>
        <v>0.64849537037036975</v>
      </c>
      <c r="AG612" s="289">
        <v>611</v>
      </c>
      <c r="AH612" s="94"/>
      <c r="AI612" s="94"/>
    </row>
    <row r="613" spans="1:35" s="22" customFormat="1" ht="12" customHeight="1" x14ac:dyDescent="0.2">
      <c r="A613" s="447" t="s">
        <v>572</v>
      </c>
      <c r="B613" s="447">
        <v>2</v>
      </c>
      <c r="C613" s="447">
        <v>75</v>
      </c>
      <c r="D613" s="185" t="s">
        <v>4499</v>
      </c>
      <c r="E613" s="314" t="s">
        <v>4498</v>
      </c>
      <c r="F613" s="184">
        <v>25389</v>
      </c>
      <c r="G613" s="184">
        <v>25417</v>
      </c>
      <c r="H613" s="185">
        <v>5</v>
      </c>
      <c r="I613" s="185">
        <v>10</v>
      </c>
      <c r="J613" s="901" t="s">
        <v>1796</v>
      </c>
      <c r="K613" s="163" t="s">
        <v>6642</v>
      </c>
      <c r="L613" s="163" t="s">
        <v>5174</v>
      </c>
      <c r="M613" s="163"/>
      <c r="N613" s="163"/>
      <c r="O613" s="163"/>
      <c r="P613" s="182" t="s">
        <v>461</v>
      </c>
      <c r="Q613" s="163" t="s">
        <v>1797</v>
      </c>
      <c r="R613" s="186" t="s">
        <v>4601</v>
      </c>
      <c r="S613" s="355"/>
      <c r="T613" s="182"/>
      <c r="U613" s="182"/>
      <c r="V613" s="182"/>
      <c r="W613" s="328"/>
      <c r="X613" s="660" t="s">
        <v>12319</v>
      </c>
      <c r="Y613" s="355"/>
      <c r="Z613" s="185"/>
      <c r="AA613" s="185"/>
      <c r="AB613" s="33">
        <f t="shared" ca="1" si="10"/>
        <v>0.69749180657265897</v>
      </c>
      <c r="AC613" s="813"/>
      <c r="AD613" s="211"/>
      <c r="AE613" s="875"/>
      <c r="AF613" s="922">
        <f>IF(X613=X612,AF612,0)+IF(ISNUMBER(I613),IF(I613&lt;1,I613,I613*VLOOKUP(J613,Summary!$H$2:$I$9,2)),VLOOKUP(J613,Summary!$J$2:$K$9,2)*IF(ISNUMBER(H613),H613,1))</f>
        <v>0.65196759259259196</v>
      </c>
      <c r="AG613" s="290">
        <v>612</v>
      </c>
      <c r="AH613" s="94"/>
      <c r="AI613" s="94"/>
    </row>
    <row r="614" spans="1:35" s="1" customFormat="1" ht="12" customHeight="1" x14ac:dyDescent="0.25">
      <c r="A614" s="447" t="s">
        <v>572</v>
      </c>
      <c r="B614" s="447">
        <v>2</v>
      </c>
      <c r="C614" s="447">
        <v>76</v>
      </c>
      <c r="D614" s="185" t="s">
        <v>4501</v>
      </c>
      <c r="E614" s="314" t="s">
        <v>4500</v>
      </c>
      <c r="F614" s="184">
        <v>25424</v>
      </c>
      <c r="G614" s="184">
        <v>25445</v>
      </c>
      <c r="H614" s="185">
        <v>4</v>
      </c>
      <c r="I614" s="185">
        <v>8</v>
      </c>
      <c r="J614" s="901" t="s">
        <v>1796</v>
      </c>
      <c r="K614" s="163" t="s">
        <v>6642</v>
      </c>
      <c r="L614" s="163" t="s">
        <v>5174</v>
      </c>
      <c r="M614" s="163"/>
      <c r="N614" s="163"/>
      <c r="O614" s="163"/>
      <c r="P614" s="182" t="s">
        <v>461</v>
      </c>
      <c r="Q614" s="163" t="s">
        <v>1797</v>
      </c>
      <c r="R614" s="186" t="s">
        <v>4601</v>
      </c>
      <c r="S614" s="355"/>
      <c r="T614" s="182"/>
      <c r="U614" s="182"/>
      <c r="V614" s="182"/>
      <c r="W614" s="328"/>
      <c r="X614" s="660" t="s">
        <v>12319</v>
      </c>
      <c r="Y614" s="355"/>
      <c r="Z614" s="185"/>
      <c r="AA614" s="185"/>
      <c r="AB614" s="33">
        <f t="shared" ca="1" si="10"/>
        <v>0.85471804148555119</v>
      </c>
      <c r="AC614" s="813"/>
      <c r="AD614" s="211"/>
      <c r="AE614" s="875"/>
      <c r="AF614" s="922">
        <f>IF(X614=X613,AF613,0)+IF(ISNUMBER(I614),IF(I614&lt;1,I614,I614*VLOOKUP(J614,Summary!$H$2:$I$9,2)),VLOOKUP(J614,Summary!$J$2:$K$9,2)*IF(ISNUMBER(H614),H614,1))</f>
        <v>0.65474537037036973</v>
      </c>
      <c r="AG614" s="290">
        <v>613</v>
      </c>
      <c r="AH614" s="94"/>
      <c r="AI614" s="94"/>
    </row>
    <row r="615" spans="1:35" s="22" customFormat="1" ht="12" customHeight="1" x14ac:dyDescent="0.2">
      <c r="A615" s="447" t="s">
        <v>572</v>
      </c>
      <c r="B615" s="447">
        <v>2</v>
      </c>
      <c r="C615" s="447">
        <v>77</v>
      </c>
      <c r="D615" s="185" t="s">
        <v>4503</v>
      </c>
      <c r="E615" s="314" t="s">
        <v>4502</v>
      </c>
      <c r="F615" s="184">
        <v>25452</v>
      </c>
      <c r="G615" s="184">
        <v>25473</v>
      </c>
      <c r="H615" s="185">
        <v>4</v>
      </c>
      <c r="I615" s="185">
        <v>8</v>
      </c>
      <c r="J615" s="901" t="s">
        <v>1796</v>
      </c>
      <c r="K615" s="163" t="s">
        <v>6642</v>
      </c>
      <c r="L615" s="163" t="s">
        <v>5174</v>
      </c>
      <c r="M615" s="163"/>
      <c r="N615" s="163"/>
      <c r="O615" s="163"/>
      <c r="P615" s="182" t="s">
        <v>461</v>
      </c>
      <c r="Q615" s="163" t="s">
        <v>1797</v>
      </c>
      <c r="R615" s="186" t="s">
        <v>4601</v>
      </c>
      <c r="S615" s="355"/>
      <c r="T615" s="182"/>
      <c r="U615" s="182"/>
      <c r="V615" s="182"/>
      <c r="W615" s="328"/>
      <c r="X615" s="660" t="s">
        <v>12319</v>
      </c>
      <c r="Y615" s="355"/>
      <c r="Z615" s="185"/>
      <c r="AA615" s="185"/>
      <c r="AB615" s="33">
        <f t="shared" ca="1" si="10"/>
        <v>0.83999346913917083</v>
      </c>
      <c r="AC615" s="813"/>
      <c r="AD615" s="211"/>
      <c r="AE615" s="875"/>
      <c r="AF615" s="922">
        <f>IF(X615=X614,AF614,0)+IF(ISNUMBER(I615),IF(I615&lt;1,I615,I615*VLOOKUP(J615,Summary!$H$2:$I$9,2)),VLOOKUP(J615,Summary!$J$2:$K$9,2)*IF(ISNUMBER(H615),H615,1))</f>
        <v>0.6575231481481475</v>
      </c>
      <c r="AG615" s="290">
        <v>614</v>
      </c>
      <c r="AH615" s="94"/>
      <c r="AI615" s="94"/>
    </row>
    <row r="616" spans="1:35" s="2" customFormat="1" ht="12" customHeight="1" x14ac:dyDescent="0.25">
      <c r="A616" s="447" t="s">
        <v>572</v>
      </c>
      <c r="B616" s="447">
        <v>2</v>
      </c>
      <c r="C616" s="447">
        <v>78</v>
      </c>
      <c r="D616" s="185" t="s">
        <v>2785</v>
      </c>
      <c r="E616" s="314" t="s">
        <v>4504</v>
      </c>
      <c r="F616" s="184">
        <v>25480</v>
      </c>
      <c r="G616" s="184">
        <v>25508</v>
      </c>
      <c r="H616" s="220">
        <v>5</v>
      </c>
      <c r="I616" s="185">
        <v>10</v>
      </c>
      <c r="J616" s="901" t="s">
        <v>1796</v>
      </c>
      <c r="K616" s="163" t="s">
        <v>6642</v>
      </c>
      <c r="L616" s="163" t="s">
        <v>5174</v>
      </c>
      <c r="M616" s="163"/>
      <c r="N616" s="163"/>
      <c r="O616" s="163"/>
      <c r="P616" s="182" t="s">
        <v>461</v>
      </c>
      <c r="Q616" s="163" t="s">
        <v>1797</v>
      </c>
      <c r="R616" s="186" t="s">
        <v>4601</v>
      </c>
      <c r="S616" s="355"/>
      <c r="T616" s="182"/>
      <c r="U616" s="182"/>
      <c r="V616" s="182"/>
      <c r="W616" s="328"/>
      <c r="X616" s="660" t="s">
        <v>12319</v>
      </c>
      <c r="Y616" s="355"/>
      <c r="Z616" s="185"/>
      <c r="AA616" s="185"/>
      <c r="AB616" s="33">
        <f t="shared" ca="1" si="10"/>
        <v>0.86191619724486579</v>
      </c>
      <c r="AC616" s="813"/>
      <c r="AD616" s="211"/>
      <c r="AE616" s="875"/>
      <c r="AF616" s="922">
        <f>IF(X616=X615,AF615,0)+IF(ISNUMBER(I616),IF(I616&lt;1,I616,I616*VLOOKUP(J616,Summary!$H$2:$I$9,2)),VLOOKUP(J616,Summary!$J$2:$K$9,2)*IF(ISNUMBER(H616),H616,1))</f>
        <v>0.66099537037036971</v>
      </c>
      <c r="AG616" s="290">
        <v>615</v>
      </c>
      <c r="AH616" s="94"/>
      <c r="AI616" s="94"/>
    </row>
    <row r="617" spans="1:35" s="1" customFormat="1" ht="12" customHeight="1" x14ac:dyDescent="0.25">
      <c r="A617" s="447" t="s">
        <v>572</v>
      </c>
      <c r="B617" s="447">
        <v>2</v>
      </c>
      <c r="C617" s="447">
        <v>79</v>
      </c>
      <c r="D617" s="185" t="s">
        <v>2787</v>
      </c>
      <c r="E617" s="314" t="s">
        <v>2786</v>
      </c>
      <c r="F617" s="184">
        <v>25515</v>
      </c>
      <c r="G617" s="184">
        <v>25529</v>
      </c>
      <c r="H617" s="185">
        <v>3</v>
      </c>
      <c r="I617" s="185">
        <v>6</v>
      </c>
      <c r="J617" s="901" t="s">
        <v>1796</v>
      </c>
      <c r="K617" s="163" t="s">
        <v>6642</v>
      </c>
      <c r="L617" s="163" t="s">
        <v>5174</v>
      </c>
      <c r="M617" s="163"/>
      <c r="N617" s="163"/>
      <c r="O617" s="163"/>
      <c r="P617" s="182" t="s">
        <v>461</v>
      </c>
      <c r="Q617" s="163" t="s">
        <v>1797</v>
      </c>
      <c r="R617" s="186" t="s">
        <v>4601</v>
      </c>
      <c r="S617" s="355"/>
      <c r="T617" s="182"/>
      <c r="U617" s="182"/>
      <c r="V617" s="182"/>
      <c r="W617" s="328"/>
      <c r="X617" s="660" t="s">
        <v>12319</v>
      </c>
      <c r="Y617" s="355"/>
      <c r="Z617" s="185"/>
      <c r="AA617" s="185"/>
      <c r="AB617" s="33">
        <f t="shared" ca="1" si="10"/>
        <v>0.69304447366861743</v>
      </c>
      <c r="AC617" s="813"/>
      <c r="AD617" s="211"/>
      <c r="AE617" s="875"/>
      <c r="AF617" s="922">
        <f>IF(X617=X616,AF616,0)+IF(ISNUMBER(I617),IF(I617&lt;1,I617,I617*VLOOKUP(J617,Summary!$H$2:$I$9,2)),VLOOKUP(J617,Summary!$J$2:$K$9,2)*IF(ISNUMBER(H617),H617,1))</f>
        <v>0.66307870370370303</v>
      </c>
      <c r="AG617" s="290">
        <v>616</v>
      </c>
      <c r="AH617" s="94"/>
      <c r="AI617" s="94"/>
    </row>
    <row r="618" spans="1:35" s="22" customFormat="1" ht="12" customHeight="1" x14ac:dyDescent="0.2">
      <c r="A618" s="465" t="s">
        <v>6869</v>
      </c>
      <c r="B618" s="465" t="s">
        <v>4886</v>
      </c>
      <c r="C618" s="465">
        <v>6</v>
      </c>
      <c r="D618" s="407" t="s">
        <v>5550</v>
      </c>
      <c r="E618" s="315" t="s">
        <v>5551</v>
      </c>
      <c r="F618" s="169">
        <v>37865</v>
      </c>
      <c r="G618" s="170"/>
      <c r="H618" s="170">
        <v>1</v>
      </c>
      <c r="I618" s="746">
        <f>TIME(0,67,1)</f>
        <v>4.6539351851851853E-2</v>
      </c>
      <c r="J618" s="899" t="s">
        <v>4706</v>
      </c>
      <c r="K618" s="167" t="s">
        <v>4549</v>
      </c>
      <c r="L618" s="167" t="s">
        <v>4549</v>
      </c>
      <c r="M618" s="167"/>
      <c r="N618" s="167"/>
      <c r="O618" s="167"/>
      <c r="P618" s="168" t="s">
        <v>8880</v>
      </c>
      <c r="Q618" s="167" t="s">
        <v>3947</v>
      </c>
      <c r="R618" s="172" t="s">
        <v>3145</v>
      </c>
      <c r="S618" s="388"/>
      <c r="T618" s="168"/>
      <c r="U618" s="168"/>
      <c r="V618" s="168"/>
      <c r="W618" s="315" t="s">
        <v>5551</v>
      </c>
      <c r="X618" s="647" t="s">
        <v>12320</v>
      </c>
      <c r="Y618" s="352"/>
      <c r="Z618" s="353">
        <v>579</v>
      </c>
      <c r="AA618" s="353">
        <v>3.5</v>
      </c>
      <c r="AB618" s="31">
        <f t="shared" ca="1" si="10"/>
        <v>0.83597433012674738</v>
      </c>
      <c r="AC618" s="810"/>
      <c r="AD618" s="811" t="s">
        <v>15834</v>
      </c>
      <c r="AE618" s="940"/>
      <c r="AF618" s="920">
        <f>IF(X618=X617,AF617,0)+IF(ISNUMBER(I618),IF(I618&lt;1,I618,I618*VLOOKUP(J618,Summary!$H$2:$I$9,2)),VLOOKUP(J618,Summary!$J$2:$K$9,2)*IF(ISNUMBER(H618),H618,1))</f>
        <v>4.6539351851851853E-2</v>
      </c>
      <c r="AG618" s="287">
        <v>617</v>
      </c>
      <c r="AH618" s="94"/>
      <c r="AI618" s="94"/>
    </row>
    <row r="619" spans="1:35" s="43" customFormat="1" ht="12" customHeight="1" x14ac:dyDescent="0.25">
      <c r="A619" s="466" t="s">
        <v>5556</v>
      </c>
      <c r="B619" s="466">
        <v>3</v>
      </c>
      <c r="C619" s="466">
        <v>51</v>
      </c>
      <c r="D619" s="424" t="s">
        <v>2829</v>
      </c>
      <c r="E619" s="319" t="s">
        <v>2830</v>
      </c>
      <c r="F619" s="198">
        <v>25571</v>
      </c>
      <c r="G619" s="198">
        <v>25592</v>
      </c>
      <c r="H619" s="199">
        <v>4</v>
      </c>
      <c r="I619" s="791">
        <f>TIME(0,23,38)+TIME(0,24,21)+TIME(0,24,16)+TIME(0,24,38)</f>
        <v>6.72800925925926E-2</v>
      </c>
      <c r="J619" s="904" t="s">
        <v>1588</v>
      </c>
      <c r="K619" s="200" t="s">
        <v>1093</v>
      </c>
      <c r="L619" s="200" t="s">
        <v>3233</v>
      </c>
      <c r="M619" s="200"/>
      <c r="N619" s="200" t="s">
        <v>1088</v>
      </c>
      <c r="O619" s="200" t="s">
        <v>6066</v>
      </c>
      <c r="P619" s="197" t="s">
        <v>461</v>
      </c>
      <c r="Q619" s="200" t="s">
        <v>3946</v>
      </c>
      <c r="R619" s="201" t="s">
        <v>5280</v>
      </c>
      <c r="S619" s="390" t="s">
        <v>5811</v>
      </c>
      <c r="T619" s="197" t="s">
        <v>2597</v>
      </c>
      <c r="U619" s="197"/>
      <c r="V619" s="197"/>
      <c r="W619" s="318" t="s">
        <v>8679</v>
      </c>
      <c r="X619" s="650" t="s">
        <v>12320</v>
      </c>
      <c r="Y619" s="358" t="s">
        <v>6141</v>
      </c>
      <c r="Z619" s="253">
        <v>143</v>
      </c>
      <c r="AA619" s="253">
        <v>5.5</v>
      </c>
      <c r="AB619" s="35">
        <f t="shared" ca="1" si="10"/>
        <v>0.55290709852030362</v>
      </c>
      <c r="AC619" s="820"/>
      <c r="AD619" s="821" t="s">
        <v>14951</v>
      </c>
      <c r="AE619" s="944" t="s">
        <v>3234</v>
      </c>
      <c r="AF619" s="925">
        <f>IF(X619=X618,AF618,0)+IF(ISNUMBER(I619),IF(I619&lt;1,I619,I619*VLOOKUP(J619,Summary!$H$2:$I$9,2)),VLOOKUP(J619,Summary!$J$2:$K$9,2)*IF(ISNUMBER(H619),H619,1))</f>
        <v>0.11381944444444445</v>
      </c>
      <c r="AG619" s="293">
        <v>618</v>
      </c>
      <c r="AH619" s="94"/>
      <c r="AI619" s="94"/>
    </row>
    <row r="620" spans="1:35" s="3" customFormat="1" ht="12" customHeight="1" x14ac:dyDescent="0.25">
      <c r="A620" s="467">
        <v>7</v>
      </c>
      <c r="B620" s="467">
        <v>3</v>
      </c>
      <c r="C620" s="467">
        <v>80</v>
      </c>
      <c r="D620" s="185" t="s">
        <v>4594</v>
      </c>
      <c r="E620" s="314" t="s">
        <v>1062</v>
      </c>
      <c r="F620" s="184">
        <v>25585</v>
      </c>
      <c r="G620" s="184">
        <v>25620</v>
      </c>
      <c r="H620" s="185">
        <v>6</v>
      </c>
      <c r="I620" s="185">
        <v>12</v>
      </c>
      <c r="J620" s="901" t="s">
        <v>1796</v>
      </c>
      <c r="K620" s="163" t="s">
        <v>6642</v>
      </c>
      <c r="L620" s="163" t="s">
        <v>5174</v>
      </c>
      <c r="M620" s="163"/>
      <c r="N620" s="163"/>
      <c r="O620" s="163"/>
      <c r="P620" s="182" t="s">
        <v>461</v>
      </c>
      <c r="Q620" s="163" t="s">
        <v>1797</v>
      </c>
      <c r="R620" s="186" t="s">
        <v>4601</v>
      </c>
      <c r="S620" s="355"/>
      <c r="T620" s="182" t="s">
        <v>2597</v>
      </c>
      <c r="U620" s="182"/>
      <c r="V620" s="182"/>
      <c r="W620" s="328"/>
      <c r="X620" s="660" t="s">
        <v>12320</v>
      </c>
      <c r="Y620" s="355"/>
      <c r="Z620" s="185"/>
      <c r="AA620" s="185"/>
      <c r="AB620" s="33">
        <f t="shared" ca="1" si="10"/>
        <v>0.77140339126895308</v>
      </c>
      <c r="AC620" s="813"/>
      <c r="AD620" s="211" t="s">
        <v>16935</v>
      </c>
      <c r="AE620" s="875" t="s">
        <v>3365</v>
      </c>
      <c r="AF620" s="922">
        <f>IF(X620=X619,AF619,0)+IF(ISNUMBER(I620),IF(I620&lt;1,I620,I620*VLOOKUP(J620,Summary!$H$2:$I$9,2)),VLOOKUP(J620,Summary!$J$2:$K$9,2)*IF(ISNUMBER(H620),H620,1))</f>
        <v>0.11798611111111111</v>
      </c>
      <c r="AG620" s="290">
        <v>619</v>
      </c>
      <c r="AH620" s="94"/>
      <c r="AI620" s="94"/>
    </row>
    <row r="621" spans="1:35" s="1" customFormat="1" ht="12" customHeight="1" x14ac:dyDescent="0.25">
      <c r="A621" s="465">
        <v>7</v>
      </c>
      <c r="B621" s="465">
        <v>3</v>
      </c>
      <c r="C621" s="465">
        <v>3</v>
      </c>
      <c r="D621" s="407" t="s">
        <v>2102</v>
      </c>
      <c r="E621" s="315" t="s">
        <v>2103</v>
      </c>
      <c r="F621" s="196">
        <v>41334</v>
      </c>
      <c r="G621" s="170"/>
      <c r="H621" s="170">
        <v>1</v>
      </c>
      <c r="I621" s="746">
        <f>TIME(1,7,9)</f>
        <v>4.6631944444444441E-2</v>
      </c>
      <c r="J621" s="899" t="s">
        <v>4706</v>
      </c>
      <c r="K621" s="167" t="s">
        <v>6970</v>
      </c>
      <c r="L621" s="167" t="s">
        <v>6231</v>
      </c>
      <c r="M621" s="167" t="s">
        <v>2104</v>
      </c>
      <c r="N621" s="167"/>
      <c r="O621" s="167"/>
      <c r="P621" s="168" t="s">
        <v>2105</v>
      </c>
      <c r="Q621" s="167" t="s">
        <v>2096</v>
      </c>
      <c r="R621" s="172" t="s">
        <v>2092</v>
      </c>
      <c r="S621" s="388"/>
      <c r="T621" s="168" t="s">
        <v>2597</v>
      </c>
      <c r="U621" s="168"/>
      <c r="V621" s="168" t="s">
        <v>2601</v>
      </c>
      <c r="W621" s="312" t="s">
        <v>2103</v>
      </c>
      <c r="X621" s="644" t="s">
        <v>12320</v>
      </c>
      <c r="Y621" s="352" t="s">
        <v>5643</v>
      </c>
      <c r="Z621" s="353">
        <v>681</v>
      </c>
      <c r="AA621" s="353">
        <v>2</v>
      </c>
      <c r="AB621" s="31">
        <f t="shared" ca="1" si="10"/>
        <v>0.13499714878555191</v>
      </c>
      <c r="AC621" s="810"/>
      <c r="AD621" s="811" t="s">
        <v>16935</v>
      </c>
      <c r="AE621" s="940" t="s">
        <v>3234</v>
      </c>
      <c r="AF621" s="920">
        <f>IF(X621=X620,AF620,0)+IF(ISNUMBER(I621),IF(I621&lt;1,I621,I621*VLOOKUP(J621,Summary!$H$2:$I$9,2)),VLOOKUP(J621,Summary!$J$2:$K$9,2)*IF(ISNUMBER(H621),H621,1))</f>
        <v>0.16461805555555556</v>
      </c>
      <c r="AG621" s="287">
        <v>620</v>
      </c>
      <c r="AH621" s="94"/>
      <c r="AI621" s="94"/>
    </row>
    <row r="622" spans="1:35" s="29" customFormat="1" ht="12" customHeight="1" x14ac:dyDescent="0.25">
      <c r="A622" s="467">
        <v>7</v>
      </c>
      <c r="B622" s="467">
        <v>3</v>
      </c>
      <c r="C622" s="467">
        <v>81</v>
      </c>
      <c r="D622" s="185" t="s">
        <v>1066</v>
      </c>
      <c r="E622" s="314" t="s">
        <v>1063</v>
      </c>
      <c r="F622" s="184">
        <v>25627</v>
      </c>
      <c r="G622" s="184">
        <v>25655</v>
      </c>
      <c r="H622" s="185">
        <v>5</v>
      </c>
      <c r="I622" s="185">
        <v>10</v>
      </c>
      <c r="J622" s="901" t="s">
        <v>1796</v>
      </c>
      <c r="K622" s="163" t="s">
        <v>6642</v>
      </c>
      <c r="L622" s="163" t="s">
        <v>5174</v>
      </c>
      <c r="M622" s="163"/>
      <c r="N622" s="163"/>
      <c r="O622" s="163"/>
      <c r="P622" s="182" t="s">
        <v>461</v>
      </c>
      <c r="Q622" s="163" t="s">
        <v>1797</v>
      </c>
      <c r="R622" s="186" t="s">
        <v>4601</v>
      </c>
      <c r="S622" s="355"/>
      <c r="T622" s="182" t="s">
        <v>2597</v>
      </c>
      <c r="U622" s="182"/>
      <c r="V622" s="182"/>
      <c r="W622" s="328"/>
      <c r="X622" s="660" t="s">
        <v>12320</v>
      </c>
      <c r="Y622" s="355"/>
      <c r="Z622" s="185"/>
      <c r="AA622" s="185"/>
      <c r="AB622" s="33">
        <f t="shared" ca="1" si="10"/>
        <v>4.6831328607477296E-4</v>
      </c>
      <c r="AC622" s="813"/>
      <c r="AD622" s="211" t="s">
        <v>16935</v>
      </c>
      <c r="AE622" s="875" t="s">
        <v>3365</v>
      </c>
      <c r="AF622" s="922">
        <f>IF(X622=X621,AF621,0)+IF(ISNUMBER(I622),IF(I622&lt;1,I622,I622*VLOOKUP(J622,Summary!$H$2:$I$9,2)),VLOOKUP(J622,Summary!$J$2:$K$9,2)*IF(ISNUMBER(H622),H622,1))</f>
        <v>0.16809027777777777</v>
      </c>
      <c r="AG622" s="290">
        <v>621</v>
      </c>
      <c r="AH622" s="94"/>
      <c r="AI622" s="94"/>
    </row>
    <row r="623" spans="1:35" s="22" customFormat="1" ht="12" customHeight="1" x14ac:dyDescent="0.2">
      <c r="A623" s="467">
        <v>7</v>
      </c>
      <c r="B623" s="467">
        <v>3</v>
      </c>
      <c r="C623" s="467">
        <v>82</v>
      </c>
      <c r="D623" s="185" t="s">
        <v>1065</v>
      </c>
      <c r="E623" s="314" t="s">
        <v>1064</v>
      </c>
      <c r="F623" s="184">
        <v>25662</v>
      </c>
      <c r="G623" s="184">
        <v>25690</v>
      </c>
      <c r="H623" s="185">
        <v>5</v>
      </c>
      <c r="I623" s="185">
        <v>10</v>
      </c>
      <c r="J623" s="901" t="s">
        <v>1796</v>
      </c>
      <c r="K623" s="163" t="s">
        <v>6642</v>
      </c>
      <c r="L623" s="163" t="s">
        <v>5174</v>
      </c>
      <c r="M623" s="163"/>
      <c r="N623" s="163"/>
      <c r="O623" s="163"/>
      <c r="P623" s="182" t="s">
        <v>461</v>
      </c>
      <c r="Q623" s="163" t="s">
        <v>1797</v>
      </c>
      <c r="R623" s="186" t="s">
        <v>4601</v>
      </c>
      <c r="S623" s="355"/>
      <c r="T623" s="182" t="s">
        <v>2597</v>
      </c>
      <c r="U623" s="182"/>
      <c r="V623" s="182"/>
      <c r="W623" s="328"/>
      <c r="X623" s="660" t="s">
        <v>12320</v>
      </c>
      <c r="Y623" s="355"/>
      <c r="Z623" s="185"/>
      <c r="AA623" s="185"/>
      <c r="AB623" s="33">
        <f t="shared" ca="1" si="10"/>
        <v>2.6509107904474916E-2</v>
      </c>
      <c r="AC623" s="813"/>
      <c r="AD623" s="211" t="s">
        <v>16935</v>
      </c>
      <c r="AE623" s="875" t="s">
        <v>3365</v>
      </c>
      <c r="AF623" s="922">
        <f>IF(X623=X622,AF622,0)+IF(ISNUMBER(I623),IF(I623&lt;1,I623,I623*VLOOKUP(J623,Summary!$H$2:$I$9,2)),VLOOKUP(J623,Summary!$J$2:$K$9,2)*IF(ISNUMBER(H623),H623,1))</f>
        <v>0.17156249999999998</v>
      </c>
      <c r="AG623" s="290">
        <v>622</v>
      </c>
      <c r="AH623" s="94"/>
      <c r="AI623" s="94"/>
    </row>
    <row r="624" spans="1:35" s="7" customFormat="1" ht="12" customHeight="1" x14ac:dyDescent="0.25">
      <c r="A624" s="467">
        <v>7</v>
      </c>
      <c r="B624" s="467">
        <v>3</v>
      </c>
      <c r="C624" s="467">
        <v>84</v>
      </c>
      <c r="D624" s="185" t="s">
        <v>4603</v>
      </c>
      <c r="E624" s="314" t="s">
        <v>1069</v>
      </c>
      <c r="F624" s="183">
        <v>25689</v>
      </c>
      <c r="G624" s="184"/>
      <c r="H624" s="185">
        <v>1</v>
      </c>
      <c r="I624" s="185">
        <v>2</v>
      </c>
      <c r="J624" s="901" t="s">
        <v>1796</v>
      </c>
      <c r="K624" s="163" t="s">
        <v>6642</v>
      </c>
      <c r="L624" s="163" t="s">
        <v>2140</v>
      </c>
      <c r="M624" s="163"/>
      <c r="N624" s="163"/>
      <c r="O624" s="163"/>
      <c r="P624" s="182" t="s">
        <v>461</v>
      </c>
      <c r="Q624" s="163" t="s">
        <v>1797</v>
      </c>
      <c r="R624" s="186" t="s">
        <v>4601</v>
      </c>
      <c r="S624" s="355"/>
      <c r="T624" s="182" t="s">
        <v>2597</v>
      </c>
      <c r="U624" s="182"/>
      <c r="V624" s="182"/>
      <c r="W624" s="314" t="s">
        <v>1069</v>
      </c>
      <c r="X624" s="646" t="s">
        <v>12320</v>
      </c>
      <c r="Y624" s="355"/>
      <c r="Z624" s="185"/>
      <c r="AA624" s="185"/>
      <c r="AB624" s="33">
        <f t="shared" ca="1" si="10"/>
        <v>0.73352393601849619</v>
      </c>
      <c r="AC624" s="813"/>
      <c r="AD624" s="211" t="s">
        <v>16935</v>
      </c>
      <c r="AE624" s="875" t="s">
        <v>3365</v>
      </c>
      <c r="AF624" s="922">
        <f>IF(X624=X623,AF623,0)+IF(ISNUMBER(I624),IF(I624&lt;1,I624,I624*VLOOKUP(J624,Summary!$H$2:$I$9,2)),VLOOKUP(J624,Summary!$J$2:$K$9,2)*IF(ISNUMBER(H624),H624,1))</f>
        <v>0.17225694444444442</v>
      </c>
      <c r="AG624" s="290">
        <v>623</v>
      </c>
      <c r="AH624" s="94"/>
      <c r="AI624" s="94"/>
    </row>
    <row r="625" spans="1:35" s="22" customFormat="1" ht="12" customHeight="1" x14ac:dyDescent="0.2">
      <c r="A625" s="467">
        <v>7</v>
      </c>
      <c r="B625" s="467">
        <v>3</v>
      </c>
      <c r="C625" s="467">
        <v>85</v>
      </c>
      <c r="D625" s="185" t="s">
        <v>4603</v>
      </c>
      <c r="E625" s="314" t="s">
        <v>1070</v>
      </c>
      <c r="F625" s="183">
        <v>25689</v>
      </c>
      <c r="G625" s="184"/>
      <c r="H625" s="185">
        <v>1</v>
      </c>
      <c r="I625" s="185">
        <v>2</v>
      </c>
      <c r="J625" s="901" t="s">
        <v>1796</v>
      </c>
      <c r="K625" s="163" t="s">
        <v>6642</v>
      </c>
      <c r="L625" s="163" t="s">
        <v>2140</v>
      </c>
      <c r="M625" s="163"/>
      <c r="N625" s="163"/>
      <c r="O625" s="163"/>
      <c r="P625" s="182" t="s">
        <v>461</v>
      </c>
      <c r="Q625" s="163" t="s">
        <v>1797</v>
      </c>
      <c r="R625" s="186" t="s">
        <v>4601</v>
      </c>
      <c r="S625" s="355"/>
      <c r="T625" s="182" t="s">
        <v>2597</v>
      </c>
      <c r="U625" s="182"/>
      <c r="V625" s="182"/>
      <c r="W625" s="314" t="s">
        <v>1070</v>
      </c>
      <c r="X625" s="646" t="s">
        <v>12320</v>
      </c>
      <c r="Y625" s="355"/>
      <c r="Z625" s="185"/>
      <c r="AA625" s="185"/>
      <c r="AB625" s="33">
        <f t="shared" ca="1" si="10"/>
        <v>0.7229031954884868</v>
      </c>
      <c r="AC625" s="813"/>
      <c r="AD625" s="211" t="s">
        <v>16935</v>
      </c>
      <c r="AE625" s="875" t="s">
        <v>3365</v>
      </c>
      <c r="AF625" s="922">
        <f>IF(X625=X624,AF624,0)+IF(ISNUMBER(I625),IF(I625&lt;1,I625,I625*VLOOKUP(J625,Summary!$H$2:$I$9,2)),VLOOKUP(J625,Summary!$J$2:$K$9,2)*IF(ISNUMBER(H625),H625,1))</f>
        <v>0.17295138888888886</v>
      </c>
      <c r="AG625" s="290">
        <v>624</v>
      </c>
      <c r="AH625" s="94"/>
      <c r="AI625" s="94"/>
    </row>
    <row r="626" spans="1:35" s="3" customFormat="1" ht="12" customHeight="1" x14ac:dyDescent="0.25">
      <c r="A626" s="468" t="s">
        <v>5556</v>
      </c>
      <c r="B626" s="468">
        <v>3</v>
      </c>
      <c r="C626" s="468" t="s">
        <v>3365</v>
      </c>
      <c r="D626" s="417" t="s">
        <v>1770</v>
      </c>
      <c r="E626" s="316" t="s">
        <v>6980</v>
      </c>
      <c r="F626" s="222" t="s">
        <v>461</v>
      </c>
      <c r="G626" s="188"/>
      <c r="H626" s="188" t="str">
        <f>IF(J626="Book","n/a","")</f>
        <v>n/a</v>
      </c>
      <c r="I626" s="188">
        <v>274</v>
      </c>
      <c r="J626" s="902" t="s">
        <v>6868</v>
      </c>
      <c r="K626" s="162" t="s">
        <v>2308</v>
      </c>
      <c r="L626" s="162" t="str">
        <f>IF(J626="Book","n/a","")</f>
        <v>n/a</v>
      </c>
      <c r="M626" s="162"/>
      <c r="N626" s="162"/>
      <c r="O626" s="162"/>
      <c r="P626" s="178" t="s">
        <v>461</v>
      </c>
      <c r="Q626" s="162" t="s">
        <v>461</v>
      </c>
      <c r="R626" s="189" t="s">
        <v>2717</v>
      </c>
      <c r="S626" s="366" t="s">
        <v>5811</v>
      </c>
      <c r="T626" s="178" t="s">
        <v>2597</v>
      </c>
      <c r="U626" s="178"/>
      <c r="V626" s="178"/>
      <c r="W626" s="316" t="s">
        <v>6980</v>
      </c>
      <c r="X626" s="648" t="s">
        <v>12320</v>
      </c>
      <c r="Y626" s="356" t="s">
        <v>6000</v>
      </c>
      <c r="Z626" s="272">
        <v>165</v>
      </c>
      <c r="AA626" s="272">
        <v>4</v>
      </c>
      <c r="AB626" s="34">
        <f t="shared" ca="1" si="10"/>
        <v>0.59383178135184922</v>
      </c>
      <c r="AC626" s="814"/>
      <c r="AD626" s="815" t="s">
        <v>16935</v>
      </c>
      <c r="AE626" s="942" t="s">
        <v>12552</v>
      </c>
      <c r="AF626" s="923">
        <f>IF(X626=X625,AF625,0)+IF(ISNUMBER(I626),IF(I626&lt;1,I626,I626*VLOOKUP(J626,Summary!$H$2:$I$9,2)),VLOOKUP(J626,Summary!$J$2:$K$9,2)*IF(ISNUMBER(H626),H626,1))</f>
        <v>0.36322916666666666</v>
      </c>
      <c r="AG626" s="291">
        <v>625</v>
      </c>
      <c r="AH626" s="94"/>
      <c r="AI626" s="94"/>
    </row>
    <row r="627" spans="1:35" s="22" customFormat="1" ht="12" customHeight="1" x14ac:dyDescent="0.25">
      <c r="A627" s="466" t="s">
        <v>5556</v>
      </c>
      <c r="B627" s="466">
        <v>3</v>
      </c>
      <c r="C627" s="466">
        <v>52</v>
      </c>
      <c r="D627" s="424" t="s">
        <v>2831</v>
      </c>
      <c r="E627" s="319" t="s">
        <v>2681</v>
      </c>
      <c r="F627" s="198">
        <v>25599</v>
      </c>
      <c r="G627" s="198">
        <v>25641</v>
      </c>
      <c r="H627" s="199">
        <v>7</v>
      </c>
      <c r="I627" s="791">
        <f>TIME(0,24,15)+TIME(0,23, 8)+TIME(0,23,16)+TIME(0,25, 0)+TIME(0,23,58)+TIME(0,24,15)+TIME(0,22,55)</f>
        <v>0.11582175925925925</v>
      </c>
      <c r="J627" s="904" t="s">
        <v>1588</v>
      </c>
      <c r="K627" s="200" t="s">
        <v>2682</v>
      </c>
      <c r="L627" s="200" t="s">
        <v>4204</v>
      </c>
      <c r="M627" s="200"/>
      <c r="N627" s="200" t="s">
        <v>1088</v>
      </c>
      <c r="O627" s="200" t="s">
        <v>1884</v>
      </c>
      <c r="P627" s="197" t="s">
        <v>461</v>
      </c>
      <c r="Q627" s="200" t="s">
        <v>3946</v>
      </c>
      <c r="R627" s="201" t="s">
        <v>5280</v>
      </c>
      <c r="S627" s="390" t="s">
        <v>5811</v>
      </c>
      <c r="T627" s="197" t="s">
        <v>2597</v>
      </c>
      <c r="U627" s="197"/>
      <c r="V627" s="197"/>
      <c r="W627" s="318" t="s">
        <v>8680</v>
      </c>
      <c r="X627" s="650" t="s">
        <v>12320</v>
      </c>
      <c r="Y627" s="358" t="s">
        <v>6141</v>
      </c>
      <c r="Z627" s="253">
        <v>115</v>
      </c>
      <c r="AA627" s="253">
        <v>6.5</v>
      </c>
      <c r="AB627" s="35">
        <f t="shared" ca="1" si="10"/>
        <v>0.20623949604956493</v>
      </c>
      <c r="AC627" s="820"/>
      <c r="AD627" s="821" t="s">
        <v>14952</v>
      </c>
      <c r="AE627" s="944" t="s">
        <v>3234</v>
      </c>
      <c r="AF627" s="925">
        <f>IF(X627=X626,AF626,0)+IF(ISNUMBER(I627),IF(I627&lt;1,I627,I627*VLOOKUP(J627,Summary!$H$2:$I$9,2)),VLOOKUP(J627,Summary!$J$2:$K$9,2)*IF(ISNUMBER(H627),H627,1))</f>
        <v>0.47905092592592591</v>
      </c>
      <c r="AG627" s="293">
        <v>626</v>
      </c>
      <c r="AH627" s="94"/>
      <c r="AI627" s="94"/>
    </row>
    <row r="628" spans="1:35" s="3" customFormat="1" ht="12" customHeight="1" x14ac:dyDescent="0.25">
      <c r="A628" s="411"/>
      <c r="B628" s="411" t="s">
        <v>2650</v>
      </c>
      <c r="C628" s="411">
        <v>9</v>
      </c>
      <c r="D628" s="185" t="s">
        <v>9941</v>
      </c>
      <c r="E628" s="314" t="s">
        <v>9940</v>
      </c>
      <c r="F628" s="223">
        <v>29285</v>
      </c>
      <c r="G628" s="223">
        <v>29292</v>
      </c>
      <c r="H628" s="185">
        <v>2</v>
      </c>
      <c r="I628" s="185">
        <v>8</v>
      </c>
      <c r="J628" s="901" t="s">
        <v>1796</v>
      </c>
      <c r="K628" s="163" t="s">
        <v>6031</v>
      </c>
      <c r="L628" s="163" t="s">
        <v>9937</v>
      </c>
      <c r="M628" s="163"/>
      <c r="N628" s="163" t="s">
        <v>6026</v>
      </c>
      <c r="O628" s="163"/>
      <c r="P628" s="182" t="s">
        <v>461</v>
      </c>
      <c r="Q628" s="163" t="s">
        <v>4062</v>
      </c>
      <c r="R628" s="186" t="s">
        <v>9922</v>
      </c>
      <c r="S628" s="355"/>
      <c r="T628" s="182"/>
      <c r="U628" s="182"/>
      <c r="V628" s="182"/>
      <c r="W628" s="314"/>
      <c r="X628" s="646" t="s">
        <v>12320</v>
      </c>
      <c r="Y628" s="355"/>
      <c r="Z628" s="158"/>
      <c r="AA628" s="185"/>
      <c r="AB628" s="33">
        <f t="shared" ca="1" si="10"/>
        <v>0.82231923353208902</v>
      </c>
      <c r="AC628" s="813"/>
      <c r="AD628" s="826" t="s">
        <v>15095</v>
      </c>
      <c r="AE628" s="941" t="s">
        <v>3365</v>
      </c>
      <c r="AF628" s="922">
        <f>IF(X628=X627,AF627,0)+IF(ISNUMBER(I628),IF(I628&lt;1,I628,I628*VLOOKUP(J628,Summary!$H$2:$I$9,2)),VLOOKUP(J628,Summary!$J$2:$K$9,2)*IF(ISNUMBER(H628),H628,1))</f>
        <v>0.48182870370370368</v>
      </c>
      <c r="AG628" s="290">
        <v>627</v>
      </c>
      <c r="AH628" s="94"/>
      <c r="AI628" s="94"/>
    </row>
    <row r="629" spans="1:35" s="22" customFormat="1" ht="12" customHeight="1" x14ac:dyDescent="0.25">
      <c r="A629" s="469">
        <v>7</v>
      </c>
      <c r="B629" s="469">
        <v>3</v>
      </c>
      <c r="C629" s="470">
        <v>6.07</v>
      </c>
      <c r="D629" s="192" t="s">
        <v>10221</v>
      </c>
      <c r="E629" s="317" t="s">
        <v>10222</v>
      </c>
      <c r="F629" s="209">
        <v>42577</v>
      </c>
      <c r="G629" s="209"/>
      <c r="H629" s="192">
        <v>1</v>
      </c>
      <c r="I629" s="753">
        <f>TIME(0,40,20)</f>
        <v>2.8009259259259262E-2</v>
      </c>
      <c r="J629" s="903" t="s">
        <v>2755</v>
      </c>
      <c r="K629" s="194" t="s">
        <v>5195</v>
      </c>
      <c r="L629" s="194" t="s">
        <v>5662</v>
      </c>
      <c r="M629" s="194" t="s">
        <v>10223</v>
      </c>
      <c r="N629" s="194"/>
      <c r="O629" s="194"/>
      <c r="P629" s="190" t="s">
        <v>10224</v>
      </c>
      <c r="Q629" s="194" t="s">
        <v>3947</v>
      </c>
      <c r="R629" s="193" t="s">
        <v>2722</v>
      </c>
      <c r="S629" s="357" t="s">
        <v>5811</v>
      </c>
      <c r="T629" s="190"/>
      <c r="U629" s="190"/>
      <c r="V629" s="190"/>
      <c r="W629" s="317" t="s">
        <v>10222</v>
      </c>
      <c r="X629" s="649" t="s">
        <v>12320</v>
      </c>
      <c r="Y629" s="357" t="s">
        <v>5643</v>
      </c>
      <c r="Z629" s="192"/>
      <c r="AA629" s="192"/>
      <c r="AB629" s="37">
        <f t="shared" ca="1" si="10"/>
        <v>0.81265294306640856</v>
      </c>
      <c r="AC629" s="816"/>
      <c r="AD629" s="817" t="s">
        <v>12551</v>
      </c>
      <c r="AE629" s="943" t="s">
        <v>12552</v>
      </c>
      <c r="AF629" s="924">
        <f>IF(X629=X628,AF628,0)+IF(ISNUMBER(I629),IF(I629&lt;1,I629,I629*VLOOKUP(J629,Summary!$H$2:$I$9,2)),VLOOKUP(J629,Summary!$J$2:$K$9,2)*IF(ISNUMBER(H629),H629,1))</f>
        <v>0.50983796296296291</v>
      </c>
      <c r="AG629" s="292">
        <v>628</v>
      </c>
      <c r="AH629" s="94"/>
      <c r="AI629" s="94"/>
    </row>
    <row r="630" spans="1:35" s="22" customFormat="1" ht="12" customHeight="1" x14ac:dyDescent="0.2">
      <c r="A630" s="465" t="s">
        <v>5556</v>
      </c>
      <c r="B630" s="465">
        <v>3</v>
      </c>
      <c r="C630" s="471">
        <v>2.0299999999999998</v>
      </c>
      <c r="D630" s="407" t="s">
        <v>643</v>
      </c>
      <c r="E630" s="315" t="s">
        <v>4205</v>
      </c>
      <c r="F630" s="169">
        <v>39417</v>
      </c>
      <c r="G630" s="170"/>
      <c r="H630" s="170">
        <v>2</v>
      </c>
      <c r="I630" s="746">
        <f>TIME(1,1,53)</f>
        <v>4.297453703703704E-2</v>
      </c>
      <c r="J630" s="899" t="s">
        <v>4706</v>
      </c>
      <c r="K630" s="167" t="s">
        <v>178</v>
      </c>
      <c r="L630" s="167" t="s">
        <v>7757</v>
      </c>
      <c r="M630" s="167" t="s">
        <v>8027</v>
      </c>
      <c r="N630" s="167"/>
      <c r="O630" s="167"/>
      <c r="P630" s="168" t="s">
        <v>9162</v>
      </c>
      <c r="Q630" s="167" t="s">
        <v>3947</v>
      </c>
      <c r="R630" s="172" t="s">
        <v>3153</v>
      </c>
      <c r="S630" s="388"/>
      <c r="T630" s="168" t="s">
        <v>2597</v>
      </c>
      <c r="U630" s="168"/>
      <c r="V630" s="168"/>
      <c r="W630" s="312" t="s">
        <v>9571</v>
      </c>
      <c r="X630" s="644" t="s">
        <v>12320</v>
      </c>
      <c r="Y630" s="352" t="s">
        <v>5643</v>
      </c>
      <c r="Z630" s="353">
        <v>310</v>
      </c>
      <c r="AA630" s="353">
        <v>5.5</v>
      </c>
      <c r="AB630" s="31">
        <f t="shared" ca="1" si="10"/>
        <v>0.15293503587954693</v>
      </c>
      <c r="AC630" s="810"/>
      <c r="AD630" s="811" t="s">
        <v>14953</v>
      </c>
      <c r="AE630" s="940" t="s">
        <v>3234</v>
      </c>
      <c r="AF630" s="920">
        <f>IF(X630=X629,AF629,0)+IF(ISNUMBER(I630),IF(I630&lt;1,I630,I630*VLOOKUP(J630,Summary!$H$2:$I$9,2)),VLOOKUP(J630,Summary!$J$2:$K$9,2)*IF(ISNUMBER(H630),H630,1))</f>
        <v>0.55281249999999993</v>
      </c>
      <c r="AG630" s="287">
        <v>629</v>
      </c>
      <c r="AH630" s="94"/>
      <c r="AI630" s="94"/>
    </row>
    <row r="631" spans="1:35" s="22" customFormat="1" ht="12" customHeight="1" x14ac:dyDescent="0.2">
      <c r="A631" s="465" t="s">
        <v>5556</v>
      </c>
      <c r="B631" s="465">
        <v>3</v>
      </c>
      <c r="C631" s="471">
        <v>4.09</v>
      </c>
      <c r="D631" s="407" t="s">
        <v>142</v>
      </c>
      <c r="E631" s="315" t="s">
        <v>4557</v>
      </c>
      <c r="F631" s="169">
        <v>40269</v>
      </c>
      <c r="G631" s="170"/>
      <c r="H631" s="170">
        <v>2</v>
      </c>
      <c r="I631" s="746">
        <f>TIME(1,4,15)</f>
        <v>4.4618055555555557E-2</v>
      </c>
      <c r="J631" s="899" t="s">
        <v>4706</v>
      </c>
      <c r="K631" s="167" t="s">
        <v>5664</v>
      </c>
      <c r="L631" s="167" t="s">
        <v>5662</v>
      </c>
      <c r="M631" s="167" t="s">
        <v>8050</v>
      </c>
      <c r="N631" s="167"/>
      <c r="O631" s="167"/>
      <c r="P631" s="168" t="s">
        <v>9186</v>
      </c>
      <c r="Q631" s="167" t="s">
        <v>3947</v>
      </c>
      <c r="R631" s="172" t="s">
        <v>3153</v>
      </c>
      <c r="S631" s="388" t="s">
        <v>5811</v>
      </c>
      <c r="T631" s="168" t="s">
        <v>2597</v>
      </c>
      <c r="U631" s="168"/>
      <c r="V631" s="168"/>
      <c r="W631" s="312" t="s">
        <v>10106</v>
      </c>
      <c r="X631" s="644" t="s">
        <v>12320</v>
      </c>
      <c r="Y631" s="352" t="s">
        <v>5398</v>
      </c>
      <c r="Z631" s="353">
        <v>31</v>
      </c>
      <c r="AA631" s="353">
        <v>9</v>
      </c>
      <c r="AB631" s="31">
        <f t="shared" ca="1" si="10"/>
        <v>0.83666344680283944</v>
      </c>
      <c r="AC631" s="810"/>
      <c r="AD631" s="811" t="s">
        <v>15874</v>
      </c>
      <c r="AE631" s="940" t="s">
        <v>12552</v>
      </c>
      <c r="AF631" s="920">
        <f>IF(X631=X630,AF630,0)+IF(ISNUMBER(I631),IF(I631&lt;1,I631,I631*VLOOKUP(J631,Summary!$H$2:$I$9,2)),VLOOKUP(J631,Summary!$J$2:$K$9,2)*IF(ISNUMBER(H631),H631,1))</f>
        <v>0.59743055555555546</v>
      </c>
      <c r="AG631" s="287">
        <v>630</v>
      </c>
      <c r="AH631" s="94"/>
      <c r="AI631" s="94"/>
    </row>
    <row r="632" spans="1:35" s="22" customFormat="1" ht="12" customHeight="1" x14ac:dyDescent="0.25">
      <c r="A632" s="466" t="s">
        <v>5556</v>
      </c>
      <c r="B632" s="466">
        <v>3</v>
      </c>
      <c r="C632" s="466">
        <v>53</v>
      </c>
      <c r="D632" s="424" t="s">
        <v>4206</v>
      </c>
      <c r="E632" s="319" t="s">
        <v>4207</v>
      </c>
      <c r="F632" s="198">
        <v>25648</v>
      </c>
      <c r="G632" s="198">
        <v>25690</v>
      </c>
      <c r="H632" s="199">
        <v>7</v>
      </c>
      <c r="I632" s="791">
        <f>TIME(0,24,33)+TIME(0,24,39)+TIME(0,24,38)+TIME(0,24,37)+TIME(0,24,17)+TIME(0,24,31)+TIME(0,24,32)</f>
        <v>0.11929398148148149</v>
      </c>
      <c r="J632" s="904" t="s">
        <v>1588</v>
      </c>
      <c r="K632" s="200" t="s">
        <v>4208</v>
      </c>
      <c r="L632" s="200" t="s">
        <v>5431</v>
      </c>
      <c r="M632" s="200"/>
      <c r="N632" s="200" t="s">
        <v>1088</v>
      </c>
      <c r="O632" s="200" t="s">
        <v>1884</v>
      </c>
      <c r="P632" s="197" t="s">
        <v>461</v>
      </c>
      <c r="Q632" s="200" t="s">
        <v>3946</v>
      </c>
      <c r="R632" s="201" t="s">
        <v>5280</v>
      </c>
      <c r="S632" s="390" t="s">
        <v>5811</v>
      </c>
      <c r="T632" s="197" t="s">
        <v>2597</v>
      </c>
      <c r="U632" s="197" t="s">
        <v>2600</v>
      </c>
      <c r="V632" s="197"/>
      <c r="W632" s="318" t="s">
        <v>9662</v>
      </c>
      <c r="X632" s="650" t="s">
        <v>12320</v>
      </c>
      <c r="Y632" s="358" t="s">
        <v>6141</v>
      </c>
      <c r="Z632" s="253">
        <v>84</v>
      </c>
      <c r="AA632" s="253">
        <v>7</v>
      </c>
      <c r="AB632" s="35">
        <f t="shared" ca="1" si="10"/>
        <v>3.8607622349252635E-3</v>
      </c>
      <c r="AC632" s="820"/>
      <c r="AD632" s="821" t="s">
        <v>12551</v>
      </c>
      <c r="AE632" s="807" t="s">
        <v>3234</v>
      </c>
      <c r="AF632" s="925">
        <f>IF(X632=X631,AF631,0)+IF(ISNUMBER(I632),IF(I632&lt;1,I632,I632*VLOOKUP(J632,Summary!$H$2:$I$9,2)),VLOOKUP(J632,Summary!$J$2:$K$9,2)*IF(ISNUMBER(H632),H632,1))</f>
        <v>0.71672453703703698</v>
      </c>
      <c r="AG632" s="293">
        <v>631</v>
      </c>
      <c r="AH632" s="94"/>
      <c r="AI632" s="94"/>
    </row>
    <row r="633" spans="1:35" s="22" customFormat="1" ht="12" customHeight="1" x14ac:dyDescent="0.25">
      <c r="A633" s="472">
        <v>7</v>
      </c>
      <c r="B633" s="472">
        <v>3</v>
      </c>
      <c r="C633" s="472">
        <v>1.03</v>
      </c>
      <c r="D633" s="176" t="s">
        <v>4879</v>
      </c>
      <c r="E633" s="313" t="s">
        <v>5810</v>
      </c>
      <c r="F633" s="176">
        <v>1994</v>
      </c>
      <c r="G633" s="176"/>
      <c r="H633" s="176">
        <v>1</v>
      </c>
      <c r="I633" s="176">
        <v>29</v>
      </c>
      <c r="J633" s="900" t="s">
        <v>2755</v>
      </c>
      <c r="K633" s="164" t="s">
        <v>3320</v>
      </c>
      <c r="L633" s="164" t="s">
        <v>461</v>
      </c>
      <c r="M633" s="164"/>
      <c r="N633" s="164" t="s">
        <v>7001</v>
      </c>
      <c r="O633" s="164"/>
      <c r="P633" s="173" t="s">
        <v>7002</v>
      </c>
      <c r="Q633" s="164" t="s">
        <v>6548</v>
      </c>
      <c r="R633" s="177" t="s">
        <v>4598</v>
      </c>
      <c r="S633" s="354" t="s">
        <v>5811</v>
      </c>
      <c r="T633" s="173"/>
      <c r="U633" s="173"/>
      <c r="V633" s="173"/>
      <c r="W633" s="313" t="s">
        <v>5810</v>
      </c>
      <c r="X633" s="645" t="s">
        <v>12320</v>
      </c>
      <c r="Y633" s="354" t="s">
        <v>6868</v>
      </c>
      <c r="Z633" s="176">
        <v>999</v>
      </c>
      <c r="AA633" s="176"/>
      <c r="AB633" s="32">
        <f t="shared" ca="1" si="10"/>
        <v>0.85818690789231333</v>
      </c>
      <c r="AC633" s="812"/>
      <c r="AD633" s="763" t="s">
        <v>12551</v>
      </c>
      <c r="AE633" s="807" t="s">
        <v>12552</v>
      </c>
      <c r="AF633" s="921">
        <f>IF(X633=X632,AF632,0)+IF(ISNUMBER(I633),IF(I633&lt;1,I633,I633*VLOOKUP(J633,Summary!$H$2:$I$9,2)),VLOOKUP(J633,Summary!$J$2:$K$9,2)*IF(ISNUMBER(H633),H633,1))</f>
        <v>0.73686342592592591</v>
      </c>
      <c r="AG633" s="289">
        <v>632</v>
      </c>
      <c r="AH633" s="94"/>
      <c r="AI633" s="94"/>
    </row>
    <row r="634" spans="1:35" s="2" customFormat="1" ht="12" customHeight="1" x14ac:dyDescent="0.25">
      <c r="A634" s="469">
        <v>7</v>
      </c>
      <c r="B634" s="469">
        <v>3</v>
      </c>
      <c r="C634" s="470">
        <v>2.0299999999999998</v>
      </c>
      <c r="D634" s="192" t="s">
        <v>3822</v>
      </c>
      <c r="E634" s="317" t="s">
        <v>3823</v>
      </c>
      <c r="F634" s="209">
        <v>40602</v>
      </c>
      <c r="G634" s="209"/>
      <c r="H634" s="192">
        <v>1</v>
      </c>
      <c r="I634" s="753">
        <f>TIME(0,17,31)</f>
        <v>1.2164351851851852E-2</v>
      </c>
      <c r="J634" s="903" t="s">
        <v>2755</v>
      </c>
      <c r="K634" s="194" t="s">
        <v>701</v>
      </c>
      <c r="L634" s="194" t="s">
        <v>3426</v>
      </c>
      <c r="M634" s="194" t="s">
        <v>3821</v>
      </c>
      <c r="N634" s="194"/>
      <c r="O634" s="194"/>
      <c r="P634" s="190" t="s">
        <v>6698</v>
      </c>
      <c r="Q634" s="194" t="s">
        <v>3947</v>
      </c>
      <c r="R634" s="193" t="s">
        <v>2722</v>
      </c>
      <c r="S634" s="357" t="s">
        <v>5811</v>
      </c>
      <c r="T634" s="190"/>
      <c r="U634" s="190"/>
      <c r="V634" s="190"/>
      <c r="W634" s="317" t="s">
        <v>3823</v>
      </c>
      <c r="X634" s="649" t="s">
        <v>12320</v>
      </c>
      <c r="Y634" s="357" t="s">
        <v>5643</v>
      </c>
      <c r="Z634" s="192">
        <v>999</v>
      </c>
      <c r="AA634" s="192"/>
      <c r="AB634" s="37">
        <f t="shared" ca="1" si="10"/>
        <v>0.22594899630648357</v>
      </c>
      <c r="AC634" s="816"/>
      <c r="AD634" s="817" t="s">
        <v>12551</v>
      </c>
      <c r="AE634" s="943" t="s">
        <v>12552</v>
      </c>
      <c r="AF634" s="924">
        <f>IF(X634=X633,AF633,0)+IF(ISNUMBER(I634),IF(I634&lt;1,I634,I634*VLOOKUP(J634,Summary!$H$2:$I$9,2)),VLOOKUP(J634,Summary!$J$2:$K$9,2)*IF(ISNUMBER(H634),H634,1))</f>
        <v>0.74902777777777774</v>
      </c>
      <c r="AG634" s="292">
        <v>633</v>
      </c>
      <c r="AH634" s="94"/>
      <c r="AI634" s="94"/>
    </row>
    <row r="635" spans="1:35" s="22" customFormat="1" ht="12" customHeight="1" x14ac:dyDescent="0.25">
      <c r="A635" s="472">
        <v>7</v>
      </c>
      <c r="B635" s="472">
        <v>3</v>
      </c>
      <c r="C635" s="473">
        <v>14.03</v>
      </c>
      <c r="D635" s="176" t="s">
        <v>2809</v>
      </c>
      <c r="E635" s="313" t="s">
        <v>3190</v>
      </c>
      <c r="F635" s="174">
        <v>38322</v>
      </c>
      <c r="G635" s="174"/>
      <c r="H635" s="176">
        <v>1</v>
      </c>
      <c r="I635" s="176">
        <v>8</v>
      </c>
      <c r="J635" s="900" t="s">
        <v>2755</v>
      </c>
      <c r="K635" s="164" t="s">
        <v>338</v>
      </c>
      <c r="L635" s="164" t="s">
        <v>461</v>
      </c>
      <c r="M635" s="164"/>
      <c r="N635" s="164" t="s">
        <v>3807</v>
      </c>
      <c r="O635" s="164"/>
      <c r="P635" s="173" t="s">
        <v>6565</v>
      </c>
      <c r="Q635" s="164" t="s">
        <v>3947</v>
      </c>
      <c r="R635" s="177" t="s">
        <v>2723</v>
      </c>
      <c r="S635" s="354" t="s">
        <v>5811</v>
      </c>
      <c r="T635" s="173"/>
      <c r="U635" s="173"/>
      <c r="V635" s="173"/>
      <c r="W635" s="313" t="s">
        <v>3190</v>
      </c>
      <c r="X635" s="645" t="s">
        <v>12320</v>
      </c>
      <c r="Y635" s="354"/>
      <c r="Z635" s="176"/>
      <c r="AA635" s="176"/>
      <c r="AB635" s="32">
        <f t="shared" ca="1" si="10"/>
        <v>0.5923807977400769</v>
      </c>
      <c r="AC635" s="812"/>
      <c r="AD635" s="763" t="s">
        <v>16936</v>
      </c>
      <c r="AE635" s="807" t="s">
        <v>12552</v>
      </c>
      <c r="AF635" s="921">
        <f>IF(X635=X634,AF634,0)+IF(ISNUMBER(I635),IF(I635&lt;1,I635,I635*VLOOKUP(J635,Summary!$H$2:$I$9,2)),VLOOKUP(J635,Summary!$J$2:$K$9,2)*IF(ISNUMBER(H635),H635,1))</f>
        <v>0.75458333333333327</v>
      </c>
      <c r="AG635" s="289">
        <v>634</v>
      </c>
      <c r="AH635" s="94"/>
      <c r="AI635" s="94"/>
    </row>
    <row r="636" spans="1:35" s="142" customFormat="1" ht="12" customHeight="1" x14ac:dyDescent="0.25">
      <c r="A636" s="469">
        <v>7</v>
      </c>
      <c r="B636" s="469">
        <v>3</v>
      </c>
      <c r="C636" s="470">
        <v>0.28999999999999998</v>
      </c>
      <c r="D636" s="192" t="s">
        <v>13145</v>
      </c>
      <c r="E636" s="317" t="s">
        <v>11399</v>
      </c>
      <c r="F636" s="209">
        <v>42717</v>
      </c>
      <c r="G636" s="209"/>
      <c r="H636" s="192" t="s">
        <v>461</v>
      </c>
      <c r="I636" s="753"/>
      <c r="J636" s="903" t="s">
        <v>2755</v>
      </c>
      <c r="K636" s="194" t="s">
        <v>10216</v>
      </c>
      <c r="L636" s="194" t="s">
        <v>3365</v>
      </c>
      <c r="M636" s="194" t="s">
        <v>9290</v>
      </c>
      <c r="N636" s="194"/>
      <c r="O636" s="194"/>
      <c r="P636" s="190" t="s">
        <v>461</v>
      </c>
      <c r="Q636" s="194" t="s">
        <v>3947</v>
      </c>
      <c r="R636" s="193" t="s">
        <v>2722</v>
      </c>
      <c r="S636" s="357" t="s">
        <v>5811</v>
      </c>
      <c r="T636" s="190"/>
      <c r="U636" s="190" t="s">
        <v>2600</v>
      </c>
      <c r="V636" s="190"/>
      <c r="W636" s="317" t="s">
        <v>11399</v>
      </c>
      <c r="X636" s="649" t="s">
        <v>12320</v>
      </c>
      <c r="Y636" s="357"/>
      <c r="Z636" s="192"/>
      <c r="AA636" s="192"/>
      <c r="AB636" s="37">
        <f t="shared" ca="1" si="10"/>
        <v>0.9650166094869157</v>
      </c>
      <c r="AC636" s="816"/>
      <c r="AD636" s="817" t="s">
        <v>16937</v>
      </c>
      <c r="AE636" s="943" t="s">
        <v>12552</v>
      </c>
      <c r="AF636" s="924">
        <f>IF(X636=X635,AF635,0)+IF(ISNUMBER(I636),IF(I636&lt;1,I636,I636*VLOOKUP(J636,Summary!$H$2:$I$9,2)),VLOOKUP(J636,Summary!$J$2:$K$9,2)*IF(ISNUMBER(H636),H636,1))</f>
        <v>0.77194444444444443</v>
      </c>
      <c r="AG636" s="292">
        <v>635</v>
      </c>
      <c r="AH636" s="94"/>
      <c r="AI636" s="94"/>
    </row>
    <row r="637" spans="1:35" s="2" customFormat="1" ht="12" customHeight="1" x14ac:dyDescent="0.25">
      <c r="A637" s="465" t="s">
        <v>5556</v>
      </c>
      <c r="B637" s="465">
        <v>3</v>
      </c>
      <c r="C637" s="471">
        <v>7.04</v>
      </c>
      <c r="D637" s="407" t="s">
        <v>6918</v>
      </c>
      <c r="E637" s="315" t="s">
        <v>6919</v>
      </c>
      <c r="F637" s="169">
        <v>41183</v>
      </c>
      <c r="G637" s="170"/>
      <c r="H637" s="170">
        <v>2</v>
      </c>
      <c r="I637" s="746">
        <f>TIME(1,5,58)</f>
        <v>4.5810185185185183E-2</v>
      </c>
      <c r="J637" s="899" t="s">
        <v>4706</v>
      </c>
      <c r="K637" s="167" t="s">
        <v>1643</v>
      </c>
      <c r="L637" s="167" t="s">
        <v>5662</v>
      </c>
      <c r="M637" s="167" t="s">
        <v>8068</v>
      </c>
      <c r="N637" s="167"/>
      <c r="O637" s="167"/>
      <c r="P637" s="168" t="s">
        <v>6920</v>
      </c>
      <c r="Q637" s="167" t="s">
        <v>3947</v>
      </c>
      <c r="R637" s="172" t="s">
        <v>3153</v>
      </c>
      <c r="S637" s="388" t="s">
        <v>5811</v>
      </c>
      <c r="T637" s="168" t="s">
        <v>2597</v>
      </c>
      <c r="U637" s="168"/>
      <c r="V637" s="168"/>
      <c r="W637" s="312" t="s">
        <v>10315</v>
      </c>
      <c r="X637" s="644" t="s">
        <v>12320</v>
      </c>
      <c r="Y637" s="352" t="s">
        <v>5643</v>
      </c>
      <c r="Z637" s="353">
        <v>52</v>
      </c>
      <c r="AA637" s="353">
        <v>8.5</v>
      </c>
      <c r="AB637" s="31">
        <f t="shared" ca="1" si="10"/>
        <v>0.1999356954631939</v>
      </c>
      <c r="AC637" s="810"/>
      <c r="AD637" s="811" t="s">
        <v>16938</v>
      </c>
      <c r="AE637" s="940" t="s">
        <v>16945</v>
      </c>
      <c r="AF637" s="920">
        <f>IF(X637=X636,AF636,0)+IF(ISNUMBER(I637),IF(I637&lt;1,I637,I637*VLOOKUP(J637,Summary!$H$2:$I$9,2)),VLOOKUP(J637,Summary!$J$2:$K$9,2)*IF(ISNUMBER(H637),H637,1))</f>
        <v>0.81775462962962964</v>
      </c>
      <c r="AG637" s="287">
        <v>636</v>
      </c>
      <c r="AH637" s="94"/>
      <c r="AI637" s="94"/>
    </row>
    <row r="638" spans="1:35" s="43" customFormat="1" ht="12" customHeight="1" x14ac:dyDescent="0.25">
      <c r="A638" s="466" t="s">
        <v>5556</v>
      </c>
      <c r="B638" s="466">
        <v>3</v>
      </c>
      <c r="C638" s="466">
        <v>54</v>
      </c>
      <c r="D638" s="424" t="s">
        <v>4209</v>
      </c>
      <c r="E638" s="319" t="s">
        <v>4210</v>
      </c>
      <c r="F638" s="198">
        <v>25697</v>
      </c>
      <c r="G638" s="198">
        <v>25739</v>
      </c>
      <c r="H638" s="199">
        <v>7</v>
      </c>
      <c r="I638" s="791">
        <f>TIME(0,23,21)+TIME(0,22, 4)+TIME(0,24,34)+TIME(0,24,57)+TIME(0,23,42)+TIME(0,23,32)+TIME(0,24,33)</f>
        <v>0.11577546296296297</v>
      </c>
      <c r="J638" s="904" t="s">
        <v>1588</v>
      </c>
      <c r="K638" s="200" t="s">
        <v>4211</v>
      </c>
      <c r="L638" s="200" t="s">
        <v>4212</v>
      </c>
      <c r="M638" s="200"/>
      <c r="N638" s="200" t="s">
        <v>1088</v>
      </c>
      <c r="O638" s="200" t="s">
        <v>1884</v>
      </c>
      <c r="P638" s="197" t="s">
        <v>461</v>
      </c>
      <c r="Q638" s="200" t="s">
        <v>3946</v>
      </c>
      <c r="R638" s="201" t="s">
        <v>5280</v>
      </c>
      <c r="S638" s="390" t="s">
        <v>5811</v>
      </c>
      <c r="T638" s="197" t="s">
        <v>2597</v>
      </c>
      <c r="U638" s="197" t="s">
        <v>2600</v>
      </c>
      <c r="V638" s="197"/>
      <c r="W638" s="318" t="s">
        <v>8681</v>
      </c>
      <c r="X638" s="650" t="s">
        <v>12320</v>
      </c>
      <c r="Y638" s="358" t="s">
        <v>6141</v>
      </c>
      <c r="Z638" s="253">
        <v>13</v>
      </c>
      <c r="AA638" s="253">
        <v>9.5</v>
      </c>
      <c r="AB638" s="35">
        <f t="shared" ca="1" si="10"/>
        <v>0.26002455280290127</v>
      </c>
      <c r="AC638" s="820"/>
      <c r="AD638" s="821" t="s">
        <v>14954</v>
      </c>
      <c r="AE638" s="944" t="s">
        <v>3234</v>
      </c>
      <c r="AF638" s="925">
        <f>IF(X638=X637,AF637,0)+IF(ISNUMBER(I638),IF(I638&lt;1,I638,I638*VLOOKUP(J638,Summary!$H$2:$I$9,2)),VLOOKUP(J638,Summary!$J$2:$K$9,2)*IF(ISNUMBER(H638),H638,1))</f>
        <v>0.93353009259259256</v>
      </c>
      <c r="AG638" s="293">
        <v>637</v>
      </c>
      <c r="AH638" s="94"/>
      <c r="AI638" s="94"/>
    </row>
    <row r="639" spans="1:35" s="29" customFormat="1" ht="12" customHeight="1" x14ac:dyDescent="0.25">
      <c r="A639" s="410">
        <v>7</v>
      </c>
      <c r="B639" s="410" t="s">
        <v>2650</v>
      </c>
      <c r="C639" s="410"/>
      <c r="D639" s="176" t="s">
        <v>14436</v>
      </c>
      <c r="E639" s="313" t="s">
        <v>16939</v>
      </c>
      <c r="F639" s="174">
        <v>42614</v>
      </c>
      <c r="G639" s="181"/>
      <c r="H639" s="176" t="s">
        <v>461</v>
      </c>
      <c r="I639" s="176"/>
      <c r="J639" s="900" t="s">
        <v>2755</v>
      </c>
      <c r="K639" s="164" t="s">
        <v>13688</v>
      </c>
      <c r="L639" s="164" t="s">
        <v>461</v>
      </c>
      <c r="M639" s="164"/>
      <c r="N639" s="164"/>
      <c r="O639" s="164"/>
      <c r="P639" s="173"/>
      <c r="Q639" s="164" t="s">
        <v>13674</v>
      </c>
      <c r="R639" s="177" t="s">
        <v>13703</v>
      </c>
      <c r="S639" s="354"/>
      <c r="T639" s="173"/>
      <c r="U639" s="173" t="s">
        <v>2597</v>
      </c>
      <c r="V639" s="173"/>
      <c r="W639" s="313" t="s">
        <v>16939</v>
      </c>
      <c r="X639" s="645" t="s">
        <v>12320</v>
      </c>
      <c r="Y639" s="354"/>
      <c r="Z639" s="157"/>
      <c r="AA639" s="176"/>
      <c r="AB639" s="32">
        <f t="shared" ca="1" si="10"/>
        <v>0.20360619777113609</v>
      </c>
      <c r="AC639" s="812"/>
      <c r="AD639" s="763" t="s">
        <v>16940</v>
      </c>
      <c r="AE639" s="807"/>
      <c r="AF639" s="921">
        <f>IF(X639=X638,AF638,0)+IF(ISNUMBER(I639),IF(I639&lt;1,I639,I639*VLOOKUP(J639,Summary!$H$2:$I$9,2)),VLOOKUP(J639,Summary!$J$2:$K$9,2)*IF(ISNUMBER(H639),H639,1))</f>
        <v>0.95089120370370372</v>
      </c>
      <c r="AG639" s="289">
        <v>638</v>
      </c>
      <c r="AH639" s="94"/>
      <c r="AI639" s="94"/>
    </row>
    <row r="640" spans="1:35" s="2" customFormat="1" ht="12" customHeight="1" x14ac:dyDescent="0.25">
      <c r="A640" s="472">
        <v>7</v>
      </c>
      <c r="B640" s="472">
        <v>3</v>
      </c>
      <c r="C640" s="473">
        <v>4.04</v>
      </c>
      <c r="D640" s="176" t="s">
        <v>3188</v>
      </c>
      <c r="E640" s="313" t="s">
        <v>4409</v>
      </c>
      <c r="F640" s="174">
        <v>37591</v>
      </c>
      <c r="G640" s="174"/>
      <c r="H640" s="176">
        <v>1</v>
      </c>
      <c r="I640" s="176">
        <v>13</v>
      </c>
      <c r="J640" s="900" t="s">
        <v>2755</v>
      </c>
      <c r="K640" s="164" t="s">
        <v>3424</v>
      </c>
      <c r="L640" s="164" t="s">
        <v>461</v>
      </c>
      <c r="M640" s="164"/>
      <c r="N640" s="164" t="s">
        <v>4552</v>
      </c>
      <c r="O640" s="164"/>
      <c r="P640" s="173" t="s">
        <v>6556</v>
      </c>
      <c r="Q640" s="164" t="s">
        <v>3947</v>
      </c>
      <c r="R640" s="177" t="s">
        <v>2723</v>
      </c>
      <c r="S640" s="354" t="s">
        <v>5811</v>
      </c>
      <c r="T640" s="173" t="s">
        <v>2597</v>
      </c>
      <c r="U640" s="173"/>
      <c r="V640" s="173"/>
      <c r="W640" s="313" t="s">
        <v>4409</v>
      </c>
      <c r="X640" s="645" t="s">
        <v>12320</v>
      </c>
      <c r="Y640" s="354"/>
      <c r="Z640" s="176"/>
      <c r="AA640" s="176"/>
      <c r="AB640" s="32">
        <f t="shared" ca="1" si="10"/>
        <v>0.50206813371039305</v>
      </c>
      <c r="AC640" s="812"/>
      <c r="AD640" s="763" t="s">
        <v>16941</v>
      </c>
      <c r="AE640" s="807"/>
      <c r="AF640" s="921">
        <f>IF(X640=X639,AF639,0)+IF(ISNUMBER(I640),IF(I640&lt;1,I640,I640*VLOOKUP(J640,Summary!$H$2:$I$9,2)),VLOOKUP(J640,Summary!$J$2:$K$9,2)*IF(ISNUMBER(H640),H640,1))</f>
        <v>0.95991898148148147</v>
      </c>
      <c r="AG640" s="289">
        <v>639</v>
      </c>
      <c r="AH640" s="94"/>
      <c r="AI640" s="94"/>
    </row>
    <row r="641" spans="1:35" s="22" customFormat="1" ht="12" customHeight="1" x14ac:dyDescent="0.2">
      <c r="A641" s="467">
        <v>7</v>
      </c>
      <c r="B641" s="467">
        <v>3</v>
      </c>
      <c r="C641" s="467">
        <v>83</v>
      </c>
      <c r="D641" s="185" t="s">
        <v>1068</v>
      </c>
      <c r="E641" s="314" t="s">
        <v>1067</v>
      </c>
      <c r="F641" s="184">
        <v>25697</v>
      </c>
      <c r="G641" s="184">
        <v>25725</v>
      </c>
      <c r="H641" s="185">
        <v>5</v>
      </c>
      <c r="I641" s="185">
        <v>10</v>
      </c>
      <c r="J641" s="901" t="s">
        <v>1796</v>
      </c>
      <c r="K641" s="163" t="s">
        <v>6642</v>
      </c>
      <c r="L641" s="163" t="s">
        <v>5174</v>
      </c>
      <c r="M641" s="163"/>
      <c r="N641" s="163"/>
      <c r="O641" s="163"/>
      <c r="P641" s="182" t="s">
        <v>461</v>
      </c>
      <c r="Q641" s="163" t="s">
        <v>1797</v>
      </c>
      <c r="R641" s="186" t="s">
        <v>4601</v>
      </c>
      <c r="S641" s="355" t="s">
        <v>5811</v>
      </c>
      <c r="T641" s="182" t="s">
        <v>2597</v>
      </c>
      <c r="U641" s="182"/>
      <c r="V641" s="182"/>
      <c r="W641" s="328"/>
      <c r="X641" s="660" t="s">
        <v>12320</v>
      </c>
      <c r="Y641" s="355"/>
      <c r="Z641" s="185"/>
      <c r="AA641" s="185"/>
      <c r="AB641" s="33">
        <f t="shared" ca="1" si="10"/>
        <v>0.61503030572127027</v>
      </c>
      <c r="AC641" s="813"/>
      <c r="AD641" s="211" t="s">
        <v>12551</v>
      </c>
      <c r="AE641" s="875" t="s">
        <v>12552</v>
      </c>
      <c r="AF641" s="922">
        <f>IF(X641=X640,AF640,0)+IF(ISNUMBER(I641),IF(I641&lt;1,I641,I641*VLOOKUP(J641,Summary!$H$2:$I$9,2)),VLOOKUP(J641,Summary!$J$2:$K$9,2)*IF(ISNUMBER(H641),H641,1))</f>
        <v>0.96339120370370368</v>
      </c>
      <c r="AG641" s="290">
        <v>640</v>
      </c>
      <c r="AH641" s="94"/>
      <c r="AI641" s="94"/>
    </row>
    <row r="642" spans="1:35" s="22" customFormat="1" ht="12" customHeight="1" x14ac:dyDescent="0.2">
      <c r="A642" s="467">
        <v>7</v>
      </c>
      <c r="B642" s="467">
        <v>3</v>
      </c>
      <c r="C642" s="467">
        <v>86</v>
      </c>
      <c r="D642" s="185" t="s">
        <v>4037</v>
      </c>
      <c r="E642" s="314" t="s">
        <v>4036</v>
      </c>
      <c r="F642" s="184">
        <v>25732</v>
      </c>
      <c r="G642" s="184">
        <v>25760</v>
      </c>
      <c r="H642" s="185">
        <v>5</v>
      </c>
      <c r="I642" s="185">
        <v>10</v>
      </c>
      <c r="J642" s="901" t="s">
        <v>1796</v>
      </c>
      <c r="K642" s="163" t="s">
        <v>6642</v>
      </c>
      <c r="L642" s="163" t="s">
        <v>5174</v>
      </c>
      <c r="M642" s="163"/>
      <c r="N642" s="163"/>
      <c r="O642" s="163"/>
      <c r="P642" s="182" t="s">
        <v>461</v>
      </c>
      <c r="Q642" s="163" t="s">
        <v>1797</v>
      </c>
      <c r="R642" s="186" t="s">
        <v>4601</v>
      </c>
      <c r="S642" s="355" t="s">
        <v>5811</v>
      </c>
      <c r="T642" s="182" t="s">
        <v>2597</v>
      </c>
      <c r="U642" s="182"/>
      <c r="V642" s="182"/>
      <c r="W642" s="328"/>
      <c r="X642" s="660" t="s">
        <v>12320</v>
      </c>
      <c r="Y642" s="355"/>
      <c r="Z642" s="185"/>
      <c r="AA642" s="185"/>
      <c r="AB642" s="33">
        <f t="shared" ref="AB642:AB705" ca="1" si="11">RAND()</f>
        <v>0.4527802589967983</v>
      </c>
      <c r="AC642" s="813"/>
      <c r="AD642" s="211" t="s">
        <v>12551</v>
      </c>
      <c r="AE642" s="875" t="s">
        <v>12552</v>
      </c>
      <c r="AF642" s="922">
        <f>IF(X642=X641,AF641,0)+IF(ISNUMBER(I642),IF(I642&lt;1,I642,I642*VLOOKUP(J642,Summary!$H$2:$I$9,2)),VLOOKUP(J642,Summary!$J$2:$K$9,2)*IF(ISNUMBER(H642),H642,1))</f>
        <v>0.96686342592592589</v>
      </c>
      <c r="AG642" s="290">
        <v>641</v>
      </c>
      <c r="AH642" s="94"/>
      <c r="AI642" s="94"/>
    </row>
    <row r="643" spans="1:35" s="3" customFormat="1" ht="12" customHeight="1" x14ac:dyDescent="0.25">
      <c r="A643" s="467">
        <v>7</v>
      </c>
      <c r="B643" s="467">
        <v>3</v>
      </c>
      <c r="C643" s="467">
        <v>87</v>
      </c>
      <c r="D643" s="185" t="s">
        <v>4038</v>
      </c>
      <c r="E643" s="314" t="s">
        <v>12102</v>
      </c>
      <c r="F643" s="184">
        <v>25767</v>
      </c>
      <c r="G643" s="184">
        <v>25809</v>
      </c>
      <c r="H643" s="185">
        <v>7</v>
      </c>
      <c r="I643" s="185">
        <v>14</v>
      </c>
      <c r="J643" s="901" t="s">
        <v>1796</v>
      </c>
      <c r="K643" s="163" t="s">
        <v>4039</v>
      </c>
      <c r="L643" s="163" t="s">
        <v>5174</v>
      </c>
      <c r="M643" s="163"/>
      <c r="N643" s="163"/>
      <c r="O643" s="163"/>
      <c r="P643" s="182" t="s">
        <v>461</v>
      </c>
      <c r="Q643" s="163" t="s">
        <v>1797</v>
      </c>
      <c r="R643" s="186" t="s">
        <v>4601</v>
      </c>
      <c r="S643" s="355" t="s">
        <v>5811</v>
      </c>
      <c r="T643" s="182" t="s">
        <v>2597</v>
      </c>
      <c r="U643" s="182"/>
      <c r="V643" s="182"/>
      <c r="W643" s="328"/>
      <c r="X643" s="660" t="s">
        <v>12320</v>
      </c>
      <c r="Y643" s="355"/>
      <c r="Z643" s="185"/>
      <c r="AA643" s="185"/>
      <c r="AB643" s="33">
        <f t="shared" ca="1" si="11"/>
        <v>0.4685086602620282</v>
      </c>
      <c r="AC643" s="813"/>
      <c r="AD643" s="211" t="s">
        <v>12551</v>
      </c>
      <c r="AE643" s="875" t="s">
        <v>12552</v>
      </c>
      <c r="AF643" s="922">
        <f>IF(X643=X642,AF642,0)+IF(ISNUMBER(I643),IF(I643&lt;1,I643,I643*VLOOKUP(J643,Summary!$H$2:$I$9,2)),VLOOKUP(J643,Summary!$J$2:$K$9,2)*IF(ISNUMBER(H643),H643,1))</f>
        <v>0.97172453703703698</v>
      </c>
      <c r="AG643" s="290">
        <v>642</v>
      </c>
      <c r="AH643" s="94"/>
      <c r="AI643" s="94"/>
    </row>
    <row r="644" spans="1:35" s="22" customFormat="1" ht="12" customHeight="1" x14ac:dyDescent="0.2">
      <c r="A644" s="465" t="s">
        <v>5556</v>
      </c>
      <c r="B644" s="465">
        <v>3</v>
      </c>
      <c r="C644" s="471">
        <v>6.09</v>
      </c>
      <c r="D644" s="407" t="s">
        <v>2275</v>
      </c>
      <c r="E644" s="315" t="s">
        <v>2274</v>
      </c>
      <c r="F644" s="169">
        <v>40969</v>
      </c>
      <c r="G644" s="170"/>
      <c r="H644" s="170">
        <v>2</v>
      </c>
      <c r="I644" s="746">
        <f>TIME(0,51,5)</f>
        <v>3.5474537037037041E-2</v>
      </c>
      <c r="J644" s="899" t="s">
        <v>4706</v>
      </c>
      <c r="K644" s="167" t="s">
        <v>6353</v>
      </c>
      <c r="L644" s="167" t="s">
        <v>5662</v>
      </c>
      <c r="M644" s="167" t="s">
        <v>8065</v>
      </c>
      <c r="N644" s="167"/>
      <c r="O644" s="167"/>
      <c r="P644" s="168" t="s">
        <v>9156</v>
      </c>
      <c r="Q644" s="167" t="s">
        <v>3947</v>
      </c>
      <c r="R644" s="172" t="s">
        <v>3153</v>
      </c>
      <c r="S644" s="388" t="s">
        <v>5811</v>
      </c>
      <c r="T644" s="168"/>
      <c r="U644" s="168"/>
      <c r="V644" s="168"/>
      <c r="W644" s="312" t="s">
        <v>10351</v>
      </c>
      <c r="X644" s="644" t="s">
        <v>12320</v>
      </c>
      <c r="Y644" s="352" t="s">
        <v>5398</v>
      </c>
      <c r="Z644" s="353">
        <v>233</v>
      </c>
      <c r="AA644" s="353">
        <v>5.5</v>
      </c>
      <c r="AB644" s="31">
        <f t="shared" ca="1" si="11"/>
        <v>0.17732153220991309</v>
      </c>
      <c r="AC644" s="810"/>
      <c r="AD644" s="811" t="s">
        <v>12551</v>
      </c>
      <c r="AE644" s="940" t="s">
        <v>12552</v>
      </c>
      <c r="AF644" s="920">
        <f>IF(X644=X643,AF643,0)+IF(ISNUMBER(I644),IF(I644&lt;1,I644,I644*VLOOKUP(J644,Summary!$H$2:$I$9,2)),VLOOKUP(J644,Summary!$J$2:$K$9,2)*IF(ISNUMBER(H644),H644,1))</f>
        <v>1.0071990740740739</v>
      </c>
      <c r="AG644" s="287">
        <v>643</v>
      </c>
      <c r="AH644" s="94"/>
      <c r="AI644" s="94"/>
    </row>
    <row r="645" spans="1:35" s="22" customFormat="1" ht="12" customHeight="1" x14ac:dyDescent="0.25">
      <c r="A645" s="472">
        <v>7</v>
      </c>
      <c r="B645" s="472">
        <v>3</v>
      </c>
      <c r="C645" s="467"/>
      <c r="D645" s="176" t="s">
        <v>1710</v>
      </c>
      <c r="E645" s="313" t="s">
        <v>2952</v>
      </c>
      <c r="F645" s="174">
        <v>25812</v>
      </c>
      <c r="G645" s="176"/>
      <c r="H645" s="176" t="s">
        <v>461</v>
      </c>
      <c r="I645" s="176">
        <v>8</v>
      </c>
      <c r="J645" s="900" t="s">
        <v>2755</v>
      </c>
      <c r="K645" s="164" t="s">
        <v>5784</v>
      </c>
      <c r="L645" s="164" t="s">
        <v>461</v>
      </c>
      <c r="M645" s="164"/>
      <c r="N645" s="164"/>
      <c r="O645" s="164"/>
      <c r="P645" s="173" t="s">
        <v>1711</v>
      </c>
      <c r="Q645" s="164" t="s">
        <v>4705</v>
      </c>
      <c r="R645" s="177" t="s">
        <v>4600</v>
      </c>
      <c r="S645" s="354" t="s">
        <v>5811</v>
      </c>
      <c r="T645" s="173" t="s">
        <v>2597</v>
      </c>
      <c r="U645" s="173"/>
      <c r="V645" s="173"/>
      <c r="W645" s="313" t="s">
        <v>2952</v>
      </c>
      <c r="X645" s="645" t="s">
        <v>12320</v>
      </c>
      <c r="Y645" s="354" t="s">
        <v>6000</v>
      </c>
      <c r="Z645" s="176">
        <v>999</v>
      </c>
      <c r="AA645" s="176"/>
      <c r="AB645" s="32">
        <f t="shared" ca="1" si="11"/>
        <v>0.4965942006236963</v>
      </c>
      <c r="AC645" s="812"/>
      <c r="AD645" s="763" t="s">
        <v>12551</v>
      </c>
      <c r="AE645" s="807" t="s">
        <v>12552</v>
      </c>
      <c r="AF645" s="921">
        <f>IF(X645=X644,AF644,0)+IF(ISNUMBER(I645),IF(I645&lt;1,I645,I645*VLOOKUP(J645,Summary!$H$2:$I$9,2)),VLOOKUP(J645,Summary!$J$2:$K$9,2)*IF(ISNUMBER(H645),H645,1))</f>
        <v>1.0127546296296295</v>
      </c>
      <c r="AG645" s="289">
        <v>644</v>
      </c>
      <c r="AH645" s="94"/>
      <c r="AI645" s="94"/>
    </row>
    <row r="646" spans="1:35" s="2" customFormat="1" ht="12" customHeight="1" x14ac:dyDescent="0.25">
      <c r="A646" s="472">
        <v>7</v>
      </c>
      <c r="B646" s="472">
        <v>3</v>
      </c>
      <c r="C646" s="467"/>
      <c r="D646" s="176" t="s">
        <v>1710</v>
      </c>
      <c r="E646" s="313" t="s">
        <v>2953</v>
      </c>
      <c r="F646" s="174">
        <v>25812</v>
      </c>
      <c r="G646" s="176"/>
      <c r="H646" s="176" t="s">
        <v>461</v>
      </c>
      <c r="I646" s="176">
        <v>6</v>
      </c>
      <c r="J646" s="900" t="s">
        <v>2755</v>
      </c>
      <c r="K646" s="164" t="s">
        <v>5784</v>
      </c>
      <c r="L646" s="164" t="s">
        <v>461</v>
      </c>
      <c r="M646" s="164"/>
      <c r="N646" s="164"/>
      <c r="O646" s="164"/>
      <c r="P646" s="173" t="s">
        <v>1711</v>
      </c>
      <c r="Q646" s="164" t="s">
        <v>4705</v>
      </c>
      <c r="R646" s="177" t="s">
        <v>4600</v>
      </c>
      <c r="S646" s="354" t="s">
        <v>5811</v>
      </c>
      <c r="T646" s="173" t="s">
        <v>2597</v>
      </c>
      <c r="U646" s="173"/>
      <c r="V646" s="173"/>
      <c r="W646" s="313" t="s">
        <v>2953</v>
      </c>
      <c r="X646" s="645" t="s">
        <v>12320</v>
      </c>
      <c r="Y646" s="354" t="s">
        <v>6000</v>
      </c>
      <c r="Z646" s="176">
        <v>999</v>
      </c>
      <c r="AA646" s="176"/>
      <c r="AB646" s="32">
        <f t="shared" ca="1" si="11"/>
        <v>3.6302575908729429E-2</v>
      </c>
      <c r="AC646" s="812"/>
      <c r="AD646" s="763" t="s">
        <v>12551</v>
      </c>
      <c r="AE646" s="807" t="s">
        <v>12552</v>
      </c>
      <c r="AF646" s="921">
        <f>IF(X646=X645,AF645,0)+IF(ISNUMBER(I646),IF(I646&lt;1,I646,I646*VLOOKUP(J646,Summary!$H$2:$I$9,2)),VLOOKUP(J646,Summary!$J$2:$K$9,2)*IF(ISNUMBER(H646),H646,1))</f>
        <v>1.0169212962962961</v>
      </c>
      <c r="AG646" s="289">
        <v>645</v>
      </c>
      <c r="AH646" s="94"/>
      <c r="AI646" s="94"/>
    </row>
    <row r="647" spans="1:35" s="22" customFormat="1" ht="12" customHeight="1" x14ac:dyDescent="0.25">
      <c r="A647" s="472">
        <v>7</v>
      </c>
      <c r="B647" s="472">
        <v>3</v>
      </c>
      <c r="C647" s="467"/>
      <c r="D647" s="176" t="s">
        <v>1710</v>
      </c>
      <c r="E647" s="313" t="s">
        <v>2954</v>
      </c>
      <c r="F647" s="174">
        <v>25812</v>
      </c>
      <c r="G647" s="176"/>
      <c r="H647" s="176" t="s">
        <v>461</v>
      </c>
      <c r="I647" s="176">
        <v>7</v>
      </c>
      <c r="J647" s="900" t="s">
        <v>2755</v>
      </c>
      <c r="K647" s="164" t="s">
        <v>5784</v>
      </c>
      <c r="L647" s="164" t="s">
        <v>461</v>
      </c>
      <c r="M647" s="164"/>
      <c r="N647" s="164"/>
      <c r="O647" s="164"/>
      <c r="P647" s="173" t="s">
        <v>1711</v>
      </c>
      <c r="Q647" s="164" t="s">
        <v>4705</v>
      </c>
      <c r="R647" s="177" t="s">
        <v>4600</v>
      </c>
      <c r="S647" s="354" t="s">
        <v>5811</v>
      </c>
      <c r="T647" s="173" t="s">
        <v>2597</v>
      </c>
      <c r="U647" s="173"/>
      <c r="V647" s="173"/>
      <c r="W647" s="313" t="s">
        <v>2954</v>
      </c>
      <c r="X647" s="645" t="s">
        <v>12320</v>
      </c>
      <c r="Y647" s="354" t="s">
        <v>6000</v>
      </c>
      <c r="Z647" s="176">
        <v>999</v>
      </c>
      <c r="AA647" s="176"/>
      <c r="AB647" s="32">
        <f t="shared" ca="1" si="11"/>
        <v>0.80704354053867955</v>
      </c>
      <c r="AC647" s="812"/>
      <c r="AD647" s="763" t="s">
        <v>12551</v>
      </c>
      <c r="AE647" s="878" t="s">
        <v>12552</v>
      </c>
      <c r="AF647" s="921">
        <f>IF(X647=X646,AF646,0)+IF(ISNUMBER(I647),IF(I647&lt;1,I647,I647*VLOOKUP(J647,Summary!$H$2:$I$9,2)),VLOOKUP(J647,Summary!$J$2:$K$9,2)*IF(ISNUMBER(H647),H647,1))</f>
        <v>1.0217824074074073</v>
      </c>
      <c r="AG647" s="289">
        <v>646</v>
      </c>
      <c r="AH647" s="94"/>
      <c r="AI647" s="94"/>
    </row>
    <row r="648" spans="1:35" s="22" customFormat="1" ht="12" customHeight="1" x14ac:dyDescent="0.25">
      <c r="A648" s="472">
        <v>7</v>
      </c>
      <c r="B648" s="472">
        <v>3</v>
      </c>
      <c r="C648" s="467"/>
      <c r="D648" s="176" t="s">
        <v>1710</v>
      </c>
      <c r="E648" s="313" t="s">
        <v>2955</v>
      </c>
      <c r="F648" s="174">
        <v>25812</v>
      </c>
      <c r="G648" s="176"/>
      <c r="H648" s="176" t="s">
        <v>461</v>
      </c>
      <c r="I648" s="176">
        <v>7</v>
      </c>
      <c r="J648" s="900" t="s">
        <v>2755</v>
      </c>
      <c r="K648" s="164" t="s">
        <v>5784</v>
      </c>
      <c r="L648" s="164" t="s">
        <v>461</v>
      </c>
      <c r="M648" s="164"/>
      <c r="N648" s="164"/>
      <c r="O648" s="164"/>
      <c r="P648" s="173" t="s">
        <v>1711</v>
      </c>
      <c r="Q648" s="164" t="s">
        <v>4705</v>
      </c>
      <c r="R648" s="177" t="s">
        <v>4600</v>
      </c>
      <c r="S648" s="354" t="s">
        <v>5811</v>
      </c>
      <c r="T648" s="173" t="s">
        <v>2597</v>
      </c>
      <c r="U648" s="173"/>
      <c r="V648" s="173"/>
      <c r="W648" s="313" t="s">
        <v>2955</v>
      </c>
      <c r="X648" s="645" t="s">
        <v>12320</v>
      </c>
      <c r="Y648" s="354" t="s">
        <v>6000</v>
      </c>
      <c r="Z648" s="176">
        <v>999</v>
      </c>
      <c r="AA648" s="176"/>
      <c r="AB648" s="32">
        <f t="shared" ca="1" si="11"/>
        <v>0.61555958420267687</v>
      </c>
      <c r="AC648" s="812"/>
      <c r="AD648" s="763" t="s">
        <v>12551</v>
      </c>
      <c r="AE648" s="878" t="s">
        <v>12552</v>
      </c>
      <c r="AF648" s="921">
        <f>IF(X648=X647,AF647,0)+IF(ISNUMBER(I648),IF(I648&lt;1,I648,I648*VLOOKUP(J648,Summary!$H$2:$I$9,2)),VLOOKUP(J648,Summary!$J$2:$K$9,2)*IF(ISNUMBER(H648),H648,1))</f>
        <v>1.0266435185185185</v>
      </c>
      <c r="AG648" s="289">
        <v>647</v>
      </c>
      <c r="AH648" s="94"/>
      <c r="AI648" s="94"/>
    </row>
    <row r="649" spans="1:35" s="45" customFormat="1" ht="12" customHeight="1" x14ac:dyDescent="0.3">
      <c r="A649" s="472">
        <v>7</v>
      </c>
      <c r="B649" s="472">
        <v>3</v>
      </c>
      <c r="C649" s="467"/>
      <c r="D649" s="176" t="s">
        <v>1710</v>
      </c>
      <c r="E649" s="313" t="s">
        <v>2956</v>
      </c>
      <c r="F649" s="174">
        <v>25812</v>
      </c>
      <c r="G649" s="176"/>
      <c r="H649" s="176" t="s">
        <v>461</v>
      </c>
      <c r="I649" s="176">
        <v>11</v>
      </c>
      <c r="J649" s="900" t="s">
        <v>2755</v>
      </c>
      <c r="K649" s="164" t="s">
        <v>5784</v>
      </c>
      <c r="L649" s="164" t="s">
        <v>461</v>
      </c>
      <c r="M649" s="164"/>
      <c r="N649" s="164"/>
      <c r="O649" s="164"/>
      <c r="P649" s="173" t="s">
        <v>1711</v>
      </c>
      <c r="Q649" s="164" t="s">
        <v>4705</v>
      </c>
      <c r="R649" s="177" t="s">
        <v>4600</v>
      </c>
      <c r="S649" s="354" t="s">
        <v>5811</v>
      </c>
      <c r="T649" s="173" t="s">
        <v>2597</v>
      </c>
      <c r="U649" s="173"/>
      <c r="V649" s="173"/>
      <c r="W649" s="313" t="s">
        <v>2956</v>
      </c>
      <c r="X649" s="645" t="s">
        <v>12320</v>
      </c>
      <c r="Y649" s="354" t="s">
        <v>6000</v>
      </c>
      <c r="Z649" s="176">
        <v>999</v>
      </c>
      <c r="AA649" s="176"/>
      <c r="AB649" s="32">
        <f t="shared" ca="1" si="11"/>
        <v>0.27398878815954431</v>
      </c>
      <c r="AC649" s="812"/>
      <c r="AD649" s="763" t="s">
        <v>12551</v>
      </c>
      <c r="AE649" s="807" t="s">
        <v>12552</v>
      </c>
      <c r="AF649" s="921">
        <f>IF(X649=X648,AF648,0)+IF(ISNUMBER(I649),IF(I649&lt;1,I649,I649*VLOOKUP(J649,Summary!$H$2:$I$9,2)),VLOOKUP(J649,Summary!$J$2:$K$9,2)*IF(ISNUMBER(H649),H649,1))</f>
        <v>1.0342824074074075</v>
      </c>
      <c r="AG649" s="289">
        <v>648</v>
      </c>
      <c r="AH649" s="94"/>
      <c r="AI649" s="94"/>
    </row>
    <row r="650" spans="1:35" s="22" customFormat="1" ht="12" customHeight="1" x14ac:dyDescent="0.25">
      <c r="A650" s="472">
        <v>7</v>
      </c>
      <c r="B650" s="472">
        <v>3</v>
      </c>
      <c r="C650" s="467"/>
      <c r="D650" s="176" t="s">
        <v>1710</v>
      </c>
      <c r="E650" s="313" t="s">
        <v>2957</v>
      </c>
      <c r="F650" s="174">
        <v>25812</v>
      </c>
      <c r="G650" s="176"/>
      <c r="H650" s="176" t="s">
        <v>461</v>
      </c>
      <c r="I650" s="176">
        <v>6</v>
      </c>
      <c r="J650" s="900" t="s">
        <v>2755</v>
      </c>
      <c r="K650" s="164" t="s">
        <v>5784</v>
      </c>
      <c r="L650" s="164" t="s">
        <v>461</v>
      </c>
      <c r="M650" s="164"/>
      <c r="N650" s="164"/>
      <c r="O650" s="164"/>
      <c r="P650" s="173" t="s">
        <v>1711</v>
      </c>
      <c r="Q650" s="164" t="s">
        <v>4705</v>
      </c>
      <c r="R650" s="177" t="s">
        <v>4600</v>
      </c>
      <c r="S650" s="354" t="s">
        <v>5811</v>
      </c>
      <c r="T650" s="173" t="s">
        <v>2597</v>
      </c>
      <c r="U650" s="173"/>
      <c r="V650" s="173"/>
      <c r="W650" s="313" t="s">
        <v>2957</v>
      </c>
      <c r="X650" s="645" t="s">
        <v>12320</v>
      </c>
      <c r="Y650" s="354" t="s">
        <v>6000</v>
      </c>
      <c r="Z650" s="176">
        <v>999</v>
      </c>
      <c r="AA650" s="176"/>
      <c r="AB650" s="32">
        <f t="shared" ca="1" si="11"/>
        <v>0.86211077651464807</v>
      </c>
      <c r="AC650" s="812"/>
      <c r="AD650" s="763" t="s">
        <v>12551</v>
      </c>
      <c r="AE650" s="878" t="s">
        <v>12552</v>
      </c>
      <c r="AF650" s="921">
        <f>IF(X650=X649,AF649,0)+IF(ISNUMBER(I650),IF(I650&lt;1,I650,I650*VLOOKUP(J650,Summary!$H$2:$I$9,2)),VLOOKUP(J650,Summary!$J$2:$K$9,2)*IF(ISNUMBER(H650),H650,1))</f>
        <v>1.0384490740740742</v>
      </c>
      <c r="AG650" s="289">
        <v>649</v>
      </c>
      <c r="AH650" s="94"/>
      <c r="AI650" s="94"/>
    </row>
    <row r="651" spans="1:35" s="2" customFormat="1" ht="12" customHeight="1" x14ac:dyDescent="0.25">
      <c r="A651" s="472">
        <v>7</v>
      </c>
      <c r="B651" s="472">
        <v>3</v>
      </c>
      <c r="C651" s="467"/>
      <c r="D651" s="176" t="s">
        <v>1710</v>
      </c>
      <c r="E651" s="313" t="s">
        <v>2958</v>
      </c>
      <c r="F651" s="174">
        <v>25812</v>
      </c>
      <c r="G651" s="176"/>
      <c r="H651" s="176" t="s">
        <v>461</v>
      </c>
      <c r="I651" s="176">
        <v>7</v>
      </c>
      <c r="J651" s="900" t="s">
        <v>2755</v>
      </c>
      <c r="K651" s="164" t="s">
        <v>5784</v>
      </c>
      <c r="L651" s="164" t="s">
        <v>461</v>
      </c>
      <c r="M651" s="164"/>
      <c r="N651" s="164"/>
      <c r="O651" s="164"/>
      <c r="P651" s="173" t="s">
        <v>1711</v>
      </c>
      <c r="Q651" s="164" t="s">
        <v>4705</v>
      </c>
      <c r="R651" s="177" t="s">
        <v>4600</v>
      </c>
      <c r="S651" s="354" t="s">
        <v>5811</v>
      </c>
      <c r="T651" s="173" t="s">
        <v>2597</v>
      </c>
      <c r="U651" s="173"/>
      <c r="V651" s="173"/>
      <c r="W651" s="313" t="s">
        <v>2958</v>
      </c>
      <c r="X651" s="645" t="s">
        <v>12320</v>
      </c>
      <c r="Y651" s="354" t="s">
        <v>6000</v>
      </c>
      <c r="Z651" s="176">
        <v>999</v>
      </c>
      <c r="AA651" s="176"/>
      <c r="AB651" s="32">
        <f t="shared" ca="1" si="11"/>
        <v>0.17671409600893284</v>
      </c>
      <c r="AC651" s="812"/>
      <c r="AD651" s="763" t="s">
        <v>12551</v>
      </c>
      <c r="AE651" s="878" t="s">
        <v>12552</v>
      </c>
      <c r="AF651" s="921">
        <f>IF(X651=X650,AF650,0)+IF(ISNUMBER(I651),IF(I651&lt;1,I651,I651*VLOOKUP(J651,Summary!$H$2:$I$9,2)),VLOOKUP(J651,Summary!$J$2:$K$9,2)*IF(ISNUMBER(H651),H651,1))</f>
        <v>1.0433101851851854</v>
      </c>
      <c r="AG651" s="289">
        <v>650</v>
      </c>
      <c r="AH651" s="94"/>
      <c r="AI651" s="94"/>
    </row>
    <row r="652" spans="1:35" s="22" customFormat="1" ht="12" customHeight="1" x14ac:dyDescent="0.25">
      <c r="A652" s="472">
        <v>7</v>
      </c>
      <c r="B652" s="472">
        <v>3</v>
      </c>
      <c r="C652" s="467"/>
      <c r="D652" s="176" t="s">
        <v>1710</v>
      </c>
      <c r="E652" s="313" t="s">
        <v>2951</v>
      </c>
      <c r="F652" s="174">
        <v>25812</v>
      </c>
      <c r="G652" s="176"/>
      <c r="H652" s="176" t="s">
        <v>461</v>
      </c>
      <c r="I652" s="176">
        <v>9</v>
      </c>
      <c r="J652" s="900" t="s">
        <v>2755</v>
      </c>
      <c r="K652" s="164" t="s">
        <v>5784</v>
      </c>
      <c r="L652" s="164" t="s">
        <v>461</v>
      </c>
      <c r="M652" s="164"/>
      <c r="N652" s="164"/>
      <c r="O652" s="164"/>
      <c r="P652" s="173" t="s">
        <v>1711</v>
      </c>
      <c r="Q652" s="164" t="s">
        <v>4705</v>
      </c>
      <c r="R652" s="177" t="s">
        <v>4600</v>
      </c>
      <c r="S652" s="354" t="s">
        <v>5811</v>
      </c>
      <c r="T652" s="173" t="s">
        <v>2597</v>
      </c>
      <c r="U652" s="173"/>
      <c r="V652" s="173"/>
      <c r="W652" s="313" t="s">
        <v>2951</v>
      </c>
      <c r="X652" s="645" t="s">
        <v>12320</v>
      </c>
      <c r="Y652" s="354" t="s">
        <v>6000</v>
      </c>
      <c r="Z652" s="176">
        <v>999</v>
      </c>
      <c r="AA652" s="176"/>
      <c r="AB652" s="32">
        <f t="shared" ca="1" si="11"/>
        <v>0.3378017541048961</v>
      </c>
      <c r="AC652" s="812"/>
      <c r="AD652" s="763" t="s">
        <v>12551</v>
      </c>
      <c r="AE652" s="807" t="s">
        <v>12552</v>
      </c>
      <c r="AF652" s="921">
        <f>IF(X652=X651,AF651,0)+IF(ISNUMBER(I652),IF(I652&lt;1,I652,I652*VLOOKUP(J652,Summary!$H$2:$I$9,2)),VLOOKUP(J652,Summary!$J$2:$K$9,2)*IF(ISNUMBER(H652),H652,1))</f>
        <v>1.0495601851851855</v>
      </c>
      <c r="AG652" s="289">
        <v>651</v>
      </c>
      <c r="AH652" s="94"/>
      <c r="AI652" s="94"/>
    </row>
    <row r="653" spans="1:35" s="22" customFormat="1" ht="12" customHeight="1" x14ac:dyDescent="0.25">
      <c r="A653" s="469">
        <v>7</v>
      </c>
      <c r="B653" s="469">
        <v>3</v>
      </c>
      <c r="C653" s="470">
        <v>0.21</v>
      </c>
      <c r="D653" s="192" t="s">
        <v>13146</v>
      </c>
      <c r="E653" s="317" t="s">
        <v>9289</v>
      </c>
      <c r="F653" s="191">
        <v>41974</v>
      </c>
      <c r="G653" s="209"/>
      <c r="H653" s="192" t="s">
        <v>461</v>
      </c>
      <c r="I653" s="753"/>
      <c r="J653" s="903" t="s">
        <v>2755</v>
      </c>
      <c r="K653" s="194" t="s">
        <v>338</v>
      </c>
      <c r="L653" s="194" t="s">
        <v>3365</v>
      </c>
      <c r="M653" s="194" t="s">
        <v>9290</v>
      </c>
      <c r="N653" s="194"/>
      <c r="O653" s="194"/>
      <c r="P653" s="190" t="s">
        <v>461</v>
      </c>
      <c r="Q653" s="194" t="s">
        <v>3947</v>
      </c>
      <c r="R653" s="193" t="s">
        <v>2722</v>
      </c>
      <c r="S653" s="357" t="s">
        <v>5811</v>
      </c>
      <c r="T653" s="190"/>
      <c r="U653" s="190" t="s">
        <v>2600</v>
      </c>
      <c r="V653" s="190"/>
      <c r="W653" s="317" t="s">
        <v>9289</v>
      </c>
      <c r="X653" s="649" t="s">
        <v>12320</v>
      </c>
      <c r="Y653" s="357"/>
      <c r="Z653" s="176"/>
      <c r="AA653" s="192"/>
      <c r="AB653" s="37">
        <f t="shared" ca="1" si="11"/>
        <v>3.9941711747967235E-2</v>
      </c>
      <c r="AC653" s="816"/>
      <c r="AD653" s="817" t="s">
        <v>12551</v>
      </c>
      <c r="AE653" s="943" t="s">
        <v>12552</v>
      </c>
      <c r="AF653" s="924">
        <f>IF(X653=X652,AF652,0)+IF(ISNUMBER(I653),IF(I653&lt;1,I653,I653*VLOOKUP(J653,Summary!$H$2:$I$9,2)),VLOOKUP(J653,Summary!$J$2:$K$9,2)*IF(ISNUMBER(H653),H653,1))</f>
        <v>1.0669212962962966</v>
      </c>
      <c r="AG653" s="292">
        <v>652</v>
      </c>
      <c r="AH653" s="94"/>
      <c r="AI653" s="94"/>
    </row>
    <row r="654" spans="1:35" s="22" customFormat="1" ht="12" customHeight="1" x14ac:dyDescent="0.25">
      <c r="A654" s="472">
        <v>7</v>
      </c>
      <c r="B654" s="472">
        <v>3</v>
      </c>
      <c r="C654" s="473">
        <v>31.12</v>
      </c>
      <c r="D654" s="176" t="s">
        <v>619</v>
      </c>
      <c r="E654" s="313" t="s">
        <v>5845</v>
      </c>
      <c r="F654" s="174">
        <v>39873</v>
      </c>
      <c r="G654" s="174"/>
      <c r="H654" s="176" t="s">
        <v>461</v>
      </c>
      <c r="I654" s="176">
        <v>16</v>
      </c>
      <c r="J654" s="900" t="s">
        <v>2755</v>
      </c>
      <c r="K654" s="164" t="s">
        <v>5846</v>
      </c>
      <c r="L654" s="164" t="s">
        <v>461</v>
      </c>
      <c r="M654" s="164"/>
      <c r="N654" s="164" t="s">
        <v>1805</v>
      </c>
      <c r="O654" s="164"/>
      <c r="P654" s="173" t="s">
        <v>6699</v>
      </c>
      <c r="Q654" s="164" t="s">
        <v>3947</v>
      </c>
      <c r="R654" s="177" t="s">
        <v>2723</v>
      </c>
      <c r="S654" s="354" t="s">
        <v>5811</v>
      </c>
      <c r="T654" s="173"/>
      <c r="U654" s="173"/>
      <c r="V654" s="173"/>
      <c r="W654" s="313" t="s">
        <v>5845</v>
      </c>
      <c r="X654" s="645" t="s">
        <v>12320</v>
      </c>
      <c r="Y654" s="354"/>
      <c r="Z654" s="176"/>
      <c r="AA654" s="176"/>
      <c r="AB654" s="32">
        <f t="shared" ca="1" si="11"/>
        <v>5.8269168806874161E-2</v>
      </c>
      <c r="AC654" s="812"/>
      <c r="AD654" s="763" t="s">
        <v>12551</v>
      </c>
      <c r="AE654" s="807" t="s">
        <v>16946</v>
      </c>
      <c r="AF654" s="921">
        <f>IF(X654=X653,AF653,0)+IF(ISNUMBER(I654),IF(I654&lt;1,I654,I654*VLOOKUP(J654,Summary!$H$2:$I$9,2)),VLOOKUP(J654,Summary!$J$2:$K$9,2)*IF(ISNUMBER(H654),H654,1))</f>
        <v>1.0780324074074077</v>
      </c>
      <c r="AG654" s="289">
        <v>653</v>
      </c>
      <c r="AH654" s="94"/>
      <c r="AI654" s="94"/>
    </row>
    <row r="655" spans="1:35" s="29" customFormat="1" ht="12" customHeight="1" x14ac:dyDescent="0.25">
      <c r="A655" s="468" t="s">
        <v>5556</v>
      </c>
      <c r="B655" s="468">
        <v>3</v>
      </c>
      <c r="C655" s="468">
        <v>21</v>
      </c>
      <c r="D655" s="417" t="s">
        <v>4213</v>
      </c>
      <c r="E655" s="316" t="s">
        <v>4214</v>
      </c>
      <c r="F655" s="187">
        <v>35156</v>
      </c>
      <c r="G655" s="188"/>
      <c r="H655" s="188" t="str">
        <f>IF(J655="Book","n/a","")</f>
        <v>n/a</v>
      </c>
      <c r="I655" s="188">
        <v>288</v>
      </c>
      <c r="J655" s="902" t="s">
        <v>6868</v>
      </c>
      <c r="K655" s="162" t="s">
        <v>181</v>
      </c>
      <c r="L655" s="162" t="str">
        <f>IF(J655="Book","n/a","")</f>
        <v>n/a</v>
      </c>
      <c r="M655" s="162"/>
      <c r="N655" s="162"/>
      <c r="O655" s="162"/>
      <c r="P655" s="178" t="s">
        <v>8606</v>
      </c>
      <c r="Q655" s="162" t="s">
        <v>601</v>
      </c>
      <c r="R655" s="189" t="s">
        <v>2715</v>
      </c>
      <c r="S655" s="366" t="s">
        <v>5811</v>
      </c>
      <c r="T655" s="178" t="s">
        <v>2597</v>
      </c>
      <c r="U655" s="178"/>
      <c r="V655" s="178"/>
      <c r="W655" s="316" t="s">
        <v>4214</v>
      </c>
      <c r="X655" s="648" t="s">
        <v>12320</v>
      </c>
      <c r="Y655" s="356"/>
      <c r="Z655" s="272">
        <v>108</v>
      </c>
      <c r="AA655" s="272">
        <v>5</v>
      </c>
      <c r="AB655" s="34">
        <f t="shared" ca="1" si="11"/>
        <v>0.48234881623349124</v>
      </c>
      <c r="AC655" s="814"/>
      <c r="AD655" s="815" t="s">
        <v>15826</v>
      </c>
      <c r="AE655" s="942" t="s">
        <v>3234</v>
      </c>
      <c r="AF655" s="923">
        <f>IF(X655=X654,AF654,0)+IF(ISNUMBER(I655),IF(I655&lt;1,I655,I655*VLOOKUP(J655,Summary!$H$2:$I$9,2)),VLOOKUP(J655,Summary!$J$2:$K$9,2)*IF(ISNUMBER(H655),H655,1))</f>
        <v>1.2780324074074076</v>
      </c>
      <c r="AG655" s="291">
        <v>654</v>
      </c>
      <c r="AH655" s="94"/>
      <c r="AI655" s="94"/>
    </row>
    <row r="656" spans="1:35" s="22" customFormat="1" ht="12" customHeight="1" x14ac:dyDescent="0.2">
      <c r="A656" s="465" t="s">
        <v>5556</v>
      </c>
      <c r="B656" s="465">
        <v>3</v>
      </c>
      <c r="C656" s="471">
        <v>1.03</v>
      </c>
      <c r="D656" s="407" t="s">
        <v>143</v>
      </c>
      <c r="E656" s="315" t="s">
        <v>4215</v>
      </c>
      <c r="F656" s="196">
        <v>39118</v>
      </c>
      <c r="G656" s="170"/>
      <c r="H656" s="170">
        <v>4</v>
      </c>
      <c r="I656" s="746">
        <f>TIME(1,6,29)</f>
        <v>4.6168981481481484E-2</v>
      </c>
      <c r="J656" s="899" t="s">
        <v>4706</v>
      </c>
      <c r="K656" s="167" t="s">
        <v>7757</v>
      </c>
      <c r="L656" s="167" t="s">
        <v>4553</v>
      </c>
      <c r="M656" s="167" t="s">
        <v>8032</v>
      </c>
      <c r="N656" s="167"/>
      <c r="O656" s="167"/>
      <c r="P656" s="168" t="s">
        <v>9159</v>
      </c>
      <c r="Q656" s="167" t="s">
        <v>3947</v>
      </c>
      <c r="R656" s="172" t="s">
        <v>3153</v>
      </c>
      <c r="S656" s="388" t="s">
        <v>5811</v>
      </c>
      <c r="T656" s="168" t="s">
        <v>2597</v>
      </c>
      <c r="U656" s="168"/>
      <c r="V656" s="168"/>
      <c r="W656" s="312" t="s">
        <v>11469</v>
      </c>
      <c r="X656" s="644" t="s">
        <v>12320</v>
      </c>
      <c r="Y656" s="352" t="s">
        <v>5398</v>
      </c>
      <c r="Z656" s="353">
        <v>181</v>
      </c>
      <c r="AA656" s="353">
        <v>6</v>
      </c>
      <c r="AB656" s="31">
        <f t="shared" ca="1" si="11"/>
        <v>5.9697548504269227E-2</v>
      </c>
      <c r="AC656" s="810"/>
      <c r="AD656" s="811" t="s">
        <v>14955</v>
      </c>
      <c r="AE656" s="940" t="s">
        <v>3234</v>
      </c>
      <c r="AF656" s="920">
        <f>IF(X656=X655,AF655,0)+IF(ISNUMBER(I656),IF(I656&lt;1,I656,I656*VLOOKUP(J656,Summary!$H$2:$I$9,2)),VLOOKUP(J656,Summary!$J$2:$K$9,2)*IF(ISNUMBER(H656),H656,1))</f>
        <v>1.3242013888888891</v>
      </c>
      <c r="AG656" s="287">
        <v>655</v>
      </c>
      <c r="AH656" s="94"/>
      <c r="AI656" s="94"/>
    </row>
    <row r="657" spans="1:35" s="22" customFormat="1" ht="12" customHeight="1" x14ac:dyDescent="0.25">
      <c r="A657" s="468" t="s">
        <v>5556</v>
      </c>
      <c r="B657" s="468">
        <v>3</v>
      </c>
      <c r="C657" s="468">
        <v>24</v>
      </c>
      <c r="D657" s="417" t="s">
        <v>4216</v>
      </c>
      <c r="E657" s="316" t="s">
        <v>4217</v>
      </c>
      <c r="F657" s="187">
        <v>35247</v>
      </c>
      <c r="G657" s="188"/>
      <c r="H657" s="188">
        <v>7</v>
      </c>
      <c r="I657" s="188">
        <v>262</v>
      </c>
      <c r="J657" s="902" t="s">
        <v>6868</v>
      </c>
      <c r="K657" s="162" t="s">
        <v>7375</v>
      </c>
      <c r="L657" s="162" t="str">
        <f>IF(J657="Book","n/a","")</f>
        <v>n/a</v>
      </c>
      <c r="M657" s="162"/>
      <c r="N657" s="162"/>
      <c r="O657" s="162"/>
      <c r="P657" s="178" t="s">
        <v>8609</v>
      </c>
      <c r="Q657" s="162" t="s">
        <v>601</v>
      </c>
      <c r="R657" s="189" t="s">
        <v>2715</v>
      </c>
      <c r="S657" s="366" t="s">
        <v>5811</v>
      </c>
      <c r="T657" s="178" t="s">
        <v>2597</v>
      </c>
      <c r="U657" s="178"/>
      <c r="V657" s="178"/>
      <c r="W657" s="316"/>
      <c r="X657" s="648" t="s">
        <v>12320</v>
      </c>
      <c r="Y657" s="356" t="s">
        <v>4707</v>
      </c>
      <c r="Z657" s="272">
        <v>117</v>
      </c>
      <c r="AA657" s="272">
        <v>5</v>
      </c>
      <c r="AB657" s="34">
        <f t="shared" ca="1" si="11"/>
        <v>0.22418044011905114</v>
      </c>
      <c r="AC657" s="814"/>
      <c r="AD657" s="815" t="s">
        <v>14956</v>
      </c>
      <c r="AE657" s="942" t="s">
        <v>3234</v>
      </c>
      <c r="AF657" s="923">
        <f>IF(X657=X656,AF656,0)+IF(ISNUMBER(I657),IF(I657&lt;1,I657,I657*VLOOKUP(J657,Summary!$H$2:$I$9,2)),VLOOKUP(J657,Summary!$J$2:$K$9,2)*IF(ISNUMBER(H657),H657,1))</f>
        <v>1.5061458333333335</v>
      </c>
      <c r="AG657" s="291">
        <v>656</v>
      </c>
      <c r="AH657" s="94"/>
      <c r="AI657" s="94"/>
    </row>
    <row r="658" spans="1:35" s="29" customFormat="1" ht="12" customHeight="1" x14ac:dyDescent="0.25">
      <c r="A658" s="467">
        <v>7</v>
      </c>
      <c r="B658" s="467">
        <v>3</v>
      </c>
      <c r="C658" s="467">
        <v>88</v>
      </c>
      <c r="D658" s="185" t="s">
        <v>4224</v>
      </c>
      <c r="E658" s="314" t="s">
        <v>4040</v>
      </c>
      <c r="F658" s="183">
        <v>25812</v>
      </c>
      <c r="G658" s="184"/>
      <c r="H658" s="185">
        <v>1</v>
      </c>
      <c r="I658" s="185">
        <v>4</v>
      </c>
      <c r="J658" s="901" t="s">
        <v>1796</v>
      </c>
      <c r="K658" s="163" t="s">
        <v>6642</v>
      </c>
      <c r="L658" s="163" t="s">
        <v>5174</v>
      </c>
      <c r="M658" s="163"/>
      <c r="N658" s="163"/>
      <c r="O658" s="163"/>
      <c r="P658" s="182" t="s">
        <v>461</v>
      </c>
      <c r="Q658" s="163" t="s">
        <v>1797</v>
      </c>
      <c r="R658" s="186" t="s">
        <v>4601</v>
      </c>
      <c r="S658" s="355"/>
      <c r="T658" s="182" t="s">
        <v>2597</v>
      </c>
      <c r="U658" s="182"/>
      <c r="V658" s="182"/>
      <c r="W658" s="314" t="s">
        <v>4040</v>
      </c>
      <c r="X658" s="646" t="s">
        <v>12320</v>
      </c>
      <c r="Y658" s="355"/>
      <c r="Z658" s="185"/>
      <c r="AA658" s="185"/>
      <c r="AB658" s="33">
        <f t="shared" ca="1" si="11"/>
        <v>0.45566696625547987</v>
      </c>
      <c r="AC658" s="813"/>
      <c r="AD658" s="211" t="s">
        <v>16942</v>
      </c>
      <c r="AE658" s="875" t="s">
        <v>12552</v>
      </c>
      <c r="AF658" s="922">
        <f>IF(X658=X657,AF657,0)+IF(ISNUMBER(I658),IF(I658&lt;1,I658,I658*VLOOKUP(J658,Summary!$H$2:$I$9,2)),VLOOKUP(J658,Summary!$J$2:$K$9,2)*IF(ISNUMBER(H658),H658,1))</f>
        <v>1.5075347222222224</v>
      </c>
      <c r="AG658" s="290">
        <v>657</v>
      </c>
      <c r="AH658" s="94"/>
      <c r="AI658" s="94"/>
    </row>
    <row r="659" spans="1:35" s="22" customFormat="1" ht="12" customHeight="1" x14ac:dyDescent="0.2">
      <c r="A659" s="467">
        <v>7</v>
      </c>
      <c r="B659" s="467">
        <v>3</v>
      </c>
      <c r="C659" s="467">
        <v>89</v>
      </c>
      <c r="D659" s="185" t="s">
        <v>4224</v>
      </c>
      <c r="E659" s="314" t="s">
        <v>4041</v>
      </c>
      <c r="F659" s="183">
        <v>25812</v>
      </c>
      <c r="G659" s="184"/>
      <c r="H659" s="185">
        <v>1</v>
      </c>
      <c r="I659" s="185">
        <v>4</v>
      </c>
      <c r="J659" s="901" t="s">
        <v>1796</v>
      </c>
      <c r="K659" s="163" t="s">
        <v>6642</v>
      </c>
      <c r="L659" s="163" t="s">
        <v>5174</v>
      </c>
      <c r="M659" s="163"/>
      <c r="N659" s="163"/>
      <c r="O659" s="163"/>
      <c r="P659" s="182" t="s">
        <v>461</v>
      </c>
      <c r="Q659" s="163" t="s">
        <v>1797</v>
      </c>
      <c r="R659" s="186" t="s">
        <v>4601</v>
      </c>
      <c r="S659" s="355"/>
      <c r="T659" s="182" t="s">
        <v>2597</v>
      </c>
      <c r="U659" s="182"/>
      <c r="V659" s="182"/>
      <c r="W659" s="314" t="s">
        <v>4041</v>
      </c>
      <c r="X659" s="646" t="s">
        <v>12320</v>
      </c>
      <c r="Y659" s="355"/>
      <c r="Z659" s="185"/>
      <c r="AA659" s="185"/>
      <c r="AB659" s="33">
        <f t="shared" ca="1" si="11"/>
        <v>5.0770397986379945E-2</v>
      </c>
      <c r="AC659" s="813"/>
      <c r="AD659" s="211" t="s">
        <v>16942</v>
      </c>
      <c r="AE659" s="875" t="s">
        <v>12552</v>
      </c>
      <c r="AF659" s="922">
        <f>IF(X659=X658,AF658,0)+IF(ISNUMBER(I659),IF(I659&lt;1,I659,I659*VLOOKUP(J659,Summary!$H$2:$I$9,2)),VLOOKUP(J659,Summary!$J$2:$K$9,2)*IF(ISNUMBER(H659),H659,1))</f>
        <v>1.5089236111111113</v>
      </c>
      <c r="AG659" s="290">
        <v>658</v>
      </c>
      <c r="AH659" s="94"/>
      <c r="AI659" s="94"/>
    </row>
    <row r="660" spans="1:35" s="2" customFormat="1" ht="12" customHeight="1" x14ac:dyDescent="0.25">
      <c r="A660" s="467">
        <v>7</v>
      </c>
      <c r="B660" s="467">
        <v>3</v>
      </c>
      <c r="C660" s="467">
        <v>90</v>
      </c>
      <c r="D660" s="185" t="s">
        <v>4506</v>
      </c>
      <c r="E660" s="314" t="s">
        <v>4505</v>
      </c>
      <c r="F660" s="184">
        <v>25816</v>
      </c>
      <c r="G660" s="184">
        <v>25865</v>
      </c>
      <c r="H660" s="185">
        <v>8</v>
      </c>
      <c r="I660" s="185">
        <v>16</v>
      </c>
      <c r="J660" s="901" t="s">
        <v>1796</v>
      </c>
      <c r="K660" s="163" t="s">
        <v>4039</v>
      </c>
      <c r="L660" s="163" t="s">
        <v>5174</v>
      </c>
      <c r="M660" s="163"/>
      <c r="N660" s="163"/>
      <c r="O660" s="163"/>
      <c r="P660" s="182" t="s">
        <v>461</v>
      </c>
      <c r="Q660" s="163" t="s">
        <v>1797</v>
      </c>
      <c r="R660" s="186" t="s">
        <v>4601</v>
      </c>
      <c r="S660" s="355"/>
      <c r="T660" s="182"/>
      <c r="U660" s="182"/>
      <c r="V660" s="182"/>
      <c r="W660" s="328"/>
      <c r="X660" s="660" t="s">
        <v>12320</v>
      </c>
      <c r="Y660" s="355"/>
      <c r="Z660" s="185"/>
      <c r="AA660" s="185"/>
      <c r="AB660" s="33">
        <f t="shared" ca="1" si="11"/>
        <v>0.53042282852267653</v>
      </c>
      <c r="AC660" s="813"/>
      <c r="AD660" s="211" t="s">
        <v>16942</v>
      </c>
      <c r="AE660" s="875" t="s">
        <v>12552</v>
      </c>
      <c r="AF660" s="922">
        <f>IF(X660=X659,AF659,0)+IF(ISNUMBER(I660),IF(I660&lt;1,I660,I660*VLOOKUP(J660,Summary!$H$2:$I$9,2)),VLOOKUP(J660,Summary!$J$2:$K$9,2)*IF(ISNUMBER(H660),H660,1))</f>
        <v>1.5144791666666668</v>
      </c>
      <c r="AG660" s="290">
        <v>659</v>
      </c>
      <c r="AH660" s="94"/>
      <c r="AI660" s="94"/>
    </row>
    <row r="661" spans="1:35" s="3" customFormat="1" ht="12" customHeight="1" x14ac:dyDescent="0.25">
      <c r="A661" s="467">
        <v>7</v>
      </c>
      <c r="B661" s="467">
        <v>3</v>
      </c>
      <c r="C661" s="467">
        <v>91</v>
      </c>
      <c r="D661" s="185" t="s">
        <v>4507</v>
      </c>
      <c r="E661" s="314" t="s">
        <v>4508</v>
      </c>
      <c r="F661" s="184">
        <v>25872</v>
      </c>
      <c r="G661" s="184">
        <v>25914</v>
      </c>
      <c r="H661" s="185">
        <v>7</v>
      </c>
      <c r="I661" s="185">
        <v>14</v>
      </c>
      <c r="J661" s="901" t="s">
        <v>1796</v>
      </c>
      <c r="K661" s="163" t="s">
        <v>4039</v>
      </c>
      <c r="L661" s="163" t="s">
        <v>5174</v>
      </c>
      <c r="M661" s="163"/>
      <c r="N661" s="163"/>
      <c r="O661" s="163"/>
      <c r="P661" s="182" t="s">
        <v>461</v>
      </c>
      <c r="Q661" s="163" t="s">
        <v>1797</v>
      </c>
      <c r="R661" s="186" t="s">
        <v>4601</v>
      </c>
      <c r="S661" s="355"/>
      <c r="T661" s="182"/>
      <c r="U661" s="182"/>
      <c r="V661" s="182"/>
      <c r="W661" s="328"/>
      <c r="X661" s="660" t="s">
        <v>12320</v>
      </c>
      <c r="Y661" s="355"/>
      <c r="Z661" s="185"/>
      <c r="AA661" s="185"/>
      <c r="AB661" s="33">
        <f t="shared" ca="1" si="11"/>
        <v>0.78535822254923371</v>
      </c>
      <c r="AC661" s="813"/>
      <c r="AD661" s="211" t="s">
        <v>16942</v>
      </c>
      <c r="AE661" s="875" t="s">
        <v>12552</v>
      </c>
      <c r="AF661" s="922">
        <f>IF(X661=X660,AF660,0)+IF(ISNUMBER(I661),IF(I661&lt;1,I661,I661*VLOOKUP(J661,Summary!$H$2:$I$9,2)),VLOOKUP(J661,Summary!$J$2:$K$9,2)*IF(ISNUMBER(H661),H661,1))</f>
        <v>1.519340277777778</v>
      </c>
      <c r="AG661" s="290">
        <v>660</v>
      </c>
      <c r="AH661" s="94"/>
      <c r="AI661" s="94"/>
    </row>
    <row r="662" spans="1:35" s="22" customFormat="1" ht="12" customHeight="1" x14ac:dyDescent="0.2">
      <c r="A662" s="467">
        <v>7</v>
      </c>
      <c r="B662" s="467">
        <v>3</v>
      </c>
      <c r="C662" s="467">
        <v>92</v>
      </c>
      <c r="D662" s="185" t="s">
        <v>52</v>
      </c>
      <c r="E662" s="314" t="s">
        <v>51</v>
      </c>
      <c r="F662" s="184">
        <v>25921</v>
      </c>
      <c r="G662" s="184">
        <v>25607</v>
      </c>
      <c r="H662" s="185">
        <v>8</v>
      </c>
      <c r="I662" s="185">
        <v>16</v>
      </c>
      <c r="J662" s="901" t="s">
        <v>1796</v>
      </c>
      <c r="K662" s="163" t="s">
        <v>4039</v>
      </c>
      <c r="L662" s="163" t="s">
        <v>5174</v>
      </c>
      <c r="M662" s="163"/>
      <c r="N662" s="163"/>
      <c r="O662" s="163"/>
      <c r="P662" s="182" t="s">
        <v>461</v>
      </c>
      <c r="Q662" s="163" t="s">
        <v>1797</v>
      </c>
      <c r="R662" s="186" t="s">
        <v>4601</v>
      </c>
      <c r="S662" s="355"/>
      <c r="T662" s="182"/>
      <c r="U662" s="182"/>
      <c r="V662" s="182"/>
      <c r="W662" s="328"/>
      <c r="X662" s="660" t="s">
        <v>12320</v>
      </c>
      <c r="Y662" s="355"/>
      <c r="Z662" s="185"/>
      <c r="AA662" s="185"/>
      <c r="AB662" s="33">
        <f t="shared" ca="1" si="11"/>
        <v>0.65541738212243394</v>
      </c>
      <c r="AC662" s="813"/>
      <c r="AD662" s="211" t="s">
        <v>16942</v>
      </c>
      <c r="AE662" s="875" t="s">
        <v>12552</v>
      </c>
      <c r="AF662" s="922">
        <f>IF(X662=X661,AF661,0)+IF(ISNUMBER(I662),IF(I662&lt;1,I662,I662*VLOOKUP(J662,Summary!$H$2:$I$9,2)),VLOOKUP(J662,Summary!$J$2:$K$9,2)*IF(ISNUMBER(H662),H662,1))</f>
        <v>1.5248958333333336</v>
      </c>
      <c r="AG662" s="290">
        <v>661</v>
      </c>
      <c r="AH662" s="94"/>
      <c r="AI662" s="94"/>
    </row>
    <row r="663" spans="1:35" s="27" customFormat="1" ht="12" customHeight="1" x14ac:dyDescent="0.25">
      <c r="A663" s="465" t="s">
        <v>5556</v>
      </c>
      <c r="B663" s="465">
        <v>3</v>
      </c>
      <c r="C663" s="471">
        <v>6.12</v>
      </c>
      <c r="D663" s="407" t="s">
        <v>5530</v>
      </c>
      <c r="E663" s="315" t="s">
        <v>5531</v>
      </c>
      <c r="F663" s="169">
        <v>41061</v>
      </c>
      <c r="G663" s="170"/>
      <c r="H663" s="170">
        <v>2</v>
      </c>
      <c r="I663" s="746">
        <f>TIME(0,58,44)</f>
        <v>4.0787037037037038E-2</v>
      </c>
      <c r="J663" s="899" t="s">
        <v>4706</v>
      </c>
      <c r="K663" s="167" t="s">
        <v>2675</v>
      </c>
      <c r="L663" s="167" t="s">
        <v>2313</v>
      </c>
      <c r="M663" s="167" t="s">
        <v>5533</v>
      </c>
      <c r="N663" s="167"/>
      <c r="O663" s="167"/>
      <c r="P663" s="168" t="s">
        <v>5532</v>
      </c>
      <c r="Q663" s="167" t="s">
        <v>3947</v>
      </c>
      <c r="R663" s="172" t="s">
        <v>3153</v>
      </c>
      <c r="S663" s="388"/>
      <c r="T663" s="168" t="s">
        <v>2597</v>
      </c>
      <c r="U663" s="168" t="s">
        <v>2600</v>
      </c>
      <c r="V663" s="168" t="s">
        <v>2601</v>
      </c>
      <c r="W663" s="312" t="s">
        <v>9527</v>
      </c>
      <c r="X663" s="644" t="s">
        <v>12320</v>
      </c>
      <c r="Y663" s="352" t="s">
        <v>5643</v>
      </c>
      <c r="Z663" s="353">
        <v>679</v>
      </c>
      <c r="AA663" s="353">
        <v>2</v>
      </c>
      <c r="AB663" s="31">
        <f t="shared" ca="1" si="11"/>
        <v>6.5239426374703591E-3</v>
      </c>
      <c r="AC663" s="810"/>
      <c r="AD663" s="811" t="s">
        <v>16942</v>
      </c>
      <c r="AE663" s="940" t="s">
        <v>12552</v>
      </c>
      <c r="AF663" s="920">
        <f>IF(X663=X662,AF662,0)+IF(ISNUMBER(I663),IF(I663&lt;1,I663,I663*VLOOKUP(J663,Summary!$H$2:$I$9,2)),VLOOKUP(J663,Summary!$J$2:$K$9,2)*IF(ISNUMBER(H663),H663,1))</f>
        <v>1.5656828703703707</v>
      </c>
      <c r="AG663" s="287">
        <v>662</v>
      </c>
      <c r="AH663" s="119"/>
      <c r="AI663" s="119"/>
    </row>
    <row r="664" spans="1:35" s="22" customFormat="1" ht="12" customHeight="1" x14ac:dyDescent="0.25">
      <c r="A664" s="472">
        <v>7</v>
      </c>
      <c r="B664" s="472">
        <v>3</v>
      </c>
      <c r="C664" s="473">
        <v>18.079999999999998</v>
      </c>
      <c r="D664" s="176" t="s">
        <v>3191</v>
      </c>
      <c r="E664" s="313" t="s">
        <v>3192</v>
      </c>
      <c r="F664" s="174">
        <v>38687</v>
      </c>
      <c r="G664" s="174"/>
      <c r="H664" s="176">
        <v>1</v>
      </c>
      <c r="I664" s="176">
        <v>10</v>
      </c>
      <c r="J664" s="900" t="s">
        <v>2755</v>
      </c>
      <c r="K664" s="164" t="s">
        <v>3193</v>
      </c>
      <c r="L664" s="164" t="s">
        <v>461</v>
      </c>
      <c r="M664" s="164"/>
      <c r="N664" s="164" t="s">
        <v>5664</v>
      </c>
      <c r="O664" s="164"/>
      <c r="P664" s="173" t="s">
        <v>5000</v>
      </c>
      <c r="Q664" s="164" t="s">
        <v>3947</v>
      </c>
      <c r="R664" s="177" t="s">
        <v>2723</v>
      </c>
      <c r="S664" s="354"/>
      <c r="T664" s="173"/>
      <c r="U664" s="173"/>
      <c r="V664" s="173"/>
      <c r="W664" s="313" t="s">
        <v>3192</v>
      </c>
      <c r="X664" s="645" t="s">
        <v>12320</v>
      </c>
      <c r="Y664" s="354"/>
      <c r="Z664" s="176"/>
      <c r="AA664" s="176"/>
      <c r="AB664" s="32">
        <f t="shared" ca="1" si="11"/>
        <v>0.99452867401809153</v>
      </c>
      <c r="AC664" s="812"/>
      <c r="AD664" s="763" t="s">
        <v>16943</v>
      </c>
      <c r="AE664" s="807"/>
      <c r="AF664" s="921">
        <f>IF(X664=X663,AF663,0)+IF(ISNUMBER(I664),IF(I664&lt;1,I664,I664*VLOOKUP(J664,Summary!$H$2:$I$9,2)),VLOOKUP(J664,Summary!$J$2:$K$9,2)*IF(ISNUMBER(H664),H664,1))</f>
        <v>1.5726273148148151</v>
      </c>
      <c r="AG664" s="289">
        <v>663</v>
      </c>
      <c r="AH664" s="94"/>
      <c r="AI664" s="94"/>
    </row>
    <row r="665" spans="1:35" s="29" customFormat="1" ht="12" customHeight="1" x14ac:dyDescent="0.25">
      <c r="A665" s="468" t="s">
        <v>5556</v>
      </c>
      <c r="B665" s="468">
        <v>3</v>
      </c>
      <c r="C665" s="468">
        <v>1</v>
      </c>
      <c r="D665" s="417" t="s">
        <v>4218</v>
      </c>
      <c r="E665" s="316" t="s">
        <v>4219</v>
      </c>
      <c r="F665" s="195">
        <v>35583</v>
      </c>
      <c r="G665" s="188"/>
      <c r="H665" s="188" t="str">
        <f>IF(J665="Book","n/a","")</f>
        <v>n/a</v>
      </c>
      <c r="I665" s="188">
        <v>288</v>
      </c>
      <c r="J665" s="902" t="s">
        <v>6868</v>
      </c>
      <c r="K665" s="162" t="s">
        <v>6351</v>
      </c>
      <c r="L665" s="162" t="str">
        <f>IF(J665="Book","n/a","")</f>
        <v>n/a</v>
      </c>
      <c r="M665" s="162"/>
      <c r="N665" s="162"/>
      <c r="O665" s="162"/>
      <c r="P665" s="178" t="s">
        <v>8926</v>
      </c>
      <c r="Q665" s="162" t="s">
        <v>3953</v>
      </c>
      <c r="R665" s="189" t="s">
        <v>2717</v>
      </c>
      <c r="S665" s="366" t="s">
        <v>5811</v>
      </c>
      <c r="T665" s="178" t="s">
        <v>2597</v>
      </c>
      <c r="U665" s="178"/>
      <c r="V665" s="178"/>
      <c r="W665" s="316" t="s">
        <v>4219</v>
      </c>
      <c r="X665" s="648" t="s">
        <v>12320</v>
      </c>
      <c r="Y665" s="356" t="s">
        <v>6868</v>
      </c>
      <c r="Z665" s="272">
        <v>142</v>
      </c>
      <c r="AA665" s="272">
        <v>4.5</v>
      </c>
      <c r="AB665" s="34">
        <f t="shared" ca="1" si="11"/>
        <v>0.74083928174841973</v>
      </c>
      <c r="AC665" s="814"/>
      <c r="AD665" s="815" t="s">
        <v>14956</v>
      </c>
      <c r="AE665" s="942" t="s">
        <v>3234</v>
      </c>
      <c r="AF665" s="923">
        <f>IF(X665=X664,AF664,0)+IF(ISNUMBER(I665),IF(I665&lt;1,I665,I665*VLOOKUP(J665,Summary!$H$2:$I$9,2)),VLOOKUP(J665,Summary!$J$2:$K$9,2)*IF(ISNUMBER(H665),H665,1))</f>
        <v>1.7726273148148151</v>
      </c>
      <c r="AG665" s="291">
        <v>664</v>
      </c>
      <c r="AH665" s="94"/>
      <c r="AI665" s="94"/>
    </row>
    <row r="666" spans="1:35" s="22" customFormat="1" ht="12" customHeight="1" x14ac:dyDescent="0.25">
      <c r="A666" s="472">
        <v>7</v>
      </c>
      <c r="B666" s="472">
        <v>3</v>
      </c>
      <c r="C666" s="472">
        <v>49</v>
      </c>
      <c r="D666" s="176" t="s">
        <v>558</v>
      </c>
      <c r="E666" s="313" t="s">
        <v>2412</v>
      </c>
      <c r="F666" s="174">
        <v>34213</v>
      </c>
      <c r="G666" s="174"/>
      <c r="H666" s="176">
        <v>1</v>
      </c>
      <c r="I666" s="176">
        <v>5</v>
      </c>
      <c r="J666" s="900" t="s">
        <v>2755</v>
      </c>
      <c r="K666" s="164" t="s">
        <v>1088</v>
      </c>
      <c r="L666" s="164" t="s">
        <v>461</v>
      </c>
      <c r="M666" s="164"/>
      <c r="N666" s="164" t="s">
        <v>7375</v>
      </c>
      <c r="O666" s="164"/>
      <c r="P666" s="173" t="s">
        <v>2413</v>
      </c>
      <c r="Q666" s="164" t="s">
        <v>4062</v>
      </c>
      <c r="R666" s="177" t="s">
        <v>4599</v>
      </c>
      <c r="S666" s="354" t="s">
        <v>5811</v>
      </c>
      <c r="T666" s="173"/>
      <c r="U666" s="173"/>
      <c r="V666" s="173"/>
      <c r="W666" s="313" t="s">
        <v>2412</v>
      </c>
      <c r="X666" s="645" t="s">
        <v>12320</v>
      </c>
      <c r="Y666" s="354"/>
      <c r="Z666" s="176"/>
      <c r="AA666" s="176"/>
      <c r="AB666" s="32">
        <f t="shared" ca="1" si="11"/>
        <v>0.98510884367908669</v>
      </c>
      <c r="AC666" s="812"/>
      <c r="AD666" s="763" t="s">
        <v>16942</v>
      </c>
      <c r="AE666" s="807" t="s">
        <v>3234</v>
      </c>
      <c r="AF666" s="921">
        <f>IF(X666=X665,AF665,0)+IF(ISNUMBER(I666),IF(I666&lt;1,I666,I666*VLOOKUP(J666,Summary!$H$2:$I$9,2)),VLOOKUP(J666,Summary!$J$2:$K$9,2)*IF(ISNUMBER(H666),H666,1))</f>
        <v>1.7760995370370374</v>
      </c>
      <c r="AG666" s="289">
        <v>665</v>
      </c>
      <c r="AH666" s="94"/>
      <c r="AI666" s="94"/>
    </row>
    <row r="667" spans="1:35" s="2" customFormat="1" ht="12" customHeight="1" x14ac:dyDescent="0.25">
      <c r="A667" s="472">
        <v>7</v>
      </c>
      <c r="B667" s="472">
        <v>3</v>
      </c>
      <c r="C667" s="472">
        <v>44</v>
      </c>
      <c r="D667" s="176" t="s">
        <v>186</v>
      </c>
      <c r="E667" s="313" t="s">
        <v>2411</v>
      </c>
      <c r="F667" s="174">
        <v>33848</v>
      </c>
      <c r="G667" s="174"/>
      <c r="H667" s="176">
        <v>1</v>
      </c>
      <c r="I667" s="176">
        <v>1</v>
      </c>
      <c r="J667" s="900" t="s">
        <v>2755</v>
      </c>
      <c r="K667" s="164" t="s">
        <v>3807</v>
      </c>
      <c r="L667" s="164" t="s">
        <v>461</v>
      </c>
      <c r="M667" s="164"/>
      <c r="N667" s="164" t="s">
        <v>7375</v>
      </c>
      <c r="O667" s="164"/>
      <c r="P667" s="173" t="s">
        <v>189</v>
      </c>
      <c r="Q667" s="164" t="s">
        <v>4062</v>
      </c>
      <c r="R667" s="177" t="s">
        <v>4599</v>
      </c>
      <c r="S667" s="354" t="s">
        <v>5811</v>
      </c>
      <c r="T667" s="173"/>
      <c r="U667" s="173"/>
      <c r="V667" s="173"/>
      <c r="W667" s="313" t="s">
        <v>2411</v>
      </c>
      <c r="X667" s="645" t="s">
        <v>12320</v>
      </c>
      <c r="Y667" s="354" t="s">
        <v>6868</v>
      </c>
      <c r="Z667" s="176">
        <v>999</v>
      </c>
      <c r="AA667" s="176"/>
      <c r="AB667" s="32">
        <f t="shared" ca="1" si="11"/>
        <v>0.68117503920859457</v>
      </c>
      <c r="AC667" s="812"/>
      <c r="AD667" s="763" t="s">
        <v>16942</v>
      </c>
      <c r="AE667" s="807" t="s">
        <v>3234</v>
      </c>
      <c r="AF667" s="921">
        <f>IF(X667=X666,AF666,0)+IF(ISNUMBER(I667),IF(I667&lt;1,I667,I667*VLOOKUP(J667,Summary!$H$2:$I$9,2)),VLOOKUP(J667,Summary!$J$2:$K$9,2)*IF(ISNUMBER(H667),H667,1))</f>
        <v>1.7767939814814819</v>
      </c>
      <c r="AG667" s="289">
        <v>666</v>
      </c>
      <c r="AH667" s="94"/>
      <c r="AI667" s="94"/>
    </row>
    <row r="668" spans="1:35" s="22" customFormat="1" ht="12" customHeight="1" x14ac:dyDescent="0.25">
      <c r="A668" s="472">
        <v>7</v>
      </c>
      <c r="B668" s="472">
        <v>3</v>
      </c>
      <c r="C668" s="472">
        <v>1.08</v>
      </c>
      <c r="D668" s="176" t="s">
        <v>192</v>
      </c>
      <c r="E668" s="313" t="s">
        <v>311</v>
      </c>
      <c r="F668" s="176">
        <v>1994</v>
      </c>
      <c r="G668" s="176"/>
      <c r="H668" s="176">
        <v>1</v>
      </c>
      <c r="I668" s="176">
        <v>28</v>
      </c>
      <c r="J668" s="900" t="s">
        <v>2755</v>
      </c>
      <c r="K668" s="164" t="s">
        <v>312</v>
      </c>
      <c r="L668" s="164" t="s">
        <v>461</v>
      </c>
      <c r="M668" s="164"/>
      <c r="N668" s="164" t="s">
        <v>7001</v>
      </c>
      <c r="O668" s="164"/>
      <c r="P668" s="173" t="s">
        <v>7002</v>
      </c>
      <c r="Q668" s="164" t="s">
        <v>6548</v>
      </c>
      <c r="R668" s="177" t="s">
        <v>4598</v>
      </c>
      <c r="S668" s="354" t="s">
        <v>5811</v>
      </c>
      <c r="T668" s="173"/>
      <c r="U668" s="173"/>
      <c r="V668" s="173"/>
      <c r="W668" s="313" t="s">
        <v>311</v>
      </c>
      <c r="X668" s="645" t="s">
        <v>12320</v>
      </c>
      <c r="Y668" s="354" t="s">
        <v>6868</v>
      </c>
      <c r="Z668" s="176">
        <v>999</v>
      </c>
      <c r="AA668" s="176"/>
      <c r="AB668" s="32">
        <f t="shared" ca="1" si="11"/>
        <v>0.1432401699041097</v>
      </c>
      <c r="AC668" s="812"/>
      <c r="AD668" s="763" t="s">
        <v>16944</v>
      </c>
      <c r="AE668" s="807" t="s">
        <v>16947</v>
      </c>
      <c r="AF668" s="921">
        <f>IF(X668=X667,AF667,0)+IF(ISNUMBER(I668),IF(I668&lt;1,I668,I668*VLOOKUP(J668,Summary!$H$2:$I$9,2)),VLOOKUP(J668,Summary!$J$2:$K$9,2)*IF(ISNUMBER(H668),H668,1))</f>
        <v>1.7962384259259263</v>
      </c>
      <c r="AG668" s="289">
        <v>667</v>
      </c>
      <c r="AH668" s="94"/>
      <c r="AI668" s="94"/>
    </row>
    <row r="669" spans="1:35" s="29" customFormat="1" ht="12" customHeight="1" x14ac:dyDescent="0.25">
      <c r="A669" s="474"/>
      <c r="B669" s="475" t="s">
        <v>27</v>
      </c>
      <c r="C669" s="475">
        <v>1</v>
      </c>
      <c r="D669" s="424" t="s">
        <v>4642</v>
      </c>
      <c r="E669" s="319" t="s">
        <v>4646</v>
      </c>
      <c r="F669" s="199">
        <v>1994</v>
      </c>
      <c r="G669" s="198"/>
      <c r="H669" s="199">
        <v>1</v>
      </c>
      <c r="I669" s="791">
        <f>TIME(0,58,24)</f>
        <v>4.0555555555555553E-2</v>
      </c>
      <c r="J669" s="904" t="s">
        <v>1588</v>
      </c>
      <c r="K669" s="200" t="s">
        <v>4964</v>
      </c>
      <c r="L669" s="200" t="s">
        <v>4640</v>
      </c>
      <c r="M669" s="200"/>
      <c r="N669" s="200"/>
      <c r="O669" s="200" t="s">
        <v>4650</v>
      </c>
      <c r="P669" s="197" t="s">
        <v>461</v>
      </c>
      <c r="Q669" s="200" t="s">
        <v>603</v>
      </c>
      <c r="R669" s="201" t="s">
        <v>4641</v>
      </c>
      <c r="S669" s="390" t="s">
        <v>5811</v>
      </c>
      <c r="T669" s="197"/>
      <c r="U669" s="197"/>
      <c r="V669" s="197"/>
      <c r="W669" s="319" t="s">
        <v>4646</v>
      </c>
      <c r="X669" s="651" t="s">
        <v>14269</v>
      </c>
      <c r="Y669" s="358"/>
      <c r="Z669" s="253">
        <v>8001</v>
      </c>
      <c r="AA669" s="253">
        <v>3</v>
      </c>
      <c r="AB669" s="35">
        <f t="shared" ca="1" si="11"/>
        <v>0.43159943047228599</v>
      </c>
      <c r="AC669" s="820"/>
      <c r="AD669" s="821" t="s">
        <v>16046</v>
      </c>
      <c r="AE669" s="944"/>
      <c r="AF669" s="925">
        <f>IF(X669=X668,AF668,0)+IF(ISNUMBER(I669),IF(I669&lt;1,I669,I669*VLOOKUP(J669,Summary!$H$2:$I$9,2)),VLOOKUP(J669,Summary!$J$2:$K$9,2)*IF(ISNUMBER(H669),H669,1))</f>
        <v>4.0555555555555553E-2</v>
      </c>
      <c r="AG669" s="293">
        <v>668</v>
      </c>
      <c r="AH669" s="94"/>
      <c r="AI669" s="94"/>
    </row>
    <row r="670" spans="1:35" s="43" customFormat="1" ht="12" customHeight="1" x14ac:dyDescent="0.25">
      <c r="A670" s="474"/>
      <c r="B670" s="476" t="s">
        <v>27</v>
      </c>
      <c r="C670" s="475">
        <v>2</v>
      </c>
      <c r="D670" s="424" t="s">
        <v>4643</v>
      </c>
      <c r="E670" s="319" t="s">
        <v>4647</v>
      </c>
      <c r="F670" s="199">
        <v>1995</v>
      </c>
      <c r="G670" s="198"/>
      <c r="H670" s="199">
        <v>1</v>
      </c>
      <c r="I670" s="791">
        <f>TIME(1,20,53)</f>
        <v>5.6168981481481479E-2</v>
      </c>
      <c r="J670" s="904" t="s">
        <v>1588</v>
      </c>
      <c r="K670" s="200" t="s">
        <v>4964</v>
      </c>
      <c r="L670" s="200" t="s">
        <v>4640</v>
      </c>
      <c r="M670" s="200"/>
      <c r="N670" s="200"/>
      <c r="O670" s="200" t="s">
        <v>4640</v>
      </c>
      <c r="P670" s="197" t="s">
        <v>461</v>
      </c>
      <c r="Q670" s="200" t="s">
        <v>603</v>
      </c>
      <c r="R670" s="201" t="s">
        <v>4641</v>
      </c>
      <c r="S670" s="390" t="s">
        <v>5811</v>
      </c>
      <c r="T670" s="197"/>
      <c r="U670" s="197"/>
      <c r="V670" s="197"/>
      <c r="W670" s="319" t="s">
        <v>4647</v>
      </c>
      <c r="X670" s="651" t="s">
        <v>14269</v>
      </c>
      <c r="Y670" s="358"/>
      <c r="Z670" s="253"/>
      <c r="AA670" s="253"/>
      <c r="AB670" s="35">
        <f t="shared" ca="1" si="11"/>
        <v>0.67680698720404942</v>
      </c>
      <c r="AC670" s="820"/>
      <c r="AD670" s="821" t="s">
        <v>15088</v>
      </c>
      <c r="AE670" s="944"/>
      <c r="AF670" s="925">
        <f>IF(X670=X669,AF669,0)+IF(ISNUMBER(I670),IF(I670&lt;1,I670,I670*VLOOKUP(J670,Summary!$H$2:$I$9,2)),VLOOKUP(J670,Summary!$J$2:$K$9,2)*IF(ISNUMBER(H670),H670,1))</f>
        <v>9.6724537037037039E-2</v>
      </c>
      <c r="AG670" s="293">
        <v>669</v>
      </c>
      <c r="AH670" s="94"/>
      <c r="AI670" s="94"/>
    </row>
    <row r="671" spans="1:35" s="22" customFormat="1" ht="12" customHeight="1" x14ac:dyDescent="0.25">
      <c r="A671" s="474"/>
      <c r="B671" s="476" t="s">
        <v>27</v>
      </c>
      <c r="C671" s="475">
        <v>3</v>
      </c>
      <c r="D671" s="424" t="s">
        <v>4644</v>
      </c>
      <c r="E671" s="319" t="s">
        <v>4648</v>
      </c>
      <c r="F671" s="199">
        <v>1996</v>
      </c>
      <c r="G671" s="198"/>
      <c r="H671" s="199">
        <v>1</v>
      </c>
      <c r="I671" s="791">
        <f>TIME(0,56,26)</f>
        <v>3.9189814814814809E-2</v>
      </c>
      <c r="J671" s="904" t="s">
        <v>1588</v>
      </c>
      <c r="K671" s="200" t="s">
        <v>4964</v>
      </c>
      <c r="L671" s="200" t="s">
        <v>4640</v>
      </c>
      <c r="M671" s="200"/>
      <c r="N671" s="200"/>
      <c r="O671" s="200" t="s">
        <v>4640</v>
      </c>
      <c r="P671" s="197" t="s">
        <v>461</v>
      </c>
      <c r="Q671" s="200" t="s">
        <v>603</v>
      </c>
      <c r="R671" s="201" t="s">
        <v>4641</v>
      </c>
      <c r="S671" s="390" t="s">
        <v>5811</v>
      </c>
      <c r="T671" s="197"/>
      <c r="U671" s="197"/>
      <c r="V671" s="197"/>
      <c r="W671" s="319" t="s">
        <v>4648</v>
      </c>
      <c r="X671" s="651" t="s">
        <v>14269</v>
      </c>
      <c r="Y671" s="358"/>
      <c r="Z671" s="253"/>
      <c r="AA671" s="253"/>
      <c r="AB671" s="35">
        <f t="shared" ca="1" si="11"/>
        <v>7.9803977463710707E-2</v>
      </c>
      <c r="AC671" s="820"/>
      <c r="AD671" s="821" t="s">
        <v>16051</v>
      </c>
      <c r="AE671" s="944"/>
      <c r="AF671" s="925">
        <f>IF(X671=X670,AF670,0)+IF(ISNUMBER(I671),IF(I671&lt;1,I671,I671*VLOOKUP(J671,Summary!$H$2:$I$9,2)),VLOOKUP(J671,Summary!$J$2:$K$9,2)*IF(ISNUMBER(H671),H671,1))</f>
        <v>0.13591435185185186</v>
      </c>
      <c r="AG671" s="293">
        <v>670</v>
      </c>
      <c r="AH671" s="94"/>
      <c r="AI671" s="94"/>
    </row>
    <row r="672" spans="1:35" s="22" customFormat="1" ht="12" customHeight="1" x14ac:dyDescent="0.25">
      <c r="A672" s="474"/>
      <c r="B672" s="476" t="s">
        <v>27</v>
      </c>
      <c r="C672" s="475">
        <v>4</v>
      </c>
      <c r="D672" s="424" t="s">
        <v>4645</v>
      </c>
      <c r="E672" s="319" t="s">
        <v>4649</v>
      </c>
      <c r="F672" s="199">
        <v>1996</v>
      </c>
      <c r="G672" s="198"/>
      <c r="H672" s="199">
        <v>1</v>
      </c>
      <c r="I672" s="791">
        <f>TIME(0,54,41)</f>
        <v>3.7974537037037036E-2</v>
      </c>
      <c r="J672" s="904" t="s">
        <v>1588</v>
      </c>
      <c r="K672" s="200" t="s">
        <v>4964</v>
      </c>
      <c r="L672" s="200" t="s">
        <v>4640</v>
      </c>
      <c r="M672" s="200"/>
      <c r="N672" s="200"/>
      <c r="O672" s="200" t="s">
        <v>4640</v>
      </c>
      <c r="P672" s="197" t="s">
        <v>461</v>
      </c>
      <c r="Q672" s="200" t="s">
        <v>603</v>
      </c>
      <c r="R672" s="201" t="s">
        <v>4641</v>
      </c>
      <c r="S672" s="390" t="s">
        <v>5811</v>
      </c>
      <c r="T672" s="197"/>
      <c r="U672" s="197"/>
      <c r="V672" s="197"/>
      <c r="W672" s="319" t="s">
        <v>4649</v>
      </c>
      <c r="X672" s="651" t="s">
        <v>14269</v>
      </c>
      <c r="Y672" s="358"/>
      <c r="Z672" s="253"/>
      <c r="AA672" s="253"/>
      <c r="AB672" s="35">
        <f t="shared" ca="1" si="11"/>
        <v>0.83551603703225408</v>
      </c>
      <c r="AC672" s="820"/>
      <c r="AD672" s="821" t="s">
        <v>16051</v>
      </c>
      <c r="AE672" s="944"/>
      <c r="AF672" s="925">
        <f>IF(X672=X671,AF671,0)+IF(ISNUMBER(I672),IF(I672&lt;1,I672,I672*VLOOKUP(J672,Summary!$H$2:$I$9,2)),VLOOKUP(J672,Summary!$J$2:$K$9,2)*IF(ISNUMBER(H672),H672,1))</f>
        <v>0.1738888888888889</v>
      </c>
      <c r="AG672" s="293">
        <v>671</v>
      </c>
      <c r="AH672" s="94"/>
      <c r="AI672" s="94"/>
    </row>
    <row r="673" spans="1:35" s="22" customFormat="1" ht="12" customHeight="1" x14ac:dyDescent="0.25">
      <c r="A673" s="469">
        <v>8</v>
      </c>
      <c r="B673" s="469">
        <v>3</v>
      </c>
      <c r="C673" s="470">
        <v>0.35</v>
      </c>
      <c r="D673" s="192" t="s">
        <v>15408</v>
      </c>
      <c r="E673" s="317" t="s">
        <v>15405</v>
      </c>
      <c r="F673" s="209">
        <v>43270</v>
      </c>
      <c r="G673" s="209"/>
      <c r="H673" s="192" t="s">
        <v>461</v>
      </c>
      <c r="I673" s="753"/>
      <c r="J673" s="903" t="s">
        <v>2755</v>
      </c>
      <c r="K673" s="194" t="s">
        <v>15406</v>
      </c>
      <c r="L673" s="194" t="s">
        <v>3365</v>
      </c>
      <c r="M673" s="194" t="s">
        <v>9290</v>
      </c>
      <c r="N673" s="194"/>
      <c r="O673" s="194"/>
      <c r="P673" s="190" t="s">
        <v>461</v>
      </c>
      <c r="Q673" s="194" t="s">
        <v>3947</v>
      </c>
      <c r="R673" s="193" t="s">
        <v>2722</v>
      </c>
      <c r="S673" s="357" t="s">
        <v>1778</v>
      </c>
      <c r="T673" s="190"/>
      <c r="U673" s="190" t="s">
        <v>2600</v>
      </c>
      <c r="V673" s="190"/>
      <c r="W673" s="317" t="s">
        <v>15405</v>
      </c>
      <c r="X673" s="649" t="s">
        <v>12321</v>
      </c>
      <c r="Y673" s="357"/>
      <c r="Z673" s="176"/>
      <c r="AA673" s="192"/>
      <c r="AB673" s="37">
        <f t="shared" ca="1" si="11"/>
        <v>0.56759852534703548</v>
      </c>
      <c r="AC673" s="816"/>
      <c r="AD673" s="817"/>
      <c r="AE673" s="943"/>
      <c r="AF673" s="924">
        <f>IF(X673=X672,AF672,0)+IF(ISNUMBER(I673),IF(I673&lt;1,I673,I673*VLOOKUP(J673,Summary!$H$2:$I$9,2)),VLOOKUP(J673,Summary!$J$2:$K$9,2)*IF(ISNUMBER(H673),H673,1))</f>
        <v>1.7361111111111112E-2</v>
      </c>
      <c r="AG673" s="292">
        <v>672</v>
      </c>
      <c r="AH673" s="94"/>
      <c r="AI673" s="94"/>
    </row>
    <row r="674" spans="1:35" s="22" customFormat="1" ht="12" customHeight="1" x14ac:dyDescent="0.25">
      <c r="A674" s="466" t="s">
        <v>4220</v>
      </c>
      <c r="B674" s="466">
        <v>3</v>
      </c>
      <c r="C674" s="466">
        <v>55</v>
      </c>
      <c r="D674" s="424" t="s">
        <v>7004</v>
      </c>
      <c r="E674" s="319" t="s">
        <v>7005</v>
      </c>
      <c r="F674" s="198">
        <v>25935</v>
      </c>
      <c r="G674" s="198">
        <v>25956</v>
      </c>
      <c r="H674" s="199">
        <v>4</v>
      </c>
      <c r="I674" s="791">
        <f>TIME(0,24,36)+TIME(0,24,48)+TIME(0,23,28)+TIME(0,22,10)</f>
        <v>6.5995370370370371E-2</v>
      </c>
      <c r="J674" s="904" t="s">
        <v>1588</v>
      </c>
      <c r="K674" s="200" t="s">
        <v>1093</v>
      </c>
      <c r="L674" s="200" t="s">
        <v>1884</v>
      </c>
      <c r="M674" s="200"/>
      <c r="N674" s="200" t="s">
        <v>1088</v>
      </c>
      <c r="O674" s="200" t="s">
        <v>1884</v>
      </c>
      <c r="P674" s="197" t="s">
        <v>461</v>
      </c>
      <c r="Q674" s="200" t="s">
        <v>3946</v>
      </c>
      <c r="R674" s="201" t="s">
        <v>5280</v>
      </c>
      <c r="S674" s="390" t="s">
        <v>1778</v>
      </c>
      <c r="T674" s="197" t="s">
        <v>2597</v>
      </c>
      <c r="U674" s="197" t="s">
        <v>2600</v>
      </c>
      <c r="V674" s="197" t="s">
        <v>2601</v>
      </c>
      <c r="W674" s="318" t="s">
        <v>8682</v>
      </c>
      <c r="X674" s="650" t="s">
        <v>12321</v>
      </c>
      <c r="Y674" s="358" t="s">
        <v>6141</v>
      </c>
      <c r="Z674" s="253">
        <v>154</v>
      </c>
      <c r="AA674" s="253">
        <v>5.5</v>
      </c>
      <c r="AB674" s="35">
        <f t="shared" ca="1" si="11"/>
        <v>0.88481253158298667</v>
      </c>
      <c r="AC674" s="820"/>
      <c r="AD674" s="821" t="s">
        <v>14957</v>
      </c>
      <c r="AE674" s="944" t="s">
        <v>12552</v>
      </c>
      <c r="AF674" s="925">
        <f>IF(X674=X673,AF673,0)+IF(ISNUMBER(I674),IF(I674&lt;1,I674,I674*VLOOKUP(J674,Summary!$H$2:$I$9,2)),VLOOKUP(J674,Summary!$J$2:$K$9,2)*IF(ISNUMBER(H674),H674,1))</f>
        <v>8.3356481481481476E-2</v>
      </c>
      <c r="AG674" s="293">
        <v>673</v>
      </c>
      <c r="AH674" s="94"/>
      <c r="AI674" s="94"/>
    </row>
    <row r="675" spans="1:35" s="1" customFormat="1" ht="12" customHeight="1" x14ac:dyDescent="0.25">
      <c r="A675" s="472">
        <v>8</v>
      </c>
      <c r="B675" s="472">
        <v>3</v>
      </c>
      <c r="C675" s="472">
        <v>8</v>
      </c>
      <c r="D675" s="176" t="s">
        <v>14102</v>
      </c>
      <c r="E675" s="313" t="s">
        <v>14103</v>
      </c>
      <c r="F675" s="175">
        <v>34130</v>
      </c>
      <c r="G675" s="174"/>
      <c r="H675" s="176">
        <v>1</v>
      </c>
      <c r="I675" s="176">
        <v>2</v>
      </c>
      <c r="J675" s="900" t="s">
        <v>2755</v>
      </c>
      <c r="K675" s="164" t="s">
        <v>6234</v>
      </c>
      <c r="L675" s="164" t="s">
        <v>10253</v>
      </c>
      <c r="M675" s="164"/>
      <c r="N675" s="164" t="s">
        <v>7375</v>
      </c>
      <c r="O675" s="164"/>
      <c r="P675" s="173" t="s">
        <v>461</v>
      </c>
      <c r="Q675" s="164" t="s">
        <v>4062</v>
      </c>
      <c r="R675" s="177" t="s">
        <v>14089</v>
      </c>
      <c r="S675" s="354"/>
      <c r="T675" s="173" t="s">
        <v>2597</v>
      </c>
      <c r="U675" s="173"/>
      <c r="V675" s="173"/>
      <c r="W675" s="313" t="s">
        <v>14103</v>
      </c>
      <c r="X675" s="645" t="s">
        <v>12321</v>
      </c>
      <c r="Y675" s="354"/>
      <c r="Z675" s="176"/>
      <c r="AA675" s="176"/>
      <c r="AB675" s="32">
        <f t="shared" ca="1" si="11"/>
        <v>0.64937313944617592</v>
      </c>
      <c r="AC675" s="812"/>
      <c r="AD675" s="763"/>
      <c r="AE675" s="807"/>
      <c r="AF675" s="921">
        <f>IF(X675=X674,AF674,0)+IF(ISNUMBER(I675),IF(I675&lt;1,I675,I675*VLOOKUP(J675,Summary!$H$2:$I$9,2)),VLOOKUP(J675,Summary!$J$2:$K$9,2)*IF(ISNUMBER(H675),H675,1))</f>
        <v>8.474537037037036E-2</v>
      </c>
      <c r="AG675" s="289">
        <v>674</v>
      </c>
      <c r="AH675" s="94"/>
      <c r="AI675" s="94"/>
    </row>
    <row r="676" spans="1:35" s="1" customFormat="1" ht="12" customHeight="1" x14ac:dyDescent="0.25">
      <c r="A676" s="472">
        <v>8</v>
      </c>
      <c r="B676" s="472">
        <v>3</v>
      </c>
      <c r="C676" s="472"/>
      <c r="D676" s="176" t="s">
        <v>1709</v>
      </c>
      <c r="E676" s="313" t="s">
        <v>2960</v>
      </c>
      <c r="F676" s="174">
        <v>26543</v>
      </c>
      <c r="G676" s="176"/>
      <c r="H676" s="176" t="s">
        <v>461</v>
      </c>
      <c r="I676" s="176">
        <v>8</v>
      </c>
      <c r="J676" s="900" t="s">
        <v>2755</v>
      </c>
      <c r="K676" s="164" t="s">
        <v>5784</v>
      </c>
      <c r="L676" s="164" t="s">
        <v>461</v>
      </c>
      <c r="M676" s="164"/>
      <c r="N676" s="164"/>
      <c r="O676" s="164"/>
      <c r="P676" s="173" t="s">
        <v>2959</v>
      </c>
      <c r="Q676" s="164" t="s">
        <v>4705</v>
      </c>
      <c r="R676" s="177" t="s">
        <v>4600</v>
      </c>
      <c r="S676" s="354" t="s">
        <v>1778</v>
      </c>
      <c r="T676" s="173"/>
      <c r="U676" s="173"/>
      <c r="V676" s="173"/>
      <c r="W676" s="313" t="s">
        <v>2960</v>
      </c>
      <c r="X676" s="645" t="s">
        <v>12321</v>
      </c>
      <c r="Y676" s="354"/>
      <c r="Z676" s="176"/>
      <c r="AA676" s="176"/>
      <c r="AB676" s="32">
        <f t="shared" ca="1" si="11"/>
        <v>0.80769295908211192</v>
      </c>
      <c r="AC676" s="812"/>
      <c r="AD676" s="763"/>
      <c r="AE676" s="807"/>
      <c r="AF676" s="921">
        <f>IF(X676=X675,AF675,0)+IF(ISNUMBER(I676),IF(I676&lt;1,I676,I676*VLOOKUP(J676,Summary!$H$2:$I$9,2)),VLOOKUP(J676,Summary!$J$2:$K$9,2)*IF(ISNUMBER(H676),H676,1))</f>
        <v>9.0300925925925909E-2</v>
      </c>
      <c r="AG676" s="289">
        <v>675</v>
      </c>
      <c r="AH676" s="94"/>
      <c r="AI676" s="94"/>
    </row>
    <row r="677" spans="1:35" s="1" customFormat="1" ht="12" customHeight="1" x14ac:dyDescent="0.25">
      <c r="A677" s="472">
        <v>8</v>
      </c>
      <c r="B677" s="472">
        <v>3</v>
      </c>
      <c r="C677" s="472"/>
      <c r="D677" s="176" t="s">
        <v>1709</v>
      </c>
      <c r="E677" s="313" t="s">
        <v>2961</v>
      </c>
      <c r="F677" s="174">
        <v>26543</v>
      </c>
      <c r="G677" s="176"/>
      <c r="H677" s="176" t="s">
        <v>461</v>
      </c>
      <c r="I677" s="176">
        <v>6</v>
      </c>
      <c r="J677" s="900" t="s">
        <v>2755</v>
      </c>
      <c r="K677" s="164" t="s">
        <v>5784</v>
      </c>
      <c r="L677" s="164" t="s">
        <v>461</v>
      </c>
      <c r="M677" s="164"/>
      <c r="N677" s="164"/>
      <c r="O677" s="164"/>
      <c r="P677" s="173" t="s">
        <v>2959</v>
      </c>
      <c r="Q677" s="164" t="s">
        <v>4705</v>
      </c>
      <c r="R677" s="177" t="s">
        <v>4600</v>
      </c>
      <c r="S677" s="354" t="s">
        <v>1778</v>
      </c>
      <c r="T677" s="173"/>
      <c r="U677" s="173"/>
      <c r="V677" s="173"/>
      <c r="W677" s="313" t="s">
        <v>2961</v>
      </c>
      <c r="X677" s="645" t="s">
        <v>12321</v>
      </c>
      <c r="Y677" s="354"/>
      <c r="Z677" s="176"/>
      <c r="AA677" s="176"/>
      <c r="AB677" s="32">
        <f t="shared" ca="1" si="11"/>
        <v>0.20443368674781004</v>
      </c>
      <c r="AC677" s="812"/>
      <c r="AD677" s="763"/>
      <c r="AE677" s="807"/>
      <c r="AF677" s="921">
        <f>IF(X677=X676,AF676,0)+IF(ISNUMBER(I677),IF(I677&lt;1,I677,I677*VLOOKUP(J677,Summary!$H$2:$I$9,2)),VLOOKUP(J677,Summary!$J$2:$K$9,2)*IF(ISNUMBER(H677),H677,1))</f>
        <v>9.4467592592592575E-2</v>
      </c>
      <c r="AG677" s="289">
        <v>676</v>
      </c>
      <c r="AH677" s="94"/>
      <c r="AI677" s="94"/>
    </row>
    <row r="678" spans="1:35" s="29" customFormat="1" ht="12" customHeight="1" x14ac:dyDescent="0.25">
      <c r="A678" s="472">
        <v>8</v>
      </c>
      <c r="B678" s="472">
        <v>3</v>
      </c>
      <c r="C678" s="472"/>
      <c r="D678" s="176" t="s">
        <v>1709</v>
      </c>
      <c r="E678" s="313" t="s">
        <v>2962</v>
      </c>
      <c r="F678" s="174">
        <v>26543</v>
      </c>
      <c r="G678" s="176"/>
      <c r="H678" s="176" t="s">
        <v>461</v>
      </c>
      <c r="I678" s="176">
        <v>7</v>
      </c>
      <c r="J678" s="900" t="s">
        <v>2755</v>
      </c>
      <c r="K678" s="164" t="s">
        <v>5784</v>
      </c>
      <c r="L678" s="164" t="s">
        <v>461</v>
      </c>
      <c r="M678" s="164"/>
      <c r="N678" s="164"/>
      <c r="O678" s="164"/>
      <c r="P678" s="173" t="s">
        <v>2959</v>
      </c>
      <c r="Q678" s="164" t="s">
        <v>4705</v>
      </c>
      <c r="R678" s="177" t="s">
        <v>4600</v>
      </c>
      <c r="S678" s="354" t="s">
        <v>1778</v>
      </c>
      <c r="T678" s="173"/>
      <c r="U678" s="173"/>
      <c r="V678" s="173"/>
      <c r="W678" s="313" t="s">
        <v>2962</v>
      </c>
      <c r="X678" s="645" t="s">
        <v>12321</v>
      </c>
      <c r="Y678" s="354"/>
      <c r="Z678" s="176"/>
      <c r="AA678" s="176"/>
      <c r="AB678" s="32">
        <f t="shared" ca="1" si="11"/>
        <v>0.70472635230771941</v>
      </c>
      <c r="AC678" s="812"/>
      <c r="AD678" s="763"/>
      <c r="AE678" s="807"/>
      <c r="AF678" s="921">
        <f>IF(X678=X677,AF677,0)+IF(ISNUMBER(I678),IF(I678&lt;1,I678,I678*VLOOKUP(J678,Summary!$H$2:$I$9,2)),VLOOKUP(J678,Summary!$J$2:$K$9,2)*IF(ISNUMBER(H678),H678,1))</f>
        <v>9.9328703703703683E-2</v>
      </c>
      <c r="AG678" s="289">
        <v>677</v>
      </c>
      <c r="AH678" s="94"/>
      <c r="AI678" s="94"/>
    </row>
    <row r="679" spans="1:35" s="29" customFormat="1" ht="12" customHeight="1" x14ac:dyDescent="0.25">
      <c r="A679" s="472">
        <v>8</v>
      </c>
      <c r="B679" s="472">
        <v>3</v>
      </c>
      <c r="C679" s="472"/>
      <c r="D679" s="176" t="s">
        <v>1709</v>
      </c>
      <c r="E679" s="313" t="s">
        <v>2724</v>
      </c>
      <c r="F679" s="174">
        <v>26543</v>
      </c>
      <c r="G679" s="176"/>
      <c r="H679" s="176" t="s">
        <v>461</v>
      </c>
      <c r="I679" s="176">
        <v>6</v>
      </c>
      <c r="J679" s="900" t="s">
        <v>2755</v>
      </c>
      <c r="K679" s="164" t="s">
        <v>5784</v>
      </c>
      <c r="L679" s="164" t="s">
        <v>461</v>
      </c>
      <c r="M679" s="164"/>
      <c r="N679" s="164"/>
      <c r="O679" s="164"/>
      <c r="P679" s="173" t="s">
        <v>2959</v>
      </c>
      <c r="Q679" s="164" t="s">
        <v>4705</v>
      </c>
      <c r="R679" s="177" t="s">
        <v>4600</v>
      </c>
      <c r="S679" s="354" t="s">
        <v>1778</v>
      </c>
      <c r="T679" s="173"/>
      <c r="U679" s="173"/>
      <c r="V679" s="173"/>
      <c r="W679" s="313" t="s">
        <v>2724</v>
      </c>
      <c r="X679" s="645" t="s">
        <v>12321</v>
      </c>
      <c r="Y679" s="354"/>
      <c r="Z679" s="176"/>
      <c r="AA679" s="176"/>
      <c r="AB679" s="32">
        <f t="shared" ca="1" si="11"/>
        <v>0.8575548320128118</v>
      </c>
      <c r="AC679" s="812"/>
      <c r="AD679" s="763"/>
      <c r="AE679" s="807"/>
      <c r="AF679" s="921">
        <f>IF(X679=X678,AF678,0)+IF(ISNUMBER(I679),IF(I679&lt;1,I679,I679*VLOOKUP(J679,Summary!$H$2:$I$9,2)),VLOOKUP(J679,Summary!$J$2:$K$9,2)*IF(ISNUMBER(H679),H679,1))</f>
        <v>0.10349537037037035</v>
      </c>
      <c r="AG679" s="289">
        <v>678</v>
      </c>
      <c r="AH679" s="94"/>
      <c r="AI679" s="94"/>
    </row>
    <row r="680" spans="1:35" s="1" customFormat="1" ht="12" customHeight="1" x14ac:dyDescent="0.25">
      <c r="A680" s="472">
        <v>8</v>
      </c>
      <c r="B680" s="472">
        <v>3</v>
      </c>
      <c r="C680" s="472"/>
      <c r="D680" s="176" t="s">
        <v>1709</v>
      </c>
      <c r="E680" s="313" t="s">
        <v>2725</v>
      </c>
      <c r="F680" s="174">
        <v>26543</v>
      </c>
      <c r="G680" s="176"/>
      <c r="H680" s="176" t="s">
        <v>461</v>
      </c>
      <c r="I680" s="176">
        <v>7</v>
      </c>
      <c r="J680" s="900" t="s">
        <v>2755</v>
      </c>
      <c r="K680" s="164" t="s">
        <v>5784</v>
      </c>
      <c r="L680" s="164" t="s">
        <v>461</v>
      </c>
      <c r="M680" s="164"/>
      <c r="N680" s="164"/>
      <c r="O680" s="164"/>
      <c r="P680" s="173" t="s">
        <v>2959</v>
      </c>
      <c r="Q680" s="164" t="s">
        <v>4705</v>
      </c>
      <c r="R680" s="177" t="s">
        <v>4600</v>
      </c>
      <c r="S680" s="354" t="s">
        <v>1778</v>
      </c>
      <c r="T680" s="173"/>
      <c r="U680" s="173"/>
      <c r="V680" s="173"/>
      <c r="W680" s="313" t="s">
        <v>2725</v>
      </c>
      <c r="X680" s="645" t="s">
        <v>12321</v>
      </c>
      <c r="Y680" s="354"/>
      <c r="Z680" s="176"/>
      <c r="AA680" s="176"/>
      <c r="AB680" s="32">
        <f t="shared" ca="1" si="11"/>
        <v>0.60034300736912172</v>
      </c>
      <c r="AC680" s="812"/>
      <c r="AD680" s="763"/>
      <c r="AE680" s="807"/>
      <c r="AF680" s="921">
        <f>IF(X680=X679,AF679,0)+IF(ISNUMBER(I680),IF(I680&lt;1,I680,I680*VLOOKUP(J680,Summary!$H$2:$I$9,2)),VLOOKUP(J680,Summary!$J$2:$K$9,2)*IF(ISNUMBER(H680),H680,1))</f>
        <v>0.10835648148148146</v>
      </c>
      <c r="AG680" s="289">
        <v>679</v>
      </c>
      <c r="AH680" s="94"/>
      <c r="AI680" s="94"/>
    </row>
    <row r="681" spans="1:35" s="22" customFormat="1" ht="12" customHeight="1" x14ac:dyDescent="0.25">
      <c r="A681" s="472">
        <v>8</v>
      </c>
      <c r="B681" s="472">
        <v>3</v>
      </c>
      <c r="C681" s="472"/>
      <c r="D681" s="176" t="s">
        <v>1709</v>
      </c>
      <c r="E681" s="313" t="s">
        <v>2726</v>
      </c>
      <c r="F681" s="174">
        <v>26543</v>
      </c>
      <c r="G681" s="176"/>
      <c r="H681" s="176" t="s">
        <v>461</v>
      </c>
      <c r="I681" s="176">
        <v>6</v>
      </c>
      <c r="J681" s="900" t="s">
        <v>2755</v>
      </c>
      <c r="K681" s="164" t="s">
        <v>5784</v>
      </c>
      <c r="L681" s="164" t="s">
        <v>461</v>
      </c>
      <c r="M681" s="164"/>
      <c r="N681" s="164"/>
      <c r="O681" s="164"/>
      <c r="P681" s="173" t="s">
        <v>2959</v>
      </c>
      <c r="Q681" s="164" t="s">
        <v>4705</v>
      </c>
      <c r="R681" s="177" t="s">
        <v>4600</v>
      </c>
      <c r="S681" s="354" t="s">
        <v>1778</v>
      </c>
      <c r="T681" s="173"/>
      <c r="U681" s="173"/>
      <c r="V681" s="173"/>
      <c r="W681" s="313" t="s">
        <v>2726</v>
      </c>
      <c r="X681" s="645" t="s">
        <v>12321</v>
      </c>
      <c r="Y681" s="354"/>
      <c r="Z681" s="176"/>
      <c r="AA681" s="176"/>
      <c r="AB681" s="32">
        <f t="shared" ca="1" si="11"/>
        <v>0.32472496338108703</v>
      </c>
      <c r="AC681" s="812"/>
      <c r="AD681" s="763"/>
      <c r="AE681" s="807"/>
      <c r="AF681" s="921">
        <f>IF(X681=X680,AF680,0)+IF(ISNUMBER(I681),IF(I681&lt;1,I681,I681*VLOOKUP(J681,Summary!$H$2:$I$9,2)),VLOOKUP(J681,Summary!$J$2:$K$9,2)*IF(ISNUMBER(H681),H681,1))</f>
        <v>0.11252314814814812</v>
      </c>
      <c r="AG681" s="289">
        <v>680</v>
      </c>
      <c r="AH681" s="94"/>
      <c r="AI681" s="94"/>
    </row>
    <row r="682" spans="1:35" s="2" customFormat="1" ht="12" customHeight="1" x14ac:dyDescent="0.25">
      <c r="A682" s="472">
        <v>8</v>
      </c>
      <c r="B682" s="472">
        <v>3</v>
      </c>
      <c r="C682" s="472"/>
      <c r="D682" s="176" t="s">
        <v>1709</v>
      </c>
      <c r="E682" s="313" t="s">
        <v>2727</v>
      </c>
      <c r="F682" s="174">
        <v>26543</v>
      </c>
      <c r="G682" s="176"/>
      <c r="H682" s="176" t="s">
        <v>461</v>
      </c>
      <c r="I682" s="176">
        <v>6</v>
      </c>
      <c r="J682" s="900" t="s">
        <v>2755</v>
      </c>
      <c r="K682" s="164" t="s">
        <v>5784</v>
      </c>
      <c r="L682" s="164" t="s">
        <v>461</v>
      </c>
      <c r="M682" s="164"/>
      <c r="N682" s="164"/>
      <c r="O682" s="164"/>
      <c r="P682" s="173" t="s">
        <v>2959</v>
      </c>
      <c r="Q682" s="164" t="s">
        <v>4705</v>
      </c>
      <c r="R682" s="177" t="s">
        <v>4600</v>
      </c>
      <c r="S682" s="354" t="s">
        <v>1778</v>
      </c>
      <c r="T682" s="173"/>
      <c r="U682" s="173"/>
      <c r="V682" s="173"/>
      <c r="W682" s="313" t="s">
        <v>2727</v>
      </c>
      <c r="X682" s="645" t="s">
        <v>12321</v>
      </c>
      <c r="Y682" s="354"/>
      <c r="Z682" s="176"/>
      <c r="AA682" s="176"/>
      <c r="AB682" s="32">
        <f t="shared" ca="1" si="11"/>
        <v>0.244369064838589</v>
      </c>
      <c r="AC682" s="812"/>
      <c r="AD682" s="763"/>
      <c r="AE682" s="807"/>
      <c r="AF682" s="921">
        <f>IF(X682=X681,AF681,0)+IF(ISNUMBER(I682),IF(I682&lt;1,I682,I682*VLOOKUP(J682,Summary!$H$2:$I$9,2)),VLOOKUP(J682,Summary!$J$2:$K$9,2)*IF(ISNUMBER(H682),H682,1))</f>
        <v>0.11668981481481479</v>
      </c>
      <c r="AG682" s="289">
        <v>681</v>
      </c>
      <c r="AH682" s="94"/>
      <c r="AI682" s="94"/>
    </row>
    <row r="683" spans="1:35" s="22" customFormat="1" ht="12" customHeight="1" x14ac:dyDescent="0.25">
      <c r="A683" s="469">
        <v>8</v>
      </c>
      <c r="B683" s="469">
        <v>3</v>
      </c>
      <c r="C683" s="470">
        <v>6.08</v>
      </c>
      <c r="D683" s="192" t="s">
        <v>11401</v>
      </c>
      <c r="E683" s="317" t="s">
        <v>11402</v>
      </c>
      <c r="F683" s="209">
        <v>42612</v>
      </c>
      <c r="G683" s="209"/>
      <c r="H683" s="192">
        <v>1</v>
      </c>
      <c r="I683" s="753">
        <f>TIME(0,34,53)</f>
        <v>2.4224537037037034E-2</v>
      </c>
      <c r="J683" s="903" t="s">
        <v>2755</v>
      </c>
      <c r="K683" s="194" t="s">
        <v>8131</v>
      </c>
      <c r="L683" s="194" t="s">
        <v>5662</v>
      </c>
      <c r="M683" s="194" t="s">
        <v>11403</v>
      </c>
      <c r="N683" s="194"/>
      <c r="O683" s="194"/>
      <c r="P683" s="190" t="s">
        <v>11404</v>
      </c>
      <c r="Q683" s="194" t="s">
        <v>3947</v>
      </c>
      <c r="R683" s="193" t="s">
        <v>2722</v>
      </c>
      <c r="S683" s="357"/>
      <c r="T683" s="190"/>
      <c r="U683" s="190"/>
      <c r="V683" s="190"/>
      <c r="W683" s="317" t="s">
        <v>11402</v>
      </c>
      <c r="X683" s="649" t="s">
        <v>12321</v>
      </c>
      <c r="Y683" s="357" t="s">
        <v>5643</v>
      </c>
      <c r="Z683" s="192"/>
      <c r="AA683" s="192"/>
      <c r="AB683" s="37">
        <f t="shared" ca="1" si="11"/>
        <v>0.75235705026771071</v>
      </c>
      <c r="AC683" s="816"/>
      <c r="AD683" s="817"/>
      <c r="AE683" s="943"/>
      <c r="AF683" s="924">
        <f>IF(X683=X682,AF682,0)+IF(ISNUMBER(I683),IF(I683&lt;1,I683,I683*VLOOKUP(J683,Summary!$H$2:$I$9,2)),VLOOKUP(J683,Summary!$J$2:$K$9,2)*IF(ISNUMBER(H683),H683,1))</f>
        <v>0.14091435185185183</v>
      </c>
      <c r="AG683" s="292">
        <v>682</v>
      </c>
      <c r="AH683" s="94"/>
      <c r="AI683" s="94"/>
    </row>
    <row r="684" spans="1:35" s="22" customFormat="1" ht="12" customHeight="1" x14ac:dyDescent="0.25">
      <c r="A684" s="472">
        <v>8</v>
      </c>
      <c r="B684" s="472">
        <v>3</v>
      </c>
      <c r="C684" s="472">
        <v>17</v>
      </c>
      <c r="D684" s="176" t="s">
        <v>55</v>
      </c>
      <c r="E684" s="313" t="s">
        <v>56</v>
      </c>
      <c r="F684" s="175">
        <v>33849</v>
      </c>
      <c r="G684" s="175"/>
      <c r="H684" s="176">
        <v>1</v>
      </c>
      <c r="I684" s="176">
        <v>1</v>
      </c>
      <c r="J684" s="900" t="s">
        <v>2755</v>
      </c>
      <c r="K684" s="164" t="s">
        <v>3320</v>
      </c>
      <c r="L684" s="164" t="s">
        <v>3575</v>
      </c>
      <c r="M684" s="164"/>
      <c r="N684" s="164" t="s">
        <v>7375</v>
      </c>
      <c r="O684" s="164"/>
      <c r="P684" s="173" t="s">
        <v>461</v>
      </c>
      <c r="Q684" s="164" t="s">
        <v>4062</v>
      </c>
      <c r="R684" s="177" t="s">
        <v>4599</v>
      </c>
      <c r="S684" s="354"/>
      <c r="T684" s="173"/>
      <c r="U684" s="173"/>
      <c r="V684" s="173"/>
      <c r="W684" s="313" t="s">
        <v>56</v>
      </c>
      <c r="X684" s="645" t="s">
        <v>12321</v>
      </c>
      <c r="Y684" s="354"/>
      <c r="Z684" s="176"/>
      <c r="AA684" s="176"/>
      <c r="AB684" s="32">
        <f t="shared" ca="1" si="11"/>
        <v>0.95519385036598847</v>
      </c>
      <c r="AC684" s="812"/>
      <c r="AD684" s="763"/>
      <c r="AE684" s="807"/>
      <c r="AF684" s="921">
        <f>IF(X684=X683,AF683,0)+IF(ISNUMBER(I684),IF(I684&lt;1,I684,I684*VLOOKUP(J684,Summary!$H$2:$I$9,2)),VLOOKUP(J684,Summary!$J$2:$K$9,2)*IF(ISNUMBER(H684),H684,1))</f>
        <v>0.14160879629629627</v>
      </c>
      <c r="AG684" s="289">
        <v>683</v>
      </c>
      <c r="AH684" s="94"/>
      <c r="AI684" s="94"/>
    </row>
    <row r="685" spans="1:35" s="22" customFormat="1" ht="12" customHeight="1" x14ac:dyDescent="0.25">
      <c r="A685" s="466" t="s">
        <v>4220</v>
      </c>
      <c r="B685" s="466">
        <v>3</v>
      </c>
      <c r="C685" s="466">
        <v>56</v>
      </c>
      <c r="D685" s="424" t="s">
        <v>7008</v>
      </c>
      <c r="E685" s="319" t="s">
        <v>7009</v>
      </c>
      <c r="F685" s="198">
        <v>25963</v>
      </c>
      <c r="G685" s="198">
        <v>25998</v>
      </c>
      <c r="H685" s="199">
        <v>6</v>
      </c>
      <c r="I685" s="791">
        <f>TIME(0,24,39)+TIME(0,24,31)+TIME(0,24,30)+TIME(0,24,40)+TIME(0,23,34)+TIME(0,24,38)</f>
        <v>0.10175925925925926</v>
      </c>
      <c r="J685" s="904" t="s">
        <v>1588</v>
      </c>
      <c r="K685" s="200" t="s">
        <v>4211</v>
      </c>
      <c r="L685" s="200" t="s">
        <v>4204</v>
      </c>
      <c r="M685" s="200"/>
      <c r="N685" s="200" t="s">
        <v>1088</v>
      </c>
      <c r="O685" s="200" t="s">
        <v>1884</v>
      </c>
      <c r="P685" s="197" t="s">
        <v>461</v>
      </c>
      <c r="Q685" s="200" t="s">
        <v>3946</v>
      </c>
      <c r="R685" s="201" t="s">
        <v>5280</v>
      </c>
      <c r="S685" s="390" t="s">
        <v>1778</v>
      </c>
      <c r="T685" s="197" t="s">
        <v>2597</v>
      </c>
      <c r="U685" s="197" t="s">
        <v>2600</v>
      </c>
      <c r="V685" s="197" t="s">
        <v>2601</v>
      </c>
      <c r="W685" s="318" t="s">
        <v>9678</v>
      </c>
      <c r="X685" s="650" t="s">
        <v>12321</v>
      </c>
      <c r="Y685" s="358" t="s">
        <v>6141</v>
      </c>
      <c r="Z685" s="253">
        <v>177</v>
      </c>
      <c r="AA685" s="253">
        <v>5</v>
      </c>
      <c r="AB685" s="35">
        <f t="shared" ca="1" si="11"/>
        <v>3.1408576998755322E-2</v>
      </c>
      <c r="AC685" s="820"/>
      <c r="AD685" s="821" t="s">
        <v>14958</v>
      </c>
      <c r="AE685" s="944" t="s">
        <v>12552</v>
      </c>
      <c r="AF685" s="925">
        <f>IF(X685=X684,AF684,0)+IF(ISNUMBER(I685),IF(I685&lt;1,I685,I685*VLOOKUP(J685,Summary!$H$2:$I$9,2)),VLOOKUP(J685,Summary!$J$2:$K$9,2)*IF(ISNUMBER(H685),H685,1))</f>
        <v>0.24336805555555552</v>
      </c>
      <c r="AG685" s="293">
        <v>684</v>
      </c>
      <c r="AH685" s="94"/>
      <c r="AI685" s="94"/>
    </row>
    <row r="686" spans="1:35" s="43" customFormat="1" ht="12" customHeight="1" x14ac:dyDescent="0.25">
      <c r="A686" s="408"/>
      <c r="B686" s="408" t="s">
        <v>2650</v>
      </c>
      <c r="C686" s="408">
        <v>34</v>
      </c>
      <c r="D686" s="176" t="s">
        <v>3544</v>
      </c>
      <c r="E686" s="313" t="s">
        <v>3477</v>
      </c>
      <c r="F686" s="174">
        <v>33543</v>
      </c>
      <c r="G686" s="174"/>
      <c r="H686" s="176">
        <v>1</v>
      </c>
      <c r="I686" s="176">
        <v>1</v>
      </c>
      <c r="J686" s="900" t="s">
        <v>2755</v>
      </c>
      <c r="K686" s="164" t="s">
        <v>4132</v>
      </c>
      <c r="L686" s="164" t="s">
        <v>3543</v>
      </c>
      <c r="M686" s="164"/>
      <c r="N686" s="164" t="s">
        <v>561</v>
      </c>
      <c r="O686" s="164"/>
      <c r="P686" s="173" t="s">
        <v>461</v>
      </c>
      <c r="Q686" s="164" t="s">
        <v>4062</v>
      </c>
      <c r="R686" s="177" t="s">
        <v>4599</v>
      </c>
      <c r="S686" s="354"/>
      <c r="T686" s="173" t="s">
        <v>2597</v>
      </c>
      <c r="U686" s="173" t="s">
        <v>2600</v>
      </c>
      <c r="V686" s="173" t="s">
        <v>2601</v>
      </c>
      <c r="W686" s="313" t="s">
        <v>3477</v>
      </c>
      <c r="X686" s="645" t="s">
        <v>12321</v>
      </c>
      <c r="Y686" s="354"/>
      <c r="Z686" s="176"/>
      <c r="AA686" s="176"/>
      <c r="AB686" s="32">
        <f t="shared" ca="1" si="11"/>
        <v>0.76319464337734955</v>
      </c>
      <c r="AC686" s="812"/>
      <c r="AD686" s="763"/>
      <c r="AE686" s="807"/>
      <c r="AF686" s="921">
        <f>IF(X686=X685,AF685,0)+IF(ISNUMBER(I686),IF(I686&lt;1,I686,I686*VLOOKUP(J686,Summary!$H$2:$I$9,2)),VLOOKUP(J686,Summary!$J$2:$K$9,2)*IF(ISNUMBER(H686),H686,1))</f>
        <v>0.24406249999999996</v>
      </c>
      <c r="AG686" s="289">
        <v>685</v>
      </c>
      <c r="AH686" s="94"/>
      <c r="AI686" s="94"/>
    </row>
    <row r="687" spans="1:35" s="22" customFormat="1" ht="12" customHeight="1" x14ac:dyDescent="0.25">
      <c r="A687" s="468" t="s">
        <v>4220</v>
      </c>
      <c r="B687" s="468">
        <v>3</v>
      </c>
      <c r="C687" s="468">
        <v>63</v>
      </c>
      <c r="D687" s="417" t="s">
        <v>7006</v>
      </c>
      <c r="E687" s="316" t="s">
        <v>7007</v>
      </c>
      <c r="F687" s="187">
        <v>37926</v>
      </c>
      <c r="G687" s="188"/>
      <c r="H687" s="188" t="str">
        <f>IF(J687="Book","n/a","")</f>
        <v>n/a</v>
      </c>
      <c r="I687" s="188">
        <v>285</v>
      </c>
      <c r="J687" s="902" t="s">
        <v>6868</v>
      </c>
      <c r="K687" s="162" t="s">
        <v>6001</v>
      </c>
      <c r="L687" s="162" t="str">
        <f>IF(J687="Book","n/a","")</f>
        <v>n/a</v>
      </c>
      <c r="M687" s="162"/>
      <c r="N687" s="162"/>
      <c r="O687" s="162"/>
      <c r="P687" s="178" t="s">
        <v>8987</v>
      </c>
      <c r="Q687" s="162" t="s">
        <v>3953</v>
      </c>
      <c r="R687" s="189" t="s">
        <v>2717</v>
      </c>
      <c r="S687" s="366" t="s">
        <v>1778</v>
      </c>
      <c r="T687" s="178"/>
      <c r="U687" s="178"/>
      <c r="V687" s="178"/>
      <c r="W687" s="316" t="s">
        <v>7007</v>
      </c>
      <c r="X687" s="648" t="s">
        <v>12321</v>
      </c>
      <c r="Y687" s="356"/>
      <c r="Z687" s="272"/>
      <c r="AA687" s="272"/>
      <c r="AB687" s="34">
        <f t="shared" ca="1" si="11"/>
        <v>0.9478040314928875</v>
      </c>
      <c r="AC687" s="814"/>
      <c r="AD687" s="815" t="s">
        <v>16741</v>
      </c>
      <c r="AE687" s="942" t="s">
        <v>3234</v>
      </c>
      <c r="AF687" s="923">
        <f>IF(X687=X686,AF686,0)+IF(ISNUMBER(I687),IF(I687&lt;1,I687,I687*VLOOKUP(J687,Summary!$H$2:$I$9,2)),VLOOKUP(J687,Summary!$J$2:$K$9,2)*IF(ISNUMBER(H687),H687,1))</f>
        <v>0.44197916666666665</v>
      </c>
      <c r="AG687" s="291">
        <v>686</v>
      </c>
      <c r="AH687" s="94"/>
      <c r="AI687" s="94"/>
    </row>
    <row r="688" spans="1:35" s="22" customFormat="1" ht="12" customHeight="1" x14ac:dyDescent="0.25">
      <c r="A688" s="472">
        <v>8</v>
      </c>
      <c r="B688" s="472">
        <v>3</v>
      </c>
      <c r="C688" s="473">
        <v>14.17</v>
      </c>
      <c r="D688" s="176" t="s">
        <v>7923</v>
      </c>
      <c r="E688" s="313" t="s">
        <v>1777</v>
      </c>
      <c r="F688" s="174">
        <v>38322</v>
      </c>
      <c r="G688" s="174"/>
      <c r="H688" s="176">
        <v>1</v>
      </c>
      <c r="I688" s="176">
        <v>10</v>
      </c>
      <c r="J688" s="900" t="s">
        <v>2755</v>
      </c>
      <c r="K688" s="164" t="s">
        <v>1088</v>
      </c>
      <c r="L688" s="164" t="s">
        <v>461</v>
      </c>
      <c r="M688" s="164"/>
      <c r="N688" s="164" t="s">
        <v>3807</v>
      </c>
      <c r="O688" s="164"/>
      <c r="P688" s="173" t="s">
        <v>6565</v>
      </c>
      <c r="Q688" s="164" t="s">
        <v>3947</v>
      </c>
      <c r="R688" s="177" t="s">
        <v>2723</v>
      </c>
      <c r="S688" s="354" t="s">
        <v>1778</v>
      </c>
      <c r="T688" s="173" t="s">
        <v>2597</v>
      </c>
      <c r="U688" s="173" t="s">
        <v>2600</v>
      </c>
      <c r="V688" s="173" t="s">
        <v>2601</v>
      </c>
      <c r="W688" s="313" t="s">
        <v>1777</v>
      </c>
      <c r="X688" s="645" t="s">
        <v>12321</v>
      </c>
      <c r="Y688" s="354"/>
      <c r="Z688" s="176"/>
      <c r="AA688" s="176"/>
      <c r="AB688" s="32">
        <f t="shared" ca="1" si="11"/>
        <v>0.30410292235347369</v>
      </c>
      <c r="AC688" s="812"/>
      <c r="AD688" s="763" t="s">
        <v>14959</v>
      </c>
      <c r="AE688" s="807" t="s">
        <v>3234</v>
      </c>
      <c r="AF688" s="921">
        <f>IF(X688=X687,AF687,0)+IF(ISNUMBER(I688),IF(I688&lt;1,I688,I688*VLOOKUP(J688,Summary!$H$2:$I$9,2)),VLOOKUP(J688,Summary!$J$2:$K$9,2)*IF(ISNUMBER(H688),H688,1))</f>
        <v>0.44892361111111106</v>
      </c>
      <c r="AG688" s="289">
        <v>687</v>
      </c>
      <c r="AH688" s="94"/>
      <c r="AI688" s="94"/>
    </row>
    <row r="689" spans="1:35" s="22" customFormat="1" ht="12" customHeight="1" x14ac:dyDescent="0.2">
      <c r="A689" s="467">
        <v>8</v>
      </c>
      <c r="B689" s="467">
        <v>3</v>
      </c>
      <c r="C689" s="467">
        <v>73</v>
      </c>
      <c r="D689" s="185" t="s">
        <v>5181</v>
      </c>
      <c r="E689" s="314" t="s">
        <v>5180</v>
      </c>
      <c r="F689" s="184">
        <v>34717</v>
      </c>
      <c r="G689" s="184">
        <v>34773</v>
      </c>
      <c r="H689" s="185">
        <v>1</v>
      </c>
      <c r="I689" s="185">
        <v>21</v>
      </c>
      <c r="J689" s="901" t="s">
        <v>1796</v>
      </c>
      <c r="K689" s="163" t="s">
        <v>7800</v>
      </c>
      <c r="L689" s="163" t="s">
        <v>5182</v>
      </c>
      <c r="M689" s="163"/>
      <c r="N689" s="163" t="s">
        <v>7375</v>
      </c>
      <c r="O689" s="163"/>
      <c r="P689" s="182" t="s">
        <v>461</v>
      </c>
      <c r="Q689" s="163" t="s">
        <v>4062</v>
      </c>
      <c r="R689" s="186" t="s">
        <v>5266</v>
      </c>
      <c r="S689" s="355" t="s">
        <v>5811</v>
      </c>
      <c r="T689" s="182" t="s">
        <v>2597</v>
      </c>
      <c r="U689" s="182"/>
      <c r="V689" s="182"/>
      <c r="W689" s="314" t="s">
        <v>5180</v>
      </c>
      <c r="X689" s="646" t="s">
        <v>12321</v>
      </c>
      <c r="Y689" s="355"/>
      <c r="Z689" s="185"/>
      <c r="AA689" s="185"/>
      <c r="AB689" s="33">
        <f t="shared" ca="1" si="11"/>
        <v>0.96636209526626182</v>
      </c>
      <c r="AC689" s="813"/>
      <c r="AD689" s="211" t="s">
        <v>14960</v>
      </c>
      <c r="AE689" s="875" t="s">
        <v>3234</v>
      </c>
      <c r="AF689" s="922">
        <f>IF(X689=X688,AF688,0)+IF(ISNUMBER(I689),IF(I689&lt;1,I689,I689*VLOOKUP(J689,Summary!$H$2:$I$9,2)),VLOOKUP(J689,Summary!$J$2:$K$9,2)*IF(ISNUMBER(H689),H689,1))</f>
        <v>0.45621527777777771</v>
      </c>
      <c r="AG689" s="290">
        <v>688</v>
      </c>
      <c r="AH689" s="94"/>
      <c r="AI689" s="94"/>
    </row>
    <row r="690" spans="1:35" s="3" customFormat="1" ht="12" customHeight="1" x14ac:dyDescent="0.25">
      <c r="A690" s="472">
        <v>8</v>
      </c>
      <c r="B690" s="472">
        <v>3</v>
      </c>
      <c r="C690" s="473">
        <v>15.03</v>
      </c>
      <c r="D690" s="176" t="s">
        <v>472</v>
      </c>
      <c r="E690" s="313" t="s">
        <v>1578</v>
      </c>
      <c r="F690" s="174">
        <v>38412</v>
      </c>
      <c r="G690" s="174"/>
      <c r="H690" s="176">
        <v>1</v>
      </c>
      <c r="I690" s="176">
        <v>22</v>
      </c>
      <c r="J690" s="900" t="s">
        <v>2755</v>
      </c>
      <c r="K690" s="164" t="s">
        <v>1951</v>
      </c>
      <c r="L690" s="164" t="s">
        <v>461</v>
      </c>
      <c r="M690" s="164"/>
      <c r="N690" s="164" t="s">
        <v>6997</v>
      </c>
      <c r="O690" s="164"/>
      <c r="P690" s="173" t="s">
        <v>6998</v>
      </c>
      <c r="Q690" s="164" t="s">
        <v>3947</v>
      </c>
      <c r="R690" s="177" t="s">
        <v>2723</v>
      </c>
      <c r="S690" s="354" t="s">
        <v>1778</v>
      </c>
      <c r="T690" s="173"/>
      <c r="U690" s="173"/>
      <c r="V690" s="173"/>
      <c r="W690" s="313" t="s">
        <v>1578</v>
      </c>
      <c r="X690" s="645" t="s">
        <v>12321</v>
      </c>
      <c r="Y690" s="354"/>
      <c r="Z690" s="176"/>
      <c r="AA690" s="176"/>
      <c r="AB690" s="32">
        <f t="shared" ca="1" si="11"/>
        <v>0.8036836935931746</v>
      </c>
      <c r="AC690" s="812"/>
      <c r="AD690" s="763"/>
      <c r="AE690" s="807"/>
      <c r="AF690" s="921">
        <f>IF(X690=X689,AF689,0)+IF(ISNUMBER(I690),IF(I690&lt;1,I690,I690*VLOOKUP(J690,Summary!$H$2:$I$9,2)),VLOOKUP(J690,Summary!$J$2:$K$9,2)*IF(ISNUMBER(H690),H690,1))</f>
        <v>0.47149305555555548</v>
      </c>
      <c r="AG690" s="289">
        <v>689</v>
      </c>
      <c r="AH690" s="94"/>
      <c r="AI690" s="94"/>
    </row>
    <row r="691" spans="1:35" s="29" customFormat="1" ht="12" customHeight="1" x14ac:dyDescent="0.25">
      <c r="A691" s="466" t="s">
        <v>4220</v>
      </c>
      <c r="B691" s="466">
        <v>3</v>
      </c>
      <c r="C691" s="466">
        <v>57</v>
      </c>
      <c r="D691" s="424" t="s">
        <v>7010</v>
      </c>
      <c r="E691" s="319" t="s">
        <v>7011</v>
      </c>
      <c r="F691" s="198">
        <v>26005</v>
      </c>
      <c r="G691" s="198">
        <v>26026</v>
      </c>
      <c r="H691" s="199">
        <v>4</v>
      </c>
      <c r="I691" s="791">
        <f>TIME(0,23,51)+TIME(0,24, 0)+TIME(0,24, 5)+TIME(0,25,19)</f>
        <v>6.7534722222222232E-2</v>
      </c>
      <c r="J691" s="904" t="s">
        <v>1588</v>
      </c>
      <c r="K691" s="200" t="s">
        <v>7012</v>
      </c>
      <c r="L691" s="200" t="s">
        <v>5431</v>
      </c>
      <c r="M691" s="200"/>
      <c r="N691" s="200" t="s">
        <v>1088</v>
      </c>
      <c r="O691" s="200" t="s">
        <v>1884</v>
      </c>
      <c r="P691" s="197" t="s">
        <v>461</v>
      </c>
      <c r="Q691" s="200" t="s">
        <v>3946</v>
      </c>
      <c r="R691" s="201" t="s">
        <v>5280</v>
      </c>
      <c r="S691" s="390" t="s">
        <v>1778</v>
      </c>
      <c r="T691" s="197" t="s">
        <v>2597</v>
      </c>
      <c r="U691" s="197" t="s">
        <v>2600</v>
      </c>
      <c r="V691" s="197" t="s">
        <v>2601</v>
      </c>
      <c r="W691" s="318" t="s">
        <v>10189</v>
      </c>
      <c r="X691" s="650" t="s">
        <v>12321</v>
      </c>
      <c r="Y691" s="358" t="s">
        <v>6141</v>
      </c>
      <c r="Z691" s="253">
        <v>74</v>
      </c>
      <c r="AA691" s="253">
        <v>7.5</v>
      </c>
      <c r="AB691" s="35">
        <f t="shared" ca="1" si="11"/>
        <v>0.88294114223626807</v>
      </c>
      <c r="AC691" s="820"/>
      <c r="AD691" s="821" t="s">
        <v>14961</v>
      </c>
      <c r="AE691" s="944" t="s">
        <v>3234</v>
      </c>
      <c r="AF691" s="925">
        <f>IF(X691=X690,AF690,0)+IF(ISNUMBER(I691),IF(I691&lt;1,I691,I691*VLOOKUP(J691,Summary!$H$2:$I$9,2)),VLOOKUP(J691,Summary!$J$2:$K$9,2)*IF(ISNUMBER(H691),H691,1))</f>
        <v>0.53902777777777766</v>
      </c>
      <c r="AG691" s="293">
        <v>690</v>
      </c>
      <c r="AH691" s="94"/>
      <c r="AI691" s="94"/>
    </row>
    <row r="692" spans="1:35" s="22" customFormat="1" ht="12" customHeight="1" x14ac:dyDescent="0.25">
      <c r="A692" s="408"/>
      <c r="B692" s="408" t="s">
        <v>2650</v>
      </c>
      <c r="C692" s="408">
        <v>21</v>
      </c>
      <c r="D692" s="176" t="s">
        <v>9833</v>
      </c>
      <c r="E692" s="313" t="s">
        <v>9834</v>
      </c>
      <c r="F692" s="175">
        <v>41802</v>
      </c>
      <c r="G692" s="174"/>
      <c r="H692" s="176">
        <v>1</v>
      </c>
      <c r="I692" s="176">
        <v>12</v>
      </c>
      <c r="J692" s="900" t="s">
        <v>2755</v>
      </c>
      <c r="K692" s="164" t="s">
        <v>9281</v>
      </c>
      <c r="L692" s="164" t="s">
        <v>461</v>
      </c>
      <c r="M692" s="164"/>
      <c r="N692" s="164" t="s">
        <v>543</v>
      </c>
      <c r="O692" s="164"/>
      <c r="P692" s="173" t="s">
        <v>9278</v>
      </c>
      <c r="Q692" s="164" t="s">
        <v>3953</v>
      </c>
      <c r="R692" s="177" t="s">
        <v>9279</v>
      </c>
      <c r="S692" s="354"/>
      <c r="T692" s="173"/>
      <c r="U692" s="173"/>
      <c r="V692" s="173"/>
      <c r="W692" s="313" t="s">
        <v>9834</v>
      </c>
      <c r="X692" s="645" t="s">
        <v>12321</v>
      </c>
      <c r="Y692" s="354" t="s">
        <v>6868</v>
      </c>
      <c r="Z692" s="176"/>
      <c r="AA692" s="176"/>
      <c r="AB692" s="32">
        <f t="shared" ca="1" si="11"/>
        <v>0.10312569658816939</v>
      </c>
      <c r="AC692" s="812"/>
      <c r="AD692" s="763"/>
      <c r="AE692" s="807"/>
      <c r="AF692" s="921">
        <f>IF(X692=X691,AF691,0)+IF(ISNUMBER(I692),IF(I692&lt;1,I692,I692*VLOOKUP(J692,Summary!$H$2:$I$9,2)),VLOOKUP(J692,Summary!$J$2:$K$9,2)*IF(ISNUMBER(H692),H692,1))</f>
        <v>0.54736111111111097</v>
      </c>
      <c r="AG692" s="289">
        <v>691</v>
      </c>
      <c r="AH692" s="94"/>
      <c r="AI692" s="94"/>
    </row>
    <row r="693" spans="1:35" s="22" customFormat="1" ht="12" customHeight="1" x14ac:dyDescent="0.2">
      <c r="A693" s="465">
        <v>8</v>
      </c>
      <c r="B693" s="465">
        <v>3</v>
      </c>
      <c r="C693" s="471">
        <v>4.04</v>
      </c>
      <c r="D693" s="407" t="s">
        <v>8393</v>
      </c>
      <c r="E693" s="315" t="s">
        <v>8394</v>
      </c>
      <c r="F693" s="169">
        <v>41609</v>
      </c>
      <c r="G693" s="170"/>
      <c r="H693" s="170">
        <v>6</v>
      </c>
      <c r="I693" s="746">
        <f>TIME(3,20,44)</f>
        <v>0.13939814814814813</v>
      </c>
      <c r="J693" s="899" t="s">
        <v>4706</v>
      </c>
      <c r="K693" s="167" t="s">
        <v>8395</v>
      </c>
      <c r="L693" s="167" t="s">
        <v>2313</v>
      </c>
      <c r="M693" s="167"/>
      <c r="N693" s="167"/>
      <c r="O693" s="167"/>
      <c r="P693" s="168" t="s">
        <v>8396</v>
      </c>
      <c r="Q693" s="167" t="s">
        <v>3947</v>
      </c>
      <c r="R693" s="172" t="s">
        <v>6992</v>
      </c>
      <c r="S693" s="388" t="s">
        <v>1778</v>
      </c>
      <c r="T693" s="168" t="s">
        <v>2597</v>
      </c>
      <c r="U693" s="168" t="s">
        <v>2600</v>
      </c>
      <c r="V693" s="168" t="s">
        <v>2601</v>
      </c>
      <c r="W693" s="312"/>
      <c r="X693" s="644" t="s">
        <v>12321</v>
      </c>
      <c r="Y693" s="352" t="s">
        <v>5643</v>
      </c>
      <c r="Z693" s="353">
        <v>595</v>
      </c>
      <c r="AA693" s="353">
        <v>3.5</v>
      </c>
      <c r="AB693" s="31">
        <f t="shared" ca="1" si="11"/>
        <v>0.81966264080692142</v>
      </c>
      <c r="AC693" s="810"/>
      <c r="AD693" s="811"/>
      <c r="AE693" s="940"/>
      <c r="AF693" s="920">
        <f>IF(X693=X692,AF692,0)+IF(ISNUMBER(I693),IF(I693&lt;1,I693,I693*VLOOKUP(J693,Summary!$H$2:$I$9,2)),VLOOKUP(J693,Summary!$J$2:$K$9,2)*IF(ISNUMBER(H693),H693,1))</f>
        <v>0.68675925925925907</v>
      </c>
      <c r="AG693" s="287">
        <v>692</v>
      </c>
      <c r="AH693" s="94"/>
      <c r="AI693" s="94"/>
    </row>
    <row r="694" spans="1:35" s="22" customFormat="1" ht="12" customHeight="1" x14ac:dyDescent="0.25">
      <c r="A694" s="466" t="s">
        <v>4220</v>
      </c>
      <c r="B694" s="466">
        <v>3</v>
      </c>
      <c r="C694" s="466">
        <v>58</v>
      </c>
      <c r="D694" s="424" t="s">
        <v>7013</v>
      </c>
      <c r="E694" s="319" t="s">
        <v>7014</v>
      </c>
      <c r="F694" s="198">
        <v>26033</v>
      </c>
      <c r="G694" s="198">
        <v>26068</v>
      </c>
      <c r="H694" s="199">
        <v>6</v>
      </c>
      <c r="I694" s="791">
        <f>TIME(0,24,19)+TIME(0,22,43)+TIME(0,23,47)+TIME(0,24,20)+TIME(0,25,22)+TIME(0,25,22)</f>
        <v>0.10130787037037035</v>
      </c>
      <c r="J694" s="904" t="s">
        <v>1588</v>
      </c>
      <c r="K694" s="200" t="s">
        <v>2682</v>
      </c>
      <c r="L694" s="200" t="s">
        <v>7015</v>
      </c>
      <c r="M694" s="200"/>
      <c r="N694" s="200" t="s">
        <v>1088</v>
      </c>
      <c r="O694" s="200" t="s">
        <v>1884</v>
      </c>
      <c r="P694" s="197" t="s">
        <v>461</v>
      </c>
      <c r="Q694" s="200" t="s">
        <v>3946</v>
      </c>
      <c r="R694" s="201" t="s">
        <v>5280</v>
      </c>
      <c r="S694" s="390" t="s">
        <v>1778</v>
      </c>
      <c r="T694" s="197" t="s">
        <v>2597</v>
      </c>
      <c r="U694" s="197"/>
      <c r="V694" s="197"/>
      <c r="W694" s="318" t="s">
        <v>10186</v>
      </c>
      <c r="X694" s="650" t="s">
        <v>12321</v>
      </c>
      <c r="Y694" s="358" t="s">
        <v>6141</v>
      </c>
      <c r="Z694" s="253">
        <v>165</v>
      </c>
      <c r="AA694" s="253">
        <v>5</v>
      </c>
      <c r="AB694" s="35">
        <f t="shared" ca="1" si="11"/>
        <v>0.98484020547381079</v>
      </c>
      <c r="AC694" s="820"/>
      <c r="AD694" s="821" t="s">
        <v>16200</v>
      </c>
      <c r="AE694" s="944"/>
      <c r="AF694" s="925">
        <f>IF(X694=X693,AF693,0)+IF(ISNUMBER(I694),IF(I694&lt;1,I694,I694*VLOOKUP(J694,Summary!$H$2:$I$9,2)),VLOOKUP(J694,Summary!$J$2:$K$9,2)*IF(ISNUMBER(H694),H694,1))</f>
        <v>0.78806712962962944</v>
      </c>
      <c r="AG694" s="293">
        <v>693</v>
      </c>
      <c r="AH694" s="94"/>
      <c r="AI694" s="94"/>
    </row>
    <row r="695" spans="1:35" s="43" customFormat="1" ht="12" customHeight="1" x14ac:dyDescent="0.25">
      <c r="A695" s="472">
        <v>8</v>
      </c>
      <c r="B695" s="472">
        <v>3</v>
      </c>
      <c r="C695" s="473">
        <v>18.059999999999999</v>
      </c>
      <c r="D695" s="176" t="s">
        <v>1779</v>
      </c>
      <c r="E695" s="313" t="s">
        <v>1780</v>
      </c>
      <c r="F695" s="174">
        <v>38687</v>
      </c>
      <c r="G695" s="174"/>
      <c r="H695" s="176">
        <v>1</v>
      </c>
      <c r="I695" s="176">
        <v>6</v>
      </c>
      <c r="J695" s="900" t="s">
        <v>2755</v>
      </c>
      <c r="K695" s="164" t="s">
        <v>4738</v>
      </c>
      <c r="L695" s="164" t="s">
        <v>461</v>
      </c>
      <c r="M695" s="164"/>
      <c r="N695" s="164" t="s">
        <v>5664</v>
      </c>
      <c r="O695" s="164"/>
      <c r="P695" s="173" t="s">
        <v>5000</v>
      </c>
      <c r="Q695" s="164" t="s">
        <v>3947</v>
      </c>
      <c r="R695" s="177" t="s">
        <v>2723</v>
      </c>
      <c r="S695" s="354" t="s">
        <v>1778</v>
      </c>
      <c r="T695" s="173"/>
      <c r="U695" s="173"/>
      <c r="V695" s="173"/>
      <c r="W695" s="313" t="s">
        <v>1780</v>
      </c>
      <c r="X695" s="645" t="s">
        <v>12321</v>
      </c>
      <c r="Y695" s="354"/>
      <c r="Z695" s="176"/>
      <c r="AA695" s="176"/>
      <c r="AB695" s="32">
        <f t="shared" ca="1" si="11"/>
        <v>0.35865266016358277</v>
      </c>
      <c r="AC695" s="812"/>
      <c r="AD695" s="763"/>
      <c r="AE695" s="807"/>
      <c r="AF695" s="921">
        <f>IF(X695=X694,AF694,0)+IF(ISNUMBER(I695),IF(I695&lt;1,I695,I695*VLOOKUP(J695,Summary!$H$2:$I$9,2)),VLOOKUP(J695,Summary!$J$2:$K$9,2)*IF(ISNUMBER(H695),H695,1))</f>
        <v>0.79223379629629609</v>
      </c>
      <c r="AG695" s="289">
        <v>694</v>
      </c>
      <c r="AH695" s="94"/>
      <c r="AI695" s="94"/>
    </row>
    <row r="696" spans="1:35" s="29" customFormat="1" ht="12" customHeight="1" x14ac:dyDescent="0.25">
      <c r="A696" s="472">
        <v>8</v>
      </c>
      <c r="B696" s="472">
        <v>3</v>
      </c>
      <c r="C696" s="473">
        <v>5.01</v>
      </c>
      <c r="D696" s="176" t="s">
        <v>1781</v>
      </c>
      <c r="E696" s="313" t="s">
        <v>1782</v>
      </c>
      <c r="F696" s="174">
        <v>37681</v>
      </c>
      <c r="G696" s="174"/>
      <c r="H696" s="176">
        <v>1</v>
      </c>
      <c r="I696" s="176">
        <v>15</v>
      </c>
      <c r="J696" s="900" t="s">
        <v>2755</v>
      </c>
      <c r="K696" s="164" t="s">
        <v>4551</v>
      </c>
      <c r="L696" s="164" t="s">
        <v>461</v>
      </c>
      <c r="M696" s="164"/>
      <c r="N696" s="164" t="s">
        <v>4552</v>
      </c>
      <c r="O696" s="164"/>
      <c r="P696" s="173" t="s">
        <v>6556</v>
      </c>
      <c r="Q696" s="164" t="s">
        <v>3947</v>
      </c>
      <c r="R696" s="177" t="s">
        <v>2723</v>
      </c>
      <c r="S696" s="354" t="s">
        <v>1783</v>
      </c>
      <c r="T696" s="173"/>
      <c r="U696" s="173"/>
      <c r="V696" s="173"/>
      <c r="W696" s="313" t="s">
        <v>1782</v>
      </c>
      <c r="X696" s="645" t="s">
        <v>12321</v>
      </c>
      <c r="Y696" s="354"/>
      <c r="Z696" s="176"/>
      <c r="AA696" s="176"/>
      <c r="AB696" s="32">
        <f t="shared" ca="1" si="11"/>
        <v>0.86082948358367684</v>
      </c>
      <c r="AC696" s="812"/>
      <c r="AD696" s="763"/>
      <c r="AE696" s="807"/>
      <c r="AF696" s="921">
        <f>IF(X696=X695,AF695,0)+IF(ISNUMBER(I696),IF(I696&lt;1,I696,I696*VLOOKUP(J696,Summary!$H$2:$I$9,2)),VLOOKUP(J696,Summary!$J$2:$K$9,2)*IF(ISNUMBER(H696),H696,1))</f>
        <v>0.80265046296296272</v>
      </c>
      <c r="AG696" s="289">
        <v>695</v>
      </c>
      <c r="AH696" s="94"/>
      <c r="AI696" s="94"/>
    </row>
    <row r="697" spans="1:35" s="22" customFormat="1" ht="12" customHeight="1" x14ac:dyDescent="0.25">
      <c r="A697" s="466" t="s">
        <v>4220</v>
      </c>
      <c r="B697" s="466">
        <v>3</v>
      </c>
      <c r="C697" s="466">
        <v>59</v>
      </c>
      <c r="D697" s="424" t="s">
        <v>7016</v>
      </c>
      <c r="E697" s="319" t="s">
        <v>7017</v>
      </c>
      <c r="F697" s="198">
        <v>26075</v>
      </c>
      <c r="G697" s="198">
        <v>26103</v>
      </c>
      <c r="H697" s="199">
        <v>5</v>
      </c>
      <c r="I697" s="791">
        <f>TIME(0,25, 5)+TIME(0,24,20)+TIME(0,24,27)+TIME(0,24,25)+TIME(0,24, 4)</f>
        <v>8.4965277777777778E-2</v>
      </c>
      <c r="J697" s="904" t="s">
        <v>1588</v>
      </c>
      <c r="K697" s="200" t="s">
        <v>7019</v>
      </c>
      <c r="L697" s="200" t="s">
        <v>30</v>
      </c>
      <c r="M697" s="200"/>
      <c r="N697" s="200" t="s">
        <v>1088</v>
      </c>
      <c r="O697" s="200" t="s">
        <v>1884</v>
      </c>
      <c r="P697" s="197" t="s">
        <v>461</v>
      </c>
      <c r="Q697" s="200" t="s">
        <v>3946</v>
      </c>
      <c r="R697" s="201" t="s">
        <v>5280</v>
      </c>
      <c r="S697" s="390" t="s">
        <v>1778</v>
      </c>
      <c r="T697" s="197" t="s">
        <v>2597</v>
      </c>
      <c r="U697" s="197" t="s">
        <v>2600</v>
      </c>
      <c r="V697" s="197" t="s">
        <v>2601</v>
      </c>
      <c r="W697" s="318" t="s">
        <v>9313</v>
      </c>
      <c r="X697" s="650" t="s">
        <v>12321</v>
      </c>
      <c r="Y697" s="358" t="s">
        <v>6141</v>
      </c>
      <c r="Z697" s="253">
        <v>93</v>
      </c>
      <c r="AA697" s="253">
        <v>7</v>
      </c>
      <c r="AB697" s="35">
        <f t="shared" ca="1" si="11"/>
        <v>0.11631409241363022</v>
      </c>
      <c r="AC697" s="820"/>
      <c r="AD697" s="824" t="s">
        <v>14962</v>
      </c>
      <c r="AE697" s="944" t="s">
        <v>3234</v>
      </c>
      <c r="AF697" s="925">
        <f>IF(X697=X696,AF696,0)+IF(ISNUMBER(I697),IF(I697&lt;1,I697,I697*VLOOKUP(J697,Summary!$H$2:$I$9,2)),VLOOKUP(J697,Summary!$J$2:$K$9,2)*IF(ISNUMBER(H697),H697,1))</f>
        <v>0.88761574074074046</v>
      </c>
      <c r="AG697" s="293">
        <v>696</v>
      </c>
      <c r="AH697" s="94"/>
      <c r="AI697" s="94"/>
    </row>
    <row r="698" spans="1:35" s="22" customFormat="1" ht="12" customHeight="1" x14ac:dyDescent="0.25">
      <c r="A698" s="474"/>
      <c r="B698" s="475" t="s">
        <v>2650</v>
      </c>
      <c r="C698" s="475"/>
      <c r="D698" s="424"/>
      <c r="E698" s="319" t="s">
        <v>11130</v>
      </c>
      <c r="F698" s="199">
        <v>2016</v>
      </c>
      <c r="G698" s="198"/>
      <c r="H698" s="199">
        <v>6</v>
      </c>
      <c r="I698" s="791">
        <f>TIME(0,109,2)</f>
        <v>7.57175925925926E-2</v>
      </c>
      <c r="J698" s="904" t="s">
        <v>1588</v>
      </c>
      <c r="K698" s="200" t="s">
        <v>11131</v>
      </c>
      <c r="L698" s="200" t="s">
        <v>3365</v>
      </c>
      <c r="M698" s="200"/>
      <c r="N698" s="200"/>
      <c r="O698" s="200"/>
      <c r="P698" s="197" t="s">
        <v>461</v>
      </c>
      <c r="Q698" s="200" t="s">
        <v>602</v>
      </c>
      <c r="R698" s="201" t="s">
        <v>6989</v>
      </c>
      <c r="S698" s="390"/>
      <c r="T698" s="197"/>
      <c r="U698" s="197"/>
      <c r="V698" s="197"/>
      <c r="W698" s="319"/>
      <c r="X698" s="651" t="s">
        <v>12321</v>
      </c>
      <c r="Y698" s="358"/>
      <c r="Z698" s="253"/>
      <c r="AA698" s="253"/>
      <c r="AB698" s="35">
        <f t="shared" ca="1" si="11"/>
        <v>7.3349589059968023E-2</v>
      </c>
      <c r="AC698" s="820"/>
      <c r="AD698" s="821"/>
      <c r="AE698" s="944"/>
      <c r="AF698" s="925">
        <f>IF(X698=X697,AF697,0)+IF(ISNUMBER(I698),IF(I698&lt;1,I698,I698*VLOOKUP(J698,Summary!$H$2:$I$9,2)),VLOOKUP(J698,Summary!$J$2:$K$9,2)*IF(ISNUMBER(H698),H698,1))</f>
        <v>0.96333333333333304</v>
      </c>
      <c r="AG698" s="293">
        <v>697</v>
      </c>
      <c r="AH698" s="94"/>
      <c r="AI698" s="94"/>
    </row>
    <row r="699" spans="1:35" s="22" customFormat="1" ht="12" customHeight="1" x14ac:dyDescent="0.2">
      <c r="A699" s="411"/>
      <c r="B699" s="411" t="s">
        <v>2650</v>
      </c>
      <c r="C699" s="411">
        <v>0</v>
      </c>
      <c r="D699" s="185"/>
      <c r="E699" s="314" t="s">
        <v>14505</v>
      </c>
      <c r="F699" s="184">
        <v>43225</v>
      </c>
      <c r="G699" s="184"/>
      <c r="H699" s="185">
        <v>1</v>
      </c>
      <c r="I699" s="185">
        <v>10</v>
      </c>
      <c r="J699" s="901" t="s">
        <v>1796</v>
      </c>
      <c r="K699" s="163" t="s">
        <v>14506</v>
      </c>
      <c r="L699" s="163" t="s">
        <v>14507</v>
      </c>
      <c r="M699" s="163"/>
      <c r="N699" s="163" t="s">
        <v>14508</v>
      </c>
      <c r="O699" s="163"/>
      <c r="P699" s="182" t="s">
        <v>461</v>
      </c>
      <c r="Q699" s="163" t="s">
        <v>14509</v>
      </c>
      <c r="R699" s="186" t="s">
        <v>14510</v>
      </c>
      <c r="S699" s="355"/>
      <c r="T699" s="182"/>
      <c r="U699" s="182"/>
      <c r="V699" s="182"/>
      <c r="W699" s="314" t="s">
        <v>14505</v>
      </c>
      <c r="X699" s="646" t="s">
        <v>12321</v>
      </c>
      <c r="Y699" s="355"/>
      <c r="Z699" s="158"/>
      <c r="AA699" s="185"/>
      <c r="AB699" s="33">
        <f t="shared" ca="1" si="11"/>
        <v>0.96135438666383943</v>
      </c>
      <c r="AC699" s="813"/>
      <c r="AD699" s="211"/>
      <c r="AE699" s="941"/>
      <c r="AF699" s="922">
        <f>IF(X699=X698,AF698,0)+IF(ISNUMBER(I699),IF(I699&lt;1,I699,I699*VLOOKUP(J699,Summary!$H$2:$I$9,2)),VLOOKUP(J699,Summary!$J$2:$K$9,2)*IF(ISNUMBER(H699),H699,1))</f>
        <v>0.96680555555555525</v>
      </c>
      <c r="AG699" s="290">
        <v>698</v>
      </c>
      <c r="AH699" s="94"/>
      <c r="AI699" s="94"/>
    </row>
    <row r="700" spans="1:35" s="22" customFormat="1" ht="12" customHeight="1" x14ac:dyDescent="0.2">
      <c r="A700" s="411"/>
      <c r="B700" s="411" t="s">
        <v>2650</v>
      </c>
      <c r="C700" s="411">
        <v>18</v>
      </c>
      <c r="D700" s="185" t="s">
        <v>9967</v>
      </c>
      <c r="E700" s="314" t="s">
        <v>9950</v>
      </c>
      <c r="F700" s="183">
        <v>29618</v>
      </c>
      <c r="G700" s="184"/>
      <c r="H700" s="185">
        <v>1</v>
      </c>
      <c r="I700" s="185">
        <v>6</v>
      </c>
      <c r="J700" s="901" t="s">
        <v>1796</v>
      </c>
      <c r="K700" s="163" t="s">
        <v>7626</v>
      </c>
      <c r="L700" s="163" t="s">
        <v>9937</v>
      </c>
      <c r="M700" s="163" t="s">
        <v>9980</v>
      </c>
      <c r="N700" s="163" t="s">
        <v>6026</v>
      </c>
      <c r="O700" s="163"/>
      <c r="P700" s="182" t="s">
        <v>461</v>
      </c>
      <c r="Q700" s="163" t="s">
        <v>4062</v>
      </c>
      <c r="R700" s="186" t="s">
        <v>9922</v>
      </c>
      <c r="S700" s="355"/>
      <c r="T700" s="182"/>
      <c r="U700" s="182"/>
      <c r="V700" s="182"/>
      <c r="W700" s="314" t="s">
        <v>9950</v>
      </c>
      <c r="X700" s="646" t="s">
        <v>12321</v>
      </c>
      <c r="Y700" s="355"/>
      <c r="Z700" s="158"/>
      <c r="AA700" s="185"/>
      <c r="AB700" s="33">
        <f t="shared" ca="1" si="11"/>
        <v>0.54598214232578779</v>
      </c>
      <c r="AC700" s="813"/>
      <c r="AD700" s="211" t="s">
        <v>15033</v>
      </c>
      <c r="AE700" s="941"/>
      <c r="AF700" s="922">
        <f>IF(X700=X699,AF699,0)+IF(ISNUMBER(I700),IF(I700&lt;1,I700,I700*VLOOKUP(J700,Summary!$H$2:$I$9,2)),VLOOKUP(J700,Summary!$J$2:$K$9,2)*IF(ISNUMBER(H700),H700,1))</f>
        <v>0.96888888888888858</v>
      </c>
      <c r="AG700" s="290">
        <v>699</v>
      </c>
      <c r="AH700" s="94"/>
      <c r="AI700" s="94"/>
    </row>
    <row r="701" spans="1:35" s="22" customFormat="1" ht="12" customHeight="1" x14ac:dyDescent="0.25">
      <c r="A701" s="469">
        <v>8</v>
      </c>
      <c r="B701" s="469">
        <v>3</v>
      </c>
      <c r="C701" s="470">
        <v>1.1599999999999999</v>
      </c>
      <c r="D701" s="192" t="s">
        <v>1786</v>
      </c>
      <c r="E701" s="317" t="s">
        <v>471</v>
      </c>
      <c r="F701" s="191">
        <v>35855</v>
      </c>
      <c r="G701" s="191"/>
      <c r="H701" s="192">
        <v>1</v>
      </c>
      <c r="I701" s="753">
        <f>TIME(0,23,14)</f>
        <v>1.6134259259259261E-2</v>
      </c>
      <c r="J701" s="903" t="s">
        <v>2755</v>
      </c>
      <c r="K701" s="194" t="s">
        <v>6234</v>
      </c>
      <c r="L701" s="194" t="s">
        <v>461</v>
      </c>
      <c r="M701" s="194"/>
      <c r="N701" s="194" t="s">
        <v>6237</v>
      </c>
      <c r="O701" s="194"/>
      <c r="P701" s="190" t="s">
        <v>5042</v>
      </c>
      <c r="Q701" s="194" t="s">
        <v>3953</v>
      </c>
      <c r="R701" s="193" t="s">
        <v>2723</v>
      </c>
      <c r="S701" s="357"/>
      <c r="T701" s="190" t="s">
        <v>2597</v>
      </c>
      <c r="U701" s="190"/>
      <c r="V701" s="190"/>
      <c r="W701" s="317" t="s">
        <v>471</v>
      </c>
      <c r="X701" s="649" t="s">
        <v>12321</v>
      </c>
      <c r="Y701" s="357" t="s">
        <v>6868</v>
      </c>
      <c r="Z701" s="192">
        <v>999</v>
      </c>
      <c r="AA701" s="192"/>
      <c r="AB701" s="37">
        <f t="shared" ca="1" si="11"/>
        <v>3.4018996062780249E-2</v>
      </c>
      <c r="AC701" s="816"/>
      <c r="AD701" s="817"/>
      <c r="AE701" s="943"/>
      <c r="AF701" s="924">
        <f>IF(X701=X700,AF700,0)+IF(ISNUMBER(I701),IF(I701&lt;1,I701,I701*VLOOKUP(J701,Summary!$H$2:$I$9,2)),VLOOKUP(J701,Summary!$J$2:$K$9,2)*IF(ISNUMBER(H701),H701,1))</f>
        <v>0.98502314814814784</v>
      </c>
      <c r="AG701" s="292">
        <v>700</v>
      </c>
      <c r="AH701" s="94"/>
      <c r="AI701" s="94"/>
    </row>
    <row r="702" spans="1:35" s="22" customFormat="1" ht="12" customHeight="1" x14ac:dyDescent="0.25">
      <c r="A702" s="469">
        <v>8</v>
      </c>
      <c r="B702" s="469">
        <v>3</v>
      </c>
      <c r="C702" s="470">
        <v>1.06</v>
      </c>
      <c r="D702" s="192" t="s">
        <v>1784</v>
      </c>
      <c r="E702" s="317" t="s">
        <v>1785</v>
      </c>
      <c r="F702" s="191">
        <v>35855</v>
      </c>
      <c r="G702" s="191"/>
      <c r="H702" s="192">
        <v>1</v>
      </c>
      <c r="I702" s="753">
        <f>TIME(0,30,36)</f>
        <v>2.1250000000000002E-2</v>
      </c>
      <c r="J702" s="903" t="s">
        <v>2755</v>
      </c>
      <c r="K702" s="194" t="s">
        <v>176</v>
      </c>
      <c r="L702" s="194"/>
      <c r="M702" s="194"/>
      <c r="N702" s="194" t="s">
        <v>6237</v>
      </c>
      <c r="O702" s="194"/>
      <c r="P702" s="190" t="s">
        <v>5042</v>
      </c>
      <c r="Q702" s="194" t="s">
        <v>3953</v>
      </c>
      <c r="R702" s="193" t="s">
        <v>2723</v>
      </c>
      <c r="S702" s="357" t="s">
        <v>1778</v>
      </c>
      <c r="T702" s="190"/>
      <c r="U702" s="190"/>
      <c r="V702" s="190"/>
      <c r="W702" s="317" t="s">
        <v>1785</v>
      </c>
      <c r="X702" s="649" t="s">
        <v>12321</v>
      </c>
      <c r="Y702" s="357" t="s">
        <v>6868</v>
      </c>
      <c r="Z702" s="192">
        <v>999</v>
      </c>
      <c r="AA702" s="192"/>
      <c r="AB702" s="37">
        <f t="shared" ca="1" si="11"/>
        <v>0.38677761508630304</v>
      </c>
      <c r="AC702" s="816"/>
      <c r="AD702" s="817"/>
      <c r="AE702" s="943"/>
      <c r="AF702" s="924">
        <f>IF(X702=X701,AF701,0)+IF(ISNUMBER(I702),IF(I702&lt;1,I702,I702*VLOOKUP(J702,Summary!$H$2:$I$9,2)),VLOOKUP(J702,Summary!$J$2:$K$9,2)*IF(ISNUMBER(H702),H702,1))</f>
        <v>1.0062731481481479</v>
      </c>
      <c r="AG702" s="292">
        <v>701</v>
      </c>
      <c r="AH702" s="94"/>
      <c r="AI702" s="94"/>
    </row>
    <row r="703" spans="1:35" s="22" customFormat="1" ht="12" customHeight="1" x14ac:dyDescent="0.2">
      <c r="A703" s="465">
        <v>8</v>
      </c>
      <c r="B703" s="465">
        <v>3</v>
      </c>
      <c r="C703" s="477">
        <v>5.0999999999999996</v>
      </c>
      <c r="D703" s="407" t="s">
        <v>456</v>
      </c>
      <c r="E703" s="315" t="s">
        <v>457</v>
      </c>
      <c r="F703" s="169">
        <v>40634</v>
      </c>
      <c r="G703" s="170"/>
      <c r="H703" s="170">
        <v>2</v>
      </c>
      <c r="I703" s="746">
        <f>TIME(1,7,19)</f>
        <v>4.6747685185185184E-2</v>
      </c>
      <c r="J703" s="899" t="s">
        <v>4706</v>
      </c>
      <c r="K703" s="167" t="s">
        <v>2304</v>
      </c>
      <c r="L703" s="167" t="s">
        <v>5662</v>
      </c>
      <c r="M703" s="167" t="s">
        <v>8060</v>
      </c>
      <c r="N703" s="167"/>
      <c r="O703" s="167"/>
      <c r="P703" s="168" t="s">
        <v>9199</v>
      </c>
      <c r="Q703" s="167" t="s">
        <v>3947</v>
      </c>
      <c r="R703" s="172" t="s">
        <v>3153</v>
      </c>
      <c r="S703" s="388" t="s">
        <v>5811</v>
      </c>
      <c r="T703" s="168"/>
      <c r="U703" s="168"/>
      <c r="V703" s="168"/>
      <c r="W703" s="312" t="s">
        <v>11109</v>
      </c>
      <c r="X703" s="644" t="s">
        <v>12321</v>
      </c>
      <c r="Y703" s="352" t="s">
        <v>5643</v>
      </c>
      <c r="Z703" s="353">
        <v>228</v>
      </c>
      <c r="AA703" s="353">
        <v>6</v>
      </c>
      <c r="AB703" s="31">
        <f t="shared" ca="1" si="11"/>
        <v>3.1023811389336742E-2</v>
      </c>
      <c r="AC703" s="810"/>
      <c r="AD703" s="811" t="s">
        <v>16078</v>
      </c>
      <c r="AE703" s="940" t="s">
        <v>15082</v>
      </c>
      <c r="AF703" s="920">
        <f>IF(X703=X702,AF702,0)+IF(ISNUMBER(I703),IF(I703&lt;1,I703,I703*VLOOKUP(J703,Summary!$H$2:$I$9,2)),VLOOKUP(J703,Summary!$J$2:$K$9,2)*IF(ISNUMBER(H703),H703,1))</f>
        <v>1.0530208333333331</v>
      </c>
      <c r="AG703" s="287">
        <v>702</v>
      </c>
      <c r="AH703" s="94"/>
      <c r="AI703" s="94"/>
    </row>
    <row r="704" spans="1:35" s="22" customFormat="1" ht="12" customHeight="1" x14ac:dyDescent="0.2">
      <c r="A704" s="467">
        <v>8</v>
      </c>
      <c r="B704" s="467">
        <v>3</v>
      </c>
      <c r="C704" s="467"/>
      <c r="D704" s="185" t="s">
        <v>4225</v>
      </c>
      <c r="E704" s="314" t="s">
        <v>4308</v>
      </c>
      <c r="F704" s="184">
        <v>25984</v>
      </c>
      <c r="G704" s="184">
        <v>26012</v>
      </c>
      <c r="H704" s="185">
        <v>5</v>
      </c>
      <c r="I704" s="185">
        <v>10</v>
      </c>
      <c r="J704" s="901" t="s">
        <v>1796</v>
      </c>
      <c r="K704" s="163" t="s">
        <v>3548</v>
      </c>
      <c r="L704" s="163" t="s">
        <v>3545</v>
      </c>
      <c r="M704" s="163"/>
      <c r="N704" s="163"/>
      <c r="O704" s="163"/>
      <c r="P704" s="182" t="s">
        <v>461</v>
      </c>
      <c r="Q704" s="163" t="s">
        <v>3546</v>
      </c>
      <c r="R704" s="186" t="s">
        <v>4602</v>
      </c>
      <c r="S704" s="355"/>
      <c r="T704" s="182"/>
      <c r="U704" s="182"/>
      <c r="V704" s="182"/>
      <c r="W704" s="328"/>
      <c r="X704" s="660" t="s">
        <v>12321</v>
      </c>
      <c r="Y704" s="355"/>
      <c r="Z704" s="185"/>
      <c r="AA704" s="185"/>
      <c r="AB704" s="33">
        <f t="shared" ca="1" si="11"/>
        <v>0.6356390257637522</v>
      </c>
      <c r="AC704" s="813"/>
      <c r="AD704" s="211"/>
      <c r="AE704" s="875"/>
      <c r="AF704" s="922">
        <f>IF(X704=X703,AF703,0)+IF(ISNUMBER(I704),IF(I704&lt;1,I704,I704*VLOOKUP(J704,Summary!$H$2:$I$9,2)),VLOOKUP(J704,Summary!$J$2:$K$9,2)*IF(ISNUMBER(H704),H704,1))</f>
        <v>1.0564930555555554</v>
      </c>
      <c r="AG704" s="290">
        <v>703</v>
      </c>
      <c r="AH704" s="94"/>
      <c r="AI704" s="94"/>
    </row>
    <row r="705" spans="1:35" s="43" customFormat="1" ht="12" customHeight="1" x14ac:dyDescent="0.25">
      <c r="A705" s="467">
        <v>8</v>
      </c>
      <c r="B705" s="467">
        <v>3</v>
      </c>
      <c r="C705" s="467"/>
      <c r="D705" s="185" t="s">
        <v>4226</v>
      </c>
      <c r="E705" s="314" t="s">
        <v>4309</v>
      </c>
      <c r="F705" s="184">
        <v>26019</v>
      </c>
      <c r="G705" s="184">
        <v>26068</v>
      </c>
      <c r="H705" s="185">
        <v>8</v>
      </c>
      <c r="I705" s="185">
        <v>16</v>
      </c>
      <c r="J705" s="901" t="s">
        <v>1796</v>
      </c>
      <c r="K705" s="163" t="s">
        <v>3548</v>
      </c>
      <c r="L705" s="163" t="s">
        <v>3545</v>
      </c>
      <c r="M705" s="163"/>
      <c r="N705" s="163"/>
      <c r="O705" s="163"/>
      <c r="P705" s="182" t="s">
        <v>461</v>
      </c>
      <c r="Q705" s="163" t="s">
        <v>3546</v>
      </c>
      <c r="R705" s="186" t="s">
        <v>4602</v>
      </c>
      <c r="S705" s="355"/>
      <c r="T705" s="182"/>
      <c r="U705" s="182"/>
      <c r="V705" s="182"/>
      <c r="W705" s="328"/>
      <c r="X705" s="660" t="s">
        <v>12321</v>
      </c>
      <c r="Y705" s="355"/>
      <c r="Z705" s="185"/>
      <c r="AA705" s="185"/>
      <c r="AB705" s="33">
        <f t="shared" ca="1" si="11"/>
        <v>0.49838324798425393</v>
      </c>
      <c r="AC705" s="813"/>
      <c r="AD705" s="211"/>
      <c r="AE705" s="875"/>
      <c r="AF705" s="922">
        <f>IF(X705=X704,AF704,0)+IF(ISNUMBER(I705),IF(I705&lt;1,I705,I705*VLOOKUP(J705,Summary!$H$2:$I$9,2)),VLOOKUP(J705,Summary!$J$2:$K$9,2)*IF(ISNUMBER(H705),H705,1))</f>
        <v>1.0620486111111109</v>
      </c>
      <c r="AG705" s="290">
        <v>704</v>
      </c>
      <c r="AH705" s="94"/>
      <c r="AI705" s="94"/>
    </row>
    <row r="706" spans="1:35" s="22" customFormat="1" ht="12" customHeight="1" x14ac:dyDescent="0.25">
      <c r="A706" s="472">
        <v>8</v>
      </c>
      <c r="B706" s="472">
        <v>3</v>
      </c>
      <c r="C706" s="472"/>
      <c r="D706" s="176" t="s">
        <v>12103</v>
      </c>
      <c r="E706" s="313" t="s">
        <v>12104</v>
      </c>
      <c r="F706" s="224">
        <v>26115</v>
      </c>
      <c r="G706" s="175"/>
      <c r="H706" s="176" t="s">
        <v>461</v>
      </c>
      <c r="I706" s="176"/>
      <c r="J706" s="900" t="s">
        <v>2755</v>
      </c>
      <c r="K706" s="164" t="s">
        <v>5784</v>
      </c>
      <c r="L706" s="164"/>
      <c r="M706" s="164"/>
      <c r="N706" s="164"/>
      <c r="O706" s="164"/>
      <c r="P706" s="173" t="s">
        <v>461</v>
      </c>
      <c r="Q706" s="164" t="s">
        <v>3546</v>
      </c>
      <c r="R706" s="177" t="s">
        <v>4602</v>
      </c>
      <c r="S706" s="354"/>
      <c r="T706" s="173"/>
      <c r="U706" s="173"/>
      <c r="V706" s="173"/>
      <c r="W706" s="329" t="s">
        <v>12104</v>
      </c>
      <c r="X706" s="661" t="s">
        <v>12321</v>
      </c>
      <c r="Y706" s="354"/>
      <c r="Z706" s="176"/>
      <c r="AA706" s="176"/>
      <c r="AB706" s="32">
        <f t="shared" ref="AB706:AB769" ca="1" si="12">RAND()</f>
        <v>0.24726571430692801</v>
      </c>
      <c r="AC706" s="812"/>
      <c r="AD706" s="763"/>
      <c r="AE706" s="878"/>
      <c r="AF706" s="921">
        <f>IF(X706=X705,AF705,0)+IF(ISNUMBER(I706),IF(I706&lt;1,I706,I706*VLOOKUP(J706,Summary!$H$2:$I$9,2)),VLOOKUP(J706,Summary!$J$2:$K$9,2)*IF(ISNUMBER(H706),H706,1))</f>
        <v>1.0794097222222221</v>
      </c>
      <c r="AG706" s="289">
        <v>705</v>
      </c>
      <c r="AH706" s="94"/>
      <c r="AI706" s="94"/>
    </row>
    <row r="707" spans="1:35" s="22" customFormat="1" ht="12" customHeight="1" x14ac:dyDescent="0.25">
      <c r="A707" s="468">
        <v>8</v>
      </c>
      <c r="B707" s="468">
        <v>3</v>
      </c>
      <c r="C707" s="468">
        <v>78</v>
      </c>
      <c r="D707" s="417" t="s">
        <v>8373</v>
      </c>
      <c r="E707" s="316" t="s">
        <v>8374</v>
      </c>
      <c r="F707" s="195">
        <v>41429</v>
      </c>
      <c r="G707" s="188"/>
      <c r="H707" s="188" t="str">
        <f>IF(J707="Book","n/a","")</f>
        <v>n/a</v>
      </c>
      <c r="I707" s="188">
        <v>368</v>
      </c>
      <c r="J707" s="902" t="s">
        <v>6868</v>
      </c>
      <c r="K707" s="162" t="s">
        <v>8375</v>
      </c>
      <c r="L707" s="162" t="str">
        <f>IF(J707="Book","n/a","")</f>
        <v>n/a</v>
      </c>
      <c r="M707" s="162"/>
      <c r="N707" s="162"/>
      <c r="O707" s="162"/>
      <c r="P707" s="178" t="s">
        <v>8376</v>
      </c>
      <c r="Q707" s="162" t="s">
        <v>3953</v>
      </c>
      <c r="R707" s="189" t="s">
        <v>2717</v>
      </c>
      <c r="S707" s="366" t="s">
        <v>1778</v>
      </c>
      <c r="T707" s="178" t="s">
        <v>2597</v>
      </c>
      <c r="U707" s="178"/>
      <c r="V707" s="178" t="s">
        <v>2601</v>
      </c>
      <c r="W707" s="316" t="s">
        <v>8374</v>
      </c>
      <c r="X707" s="648" t="s">
        <v>12321</v>
      </c>
      <c r="Y707" s="356"/>
      <c r="Z707" s="272"/>
      <c r="AA707" s="272"/>
      <c r="AB707" s="34">
        <f t="shared" ca="1" si="12"/>
        <v>7.1754138042788407E-2</v>
      </c>
      <c r="AC707" s="814"/>
      <c r="AD707" s="815"/>
      <c r="AE707" s="942"/>
      <c r="AF707" s="923">
        <f>IF(X707=X706,AF706,0)+IF(ISNUMBER(I707),IF(I707&lt;1,I707,I707*VLOOKUP(J707,Summary!$H$2:$I$9,2)),VLOOKUP(J707,Summary!$J$2:$K$9,2)*IF(ISNUMBER(H707),H707,1))</f>
        <v>1.3349652777777776</v>
      </c>
      <c r="AG707" s="291">
        <v>706</v>
      </c>
      <c r="AH707" s="94"/>
      <c r="AI707" s="94"/>
    </row>
    <row r="708" spans="1:35" s="22" customFormat="1" ht="12" customHeight="1" x14ac:dyDescent="0.25">
      <c r="A708" s="469">
        <v>8</v>
      </c>
      <c r="B708" s="469">
        <v>3</v>
      </c>
      <c r="C708" s="470">
        <v>7.02</v>
      </c>
      <c r="D708" s="192" t="s">
        <v>11405</v>
      </c>
      <c r="E708" s="317" t="s">
        <v>11406</v>
      </c>
      <c r="F708" s="209">
        <v>42794</v>
      </c>
      <c r="G708" s="209"/>
      <c r="H708" s="192">
        <v>1</v>
      </c>
      <c r="I708" s="753">
        <f>TIME(0,36,55)</f>
        <v>2.5636574074074072E-2</v>
      </c>
      <c r="J708" s="903" t="s">
        <v>2755</v>
      </c>
      <c r="K708" s="194" t="s">
        <v>8131</v>
      </c>
      <c r="L708" s="194" t="s">
        <v>5662</v>
      </c>
      <c r="M708" s="194" t="s">
        <v>11403</v>
      </c>
      <c r="N708" s="194"/>
      <c r="O708" s="194"/>
      <c r="P708" s="190" t="s">
        <v>11407</v>
      </c>
      <c r="Q708" s="194" t="s">
        <v>3947</v>
      </c>
      <c r="R708" s="193" t="s">
        <v>2722</v>
      </c>
      <c r="S708" s="357" t="s">
        <v>1778</v>
      </c>
      <c r="T708" s="190"/>
      <c r="U708" s="190"/>
      <c r="V708" s="190"/>
      <c r="W708" s="317" t="s">
        <v>11406</v>
      </c>
      <c r="X708" s="649" t="s">
        <v>12321</v>
      </c>
      <c r="Y708" s="357" t="s">
        <v>5643</v>
      </c>
      <c r="Z708" s="192"/>
      <c r="AA708" s="192"/>
      <c r="AB708" s="37">
        <f t="shared" ca="1" si="12"/>
        <v>2.0622637775700947E-2</v>
      </c>
      <c r="AC708" s="816"/>
      <c r="AD708" s="817"/>
      <c r="AE708" s="943"/>
      <c r="AF708" s="924">
        <f>IF(X708=X707,AF707,0)+IF(ISNUMBER(I708),IF(I708&lt;1,I708,I708*VLOOKUP(J708,Summary!$H$2:$I$9,2)),VLOOKUP(J708,Summary!$J$2:$K$9,2)*IF(ISNUMBER(H708),H708,1))</f>
        <v>1.3606018518518517</v>
      </c>
      <c r="AG708" s="292">
        <v>707</v>
      </c>
      <c r="AH708" s="94"/>
      <c r="AI708" s="94"/>
    </row>
    <row r="709" spans="1:35" s="22" customFormat="1" ht="12" customHeight="1" x14ac:dyDescent="0.2">
      <c r="A709" s="465">
        <v>8</v>
      </c>
      <c r="B709" s="465">
        <v>3</v>
      </c>
      <c r="C709" s="477">
        <v>3.1</v>
      </c>
      <c r="D709" s="407" t="s">
        <v>7022</v>
      </c>
      <c r="E709" s="315" t="s">
        <v>7023</v>
      </c>
      <c r="F709" s="169">
        <v>39904</v>
      </c>
      <c r="G709" s="170"/>
      <c r="H709" s="170">
        <v>2</v>
      </c>
      <c r="I709" s="746">
        <f>TIME(1,10,28)</f>
        <v>4.8935185185185186E-2</v>
      </c>
      <c r="J709" s="899" t="s">
        <v>4706</v>
      </c>
      <c r="K709" s="167" t="s">
        <v>179</v>
      </c>
      <c r="L709" s="167" t="s">
        <v>7757</v>
      </c>
      <c r="M709" s="167" t="s">
        <v>8043</v>
      </c>
      <c r="N709" s="167"/>
      <c r="O709" s="167"/>
      <c r="P709" s="168" t="s">
        <v>9172</v>
      </c>
      <c r="Q709" s="167" t="s">
        <v>3947</v>
      </c>
      <c r="R709" s="172" t="s">
        <v>3153</v>
      </c>
      <c r="S709" s="388" t="s">
        <v>1778</v>
      </c>
      <c r="T709" s="168"/>
      <c r="U709" s="168"/>
      <c r="V709" s="168" t="s">
        <v>2601</v>
      </c>
      <c r="W709" s="312" t="s">
        <v>10347</v>
      </c>
      <c r="X709" s="644" t="s">
        <v>12321</v>
      </c>
      <c r="Y709" s="352" t="s">
        <v>5398</v>
      </c>
      <c r="Z709" s="353">
        <v>293</v>
      </c>
      <c r="AA709" s="353">
        <v>5.5</v>
      </c>
      <c r="AB709" s="31">
        <f t="shared" ca="1" si="12"/>
        <v>5.0532272276974988E-2</v>
      </c>
      <c r="AC709" s="810"/>
      <c r="AD709" s="811" t="s">
        <v>14964</v>
      </c>
      <c r="AE709" s="940"/>
      <c r="AF709" s="920">
        <f>IF(X709=X708,AF708,0)+IF(ISNUMBER(I709),IF(I709&lt;1,I709,I709*VLOOKUP(J709,Summary!$H$2:$I$9,2)),VLOOKUP(J709,Summary!$J$2:$K$9,2)*IF(ISNUMBER(H709),H709,1))</f>
        <v>1.4095370370370368</v>
      </c>
      <c r="AG709" s="287">
        <v>708</v>
      </c>
      <c r="AH709" s="94"/>
      <c r="AI709" s="94"/>
    </row>
    <row r="710" spans="1:35" s="22" customFormat="1" ht="12" customHeight="1" x14ac:dyDescent="0.25">
      <c r="A710" s="469">
        <v>8</v>
      </c>
      <c r="B710" s="469">
        <v>3</v>
      </c>
      <c r="C710" s="470">
        <v>4.07</v>
      </c>
      <c r="D710" s="192" t="s">
        <v>479</v>
      </c>
      <c r="E710" s="317" t="s">
        <v>4411</v>
      </c>
      <c r="F710" s="191">
        <v>37591</v>
      </c>
      <c r="G710" s="191"/>
      <c r="H710" s="192">
        <v>1</v>
      </c>
      <c r="I710" s="753">
        <f>TIME(0,29,12)</f>
        <v>2.0277777777777777E-2</v>
      </c>
      <c r="J710" s="903" t="s">
        <v>2755</v>
      </c>
      <c r="K710" s="194" t="s">
        <v>5664</v>
      </c>
      <c r="L710" s="194" t="s">
        <v>461</v>
      </c>
      <c r="M710" s="194" t="s">
        <v>13150</v>
      </c>
      <c r="N710" s="194" t="s">
        <v>4552</v>
      </c>
      <c r="O710" s="194"/>
      <c r="P710" s="190" t="s">
        <v>6556</v>
      </c>
      <c r="Q710" s="194" t="s">
        <v>3947</v>
      </c>
      <c r="R710" s="193" t="s">
        <v>2723</v>
      </c>
      <c r="S710" s="357" t="s">
        <v>1778</v>
      </c>
      <c r="T710" s="190"/>
      <c r="U710" s="190"/>
      <c r="V710" s="190"/>
      <c r="W710" s="317" t="s">
        <v>4411</v>
      </c>
      <c r="X710" s="649" t="s">
        <v>12321</v>
      </c>
      <c r="Y710" s="357" t="s">
        <v>5643</v>
      </c>
      <c r="Z710" s="192">
        <v>999</v>
      </c>
      <c r="AA710" s="192"/>
      <c r="AB710" s="37">
        <f t="shared" ca="1" si="12"/>
        <v>0.63422710976550889</v>
      </c>
      <c r="AC710" s="816"/>
      <c r="AD710" s="817"/>
      <c r="AE710" s="943"/>
      <c r="AF710" s="924">
        <f>IF(X710=X709,AF709,0)+IF(ISNUMBER(I710),IF(I710&lt;1,I710,I710*VLOOKUP(J710,Summary!$H$2:$I$9,2)),VLOOKUP(J710,Summary!$J$2:$K$9,2)*IF(ISNUMBER(H710),H710,1))</f>
        <v>1.4298148148148146</v>
      </c>
      <c r="AG710" s="292">
        <v>709</v>
      </c>
      <c r="AH710" s="94"/>
      <c r="AI710" s="94"/>
    </row>
    <row r="711" spans="1:35" s="29" customFormat="1" ht="12" customHeight="1" x14ac:dyDescent="0.25">
      <c r="A711" s="467">
        <v>8</v>
      </c>
      <c r="B711" s="467">
        <v>3</v>
      </c>
      <c r="C711" s="467"/>
      <c r="D711" s="185" t="s">
        <v>3544</v>
      </c>
      <c r="E711" s="314" t="s">
        <v>7737</v>
      </c>
      <c r="F711" s="184">
        <v>33543</v>
      </c>
      <c r="G711" s="184"/>
      <c r="H711" s="185">
        <v>1</v>
      </c>
      <c r="I711" s="185">
        <v>7</v>
      </c>
      <c r="J711" s="901" t="s">
        <v>1796</v>
      </c>
      <c r="K711" s="163" t="s">
        <v>4132</v>
      </c>
      <c r="L711" s="163" t="s">
        <v>3543</v>
      </c>
      <c r="M711" s="163"/>
      <c r="N711" s="163" t="s">
        <v>561</v>
      </c>
      <c r="O711" s="163"/>
      <c r="P711" s="182" t="s">
        <v>461</v>
      </c>
      <c r="Q711" s="163" t="s">
        <v>4062</v>
      </c>
      <c r="R711" s="186" t="s">
        <v>5266</v>
      </c>
      <c r="S711" s="355"/>
      <c r="T711" s="182" t="s">
        <v>2597</v>
      </c>
      <c r="U711" s="182"/>
      <c r="V711" s="182"/>
      <c r="W711" s="314" t="s">
        <v>7737</v>
      </c>
      <c r="X711" s="646" t="s">
        <v>12321</v>
      </c>
      <c r="Y711" s="355"/>
      <c r="Z711" s="185"/>
      <c r="AA711" s="185"/>
      <c r="AB711" s="33">
        <f t="shared" ca="1" si="12"/>
        <v>0.36993545524421689</v>
      </c>
      <c r="AC711" s="813"/>
      <c r="AD711" s="211" t="s">
        <v>14963</v>
      </c>
      <c r="AE711" s="941" t="s">
        <v>3234</v>
      </c>
      <c r="AF711" s="922">
        <f>IF(X711=X710,AF710,0)+IF(ISNUMBER(I711),IF(I711&lt;1,I711,I711*VLOOKUP(J711,Summary!$H$2:$I$9,2)),VLOOKUP(J711,Summary!$J$2:$K$9,2)*IF(ISNUMBER(H711),H711,1))</f>
        <v>1.4322453703703701</v>
      </c>
      <c r="AG711" s="290">
        <v>710</v>
      </c>
      <c r="AH711" s="94"/>
      <c r="AI711" s="94"/>
    </row>
    <row r="712" spans="1:35" s="22" customFormat="1" ht="12" customHeight="1" x14ac:dyDescent="0.25">
      <c r="A712" s="468">
        <v>8</v>
      </c>
      <c r="B712" s="468">
        <v>3</v>
      </c>
      <c r="C712" s="468" t="s">
        <v>3365</v>
      </c>
      <c r="D712" s="417" t="s">
        <v>7031</v>
      </c>
      <c r="E712" s="316" t="s">
        <v>379</v>
      </c>
      <c r="F712" s="187">
        <v>35156</v>
      </c>
      <c r="G712" s="188"/>
      <c r="H712" s="188" t="str">
        <f>IF(J712="Book","n/a","")</f>
        <v>n/a</v>
      </c>
      <c r="I712" s="188">
        <v>279</v>
      </c>
      <c r="J712" s="902" t="s">
        <v>6868</v>
      </c>
      <c r="K712" s="162" t="s">
        <v>1746</v>
      </c>
      <c r="L712" s="162" t="str">
        <f>IF(J712="Book","n/a","")</f>
        <v>n/a</v>
      </c>
      <c r="M712" s="162"/>
      <c r="N712" s="162"/>
      <c r="O712" s="162"/>
      <c r="P712" s="178" t="s">
        <v>8618</v>
      </c>
      <c r="Q712" s="162" t="s">
        <v>601</v>
      </c>
      <c r="R712" s="189" t="s">
        <v>2715</v>
      </c>
      <c r="S712" s="366"/>
      <c r="T712" s="178"/>
      <c r="U712" s="178"/>
      <c r="V712" s="178"/>
      <c r="W712" s="316" t="s">
        <v>379</v>
      </c>
      <c r="X712" s="648" t="s">
        <v>12321</v>
      </c>
      <c r="Y712" s="356" t="s">
        <v>4707</v>
      </c>
      <c r="Z712" s="272">
        <v>84</v>
      </c>
      <c r="AA712" s="272">
        <v>6</v>
      </c>
      <c r="AB712" s="34">
        <f t="shared" ca="1" si="12"/>
        <v>0.10014073432702553</v>
      </c>
      <c r="AC712" s="814"/>
      <c r="AD712" s="815" t="s">
        <v>16534</v>
      </c>
      <c r="AE712" s="942" t="s">
        <v>3234</v>
      </c>
      <c r="AF712" s="923">
        <f>IF(X712=X711,AF711,0)+IF(ISNUMBER(I712),IF(I712&lt;1,I712,I712*VLOOKUP(J712,Summary!$H$2:$I$9,2)),VLOOKUP(J712,Summary!$J$2:$K$9,2)*IF(ISNUMBER(H712),H712,1))</f>
        <v>1.6259953703703702</v>
      </c>
      <c r="AG712" s="291">
        <v>711</v>
      </c>
      <c r="AH712" s="94"/>
      <c r="AI712" s="94"/>
    </row>
    <row r="713" spans="1:35" s="22" customFormat="1" ht="12" customHeight="1" x14ac:dyDescent="0.2">
      <c r="A713" s="465">
        <v>8</v>
      </c>
      <c r="B713" s="465">
        <v>3</v>
      </c>
      <c r="C713" s="471">
        <v>3.03</v>
      </c>
      <c r="D713" s="407" t="s">
        <v>3138</v>
      </c>
      <c r="E713" s="315" t="s">
        <v>7021</v>
      </c>
      <c r="F713" s="196">
        <v>39721</v>
      </c>
      <c r="G713" s="170"/>
      <c r="H713" s="170">
        <v>2</v>
      </c>
      <c r="I713" s="746">
        <f>TIME(1,13,44)</f>
        <v>5.1203703703703703E-2</v>
      </c>
      <c r="J713" s="899" t="s">
        <v>4706</v>
      </c>
      <c r="K713" s="167" t="s">
        <v>941</v>
      </c>
      <c r="L713" s="167" t="s">
        <v>5662</v>
      </c>
      <c r="M713" s="167" t="s">
        <v>8036</v>
      </c>
      <c r="N713" s="167"/>
      <c r="O713" s="167"/>
      <c r="P713" s="168" t="s">
        <v>9166</v>
      </c>
      <c r="Q713" s="167" t="s">
        <v>3947</v>
      </c>
      <c r="R713" s="172" t="s">
        <v>3153</v>
      </c>
      <c r="S713" s="388" t="s">
        <v>1778</v>
      </c>
      <c r="T713" s="168" t="s">
        <v>2597</v>
      </c>
      <c r="U713" s="168" t="s">
        <v>2600</v>
      </c>
      <c r="V713" s="168"/>
      <c r="W713" s="312" t="s">
        <v>11132</v>
      </c>
      <c r="X713" s="644" t="s">
        <v>12321</v>
      </c>
      <c r="Y713" s="352" t="s">
        <v>5398</v>
      </c>
      <c r="Z713" s="353">
        <v>532</v>
      </c>
      <c r="AA713" s="353">
        <v>4</v>
      </c>
      <c r="AB713" s="31">
        <f t="shared" ca="1" si="12"/>
        <v>0.86660118843739886</v>
      </c>
      <c r="AC713" s="810"/>
      <c r="AD713" s="811" t="s">
        <v>14965</v>
      </c>
      <c r="AE713" s="940" t="s">
        <v>3234</v>
      </c>
      <c r="AF713" s="920">
        <f>IF(X713=X712,AF712,0)+IF(ISNUMBER(I713),IF(I713&lt;1,I713,I713*VLOOKUP(J713,Summary!$H$2:$I$9,2)),VLOOKUP(J713,Summary!$J$2:$K$9,2)*IF(ISNUMBER(H713),H713,1))</f>
        <v>1.6771990740740739</v>
      </c>
      <c r="AG713" s="287">
        <v>712</v>
      </c>
      <c r="AH713" s="94"/>
      <c r="AI713" s="94"/>
    </row>
    <row r="714" spans="1:35" s="22" customFormat="1" ht="12" customHeight="1" x14ac:dyDescent="0.2">
      <c r="A714" s="467">
        <v>8</v>
      </c>
      <c r="B714" s="467">
        <v>3</v>
      </c>
      <c r="C714" s="467">
        <v>2.2200000000000002</v>
      </c>
      <c r="D714" s="428" t="s">
        <v>6574</v>
      </c>
      <c r="E714" s="325" t="s">
        <v>6575</v>
      </c>
      <c r="F714" s="183">
        <v>39722</v>
      </c>
      <c r="G714" s="183"/>
      <c r="H714" s="185">
        <v>1</v>
      </c>
      <c r="I714" s="185">
        <v>6</v>
      </c>
      <c r="J714" s="901" t="s">
        <v>1796</v>
      </c>
      <c r="K714" s="163" t="s">
        <v>3303</v>
      </c>
      <c r="L714" s="163" t="s">
        <v>5723</v>
      </c>
      <c r="M714" s="158" t="s">
        <v>6576</v>
      </c>
      <c r="N714" s="158" t="s">
        <v>6573</v>
      </c>
      <c r="O714" s="158"/>
      <c r="P714" s="182" t="s">
        <v>461</v>
      </c>
      <c r="Q714" s="158" t="s">
        <v>5719</v>
      </c>
      <c r="R714" s="207" t="s">
        <v>5718</v>
      </c>
      <c r="S714" s="355" t="s">
        <v>1778</v>
      </c>
      <c r="T714" s="182" t="s">
        <v>2597</v>
      </c>
      <c r="U714" s="182"/>
      <c r="V714" s="182"/>
      <c r="W714" s="321"/>
      <c r="X714" s="653" t="s">
        <v>12321</v>
      </c>
      <c r="Y714" s="355" t="s">
        <v>6000</v>
      </c>
      <c r="Z714" s="362">
        <v>999</v>
      </c>
      <c r="AA714" s="362"/>
      <c r="AB714" s="33">
        <f t="shared" ca="1" si="12"/>
        <v>0.72318404119317337</v>
      </c>
      <c r="AC714" s="813"/>
      <c r="AD714" s="211"/>
      <c r="AE714" s="949"/>
      <c r="AF714" s="922">
        <f>IF(X714=X713,AF713,0)+IF(ISNUMBER(I714),IF(I714&lt;1,I714,I714*VLOOKUP(J714,Summary!$H$2:$I$9,2)),VLOOKUP(J714,Summary!$J$2:$K$9,2)*IF(ISNUMBER(H714),H714,1))</f>
        <v>1.6792824074074073</v>
      </c>
      <c r="AG714" s="295">
        <v>713</v>
      </c>
      <c r="AH714" s="94"/>
      <c r="AI714" s="94"/>
    </row>
    <row r="715" spans="1:35" s="22" customFormat="1" ht="12" customHeight="1" x14ac:dyDescent="0.25">
      <c r="A715" s="466" t="s">
        <v>7020</v>
      </c>
      <c r="B715" s="466">
        <v>3</v>
      </c>
      <c r="C715" s="466">
        <v>60</v>
      </c>
      <c r="D715" s="424" t="s">
        <v>7024</v>
      </c>
      <c r="E715" s="319" t="s">
        <v>7025</v>
      </c>
      <c r="F715" s="198">
        <v>26299</v>
      </c>
      <c r="G715" s="198">
        <v>26320</v>
      </c>
      <c r="H715" s="199">
        <v>4</v>
      </c>
      <c r="I715" s="791">
        <f>TIME(0,23,36)+TIME(0,23,52)+TIME(0,24,18)+TIME(0,24,17)</f>
        <v>6.6701388888888893E-2</v>
      </c>
      <c r="J715" s="904" t="s">
        <v>1588</v>
      </c>
      <c r="K715" s="200" t="s">
        <v>4453</v>
      </c>
      <c r="L715" s="200" t="s">
        <v>7026</v>
      </c>
      <c r="M715" s="200"/>
      <c r="N715" s="200" t="s">
        <v>1088</v>
      </c>
      <c r="O715" s="200" t="s">
        <v>1884</v>
      </c>
      <c r="P715" s="197" t="s">
        <v>461</v>
      </c>
      <c r="Q715" s="200" t="s">
        <v>3946</v>
      </c>
      <c r="R715" s="201" t="s">
        <v>5280</v>
      </c>
      <c r="S715" s="390" t="s">
        <v>1778</v>
      </c>
      <c r="T715" s="197" t="s">
        <v>2597</v>
      </c>
      <c r="U715" s="197" t="s">
        <v>2600</v>
      </c>
      <c r="V715" s="197" t="s">
        <v>2601</v>
      </c>
      <c r="W715" s="318" t="s">
        <v>8683</v>
      </c>
      <c r="X715" s="650" t="s">
        <v>12322</v>
      </c>
      <c r="Y715" s="358" t="s">
        <v>6141</v>
      </c>
      <c r="Z715" s="253">
        <v>151</v>
      </c>
      <c r="AA715" s="253">
        <v>5.5</v>
      </c>
      <c r="AB715" s="35">
        <f t="shared" ca="1" si="12"/>
        <v>0.49734601108804022</v>
      </c>
      <c r="AC715" s="820"/>
      <c r="AD715" s="821" t="s">
        <v>16135</v>
      </c>
      <c r="AE715" s="944" t="s">
        <v>16136</v>
      </c>
      <c r="AF715" s="925">
        <f>IF(X715=X714,AF714,0)+IF(ISNUMBER(I715),IF(I715&lt;1,I715,I715*VLOOKUP(J715,Summary!$H$2:$I$9,2)),VLOOKUP(J715,Summary!$J$2:$K$9,2)*IF(ISNUMBER(H715),H715,1))</f>
        <v>6.6701388888888893E-2</v>
      </c>
      <c r="AG715" s="293">
        <v>714</v>
      </c>
      <c r="AH715" s="94"/>
      <c r="AI715" s="94"/>
    </row>
    <row r="716" spans="1:35" s="22" customFormat="1" ht="12" customHeight="1" x14ac:dyDescent="0.25">
      <c r="A716" s="408">
        <v>9</v>
      </c>
      <c r="B716" s="408" t="s">
        <v>2650</v>
      </c>
      <c r="C716" s="408">
        <v>27</v>
      </c>
      <c r="D716" s="176" t="s">
        <v>5107</v>
      </c>
      <c r="E716" s="313" t="s">
        <v>5105</v>
      </c>
      <c r="F716" s="175">
        <v>34269</v>
      </c>
      <c r="G716" s="174"/>
      <c r="H716" s="176">
        <v>1</v>
      </c>
      <c r="I716" s="176">
        <v>1</v>
      </c>
      <c r="J716" s="900" t="s">
        <v>2755</v>
      </c>
      <c r="K716" s="164" t="s">
        <v>5106</v>
      </c>
      <c r="L716" s="164" t="s">
        <v>1274</v>
      </c>
      <c r="M716" s="164"/>
      <c r="N716" s="164" t="s">
        <v>7375</v>
      </c>
      <c r="O716" s="164"/>
      <c r="P716" s="173" t="s">
        <v>461</v>
      </c>
      <c r="Q716" s="164" t="s">
        <v>4062</v>
      </c>
      <c r="R716" s="177" t="s">
        <v>4599</v>
      </c>
      <c r="S716" s="354"/>
      <c r="T716" s="173"/>
      <c r="U716" s="173"/>
      <c r="V716" s="173" t="s">
        <v>2601</v>
      </c>
      <c r="W716" s="313" t="s">
        <v>5105</v>
      </c>
      <c r="X716" s="645" t="s">
        <v>12322</v>
      </c>
      <c r="Y716" s="354"/>
      <c r="Z716" s="176"/>
      <c r="AA716" s="176"/>
      <c r="AB716" s="32">
        <f t="shared" ca="1" si="12"/>
        <v>0.33493721281942668</v>
      </c>
      <c r="AC716" s="812"/>
      <c r="AD716" s="763"/>
      <c r="AE716" s="807"/>
      <c r="AF716" s="921">
        <f>IF(X716=X715,AF715,0)+IF(ISNUMBER(I716),IF(I716&lt;1,I716,I716*VLOOKUP(J716,Summary!$H$2:$I$9,2)),VLOOKUP(J716,Summary!$J$2:$K$9,2)*IF(ISNUMBER(H716),H716,1))</f>
        <v>6.7395833333333335E-2</v>
      </c>
      <c r="AG716" s="289">
        <v>715</v>
      </c>
      <c r="AH716" s="94"/>
      <c r="AI716" s="94"/>
    </row>
    <row r="717" spans="1:35" s="22" customFormat="1" ht="12" customHeight="1" x14ac:dyDescent="0.25">
      <c r="A717" s="408"/>
      <c r="B717" s="408" t="s">
        <v>2650</v>
      </c>
      <c r="C717" s="408">
        <v>4</v>
      </c>
      <c r="D717" s="176" t="s">
        <v>4158</v>
      </c>
      <c r="E717" s="313" t="s">
        <v>4159</v>
      </c>
      <c r="F717" s="175">
        <v>33310</v>
      </c>
      <c r="G717" s="175"/>
      <c r="H717" s="176">
        <v>1</v>
      </c>
      <c r="I717" s="176">
        <v>1</v>
      </c>
      <c r="J717" s="900" t="s">
        <v>2755</v>
      </c>
      <c r="K717" s="164" t="s">
        <v>4160</v>
      </c>
      <c r="L717" s="164" t="s">
        <v>4161</v>
      </c>
      <c r="M717" s="164"/>
      <c r="N717" s="164" t="s">
        <v>561</v>
      </c>
      <c r="O717" s="164"/>
      <c r="P717" s="173" t="s">
        <v>461</v>
      </c>
      <c r="Q717" s="164" t="s">
        <v>4062</v>
      </c>
      <c r="R717" s="177" t="s">
        <v>4599</v>
      </c>
      <c r="S717" s="354"/>
      <c r="T717" s="173"/>
      <c r="U717" s="173"/>
      <c r="V717" s="173"/>
      <c r="W717" s="313" t="s">
        <v>4159</v>
      </c>
      <c r="X717" s="645" t="s">
        <v>12322</v>
      </c>
      <c r="Y717" s="354"/>
      <c r="Z717" s="176"/>
      <c r="AA717" s="176"/>
      <c r="AB717" s="32">
        <f t="shared" ca="1" si="12"/>
        <v>0.82588633341057516</v>
      </c>
      <c r="AC717" s="812"/>
      <c r="AD717" s="763"/>
      <c r="AE717" s="807"/>
      <c r="AF717" s="921">
        <f>IF(X717=X716,AF716,0)+IF(ISNUMBER(I717),IF(I717&lt;1,I717,I717*VLOOKUP(J717,Summary!$H$2:$I$9,2)),VLOOKUP(J717,Summary!$J$2:$K$9,2)*IF(ISNUMBER(H717),H717,1))</f>
        <v>6.8090277777777777E-2</v>
      </c>
      <c r="AG717" s="289">
        <v>716</v>
      </c>
      <c r="AH717" s="94"/>
      <c r="AI717" s="94"/>
    </row>
    <row r="718" spans="1:35" s="22" customFormat="1" ht="12" customHeight="1" x14ac:dyDescent="0.2">
      <c r="A718" s="411"/>
      <c r="B718" s="411" t="s">
        <v>2650</v>
      </c>
      <c r="C718" s="411">
        <v>6</v>
      </c>
      <c r="D718" s="185" t="s">
        <v>9934</v>
      </c>
      <c r="E718" s="314" t="s">
        <v>9933</v>
      </c>
      <c r="F718" s="184">
        <v>29229</v>
      </c>
      <c r="G718" s="184">
        <v>29236</v>
      </c>
      <c r="H718" s="185">
        <v>2</v>
      </c>
      <c r="I718" s="185">
        <v>8</v>
      </c>
      <c r="J718" s="901" t="s">
        <v>1796</v>
      </c>
      <c r="K718" s="163" t="s">
        <v>6031</v>
      </c>
      <c r="L718" s="163" t="s">
        <v>2431</v>
      </c>
      <c r="M718" s="163" t="s">
        <v>6043</v>
      </c>
      <c r="N718" s="163" t="s">
        <v>6026</v>
      </c>
      <c r="O718" s="163"/>
      <c r="P718" s="182" t="s">
        <v>461</v>
      </c>
      <c r="Q718" s="163" t="s">
        <v>4062</v>
      </c>
      <c r="R718" s="186" t="s">
        <v>9922</v>
      </c>
      <c r="S718" s="355"/>
      <c r="T718" s="182"/>
      <c r="U718" s="182"/>
      <c r="V718" s="182"/>
      <c r="W718" s="314"/>
      <c r="X718" s="646" t="s">
        <v>12322</v>
      </c>
      <c r="Y718" s="355"/>
      <c r="Z718" s="158"/>
      <c r="AA718" s="185"/>
      <c r="AB718" s="33">
        <f t="shared" ca="1" si="12"/>
        <v>0.48718379846728233</v>
      </c>
      <c r="AC718" s="813"/>
      <c r="AD718" s="211" t="s">
        <v>16308</v>
      </c>
      <c r="AE718" s="941" t="s">
        <v>12543</v>
      </c>
      <c r="AF718" s="922">
        <f>IF(X718=X717,AF717,0)+IF(ISNUMBER(I718),IF(I718&lt;1,I718,I718*VLOOKUP(J718,Summary!$H$2:$I$9,2)),VLOOKUP(J718,Summary!$J$2:$K$9,2)*IF(ISNUMBER(H718),H718,1))</f>
        <v>7.0868055555555559E-2</v>
      </c>
      <c r="AG718" s="290">
        <v>717</v>
      </c>
      <c r="AH718" s="94"/>
      <c r="AI718" s="94"/>
    </row>
    <row r="719" spans="1:35" s="22" customFormat="1" ht="12" customHeight="1" x14ac:dyDescent="0.25">
      <c r="A719" s="478"/>
      <c r="B719" s="478" t="s">
        <v>2650</v>
      </c>
      <c r="C719" s="478">
        <v>15</v>
      </c>
      <c r="D719" s="192" t="s">
        <v>13434</v>
      </c>
      <c r="E719" s="317" t="s">
        <v>13435</v>
      </c>
      <c r="F719" s="209">
        <v>42278</v>
      </c>
      <c r="G719" s="209"/>
      <c r="H719" s="192">
        <v>1</v>
      </c>
      <c r="I719" s="192"/>
      <c r="J719" s="903" t="s">
        <v>2755</v>
      </c>
      <c r="K719" s="194" t="s">
        <v>543</v>
      </c>
      <c r="L719" s="194" t="s">
        <v>13401</v>
      </c>
      <c r="M719" s="194" t="s">
        <v>13436</v>
      </c>
      <c r="N719" s="194"/>
      <c r="O719" s="194"/>
      <c r="P719" s="190" t="s">
        <v>13331</v>
      </c>
      <c r="Q719" s="194" t="s">
        <v>3953</v>
      </c>
      <c r="R719" s="193" t="s">
        <v>11447</v>
      </c>
      <c r="S719" s="357"/>
      <c r="T719" s="190"/>
      <c r="U719" s="190"/>
      <c r="V719" s="190"/>
      <c r="W719" s="317" t="s">
        <v>13435</v>
      </c>
      <c r="X719" s="662" t="s">
        <v>12322</v>
      </c>
      <c r="Y719" s="357"/>
      <c r="Z719" s="192"/>
      <c r="AA719" s="192"/>
      <c r="AB719" s="37">
        <f t="shared" ca="1" si="12"/>
        <v>0.50796049167820956</v>
      </c>
      <c r="AC719" s="816"/>
      <c r="AD719" s="817"/>
      <c r="AE719" s="943"/>
      <c r="AF719" s="924">
        <f>IF(X719=X718,AF718,0)+IF(ISNUMBER(I719),IF(I719&lt;1,I719,I719*VLOOKUP(J719,Summary!$H$2:$I$9,2)),VLOOKUP(J719,Summary!$J$2:$K$9,2)*IF(ISNUMBER(H719),H719,1))</f>
        <v>8.8229166666666664E-2</v>
      </c>
      <c r="AG719" s="292">
        <v>718</v>
      </c>
      <c r="AH719" s="94"/>
      <c r="AI719" s="94"/>
    </row>
    <row r="720" spans="1:35" s="2" customFormat="1" ht="12" customHeight="1" x14ac:dyDescent="0.25">
      <c r="A720" s="466" t="s">
        <v>7020</v>
      </c>
      <c r="B720" s="466">
        <v>3</v>
      </c>
      <c r="C720" s="466">
        <v>61</v>
      </c>
      <c r="D720" s="424" t="s">
        <v>7028</v>
      </c>
      <c r="E720" s="319" t="s">
        <v>7029</v>
      </c>
      <c r="F720" s="198">
        <v>26327</v>
      </c>
      <c r="G720" s="198">
        <v>26348</v>
      </c>
      <c r="H720" s="199">
        <v>4</v>
      </c>
      <c r="I720" s="791">
        <f>TIME(0,24,32)+TIME(0,24,33)+TIME(0,24,21)+TIME(0,24,16)</f>
        <v>6.7847222222222225E-2</v>
      </c>
      <c r="J720" s="904" t="s">
        <v>1588</v>
      </c>
      <c r="K720" s="200" t="s">
        <v>5434</v>
      </c>
      <c r="L720" s="200" t="s">
        <v>7030</v>
      </c>
      <c r="M720" s="200"/>
      <c r="N720" s="200" t="s">
        <v>1088</v>
      </c>
      <c r="O720" s="200" t="s">
        <v>1884</v>
      </c>
      <c r="P720" s="197" t="s">
        <v>461</v>
      </c>
      <c r="Q720" s="200" t="s">
        <v>3946</v>
      </c>
      <c r="R720" s="201" t="s">
        <v>5280</v>
      </c>
      <c r="S720" s="390" t="s">
        <v>1778</v>
      </c>
      <c r="T720" s="197"/>
      <c r="U720" s="197"/>
      <c r="V720" s="197"/>
      <c r="W720" s="318" t="s">
        <v>8684</v>
      </c>
      <c r="X720" s="650" t="s">
        <v>12322</v>
      </c>
      <c r="Y720" s="358" t="s">
        <v>6141</v>
      </c>
      <c r="Z720" s="253">
        <v>55</v>
      </c>
      <c r="AA720" s="253">
        <v>8</v>
      </c>
      <c r="AB720" s="35">
        <f t="shared" ca="1" si="12"/>
        <v>0.6127649701081791</v>
      </c>
      <c r="AC720" s="820"/>
      <c r="AD720" s="821" t="s">
        <v>16381</v>
      </c>
      <c r="AE720" s="944" t="s">
        <v>15062</v>
      </c>
      <c r="AF720" s="925">
        <f>IF(X720=X719,AF719,0)+IF(ISNUMBER(I720),IF(I720&lt;1,I720,I720*VLOOKUP(J720,Summary!$H$2:$I$9,2)),VLOOKUP(J720,Summary!$J$2:$K$9,2)*IF(ISNUMBER(H720),H720,1))</f>
        <v>0.15607638888888889</v>
      </c>
      <c r="AG720" s="293">
        <v>719</v>
      </c>
      <c r="AH720" s="94"/>
      <c r="AI720" s="94"/>
    </row>
    <row r="721" spans="1:35" s="43" customFormat="1" ht="12" customHeight="1" x14ac:dyDescent="0.25">
      <c r="A721" s="468" t="s">
        <v>7020</v>
      </c>
      <c r="B721" s="468">
        <v>3</v>
      </c>
      <c r="C721" s="468">
        <v>7</v>
      </c>
      <c r="D721" s="417" t="s">
        <v>2881</v>
      </c>
      <c r="E721" s="316" t="s">
        <v>7027</v>
      </c>
      <c r="F721" s="195">
        <v>35800</v>
      </c>
      <c r="G721" s="188"/>
      <c r="H721" s="188" t="str">
        <f>IF(J721="Book","n/a","")</f>
        <v>n/a</v>
      </c>
      <c r="I721" s="188">
        <v>288</v>
      </c>
      <c r="J721" s="902" t="s">
        <v>6868</v>
      </c>
      <c r="K721" s="162" t="s">
        <v>6234</v>
      </c>
      <c r="L721" s="162" t="str">
        <f>IF(J721="Book","n/a","")</f>
        <v>n/a</v>
      </c>
      <c r="M721" s="162"/>
      <c r="N721" s="162"/>
      <c r="O721" s="162"/>
      <c r="P721" s="178" t="s">
        <v>8932</v>
      </c>
      <c r="Q721" s="162" t="s">
        <v>3953</v>
      </c>
      <c r="R721" s="189" t="s">
        <v>2717</v>
      </c>
      <c r="S721" s="366" t="s">
        <v>1778</v>
      </c>
      <c r="T721" s="178"/>
      <c r="U721" s="178"/>
      <c r="V721" s="178"/>
      <c r="W721" s="316" t="s">
        <v>7027</v>
      </c>
      <c r="X721" s="648" t="s">
        <v>12322</v>
      </c>
      <c r="Y721" s="356"/>
      <c r="Z721" s="272">
        <v>135</v>
      </c>
      <c r="AA721" s="272">
        <v>4.5</v>
      </c>
      <c r="AB721" s="34">
        <f t="shared" ca="1" si="12"/>
        <v>0.9263461699671276</v>
      </c>
      <c r="AC721" s="814"/>
      <c r="AD721" s="815"/>
      <c r="AE721" s="942"/>
      <c r="AF721" s="923">
        <f>IF(X721=X720,AF720,0)+IF(ISNUMBER(I721),IF(I721&lt;1,I721,I721*VLOOKUP(J721,Summary!$H$2:$I$9,2)),VLOOKUP(J721,Summary!$J$2:$K$9,2)*IF(ISNUMBER(H721),H721,1))</f>
        <v>0.35607638888888893</v>
      </c>
      <c r="AG721" s="291">
        <v>720</v>
      </c>
      <c r="AH721" s="94"/>
      <c r="AI721" s="94"/>
    </row>
    <row r="722" spans="1:35" s="22" customFormat="1" ht="12" customHeight="1" x14ac:dyDescent="0.25">
      <c r="A722" s="472">
        <v>9</v>
      </c>
      <c r="B722" s="472">
        <v>3</v>
      </c>
      <c r="C722" s="473">
        <v>23.1</v>
      </c>
      <c r="D722" s="176" t="s">
        <v>475</v>
      </c>
      <c r="E722" s="313" t="s">
        <v>476</v>
      </c>
      <c r="F722" s="174">
        <v>39234</v>
      </c>
      <c r="G722" s="174"/>
      <c r="H722" s="176">
        <v>1</v>
      </c>
      <c r="I722" s="176">
        <v>17</v>
      </c>
      <c r="J722" s="900" t="s">
        <v>2755</v>
      </c>
      <c r="K722" s="164" t="s">
        <v>2304</v>
      </c>
      <c r="L722" s="164" t="s">
        <v>461</v>
      </c>
      <c r="M722" s="164"/>
      <c r="N722" s="164" t="s">
        <v>804</v>
      </c>
      <c r="O722" s="164"/>
      <c r="P722" s="173" t="s">
        <v>6700</v>
      </c>
      <c r="Q722" s="164" t="s">
        <v>3947</v>
      </c>
      <c r="R722" s="177" t="s">
        <v>2723</v>
      </c>
      <c r="S722" s="354" t="s">
        <v>1778</v>
      </c>
      <c r="T722" s="173"/>
      <c r="U722" s="173"/>
      <c r="V722" s="173"/>
      <c r="W722" s="313" t="s">
        <v>476</v>
      </c>
      <c r="X722" s="645" t="s">
        <v>12322</v>
      </c>
      <c r="Y722" s="354"/>
      <c r="Z722" s="176"/>
      <c r="AA722" s="176"/>
      <c r="AB722" s="32">
        <f t="shared" ca="1" si="12"/>
        <v>0.29347051699681193</v>
      </c>
      <c r="AC722" s="812"/>
      <c r="AD722" s="763"/>
      <c r="AE722" s="807"/>
      <c r="AF722" s="921">
        <f>IF(X722=X721,AF721,0)+IF(ISNUMBER(I722),IF(I722&lt;1,I722,I722*VLOOKUP(J722,Summary!$H$2:$I$9,2)),VLOOKUP(J722,Summary!$J$2:$K$9,2)*IF(ISNUMBER(H722),H722,1))</f>
        <v>0.3678819444444445</v>
      </c>
      <c r="AG722" s="289">
        <v>721</v>
      </c>
      <c r="AH722" s="94"/>
      <c r="AI722" s="94"/>
    </row>
    <row r="723" spans="1:35" s="22" customFormat="1" ht="12" customHeight="1" x14ac:dyDescent="0.2">
      <c r="A723" s="465" t="s">
        <v>7020</v>
      </c>
      <c r="B723" s="465">
        <v>3</v>
      </c>
      <c r="C723" s="743">
        <v>3</v>
      </c>
      <c r="D723" s="407" t="s">
        <v>15364</v>
      </c>
      <c r="E723" s="315" t="s">
        <v>15365</v>
      </c>
      <c r="F723" s="196">
        <v>43286</v>
      </c>
      <c r="G723" s="170"/>
      <c r="H723" s="170">
        <v>1</v>
      </c>
      <c r="I723" s="746">
        <f>TIME(0,70,0)</f>
        <v>4.8611111111111112E-2</v>
      </c>
      <c r="J723" s="899" t="s">
        <v>4706</v>
      </c>
      <c r="K723" s="167" t="s">
        <v>543</v>
      </c>
      <c r="L723" s="167" t="s">
        <v>2503</v>
      </c>
      <c r="M723" s="167" t="s">
        <v>3821</v>
      </c>
      <c r="N723" s="167"/>
      <c r="O723" s="167"/>
      <c r="P723" s="168" t="s">
        <v>15367</v>
      </c>
      <c r="Q723" s="167" t="s">
        <v>3950</v>
      </c>
      <c r="R723" s="172" t="s">
        <v>12703</v>
      </c>
      <c r="S723" s="388" t="s">
        <v>1778</v>
      </c>
      <c r="T723" s="168"/>
      <c r="U723" s="168"/>
      <c r="V723" s="168"/>
      <c r="W723" s="315" t="s">
        <v>15365</v>
      </c>
      <c r="X723" s="644" t="s">
        <v>12322</v>
      </c>
      <c r="Y723" s="352"/>
      <c r="Z723" s="353"/>
      <c r="AA723" s="353"/>
      <c r="AB723" s="31">
        <f t="shared" ca="1" si="12"/>
        <v>0.97052539714711517</v>
      </c>
      <c r="AC723" s="810"/>
      <c r="AD723" s="811" t="s">
        <v>15366</v>
      </c>
      <c r="AE723" s="940"/>
      <c r="AF723" s="920">
        <f>IF(X723=X722,AF722,0)+IF(ISNUMBER(I723),IF(I723&lt;1,I723,I723*VLOOKUP(J723,Summary!$H$2:$I$9,2)),VLOOKUP(J723,Summary!$J$2:$K$9,2)*IF(ISNUMBER(H723),H723,1))</f>
        <v>0.4164930555555556</v>
      </c>
      <c r="AG723" s="287">
        <v>722</v>
      </c>
      <c r="AH723" s="94"/>
      <c r="AI723" s="94"/>
    </row>
    <row r="724" spans="1:35" s="22" customFormat="1" ht="12" customHeight="1" x14ac:dyDescent="0.25">
      <c r="A724" s="472">
        <v>9</v>
      </c>
      <c r="B724" s="472">
        <v>3</v>
      </c>
      <c r="C724" s="473">
        <v>2.1</v>
      </c>
      <c r="D724" s="176" t="s">
        <v>477</v>
      </c>
      <c r="E724" s="313" t="s">
        <v>478</v>
      </c>
      <c r="F724" s="174">
        <v>36220</v>
      </c>
      <c r="G724" s="174"/>
      <c r="H724" s="176">
        <v>1</v>
      </c>
      <c r="I724" s="176">
        <v>24</v>
      </c>
      <c r="J724" s="900" t="s">
        <v>2755</v>
      </c>
      <c r="K724" s="164" t="s">
        <v>5198</v>
      </c>
      <c r="L724" s="164" t="s">
        <v>461</v>
      </c>
      <c r="M724" s="164"/>
      <c r="N724" s="164" t="s">
        <v>6237</v>
      </c>
      <c r="O724" s="164"/>
      <c r="P724" s="173" t="s">
        <v>6561</v>
      </c>
      <c r="Q724" s="164" t="s">
        <v>3953</v>
      </c>
      <c r="R724" s="177" t="s">
        <v>2723</v>
      </c>
      <c r="S724" s="354" t="s">
        <v>1778</v>
      </c>
      <c r="T724" s="173" t="s">
        <v>2597</v>
      </c>
      <c r="U724" s="173"/>
      <c r="V724" s="173"/>
      <c r="W724" s="313" t="s">
        <v>478</v>
      </c>
      <c r="X724" s="645" t="s">
        <v>12322</v>
      </c>
      <c r="Y724" s="354" t="s">
        <v>6868</v>
      </c>
      <c r="Z724" s="176">
        <v>999</v>
      </c>
      <c r="AA724" s="176"/>
      <c r="AB724" s="32">
        <f t="shared" ca="1" si="12"/>
        <v>0.93846637329045501</v>
      </c>
      <c r="AC724" s="812"/>
      <c r="AD724" s="763"/>
      <c r="AE724" s="807"/>
      <c r="AF724" s="921">
        <f>IF(X724=X723,AF723,0)+IF(ISNUMBER(I724),IF(I724&lt;1,I724,I724*VLOOKUP(J724,Summary!$H$2:$I$9,2)),VLOOKUP(J724,Summary!$J$2:$K$9,2)*IF(ISNUMBER(H724),H724,1))</f>
        <v>0.43315972222222227</v>
      </c>
      <c r="AG724" s="289">
        <v>723</v>
      </c>
      <c r="AH724" s="94"/>
      <c r="AI724" s="94"/>
    </row>
    <row r="725" spans="1:35" s="29" customFormat="1" ht="12" customHeight="1" x14ac:dyDescent="0.25">
      <c r="A725" s="472">
        <v>9</v>
      </c>
      <c r="B725" s="472">
        <v>3</v>
      </c>
      <c r="C725" s="473">
        <v>25.17</v>
      </c>
      <c r="D725" s="176" t="s">
        <v>1855</v>
      </c>
      <c r="E725" s="313" t="s">
        <v>1856</v>
      </c>
      <c r="F725" s="174">
        <v>39417</v>
      </c>
      <c r="G725" s="174"/>
      <c r="H725" s="176">
        <v>1</v>
      </c>
      <c r="I725" s="176">
        <v>8</v>
      </c>
      <c r="J725" s="900" t="s">
        <v>2755</v>
      </c>
      <c r="K725" s="164" t="s">
        <v>1857</v>
      </c>
      <c r="L725" s="164" t="s">
        <v>461</v>
      </c>
      <c r="M725" s="164"/>
      <c r="N725" s="164" t="s">
        <v>5146</v>
      </c>
      <c r="O725" s="164"/>
      <c r="P725" s="173" t="s">
        <v>6701</v>
      </c>
      <c r="Q725" s="164" t="s">
        <v>3947</v>
      </c>
      <c r="R725" s="177" t="s">
        <v>2723</v>
      </c>
      <c r="S725" s="354" t="s">
        <v>1858</v>
      </c>
      <c r="T725" s="173"/>
      <c r="U725" s="173"/>
      <c r="V725" s="173"/>
      <c r="W725" s="313" t="s">
        <v>1856</v>
      </c>
      <c r="X725" s="645" t="s">
        <v>12322</v>
      </c>
      <c r="Y725" s="354"/>
      <c r="Z725" s="176"/>
      <c r="AA725" s="176"/>
      <c r="AB725" s="32">
        <f t="shared" ca="1" si="12"/>
        <v>0.30851907732168338</v>
      </c>
      <c r="AC725" s="812"/>
      <c r="AD725" s="763"/>
      <c r="AE725" s="807"/>
      <c r="AF725" s="921">
        <f>IF(X725=X724,AF724,0)+IF(ISNUMBER(I725),IF(I725&lt;1,I725,I725*VLOOKUP(J725,Summary!$H$2:$I$9,2)),VLOOKUP(J725,Summary!$J$2:$K$9,2)*IF(ISNUMBER(H725),H725,1))</f>
        <v>0.4387152777777778</v>
      </c>
      <c r="AG725" s="289">
        <v>724</v>
      </c>
      <c r="AH725" s="94"/>
      <c r="AI725" s="94"/>
    </row>
    <row r="726" spans="1:35" s="2" customFormat="1" ht="12" customHeight="1" x14ac:dyDescent="0.25">
      <c r="A726" s="466" t="s">
        <v>7020</v>
      </c>
      <c r="B726" s="466">
        <v>3</v>
      </c>
      <c r="C726" s="466">
        <v>62</v>
      </c>
      <c r="D726" s="424" t="s">
        <v>7032</v>
      </c>
      <c r="E726" s="319" t="s">
        <v>7033</v>
      </c>
      <c r="F726" s="198">
        <v>26355</v>
      </c>
      <c r="G726" s="198">
        <v>26390</v>
      </c>
      <c r="H726" s="199">
        <v>6</v>
      </c>
      <c r="I726" s="791">
        <f>TIME(0,24,40)+TIME(0,24,30)+TIME(0,24, 5)+TIME(0,24,21)+TIME(0,24,53)+TIME(0,24,24)</f>
        <v>0.10200231481481482</v>
      </c>
      <c r="J726" s="904" t="s">
        <v>1588</v>
      </c>
      <c r="K726" s="200" t="s">
        <v>2682</v>
      </c>
      <c r="L726" s="200" t="s">
        <v>7015</v>
      </c>
      <c r="M726" s="200"/>
      <c r="N726" s="200" t="s">
        <v>1088</v>
      </c>
      <c r="O726" s="200" t="s">
        <v>1884</v>
      </c>
      <c r="P726" s="197" t="s">
        <v>461</v>
      </c>
      <c r="Q726" s="200" t="s">
        <v>3946</v>
      </c>
      <c r="R726" s="201" t="s">
        <v>5280</v>
      </c>
      <c r="S726" s="390" t="s">
        <v>1778</v>
      </c>
      <c r="T726" s="197"/>
      <c r="U726" s="197"/>
      <c r="V726" s="197"/>
      <c r="W726" s="318" t="s">
        <v>8685</v>
      </c>
      <c r="X726" s="650" t="s">
        <v>12322</v>
      </c>
      <c r="Y726" s="358" t="s">
        <v>6141</v>
      </c>
      <c r="Z726" s="253">
        <v>70</v>
      </c>
      <c r="AA726" s="253">
        <v>7.5</v>
      </c>
      <c r="AB726" s="35">
        <f t="shared" ca="1" si="12"/>
        <v>7.0827683484079862E-2</v>
      </c>
      <c r="AC726" s="820"/>
      <c r="AD726" s="821" t="s">
        <v>12553</v>
      </c>
      <c r="AE726" s="944" t="s">
        <v>3234</v>
      </c>
      <c r="AF726" s="925">
        <f>IF(X726=X725,AF725,0)+IF(ISNUMBER(I726),IF(I726&lt;1,I726,I726*VLOOKUP(J726,Summary!$H$2:$I$9,2)),VLOOKUP(J726,Summary!$J$2:$K$9,2)*IF(ISNUMBER(H726),H726,1))</f>
        <v>0.54071759259259267</v>
      </c>
      <c r="AG726" s="293">
        <v>725</v>
      </c>
      <c r="AH726" s="94"/>
      <c r="AI726" s="94"/>
    </row>
    <row r="727" spans="1:35" s="29" customFormat="1" ht="12" customHeight="1" x14ac:dyDescent="0.25">
      <c r="A727" s="469">
        <v>9</v>
      </c>
      <c r="B727" s="469">
        <v>3</v>
      </c>
      <c r="C727" s="470">
        <v>5.1100000000000003</v>
      </c>
      <c r="D727" s="192" t="s">
        <v>10225</v>
      </c>
      <c r="E727" s="317" t="s">
        <v>10226</v>
      </c>
      <c r="F727" s="209">
        <v>42328</v>
      </c>
      <c r="G727" s="209"/>
      <c r="H727" s="192">
        <v>1</v>
      </c>
      <c r="I727" s="753">
        <f>TIME(0,39,16)</f>
        <v>2.7268518518518515E-2</v>
      </c>
      <c r="J727" s="903" t="s">
        <v>2755</v>
      </c>
      <c r="K727" s="194" t="s">
        <v>6451</v>
      </c>
      <c r="L727" s="194" t="s">
        <v>5662</v>
      </c>
      <c r="M727" s="194" t="s">
        <v>3821</v>
      </c>
      <c r="N727" s="194"/>
      <c r="O727" s="194"/>
      <c r="P727" s="190" t="s">
        <v>10227</v>
      </c>
      <c r="Q727" s="194" t="s">
        <v>3947</v>
      </c>
      <c r="R727" s="193" t="s">
        <v>2722</v>
      </c>
      <c r="S727" s="357" t="s">
        <v>1778</v>
      </c>
      <c r="T727" s="190"/>
      <c r="U727" s="190"/>
      <c r="V727" s="190"/>
      <c r="W727" s="317" t="s">
        <v>10222</v>
      </c>
      <c r="X727" s="649" t="s">
        <v>12322</v>
      </c>
      <c r="Y727" s="357" t="s">
        <v>5643</v>
      </c>
      <c r="Z727" s="192">
        <v>999</v>
      </c>
      <c r="AA727" s="192"/>
      <c r="AB727" s="37">
        <f t="shared" ca="1" si="12"/>
        <v>0.73754378338576965</v>
      </c>
      <c r="AC727" s="816"/>
      <c r="AD727" s="817"/>
      <c r="AE727" s="943"/>
      <c r="AF727" s="924">
        <f>IF(X727=X726,AF726,0)+IF(ISNUMBER(I727),IF(I727&lt;1,I727,I727*VLOOKUP(J727,Summary!$H$2:$I$9,2)),VLOOKUP(J727,Summary!$J$2:$K$9,2)*IF(ISNUMBER(H727),H727,1))</f>
        <v>0.56798611111111119</v>
      </c>
      <c r="AG727" s="292">
        <v>726</v>
      </c>
      <c r="AH727" s="94"/>
      <c r="AI727" s="94"/>
    </row>
    <row r="728" spans="1:35" s="1" customFormat="1" ht="12" customHeight="1" x14ac:dyDescent="0.25">
      <c r="A728" s="465" t="s">
        <v>7020</v>
      </c>
      <c r="B728" s="465">
        <v>3</v>
      </c>
      <c r="C728" s="471">
        <v>5.03</v>
      </c>
      <c r="D728" s="407" t="s">
        <v>717</v>
      </c>
      <c r="E728" s="315" t="s">
        <v>1745</v>
      </c>
      <c r="F728" s="169">
        <v>40422</v>
      </c>
      <c r="G728" s="170"/>
      <c r="H728" s="170">
        <v>2</v>
      </c>
      <c r="I728" s="746">
        <f>TIME(1,1,8)</f>
        <v>4.2453703703703709E-2</v>
      </c>
      <c r="J728" s="899" t="s">
        <v>4706</v>
      </c>
      <c r="K728" s="167" t="s">
        <v>5658</v>
      </c>
      <c r="L728" s="167" t="s">
        <v>5662</v>
      </c>
      <c r="M728" s="167" t="s">
        <v>8054</v>
      </c>
      <c r="N728" s="167"/>
      <c r="O728" s="167"/>
      <c r="P728" s="168" t="s">
        <v>9192</v>
      </c>
      <c r="Q728" s="167" t="s">
        <v>3947</v>
      </c>
      <c r="R728" s="172" t="s">
        <v>3153</v>
      </c>
      <c r="S728" s="388" t="s">
        <v>1778</v>
      </c>
      <c r="T728" s="168"/>
      <c r="U728" s="168"/>
      <c r="V728" s="168"/>
      <c r="W728" s="312" t="s">
        <v>9524</v>
      </c>
      <c r="X728" s="644" t="s">
        <v>12322</v>
      </c>
      <c r="Y728" s="352" t="s">
        <v>5398</v>
      </c>
      <c r="Z728" s="353">
        <v>340</v>
      </c>
      <c r="AA728" s="353">
        <v>5</v>
      </c>
      <c r="AB728" s="31">
        <f t="shared" ca="1" si="12"/>
        <v>0.58319718347304617</v>
      </c>
      <c r="AC728" s="810"/>
      <c r="AD728" s="811" t="s">
        <v>15887</v>
      </c>
      <c r="AE728" s="940" t="s">
        <v>3234</v>
      </c>
      <c r="AF728" s="920">
        <f>IF(X728=X727,AF727,0)+IF(ISNUMBER(I728),IF(I728&lt;1,I728,I728*VLOOKUP(J728,Summary!$H$2:$I$9,2)),VLOOKUP(J728,Summary!$J$2:$K$9,2)*IF(ISNUMBER(H728),H728,1))</f>
        <v>0.61043981481481491</v>
      </c>
      <c r="AG728" s="287">
        <v>727</v>
      </c>
      <c r="AH728" s="94"/>
      <c r="AI728" s="94"/>
    </row>
    <row r="729" spans="1:35" s="1" customFormat="1" ht="12" customHeight="1" x14ac:dyDescent="0.25">
      <c r="A729" s="472">
        <v>9</v>
      </c>
      <c r="B729" s="472">
        <v>3</v>
      </c>
      <c r="C729" s="473">
        <v>11.04</v>
      </c>
      <c r="D729" s="176" t="s">
        <v>1877</v>
      </c>
      <c r="E729" s="313" t="s">
        <v>1878</v>
      </c>
      <c r="F729" s="174">
        <v>38200</v>
      </c>
      <c r="G729" s="174"/>
      <c r="H729" s="176">
        <v>1</v>
      </c>
      <c r="I729" s="176">
        <v>18</v>
      </c>
      <c r="J729" s="900" t="s">
        <v>2755</v>
      </c>
      <c r="K729" s="164" t="s">
        <v>4551</v>
      </c>
      <c r="L729" s="164" t="s">
        <v>461</v>
      </c>
      <c r="M729" s="164"/>
      <c r="N729" s="164" t="s">
        <v>7375</v>
      </c>
      <c r="O729" s="164"/>
      <c r="P729" s="173" t="s">
        <v>2559</v>
      </c>
      <c r="Q729" s="164" t="s">
        <v>3947</v>
      </c>
      <c r="R729" s="177" t="s">
        <v>2723</v>
      </c>
      <c r="S729" s="354" t="s">
        <v>1778</v>
      </c>
      <c r="T729" s="173"/>
      <c r="U729" s="173"/>
      <c r="V729" s="173"/>
      <c r="W729" s="313" t="s">
        <v>1878</v>
      </c>
      <c r="X729" s="645" t="s">
        <v>12322</v>
      </c>
      <c r="Y729" s="354"/>
      <c r="Z729" s="176">
        <v>999</v>
      </c>
      <c r="AA729" s="176"/>
      <c r="AB729" s="32">
        <f t="shared" ca="1" si="12"/>
        <v>0.50629162799841299</v>
      </c>
      <c r="AC729" s="812"/>
      <c r="AD729" s="763"/>
      <c r="AE729" s="807"/>
      <c r="AF729" s="921">
        <f>IF(X729=X728,AF728,0)+IF(ISNUMBER(I729),IF(I729&lt;1,I729,I729*VLOOKUP(J729,Summary!$H$2:$I$9,2)),VLOOKUP(J729,Summary!$J$2:$K$9,2)*IF(ISNUMBER(H729),H729,1))</f>
        <v>0.62293981481481486</v>
      </c>
      <c r="AG729" s="289">
        <v>728</v>
      </c>
      <c r="AH729" s="94"/>
      <c r="AI729" s="94"/>
    </row>
    <row r="730" spans="1:35" s="22" customFormat="1" ht="12" customHeight="1" x14ac:dyDescent="0.25">
      <c r="A730" s="466" t="s">
        <v>7020</v>
      </c>
      <c r="B730" s="466">
        <v>3</v>
      </c>
      <c r="C730" s="466">
        <v>63</v>
      </c>
      <c r="D730" s="424" t="s">
        <v>7034</v>
      </c>
      <c r="E730" s="319" t="s">
        <v>7035</v>
      </c>
      <c r="F730" s="198">
        <v>26397</v>
      </c>
      <c r="G730" s="198">
        <v>26432</v>
      </c>
      <c r="H730" s="199">
        <v>6</v>
      </c>
      <c r="I730" s="791">
        <f>TIME(0,24,25)+TIME(0,24,24)+TIME(0,24,32)+TIME(0,24, 0)+TIME(0,24,37)+TIME(0,23,43)</f>
        <v>0.10116898148148148</v>
      </c>
      <c r="J730" s="904" t="s">
        <v>1588</v>
      </c>
      <c r="K730" s="200" t="s">
        <v>7012</v>
      </c>
      <c r="L730" s="200" t="s">
        <v>30</v>
      </c>
      <c r="M730" s="200"/>
      <c r="N730" s="200" t="s">
        <v>1088</v>
      </c>
      <c r="O730" s="200" t="s">
        <v>1884</v>
      </c>
      <c r="P730" s="197" t="s">
        <v>461</v>
      </c>
      <c r="Q730" s="200" t="s">
        <v>3946</v>
      </c>
      <c r="R730" s="201" t="s">
        <v>5280</v>
      </c>
      <c r="S730" s="390" t="s">
        <v>1778</v>
      </c>
      <c r="T730" s="197"/>
      <c r="U730" s="197"/>
      <c r="V730" s="197"/>
      <c r="W730" s="318"/>
      <c r="X730" s="650" t="s">
        <v>12322</v>
      </c>
      <c r="Y730" s="358" t="s">
        <v>6141</v>
      </c>
      <c r="Z730" s="253">
        <v>157</v>
      </c>
      <c r="AA730" s="253">
        <v>5.5</v>
      </c>
      <c r="AB730" s="35">
        <f t="shared" ca="1" si="12"/>
        <v>0.3979645028676646</v>
      </c>
      <c r="AC730" s="820"/>
      <c r="AD730" s="821" t="s">
        <v>16335</v>
      </c>
      <c r="AE730" s="944" t="s">
        <v>12543</v>
      </c>
      <c r="AF730" s="925">
        <f>IF(X730=X729,AF729,0)+IF(ISNUMBER(I730),IF(I730&lt;1,I730,I730*VLOOKUP(J730,Summary!$H$2:$I$9,2)),VLOOKUP(J730,Summary!$J$2:$K$9,2)*IF(ISNUMBER(H730),H730,1))</f>
        <v>0.72410879629629632</v>
      </c>
      <c r="AG730" s="293">
        <v>729</v>
      </c>
      <c r="AH730" s="94"/>
      <c r="AI730" s="94"/>
    </row>
    <row r="731" spans="1:35" s="2" customFormat="1" ht="12" customHeight="1" x14ac:dyDescent="0.25">
      <c r="A731" s="465">
        <v>9</v>
      </c>
      <c r="B731" s="465">
        <v>3</v>
      </c>
      <c r="C731" s="465">
        <v>10</v>
      </c>
      <c r="D731" s="407" t="s">
        <v>5012</v>
      </c>
      <c r="E731" s="315" t="s">
        <v>5011</v>
      </c>
      <c r="F731" s="169">
        <v>39995</v>
      </c>
      <c r="G731" s="170"/>
      <c r="H731" s="170">
        <v>1</v>
      </c>
      <c r="I731" s="746">
        <f>TIME(1,19,40)</f>
        <v>5.5324074074074074E-2</v>
      </c>
      <c r="J731" s="899" t="s">
        <v>4706</v>
      </c>
      <c r="K731" s="167" t="s">
        <v>177</v>
      </c>
      <c r="L731" s="167" t="s">
        <v>5662</v>
      </c>
      <c r="M731" s="167"/>
      <c r="N731" s="167"/>
      <c r="O731" s="167"/>
      <c r="P731" s="168" t="s">
        <v>461</v>
      </c>
      <c r="Q731" s="167" t="s">
        <v>3947</v>
      </c>
      <c r="R731" s="172" t="s">
        <v>4315</v>
      </c>
      <c r="S731" s="388" t="s">
        <v>1778</v>
      </c>
      <c r="T731" s="168"/>
      <c r="U731" s="168"/>
      <c r="V731" s="168"/>
      <c r="W731" s="315" t="s">
        <v>5011</v>
      </c>
      <c r="X731" s="647" t="s">
        <v>12322</v>
      </c>
      <c r="Y731" s="352" t="s">
        <v>5643</v>
      </c>
      <c r="Z731" s="353">
        <v>598</v>
      </c>
      <c r="AA731" s="353">
        <v>3.5</v>
      </c>
      <c r="AB731" s="31">
        <f t="shared" ca="1" si="12"/>
        <v>0.87054006788690452</v>
      </c>
      <c r="AC731" s="810"/>
      <c r="AD731" s="811" t="s">
        <v>16172</v>
      </c>
      <c r="AE731" s="940" t="s">
        <v>3365</v>
      </c>
      <c r="AF731" s="920">
        <f>IF(X731=X730,AF730,0)+IF(ISNUMBER(I731),IF(I731&lt;1,I731,I731*VLOOKUP(J731,Summary!$H$2:$I$9,2)),VLOOKUP(J731,Summary!$J$2:$K$9,2)*IF(ISNUMBER(H731),H731,1))</f>
        <v>0.77943287037037035</v>
      </c>
      <c r="AG731" s="287">
        <v>730</v>
      </c>
      <c r="AH731" s="94"/>
      <c r="AI731" s="94"/>
    </row>
    <row r="732" spans="1:35" s="29" customFormat="1" ht="12" customHeight="1" x14ac:dyDescent="0.25">
      <c r="A732" s="472">
        <v>9</v>
      </c>
      <c r="B732" s="472">
        <v>3</v>
      </c>
      <c r="C732" s="473">
        <v>12.04</v>
      </c>
      <c r="D732" s="176" t="s">
        <v>480</v>
      </c>
      <c r="E732" s="313" t="s">
        <v>481</v>
      </c>
      <c r="F732" s="174">
        <v>38261</v>
      </c>
      <c r="G732" s="174"/>
      <c r="H732" s="176">
        <v>1</v>
      </c>
      <c r="I732" s="176">
        <v>20</v>
      </c>
      <c r="J732" s="900" t="s">
        <v>2755</v>
      </c>
      <c r="K732" s="164" t="s">
        <v>4374</v>
      </c>
      <c r="L732" s="164" t="s">
        <v>461</v>
      </c>
      <c r="M732" s="164"/>
      <c r="N732" s="164" t="s">
        <v>7381</v>
      </c>
      <c r="O732" s="164"/>
      <c r="P732" s="173" t="s">
        <v>2756</v>
      </c>
      <c r="Q732" s="164" t="s">
        <v>3947</v>
      </c>
      <c r="R732" s="177" t="s">
        <v>2723</v>
      </c>
      <c r="S732" s="354" t="s">
        <v>1778</v>
      </c>
      <c r="T732" s="173"/>
      <c r="U732" s="173"/>
      <c r="V732" s="173"/>
      <c r="W732" s="313" t="s">
        <v>481</v>
      </c>
      <c r="X732" s="645" t="s">
        <v>12322</v>
      </c>
      <c r="Y732" s="354"/>
      <c r="Z732" s="176"/>
      <c r="AA732" s="176"/>
      <c r="AB732" s="32">
        <f t="shared" ca="1" si="12"/>
        <v>0.50506026567416384</v>
      </c>
      <c r="AC732" s="812"/>
      <c r="AD732" s="763"/>
      <c r="AE732" s="807"/>
      <c r="AF732" s="921">
        <f>IF(X732=X731,AF731,0)+IF(ISNUMBER(I732),IF(I732&lt;1,I732,I732*VLOOKUP(J732,Summary!$H$2:$I$9,2)),VLOOKUP(J732,Summary!$J$2:$K$9,2)*IF(ISNUMBER(H732),H732,1))</f>
        <v>0.79332175925925918</v>
      </c>
      <c r="AG732" s="289">
        <v>731</v>
      </c>
      <c r="AH732" s="94"/>
      <c r="AI732" s="94"/>
    </row>
    <row r="733" spans="1:35" s="22" customFormat="1" ht="12" customHeight="1" x14ac:dyDescent="0.25">
      <c r="A733" s="468" t="s">
        <v>7020</v>
      </c>
      <c r="B733" s="468">
        <v>3</v>
      </c>
      <c r="C733" s="468">
        <v>40</v>
      </c>
      <c r="D733" s="417" t="s">
        <v>7036</v>
      </c>
      <c r="E733" s="316" t="s">
        <v>7037</v>
      </c>
      <c r="F733" s="195">
        <v>36951</v>
      </c>
      <c r="G733" s="188"/>
      <c r="H733" s="188" t="str">
        <f>IF(J733="Book","n/a","")</f>
        <v>n/a</v>
      </c>
      <c r="I733" s="188">
        <v>251</v>
      </c>
      <c r="J733" s="902" t="s">
        <v>6868</v>
      </c>
      <c r="K733" s="162" t="s">
        <v>544</v>
      </c>
      <c r="L733" s="162" t="str">
        <f>IF(J733="Book","n/a","")</f>
        <v>n/a</v>
      </c>
      <c r="M733" s="162"/>
      <c r="N733" s="162"/>
      <c r="O733" s="162"/>
      <c r="P733" s="178" t="s">
        <v>8965</v>
      </c>
      <c r="Q733" s="162" t="s">
        <v>3953</v>
      </c>
      <c r="R733" s="189" t="s">
        <v>2717</v>
      </c>
      <c r="S733" s="366" t="s">
        <v>1778</v>
      </c>
      <c r="T733" s="178" t="s">
        <v>2597</v>
      </c>
      <c r="U733" s="178"/>
      <c r="V733" s="178"/>
      <c r="W733" s="316" t="s">
        <v>7037</v>
      </c>
      <c r="X733" s="648" t="s">
        <v>12322</v>
      </c>
      <c r="Y733" s="356" t="s">
        <v>5656</v>
      </c>
      <c r="Z733" s="272">
        <v>230</v>
      </c>
      <c r="AA733" s="272">
        <v>1.5</v>
      </c>
      <c r="AB733" s="34">
        <f t="shared" ca="1" si="12"/>
        <v>0.78544690755850965</v>
      </c>
      <c r="AC733" s="814"/>
      <c r="AD733" s="815" t="s">
        <v>14966</v>
      </c>
      <c r="AE733" s="942" t="s">
        <v>3234</v>
      </c>
      <c r="AF733" s="923">
        <f>IF(X733=X732,AF732,0)+IF(ISNUMBER(I733),IF(I733&lt;1,I733,I733*VLOOKUP(J733,Summary!$H$2:$I$9,2)),VLOOKUP(J733,Summary!$J$2:$K$9,2)*IF(ISNUMBER(H733),H733,1))</f>
        <v>0.96762731481481479</v>
      </c>
      <c r="AG733" s="291">
        <v>732</v>
      </c>
      <c r="AH733" s="94"/>
      <c r="AI733" s="94"/>
    </row>
    <row r="734" spans="1:35" s="7" customFormat="1" ht="12" customHeight="1" x14ac:dyDescent="0.25">
      <c r="A734" s="466" t="s">
        <v>7020</v>
      </c>
      <c r="B734" s="466">
        <v>3</v>
      </c>
      <c r="C734" s="466">
        <v>64</v>
      </c>
      <c r="D734" s="424" t="s">
        <v>7038</v>
      </c>
      <c r="E734" s="319" t="s">
        <v>1549</v>
      </c>
      <c r="F734" s="198">
        <v>26439</v>
      </c>
      <c r="G734" s="198">
        <v>26474</v>
      </c>
      <c r="H734" s="199">
        <v>6</v>
      </c>
      <c r="I734" s="791">
        <f>TIME(0,25, 4)+TIME(0,25, 5)+TIME(0,23,59)+TIME(0,23,55)+TIME(0,24,29)+TIME(0,24,55)</f>
        <v>0.10239583333333334</v>
      </c>
      <c r="J734" s="904" t="s">
        <v>1588</v>
      </c>
      <c r="K734" s="200" t="s">
        <v>7019</v>
      </c>
      <c r="L734" s="200" t="s">
        <v>7026</v>
      </c>
      <c r="M734" s="200"/>
      <c r="N734" s="200" t="s">
        <v>1088</v>
      </c>
      <c r="O734" s="200" t="s">
        <v>1884</v>
      </c>
      <c r="P734" s="197" t="s">
        <v>461</v>
      </c>
      <c r="Q734" s="200" t="s">
        <v>3946</v>
      </c>
      <c r="R734" s="201" t="s">
        <v>5280</v>
      </c>
      <c r="S734" s="390" t="s">
        <v>1778</v>
      </c>
      <c r="T734" s="197" t="s">
        <v>2597</v>
      </c>
      <c r="U734" s="197" t="s">
        <v>2600</v>
      </c>
      <c r="V734" s="197" t="s">
        <v>2601</v>
      </c>
      <c r="W734" s="318" t="s">
        <v>8686</v>
      </c>
      <c r="X734" s="650" t="s">
        <v>12322</v>
      </c>
      <c r="Y734" s="358" t="s">
        <v>6141</v>
      </c>
      <c r="Z734" s="253">
        <v>281</v>
      </c>
      <c r="AA734" s="253">
        <v>2.5</v>
      </c>
      <c r="AB734" s="35">
        <f t="shared" ca="1" si="12"/>
        <v>0.31423046808089339</v>
      </c>
      <c r="AC734" s="820"/>
      <c r="AD734" s="821" t="s">
        <v>15044</v>
      </c>
      <c r="AE734" s="944" t="s">
        <v>15082</v>
      </c>
      <c r="AF734" s="925">
        <f>IF(X734=X733,AF733,0)+IF(ISNUMBER(I734),IF(I734&lt;1,I734,I734*VLOOKUP(J734,Summary!$H$2:$I$9,2)),VLOOKUP(J734,Summary!$J$2:$K$9,2)*IF(ISNUMBER(H734),H734,1))</f>
        <v>1.0700231481481481</v>
      </c>
      <c r="AG734" s="293">
        <v>733</v>
      </c>
      <c r="AH734" s="94"/>
      <c r="AI734" s="94"/>
    </row>
    <row r="735" spans="1:35" s="43" customFormat="1" ht="12" customHeight="1" x14ac:dyDescent="0.25">
      <c r="A735" s="472">
        <v>9</v>
      </c>
      <c r="B735" s="472">
        <v>3</v>
      </c>
      <c r="C735" s="473">
        <v>16.100000000000001</v>
      </c>
      <c r="D735" s="176" t="s">
        <v>1851</v>
      </c>
      <c r="E735" s="313" t="s">
        <v>1852</v>
      </c>
      <c r="F735" s="174">
        <v>38473</v>
      </c>
      <c r="G735" s="174"/>
      <c r="H735" s="176">
        <v>1</v>
      </c>
      <c r="I735" s="176">
        <v>16</v>
      </c>
      <c r="J735" s="900" t="s">
        <v>2755</v>
      </c>
      <c r="K735" s="164" t="s">
        <v>2299</v>
      </c>
      <c r="L735" s="164" t="s">
        <v>461</v>
      </c>
      <c r="M735" s="164"/>
      <c r="N735" s="164" t="s">
        <v>7381</v>
      </c>
      <c r="O735" s="164"/>
      <c r="P735" s="173" t="s">
        <v>1652</v>
      </c>
      <c r="Q735" s="164" t="s">
        <v>3947</v>
      </c>
      <c r="R735" s="177" t="s">
        <v>2723</v>
      </c>
      <c r="S735" s="354" t="s">
        <v>1778</v>
      </c>
      <c r="T735" s="173"/>
      <c r="U735" s="173"/>
      <c r="V735" s="173"/>
      <c r="W735" s="313" t="s">
        <v>1852</v>
      </c>
      <c r="X735" s="645" t="s">
        <v>12322</v>
      </c>
      <c r="Y735" s="354"/>
      <c r="Z735" s="176"/>
      <c r="AA735" s="176"/>
      <c r="AB735" s="32">
        <f t="shared" ca="1" si="12"/>
        <v>0.15205775661906862</v>
      </c>
      <c r="AC735" s="812"/>
      <c r="AD735" s="763"/>
      <c r="AE735" s="807"/>
      <c r="AF735" s="921">
        <f>IF(X735=X734,AF734,0)+IF(ISNUMBER(I735),IF(I735&lt;1,I735,I735*VLOOKUP(J735,Summary!$H$2:$I$9,2)),VLOOKUP(J735,Summary!$J$2:$K$9,2)*IF(ISNUMBER(H735),H735,1))</f>
        <v>1.0811342592592592</v>
      </c>
      <c r="AG735" s="289">
        <v>734</v>
      </c>
      <c r="AH735" s="94"/>
      <c r="AI735" s="94"/>
    </row>
    <row r="736" spans="1:35" s="22" customFormat="1" ht="12" customHeight="1" x14ac:dyDescent="0.2">
      <c r="A736" s="465" t="s">
        <v>7020</v>
      </c>
      <c r="B736" s="465">
        <v>3</v>
      </c>
      <c r="C736" s="479">
        <v>1.1000000000000001</v>
      </c>
      <c r="D736" s="407" t="s">
        <v>11411</v>
      </c>
      <c r="E736" s="315" t="s">
        <v>10019</v>
      </c>
      <c r="F736" s="196">
        <v>42249</v>
      </c>
      <c r="G736" s="170"/>
      <c r="H736" s="170">
        <v>4</v>
      </c>
      <c r="I736" s="746">
        <f>TIME(1,49,1)</f>
        <v>7.570601851851852E-2</v>
      </c>
      <c r="J736" s="899" t="s">
        <v>4706</v>
      </c>
      <c r="K736" s="167" t="s">
        <v>543</v>
      </c>
      <c r="L736" s="167" t="s">
        <v>4549</v>
      </c>
      <c r="M736" s="167"/>
      <c r="N736" s="167"/>
      <c r="O736" s="167" t="s">
        <v>3295</v>
      </c>
      <c r="P736" s="168" t="s">
        <v>10020</v>
      </c>
      <c r="Q736" s="167" t="s">
        <v>3947</v>
      </c>
      <c r="R736" s="172" t="s">
        <v>13344</v>
      </c>
      <c r="S736" s="388" t="s">
        <v>1778</v>
      </c>
      <c r="T736" s="168"/>
      <c r="U736" s="168"/>
      <c r="V736" s="168" t="s">
        <v>2601</v>
      </c>
      <c r="W736" s="312" t="s">
        <v>12538</v>
      </c>
      <c r="X736" s="644" t="s">
        <v>12322</v>
      </c>
      <c r="Y736" s="352" t="s">
        <v>5643</v>
      </c>
      <c r="Z736" s="353">
        <v>206</v>
      </c>
      <c r="AA736" s="353">
        <v>6</v>
      </c>
      <c r="AB736" s="31">
        <f t="shared" ca="1" si="12"/>
        <v>0.53909221586824529</v>
      </c>
      <c r="AC736" s="810"/>
      <c r="AD736" s="811"/>
      <c r="AE736" s="940"/>
      <c r="AF736" s="920">
        <f>IF(X736=X735,AF735,0)+IF(ISNUMBER(I736),IF(I736&lt;1,I736,I736*VLOOKUP(J736,Summary!$H$2:$I$9,2)),VLOOKUP(J736,Summary!$J$2:$K$9,2)*IF(ISNUMBER(H736),H736,1))</f>
        <v>1.1568402777777778</v>
      </c>
      <c r="AG736" s="287">
        <v>735</v>
      </c>
      <c r="AH736" s="94"/>
      <c r="AI736" s="94"/>
    </row>
    <row r="737" spans="1:36" s="22" customFormat="1" ht="12" customHeight="1" x14ac:dyDescent="0.25">
      <c r="A737" s="472">
        <v>9</v>
      </c>
      <c r="B737" s="472">
        <v>3</v>
      </c>
      <c r="C737" s="472">
        <v>2.0299999999999998</v>
      </c>
      <c r="D737" s="176" t="s">
        <v>1853</v>
      </c>
      <c r="E737" s="313" t="s">
        <v>1854</v>
      </c>
      <c r="F737" s="176">
        <v>1995</v>
      </c>
      <c r="G737" s="176"/>
      <c r="H737" s="176" t="s">
        <v>461</v>
      </c>
      <c r="I737" s="176">
        <v>31</v>
      </c>
      <c r="J737" s="900" t="s">
        <v>2755</v>
      </c>
      <c r="K737" s="164" t="s">
        <v>175</v>
      </c>
      <c r="L737" s="164" t="s">
        <v>461</v>
      </c>
      <c r="M737" s="164"/>
      <c r="N737" s="164" t="s">
        <v>7001</v>
      </c>
      <c r="O737" s="164"/>
      <c r="P737" s="173" t="s">
        <v>6554</v>
      </c>
      <c r="Q737" s="164" t="s">
        <v>6548</v>
      </c>
      <c r="R737" s="177" t="s">
        <v>4598</v>
      </c>
      <c r="S737" s="354" t="s">
        <v>1778</v>
      </c>
      <c r="T737" s="173"/>
      <c r="U737" s="173"/>
      <c r="V737" s="173"/>
      <c r="W737" s="313" t="s">
        <v>1854</v>
      </c>
      <c r="X737" s="645" t="s">
        <v>12322</v>
      </c>
      <c r="Y737" s="354" t="s">
        <v>6868</v>
      </c>
      <c r="Z737" s="176">
        <v>31</v>
      </c>
      <c r="AA737" s="869">
        <v>5</v>
      </c>
      <c r="AB737" s="32">
        <f t="shared" ca="1" si="12"/>
        <v>0.56531344068328515</v>
      </c>
      <c r="AC737" s="812"/>
      <c r="AD737" s="763"/>
      <c r="AE737" s="807"/>
      <c r="AF737" s="921">
        <f>IF(X737=X736,AF736,0)+IF(ISNUMBER(I737),IF(I737&lt;1,I737,I737*VLOOKUP(J737,Summary!$H$2:$I$9,2)),VLOOKUP(J737,Summary!$J$2:$K$9,2)*IF(ISNUMBER(H737),H737,1))</f>
        <v>1.1783680555555556</v>
      </c>
      <c r="AG737" s="289">
        <v>736</v>
      </c>
      <c r="AH737" s="94"/>
      <c r="AI737" s="94"/>
    </row>
    <row r="738" spans="1:36" s="1" customFormat="1" ht="12" customHeight="1" x14ac:dyDescent="0.25">
      <c r="A738" s="465">
        <v>9</v>
      </c>
      <c r="B738" s="465">
        <v>3</v>
      </c>
      <c r="C738" s="479">
        <v>3.2</v>
      </c>
      <c r="D738" s="407" t="s">
        <v>12679</v>
      </c>
      <c r="E738" s="315" t="s">
        <v>12680</v>
      </c>
      <c r="F738" s="196">
        <v>42964</v>
      </c>
      <c r="G738" s="170"/>
      <c r="H738" s="170">
        <v>4</v>
      </c>
      <c r="I738" s="747">
        <f>TIME(0,120,0)</f>
        <v>8.3333333333333329E-2</v>
      </c>
      <c r="J738" s="899" t="s">
        <v>4706</v>
      </c>
      <c r="K738" s="167" t="s">
        <v>6970</v>
      </c>
      <c r="L738" s="167" t="s">
        <v>4549</v>
      </c>
      <c r="M738" s="167"/>
      <c r="N738" s="167"/>
      <c r="O738" s="167"/>
      <c r="P738" s="168" t="s">
        <v>12681</v>
      </c>
      <c r="Q738" s="167" t="s">
        <v>3947</v>
      </c>
      <c r="R738" s="172" t="s">
        <v>13344</v>
      </c>
      <c r="S738" s="388" t="s">
        <v>1778</v>
      </c>
      <c r="T738" s="168"/>
      <c r="U738" s="168"/>
      <c r="V738" s="168"/>
      <c r="W738" s="312"/>
      <c r="X738" s="644" t="s">
        <v>12322</v>
      </c>
      <c r="Y738" s="352"/>
      <c r="Z738" s="353"/>
      <c r="AA738" s="353"/>
      <c r="AB738" s="31">
        <f t="shared" ca="1" si="12"/>
        <v>0.10598418857876613</v>
      </c>
      <c r="AC738" s="810"/>
      <c r="AD738" s="811"/>
      <c r="AE738" s="940"/>
      <c r="AF738" s="920">
        <f>IF(X738=X737,AF737,0)+IF(ISNUMBER(I738),IF(I738&lt;1,I738,I738*VLOOKUP(J738,Summary!$H$2:$I$9,2)),VLOOKUP(J738,Summary!$J$2:$K$9,2)*IF(ISNUMBER(H738),H738,1))</f>
        <v>1.2617013888888888</v>
      </c>
      <c r="AG738" s="287">
        <v>737</v>
      </c>
      <c r="AH738" s="94"/>
      <c r="AI738" s="94"/>
    </row>
    <row r="739" spans="1:36" s="1" customFormat="1" ht="12" customHeight="1" x14ac:dyDescent="0.25">
      <c r="A739" s="469">
        <v>9</v>
      </c>
      <c r="B739" s="469">
        <v>3</v>
      </c>
      <c r="C739" s="469">
        <v>3</v>
      </c>
      <c r="D739" s="192" t="s">
        <v>12638</v>
      </c>
      <c r="E739" s="317" t="s">
        <v>12639</v>
      </c>
      <c r="F739" s="209">
        <v>42985</v>
      </c>
      <c r="G739" s="192"/>
      <c r="H739" s="192" t="s">
        <v>461</v>
      </c>
      <c r="I739" s="192"/>
      <c r="J739" s="903" t="s">
        <v>2755</v>
      </c>
      <c r="K739" s="194" t="s">
        <v>5658</v>
      </c>
      <c r="L739" s="194" t="s">
        <v>12629</v>
      </c>
      <c r="M739" s="194" t="s">
        <v>12640</v>
      </c>
      <c r="N739" s="194"/>
      <c r="O739" s="194"/>
      <c r="P739" s="190" t="s">
        <v>12632</v>
      </c>
      <c r="Q739" s="194" t="s">
        <v>3954</v>
      </c>
      <c r="R739" s="193" t="s">
        <v>12631</v>
      </c>
      <c r="S739" s="357" t="s">
        <v>1778</v>
      </c>
      <c r="T739" s="190" t="s">
        <v>2597</v>
      </c>
      <c r="U739" s="190"/>
      <c r="V739" s="190"/>
      <c r="W739" s="317" t="s">
        <v>12639</v>
      </c>
      <c r="X739" s="649" t="s">
        <v>12322</v>
      </c>
      <c r="Y739" s="357"/>
      <c r="Z739" s="192"/>
      <c r="AA739" s="888"/>
      <c r="AB739" s="37">
        <f t="shared" ca="1" si="12"/>
        <v>0.67788160263295982</v>
      </c>
      <c r="AC739" s="816"/>
      <c r="AD739" s="817"/>
      <c r="AE739" s="943"/>
      <c r="AF739" s="924">
        <f>IF(X739=X738,AF738,0)+IF(ISNUMBER(I739),IF(I739&lt;1,I739,I739*VLOOKUP(J739,Summary!$H$2:$I$9,2)),VLOOKUP(J739,Summary!$J$2:$K$9,2)*IF(ISNUMBER(H739),H739,1))</f>
        <v>1.2790625</v>
      </c>
      <c r="AG739" s="292">
        <v>738</v>
      </c>
      <c r="AH739" s="94"/>
      <c r="AI739" s="94"/>
    </row>
    <row r="740" spans="1:36" s="22" customFormat="1" ht="12" customHeight="1" x14ac:dyDescent="0.25">
      <c r="A740" s="472">
        <v>9</v>
      </c>
      <c r="B740" s="472">
        <v>3</v>
      </c>
      <c r="C740" s="472"/>
      <c r="D740" s="176" t="s">
        <v>1708</v>
      </c>
      <c r="E740" s="313" t="s">
        <v>15456</v>
      </c>
      <c r="F740" s="174">
        <v>26908</v>
      </c>
      <c r="G740" s="176"/>
      <c r="H740" s="176" t="s">
        <v>461</v>
      </c>
      <c r="I740" s="176">
        <v>7</v>
      </c>
      <c r="J740" s="900" t="s">
        <v>2755</v>
      </c>
      <c r="K740" s="164" t="s">
        <v>5784</v>
      </c>
      <c r="L740" s="164" t="s">
        <v>461</v>
      </c>
      <c r="M740" s="164"/>
      <c r="N740" s="164"/>
      <c r="O740" s="164"/>
      <c r="P740" s="173" t="s">
        <v>2728</v>
      </c>
      <c r="Q740" s="164" t="s">
        <v>4705</v>
      </c>
      <c r="R740" s="177" t="s">
        <v>4600</v>
      </c>
      <c r="S740" s="354" t="s">
        <v>1778</v>
      </c>
      <c r="T740" s="173"/>
      <c r="U740" s="173"/>
      <c r="V740" s="173"/>
      <c r="W740" s="313" t="s">
        <v>4472</v>
      </c>
      <c r="X740" s="645" t="s">
        <v>12322</v>
      </c>
      <c r="Y740" s="354" t="s">
        <v>6000</v>
      </c>
      <c r="Z740" s="176">
        <v>999</v>
      </c>
      <c r="AA740" s="176"/>
      <c r="AB740" s="32">
        <f t="shared" ca="1" si="12"/>
        <v>0.81516367686515045</v>
      </c>
      <c r="AC740" s="812"/>
      <c r="AD740" s="763"/>
      <c r="AE740" s="807"/>
      <c r="AF740" s="921">
        <f>IF(X740=X739,AF739,0)+IF(ISNUMBER(I740),IF(I740&lt;1,I740,I740*VLOOKUP(J740,Summary!$H$2:$I$9,2)),VLOOKUP(J740,Summary!$J$2:$K$9,2)*IF(ISNUMBER(H740),H740,1))</f>
        <v>1.2839236111111112</v>
      </c>
      <c r="AG740" s="289">
        <v>739</v>
      </c>
      <c r="AH740" s="94"/>
      <c r="AI740" s="94"/>
    </row>
    <row r="741" spans="1:36" s="1" customFormat="1" ht="12" customHeight="1" x14ac:dyDescent="0.25">
      <c r="A741" s="472">
        <v>9</v>
      </c>
      <c r="B741" s="472">
        <v>3</v>
      </c>
      <c r="C741" s="472"/>
      <c r="D741" s="176" t="s">
        <v>1708</v>
      </c>
      <c r="E741" s="313" t="s">
        <v>4473</v>
      </c>
      <c r="F741" s="174">
        <v>26908</v>
      </c>
      <c r="G741" s="176"/>
      <c r="H741" s="176" t="s">
        <v>461</v>
      </c>
      <c r="I741" s="176">
        <v>6</v>
      </c>
      <c r="J741" s="900" t="s">
        <v>2755</v>
      </c>
      <c r="K741" s="164" t="s">
        <v>5784</v>
      </c>
      <c r="L741" s="164" t="s">
        <v>461</v>
      </c>
      <c r="M741" s="164"/>
      <c r="N741" s="164"/>
      <c r="O741" s="164"/>
      <c r="P741" s="173" t="s">
        <v>2728</v>
      </c>
      <c r="Q741" s="164" t="s">
        <v>4705</v>
      </c>
      <c r="R741" s="177" t="s">
        <v>4600</v>
      </c>
      <c r="S741" s="354" t="s">
        <v>1778</v>
      </c>
      <c r="T741" s="173"/>
      <c r="U741" s="173"/>
      <c r="V741" s="173"/>
      <c r="W741" s="313" t="s">
        <v>4473</v>
      </c>
      <c r="X741" s="645" t="s">
        <v>12322</v>
      </c>
      <c r="Y741" s="354" t="s">
        <v>6000</v>
      </c>
      <c r="Z741" s="176">
        <v>999</v>
      </c>
      <c r="AA741" s="176"/>
      <c r="AB741" s="32">
        <f t="shared" ca="1" si="12"/>
        <v>0.38800568713048311</v>
      </c>
      <c r="AC741" s="812"/>
      <c r="AD741" s="763"/>
      <c r="AE741" s="807"/>
      <c r="AF741" s="921">
        <f>IF(X741=X740,AF740,0)+IF(ISNUMBER(I741),IF(I741&lt;1,I741,I741*VLOOKUP(J741,Summary!$H$2:$I$9,2)),VLOOKUP(J741,Summary!$J$2:$K$9,2)*IF(ISNUMBER(H741),H741,1))</f>
        <v>1.2880902777777778</v>
      </c>
      <c r="AG741" s="289">
        <v>740</v>
      </c>
      <c r="AH741" s="94"/>
      <c r="AI741" s="94"/>
    </row>
    <row r="742" spans="1:36" s="22" customFormat="1" ht="12" customHeight="1" x14ac:dyDescent="0.25">
      <c r="A742" s="472">
        <v>9</v>
      </c>
      <c r="B742" s="472">
        <v>3</v>
      </c>
      <c r="C742" s="472"/>
      <c r="D742" s="176" t="s">
        <v>1708</v>
      </c>
      <c r="E742" s="313" t="s">
        <v>4475</v>
      </c>
      <c r="F742" s="174">
        <v>26908</v>
      </c>
      <c r="G742" s="176"/>
      <c r="H742" s="176" t="s">
        <v>461</v>
      </c>
      <c r="I742" s="176">
        <v>6</v>
      </c>
      <c r="J742" s="900" t="s">
        <v>2755</v>
      </c>
      <c r="K742" s="164" t="s">
        <v>5784</v>
      </c>
      <c r="L742" s="164" t="s">
        <v>461</v>
      </c>
      <c r="M742" s="164"/>
      <c r="N742" s="164"/>
      <c r="O742" s="164"/>
      <c r="P742" s="173" t="s">
        <v>2728</v>
      </c>
      <c r="Q742" s="164" t="s">
        <v>4705</v>
      </c>
      <c r="R742" s="177" t="s">
        <v>4600</v>
      </c>
      <c r="S742" s="354" t="s">
        <v>1778</v>
      </c>
      <c r="T742" s="173"/>
      <c r="U742" s="173"/>
      <c r="V742" s="173"/>
      <c r="W742" s="313" t="s">
        <v>4475</v>
      </c>
      <c r="X742" s="645" t="s">
        <v>12322</v>
      </c>
      <c r="Y742" s="354" t="s">
        <v>6000</v>
      </c>
      <c r="Z742" s="176">
        <v>999</v>
      </c>
      <c r="AA742" s="176"/>
      <c r="AB742" s="32">
        <f t="shared" ca="1" si="12"/>
        <v>0.77915371669268163</v>
      </c>
      <c r="AC742" s="812"/>
      <c r="AD742" s="763"/>
      <c r="AE742" s="807"/>
      <c r="AF742" s="921">
        <f>IF(X742=X741,AF741,0)+IF(ISNUMBER(I742),IF(I742&lt;1,I742,I742*VLOOKUP(J742,Summary!$H$2:$I$9,2)),VLOOKUP(J742,Summary!$J$2:$K$9,2)*IF(ISNUMBER(H742),H742,1))</f>
        <v>1.2922569444444445</v>
      </c>
      <c r="AG742" s="289">
        <v>741</v>
      </c>
      <c r="AH742" s="94"/>
      <c r="AI742" s="94"/>
    </row>
    <row r="743" spans="1:36" s="57" customFormat="1" ht="12" customHeight="1" x14ac:dyDescent="0.25">
      <c r="A743" s="467">
        <v>9</v>
      </c>
      <c r="B743" s="467">
        <v>3</v>
      </c>
      <c r="C743" s="467"/>
      <c r="D743" s="185" t="s">
        <v>1708</v>
      </c>
      <c r="E743" s="314" t="s">
        <v>4476</v>
      </c>
      <c r="F743" s="183">
        <v>26908</v>
      </c>
      <c r="G743" s="185"/>
      <c r="H743" s="185" t="s">
        <v>461</v>
      </c>
      <c r="I743" s="185">
        <v>6</v>
      </c>
      <c r="J743" s="901" t="s">
        <v>1796</v>
      </c>
      <c r="K743" s="163" t="s">
        <v>5784</v>
      </c>
      <c r="L743" s="163" t="s">
        <v>461</v>
      </c>
      <c r="M743" s="163"/>
      <c r="N743" s="163"/>
      <c r="O743" s="163"/>
      <c r="P743" s="182" t="s">
        <v>2728</v>
      </c>
      <c r="Q743" s="163" t="s">
        <v>4705</v>
      </c>
      <c r="R743" s="186" t="s">
        <v>4600</v>
      </c>
      <c r="S743" s="355" t="s">
        <v>1778</v>
      </c>
      <c r="T743" s="182"/>
      <c r="U743" s="182"/>
      <c r="V743" s="182"/>
      <c r="W743" s="314" t="s">
        <v>4476</v>
      </c>
      <c r="X743" s="646" t="s">
        <v>12322</v>
      </c>
      <c r="Y743" s="355" t="s">
        <v>6000</v>
      </c>
      <c r="Z743" s="185">
        <v>999</v>
      </c>
      <c r="AA743" s="185"/>
      <c r="AB743" s="33">
        <f t="shared" ca="1" si="12"/>
        <v>0.51366861188853019</v>
      </c>
      <c r="AC743" s="813"/>
      <c r="AD743" s="211"/>
      <c r="AE743" s="941"/>
      <c r="AF743" s="922">
        <f>IF(X743=X742,AF742,0)+IF(ISNUMBER(I743),IF(I743&lt;1,I743,I743*VLOOKUP(J743,Summary!$H$2:$I$9,2)),VLOOKUP(J743,Summary!$J$2:$K$9,2)*IF(ISNUMBER(H743),H743,1))</f>
        <v>1.2943402777777779</v>
      </c>
      <c r="AG743" s="290">
        <v>742</v>
      </c>
      <c r="AH743" s="94"/>
      <c r="AI743" s="94"/>
    </row>
    <row r="744" spans="1:36" s="1" customFormat="1" ht="12" customHeight="1" x14ac:dyDescent="0.25">
      <c r="A744" s="472">
        <v>9</v>
      </c>
      <c r="B744" s="472">
        <v>3</v>
      </c>
      <c r="C744" s="472"/>
      <c r="D744" s="176" t="s">
        <v>1708</v>
      </c>
      <c r="E744" s="313" t="s">
        <v>4477</v>
      </c>
      <c r="F744" s="174">
        <v>26908</v>
      </c>
      <c r="G744" s="176"/>
      <c r="H744" s="176" t="s">
        <v>461</v>
      </c>
      <c r="I744" s="176">
        <v>5</v>
      </c>
      <c r="J744" s="900" t="s">
        <v>2755</v>
      </c>
      <c r="K744" s="164" t="s">
        <v>5784</v>
      </c>
      <c r="L744" s="164" t="s">
        <v>461</v>
      </c>
      <c r="M744" s="164"/>
      <c r="N744" s="164"/>
      <c r="O744" s="164"/>
      <c r="P744" s="173" t="s">
        <v>2728</v>
      </c>
      <c r="Q744" s="164" t="s">
        <v>4705</v>
      </c>
      <c r="R744" s="177" t="s">
        <v>4600</v>
      </c>
      <c r="S744" s="354" t="s">
        <v>1778</v>
      </c>
      <c r="T744" s="173"/>
      <c r="U744" s="173"/>
      <c r="V744" s="173"/>
      <c r="W744" s="313" t="s">
        <v>4477</v>
      </c>
      <c r="X744" s="645" t="s">
        <v>12322</v>
      </c>
      <c r="Y744" s="354" t="s">
        <v>6000</v>
      </c>
      <c r="Z744" s="176">
        <v>999</v>
      </c>
      <c r="AA744" s="176"/>
      <c r="AB744" s="32">
        <f t="shared" ca="1" si="12"/>
        <v>0.47923950759185219</v>
      </c>
      <c r="AC744" s="812"/>
      <c r="AD744" s="763"/>
      <c r="AE744" s="807"/>
      <c r="AF744" s="921">
        <f>IF(X744=X743,AF743,0)+IF(ISNUMBER(I744),IF(I744&lt;1,I744,I744*VLOOKUP(J744,Summary!$H$2:$I$9,2)),VLOOKUP(J744,Summary!$J$2:$K$9,2)*IF(ISNUMBER(H744),H744,1))</f>
        <v>1.2978125000000003</v>
      </c>
      <c r="AG744" s="289">
        <v>743</v>
      </c>
      <c r="AH744" s="94"/>
      <c r="AI744" s="94"/>
    </row>
    <row r="745" spans="1:36" s="22" customFormat="1" ht="12" customHeight="1" x14ac:dyDescent="0.25">
      <c r="A745" s="472">
        <v>9</v>
      </c>
      <c r="B745" s="472">
        <v>3</v>
      </c>
      <c r="C745" s="472"/>
      <c r="D745" s="176" t="s">
        <v>1708</v>
      </c>
      <c r="E745" s="313" t="s">
        <v>4478</v>
      </c>
      <c r="F745" s="174">
        <v>26908</v>
      </c>
      <c r="G745" s="176"/>
      <c r="H745" s="176" t="s">
        <v>461</v>
      </c>
      <c r="I745" s="176">
        <v>6</v>
      </c>
      <c r="J745" s="900" t="s">
        <v>2755</v>
      </c>
      <c r="K745" s="164" t="s">
        <v>5784</v>
      </c>
      <c r="L745" s="164" t="s">
        <v>461</v>
      </c>
      <c r="M745" s="164"/>
      <c r="N745" s="164"/>
      <c r="O745" s="164"/>
      <c r="P745" s="173" t="s">
        <v>2728</v>
      </c>
      <c r="Q745" s="164" t="s">
        <v>4705</v>
      </c>
      <c r="R745" s="177" t="s">
        <v>4600</v>
      </c>
      <c r="S745" s="354" t="s">
        <v>1778</v>
      </c>
      <c r="T745" s="173"/>
      <c r="U745" s="173"/>
      <c r="V745" s="173"/>
      <c r="W745" s="313" t="s">
        <v>4478</v>
      </c>
      <c r="X745" s="645" t="s">
        <v>12322</v>
      </c>
      <c r="Y745" s="354" t="s">
        <v>6000</v>
      </c>
      <c r="Z745" s="176">
        <v>999</v>
      </c>
      <c r="AA745" s="176"/>
      <c r="AB745" s="32">
        <f t="shared" ca="1" si="12"/>
        <v>6.5172726680256088E-2</v>
      </c>
      <c r="AC745" s="812"/>
      <c r="AD745" s="763"/>
      <c r="AE745" s="807"/>
      <c r="AF745" s="921">
        <f>IF(X745=X744,AF744,0)+IF(ISNUMBER(I745),IF(I745&lt;1,I745,I745*VLOOKUP(J745,Summary!$H$2:$I$9,2)),VLOOKUP(J745,Summary!$J$2:$K$9,2)*IF(ISNUMBER(H745),H745,1))</f>
        <v>1.3019791666666669</v>
      </c>
      <c r="AG745" s="289">
        <v>744</v>
      </c>
      <c r="AH745" s="94"/>
      <c r="AI745" s="94"/>
    </row>
    <row r="746" spans="1:36" s="22" customFormat="1" ht="12" customHeight="1" x14ac:dyDescent="0.25">
      <c r="A746" s="472">
        <v>9</v>
      </c>
      <c r="B746" s="472">
        <v>3</v>
      </c>
      <c r="C746" s="472"/>
      <c r="D746" s="176" t="s">
        <v>1708</v>
      </c>
      <c r="E746" s="313" t="s">
        <v>4479</v>
      </c>
      <c r="F746" s="174">
        <v>26908</v>
      </c>
      <c r="G746" s="176"/>
      <c r="H746" s="176" t="s">
        <v>461</v>
      </c>
      <c r="I746" s="176">
        <v>5</v>
      </c>
      <c r="J746" s="900" t="s">
        <v>2755</v>
      </c>
      <c r="K746" s="164" t="s">
        <v>5784</v>
      </c>
      <c r="L746" s="164" t="s">
        <v>461</v>
      </c>
      <c r="M746" s="164"/>
      <c r="N746" s="164"/>
      <c r="O746" s="164"/>
      <c r="P746" s="173" t="s">
        <v>2728</v>
      </c>
      <c r="Q746" s="164" t="s">
        <v>4705</v>
      </c>
      <c r="R746" s="177" t="s">
        <v>4600</v>
      </c>
      <c r="S746" s="354" t="s">
        <v>1778</v>
      </c>
      <c r="T746" s="173"/>
      <c r="U746" s="173"/>
      <c r="V746" s="173"/>
      <c r="W746" s="313" t="s">
        <v>4479</v>
      </c>
      <c r="X746" s="645" t="s">
        <v>12322</v>
      </c>
      <c r="Y746" s="354" t="s">
        <v>6000</v>
      </c>
      <c r="Z746" s="176">
        <v>999</v>
      </c>
      <c r="AA746" s="176"/>
      <c r="AB746" s="32">
        <f t="shared" ca="1" si="12"/>
        <v>0.41505455450157791</v>
      </c>
      <c r="AC746" s="812"/>
      <c r="AD746" s="763"/>
      <c r="AE746" s="807"/>
      <c r="AF746" s="921">
        <f>IF(X746=X745,AF745,0)+IF(ISNUMBER(I746),IF(I746&lt;1,I746,I746*VLOOKUP(J746,Summary!$H$2:$I$9,2)),VLOOKUP(J746,Summary!$J$2:$K$9,2)*IF(ISNUMBER(H746),H746,1))</f>
        <v>1.3054513888888892</v>
      </c>
      <c r="AG746" s="289">
        <v>745</v>
      </c>
      <c r="AH746" s="94"/>
      <c r="AI746" s="94"/>
    </row>
    <row r="747" spans="1:36" s="22" customFormat="1" ht="12" customHeight="1" x14ac:dyDescent="0.2">
      <c r="A747" s="467">
        <v>9</v>
      </c>
      <c r="B747" s="467">
        <v>3</v>
      </c>
      <c r="C747" s="467">
        <v>78</v>
      </c>
      <c r="D747" s="185" t="s">
        <v>3550</v>
      </c>
      <c r="E747" s="314" t="s">
        <v>3549</v>
      </c>
      <c r="F747" s="184">
        <v>35081</v>
      </c>
      <c r="G747" s="184"/>
      <c r="H747" s="185">
        <v>1</v>
      </c>
      <c r="I747" s="185">
        <v>7</v>
      </c>
      <c r="J747" s="901" t="s">
        <v>1796</v>
      </c>
      <c r="K747" s="163" t="s">
        <v>3451</v>
      </c>
      <c r="L747" s="163" t="s">
        <v>3551</v>
      </c>
      <c r="M747" s="163"/>
      <c r="N747" s="163" t="s">
        <v>2750</v>
      </c>
      <c r="O747" s="163"/>
      <c r="P747" s="182" t="s">
        <v>461</v>
      </c>
      <c r="Q747" s="163" t="s">
        <v>4062</v>
      </c>
      <c r="R747" s="186" t="s">
        <v>5266</v>
      </c>
      <c r="S747" s="355" t="s">
        <v>1778</v>
      </c>
      <c r="T747" s="182" t="s">
        <v>2597</v>
      </c>
      <c r="U747" s="182"/>
      <c r="V747" s="182"/>
      <c r="W747" s="314" t="s">
        <v>3549</v>
      </c>
      <c r="X747" s="646" t="s">
        <v>12322</v>
      </c>
      <c r="Y747" s="355"/>
      <c r="Z747" s="185"/>
      <c r="AA747" s="185"/>
      <c r="AB747" s="33">
        <f t="shared" ca="1" si="12"/>
        <v>0.36975051460438491</v>
      </c>
      <c r="AC747" s="813"/>
      <c r="AD747" s="211"/>
      <c r="AE747" s="875"/>
      <c r="AF747" s="922">
        <f>IF(X747=X746,AF746,0)+IF(ISNUMBER(I747),IF(I747&lt;1,I747,I747*VLOOKUP(J747,Summary!$H$2:$I$9,2)),VLOOKUP(J747,Summary!$J$2:$K$9,2)*IF(ISNUMBER(H747),H747,1))</f>
        <v>1.3078819444444447</v>
      </c>
      <c r="AG747" s="290">
        <v>746</v>
      </c>
      <c r="AH747" s="94"/>
      <c r="AI747" s="94"/>
    </row>
    <row r="748" spans="1:36" s="29" customFormat="1" ht="12" customHeight="1" x14ac:dyDescent="0.25">
      <c r="A748" s="465" t="s">
        <v>7020</v>
      </c>
      <c r="B748" s="465">
        <v>3</v>
      </c>
      <c r="C748" s="480">
        <v>6.0110000000000001</v>
      </c>
      <c r="D748" s="407" t="s">
        <v>3334</v>
      </c>
      <c r="E748" s="315" t="s">
        <v>7568</v>
      </c>
      <c r="F748" s="169">
        <v>40725</v>
      </c>
      <c r="G748" s="170"/>
      <c r="H748" s="170">
        <v>1</v>
      </c>
      <c r="I748" s="170">
        <v>0</v>
      </c>
      <c r="J748" s="899" t="s">
        <v>4706</v>
      </c>
      <c r="K748" s="167" t="s">
        <v>177</v>
      </c>
      <c r="L748" s="167" t="s">
        <v>5662</v>
      </c>
      <c r="M748" s="167" t="s">
        <v>3821</v>
      </c>
      <c r="N748" s="167"/>
      <c r="O748" s="167"/>
      <c r="P748" s="168" t="s">
        <v>6703</v>
      </c>
      <c r="Q748" s="167" t="s">
        <v>3947</v>
      </c>
      <c r="R748" s="172" t="s">
        <v>3153</v>
      </c>
      <c r="S748" s="388" t="s">
        <v>1778</v>
      </c>
      <c r="T748" s="168"/>
      <c r="U748" s="168"/>
      <c r="V748" s="168"/>
      <c r="W748" s="315" t="s">
        <v>8659</v>
      </c>
      <c r="X748" s="647" t="s">
        <v>12322</v>
      </c>
      <c r="Y748" s="352" t="s">
        <v>5643</v>
      </c>
      <c r="Z748" s="353" t="s">
        <v>461</v>
      </c>
      <c r="AA748" s="353"/>
      <c r="AB748" s="31">
        <f t="shared" ca="1" si="12"/>
        <v>0.72895271516684967</v>
      </c>
      <c r="AC748" s="810"/>
      <c r="AD748" s="811"/>
      <c r="AE748" s="948"/>
      <c r="AF748" s="920">
        <f>IF(X748=X747,AF747,0)+IF(ISNUMBER(I748),IF(I748&lt;1,I748,I748*VLOOKUP(J748,Summary!$H$2:$I$9,2)),VLOOKUP(J748,Summary!$J$2:$K$9,2)*IF(ISNUMBER(H748),H748,1))</f>
        <v>1.3078819444444447</v>
      </c>
      <c r="AG748" s="287">
        <v>747</v>
      </c>
      <c r="AH748" s="94"/>
      <c r="AI748" s="94"/>
    </row>
    <row r="749" spans="1:36" s="22" customFormat="1" ht="12" customHeight="1" x14ac:dyDescent="0.25">
      <c r="A749" s="408"/>
      <c r="B749" s="408" t="s">
        <v>2650</v>
      </c>
      <c r="C749" s="408">
        <v>10</v>
      </c>
      <c r="D749" s="176" t="s">
        <v>860</v>
      </c>
      <c r="E749" s="313" t="s">
        <v>833</v>
      </c>
      <c r="F749" s="174">
        <v>36100</v>
      </c>
      <c r="G749" s="175"/>
      <c r="H749" s="176" t="s">
        <v>461</v>
      </c>
      <c r="I749" s="176"/>
      <c r="J749" s="900" t="s">
        <v>2755</v>
      </c>
      <c r="K749" s="164" t="s">
        <v>899</v>
      </c>
      <c r="L749" s="164"/>
      <c r="M749" s="164"/>
      <c r="N749" s="164" t="s">
        <v>819</v>
      </c>
      <c r="O749" s="164"/>
      <c r="P749" s="178" t="s">
        <v>461</v>
      </c>
      <c r="Q749" s="164" t="s">
        <v>820</v>
      </c>
      <c r="R749" s="177" t="s">
        <v>895</v>
      </c>
      <c r="S749" s="354"/>
      <c r="T749" s="173"/>
      <c r="U749" s="173"/>
      <c r="V749" s="173"/>
      <c r="W749" s="313" t="s">
        <v>833</v>
      </c>
      <c r="X749" s="645" t="s">
        <v>12322</v>
      </c>
      <c r="Y749" s="354"/>
      <c r="Z749" s="176"/>
      <c r="AA749" s="176"/>
      <c r="AB749" s="32">
        <f t="shared" ca="1" si="12"/>
        <v>0.95440323249187353</v>
      </c>
      <c r="AC749" s="812"/>
      <c r="AD749" s="763"/>
      <c r="AE749" s="807"/>
      <c r="AF749" s="921">
        <f>IF(X749=X748,AF748,0)+IF(ISNUMBER(I749),IF(I749&lt;1,I749,I749*VLOOKUP(J749,Summary!$H$2:$I$9,2)),VLOOKUP(J749,Summary!$J$2:$K$9,2)*IF(ISNUMBER(H749),H749,1))</f>
        <v>1.3252430555555559</v>
      </c>
      <c r="AG749" s="289">
        <v>748</v>
      </c>
      <c r="AH749" s="94"/>
      <c r="AI749" s="94"/>
    </row>
    <row r="750" spans="1:36" s="22" customFormat="1" ht="12" customHeight="1" x14ac:dyDescent="0.25">
      <c r="A750" s="468">
        <v>9</v>
      </c>
      <c r="B750" s="468">
        <v>3</v>
      </c>
      <c r="C750" s="468">
        <v>30</v>
      </c>
      <c r="D750" s="417" t="s">
        <v>1551</v>
      </c>
      <c r="E750" s="316" t="s">
        <v>8363</v>
      </c>
      <c r="F750" s="187">
        <v>36617</v>
      </c>
      <c r="G750" s="188"/>
      <c r="H750" s="188" t="str">
        <f>IF(J750="Book","n/a","")</f>
        <v>n/a</v>
      </c>
      <c r="I750" s="188">
        <v>288</v>
      </c>
      <c r="J750" s="902" t="s">
        <v>6868</v>
      </c>
      <c r="K750" s="162" t="s">
        <v>5658</v>
      </c>
      <c r="L750" s="162" t="str">
        <f>IF(J750="Book","n/a","")</f>
        <v>n/a</v>
      </c>
      <c r="M750" s="162"/>
      <c r="N750" s="162"/>
      <c r="O750" s="162"/>
      <c r="P750" s="178" t="s">
        <v>8955</v>
      </c>
      <c r="Q750" s="162" t="s">
        <v>3953</v>
      </c>
      <c r="R750" s="189" t="s">
        <v>2717</v>
      </c>
      <c r="S750" s="366" t="s">
        <v>1778</v>
      </c>
      <c r="T750" s="178" t="s">
        <v>2597</v>
      </c>
      <c r="U750" s="178"/>
      <c r="V750" s="178" t="s">
        <v>3535</v>
      </c>
      <c r="W750" s="316" t="s">
        <v>8363</v>
      </c>
      <c r="X750" s="648" t="s">
        <v>12505</v>
      </c>
      <c r="Y750" s="356" t="s">
        <v>6868</v>
      </c>
      <c r="Z750" s="272"/>
      <c r="AA750" s="272"/>
      <c r="AB750" s="34">
        <f t="shared" ca="1" si="12"/>
        <v>0.47290107880292442</v>
      </c>
      <c r="AC750" s="814"/>
      <c r="AD750" s="815" t="s">
        <v>14966</v>
      </c>
      <c r="AE750" s="942" t="s">
        <v>3234</v>
      </c>
      <c r="AF750" s="923">
        <f>IF(X750=X749,AF749,0)+IF(ISNUMBER(I750),IF(I750&lt;1,I750,I750*VLOOKUP(J750,Summary!$H$2:$I$9,2)),VLOOKUP(J750,Summary!$J$2:$K$9,2)*IF(ISNUMBER(H750),H750,1))</f>
        <v>0.2</v>
      </c>
      <c r="AG750" s="291">
        <v>749</v>
      </c>
      <c r="AH750" s="94"/>
      <c r="AI750" s="94"/>
      <c r="AJ750" s="21"/>
    </row>
    <row r="751" spans="1:36" s="22" customFormat="1" ht="12" customHeight="1" x14ac:dyDescent="0.25">
      <c r="A751" s="408"/>
      <c r="B751" s="408" t="s">
        <v>8364</v>
      </c>
      <c r="C751" s="497">
        <v>0.01</v>
      </c>
      <c r="D751" s="176" t="s">
        <v>11558</v>
      </c>
      <c r="E751" s="313" t="s">
        <v>11559</v>
      </c>
      <c r="F751" s="175">
        <v>38565</v>
      </c>
      <c r="G751" s="175"/>
      <c r="H751" s="176" t="s">
        <v>461</v>
      </c>
      <c r="I751" s="176"/>
      <c r="J751" s="900" t="s">
        <v>2755</v>
      </c>
      <c r="K751" s="164" t="s">
        <v>5658</v>
      </c>
      <c r="L751" s="164" t="s">
        <v>461</v>
      </c>
      <c r="M751" s="164"/>
      <c r="N751" s="164" t="s">
        <v>5658</v>
      </c>
      <c r="O751" s="164"/>
      <c r="P751" s="173" t="s">
        <v>11557</v>
      </c>
      <c r="Q751" s="164" t="s">
        <v>3947</v>
      </c>
      <c r="R751" s="177" t="s">
        <v>11580</v>
      </c>
      <c r="S751" s="354"/>
      <c r="T751" s="173"/>
      <c r="U751" s="173"/>
      <c r="V751" s="173" t="s">
        <v>3535</v>
      </c>
      <c r="W751" s="313" t="s">
        <v>11821</v>
      </c>
      <c r="X751" s="645" t="s">
        <v>12505</v>
      </c>
      <c r="Y751" s="354"/>
      <c r="Z751" s="176"/>
      <c r="AA751" s="176"/>
      <c r="AB751" s="32">
        <f t="shared" ca="1" si="12"/>
        <v>0.31689224074925859</v>
      </c>
      <c r="AC751" s="812"/>
      <c r="AD751" s="763"/>
      <c r="AE751" s="807"/>
      <c r="AF751" s="921">
        <f>IF(X751=X750,AF750,0)+IF(ISNUMBER(I751),IF(I751&lt;1,I751,I751*VLOOKUP(J751,Summary!$H$2:$I$9,2)),VLOOKUP(J751,Summary!$J$2:$K$9,2)*IF(ISNUMBER(H751),H751,1))</f>
        <v>0.21736111111111112</v>
      </c>
      <c r="AG751" s="288">
        <v>750</v>
      </c>
      <c r="AH751" s="94"/>
      <c r="AI751" s="94"/>
    </row>
    <row r="752" spans="1:36" s="2" customFormat="1" ht="12" customHeight="1" x14ac:dyDescent="0.25">
      <c r="A752" s="408"/>
      <c r="B752" s="408" t="s">
        <v>8364</v>
      </c>
      <c r="C752" s="497">
        <v>0.02</v>
      </c>
      <c r="D752" s="176" t="s">
        <v>11560</v>
      </c>
      <c r="E752" s="313" t="s">
        <v>11561</v>
      </c>
      <c r="F752" s="175">
        <v>38565</v>
      </c>
      <c r="G752" s="175"/>
      <c r="H752" s="176" t="s">
        <v>461</v>
      </c>
      <c r="I752" s="176"/>
      <c r="J752" s="900" t="s">
        <v>2755</v>
      </c>
      <c r="K752" s="164" t="s">
        <v>543</v>
      </c>
      <c r="L752" s="164" t="s">
        <v>461</v>
      </c>
      <c r="M752" s="164"/>
      <c r="N752" s="164" t="s">
        <v>5658</v>
      </c>
      <c r="O752" s="164"/>
      <c r="P752" s="173" t="s">
        <v>11557</v>
      </c>
      <c r="Q752" s="164" t="s">
        <v>3947</v>
      </c>
      <c r="R752" s="177" t="s">
        <v>11580</v>
      </c>
      <c r="S752" s="354"/>
      <c r="T752" s="173"/>
      <c r="U752" s="173"/>
      <c r="V752" s="173" t="s">
        <v>3535</v>
      </c>
      <c r="W752" s="313" t="s">
        <v>11822</v>
      </c>
      <c r="X752" s="645" t="s">
        <v>12505</v>
      </c>
      <c r="Y752" s="354"/>
      <c r="Z752" s="176"/>
      <c r="AA752" s="176"/>
      <c r="AB752" s="32">
        <f t="shared" ca="1" si="12"/>
        <v>0.6102335905341385</v>
      </c>
      <c r="AC752" s="812"/>
      <c r="AD752" s="763"/>
      <c r="AE752" s="807"/>
      <c r="AF752" s="921">
        <f>IF(X752=X751,AF751,0)+IF(ISNUMBER(I752),IF(I752&lt;1,I752,I752*VLOOKUP(J752,Summary!$H$2:$I$9,2)),VLOOKUP(J752,Summary!$J$2:$K$9,2)*IF(ISNUMBER(H752),H752,1))</f>
        <v>0.23472222222222222</v>
      </c>
      <c r="AG752" s="289">
        <v>751</v>
      </c>
      <c r="AH752" s="94"/>
      <c r="AI752" s="94"/>
    </row>
    <row r="753" spans="1:35" s="22" customFormat="1" ht="12" customHeight="1" x14ac:dyDescent="0.25">
      <c r="A753" s="408"/>
      <c r="B753" s="408" t="s">
        <v>8364</v>
      </c>
      <c r="C753" s="497">
        <v>0.03</v>
      </c>
      <c r="D753" s="176" t="s">
        <v>11562</v>
      </c>
      <c r="E753" s="313" t="s">
        <v>11563</v>
      </c>
      <c r="F753" s="175">
        <v>38565</v>
      </c>
      <c r="G753" s="175"/>
      <c r="H753" s="176" t="s">
        <v>461</v>
      </c>
      <c r="I753" s="176"/>
      <c r="J753" s="900" t="s">
        <v>2755</v>
      </c>
      <c r="K753" s="164" t="s">
        <v>7109</v>
      </c>
      <c r="L753" s="164" t="s">
        <v>461</v>
      </c>
      <c r="M753" s="164"/>
      <c r="N753" s="164" t="s">
        <v>5658</v>
      </c>
      <c r="O753" s="164"/>
      <c r="P753" s="173" t="s">
        <v>11557</v>
      </c>
      <c r="Q753" s="164" t="s">
        <v>3947</v>
      </c>
      <c r="R753" s="177" t="s">
        <v>11580</v>
      </c>
      <c r="S753" s="354"/>
      <c r="T753" s="173"/>
      <c r="U753" s="173"/>
      <c r="V753" s="173" t="s">
        <v>3535</v>
      </c>
      <c r="W753" s="313" t="s">
        <v>11823</v>
      </c>
      <c r="X753" s="645" t="s">
        <v>12505</v>
      </c>
      <c r="Y753" s="354"/>
      <c r="Z753" s="176"/>
      <c r="AA753" s="176"/>
      <c r="AB753" s="32">
        <f t="shared" ca="1" si="12"/>
        <v>0.80769043806076957</v>
      </c>
      <c r="AC753" s="812"/>
      <c r="AD753" s="763"/>
      <c r="AE753" s="807"/>
      <c r="AF753" s="921">
        <f>IF(X753=X752,AF752,0)+IF(ISNUMBER(I753),IF(I753&lt;1,I753,I753*VLOOKUP(J753,Summary!$H$2:$I$9,2)),VLOOKUP(J753,Summary!$J$2:$K$9,2)*IF(ISNUMBER(H753),H753,1))</f>
        <v>0.25208333333333333</v>
      </c>
      <c r="AG753" s="289">
        <v>752</v>
      </c>
      <c r="AH753" s="94"/>
      <c r="AI753" s="94"/>
    </row>
    <row r="754" spans="1:35" s="22" customFormat="1" ht="12" customHeight="1" x14ac:dyDescent="0.25">
      <c r="A754" s="408"/>
      <c r="B754" s="408" t="s">
        <v>8364</v>
      </c>
      <c r="C754" s="497">
        <v>0.04</v>
      </c>
      <c r="D754" s="176" t="s">
        <v>11564</v>
      </c>
      <c r="E754" s="313" t="s">
        <v>11565</v>
      </c>
      <c r="F754" s="175">
        <v>38565</v>
      </c>
      <c r="G754" s="175"/>
      <c r="H754" s="176" t="s">
        <v>461</v>
      </c>
      <c r="I754" s="176"/>
      <c r="J754" s="900" t="s">
        <v>2755</v>
      </c>
      <c r="K754" s="164" t="s">
        <v>3324</v>
      </c>
      <c r="L754" s="164" t="s">
        <v>461</v>
      </c>
      <c r="M754" s="164"/>
      <c r="N754" s="164" t="s">
        <v>5658</v>
      </c>
      <c r="O754" s="164"/>
      <c r="P754" s="173" t="s">
        <v>11557</v>
      </c>
      <c r="Q754" s="164" t="s">
        <v>3947</v>
      </c>
      <c r="R754" s="177" t="s">
        <v>11580</v>
      </c>
      <c r="S754" s="354"/>
      <c r="T754" s="173"/>
      <c r="U754" s="173"/>
      <c r="V754" s="173" t="s">
        <v>3535</v>
      </c>
      <c r="W754" s="313" t="s">
        <v>11824</v>
      </c>
      <c r="X754" s="645" t="s">
        <v>12505</v>
      </c>
      <c r="Y754" s="354"/>
      <c r="Z754" s="176"/>
      <c r="AA754" s="176"/>
      <c r="AB754" s="32">
        <f t="shared" ca="1" si="12"/>
        <v>0.90756900309040445</v>
      </c>
      <c r="AC754" s="812"/>
      <c r="AD754" s="763"/>
      <c r="AE754" s="807"/>
      <c r="AF754" s="921">
        <f>IF(X754=X753,AF753,0)+IF(ISNUMBER(I754),IF(I754&lt;1,I754,I754*VLOOKUP(J754,Summary!$H$2:$I$9,2)),VLOOKUP(J754,Summary!$J$2:$K$9,2)*IF(ISNUMBER(H754),H754,1))</f>
        <v>0.26944444444444443</v>
      </c>
      <c r="AG754" s="289">
        <v>753</v>
      </c>
      <c r="AH754" s="94"/>
      <c r="AI754" s="94"/>
    </row>
    <row r="755" spans="1:35" s="22" customFormat="1" ht="12" customHeight="1" x14ac:dyDescent="0.25">
      <c r="A755" s="408"/>
      <c r="B755" s="408" t="s">
        <v>8364</v>
      </c>
      <c r="C755" s="497">
        <v>0.05</v>
      </c>
      <c r="D755" s="176" t="s">
        <v>11566</v>
      </c>
      <c r="E755" s="313" t="s">
        <v>11567</v>
      </c>
      <c r="F755" s="175">
        <v>38565</v>
      </c>
      <c r="G755" s="175"/>
      <c r="H755" s="176" t="s">
        <v>461</v>
      </c>
      <c r="I755" s="176"/>
      <c r="J755" s="900" t="s">
        <v>2755</v>
      </c>
      <c r="K755" s="164" t="s">
        <v>6237</v>
      </c>
      <c r="L755" s="164" t="s">
        <v>461</v>
      </c>
      <c r="M755" s="164"/>
      <c r="N755" s="164" t="s">
        <v>5658</v>
      </c>
      <c r="O755" s="164"/>
      <c r="P755" s="173" t="s">
        <v>11557</v>
      </c>
      <c r="Q755" s="164" t="s">
        <v>3947</v>
      </c>
      <c r="R755" s="177" t="s">
        <v>11580</v>
      </c>
      <c r="S755" s="354"/>
      <c r="T755" s="173"/>
      <c r="U755" s="173"/>
      <c r="V755" s="173" t="s">
        <v>3535</v>
      </c>
      <c r="W755" s="313" t="s">
        <v>11825</v>
      </c>
      <c r="X755" s="645" t="s">
        <v>12505</v>
      </c>
      <c r="Y755" s="354"/>
      <c r="Z755" s="176"/>
      <c r="AA755" s="176"/>
      <c r="AB755" s="32">
        <f t="shared" ca="1" si="12"/>
        <v>0.49357906817884034</v>
      </c>
      <c r="AC755" s="812"/>
      <c r="AD755" s="763"/>
      <c r="AE755" s="807"/>
      <c r="AF755" s="921">
        <f>IF(X755=X754,AF754,0)+IF(ISNUMBER(I755),IF(I755&lt;1,I755,I755*VLOOKUP(J755,Summary!$H$2:$I$9,2)),VLOOKUP(J755,Summary!$J$2:$K$9,2)*IF(ISNUMBER(H755),H755,1))</f>
        <v>0.28680555555555554</v>
      </c>
      <c r="AG755" s="289">
        <v>754</v>
      </c>
      <c r="AH755" s="94"/>
      <c r="AI755" s="94"/>
    </row>
    <row r="756" spans="1:35" s="29" customFormat="1" ht="12" customHeight="1" x14ac:dyDescent="0.25">
      <c r="A756" s="408"/>
      <c r="B756" s="408" t="s">
        <v>8364</v>
      </c>
      <c r="C756" s="497">
        <v>0.06</v>
      </c>
      <c r="D756" s="176" t="s">
        <v>11568</v>
      </c>
      <c r="E756" s="313" t="s">
        <v>11569</v>
      </c>
      <c r="F756" s="175">
        <v>38565</v>
      </c>
      <c r="G756" s="175"/>
      <c r="H756" s="176" t="s">
        <v>461</v>
      </c>
      <c r="I756" s="176"/>
      <c r="J756" s="900" t="s">
        <v>2755</v>
      </c>
      <c r="K756" s="164" t="s">
        <v>2312</v>
      </c>
      <c r="L756" s="164" t="s">
        <v>461</v>
      </c>
      <c r="M756" s="164"/>
      <c r="N756" s="164" t="s">
        <v>5658</v>
      </c>
      <c r="O756" s="164"/>
      <c r="P756" s="173" t="s">
        <v>11557</v>
      </c>
      <c r="Q756" s="164" t="s">
        <v>3947</v>
      </c>
      <c r="R756" s="177" t="s">
        <v>11580</v>
      </c>
      <c r="S756" s="354"/>
      <c r="T756" s="173"/>
      <c r="U756" s="173"/>
      <c r="V756" s="173" t="s">
        <v>3535</v>
      </c>
      <c r="W756" s="313" t="s">
        <v>11826</v>
      </c>
      <c r="X756" s="645" t="s">
        <v>12505</v>
      </c>
      <c r="Y756" s="354"/>
      <c r="Z756" s="176"/>
      <c r="AA756" s="176"/>
      <c r="AB756" s="32">
        <f t="shared" ca="1" si="12"/>
        <v>0.36467627823573667</v>
      </c>
      <c r="AC756" s="812"/>
      <c r="AD756" s="763"/>
      <c r="AE756" s="807"/>
      <c r="AF756" s="921">
        <f>IF(X756=X755,AF755,0)+IF(ISNUMBER(I756),IF(I756&lt;1,I756,I756*VLOOKUP(J756,Summary!$H$2:$I$9,2)),VLOOKUP(J756,Summary!$J$2:$K$9,2)*IF(ISNUMBER(H756),H756,1))</f>
        <v>0.30416666666666664</v>
      </c>
      <c r="AG756" s="289">
        <v>755</v>
      </c>
      <c r="AH756" s="94"/>
      <c r="AI756" s="94"/>
    </row>
    <row r="757" spans="1:35" s="29" customFormat="1" ht="12" customHeight="1" x14ac:dyDescent="0.25">
      <c r="A757" s="408"/>
      <c r="B757" s="408" t="s">
        <v>8364</v>
      </c>
      <c r="C757" s="497">
        <v>7.0000000000000007E-2</v>
      </c>
      <c r="D757" s="176" t="s">
        <v>11570</v>
      </c>
      <c r="E757" s="313" t="s">
        <v>11571</v>
      </c>
      <c r="F757" s="175">
        <v>38565</v>
      </c>
      <c r="G757" s="175"/>
      <c r="H757" s="176" t="s">
        <v>461</v>
      </c>
      <c r="I757" s="176"/>
      <c r="J757" s="900" t="s">
        <v>2755</v>
      </c>
      <c r="K757" s="164" t="s">
        <v>4031</v>
      </c>
      <c r="L757" s="164" t="s">
        <v>461</v>
      </c>
      <c r="M757" s="164"/>
      <c r="N757" s="164" t="s">
        <v>5658</v>
      </c>
      <c r="O757" s="164"/>
      <c r="P757" s="173" t="s">
        <v>11557</v>
      </c>
      <c r="Q757" s="164" t="s">
        <v>3947</v>
      </c>
      <c r="R757" s="177" t="s">
        <v>11580</v>
      </c>
      <c r="S757" s="354"/>
      <c r="T757" s="173"/>
      <c r="U757" s="173"/>
      <c r="V757" s="173" t="s">
        <v>3535</v>
      </c>
      <c r="W757" s="313" t="s">
        <v>11827</v>
      </c>
      <c r="X757" s="645" t="s">
        <v>12505</v>
      </c>
      <c r="Y757" s="354"/>
      <c r="Z757" s="176"/>
      <c r="AA757" s="176"/>
      <c r="AB757" s="32">
        <f t="shared" ca="1" si="12"/>
        <v>0.75618374564719371</v>
      </c>
      <c r="AC757" s="812"/>
      <c r="AD757" s="763"/>
      <c r="AE757" s="807"/>
      <c r="AF757" s="921">
        <f>IF(X757=X756,AF756,0)+IF(ISNUMBER(I757),IF(I757&lt;1,I757,I757*VLOOKUP(J757,Summary!$H$2:$I$9,2)),VLOOKUP(J757,Summary!$J$2:$K$9,2)*IF(ISNUMBER(H757),H757,1))</f>
        <v>0.32152777777777775</v>
      </c>
      <c r="AG757" s="289">
        <v>756</v>
      </c>
      <c r="AH757" s="94"/>
      <c r="AI757" s="94"/>
    </row>
    <row r="758" spans="1:35" s="22" customFormat="1" ht="12" customHeight="1" x14ac:dyDescent="0.25">
      <c r="A758" s="408"/>
      <c r="B758" s="408" t="s">
        <v>8364</v>
      </c>
      <c r="C758" s="497">
        <v>0.08</v>
      </c>
      <c r="D758" s="176" t="s">
        <v>11572</v>
      </c>
      <c r="E758" s="313" t="s">
        <v>11573</v>
      </c>
      <c r="F758" s="175">
        <v>38565</v>
      </c>
      <c r="G758" s="175"/>
      <c r="H758" s="176" t="s">
        <v>461</v>
      </c>
      <c r="I758" s="176"/>
      <c r="J758" s="900" t="s">
        <v>2755</v>
      </c>
      <c r="K758" s="164" t="s">
        <v>7800</v>
      </c>
      <c r="L758" s="164" t="s">
        <v>461</v>
      </c>
      <c r="M758" s="164"/>
      <c r="N758" s="164" t="s">
        <v>5658</v>
      </c>
      <c r="O758" s="164"/>
      <c r="P758" s="173" t="s">
        <v>11557</v>
      </c>
      <c r="Q758" s="164" t="s">
        <v>3947</v>
      </c>
      <c r="R758" s="177" t="s">
        <v>11580</v>
      </c>
      <c r="S758" s="354"/>
      <c r="T758" s="173"/>
      <c r="U758" s="173"/>
      <c r="V758" s="173" t="s">
        <v>3535</v>
      </c>
      <c r="W758" s="313" t="s">
        <v>11828</v>
      </c>
      <c r="X758" s="645" t="s">
        <v>12505</v>
      </c>
      <c r="Y758" s="354"/>
      <c r="Z758" s="176"/>
      <c r="AA758" s="176"/>
      <c r="AB758" s="32">
        <f t="shared" ca="1" si="12"/>
        <v>0.78410664258351426</v>
      </c>
      <c r="AC758" s="812"/>
      <c r="AD758" s="763"/>
      <c r="AE758" s="807"/>
      <c r="AF758" s="921">
        <f>IF(X758=X757,AF757,0)+IF(ISNUMBER(I758),IF(I758&lt;1,I758,I758*VLOOKUP(J758,Summary!$H$2:$I$9,2)),VLOOKUP(J758,Summary!$J$2:$K$9,2)*IF(ISNUMBER(H758),H758,1))</f>
        <v>0.33888888888888885</v>
      </c>
      <c r="AG758" s="289">
        <v>757</v>
      </c>
      <c r="AH758" s="94"/>
      <c r="AI758" s="94"/>
    </row>
    <row r="759" spans="1:35" s="22" customFormat="1" ht="12" customHeight="1" x14ac:dyDescent="0.25">
      <c r="A759" s="408"/>
      <c r="B759" s="408" t="s">
        <v>8364</v>
      </c>
      <c r="C759" s="497">
        <v>0.09</v>
      </c>
      <c r="D759" s="176" t="s">
        <v>11574</v>
      </c>
      <c r="E759" s="313" t="s">
        <v>11575</v>
      </c>
      <c r="F759" s="175">
        <v>38565</v>
      </c>
      <c r="G759" s="175"/>
      <c r="H759" s="176" t="s">
        <v>461</v>
      </c>
      <c r="I759" s="176"/>
      <c r="J759" s="900" t="s">
        <v>2755</v>
      </c>
      <c r="K759" s="164" t="s">
        <v>2311</v>
      </c>
      <c r="L759" s="164" t="s">
        <v>461</v>
      </c>
      <c r="M759" s="164"/>
      <c r="N759" s="164" t="s">
        <v>5658</v>
      </c>
      <c r="O759" s="164"/>
      <c r="P759" s="173" t="s">
        <v>11557</v>
      </c>
      <c r="Q759" s="164" t="s">
        <v>3947</v>
      </c>
      <c r="R759" s="177" t="s">
        <v>11580</v>
      </c>
      <c r="S759" s="354"/>
      <c r="T759" s="173"/>
      <c r="U759" s="173"/>
      <c r="V759" s="173" t="s">
        <v>3535</v>
      </c>
      <c r="W759" s="313" t="s">
        <v>11829</v>
      </c>
      <c r="X759" s="645" t="s">
        <v>12505</v>
      </c>
      <c r="Y759" s="354"/>
      <c r="Z759" s="176"/>
      <c r="AA759" s="176"/>
      <c r="AB759" s="32">
        <f t="shared" ca="1" si="12"/>
        <v>0.19415717966460555</v>
      </c>
      <c r="AC759" s="812"/>
      <c r="AD759" s="763"/>
      <c r="AE759" s="807"/>
      <c r="AF759" s="921">
        <f>IF(X759=X758,AF758,0)+IF(ISNUMBER(I759),IF(I759&lt;1,I759,I759*VLOOKUP(J759,Summary!$H$2:$I$9,2)),VLOOKUP(J759,Summary!$J$2:$K$9,2)*IF(ISNUMBER(H759),H759,1))</f>
        <v>0.35624999999999996</v>
      </c>
      <c r="AG759" s="289">
        <v>758</v>
      </c>
      <c r="AH759" s="94"/>
      <c r="AI759" s="94"/>
    </row>
    <row r="760" spans="1:35" s="22" customFormat="1" ht="12" customHeight="1" x14ac:dyDescent="0.25">
      <c r="A760" s="408"/>
      <c r="B760" s="408" t="s">
        <v>8364</v>
      </c>
      <c r="C760" s="497">
        <v>0.1</v>
      </c>
      <c r="D760" s="176" t="s">
        <v>11576</v>
      </c>
      <c r="E760" s="313" t="s">
        <v>11577</v>
      </c>
      <c r="F760" s="175">
        <v>38565</v>
      </c>
      <c r="G760" s="175"/>
      <c r="H760" s="176" t="s">
        <v>461</v>
      </c>
      <c r="I760" s="176"/>
      <c r="J760" s="900" t="s">
        <v>2755</v>
      </c>
      <c r="K760" s="164" t="s">
        <v>4552</v>
      </c>
      <c r="L760" s="164" t="s">
        <v>461</v>
      </c>
      <c r="M760" s="164"/>
      <c r="N760" s="164" t="s">
        <v>5658</v>
      </c>
      <c r="O760" s="164"/>
      <c r="P760" s="173" t="s">
        <v>11557</v>
      </c>
      <c r="Q760" s="164" t="s">
        <v>3947</v>
      </c>
      <c r="R760" s="177" t="s">
        <v>11580</v>
      </c>
      <c r="S760" s="354"/>
      <c r="T760" s="173"/>
      <c r="U760" s="173"/>
      <c r="V760" s="173" t="s">
        <v>3535</v>
      </c>
      <c r="W760" s="313" t="s">
        <v>11830</v>
      </c>
      <c r="X760" s="645" t="s">
        <v>12505</v>
      </c>
      <c r="Y760" s="354"/>
      <c r="Z760" s="176"/>
      <c r="AA760" s="176"/>
      <c r="AB760" s="32">
        <f t="shared" ca="1" si="12"/>
        <v>0.96378328645271139</v>
      </c>
      <c r="AC760" s="812"/>
      <c r="AD760" s="763"/>
      <c r="AE760" s="807"/>
      <c r="AF760" s="921">
        <f>IF(X760=X759,AF759,0)+IF(ISNUMBER(I760),IF(I760&lt;1,I760,I760*VLOOKUP(J760,Summary!$H$2:$I$9,2)),VLOOKUP(J760,Summary!$J$2:$K$9,2)*IF(ISNUMBER(H760),H760,1))</f>
        <v>0.37361111111111106</v>
      </c>
      <c r="AG760" s="289">
        <v>759</v>
      </c>
      <c r="AH760" s="94"/>
      <c r="AI760" s="94"/>
    </row>
    <row r="761" spans="1:35" s="27" customFormat="1" ht="12" customHeight="1" x14ac:dyDescent="0.25">
      <c r="A761" s="408"/>
      <c r="B761" s="408" t="s">
        <v>8364</v>
      </c>
      <c r="C761" s="497">
        <v>0.11</v>
      </c>
      <c r="D761" s="176" t="s">
        <v>11578</v>
      </c>
      <c r="E761" s="313" t="s">
        <v>11579</v>
      </c>
      <c r="F761" s="175">
        <v>38565</v>
      </c>
      <c r="G761" s="175"/>
      <c r="H761" s="176" t="s">
        <v>461</v>
      </c>
      <c r="I761" s="176"/>
      <c r="J761" s="900" t="s">
        <v>2755</v>
      </c>
      <c r="K761" s="164" t="s">
        <v>6874</v>
      </c>
      <c r="L761" s="164" t="s">
        <v>461</v>
      </c>
      <c r="M761" s="164"/>
      <c r="N761" s="164" t="s">
        <v>5658</v>
      </c>
      <c r="O761" s="164"/>
      <c r="P761" s="173" t="s">
        <v>11557</v>
      </c>
      <c r="Q761" s="164" t="s">
        <v>3947</v>
      </c>
      <c r="R761" s="177" t="s">
        <v>11580</v>
      </c>
      <c r="S761" s="354"/>
      <c r="T761" s="173"/>
      <c r="U761" s="173"/>
      <c r="V761" s="173" t="s">
        <v>3535</v>
      </c>
      <c r="W761" s="313" t="s">
        <v>11831</v>
      </c>
      <c r="X761" s="645" t="s">
        <v>12505</v>
      </c>
      <c r="Y761" s="354"/>
      <c r="Z761" s="176"/>
      <c r="AA761" s="176"/>
      <c r="AB761" s="32">
        <f t="shared" ca="1" si="12"/>
        <v>0.9212209157891631</v>
      </c>
      <c r="AC761" s="812"/>
      <c r="AD761" s="763"/>
      <c r="AE761" s="807"/>
      <c r="AF761" s="921">
        <f>IF(X761=X760,AF760,0)+IF(ISNUMBER(I761),IF(I761&lt;1,I761,I761*VLOOKUP(J761,Summary!$H$2:$I$9,2)),VLOOKUP(J761,Summary!$J$2:$K$9,2)*IF(ISNUMBER(H761),H761,1))</f>
        <v>0.39097222222222217</v>
      </c>
      <c r="AG761" s="289">
        <v>760</v>
      </c>
      <c r="AH761" s="119"/>
      <c r="AI761" s="119"/>
    </row>
    <row r="762" spans="1:35" s="43" customFormat="1" ht="12" customHeight="1" x14ac:dyDescent="0.25">
      <c r="A762" s="405"/>
      <c r="B762" s="406" t="s">
        <v>8364</v>
      </c>
      <c r="C762" s="405">
        <v>1.1000000000000001</v>
      </c>
      <c r="D762" s="407" t="s">
        <v>11920</v>
      </c>
      <c r="E762" s="315" t="s">
        <v>11581</v>
      </c>
      <c r="F762" s="169">
        <v>38657</v>
      </c>
      <c r="G762" s="170"/>
      <c r="H762" s="170">
        <v>1</v>
      </c>
      <c r="I762" s="747">
        <f t="shared" ref="I762:I768" si="13">TIME(0,60,0)</f>
        <v>4.1666666666666664E-2</v>
      </c>
      <c r="J762" s="899" t="s">
        <v>4706</v>
      </c>
      <c r="K762" s="167" t="s">
        <v>5658</v>
      </c>
      <c r="L762" s="167" t="s">
        <v>7375</v>
      </c>
      <c r="M762" s="167"/>
      <c r="N762" s="167"/>
      <c r="O762" s="167"/>
      <c r="P762" s="168" t="s">
        <v>11582</v>
      </c>
      <c r="Q762" s="167" t="s">
        <v>3947</v>
      </c>
      <c r="R762" s="172" t="s">
        <v>11583</v>
      </c>
      <c r="S762" s="388"/>
      <c r="T762" s="168"/>
      <c r="U762" s="168"/>
      <c r="V762" s="168" t="s">
        <v>3535</v>
      </c>
      <c r="W762" s="315" t="s">
        <v>11581</v>
      </c>
      <c r="X762" s="647" t="s">
        <v>12505</v>
      </c>
      <c r="Y762" s="352"/>
      <c r="Z762" s="353"/>
      <c r="AA762" s="353"/>
      <c r="AB762" s="31">
        <f t="shared" ca="1" si="12"/>
        <v>0.32546492711875274</v>
      </c>
      <c r="AC762" s="810"/>
      <c r="AD762" s="811" t="s">
        <v>14581</v>
      </c>
      <c r="AE762" s="940"/>
      <c r="AF762" s="920">
        <f>IF(X762=X761,AF761,0)+IF(ISNUMBER(I762),IF(I762&lt;1,I762,I762*VLOOKUP(J762,Summary!$H$2:$I$9,2)),VLOOKUP(J762,Summary!$J$2:$K$9,2)*IF(ISNUMBER(H762),H762,1))</f>
        <v>0.43263888888888885</v>
      </c>
      <c r="AG762" s="287">
        <v>761</v>
      </c>
      <c r="AH762" s="94"/>
      <c r="AI762" s="94"/>
    </row>
    <row r="763" spans="1:35" s="1" customFormat="1" ht="12" customHeight="1" x14ac:dyDescent="0.25">
      <c r="A763" s="405"/>
      <c r="B763" s="406" t="s">
        <v>8364</v>
      </c>
      <c r="C763" s="405">
        <v>1.2</v>
      </c>
      <c r="D763" s="407" t="s">
        <v>11921</v>
      </c>
      <c r="E763" s="315" t="s">
        <v>11584</v>
      </c>
      <c r="F763" s="169">
        <v>38687</v>
      </c>
      <c r="G763" s="170"/>
      <c r="H763" s="170">
        <v>1</v>
      </c>
      <c r="I763" s="747">
        <f t="shared" si="13"/>
        <v>4.1666666666666664E-2</v>
      </c>
      <c r="J763" s="899" t="s">
        <v>4706</v>
      </c>
      <c r="K763" s="167" t="s">
        <v>6237</v>
      </c>
      <c r="L763" s="167" t="s">
        <v>7375</v>
      </c>
      <c r="M763" s="167"/>
      <c r="N763" s="167"/>
      <c r="O763" s="167"/>
      <c r="P763" s="168" t="s">
        <v>11585</v>
      </c>
      <c r="Q763" s="167" t="s">
        <v>3947</v>
      </c>
      <c r="R763" s="172" t="s">
        <v>11583</v>
      </c>
      <c r="S763" s="388"/>
      <c r="T763" s="168"/>
      <c r="U763" s="168"/>
      <c r="V763" s="168" t="s">
        <v>3535</v>
      </c>
      <c r="W763" s="315" t="s">
        <v>11584</v>
      </c>
      <c r="X763" s="647" t="s">
        <v>12505</v>
      </c>
      <c r="Y763" s="352"/>
      <c r="Z763" s="353"/>
      <c r="AA763" s="353"/>
      <c r="AB763" s="31">
        <f t="shared" ca="1" si="12"/>
        <v>0.38437871288359726</v>
      </c>
      <c r="AC763" s="810"/>
      <c r="AD763" s="811" t="s">
        <v>14581</v>
      </c>
      <c r="AE763" s="940"/>
      <c r="AF763" s="920">
        <f>IF(X763=X762,AF762,0)+IF(ISNUMBER(I763),IF(I763&lt;1,I763,I763*VLOOKUP(J763,Summary!$H$2:$I$9,2)),VLOOKUP(J763,Summary!$J$2:$K$9,2)*IF(ISNUMBER(H763),H763,1))</f>
        <v>0.47430555555555554</v>
      </c>
      <c r="AG763" s="287">
        <v>762</v>
      </c>
      <c r="AH763" s="94"/>
      <c r="AI763" s="94"/>
    </row>
    <row r="764" spans="1:35" s="22" customFormat="1" ht="12" customHeight="1" x14ac:dyDescent="0.2">
      <c r="A764" s="405"/>
      <c r="B764" s="406" t="s">
        <v>8364</v>
      </c>
      <c r="C764" s="405">
        <v>2.1</v>
      </c>
      <c r="D764" s="407" t="s">
        <v>12023</v>
      </c>
      <c r="E764" s="315" t="s">
        <v>12027</v>
      </c>
      <c r="F764" s="169">
        <v>39845</v>
      </c>
      <c r="G764" s="170"/>
      <c r="H764" s="170">
        <v>1</v>
      </c>
      <c r="I764" s="747">
        <f t="shared" si="13"/>
        <v>4.1666666666666664E-2</v>
      </c>
      <c r="J764" s="899" t="s">
        <v>4706</v>
      </c>
      <c r="K764" s="167" t="s">
        <v>1936</v>
      </c>
      <c r="L764" s="167" t="s">
        <v>7375</v>
      </c>
      <c r="M764" s="167"/>
      <c r="N764" s="167"/>
      <c r="O764" s="167"/>
      <c r="P764" s="168" t="s">
        <v>12032</v>
      </c>
      <c r="Q764" s="167" t="s">
        <v>3947</v>
      </c>
      <c r="R764" s="172" t="s">
        <v>11583</v>
      </c>
      <c r="S764" s="388"/>
      <c r="T764" s="168"/>
      <c r="U764" s="168"/>
      <c r="V764" s="168" t="s">
        <v>3535</v>
      </c>
      <c r="W764" s="312" t="s">
        <v>12027</v>
      </c>
      <c r="X764" s="644" t="s">
        <v>12505</v>
      </c>
      <c r="Y764" s="352" t="s">
        <v>11456</v>
      </c>
      <c r="Z764" s="353">
        <v>303</v>
      </c>
      <c r="AA764" s="353">
        <v>5.5</v>
      </c>
      <c r="AB764" s="31">
        <f t="shared" ca="1" si="12"/>
        <v>0.83209925817723351</v>
      </c>
      <c r="AC764" s="810"/>
      <c r="AD764" s="825" t="s">
        <v>16390</v>
      </c>
      <c r="AE764" s="940" t="s">
        <v>16389</v>
      </c>
      <c r="AF764" s="920">
        <f>IF(X764=X763,AF763,0)+IF(ISNUMBER(I764),IF(I764&lt;1,I764,I764*VLOOKUP(J764,Summary!$H$2:$I$9,2)),VLOOKUP(J764,Summary!$J$2:$K$9,2)*IF(ISNUMBER(H764),H764,1))</f>
        <v>0.51597222222222217</v>
      </c>
      <c r="AG764" s="287">
        <v>763</v>
      </c>
      <c r="AH764" s="94"/>
      <c r="AI764" s="94"/>
    </row>
    <row r="765" spans="1:35" s="22" customFormat="1" ht="12" customHeight="1" x14ac:dyDescent="0.2">
      <c r="A765" s="405"/>
      <c r="B765" s="406" t="s">
        <v>8364</v>
      </c>
      <c r="C765" s="405">
        <v>2.2000000000000002</v>
      </c>
      <c r="D765" s="407" t="s">
        <v>12024</v>
      </c>
      <c r="E765" s="315" t="s">
        <v>12028</v>
      </c>
      <c r="F765" s="169">
        <v>39873</v>
      </c>
      <c r="G765" s="170"/>
      <c r="H765" s="170">
        <v>1</v>
      </c>
      <c r="I765" s="747">
        <f t="shared" si="13"/>
        <v>4.1666666666666664E-2</v>
      </c>
      <c r="J765" s="899" t="s">
        <v>4706</v>
      </c>
      <c r="K765" s="167" t="s">
        <v>5658</v>
      </c>
      <c r="L765" s="167" t="s">
        <v>7375</v>
      </c>
      <c r="M765" s="167"/>
      <c r="N765" s="167"/>
      <c r="O765" s="167"/>
      <c r="P765" s="168" t="s">
        <v>12033</v>
      </c>
      <c r="Q765" s="167" t="s">
        <v>3947</v>
      </c>
      <c r="R765" s="172" t="s">
        <v>11583</v>
      </c>
      <c r="S765" s="388"/>
      <c r="T765" s="168"/>
      <c r="U765" s="168"/>
      <c r="V765" s="168" t="s">
        <v>3535</v>
      </c>
      <c r="W765" s="312" t="s">
        <v>12028</v>
      </c>
      <c r="X765" s="644" t="s">
        <v>12505</v>
      </c>
      <c r="Y765" s="352" t="s">
        <v>11456</v>
      </c>
      <c r="Z765" s="353">
        <v>667</v>
      </c>
      <c r="AA765" s="353">
        <v>2.5</v>
      </c>
      <c r="AB765" s="31">
        <f t="shared" ca="1" si="12"/>
        <v>5.6242271423381007E-2</v>
      </c>
      <c r="AC765" s="810"/>
      <c r="AD765" s="811" t="s">
        <v>16002</v>
      </c>
      <c r="AE765" s="940"/>
      <c r="AF765" s="920">
        <f>IF(X765=X764,AF764,0)+IF(ISNUMBER(I765),IF(I765&lt;1,I765,I765*VLOOKUP(J765,Summary!$H$2:$I$9,2)),VLOOKUP(J765,Summary!$J$2:$K$9,2)*IF(ISNUMBER(H765),H765,1))</f>
        <v>0.5576388888888888</v>
      </c>
      <c r="AG765" s="287">
        <v>764</v>
      </c>
      <c r="AH765" s="94"/>
      <c r="AI765" s="94"/>
    </row>
    <row r="766" spans="1:35" s="3" customFormat="1" ht="12" customHeight="1" x14ac:dyDescent="0.25">
      <c r="A766" s="405"/>
      <c r="B766" s="406" t="s">
        <v>8364</v>
      </c>
      <c r="C766" s="405">
        <v>2.2999999999999998</v>
      </c>
      <c r="D766" s="407" t="s">
        <v>12025</v>
      </c>
      <c r="E766" s="315" t="s">
        <v>12029</v>
      </c>
      <c r="F766" s="169">
        <v>39904</v>
      </c>
      <c r="G766" s="170"/>
      <c r="H766" s="170">
        <v>1</v>
      </c>
      <c r="I766" s="747">
        <f t="shared" si="13"/>
        <v>4.1666666666666664E-2</v>
      </c>
      <c r="J766" s="899" t="s">
        <v>4706</v>
      </c>
      <c r="K766" s="167" t="s">
        <v>5664</v>
      </c>
      <c r="L766" s="167" t="s">
        <v>7375</v>
      </c>
      <c r="M766" s="167"/>
      <c r="N766" s="167"/>
      <c r="O766" s="167"/>
      <c r="P766" s="168" t="s">
        <v>12034</v>
      </c>
      <c r="Q766" s="167" t="s">
        <v>3947</v>
      </c>
      <c r="R766" s="172" t="s">
        <v>11583</v>
      </c>
      <c r="S766" s="388"/>
      <c r="T766" s="168"/>
      <c r="U766" s="168"/>
      <c r="V766" s="168" t="s">
        <v>3535</v>
      </c>
      <c r="W766" s="312" t="s">
        <v>12029</v>
      </c>
      <c r="X766" s="644" t="s">
        <v>12505</v>
      </c>
      <c r="Y766" s="352" t="s">
        <v>11456</v>
      </c>
      <c r="Z766" s="353">
        <v>243</v>
      </c>
      <c r="AA766" s="353">
        <v>5.5</v>
      </c>
      <c r="AB766" s="31">
        <f t="shared" ca="1" si="12"/>
        <v>0.1828775207012403</v>
      </c>
      <c r="AC766" s="810"/>
      <c r="AD766" s="825" t="s">
        <v>16115</v>
      </c>
      <c r="AE766" s="940" t="s">
        <v>16075</v>
      </c>
      <c r="AF766" s="920">
        <f>IF(X766=X765,AF765,0)+IF(ISNUMBER(I766),IF(I766&lt;1,I766,I766*VLOOKUP(J766,Summary!$H$2:$I$9,2)),VLOOKUP(J766,Summary!$J$2:$K$9,2)*IF(ISNUMBER(H766),H766,1))</f>
        <v>0.59930555555555542</v>
      </c>
      <c r="AG766" s="287">
        <v>765</v>
      </c>
      <c r="AH766" s="94"/>
      <c r="AI766" s="94"/>
    </row>
    <row r="767" spans="1:35" s="43" customFormat="1" ht="12" customHeight="1" x14ac:dyDescent="0.25">
      <c r="A767" s="405"/>
      <c r="B767" s="406" t="s">
        <v>8364</v>
      </c>
      <c r="C767" s="405">
        <v>2.4</v>
      </c>
      <c r="D767" s="407" t="s">
        <v>12026</v>
      </c>
      <c r="E767" s="315" t="s">
        <v>12030</v>
      </c>
      <c r="F767" s="169">
        <v>39934</v>
      </c>
      <c r="G767" s="170"/>
      <c r="H767" s="170">
        <v>1</v>
      </c>
      <c r="I767" s="747">
        <f t="shared" si="13"/>
        <v>4.1666666666666664E-2</v>
      </c>
      <c r="J767" s="899" t="s">
        <v>4706</v>
      </c>
      <c r="K767" s="167" t="s">
        <v>3491</v>
      </c>
      <c r="L767" s="167" t="s">
        <v>7375</v>
      </c>
      <c r="M767" s="167"/>
      <c r="N767" s="167"/>
      <c r="O767" s="167"/>
      <c r="P767" s="168" t="s">
        <v>12035</v>
      </c>
      <c r="Q767" s="167" t="s">
        <v>3947</v>
      </c>
      <c r="R767" s="172" t="s">
        <v>11583</v>
      </c>
      <c r="S767" s="388"/>
      <c r="T767" s="168"/>
      <c r="U767" s="168"/>
      <c r="V767" s="168" t="s">
        <v>3535</v>
      </c>
      <c r="W767" s="312" t="s">
        <v>12030</v>
      </c>
      <c r="X767" s="644" t="s">
        <v>12505</v>
      </c>
      <c r="Y767" s="352" t="s">
        <v>11456</v>
      </c>
      <c r="Z767" s="353">
        <v>495</v>
      </c>
      <c r="AA767" s="353">
        <v>4</v>
      </c>
      <c r="AB767" s="31">
        <f t="shared" ca="1" si="12"/>
        <v>0.49238281325723399</v>
      </c>
      <c r="AC767" s="810"/>
      <c r="AD767" s="811" t="s">
        <v>16065</v>
      </c>
      <c r="AE767" s="940"/>
      <c r="AF767" s="920">
        <f>IF(X767=X766,AF766,0)+IF(ISNUMBER(I767),IF(I767&lt;1,I767,I767*VLOOKUP(J767,Summary!$H$2:$I$9,2)),VLOOKUP(J767,Summary!$J$2:$K$9,2)*IF(ISNUMBER(H767),H767,1))</f>
        <v>0.64097222222222205</v>
      </c>
      <c r="AG767" s="287">
        <v>766</v>
      </c>
      <c r="AH767" s="94"/>
      <c r="AI767" s="94"/>
    </row>
    <row r="768" spans="1:35" s="22" customFormat="1" ht="12" customHeight="1" x14ac:dyDescent="0.2">
      <c r="A768" s="405"/>
      <c r="B768" s="406" t="s">
        <v>8364</v>
      </c>
      <c r="C768" s="405" t="s">
        <v>248</v>
      </c>
      <c r="D768" s="407" t="s">
        <v>12037</v>
      </c>
      <c r="E768" s="315" t="s">
        <v>12031</v>
      </c>
      <c r="F768" s="169">
        <v>40118</v>
      </c>
      <c r="G768" s="170"/>
      <c r="H768" s="170">
        <v>1</v>
      </c>
      <c r="I768" s="747">
        <f t="shared" si="13"/>
        <v>4.1666666666666664E-2</v>
      </c>
      <c r="J768" s="899" t="s">
        <v>4706</v>
      </c>
      <c r="K768" s="167" t="s">
        <v>5146</v>
      </c>
      <c r="L768" s="167" t="s">
        <v>7375</v>
      </c>
      <c r="M768" s="167"/>
      <c r="N768" s="167"/>
      <c r="O768" s="167"/>
      <c r="P768" s="168" t="s">
        <v>12036</v>
      </c>
      <c r="Q768" s="167" t="s">
        <v>3947</v>
      </c>
      <c r="R768" s="172" t="s">
        <v>11583</v>
      </c>
      <c r="S768" s="388"/>
      <c r="T768" s="168"/>
      <c r="U768" s="168"/>
      <c r="V768" s="168" t="s">
        <v>3535</v>
      </c>
      <c r="W768" s="312" t="s">
        <v>12031</v>
      </c>
      <c r="X768" s="644" t="s">
        <v>12505</v>
      </c>
      <c r="Y768" s="352"/>
      <c r="Z768" s="353"/>
      <c r="AA768" s="353"/>
      <c r="AB768" s="31">
        <f t="shared" ca="1" si="12"/>
        <v>0.33084546202893172</v>
      </c>
      <c r="AC768" s="810"/>
      <c r="AD768" s="811" t="s">
        <v>16112</v>
      </c>
      <c r="AE768" s="940" t="s">
        <v>12543</v>
      </c>
      <c r="AF768" s="920">
        <f>IF(X768=X767,AF767,0)+IF(ISNUMBER(I768),IF(I768&lt;1,I768,I768*VLOOKUP(J768,Summary!$H$2:$I$9,2)),VLOOKUP(J768,Summary!$J$2:$K$9,2)*IF(ISNUMBER(H768),H768,1))</f>
        <v>0.68263888888888868</v>
      </c>
      <c r="AG768" s="287">
        <v>767</v>
      </c>
      <c r="AH768" s="94"/>
      <c r="AI768" s="94"/>
    </row>
    <row r="769" spans="1:35" s="43" customFormat="1" ht="12" customHeight="1" x14ac:dyDescent="0.25">
      <c r="A769" s="408"/>
      <c r="B769" s="408" t="s">
        <v>8364</v>
      </c>
      <c r="C769" s="497">
        <v>1.01</v>
      </c>
      <c r="D769" s="176" t="s">
        <v>11588</v>
      </c>
      <c r="E769" s="313" t="s">
        <v>11589</v>
      </c>
      <c r="F769" s="175">
        <v>39953</v>
      </c>
      <c r="G769" s="175"/>
      <c r="H769" s="176" t="s">
        <v>461</v>
      </c>
      <c r="I769" s="176"/>
      <c r="J769" s="900" t="s">
        <v>2755</v>
      </c>
      <c r="K769" s="164" t="s">
        <v>176</v>
      </c>
      <c r="L769" s="164" t="s">
        <v>461</v>
      </c>
      <c r="M769" s="164"/>
      <c r="N769" s="164" t="s">
        <v>11586</v>
      </c>
      <c r="O769" s="164"/>
      <c r="P769" s="173"/>
      <c r="Q769" s="164" t="s">
        <v>11587</v>
      </c>
      <c r="R769" s="177" t="s">
        <v>11580</v>
      </c>
      <c r="S769" s="354"/>
      <c r="T769" s="173"/>
      <c r="U769" s="173"/>
      <c r="V769" s="173" t="s">
        <v>3535</v>
      </c>
      <c r="W769" s="313" t="s">
        <v>11832</v>
      </c>
      <c r="X769" s="645" t="s">
        <v>12505</v>
      </c>
      <c r="Y769" s="354"/>
      <c r="Z769" s="176"/>
      <c r="AA769" s="176"/>
      <c r="AB769" s="32">
        <f t="shared" ca="1" si="12"/>
        <v>0.94164085442764334</v>
      </c>
      <c r="AC769" s="812"/>
      <c r="AD769" s="763"/>
      <c r="AE769" s="807"/>
      <c r="AF769" s="921">
        <f>IF(X769=X768,AF768,0)+IF(ISNUMBER(I769),IF(I769&lt;1,I769,I769*VLOOKUP(J769,Summary!$H$2:$I$9,2)),VLOOKUP(J769,Summary!$J$2:$K$9,2)*IF(ISNUMBER(H769),H769,1))</f>
        <v>0.69999999999999984</v>
      </c>
      <c r="AG769" s="289">
        <v>768</v>
      </c>
      <c r="AH769" s="94"/>
      <c r="AI769" s="94"/>
    </row>
    <row r="770" spans="1:35" s="43" customFormat="1" ht="12" customHeight="1" x14ac:dyDescent="0.25">
      <c r="A770" s="408"/>
      <c r="B770" s="408" t="s">
        <v>8364</v>
      </c>
      <c r="C770" s="497">
        <v>1.02</v>
      </c>
      <c r="D770" s="176" t="s">
        <v>11590</v>
      </c>
      <c r="E770" s="313" t="s">
        <v>11591</v>
      </c>
      <c r="F770" s="175">
        <v>39953</v>
      </c>
      <c r="G770" s="175"/>
      <c r="H770" s="176" t="s">
        <v>461</v>
      </c>
      <c r="I770" s="176"/>
      <c r="J770" s="900" t="s">
        <v>2755</v>
      </c>
      <c r="K770" s="164" t="s">
        <v>342</v>
      </c>
      <c r="L770" s="164" t="s">
        <v>461</v>
      </c>
      <c r="M770" s="164"/>
      <c r="N770" s="164" t="s">
        <v>11586</v>
      </c>
      <c r="O770" s="164"/>
      <c r="P770" s="173"/>
      <c r="Q770" s="164" t="s">
        <v>11587</v>
      </c>
      <c r="R770" s="177" t="s">
        <v>11580</v>
      </c>
      <c r="S770" s="354"/>
      <c r="T770" s="173"/>
      <c r="U770" s="173"/>
      <c r="V770" s="173" t="s">
        <v>3535</v>
      </c>
      <c r="W770" s="313" t="s">
        <v>11833</v>
      </c>
      <c r="X770" s="645" t="s">
        <v>12505</v>
      </c>
      <c r="Y770" s="354"/>
      <c r="Z770" s="176"/>
      <c r="AA770" s="176"/>
      <c r="AB770" s="32">
        <f t="shared" ref="AB770:AB833" ca="1" si="14">RAND()</f>
        <v>2.1090705790011377E-2</v>
      </c>
      <c r="AC770" s="812"/>
      <c r="AD770" s="763"/>
      <c r="AE770" s="807"/>
      <c r="AF770" s="921">
        <f>IF(X770=X769,AF769,0)+IF(ISNUMBER(I770),IF(I770&lt;1,I770,I770*VLOOKUP(J770,Summary!$H$2:$I$9,2)),VLOOKUP(J770,Summary!$J$2:$K$9,2)*IF(ISNUMBER(H770),H770,1))</f>
        <v>0.71736111111111101</v>
      </c>
      <c r="AG770" s="289">
        <v>769</v>
      </c>
      <c r="AH770" s="94"/>
      <c r="AI770" s="94"/>
    </row>
    <row r="771" spans="1:35" s="22" customFormat="1" ht="12" customHeight="1" x14ac:dyDescent="0.25">
      <c r="A771" s="408"/>
      <c r="B771" s="408" t="s">
        <v>8364</v>
      </c>
      <c r="C771" s="497">
        <v>1.03</v>
      </c>
      <c r="D771" s="176" t="s">
        <v>11592</v>
      </c>
      <c r="E771" s="313" t="s">
        <v>11593</v>
      </c>
      <c r="F771" s="175">
        <v>39953</v>
      </c>
      <c r="G771" s="175"/>
      <c r="H771" s="176" t="s">
        <v>461</v>
      </c>
      <c r="I771" s="176"/>
      <c r="J771" s="900" t="s">
        <v>2755</v>
      </c>
      <c r="K771" s="164" t="s">
        <v>180</v>
      </c>
      <c r="L771" s="164" t="s">
        <v>461</v>
      </c>
      <c r="M771" s="164"/>
      <c r="N771" s="164" t="s">
        <v>11586</v>
      </c>
      <c r="O771" s="164"/>
      <c r="P771" s="173"/>
      <c r="Q771" s="164" t="s">
        <v>11587</v>
      </c>
      <c r="R771" s="177" t="s">
        <v>11580</v>
      </c>
      <c r="S771" s="354"/>
      <c r="T771" s="173"/>
      <c r="U771" s="173"/>
      <c r="V771" s="173" t="s">
        <v>3535</v>
      </c>
      <c r="W771" s="313" t="s">
        <v>11834</v>
      </c>
      <c r="X771" s="645" t="s">
        <v>12505</v>
      </c>
      <c r="Y771" s="354"/>
      <c r="Z771" s="176"/>
      <c r="AA771" s="176"/>
      <c r="AB771" s="32">
        <f t="shared" ca="1" si="14"/>
        <v>0.7847234470541854</v>
      </c>
      <c r="AC771" s="812"/>
      <c r="AD771" s="763"/>
      <c r="AE771" s="807"/>
      <c r="AF771" s="921">
        <f>IF(X771=X770,AF770,0)+IF(ISNUMBER(I771),IF(I771&lt;1,I771,I771*VLOOKUP(J771,Summary!$H$2:$I$9,2)),VLOOKUP(J771,Summary!$J$2:$K$9,2)*IF(ISNUMBER(H771),H771,1))</f>
        <v>0.73472222222222217</v>
      </c>
      <c r="AG771" s="289">
        <v>770</v>
      </c>
      <c r="AH771" s="94"/>
      <c r="AI771" s="94"/>
    </row>
    <row r="772" spans="1:35" s="29" customFormat="1" ht="12" customHeight="1" x14ac:dyDescent="0.25">
      <c r="A772" s="408"/>
      <c r="B772" s="408" t="s">
        <v>8364</v>
      </c>
      <c r="C772" s="497">
        <v>1.04</v>
      </c>
      <c r="D772" s="176" t="s">
        <v>11594</v>
      </c>
      <c r="E772" s="313" t="s">
        <v>11595</v>
      </c>
      <c r="F772" s="175">
        <v>39953</v>
      </c>
      <c r="G772" s="175"/>
      <c r="H772" s="176" t="s">
        <v>461</v>
      </c>
      <c r="I772" s="176"/>
      <c r="J772" s="900" t="s">
        <v>2755</v>
      </c>
      <c r="K772" s="164" t="s">
        <v>11610</v>
      </c>
      <c r="L772" s="164" t="s">
        <v>461</v>
      </c>
      <c r="M772" s="164"/>
      <c r="N772" s="164" t="s">
        <v>11586</v>
      </c>
      <c r="O772" s="164"/>
      <c r="P772" s="173"/>
      <c r="Q772" s="164" t="s">
        <v>11587</v>
      </c>
      <c r="R772" s="177" t="s">
        <v>11580</v>
      </c>
      <c r="S772" s="354"/>
      <c r="T772" s="173"/>
      <c r="U772" s="173"/>
      <c r="V772" s="173" t="s">
        <v>3535</v>
      </c>
      <c r="W772" s="313" t="s">
        <v>11835</v>
      </c>
      <c r="X772" s="645" t="s">
        <v>12505</v>
      </c>
      <c r="Y772" s="354"/>
      <c r="Z772" s="176"/>
      <c r="AA772" s="176"/>
      <c r="AB772" s="32">
        <f t="shared" ca="1" si="14"/>
        <v>1.2414439718262948E-2</v>
      </c>
      <c r="AC772" s="812"/>
      <c r="AD772" s="763"/>
      <c r="AE772" s="807"/>
      <c r="AF772" s="921">
        <f>IF(X772=X771,AF771,0)+IF(ISNUMBER(I772),IF(I772&lt;1,I772,I772*VLOOKUP(J772,Summary!$H$2:$I$9,2)),VLOOKUP(J772,Summary!$J$2:$K$9,2)*IF(ISNUMBER(H772),H772,1))</f>
        <v>0.75208333333333333</v>
      </c>
      <c r="AG772" s="289">
        <v>771</v>
      </c>
      <c r="AH772" s="94"/>
      <c r="AI772" s="94"/>
    </row>
    <row r="773" spans="1:35" s="29" customFormat="1" ht="12" customHeight="1" x14ac:dyDescent="0.25">
      <c r="A773" s="408"/>
      <c r="B773" s="408" t="s">
        <v>8364</v>
      </c>
      <c r="C773" s="497">
        <v>1.05</v>
      </c>
      <c r="D773" s="176" t="s">
        <v>11596</v>
      </c>
      <c r="E773" s="313" t="s">
        <v>11597</v>
      </c>
      <c r="F773" s="175">
        <v>39953</v>
      </c>
      <c r="G773" s="175"/>
      <c r="H773" s="176" t="s">
        <v>461</v>
      </c>
      <c r="I773" s="176"/>
      <c r="J773" s="900" t="s">
        <v>2755</v>
      </c>
      <c r="K773" s="164" t="s">
        <v>3324</v>
      </c>
      <c r="L773" s="164" t="s">
        <v>461</v>
      </c>
      <c r="M773" s="164"/>
      <c r="N773" s="164" t="s">
        <v>11586</v>
      </c>
      <c r="O773" s="164"/>
      <c r="P773" s="173"/>
      <c r="Q773" s="164" t="s">
        <v>11587</v>
      </c>
      <c r="R773" s="177" t="s">
        <v>11580</v>
      </c>
      <c r="S773" s="354"/>
      <c r="T773" s="173"/>
      <c r="U773" s="173"/>
      <c r="V773" s="173" t="s">
        <v>3535</v>
      </c>
      <c r="W773" s="313" t="s">
        <v>11836</v>
      </c>
      <c r="X773" s="645" t="s">
        <v>12505</v>
      </c>
      <c r="Y773" s="354"/>
      <c r="Z773" s="176"/>
      <c r="AA773" s="176"/>
      <c r="AB773" s="32">
        <f t="shared" ca="1" si="14"/>
        <v>0.14162040206094761</v>
      </c>
      <c r="AC773" s="812"/>
      <c r="AD773" s="763"/>
      <c r="AE773" s="807"/>
      <c r="AF773" s="921">
        <f>IF(X773=X772,AF772,0)+IF(ISNUMBER(I773),IF(I773&lt;1,I773,I773*VLOOKUP(J773,Summary!$H$2:$I$9,2)),VLOOKUP(J773,Summary!$J$2:$K$9,2)*IF(ISNUMBER(H773),H773,1))</f>
        <v>0.76944444444444449</v>
      </c>
      <c r="AG773" s="289">
        <v>772</v>
      </c>
      <c r="AH773" s="94"/>
      <c r="AI773" s="94"/>
    </row>
    <row r="774" spans="1:35" s="2" customFormat="1" ht="12" customHeight="1" x14ac:dyDescent="0.25">
      <c r="A774" s="408"/>
      <c r="B774" s="408" t="s">
        <v>8364</v>
      </c>
      <c r="C774" s="497">
        <v>1.06</v>
      </c>
      <c r="D774" s="176" t="s">
        <v>11598</v>
      </c>
      <c r="E774" s="313" t="s">
        <v>11599</v>
      </c>
      <c r="F774" s="175">
        <v>39953</v>
      </c>
      <c r="G774" s="175"/>
      <c r="H774" s="176" t="s">
        <v>461</v>
      </c>
      <c r="I774" s="176"/>
      <c r="J774" s="900" t="s">
        <v>2755</v>
      </c>
      <c r="K774" s="164" t="s">
        <v>5658</v>
      </c>
      <c r="L774" s="164" t="s">
        <v>461</v>
      </c>
      <c r="M774" s="164"/>
      <c r="N774" s="164" t="s">
        <v>11586</v>
      </c>
      <c r="O774" s="164"/>
      <c r="P774" s="173"/>
      <c r="Q774" s="164" t="s">
        <v>11587</v>
      </c>
      <c r="R774" s="177" t="s">
        <v>11580</v>
      </c>
      <c r="S774" s="354"/>
      <c r="T774" s="173"/>
      <c r="U774" s="173"/>
      <c r="V774" s="173" t="s">
        <v>3535</v>
      </c>
      <c r="W774" s="313" t="s">
        <v>11837</v>
      </c>
      <c r="X774" s="645" t="s">
        <v>12505</v>
      </c>
      <c r="Y774" s="354"/>
      <c r="Z774" s="176"/>
      <c r="AA774" s="176"/>
      <c r="AB774" s="32">
        <f t="shared" ca="1" si="14"/>
        <v>0.73564808941724746</v>
      </c>
      <c r="AC774" s="812"/>
      <c r="AD774" s="763"/>
      <c r="AE774" s="807"/>
      <c r="AF774" s="921">
        <f>IF(X774=X773,AF773,0)+IF(ISNUMBER(I774),IF(I774&lt;1,I774,I774*VLOOKUP(J774,Summary!$H$2:$I$9,2)),VLOOKUP(J774,Summary!$J$2:$K$9,2)*IF(ISNUMBER(H774),H774,1))</f>
        <v>0.78680555555555565</v>
      </c>
      <c r="AG774" s="289">
        <v>773</v>
      </c>
      <c r="AH774" s="94"/>
      <c r="AI774" s="94"/>
    </row>
    <row r="775" spans="1:35" s="1" customFormat="1" ht="12" customHeight="1" x14ac:dyDescent="0.25">
      <c r="A775" s="408"/>
      <c r="B775" s="408" t="s">
        <v>8364</v>
      </c>
      <c r="C775" s="497">
        <v>1.07</v>
      </c>
      <c r="D775" s="176" t="s">
        <v>11600</v>
      </c>
      <c r="E775" s="313" t="s">
        <v>11601</v>
      </c>
      <c r="F775" s="175">
        <v>39953</v>
      </c>
      <c r="G775" s="175"/>
      <c r="H775" s="176" t="s">
        <v>461</v>
      </c>
      <c r="I775" s="176"/>
      <c r="J775" s="900" t="s">
        <v>2755</v>
      </c>
      <c r="K775" s="164" t="s">
        <v>11611</v>
      </c>
      <c r="L775" s="164" t="s">
        <v>461</v>
      </c>
      <c r="M775" s="164"/>
      <c r="N775" s="164" t="s">
        <v>11586</v>
      </c>
      <c r="O775" s="164"/>
      <c r="P775" s="173"/>
      <c r="Q775" s="164" t="s">
        <v>11587</v>
      </c>
      <c r="R775" s="177" t="s">
        <v>11580</v>
      </c>
      <c r="S775" s="354"/>
      <c r="T775" s="173"/>
      <c r="U775" s="173"/>
      <c r="V775" s="173" t="s">
        <v>3535</v>
      </c>
      <c r="W775" s="313" t="s">
        <v>11838</v>
      </c>
      <c r="X775" s="645" t="s">
        <v>12505</v>
      </c>
      <c r="Y775" s="354"/>
      <c r="Z775" s="176"/>
      <c r="AA775" s="176"/>
      <c r="AB775" s="32">
        <f t="shared" ca="1" si="14"/>
        <v>0.55569445808740781</v>
      </c>
      <c r="AC775" s="812"/>
      <c r="AD775" s="763"/>
      <c r="AE775" s="807"/>
      <c r="AF775" s="921">
        <f>IF(X775=X774,AF774,0)+IF(ISNUMBER(I775),IF(I775&lt;1,I775,I775*VLOOKUP(J775,Summary!$H$2:$I$9,2)),VLOOKUP(J775,Summary!$J$2:$K$9,2)*IF(ISNUMBER(H775),H775,1))</f>
        <v>0.80416666666666681</v>
      </c>
      <c r="AG775" s="289">
        <v>774</v>
      </c>
      <c r="AH775" s="94"/>
      <c r="AI775" s="94"/>
    </row>
    <row r="776" spans="1:35" s="43" customFormat="1" ht="12" customHeight="1" x14ac:dyDescent="0.25">
      <c r="A776" s="408"/>
      <c r="B776" s="408" t="s">
        <v>8364</v>
      </c>
      <c r="C776" s="497">
        <v>1.08</v>
      </c>
      <c r="D776" s="176" t="s">
        <v>11602</v>
      </c>
      <c r="E776" s="313" t="s">
        <v>11603</v>
      </c>
      <c r="F776" s="175">
        <v>39953</v>
      </c>
      <c r="G776" s="175"/>
      <c r="H776" s="176" t="s">
        <v>461</v>
      </c>
      <c r="I776" s="176"/>
      <c r="J776" s="900" t="s">
        <v>2755</v>
      </c>
      <c r="K776" s="164" t="s">
        <v>10453</v>
      </c>
      <c r="L776" s="164" t="s">
        <v>461</v>
      </c>
      <c r="M776" s="164"/>
      <c r="N776" s="164" t="s">
        <v>11586</v>
      </c>
      <c r="O776" s="164"/>
      <c r="P776" s="173"/>
      <c r="Q776" s="164" t="s">
        <v>11587</v>
      </c>
      <c r="R776" s="177" t="s">
        <v>11580</v>
      </c>
      <c r="S776" s="354"/>
      <c r="T776" s="173"/>
      <c r="U776" s="173"/>
      <c r="V776" s="173" t="s">
        <v>3535</v>
      </c>
      <c r="W776" s="313" t="s">
        <v>11839</v>
      </c>
      <c r="X776" s="645" t="s">
        <v>12505</v>
      </c>
      <c r="Y776" s="354"/>
      <c r="Z776" s="176"/>
      <c r="AA776" s="176"/>
      <c r="AB776" s="32">
        <f t="shared" ca="1" si="14"/>
        <v>0.67791037488244776</v>
      </c>
      <c r="AC776" s="812"/>
      <c r="AD776" s="763"/>
      <c r="AE776" s="807"/>
      <c r="AF776" s="921">
        <f>IF(X776=X775,AF775,0)+IF(ISNUMBER(I776),IF(I776&lt;1,I776,I776*VLOOKUP(J776,Summary!$H$2:$I$9,2)),VLOOKUP(J776,Summary!$J$2:$K$9,2)*IF(ISNUMBER(H776),H776,1))</f>
        <v>0.82152777777777797</v>
      </c>
      <c r="AG776" s="289">
        <v>775</v>
      </c>
      <c r="AH776" s="94"/>
      <c r="AI776" s="94"/>
    </row>
    <row r="777" spans="1:35" s="22" customFormat="1" ht="12" customHeight="1" x14ac:dyDescent="0.25">
      <c r="A777" s="408"/>
      <c r="B777" s="408" t="s">
        <v>8364</v>
      </c>
      <c r="C777" s="497">
        <v>1.0900000000000001</v>
      </c>
      <c r="D777" s="176" t="s">
        <v>11604</v>
      </c>
      <c r="E777" s="313" t="s">
        <v>11605</v>
      </c>
      <c r="F777" s="175">
        <v>39953</v>
      </c>
      <c r="G777" s="175"/>
      <c r="H777" s="176" t="s">
        <v>461</v>
      </c>
      <c r="I777" s="176"/>
      <c r="J777" s="900" t="s">
        <v>2755</v>
      </c>
      <c r="K777" s="164" t="s">
        <v>10454</v>
      </c>
      <c r="L777" s="164" t="s">
        <v>461</v>
      </c>
      <c r="M777" s="164"/>
      <c r="N777" s="164" t="s">
        <v>11586</v>
      </c>
      <c r="O777" s="164"/>
      <c r="P777" s="173"/>
      <c r="Q777" s="164" t="s">
        <v>11587</v>
      </c>
      <c r="R777" s="177" t="s">
        <v>11580</v>
      </c>
      <c r="S777" s="354"/>
      <c r="T777" s="173"/>
      <c r="U777" s="173"/>
      <c r="V777" s="173" t="s">
        <v>3535</v>
      </c>
      <c r="W777" s="313" t="s">
        <v>11840</v>
      </c>
      <c r="X777" s="645" t="s">
        <v>12505</v>
      </c>
      <c r="Y777" s="354"/>
      <c r="Z777" s="176"/>
      <c r="AA777" s="176"/>
      <c r="AB777" s="32">
        <f t="shared" ca="1" si="14"/>
        <v>0.70190546903310302</v>
      </c>
      <c r="AC777" s="812"/>
      <c r="AD777" s="763"/>
      <c r="AE777" s="807"/>
      <c r="AF777" s="921">
        <f>IF(X777=X776,AF776,0)+IF(ISNUMBER(I777),IF(I777&lt;1,I777,I777*VLOOKUP(J777,Summary!$H$2:$I$9,2)),VLOOKUP(J777,Summary!$J$2:$K$9,2)*IF(ISNUMBER(H777),H777,1))</f>
        <v>0.83888888888888913</v>
      </c>
      <c r="AG777" s="289">
        <v>776</v>
      </c>
      <c r="AH777" s="94"/>
      <c r="AI777" s="94"/>
    </row>
    <row r="778" spans="1:35" s="2" customFormat="1" ht="12" customHeight="1" x14ac:dyDescent="0.25">
      <c r="A778" s="408"/>
      <c r="B778" s="408" t="s">
        <v>8364</v>
      </c>
      <c r="C778" s="497">
        <v>1.1000000000000001</v>
      </c>
      <c r="D778" s="176" t="s">
        <v>11606</v>
      </c>
      <c r="E778" s="313" t="s">
        <v>11607</v>
      </c>
      <c r="F778" s="175">
        <v>39953</v>
      </c>
      <c r="G778" s="175"/>
      <c r="H778" s="176" t="s">
        <v>461</v>
      </c>
      <c r="I778" s="176"/>
      <c r="J778" s="900" t="s">
        <v>2755</v>
      </c>
      <c r="K778" s="164" t="s">
        <v>2312</v>
      </c>
      <c r="L778" s="164" t="s">
        <v>461</v>
      </c>
      <c r="M778" s="164"/>
      <c r="N778" s="164" t="s">
        <v>11586</v>
      </c>
      <c r="O778" s="164"/>
      <c r="P778" s="173"/>
      <c r="Q778" s="164" t="s">
        <v>11587</v>
      </c>
      <c r="R778" s="177" t="s">
        <v>11580</v>
      </c>
      <c r="S778" s="354"/>
      <c r="T778" s="173"/>
      <c r="U778" s="173"/>
      <c r="V778" s="173" t="s">
        <v>3535</v>
      </c>
      <c r="W778" s="313" t="s">
        <v>11841</v>
      </c>
      <c r="X778" s="645" t="s">
        <v>12505</v>
      </c>
      <c r="Y778" s="354"/>
      <c r="Z778" s="176"/>
      <c r="AA778" s="176"/>
      <c r="AB778" s="32">
        <f t="shared" ca="1" si="14"/>
        <v>0.39789251507931522</v>
      </c>
      <c r="AC778" s="812"/>
      <c r="AD778" s="763"/>
      <c r="AE778" s="807"/>
      <c r="AF778" s="921">
        <f>IF(X778=X777,AF777,0)+IF(ISNUMBER(I778),IF(I778&lt;1,I778,I778*VLOOKUP(J778,Summary!$H$2:$I$9,2)),VLOOKUP(J778,Summary!$J$2:$K$9,2)*IF(ISNUMBER(H778),H778,1))</f>
        <v>0.85625000000000029</v>
      </c>
      <c r="AG778" s="289">
        <v>777</v>
      </c>
      <c r="AH778" s="94"/>
      <c r="AI778" s="94"/>
    </row>
    <row r="779" spans="1:35" s="22" customFormat="1" ht="12" customHeight="1" x14ac:dyDescent="0.25">
      <c r="A779" s="408"/>
      <c r="B779" s="408" t="s">
        <v>8364</v>
      </c>
      <c r="C779" s="497">
        <v>1.1100000000000001</v>
      </c>
      <c r="D779" s="176" t="s">
        <v>11608</v>
      </c>
      <c r="E779" s="313" t="s">
        <v>11609</v>
      </c>
      <c r="F779" s="175">
        <v>39953</v>
      </c>
      <c r="G779" s="175"/>
      <c r="H779" s="176" t="s">
        <v>461</v>
      </c>
      <c r="I779" s="176"/>
      <c r="J779" s="900" t="s">
        <v>2755</v>
      </c>
      <c r="K779" s="164" t="s">
        <v>6237</v>
      </c>
      <c r="L779" s="164" t="s">
        <v>461</v>
      </c>
      <c r="M779" s="164"/>
      <c r="N779" s="164" t="s">
        <v>11586</v>
      </c>
      <c r="O779" s="164"/>
      <c r="P779" s="173"/>
      <c r="Q779" s="164" t="s">
        <v>11587</v>
      </c>
      <c r="R779" s="177" t="s">
        <v>11580</v>
      </c>
      <c r="S779" s="354"/>
      <c r="T779" s="173"/>
      <c r="U779" s="173"/>
      <c r="V779" s="173" t="s">
        <v>3535</v>
      </c>
      <c r="W779" s="313" t="s">
        <v>11842</v>
      </c>
      <c r="X779" s="645" t="s">
        <v>12505</v>
      </c>
      <c r="Y779" s="354"/>
      <c r="Z779" s="176"/>
      <c r="AA779" s="176"/>
      <c r="AB779" s="32">
        <f t="shared" ca="1" si="14"/>
        <v>0.94160925056178779</v>
      </c>
      <c r="AC779" s="812"/>
      <c r="AD779" s="763"/>
      <c r="AE779" s="807"/>
      <c r="AF779" s="921">
        <f>IF(X779=X778,AF778,0)+IF(ISNUMBER(I779),IF(I779&lt;1,I779,I779*VLOOKUP(J779,Summary!$H$2:$I$9,2)),VLOOKUP(J779,Summary!$J$2:$K$9,2)*IF(ISNUMBER(H779),H779,1))</f>
        <v>0.87361111111111145</v>
      </c>
      <c r="AG779" s="289">
        <v>778</v>
      </c>
      <c r="AH779" s="94"/>
      <c r="AI779" s="94"/>
    </row>
    <row r="780" spans="1:35" s="22" customFormat="1" ht="12" customHeight="1" x14ac:dyDescent="0.25">
      <c r="A780" s="408"/>
      <c r="B780" s="408" t="s">
        <v>8364</v>
      </c>
      <c r="C780" s="497">
        <v>2.0099999999999998</v>
      </c>
      <c r="D780" s="176" t="s">
        <v>11612</v>
      </c>
      <c r="E780" s="313" t="s">
        <v>11613</v>
      </c>
      <c r="F780" s="175">
        <v>40159</v>
      </c>
      <c r="G780" s="175"/>
      <c r="H780" s="176" t="s">
        <v>461</v>
      </c>
      <c r="I780" s="176"/>
      <c r="J780" s="900" t="s">
        <v>2755</v>
      </c>
      <c r="K780" s="164" t="s">
        <v>3424</v>
      </c>
      <c r="L780" s="164" t="s">
        <v>461</v>
      </c>
      <c r="M780" s="164"/>
      <c r="N780" s="164" t="s">
        <v>11586</v>
      </c>
      <c r="O780" s="164"/>
      <c r="P780" s="173"/>
      <c r="Q780" s="164" t="s">
        <v>11587</v>
      </c>
      <c r="R780" s="177" t="s">
        <v>11580</v>
      </c>
      <c r="S780" s="354"/>
      <c r="T780" s="173"/>
      <c r="U780" s="173"/>
      <c r="V780" s="173" t="s">
        <v>3535</v>
      </c>
      <c r="W780" s="313" t="s">
        <v>11843</v>
      </c>
      <c r="X780" s="645" t="s">
        <v>12505</v>
      </c>
      <c r="Y780" s="354"/>
      <c r="Z780" s="176"/>
      <c r="AA780" s="176"/>
      <c r="AB780" s="32">
        <f t="shared" ca="1" si="14"/>
        <v>0.52245424013203701</v>
      </c>
      <c r="AC780" s="812"/>
      <c r="AD780" s="763"/>
      <c r="AE780" s="807"/>
      <c r="AF780" s="921">
        <f>IF(X780=X779,AF779,0)+IF(ISNUMBER(I780),IF(I780&lt;1,I780,I780*VLOOKUP(J780,Summary!$H$2:$I$9,2)),VLOOKUP(J780,Summary!$J$2:$K$9,2)*IF(ISNUMBER(H780),H780,1))</f>
        <v>0.89097222222222261</v>
      </c>
      <c r="AG780" s="289">
        <v>779</v>
      </c>
      <c r="AH780" s="94"/>
      <c r="AI780" s="94"/>
    </row>
    <row r="781" spans="1:35" s="22" customFormat="1" ht="12" customHeight="1" x14ac:dyDescent="0.25">
      <c r="A781" s="408"/>
      <c r="B781" s="408" t="s">
        <v>8364</v>
      </c>
      <c r="C781" s="497">
        <v>2.02</v>
      </c>
      <c r="D781" s="176" t="s">
        <v>11614</v>
      </c>
      <c r="E781" s="313" t="s">
        <v>11615</v>
      </c>
      <c r="F781" s="175">
        <v>40159</v>
      </c>
      <c r="G781" s="175"/>
      <c r="H781" s="176" t="s">
        <v>461</v>
      </c>
      <c r="I781" s="176"/>
      <c r="J781" s="900" t="s">
        <v>2755</v>
      </c>
      <c r="K781" s="164" t="s">
        <v>1936</v>
      </c>
      <c r="L781" s="164" t="s">
        <v>461</v>
      </c>
      <c r="M781" s="164"/>
      <c r="N781" s="164" t="s">
        <v>11586</v>
      </c>
      <c r="O781" s="164"/>
      <c r="P781" s="173"/>
      <c r="Q781" s="164" t="s">
        <v>11587</v>
      </c>
      <c r="R781" s="177" t="s">
        <v>11580</v>
      </c>
      <c r="S781" s="354"/>
      <c r="T781" s="173"/>
      <c r="U781" s="173"/>
      <c r="V781" s="173" t="s">
        <v>3535</v>
      </c>
      <c r="W781" s="313" t="s">
        <v>11844</v>
      </c>
      <c r="X781" s="645" t="s">
        <v>12505</v>
      </c>
      <c r="Y781" s="354"/>
      <c r="Z781" s="176"/>
      <c r="AA781" s="176"/>
      <c r="AB781" s="32">
        <f t="shared" ca="1" si="14"/>
        <v>8.885903413518037E-2</v>
      </c>
      <c r="AC781" s="812"/>
      <c r="AD781" s="763"/>
      <c r="AE781" s="807"/>
      <c r="AF781" s="921">
        <f>IF(X781=X780,AF780,0)+IF(ISNUMBER(I781),IF(I781&lt;1,I781,I781*VLOOKUP(J781,Summary!$H$2:$I$9,2)),VLOOKUP(J781,Summary!$J$2:$K$9,2)*IF(ISNUMBER(H781),H781,1))</f>
        <v>0.90833333333333377</v>
      </c>
      <c r="AG781" s="289">
        <v>780</v>
      </c>
      <c r="AH781" s="94"/>
      <c r="AI781" s="94"/>
    </row>
    <row r="782" spans="1:35" s="22" customFormat="1" ht="12" customHeight="1" x14ac:dyDescent="0.25">
      <c r="A782" s="408"/>
      <c r="B782" s="408" t="s">
        <v>8364</v>
      </c>
      <c r="C782" s="497">
        <v>2.0299999999999998</v>
      </c>
      <c r="D782" s="176" t="s">
        <v>11616</v>
      </c>
      <c r="E782" s="313" t="s">
        <v>11617</v>
      </c>
      <c r="F782" s="175">
        <v>40159</v>
      </c>
      <c r="G782" s="175"/>
      <c r="H782" s="176" t="s">
        <v>461</v>
      </c>
      <c r="I782" s="176"/>
      <c r="J782" s="900" t="s">
        <v>2755</v>
      </c>
      <c r="K782" s="164" t="s">
        <v>11637</v>
      </c>
      <c r="L782" s="164" t="s">
        <v>461</v>
      </c>
      <c r="M782" s="164"/>
      <c r="N782" s="164" t="s">
        <v>11586</v>
      </c>
      <c r="O782" s="164"/>
      <c r="P782" s="173"/>
      <c r="Q782" s="164" t="s">
        <v>11587</v>
      </c>
      <c r="R782" s="177" t="s">
        <v>11580</v>
      </c>
      <c r="S782" s="354"/>
      <c r="T782" s="173"/>
      <c r="U782" s="173"/>
      <c r="V782" s="173" t="s">
        <v>3535</v>
      </c>
      <c r="W782" s="313" t="s">
        <v>11845</v>
      </c>
      <c r="X782" s="645" t="s">
        <v>12505</v>
      </c>
      <c r="Y782" s="354"/>
      <c r="Z782" s="176"/>
      <c r="AA782" s="176"/>
      <c r="AB782" s="32">
        <f t="shared" ca="1" si="14"/>
        <v>0.23963243760573805</v>
      </c>
      <c r="AC782" s="812"/>
      <c r="AD782" s="763"/>
      <c r="AE782" s="807"/>
      <c r="AF782" s="921">
        <f>IF(X782=X781,AF781,0)+IF(ISNUMBER(I782),IF(I782&lt;1,I782,I782*VLOOKUP(J782,Summary!$H$2:$I$9,2)),VLOOKUP(J782,Summary!$J$2:$K$9,2)*IF(ISNUMBER(H782),H782,1))</f>
        <v>0.92569444444444493</v>
      </c>
      <c r="AG782" s="289">
        <v>781</v>
      </c>
      <c r="AH782" s="94"/>
      <c r="AI782" s="94"/>
    </row>
    <row r="783" spans="1:35" s="2" customFormat="1" ht="12" customHeight="1" x14ac:dyDescent="0.25">
      <c r="A783" s="408"/>
      <c r="B783" s="408" t="s">
        <v>8364</v>
      </c>
      <c r="C783" s="497">
        <v>2.04</v>
      </c>
      <c r="D783" s="176" t="s">
        <v>11618</v>
      </c>
      <c r="E783" s="313" t="s">
        <v>11619</v>
      </c>
      <c r="F783" s="175">
        <v>40159</v>
      </c>
      <c r="G783" s="175"/>
      <c r="H783" s="176" t="s">
        <v>461</v>
      </c>
      <c r="I783" s="176"/>
      <c r="J783" s="900" t="s">
        <v>2755</v>
      </c>
      <c r="K783" s="164" t="s">
        <v>5664</v>
      </c>
      <c r="L783" s="164" t="s">
        <v>461</v>
      </c>
      <c r="M783" s="164"/>
      <c r="N783" s="164" t="s">
        <v>11586</v>
      </c>
      <c r="O783" s="164"/>
      <c r="P783" s="173"/>
      <c r="Q783" s="164" t="s">
        <v>11587</v>
      </c>
      <c r="R783" s="177" t="s">
        <v>11580</v>
      </c>
      <c r="S783" s="354"/>
      <c r="T783" s="173"/>
      <c r="U783" s="173"/>
      <c r="V783" s="173" t="s">
        <v>3535</v>
      </c>
      <c r="W783" s="313" t="s">
        <v>11846</v>
      </c>
      <c r="X783" s="645" t="s">
        <v>12505</v>
      </c>
      <c r="Y783" s="354"/>
      <c r="Z783" s="176"/>
      <c r="AA783" s="176"/>
      <c r="AB783" s="32">
        <f t="shared" ca="1" si="14"/>
        <v>0.83672721188560095</v>
      </c>
      <c r="AC783" s="812"/>
      <c r="AD783" s="763"/>
      <c r="AE783" s="807"/>
      <c r="AF783" s="921">
        <f>IF(X783=X782,AF782,0)+IF(ISNUMBER(I783),IF(I783&lt;1,I783,I783*VLOOKUP(J783,Summary!$H$2:$I$9,2)),VLOOKUP(J783,Summary!$J$2:$K$9,2)*IF(ISNUMBER(H783),H783,1))</f>
        <v>0.94305555555555609</v>
      </c>
      <c r="AG783" s="289">
        <v>782</v>
      </c>
      <c r="AH783" s="94"/>
      <c r="AI783" s="94"/>
    </row>
    <row r="784" spans="1:35" s="2" customFormat="1" ht="12" customHeight="1" x14ac:dyDescent="0.25">
      <c r="A784" s="408"/>
      <c r="B784" s="408" t="s">
        <v>8364</v>
      </c>
      <c r="C784" s="497">
        <v>2.0499999999999998</v>
      </c>
      <c r="D784" s="176" t="s">
        <v>11620</v>
      </c>
      <c r="E784" s="313" t="s">
        <v>11621</v>
      </c>
      <c r="F784" s="175">
        <v>40159</v>
      </c>
      <c r="G784" s="175"/>
      <c r="H784" s="176" t="s">
        <v>461</v>
      </c>
      <c r="I784" s="176"/>
      <c r="J784" s="900" t="s">
        <v>2755</v>
      </c>
      <c r="K784" s="164" t="s">
        <v>11638</v>
      </c>
      <c r="L784" s="164" t="s">
        <v>461</v>
      </c>
      <c r="M784" s="164"/>
      <c r="N784" s="164" t="s">
        <v>11586</v>
      </c>
      <c r="O784" s="164"/>
      <c r="P784" s="173"/>
      <c r="Q784" s="164" t="s">
        <v>11587</v>
      </c>
      <c r="R784" s="177" t="s">
        <v>11580</v>
      </c>
      <c r="S784" s="354"/>
      <c r="T784" s="173"/>
      <c r="U784" s="173"/>
      <c r="V784" s="173" t="s">
        <v>3535</v>
      </c>
      <c r="W784" s="313" t="s">
        <v>11847</v>
      </c>
      <c r="X784" s="645" t="s">
        <v>12505</v>
      </c>
      <c r="Y784" s="354"/>
      <c r="Z784" s="176"/>
      <c r="AA784" s="176"/>
      <c r="AB784" s="32">
        <f t="shared" ca="1" si="14"/>
        <v>0.25769829352026985</v>
      </c>
      <c r="AC784" s="812"/>
      <c r="AD784" s="763"/>
      <c r="AE784" s="807"/>
      <c r="AF784" s="921">
        <f>IF(X784=X783,AF783,0)+IF(ISNUMBER(I784),IF(I784&lt;1,I784,I784*VLOOKUP(J784,Summary!$H$2:$I$9,2)),VLOOKUP(J784,Summary!$J$2:$K$9,2)*IF(ISNUMBER(H784),H784,1))</f>
        <v>0.96041666666666725</v>
      </c>
      <c r="AG784" s="289">
        <v>783</v>
      </c>
      <c r="AH784" s="94"/>
      <c r="AI784" s="94"/>
    </row>
    <row r="785" spans="1:35" s="2" customFormat="1" ht="12" customHeight="1" x14ac:dyDescent="0.25">
      <c r="A785" s="408"/>
      <c r="B785" s="408" t="s">
        <v>8364</v>
      </c>
      <c r="C785" s="497">
        <v>2.06</v>
      </c>
      <c r="D785" s="176" t="s">
        <v>11622</v>
      </c>
      <c r="E785" s="313" t="s">
        <v>11623</v>
      </c>
      <c r="F785" s="175">
        <v>40159</v>
      </c>
      <c r="G785" s="175"/>
      <c r="H785" s="176" t="s">
        <v>461</v>
      </c>
      <c r="I785" s="176"/>
      <c r="J785" s="900" t="s">
        <v>2755</v>
      </c>
      <c r="K785" s="164" t="s">
        <v>4033</v>
      </c>
      <c r="L785" s="164" t="s">
        <v>461</v>
      </c>
      <c r="M785" s="164"/>
      <c r="N785" s="164" t="s">
        <v>11586</v>
      </c>
      <c r="O785" s="164"/>
      <c r="P785" s="173"/>
      <c r="Q785" s="164" t="s">
        <v>11587</v>
      </c>
      <c r="R785" s="177" t="s">
        <v>11580</v>
      </c>
      <c r="S785" s="354"/>
      <c r="T785" s="173"/>
      <c r="U785" s="173"/>
      <c r="V785" s="173" t="s">
        <v>3535</v>
      </c>
      <c r="W785" s="313" t="s">
        <v>11848</v>
      </c>
      <c r="X785" s="645" t="s">
        <v>12505</v>
      </c>
      <c r="Y785" s="354"/>
      <c r="Z785" s="176"/>
      <c r="AA785" s="176"/>
      <c r="AB785" s="32">
        <f t="shared" ca="1" si="14"/>
        <v>0.24508233752338271</v>
      </c>
      <c r="AC785" s="812"/>
      <c r="AD785" s="763"/>
      <c r="AE785" s="807"/>
      <c r="AF785" s="921">
        <f>IF(X785=X784,AF784,0)+IF(ISNUMBER(I785),IF(I785&lt;1,I785,I785*VLOOKUP(J785,Summary!$H$2:$I$9,2)),VLOOKUP(J785,Summary!$J$2:$K$9,2)*IF(ISNUMBER(H785),H785,1))</f>
        <v>0.97777777777777841</v>
      </c>
      <c r="AG785" s="289">
        <v>784</v>
      </c>
      <c r="AH785" s="94"/>
      <c r="AI785" s="94"/>
    </row>
    <row r="786" spans="1:35" s="22" customFormat="1" ht="12" customHeight="1" x14ac:dyDescent="0.25">
      <c r="A786" s="408"/>
      <c r="B786" s="408" t="s">
        <v>8364</v>
      </c>
      <c r="C786" s="497">
        <v>2.0699999999999998</v>
      </c>
      <c r="D786" s="176" t="s">
        <v>11624</v>
      </c>
      <c r="E786" s="313" t="s">
        <v>11625</v>
      </c>
      <c r="F786" s="175">
        <v>40159</v>
      </c>
      <c r="G786" s="175"/>
      <c r="H786" s="176" t="s">
        <v>461</v>
      </c>
      <c r="I786" s="176"/>
      <c r="J786" s="900" t="s">
        <v>2755</v>
      </c>
      <c r="K786" s="164" t="s">
        <v>5658</v>
      </c>
      <c r="L786" s="164" t="s">
        <v>461</v>
      </c>
      <c r="M786" s="164"/>
      <c r="N786" s="164" t="s">
        <v>11586</v>
      </c>
      <c r="O786" s="164"/>
      <c r="P786" s="173"/>
      <c r="Q786" s="164" t="s">
        <v>11587</v>
      </c>
      <c r="R786" s="177" t="s">
        <v>11580</v>
      </c>
      <c r="S786" s="354"/>
      <c r="T786" s="173"/>
      <c r="U786" s="173"/>
      <c r="V786" s="173" t="s">
        <v>3535</v>
      </c>
      <c r="W786" s="313" t="s">
        <v>11849</v>
      </c>
      <c r="X786" s="645" t="s">
        <v>12505</v>
      </c>
      <c r="Y786" s="354"/>
      <c r="Z786" s="176"/>
      <c r="AA786" s="176"/>
      <c r="AB786" s="32">
        <f t="shared" ca="1" si="14"/>
        <v>0.43411453891430896</v>
      </c>
      <c r="AC786" s="812"/>
      <c r="AD786" s="763"/>
      <c r="AE786" s="807"/>
      <c r="AF786" s="921">
        <f>IF(X786=X785,AF785,0)+IF(ISNUMBER(I786),IF(I786&lt;1,I786,I786*VLOOKUP(J786,Summary!$H$2:$I$9,2)),VLOOKUP(J786,Summary!$J$2:$K$9,2)*IF(ISNUMBER(H786),H786,1))</f>
        <v>0.99513888888888957</v>
      </c>
      <c r="AG786" s="289">
        <v>785</v>
      </c>
      <c r="AH786" s="94"/>
      <c r="AI786" s="94"/>
    </row>
    <row r="787" spans="1:35" s="3" customFormat="1" ht="12" customHeight="1" x14ac:dyDescent="0.25">
      <c r="A787" s="408"/>
      <c r="B787" s="408" t="s">
        <v>8364</v>
      </c>
      <c r="C787" s="497">
        <v>2.08</v>
      </c>
      <c r="D787" s="176" t="s">
        <v>11626</v>
      </c>
      <c r="E787" s="313" t="s">
        <v>11627</v>
      </c>
      <c r="F787" s="175">
        <v>40159</v>
      </c>
      <c r="G787" s="175"/>
      <c r="H787" s="176" t="s">
        <v>461</v>
      </c>
      <c r="I787" s="176"/>
      <c r="J787" s="900" t="s">
        <v>2755</v>
      </c>
      <c r="K787" s="164" t="s">
        <v>11639</v>
      </c>
      <c r="L787" s="164" t="s">
        <v>461</v>
      </c>
      <c r="M787" s="164"/>
      <c r="N787" s="164" t="s">
        <v>11586</v>
      </c>
      <c r="O787" s="164"/>
      <c r="P787" s="173"/>
      <c r="Q787" s="164" t="s">
        <v>11587</v>
      </c>
      <c r="R787" s="177" t="s">
        <v>11580</v>
      </c>
      <c r="S787" s="354"/>
      <c r="T787" s="173"/>
      <c r="U787" s="173"/>
      <c r="V787" s="173" t="s">
        <v>3535</v>
      </c>
      <c r="W787" s="313" t="s">
        <v>11850</v>
      </c>
      <c r="X787" s="645" t="s">
        <v>12505</v>
      </c>
      <c r="Y787" s="354"/>
      <c r="Z787" s="176"/>
      <c r="AA787" s="176"/>
      <c r="AB787" s="32">
        <f t="shared" ca="1" si="14"/>
        <v>0.17973320999328046</v>
      </c>
      <c r="AC787" s="812"/>
      <c r="AD787" s="763"/>
      <c r="AE787" s="807"/>
      <c r="AF787" s="921">
        <f>IF(X787=X786,AF786,0)+IF(ISNUMBER(I787),IF(I787&lt;1,I787,I787*VLOOKUP(J787,Summary!$H$2:$I$9,2)),VLOOKUP(J787,Summary!$J$2:$K$9,2)*IF(ISNUMBER(H787),H787,1))</f>
        <v>1.0125000000000006</v>
      </c>
      <c r="AG787" s="289">
        <v>786</v>
      </c>
      <c r="AH787" s="94"/>
      <c r="AI787" s="94"/>
    </row>
    <row r="788" spans="1:35" s="29" customFormat="1" ht="12" customHeight="1" x14ac:dyDescent="0.25">
      <c r="A788" s="408"/>
      <c r="B788" s="408" t="s">
        <v>8364</v>
      </c>
      <c r="C788" s="497">
        <v>2.09</v>
      </c>
      <c r="D788" s="176" t="s">
        <v>11628</v>
      </c>
      <c r="E788" s="313" t="s">
        <v>11629</v>
      </c>
      <c r="F788" s="175">
        <v>40159</v>
      </c>
      <c r="G788" s="175"/>
      <c r="H788" s="176" t="s">
        <v>461</v>
      </c>
      <c r="I788" s="176"/>
      <c r="J788" s="900" t="s">
        <v>2755</v>
      </c>
      <c r="K788" s="164" t="s">
        <v>6353</v>
      </c>
      <c r="L788" s="164" t="s">
        <v>461</v>
      </c>
      <c r="M788" s="164"/>
      <c r="N788" s="164" t="s">
        <v>11586</v>
      </c>
      <c r="O788" s="164"/>
      <c r="P788" s="173"/>
      <c r="Q788" s="164" t="s">
        <v>11587</v>
      </c>
      <c r="R788" s="177" t="s">
        <v>11580</v>
      </c>
      <c r="S788" s="354"/>
      <c r="T788" s="173"/>
      <c r="U788" s="173"/>
      <c r="V788" s="173" t="s">
        <v>3535</v>
      </c>
      <c r="W788" s="313" t="s">
        <v>11851</v>
      </c>
      <c r="X788" s="645" t="s">
        <v>12505</v>
      </c>
      <c r="Y788" s="354"/>
      <c r="Z788" s="176"/>
      <c r="AA788" s="176"/>
      <c r="AB788" s="32">
        <f t="shared" ca="1" si="14"/>
        <v>0.64445060590942582</v>
      </c>
      <c r="AC788" s="812"/>
      <c r="AD788" s="763"/>
      <c r="AE788" s="807"/>
      <c r="AF788" s="921">
        <f>IF(X788=X787,AF787,0)+IF(ISNUMBER(I788),IF(I788&lt;1,I788,I788*VLOOKUP(J788,Summary!$H$2:$I$9,2)),VLOOKUP(J788,Summary!$J$2:$K$9,2)*IF(ISNUMBER(H788),H788,1))</f>
        <v>1.0298611111111118</v>
      </c>
      <c r="AG788" s="289">
        <v>787</v>
      </c>
      <c r="AH788" s="94"/>
      <c r="AI788" s="94"/>
    </row>
    <row r="789" spans="1:35" s="43" customFormat="1" ht="12" customHeight="1" x14ac:dyDescent="0.25">
      <c r="A789" s="408"/>
      <c r="B789" s="408" t="s">
        <v>8364</v>
      </c>
      <c r="C789" s="497">
        <v>2.1</v>
      </c>
      <c r="D789" s="176" t="s">
        <v>11630</v>
      </c>
      <c r="E789" s="313" t="s">
        <v>15438</v>
      </c>
      <c r="F789" s="175">
        <v>40159</v>
      </c>
      <c r="G789" s="175"/>
      <c r="H789" s="176" t="s">
        <v>461</v>
      </c>
      <c r="I789" s="176"/>
      <c r="J789" s="900" t="s">
        <v>2755</v>
      </c>
      <c r="K789" s="164" t="s">
        <v>4765</v>
      </c>
      <c r="L789" s="164" t="s">
        <v>461</v>
      </c>
      <c r="M789" s="164"/>
      <c r="N789" s="164" t="s">
        <v>11586</v>
      </c>
      <c r="O789" s="164"/>
      <c r="P789" s="173"/>
      <c r="Q789" s="164" t="s">
        <v>11587</v>
      </c>
      <c r="R789" s="177" t="s">
        <v>11580</v>
      </c>
      <c r="S789" s="354"/>
      <c r="T789" s="173"/>
      <c r="U789" s="173"/>
      <c r="V789" s="173" t="s">
        <v>3535</v>
      </c>
      <c r="W789" s="313" t="s">
        <v>15437</v>
      </c>
      <c r="X789" s="645" t="s">
        <v>12505</v>
      </c>
      <c r="Y789" s="354"/>
      <c r="Z789" s="176"/>
      <c r="AA789" s="176"/>
      <c r="AB789" s="32">
        <f t="shared" ca="1" si="14"/>
        <v>0.25868996222997409</v>
      </c>
      <c r="AC789" s="812"/>
      <c r="AD789" s="763"/>
      <c r="AE789" s="807"/>
      <c r="AF789" s="921">
        <f>IF(X789=X788,AF788,0)+IF(ISNUMBER(I789),IF(I789&lt;1,I789,I789*VLOOKUP(J789,Summary!$H$2:$I$9,2)),VLOOKUP(J789,Summary!$J$2:$K$9,2)*IF(ISNUMBER(H789),H789,1))</f>
        <v>1.0472222222222229</v>
      </c>
      <c r="AG789" s="289">
        <v>788</v>
      </c>
      <c r="AH789" s="94"/>
      <c r="AI789" s="94"/>
    </row>
    <row r="790" spans="1:35" s="22" customFormat="1" ht="12" customHeight="1" x14ac:dyDescent="0.25">
      <c r="A790" s="408"/>
      <c r="B790" s="408" t="s">
        <v>8364</v>
      </c>
      <c r="C790" s="497">
        <v>2.11</v>
      </c>
      <c r="D790" s="176" t="s">
        <v>11631</v>
      </c>
      <c r="E790" s="313" t="s">
        <v>11632</v>
      </c>
      <c r="F790" s="175">
        <v>40159</v>
      </c>
      <c r="G790" s="175"/>
      <c r="H790" s="176" t="s">
        <v>461</v>
      </c>
      <c r="I790" s="176"/>
      <c r="J790" s="900" t="s">
        <v>2755</v>
      </c>
      <c r="K790" s="164" t="s">
        <v>4131</v>
      </c>
      <c r="L790" s="164" t="s">
        <v>461</v>
      </c>
      <c r="M790" s="164"/>
      <c r="N790" s="164" t="s">
        <v>11586</v>
      </c>
      <c r="O790" s="164"/>
      <c r="P790" s="173"/>
      <c r="Q790" s="164" t="s">
        <v>11587</v>
      </c>
      <c r="R790" s="177" t="s">
        <v>11580</v>
      </c>
      <c r="S790" s="354"/>
      <c r="T790" s="173"/>
      <c r="U790" s="173"/>
      <c r="V790" s="173" t="s">
        <v>3535</v>
      </c>
      <c r="W790" s="313" t="s">
        <v>11852</v>
      </c>
      <c r="X790" s="645" t="s">
        <v>12505</v>
      </c>
      <c r="Y790" s="354"/>
      <c r="Z790" s="176"/>
      <c r="AA790" s="176"/>
      <c r="AB790" s="32">
        <f t="shared" ca="1" si="14"/>
        <v>0.58004366157177523</v>
      </c>
      <c r="AC790" s="812"/>
      <c r="AD790" s="763"/>
      <c r="AE790" s="807"/>
      <c r="AF790" s="921">
        <f>IF(X790=X789,AF789,0)+IF(ISNUMBER(I790),IF(I790&lt;1,I790,I790*VLOOKUP(J790,Summary!$H$2:$I$9,2)),VLOOKUP(J790,Summary!$J$2:$K$9,2)*IF(ISNUMBER(H790),H790,1))</f>
        <v>1.0645833333333341</v>
      </c>
      <c r="AG790" s="289">
        <v>789</v>
      </c>
      <c r="AH790" s="94"/>
      <c r="AI790" s="94"/>
    </row>
    <row r="791" spans="1:35" s="1" customFormat="1" ht="12" customHeight="1" x14ac:dyDescent="0.25">
      <c r="A791" s="408"/>
      <c r="B791" s="408" t="s">
        <v>8364</v>
      </c>
      <c r="C791" s="497">
        <v>2.12</v>
      </c>
      <c r="D791" s="176" t="s">
        <v>11633</v>
      </c>
      <c r="E791" s="313" t="s">
        <v>11634</v>
      </c>
      <c r="F791" s="175">
        <v>40159</v>
      </c>
      <c r="G791" s="175"/>
      <c r="H791" s="176" t="s">
        <v>461</v>
      </c>
      <c r="I791" s="176"/>
      <c r="J791" s="900" t="s">
        <v>2755</v>
      </c>
      <c r="K791" s="164" t="s">
        <v>11640</v>
      </c>
      <c r="L791" s="164" t="s">
        <v>461</v>
      </c>
      <c r="M791" s="164"/>
      <c r="N791" s="164" t="s">
        <v>11586</v>
      </c>
      <c r="O791" s="164"/>
      <c r="P791" s="173"/>
      <c r="Q791" s="164" t="s">
        <v>11587</v>
      </c>
      <c r="R791" s="177" t="s">
        <v>11580</v>
      </c>
      <c r="S791" s="354"/>
      <c r="T791" s="173"/>
      <c r="U791" s="173"/>
      <c r="V791" s="173" t="s">
        <v>3535</v>
      </c>
      <c r="W791" s="313" t="s">
        <v>11853</v>
      </c>
      <c r="X791" s="645" t="s">
        <v>12505</v>
      </c>
      <c r="Y791" s="354"/>
      <c r="Z791" s="176"/>
      <c r="AA791" s="176"/>
      <c r="AB791" s="32">
        <f t="shared" ca="1" si="14"/>
        <v>0.83656550830321552</v>
      </c>
      <c r="AC791" s="812"/>
      <c r="AD791" s="763"/>
      <c r="AE791" s="807"/>
      <c r="AF791" s="921">
        <f>IF(X791=X790,AF790,0)+IF(ISNUMBER(I791),IF(I791&lt;1,I791,I791*VLOOKUP(J791,Summary!$H$2:$I$9,2)),VLOOKUP(J791,Summary!$J$2:$K$9,2)*IF(ISNUMBER(H791),H791,1))</f>
        <v>1.0819444444444453</v>
      </c>
      <c r="AG791" s="289">
        <v>790</v>
      </c>
      <c r="AH791" s="94"/>
      <c r="AI791" s="94"/>
    </row>
    <row r="792" spans="1:35" s="29" customFormat="1" ht="12" customHeight="1" x14ac:dyDescent="0.25">
      <c r="A792" s="408"/>
      <c r="B792" s="408" t="s">
        <v>8364</v>
      </c>
      <c r="C792" s="497">
        <v>2.13</v>
      </c>
      <c r="D792" s="176" t="s">
        <v>11635</v>
      </c>
      <c r="E792" s="313" t="s">
        <v>11636</v>
      </c>
      <c r="F792" s="175">
        <v>40159</v>
      </c>
      <c r="G792" s="175"/>
      <c r="H792" s="176" t="s">
        <v>461</v>
      </c>
      <c r="I792" s="176"/>
      <c r="J792" s="900" t="s">
        <v>2755</v>
      </c>
      <c r="K792" s="164" t="s">
        <v>340</v>
      </c>
      <c r="L792" s="164" t="s">
        <v>461</v>
      </c>
      <c r="M792" s="164"/>
      <c r="N792" s="164" t="s">
        <v>11586</v>
      </c>
      <c r="O792" s="164"/>
      <c r="P792" s="173"/>
      <c r="Q792" s="164" t="s">
        <v>11587</v>
      </c>
      <c r="R792" s="177" t="s">
        <v>11580</v>
      </c>
      <c r="S792" s="354"/>
      <c r="T792" s="173"/>
      <c r="U792" s="173"/>
      <c r="V792" s="173" t="s">
        <v>3535</v>
      </c>
      <c r="W792" s="313" t="s">
        <v>11854</v>
      </c>
      <c r="X792" s="645" t="s">
        <v>12505</v>
      </c>
      <c r="Y792" s="354"/>
      <c r="Z792" s="176"/>
      <c r="AA792" s="176"/>
      <c r="AB792" s="32">
        <f t="shared" ca="1" si="14"/>
        <v>0.76048254112479041</v>
      </c>
      <c r="AC792" s="812"/>
      <c r="AD792" s="763"/>
      <c r="AE792" s="807"/>
      <c r="AF792" s="921">
        <f>IF(X792=X791,AF791,0)+IF(ISNUMBER(I792),IF(I792&lt;1,I792,I792*VLOOKUP(J792,Summary!$H$2:$I$9,2)),VLOOKUP(J792,Summary!$J$2:$K$9,2)*IF(ISNUMBER(H792),H792,1))</f>
        <v>1.0993055555555564</v>
      </c>
      <c r="AG792" s="289">
        <v>791</v>
      </c>
      <c r="AH792" s="94"/>
      <c r="AI792" s="94"/>
    </row>
    <row r="793" spans="1:35" s="120" customFormat="1" ht="12" customHeight="1" x14ac:dyDescent="0.25">
      <c r="A793" s="408"/>
      <c r="B793" s="408" t="s">
        <v>8364</v>
      </c>
      <c r="C793" s="497">
        <v>3.01</v>
      </c>
      <c r="D793" s="176" t="s">
        <v>11641</v>
      </c>
      <c r="E793" s="313" t="s">
        <v>11642</v>
      </c>
      <c r="F793" s="175">
        <v>40299</v>
      </c>
      <c r="G793" s="175"/>
      <c r="H793" s="176" t="s">
        <v>461</v>
      </c>
      <c r="I793" s="176"/>
      <c r="J793" s="900" t="s">
        <v>2755</v>
      </c>
      <c r="K793" s="164" t="s">
        <v>10399</v>
      </c>
      <c r="L793" s="164" t="s">
        <v>461</v>
      </c>
      <c r="M793" s="164"/>
      <c r="N793" s="164" t="s">
        <v>11586</v>
      </c>
      <c r="O793" s="164"/>
      <c r="P793" s="173" t="s">
        <v>11649</v>
      </c>
      <c r="Q793" s="164" t="s">
        <v>11587</v>
      </c>
      <c r="R793" s="177" t="s">
        <v>11650</v>
      </c>
      <c r="S793" s="354"/>
      <c r="T793" s="173"/>
      <c r="U793" s="173"/>
      <c r="V793" s="173" t="s">
        <v>3535</v>
      </c>
      <c r="W793" s="313" t="s">
        <v>11855</v>
      </c>
      <c r="X793" s="645" t="s">
        <v>12505</v>
      </c>
      <c r="Y793" s="354"/>
      <c r="Z793" s="176"/>
      <c r="AA793" s="176"/>
      <c r="AB793" s="32">
        <f t="shared" ca="1" si="14"/>
        <v>6.623053130386658E-2</v>
      </c>
      <c r="AC793" s="812"/>
      <c r="AD793" s="763"/>
      <c r="AE793" s="807"/>
      <c r="AF793" s="921">
        <f>IF(X793=X792,AF792,0)+IF(ISNUMBER(I793),IF(I793&lt;1,I793,I793*VLOOKUP(J793,Summary!$H$2:$I$9,2)),VLOOKUP(J793,Summary!$J$2:$K$9,2)*IF(ISNUMBER(H793),H793,1))</f>
        <v>1.1166666666666676</v>
      </c>
      <c r="AG793" s="289">
        <v>792</v>
      </c>
      <c r="AH793" s="94"/>
      <c r="AI793" s="94"/>
    </row>
    <row r="794" spans="1:35" s="11" customFormat="1" ht="12" customHeight="1" x14ac:dyDescent="0.25">
      <c r="A794" s="408"/>
      <c r="B794" s="408" t="s">
        <v>8364</v>
      </c>
      <c r="C794" s="497">
        <v>3.02</v>
      </c>
      <c r="D794" s="176" t="s">
        <v>11643</v>
      </c>
      <c r="E794" s="313" t="s">
        <v>11644</v>
      </c>
      <c r="F794" s="175">
        <v>40299</v>
      </c>
      <c r="G794" s="175"/>
      <c r="H794" s="176" t="s">
        <v>461</v>
      </c>
      <c r="I794" s="176"/>
      <c r="J794" s="900" t="s">
        <v>2755</v>
      </c>
      <c r="K794" s="164" t="s">
        <v>338</v>
      </c>
      <c r="L794" s="164" t="s">
        <v>461</v>
      </c>
      <c r="M794" s="164"/>
      <c r="N794" s="164" t="s">
        <v>11586</v>
      </c>
      <c r="O794" s="164"/>
      <c r="P794" s="173" t="s">
        <v>11649</v>
      </c>
      <c r="Q794" s="164" t="s">
        <v>11587</v>
      </c>
      <c r="R794" s="177" t="s">
        <v>11650</v>
      </c>
      <c r="S794" s="354"/>
      <c r="T794" s="173"/>
      <c r="U794" s="173"/>
      <c r="V794" s="173" t="s">
        <v>3535</v>
      </c>
      <c r="W794" s="313" t="s">
        <v>11856</v>
      </c>
      <c r="X794" s="645" t="s">
        <v>12505</v>
      </c>
      <c r="Y794" s="354"/>
      <c r="Z794" s="176"/>
      <c r="AA794" s="176"/>
      <c r="AB794" s="32">
        <f t="shared" ca="1" si="14"/>
        <v>0.21128156525556419</v>
      </c>
      <c r="AC794" s="812"/>
      <c r="AD794" s="763"/>
      <c r="AE794" s="807"/>
      <c r="AF794" s="921">
        <f>IF(X794=X793,AF793,0)+IF(ISNUMBER(I794),IF(I794&lt;1,I794,I794*VLOOKUP(J794,Summary!$H$2:$I$9,2)),VLOOKUP(J794,Summary!$J$2:$K$9,2)*IF(ISNUMBER(H794),H794,1))</f>
        <v>1.1340277777777787</v>
      </c>
      <c r="AG794" s="289">
        <v>793</v>
      </c>
      <c r="AH794" s="94"/>
      <c r="AI794" s="94"/>
    </row>
    <row r="795" spans="1:35" s="29" customFormat="1" ht="12" customHeight="1" x14ac:dyDescent="0.25">
      <c r="A795" s="408"/>
      <c r="B795" s="408" t="s">
        <v>8364</v>
      </c>
      <c r="C795" s="497">
        <v>3.03</v>
      </c>
      <c r="D795" s="176" t="s">
        <v>11645</v>
      </c>
      <c r="E795" s="313" t="s">
        <v>11646</v>
      </c>
      <c r="F795" s="175">
        <v>40299</v>
      </c>
      <c r="G795" s="175"/>
      <c r="H795" s="176" t="s">
        <v>461</v>
      </c>
      <c r="I795" s="176"/>
      <c r="J795" s="900" t="s">
        <v>2755</v>
      </c>
      <c r="K795" s="164" t="s">
        <v>10453</v>
      </c>
      <c r="L795" s="164" t="s">
        <v>461</v>
      </c>
      <c r="M795" s="164"/>
      <c r="N795" s="164" t="s">
        <v>11586</v>
      </c>
      <c r="O795" s="164"/>
      <c r="P795" s="173" t="s">
        <v>11649</v>
      </c>
      <c r="Q795" s="164" t="s">
        <v>11587</v>
      </c>
      <c r="R795" s="177" t="s">
        <v>11650</v>
      </c>
      <c r="S795" s="354"/>
      <c r="T795" s="173"/>
      <c r="U795" s="173"/>
      <c r="V795" s="173" t="s">
        <v>3535</v>
      </c>
      <c r="W795" s="313" t="s">
        <v>11857</v>
      </c>
      <c r="X795" s="645" t="s">
        <v>12505</v>
      </c>
      <c r="Y795" s="354"/>
      <c r="Z795" s="176"/>
      <c r="AA795" s="176"/>
      <c r="AB795" s="32">
        <f t="shared" ca="1" si="14"/>
        <v>0.34058004214664594</v>
      </c>
      <c r="AC795" s="812"/>
      <c r="AD795" s="763"/>
      <c r="AE795" s="807"/>
      <c r="AF795" s="921">
        <f>IF(X795=X794,AF794,0)+IF(ISNUMBER(I795),IF(I795&lt;1,I795,I795*VLOOKUP(J795,Summary!$H$2:$I$9,2)),VLOOKUP(J795,Summary!$J$2:$K$9,2)*IF(ISNUMBER(H795),H795,1))</f>
        <v>1.1513888888888899</v>
      </c>
      <c r="AG795" s="289">
        <v>794</v>
      </c>
      <c r="AH795" s="94"/>
      <c r="AI795" s="94"/>
    </row>
    <row r="796" spans="1:35" s="22" customFormat="1" ht="12" customHeight="1" x14ac:dyDescent="0.25">
      <c r="A796" s="408"/>
      <c r="B796" s="408" t="s">
        <v>8364</v>
      </c>
      <c r="C796" s="497">
        <v>3.04</v>
      </c>
      <c r="D796" s="176" t="s">
        <v>11647</v>
      </c>
      <c r="E796" s="313" t="s">
        <v>11648</v>
      </c>
      <c r="F796" s="175">
        <v>40299</v>
      </c>
      <c r="G796" s="175"/>
      <c r="H796" s="176" t="s">
        <v>461</v>
      </c>
      <c r="I796" s="176"/>
      <c r="J796" s="900" t="s">
        <v>2755</v>
      </c>
      <c r="K796" s="164" t="s">
        <v>11610</v>
      </c>
      <c r="L796" s="164" t="s">
        <v>461</v>
      </c>
      <c r="M796" s="164"/>
      <c r="N796" s="164" t="s">
        <v>11586</v>
      </c>
      <c r="O796" s="164"/>
      <c r="P796" s="173" t="s">
        <v>11649</v>
      </c>
      <c r="Q796" s="164" t="s">
        <v>11587</v>
      </c>
      <c r="R796" s="177" t="s">
        <v>11650</v>
      </c>
      <c r="S796" s="354"/>
      <c r="T796" s="173"/>
      <c r="U796" s="173"/>
      <c r="V796" s="173" t="s">
        <v>3535</v>
      </c>
      <c r="W796" s="313" t="s">
        <v>11858</v>
      </c>
      <c r="X796" s="645" t="s">
        <v>12505</v>
      </c>
      <c r="Y796" s="354"/>
      <c r="Z796" s="176"/>
      <c r="AA796" s="176"/>
      <c r="AB796" s="32">
        <f t="shared" ca="1" si="14"/>
        <v>0.63582494304394732</v>
      </c>
      <c r="AC796" s="812"/>
      <c r="AD796" s="763"/>
      <c r="AE796" s="807"/>
      <c r="AF796" s="921">
        <f>IF(X796=X795,AF795,0)+IF(ISNUMBER(I796),IF(I796&lt;1,I796,I796*VLOOKUP(J796,Summary!$H$2:$I$9,2)),VLOOKUP(J796,Summary!$J$2:$K$9,2)*IF(ISNUMBER(H796),H796,1))</f>
        <v>1.1687500000000011</v>
      </c>
      <c r="AG796" s="289">
        <v>795</v>
      </c>
      <c r="AH796" s="94"/>
      <c r="AI796" s="94"/>
    </row>
    <row r="797" spans="1:35" s="43" customFormat="1" ht="12" customHeight="1" x14ac:dyDescent="0.25">
      <c r="A797" s="408"/>
      <c r="B797" s="440" t="s">
        <v>2650</v>
      </c>
      <c r="C797" s="497">
        <v>3.51</v>
      </c>
      <c r="D797" s="176" t="s">
        <v>13567</v>
      </c>
      <c r="E797" s="313" t="s">
        <v>13573</v>
      </c>
      <c r="F797" s="174">
        <v>41306</v>
      </c>
      <c r="G797" s="175"/>
      <c r="H797" s="176" t="s">
        <v>461</v>
      </c>
      <c r="I797" s="176"/>
      <c r="J797" s="900" t="s">
        <v>2755</v>
      </c>
      <c r="K797" s="164" t="s">
        <v>13584</v>
      </c>
      <c r="L797" s="164" t="s">
        <v>461</v>
      </c>
      <c r="M797" s="164"/>
      <c r="N797" s="164" t="s">
        <v>13568</v>
      </c>
      <c r="O797" s="164"/>
      <c r="P797" s="173" t="s">
        <v>13569</v>
      </c>
      <c r="Q797" s="164" t="s">
        <v>11587</v>
      </c>
      <c r="R797" s="177" t="s">
        <v>11580</v>
      </c>
      <c r="S797" s="354"/>
      <c r="T797" s="173"/>
      <c r="U797" s="173"/>
      <c r="V797" s="173"/>
      <c r="W797" s="313" t="s">
        <v>13579</v>
      </c>
      <c r="X797" s="645" t="s">
        <v>12505</v>
      </c>
      <c r="Y797" s="354"/>
      <c r="Z797" s="176"/>
      <c r="AA797" s="176"/>
      <c r="AB797" s="32">
        <f t="shared" ca="1" si="14"/>
        <v>0.84601513328145539</v>
      </c>
      <c r="AC797" s="812"/>
      <c r="AD797" s="763"/>
      <c r="AE797" s="807"/>
      <c r="AF797" s="921">
        <f>IF(X797=X796,AF796,0)+IF(ISNUMBER(I797),IF(I797&lt;1,I797,I797*VLOOKUP(J797,Summary!$H$2:$I$9,2)),VLOOKUP(J797,Summary!$J$2:$K$9,2)*IF(ISNUMBER(H797),H797,1))</f>
        <v>1.1861111111111122</v>
      </c>
      <c r="AG797" s="289">
        <v>796</v>
      </c>
      <c r="AH797" s="94"/>
      <c r="AI797" s="94"/>
    </row>
    <row r="798" spans="1:35" s="11" customFormat="1" ht="12" customHeight="1" x14ac:dyDescent="0.25">
      <c r="A798" s="408"/>
      <c r="B798" s="440" t="s">
        <v>2650</v>
      </c>
      <c r="C798" s="497">
        <v>3.52</v>
      </c>
      <c r="D798" s="176" t="s">
        <v>13570</v>
      </c>
      <c r="E798" s="313" t="s">
        <v>13574</v>
      </c>
      <c r="F798" s="174">
        <v>41306</v>
      </c>
      <c r="G798" s="175"/>
      <c r="H798" s="176" t="s">
        <v>461</v>
      </c>
      <c r="I798" s="176"/>
      <c r="J798" s="900" t="s">
        <v>2755</v>
      </c>
      <c r="K798" s="164" t="s">
        <v>6353</v>
      </c>
      <c r="L798" s="164" t="s">
        <v>461</v>
      </c>
      <c r="M798" s="164"/>
      <c r="N798" s="164" t="s">
        <v>13568</v>
      </c>
      <c r="O798" s="164"/>
      <c r="P798" s="173" t="s">
        <v>13569</v>
      </c>
      <c r="Q798" s="164" t="s">
        <v>11587</v>
      </c>
      <c r="R798" s="177" t="s">
        <v>11580</v>
      </c>
      <c r="S798" s="354"/>
      <c r="T798" s="173"/>
      <c r="U798" s="173"/>
      <c r="V798" s="173"/>
      <c r="W798" s="313" t="s">
        <v>13580</v>
      </c>
      <c r="X798" s="645" t="s">
        <v>12505</v>
      </c>
      <c r="Y798" s="354"/>
      <c r="Z798" s="176"/>
      <c r="AA798" s="176"/>
      <c r="AB798" s="32">
        <f t="shared" ca="1" si="14"/>
        <v>0.8440310403209681</v>
      </c>
      <c r="AC798" s="812"/>
      <c r="AD798" s="763"/>
      <c r="AE798" s="807"/>
      <c r="AF798" s="921">
        <f>IF(X798=X797,AF797,0)+IF(ISNUMBER(I798),IF(I798&lt;1,I798,I798*VLOOKUP(J798,Summary!$H$2:$I$9,2)),VLOOKUP(J798,Summary!$J$2:$K$9,2)*IF(ISNUMBER(H798),H798,1))</f>
        <v>1.2034722222222234</v>
      </c>
      <c r="AG798" s="289">
        <v>797</v>
      </c>
      <c r="AH798" s="94"/>
      <c r="AI798" s="94"/>
    </row>
    <row r="799" spans="1:35" s="120" customFormat="1" ht="12" customHeight="1" x14ac:dyDescent="0.25">
      <c r="A799" s="408"/>
      <c r="B799" s="440" t="s">
        <v>2650</v>
      </c>
      <c r="C799" s="497">
        <v>3.53</v>
      </c>
      <c r="D799" s="176" t="s">
        <v>13571</v>
      </c>
      <c r="E799" s="313" t="s">
        <v>13575</v>
      </c>
      <c r="F799" s="174">
        <v>41306</v>
      </c>
      <c r="G799" s="175"/>
      <c r="H799" s="176" t="s">
        <v>461</v>
      </c>
      <c r="I799" s="176"/>
      <c r="J799" s="900" t="s">
        <v>2755</v>
      </c>
      <c r="K799" s="164" t="s">
        <v>13585</v>
      </c>
      <c r="L799" s="164" t="s">
        <v>461</v>
      </c>
      <c r="M799" s="164"/>
      <c r="N799" s="164" t="s">
        <v>13568</v>
      </c>
      <c r="O799" s="164"/>
      <c r="P799" s="173" t="s">
        <v>13569</v>
      </c>
      <c r="Q799" s="164" t="s">
        <v>11587</v>
      </c>
      <c r="R799" s="177" t="s">
        <v>11580</v>
      </c>
      <c r="S799" s="354"/>
      <c r="T799" s="173"/>
      <c r="U799" s="173"/>
      <c r="V799" s="173"/>
      <c r="W799" s="313" t="s">
        <v>13581</v>
      </c>
      <c r="X799" s="645" t="s">
        <v>12505</v>
      </c>
      <c r="Y799" s="354"/>
      <c r="Z799" s="176"/>
      <c r="AA799" s="176"/>
      <c r="AB799" s="32">
        <f t="shared" ca="1" si="14"/>
        <v>0.95372246314503106</v>
      </c>
      <c r="AC799" s="812"/>
      <c r="AD799" s="763"/>
      <c r="AE799" s="807"/>
      <c r="AF799" s="921">
        <f>IF(X799=X798,AF798,0)+IF(ISNUMBER(I799),IF(I799&lt;1,I799,I799*VLOOKUP(J799,Summary!$H$2:$I$9,2)),VLOOKUP(J799,Summary!$J$2:$K$9,2)*IF(ISNUMBER(H799),H799,1))</f>
        <v>1.2208333333333345</v>
      </c>
      <c r="AG799" s="289">
        <v>798</v>
      </c>
      <c r="AH799" s="94"/>
      <c r="AI799" s="94"/>
    </row>
    <row r="800" spans="1:35" s="43" customFormat="1" ht="12" customHeight="1" x14ac:dyDescent="0.25">
      <c r="A800" s="408"/>
      <c r="B800" s="440" t="s">
        <v>2650</v>
      </c>
      <c r="C800" s="497">
        <v>3.54</v>
      </c>
      <c r="D800" s="176" t="s">
        <v>13572</v>
      </c>
      <c r="E800" s="313" t="s">
        <v>13577</v>
      </c>
      <c r="F800" s="174">
        <v>41306</v>
      </c>
      <c r="G800" s="175"/>
      <c r="H800" s="176" t="s">
        <v>461</v>
      </c>
      <c r="I800" s="176"/>
      <c r="J800" s="900" t="s">
        <v>2755</v>
      </c>
      <c r="K800" s="164" t="s">
        <v>13568</v>
      </c>
      <c r="L800" s="164" t="s">
        <v>461</v>
      </c>
      <c r="M800" s="164"/>
      <c r="N800" s="164" t="s">
        <v>13568</v>
      </c>
      <c r="O800" s="164"/>
      <c r="P800" s="173" t="s">
        <v>13569</v>
      </c>
      <c r="Q800" s="164" t="s">
        <v>11587</v>
      </c>
      <c r="R800" s="177" t="s">
        <v>11580</v>
      </c>
      <c r="S800" s="354"/>
      <c r="T800" s="173"/>
      <c r="U800" s="173"/>
      <c r="V800" s="173"/>
      <c r="W800" s="313" t="s">
        <v>13582</v>
      </c>
      <c r="X800" s="645" t="s">
        <v>12505</v>
      </c>
      <c r="Y800" s="354"/>
      <c r="Z800" s="176"/>
      <c r="AA800" s="176"/>
      <c r="AB800" s="32">
        <f t="shared" ca="1" si="14"/>
        <v>0.2563688785440561</v>
      </c>
      <c r="AC800" s="812"/>
      <c r="AD800" s="763"/>
      <c r="AE800" s="807"/>
      <c r="AF800" s="921">
        <f>IF(X800=X799,AF799,0)+IF(ISNUMBER(I800),IF(I800&lt;1,I800,I800*VLOOKUP(J800,Summary!$H$2:$I$9,2)),VLOOKUP(J800,Summary!$J$2:$K$9,2)*IF(ISNUMBER(H800),H800,1))</f>
        <v>1.2381944444444457</v>
      </c>
      <c r="AG800" s="289">
        <v>799</v>
      </c>
      <c r="AH800" s="94"/>
      <c r="AI800" s="94"/>
    </row>
    <row r="801" spans="1:35" s="1" customFormat="1" ht="12" customHeight="1" x14ac:dyDescent="0.25">
      <c r="A801" s="408"/>
      <c r="B801" s="440" t="s">
        <v>2650</v>
      </c>
      <c r="C801" s="497">
        <v>3.55</v>
      </c>
      <c r="D801" s="176" t="s">
        <v>13576</v>
      </c>
      <c r="E801" s="313" t="s">
        <v>13578</v>
      </c>
      <c r="F801" s="174">
        <v>41306</v>
      </c>
      <c r="G801" s="175"/>
      <c r="H801" s="176" t="s">
        <v>461</v>
      </c>
      <c r="I801" s="176"/>
      <c r="J801" s="900" t="s">
        <v>2755</v>
      </c>
      <c r="K801" s="164" t="s">
        <v>4765</v>
      </c>
      <c r="L801" s="164" t="s">
        <v>461</v>
      </c>
      <c r="M801" s="164"/>
      <c r="N801" s="164" t="s">
        <v>13568</v>
      </c>
      <c r="O801" s="164"/>
      <c r="P801" s="173" t="s">
        <v>13569</v>
      </c>
      <c r="Q801" s="164" t="s">
        <v>11587</v>
      </c>
      <c r="R801" s="177" t="s">
        <v>11580</v>
      </c>
      <c r="S801" s="354"/>
      <c r="T801" s="173"/>
      <c r="U801" s="173"/>
      <c r="V801" s="173"/>
      <c r="W801" s="313" t="s">
        <v>13583</v>
      </c>
      <c r="X801" s="645" t="s">
        <v>12505</v>
      </c>
      <c r="Y801" s="354"/>
      <c r="Z801" s="176"/>
      <c r="AA801" s="176"/>
      <c r="AB801" s="32">
        <f t="shared" ca="1" si="14"/>
        <v>0.70807981970592082</v>
      </c>
      <c r="AC801" s="812"/>
      <c r="AD801" s="763"/>
      <c r="AE801" s="807"/>
      <c r="AF801" s="921">
        <f>IF(X801=X800,AF800,0)+IF(ISNUMBER(I801),IF(I801&lt;1,I801,I801*VLOOKUP(J801,Summary!$H$2:$I$9,2)),VLOOKUP(J801,Summary!$J$2:$K$9,2)*IF(ISNUMBER(H801),H801,1))</f>
        <v>1.2555555555555569</v>
      </c>
      <c r="AG801" s="289">
        <v>800</v>
      </c>
      <c r="AH801" s="94"/>
      <c r="AI801" s="94"/>
    </row>
    <row r="802" spans="1:35" s="22" customFormat="1" ht="12" customHeight="1" x14ac:dyDescent="0.25">
      <c r="A802" s="466" t="s">
        <v>1550</v>
      </c>
      <c r="B802" s="466">
        <v>3</v>
      </c>
      <c r="C802" s="466">
        <v>65</v>
      </c>
      <c r="D802" s="424" t="s">
        <v>1552</v>
      </c>
      <c r="E802" s="319" t="s">
        <v>1553</v>
      </c>
      <c r="F802" s="198">
        <v>26663</v>
      </c>
      <c r="G802" s="198">
        <v>26684</v>
      </c>
      <c r="H802" s="199">
        <v>4</v>
      </c>
      <c r="I802" s="791">
        <f>TIME(0,24,39)+TIME(0,24,18)+TIME(0,24,22)+TIME(0,25, 7)</f>
        <v>6.8356481481481476E-2</v>
      </c>
      <c r="J802" s="904" t="s">
        <v>1588</v>
      </c>
      <c r="K802" s="200" t="s">
        <v>7012</v>
      </c>
      <c r="L802" s="200" t="s">
        <v>7030</v>
      </c>
      <c r="M802" s="200"/>
      <c r="N802" s="200" t="s">
        <v>1088</v>
      </c>
      <c r="O802" s="200" t="s">
        <v>1884</v>
      </c>
      <c r="P802" s="197" t="s">
        <v>461</v>
      </c>
      <c r="Q802" s="200" t="s">
        <v>3946</v>
      </c>
      <c r="R802" s="201" t="s">
        <v>5280</v>
      </c>
      <c r="S802" s="390" t="s">
        <v>1778</v>
      </c>
      <c r="T802" s="197" t="s">
        <v>2597</v>
      </c>
      <c r="U802" s="197" t="s">
        <v>2600</v>
      </c>
      <c r="V802" s="197"/>
      <c r="W802" s="318" t="s">
        <v>9657</v>
      </c>
      <c r="X802" s="650" t="s">
        <v>12323</v>
      </c>
      <c r="Y802" s="358" t="s">
        <v>6141</v>
      </c>
      <c r="Z802" s="253">
        <v>156</v>
      </c>
      <c r="AA802" s="253">
        <v>5.5</v>
      </c>
      <c r="AB802" s="35">
        <f t="shared" ca="1" si="14"/>
        <v>0.25873289828447421</v>
      </c>
      <c r="AC802" s="820"/>
      <c r="AD802" s="821" t="s">
        <v>14967</v>
      </c>
      <c r="AE802" s="944" t="s">
        <v>3234</v>
      </c>
      <c r="AF802" s="925">
        <f>IF(X802=X801,AF801,0)+IF(ISNUMBER(I802),IF(I802&lt;1,I802,I802*VLOOKUP(J802,Summary!$H$2:$I$9,2)),VLOOKUP(J802,Summary!$J$2:$K$9,2)*IF(ISNUMBER(H802),H802,1))</f>
        <v>6.8356481481481476E-2</v>
      </c>
      <c r="AG802" s="293">
        <v>801</v>
      </c>
      <c r="AH802" s="94"/>
      <c r="AI802" s="94"/>
    </row>
    <row r="803" spans="1:35" s="142" customFormat="1" ht="12" customHeight="1" x14ac:dyDescent="0.25">
      <c r="A803" s="465">
        <v>10</v>
      </c>
      <c r="B803" s="465">
        <v>3</v>
      </c>
      <c r="C803" s="479">
        <v>2.2000000000000002</v>
      </c>
      <c r="D803" s="407" t="s">
        <v>11413</v>
      </c>
      <c r="E803" s="315" t="s">
        <v>11414</v>
      </c>
      <c r="F803" s="196">
        <v>42677</v>
      </c>
      <c r="G803" s="170"/>
      <c r="H803" s="170">
        <v>4</v>
      </c>
      <c r="I803" s="747">
        <f>TIME(0,120,0)</f>
        <v>8.3333333333333329E-2</v>
      </c>
      <c r="J803" s="899" t="s">
        <v>4706</v>
      </c>
      <c r="K803" s="167" t="s">
        <v>11415</v>
      </c>
      <c r="L803" s="167" t="s">
        <v>11415</v>
      </c>
      <c r="M803" s="167"/>
      <c r="N803" s="167"/>
      <c r="O803" s="167" t="s">
        <v>3295</v>
      </c>
      <c r="P803" s="168" t="s">
        <v>11410</v>
      </c>
      <c r="Q803" s="167" t="s">
        <v>3947</v>
      </c>
      <c r="R803" s="172" t="s">
        <v>13344</v>
      </c>
      <c r="S803" s="388" t="s">
        <v>1778</v>
      </c>
      <c r="T803" s="168"/>
      <c r="U803" s="168"/>
      <c r="V803" s="168"/>
      <c r="W803" s="312"/>
      <c r="X803" s="644" t="s">
        <v>12323</v>
      </c>
      <c r="Y803" s="352"/>
      <c r="Z803" s="353"/>
      <c r="AA803" s="353"/>
      <c r="AB803" s="31">
        <f t="shared" ca="1" si="14"/>
        <v>0.53972595274225743</v>
      </c>
      <c r="AC803" s="810"/>
      <c r="AD803" s="811"/>
      <c r="AE803" s="940"/>
      <c r="AF803" s="920">
        <f>IF(X803=X802,AF802,0)+IF(ISNUMBER(I803),IF(I803&lt;1,I803,I803*VLOOKUP(J803,Summary!$H$2:$I$9,2)),VLOOKUP(J803,Summary!$J$2:$K$9,2)*IF(ISNUMBER(H803),H803,1))</f>
        <v>0.15168981481481481</v>
      </c>
      <c r="AG803" s="287">
        <v>802</v>
      </c>
      <c r="AH803" s="94"/>
      <c r="AI803" s="94"/>
    </row>
    <row r="804" spans="1:35" s="1" customFormat="1" ht="12" customHeight="1" x14ac:dyDescent="0.25">
      <c r="A804" s="468" t="s">
        <v>1550</v>
      </c>
      <c r="B804" s="468">
        <v>3</v>
      </c>
      <c r="C804" s="468">
        <v>19</v>
      </c>
      <c r="D804" s="417" t="s">
        <v>501</v>
      </c>
      <c r="E804" s="316" t="s">
        <v>502</v>
      </c>
      <c r="F804" s="187">
        <v>36192</v>
      </c>
      <c r="G804" s="188"/>
      <c r="H804" s="188" t="str">
        <f>IF(J804="Book","n/a","")</f>
        <v>n/a</v>
      </c>
      <c r="I804" s="188">
        <v>250</v>
      </c>
      <c r="J804" s="902" t="s">
        <v>6868</v>
      </c>
      <c r="K804" s="162" t="s">
        <v>6234</v>
      </c>
      <c r="L804" s="162" t="str">
        <f>IF(J804="Book","n/a","")</f>
        <v>n/a</v>
      </c>
      <c r="M804" s="162"/>
      <c r="N804" s="162"/>
      <c r="O804" s="162"/>
      <c r="P804" s="178" t="s">
        <v>8944</v>
      </c>
      <c r="Q804" s="162" t="s">
        <v>3953</v>
      </c>
      <c r="R804" s="189" t="s">
        <v>2717</v>
      </c>
      <c r="S804" s="366" t="s">
        <v>1778</v>
      </c>
      <c r="T804" s="178" t="s">
        <v>2597</v>
      </c>
      <c r="U804" s="178"/>
      <c r="V804" s="178"/>
      <c r="W804" s="316" t="s">
        <v>502</v>
      </c>
      <c r="X804" s="648" t="s">
        <v>12323</v>
      </c>
      <c r="Y804" s="356"/>
      <c r="Z804" s="272"/>
      <c r="AA804" s="272"/>
      <c r="AB804" s="34">
        <f t="shared" ca="1" si="14"/>
        <v>0.25445039278893045</v>
      </c>
      <c r="AC804" s="814"/>
      <c r="AD804" s="815" t="s">
        <v>16679</v>
      </c>
      <c r="AE804" s="942" t="s">
        <v>3234</v>
      </c>
      <c r="AF804" s="923">
        <f>IF(X804=X803,AF803,0)+IF(ISNUMBER(I804),IF(I804&lt;1,I804,I804*VLOOKUP(J804,Summary!$H$2:$I$9,2)),VLOOKUP(J804,Summary!$J$2:$K$9,2)*IF(ISNUMBER(H804),H804,1))</f>
        <v>0.32530092592592591</v>
      </c>
      <c r="AG804" s="291">
        <v>803</v>
      </c>
      <c r="AH804" s="94"/>
      <c r="AI804" s="94"/>
    </row>
    <row r="805" spans="1:35" s="1" customFormat="1" ht="12" customHeight="1" x14ac:dyDescent="0.25">
      <c r="A805" s="472">
        <v>10</v>
      </c>
      <c r="B805" s="472">
        <v>3</v>
      </c>
      <c r="C805" s="472">
        <v>3</v>
      </c>
      <c r="D805" s="176" t="s">
        <v>13273</v>
      </c>
      <c r="E805" s="313" t="s">
        <v>13274</v>
      </c>
      <c r="F805" s="175">
        <v>42649</v>
      </c>
      <c r="G805" s="174"/>
      <c r="H805" s="176" t="s">
        <v>461</v>
      </c>
      <c r="I805" s="176"/>
      <c r="J805" s="900" t="s">
        <v>2755</v>
      </c>
      <c r="K805" s="164" t="s">
        <v>4552</v>
      </c>
      <c r="L805" s="164" t="s">
        <v>13275</v>
      </c>
      <c r="M805" s="164"/>
      <c r="N805" s="164"/>
      <c r="O805" s="164"/>
      <c r="P805" s="173" t="s">
        <v>12400</v>
      </c>
      <c r="Q805" s="164" t="s">
        <v>3953</v>
      </c>
      <c r="R805" s="177" t="s">
        <v>13260</v>
      </c>
      <c r="S805" s="354" t="s">
        <v>1778</v>
      </c>
      <c r="T805" s="173"/>
      <c r="U805" s="173">
        <v>10</v>
      </c>
      <c r="V805" s="173" t="s">
        <v>2601</v>
      </c>
      <c r="W805" s="313" t="s">
        <v>13274</v>
      </c>
      <c r="X805" s="645" t="s">
        <v>12323</v>
      </c>
      <c r="Y805" s="354"/>
      <c r="Z805" s="176"/>
      <c r="AA805" s="176"/>
      <c r="AB805" s="32">
        <f t="shared" ca="1" si="14"/>
        <v>0.45233604174677267</v>
      </c>
      <c r="AC805" s="812"/>
      <c r="AD805" s="763"/>
      <c r="AE805" s="807"/>
      <c r="AF805" s="921">
        <f>IF(X805=X804,AF804,0)+IF(ISNUMBER(I805),IF(I805&lt;1,I805,I805*VLOOKUP(J805,Summary!$H$2:$I$9,2)),VLOOKUP(J805,Summary!$J$2:$K$9,2)*IF(ISNUMBER(H805),H805,1))</f>
        <v>0.34266203703703701</v>
      </c>
      <c r="AG805" s="289">
        <v>804</v>
      </c>
      <c r="AH805" s="94"/>
      <c r="AI805" s="94"/>
    </row>
    <row r="806" spans="1:35" s="1" customFormat="1" ht="12" customHeight="1" x14ac:dyDescent="0.25">
      <c r="A806" s="472">
        <v>10</v>
      </c>
      <c r="B806" s="472">
        <v>3</v>
      </c>
      <c r="C806" s="473">
        <v>31.05</v>
      </c>
      <c r="D806" s="176" t="s">
        <v>615</v>
      </c>
      <c r="E806" s="313" t="s">
        <v>5842</v>
      </c>
      <c r="F806" s="174">
        <v>39873</v>
      </c>
      <c r="G806" s="174"/>
      <c r="H806" s="176" t="s">
        <v>461</v>
      </c>
      <c r="I806" s="176">
        <v>21</v>
      </c>
      <c r="J806" s="900" t="s">
        <v>2755</v>
      </c>
      <c r="K806" s="164" t="s">
        <v>5843</v>
      </c>
      <c r="L806" s="164" t="s">
        <v>461</v>
      </c>
      <c r="M806" s="164"/>
      <c r="N806" s="164" t="s">
        <v>1805</v>
      </c>
      <c r="O806" s="164"/>
      <c r="P806" s="173" t="s">
        <v>6699</v>
      </c>
      <c r="Q806" s="164" t="s">
        <v>3947</v>
      </c>
      <c r="R806" s="177" t="s">
        <v>2723</v>
      </c>
      <c r="S806" s="354" t="s">
        <v>5811</v>
      </c>
      <c r="T806" s="173"/>
      <c r="U806" s="173"/>
      <c r="V806" s="173"/>
      <c r="W806" s="313" t="s">
        <v>5842</v>
      </c>
      <c r="X806" s="645" t="s">
        <v>12323</v>
      </c>
      <c r="Y806" s="354"/>
      <c r="Z806" s="176"/>
      <c r="AA806" s="176"/>
      <c r="AB806" s="32">
        <f t="shared" ca="1" si="14"/>
        <v>0.44407451803060172</v>
      </c>
      <c r="AC806" s="812"/>
      <c r="AD806" s="763"/>
      <c r="AE806" s="807"/>
      <c r="AF806" s="921">
        <f>IF(X806=X805,AF805,0)+IF(ISNUMBER(I806),IF(I806&lt;1,I806,I806*VLOOKUP(J806,Summary!$H$2:$I$9,2)),VLOOKUP(J806,Summary!$J$2:$K$9,2)*IF(ISNUMBER(H806),H806,1))</f>
        <v>0.35724537037037035</v>
      </c>
      <c r="AG806" s="289">
        <v>805</v>
      </c>
      <c r="AH806" s="94"/>
      <c r="AI806" s="94"/>
    </row>
    <row r="807" spans="1:35" s="22" customFormat="1" ht="12" customHeight="1" x14ac:dyDescent="0.2">
      <c r="A807" s="465">
        <v>10</v>
      </c>
      <c r="B807" s="465">
        <v>3</v>
      </c>
      <c r="C807" s="471">
        <v>7.09</v>
      </c>
      <c r="D807" s="407" t="s">
        <v>1220</v>
      </c>
      <c r="E807" s="315" t="s">
        <v>1221</v>
      </c>
      <c r="F807" s="169">
        <v>41334</v>
      </c>
      <c r="G807" s="170"/>
      <c r="H807" s="170">
        <v>2</v>
      </c>
      <c r="I807" s="746">
        <f>TIME(0,48,19)</f>
        <v>3.3553240740740745E-2</v>
      </c>
      <c r="J807" s="899" t="s">
        <v>4706</v>
      </c>
      <c r="K807" s="167" t="s">
        <v>1643</v>
      </c>
      <c r="L807" s="167" t="s">
        <v>2313</v>
      </c>
      <c r="M807" s="167" t="s">
        <v>1222</v>
      </c>
      <c r="N807" s="167"/>
      <c r="O807" s="167"/>
      <c r="P807" s="168" t="s">
        <v>1223</v>
      </c>
      <c r="Q807" s="167" t="s">
        <v>3947</v>
      </c>
      <c r="R807" s="172" t="s">
        <v>3153</v>
      </c>
      <c r="S807" s="388" t="s">
        <v>1778</v>
      </c>
      <c r="T807" s="168"/>
      <c r="U807" s="168"/>
      <c r="V807" s="168"/>
      <c r="W807" s="312" t="s">
        <v>10183</v>
      </c>
      <c r="X807" s="644" t="s">
        <v>12323</v>
      </c>
      <c r="Y807" s="352" t="s">
        <v>5643</v>
      </c>
      <c r="Z807" s="353">
        <v>33</v>
      </c>
      <c r="AA807" s="353">
        <v>9</v>
      </c>
      <c r="AB807" s="31">
        <f t="shared" ca="1" si="14"/>
        <v>0.48343431925023184</v>
      </c>
      <c r="AC807" s="810"/>
      <c r="AD807" s="811"/>
      <c r="AE807" s="940"/>
      <c r="AF807" s="920">
        <f>IF(X807=X806,AF806,0)+IF(ISNUMBER(I807),IF(I807&lt;1,I807,I807*VLOOKUP(J807,Summary!$H$2:$I$9,2)),VLOOKUP(J807,Summary!$J$2:$K$9,2)*IF(ISNUMBER(H807),H807,1))</f>
        <v>0.39079861111111108</v>
      </c>
      <c r="AG807" s="287">
        <v>806</v>
      </c>
      <c r="AH807" s="94"/>
      <c r="AI807" s="94"/>
    </row>
    <row r="808" spans="1:35" s="3" customFormat="1" ht="12" customHeight="1" x14ac:dyDescent="0.25">
      <c r="A808" s="483">
        <v>10</v>
      </c>
      <c r="B808" s="483">
        <v>3</v>
      </c>
      <c r="C808" s="483">
        <v>1.1000000000000001</v>
      </c>
      <c r="D808" s="493" t="s">
        <v>12176</v>
      </c>
      <c r="E808" s="333" t="s">
        <v>12177</v>
      </c>
      <c r="F808" s="233">
        <v>42627</v>
      </c>
      <c r="G808" s="233">
        <v>42788</v>
      </c>
      <c r="H808" s="226">
        <v>5</v>
      </c>
      <c r="I808" s="226">
        <v>101</v>
      </c>
      <c r="J808" s="907" t="s">
        <v>1796</v>
      </c>
      <c r="K808" s="165" t="s">
        <v>3807</v>
      </c>
      <c r="L808" s="165" t="s">
        <v>12178</v>
      </c>
      <c r="M808" s="165" t="s">
        <v>10920</v>
      </c>
      <c r="N808" s="165" t="s">
        <v>10882</v>
      </c>
      <c r="O808" s="165"/>
      <c r="P808" s="225" t="s">
        <v>461</v>
      </c>
      <c r="Q808" s="228" t="s">
        <v>7076</v>
      </c>
      <c r="R808" s="234" t="s">
        <v>12174</v>
      </c>
      <c r="S808" s="369" t="s">
        <v>1778</v>
      </c>
      <c r="T808" s="225" t="s">
        <v>2597</v>
      </c>
      <c r="U808" s="225"/>
      <c r="V808" s="225"/>
      <c r="W808" s="333"/>
      <c r="X808" s="665" t="s">
        <v>12323</v>
      </c>
      <c r="Y808" s="369" t="s">
        <v>6000</v>
      </c>
      <c r="Z808" s="269"/>
      <c r="AA808" s="269"/>
      <c r="AB808" s="38">
        <f t="shared" ca="1" si="14"/>
        <v>0.51109283227587954</v>
      </c>
      <c r="AC808" s="830"/>
      <c r="AD808" s="831"/>
      <c r="AE808" s="953"/>
      <c r="AF808" s="928">
        <f>IF(X808=X807,AF807,0)+IF(ISNUMBER(I808),IF(I808&lt;1,I808,I808*VLOOKUP(J808,Summary!$H$2:$I$9,2)),VLOOKUP(J808,Summary!$J$2:$K$9,2)*IF(ISNUMBER(H808),H808,1))</f>
        <v>0.42586805555555551</v>
      </c>
      <c r="AG808" s="300">
        <v>807</v>
      </c>
      <c r="AH808" s="94"/>
      <c r="AI808" s="94"/>
    </row>
    <row r="809" spans="1:35" s="22" customFormat="1" ht="12" customHeight="1" x14ac:dyDescent="0.25">
      <c r="A809" s="472">
        <v>10</v>
      </c>
      <c r="B809" s="472">
        <v>3</v>
      </c>
      <c r="C809" s="473">
        <v>9.07</v>
      </c>
      <c r="D809" s="176" t="s">
        <v>1879</v>
      </c>
      <c r="E809" s="313" t="s">
        <v>1880</v>
      </c>
      <c r="F809" s="174">
        <v>38047</v>
      </c>
      <c r="G809" s="174"/>
      <c r="H809" s="176">
        <v>1</v>
      </c>
      <c r="I809" s="176">
        <v>12</v>
      </c>
      <c r="J809" s="900" t="s">
        <v>2755</v>
      </c>
      <c r="K809" s="164" t="s">
        <v>1881</v>
      </c>
      <c r="L809" s="164" t="s">
        <v>461</v>
      </c>
      <c r="M809" s="164"/>
      <c r="N809" s="164" t="s">
        <v>7381</v>
      </c>
      <c r="O809" s="164"/>
      <c r="P809" s="173" t="s">
        <v>3431</v>
      </c>
      <c r="Q809" s="164" t="s">
        <v>3947</v>
      </c>
      <c r="R809" s="177" t="s">
        <v>2723</v>
      </c>
      <c r="S809" s="354" t="s">
        <v>1778</v>
      </c>
      <c r="T809" s="173"/>
      <c r="U809" s="173"/>
      <c r="V809" s="173"/>
      <c r="W809" s="313" t="s">
        <v>1880</v>
      </c>
      <c r="X809" s="645" t="s">
        <v>12323</v>
      </c>
      <c r="Y809" s="354"/>
      <c r="Z809" s="176">
        <v>999</v>
      </c>
      <c r="AA809" s="176"/>
      <c r="AB809" s="32">
        <f t="shared" ca="1" si="14"/>
        <v>0.14589436326831473</v>
      </c>
      <c r="AC809" s="812"/>
      <c r="AD809" s="763"/>
      <c r="AE809" s="807"/>
      <c r="AF809" s="921">
        <f>IF(X809=X808,AF808,0)+IF(ISNUMBER(I809),IF(I809&lt;1,I809,I809*VLOOKUP(J809,Summary!$H$2:$I$9,2)),VLOOKUP(J809,Summary!$J$2:$K$9,2)*IF(ISNUMBER(H809),H809,1))</f>
        <v>0.43420138888888887</v>
      </c>
      <c r="AG809" s="289">
        <v>808</v>
      </c>
      <c r="AH809" s="94"/>
      <c r="AI809" s="94"/>
    </row>
    <row r="810" spans="1:35" s="2" customFormat="1" ht="12" customHeight="1" x14ac:dyDescent="0.25">
      <c r="A810" s="472">
        <v>10</v>
      </c>
      <c r="B810" s="472">
        <v>3</v>
      </c>
      <c r="C810" s="473">
        <v>6.05</v>
      </c>
      <c r="D810" s="176" t="s">
        <v>1859</v>
      </c>
      <c r="E810" s="313" t="s">
        <v>1860</v>
      </c>
      <c r="F810" s="174">
        <v>37773</v>
      </c>
      <c r="G810" s="174"/>
      <c r="H810" s="176">
        <v>1</v>
      </c>
      <c r="I810" s="176">
        <v>12</v>
      </c>
      <c r="J810" s="900" t="s">
        <v>2755</v>
      </c>
      <c r="K810" s="164" t="s">
        <v>1861</v>
      </c>
      <c r="L810" s="164" t="s">
        <v>461</v>
      </c>
      <c r="M810" s="164"/>
      <c r="N810" s="164" t="s">
        <v>4996</v>
      </c>
      <c r="O810" s="164"/>
      <c r="P810" s="173" t="s">
        <v>4997</v>
      </c>
      <c r="Q810" s="164" t="s">
        <v>3947</v>
      </c>
      <c r="R810" s="177" t="s">
        <v>2723</v>
      </c>
      <c r="S810" s="354" t="s">
        <v>1778</v>
      </c>
      <c r="T810" s="173"/>
      <c r="U810" s="173"/>
      <c r="V810" s="173"/>
      <c r="W810" s="313" t="s">
        <v>1860</v>
      </c>
      <c r="X810" s="645" t="s">
        <v>12323</v>
      </c>
      <c r="Y810" s="354"/>
      <c r="Z810" s="176">
        <v>999</v>
      </c>
      <c r="AA810" s="176"/>
      <c r="AB810" s="32">
        <f t="shared" ca="1" si="14"/>
        <v>0.69112110302685648</v>
      </c>
      <c r="AC810" s="812"/>
      <c r="AD810" s="763"/>
      <c r="AE810" s="807"/>
      <c r="AF810" s="921">
        <f>IF(X810=X809,AF809,0)+IF(ISNUMBER(I810),IF(I810&lt;1,I810,I810*VLOOKUP(J810,Summary!$H$2:$I$9,2)),VLOOKUP(J810,Summary!$J$2:$K$9,2)*IF(ISNUMBER(H810),H810,1))</f>
        <v>0.44253472222222223</v>
      </c>
      <c r="AG810" s="289">
        <v>809</v>
      </c>
      <c r="AH810" s="94"/>
      <c r="AI810" s="94"/>
    </row>
    <row r="811" spans="1:35" s="22" customFormat="1" ht="12" customHeight="1" x14ac:dyDescent="0.25">
      <c r="A811" s="472">
        <v>10</v>
      </c>
      <c r="B811" s="472">
        <v>3</v>
      </c>
      <c r="C811" s="473">
        <v>25.09</v>
      </c>
      <c r="D811" s="176" t="s">
        <v>473</v>
      </c>
      <c r="E811" s="313" t="s">
        <v>474</v>
      </c>
      <c r="F811" s="174">
        <v>39417</v>
      </c>
      <c r="G811" s="174"/>
      <c r="H811" s="176">
        <v>1</v>
      </c>
      <c r="I811" s="176">
        <v>16</v>
      </c>
      <c r="J811" s="900" t="s">
        <v>2755</v>
      </c>
      <c r="K811" s="164" t="s">
        <v>4551</v>
      </c>
      <c r="L811" s="164" t="s">
        <v>461</v>
      </c>
      <c r="M811" s="164"/>
      <c r="N811" s="164" t="s">
        <v>5146</v>
      </c>
      <c r="O811" s="164"/>
      <c r="P811" s="173" t="s">
        <v>6701</v>
      </c>
      <c r="Q811" s="164" t="s">
        <v>3947</v>
      </c>
      <c r="R811" s="177" t="s">
        <v>2723</v>
      </c>
      <c r="S811" s="354" t="s">
        <v>1778</v>
      </c>
      <c r="T811" s="173"/>
      <c r="U811" s="173"/>
      <c r="V811" s="173"/>
      <c r="W811" s="313" t="s">
        <v>474</v>
      </c>
      <c r="X811" s="645" t="s">
        <v>12323</v>
      </c>
      <c r="Y811" s="354"/>
      <c r="Z811" s="176"/>
      <c r="AA811" s="176"/>
      <c r="AB811" s="32">
        <f t="shared" ca="1" si="14"/>
        <v>0.71712476092667987</v>
      </c>
      <c r="AC811" s="812"/>
      <c r="AD811" s="763"/>
      <c r="AE811" s="807"/>
      <c r="AF811" s="921">
        <f>IF(X811=X810,AF810,0)+IF(ISNUMBER(I811),IF(I811&lt;1,I811,I811*VLOOKUP(J811,Summary!$H$2:$I$9,2)),VLOOKUP(J811,Summary!$J$2:$K$9,2)*IF(ISNUMBER(H811),H811,1))</f>
        <v>0.45364583333333336</v>
      </c>
      <c r="AG811" s="289">
        <v>810</v>
      </c>
      <c r="AH811" s="94"/>
      <c r="AI811" s="94"/>
    </row>
    <row r="812" spans="1:35" s="2" customFormat="1" ht="12" customHeight="1" x14ac:dyDescent="0.25">
      <c r="A812" s="465">
        <v>10</v>
      </c>
      <c r="B812" s="465">
        <v>3</v>
      </c>
      <c r="C812" s="479">
        <v>1.2</v>
      </c>
      <c r="D812" s="407" t="s">
        <v>11412</v>
      </c>
      <c r="E812" s="315" t="s">
        <v>10021</v>
      </c>
      <c r="F812" s="196">
        <v>42249</v>
      </c>
      <c r="G812" s="170"/>
      <c r="H812" s="170">
        <v>4</v>
      </c>
      <c r="I812" s="746">
        <f>TIME(1,51,31)</f>
        <v>7.7442129629629639E-2</v>
      </c>
      <c r="J812" s="899" t="s">
        <v>4706</v>
      </c>
      <c r="K812" s="167" t="s">
        <v>175</v>
      </c>
      <c r="L812" s="167" t="s">
        <v>4549</v>
      </c>
      <c r="M812" s="167"/>
      <c r="N812" s="167"/>
      <c r="O812" s="167" t="s">
        <v>3295</v>
      </c>
      <c r="P812" s="168" t="s">
        <v>10020</v>
      </c>
      <c r="Q812" s="167" t="s">
        <v>3947</v>
      </c>
      <c r="R812" s="172" t="s">
        <v>13344</v>
      </c>
      <c r="S812" s="388" t="s">
        <v>1778</v>
      </c>
      <c r="T812" s="168"/>
      <c r="U812" s="168"/>
      <c r="V812" s="168" t="s">
        <v>2601</v>
      </c>
      <c r="W812" s="312" t="s">
        <v>12537</v>
      </c>
      <c r="X812" s="644" t="s">
        <v>12323</v>
      </c>
      <c r="Y812" s="352" t="s">
        <v>5643</v>
      </c>
      <c r="Z812" s="353">
        <v>149</v>
      </c>
      <c r="AA812" s="353">
        <v>6.5</v>
      </c>
      <c r="AB812" s="31">
        <f t="shared" ca="1" si="14"/>
        <v>0.78905939304056305</v>
      </c>
      <c r="AC812" s="810"/>
      <c r="AD812" s="811"/>
      <c r="AE812" s="940"/>
      <c r="AF812" s="920">
        <f>IF(X812=X811,AF811,0)+IF(ISNUMBER(I812),IF(I812&lt;1,I812,I812*VLOOKUP(J812,Summary!$H$2:$I$9,2)),VLOOKUP(J812,Summary!$J$2:$K$9,2)*IF(ISNUMBER(H812),H812,1))</f>
        <v>0.53108796296296301</v>
      </c>
      <c r="AG812" s="287">
        <v>811</v>
      </c>
      <c r="AH812" s="94"/>
      <c r="AI812" s="94"/>
    </row>
    <row r="813" spans="1:35" s="22" customFormat="1" ht="12" customHeight="1" x14ac:dyDescent="0.25">
      <c r="A813" s="466" t="s">
        <v>1550</v>
      </c>
      <c r="B813" s="466">
        <v>3</v>
      </c>
      <c r="C813" s="466">
        <v>66</v>
      </c>
      <c r="D813" s="424" t="s">
        <v>503</v>
      </c>
      <c r="E813" s="319" t="s">
        <v>504</v>
      </c>
      <c r="F813" s="198">
        <v>26691</v>
      </c>
      <c r="G813" s="198">
        <v>26712</v>
      </c>
      <c r="H813" s="874">
        <v>4</v>
      </c>
      <c r="I813" s="791">
        <f>TIME(0,24,46)+TIME(0,24,11)+TIME(0,24,49)+TIME(0,24,10)</f>
        <v>6.8009259259259255E-2</v>
      </c>
      <c r="J813" s="904" t="s">
        <v>1588</v>
      </c>
      <c r="K813" s="200" t="s">
        <v>1093</v>
      </c>
      <c r="L813" s="200" t="s">
        <v>1884</v>
      </c>
      <c r="M813" s="200"/>
      <c r="N813" s="200" t="s">
        <v>1088</v>
      </c>
      <c r="O813" s="200" t="s">
        <v>1884</v>
      </c>
      <c r="P813" s="197" t="s">
        <v>461</v>
      </c>
      <c r="Q813" s="200" t="s">
        <v>3946</v>
      </c>
      <c r="R813" s="201" t="s">
        <v>5280</v>
      </c>
      <c r="S813" s="390" t="s">
        <v>1778</v>
      </c>
      <c r="T813" s="197"/>
      <c r="U813" s="197"/>
      <c r="V813" s="197"/>
      <c r="W813" s="318" t="s">
        <v>8687</v>
      </c>
      <c r="X813" s="650" t="s">
        <v>12323</v>
      </c>
      <c r="Y813" s="358" t="s">
        <v>6141</v>
      </c>
      <c r="Z813" s="253">
        <v>71</v>
      </c>
      <c r="AA813" s="253">
        <v>7.5</v>
      </c>
      <c r="AB813" s="35">
        <f t="shared" ca="1" si="14"/>
        <v>0.22587986524957815</v>
      </c>
      <c r="AC813" s="820"/>
      <c r="AD813" s="821"/>
      <c r="AE813" s="944"/>
      <c r="AF813" s="925">
        <f>IF(X813=X812,AF812,0)+IF(ISNUMBER(I813),IF(I813&lt;1,I813,I813*VLOOKUP(J813,Summary!$H$2:$I$9,2)),VLOOKUP(J813,Summary!$J$2:$K$9,2)*IF(ISNUMBER(H813),H813,1))</f>
        <v>0.59909722222222228</v>
      </c>
      <c r="AG813" s="293">
        <v>812</v>
      </c>
      <c r="AH813" s="94"/>
      <c r="AI813" s="94"/>
    </row>
    <row r="814" spans="1:35" s="3" customFormat="1" ht="12" customHeight="1" x14ac:dyDescent="0.25">
      <c r="A814" s="405">
        <v>10</v>
      </c>
      <c r="B814" s="406" t="s">
        <v>2650</v>
      </c>
      <c r="C814" s="405">
        <v>6.3</v>
      </c>
      <c r="D814" s="407" t="s">
        <v>15780</v>
      </c>
      <c r="E814" s="336" t="s">
        <v>15781</v>
      </c>
      <c r="F814" s="196" t="s">
        <v>11072</v>
      </c>
      <c r="G814" s="169"/>
      <c r="H814" s="688">
        <v>1</v>
      </c>
      <c r="I814" s="747">
        <f>TIME(0,60,0)</f>
        <v>4.1666666666666664E-2</v>
      </c>
      <c r="J814" s="899" t="s">
        <v>4706</v>
      </c>
      <c r="K814" s="167" t="s">
        <v>1826</v>
      </c>
      <c r="L814" s="167" t="s">
        <v>2313</v>
      </c>
      <c r="M814" s="167"/>
      <c r="N814" s="167" t="s">
        <v>6452</v>
      </c>
      <c r="O814" s="167" t="s">
        <v>3295</v>
      </c>
      <c r="P814" s="168" t="s">
        <v>15777</v>
      </c>
      <c r="Q814" s="167" t="s">
        <v>3947</v>
      </c>
      <c r="R814" s="172" t="s">
        <v>10102</v>
      </c>
      <c r="S814" s="388"/>
      <c r="T814" s="168"/>
      <c r="U814" s="168" t="s">
        <v>7344</v>
      </c>
      <c r="V814" s="168"/>
      <c r="W814" s="336" t="s">
        <v>15781</v>
      </c>
      <c r="X814" s="644" t="s">
        <v>12323</v>
      </c>
      <c r="Y814" s="352"/>
      <c r="Z814" s="353"/>
      <c r="AA814" s="353"/>
      <c r="AB814" s="31">
        <f t="shared" ca="1" si="14"/>
        <v>0.37455086050485675</v>
      </c>
      <c r="AC814" s="810"/>
      <c r="AD814" s="811"/>
      <c r="AE814" s="945"/>
      <c r="AF814" s="920">
        <f>IF(X814=X813,AF813,0)+IF(ISNUMBER(I814),IF(I814&lt;1,I814,I814*VLOOKUP(J814,Summary!$H$2:$I$9,2)),VLOOKUP(J814,Summary!$J$2:$K$9,2)*IF(ISNUMBER(H814),H814,1))</f>
        <v>0.64076388888888891</v>
      </c>
      <c r="AG814" s="287">
        <v>813</v>
      </c>
      <c r="AH814" s="94"/>
      <c r="AI814" s="94"/>
    </row>
    <row r="815" spans="1:35" s="22" customFormat="1" ht="12" customHeight="1" x14ac:dyDescent="0.25">
      <c r="A815" s="468" t="s">
        <v>1550</v>
      </c>
      <c r="B815" s="468">
        <v>3</v>
      </c>
      <c r="C815" s="468">
        <v>56</v>
      </c>
      <c r="D815" s="417" t="s">
        <v>505</v>
      </c>
      <c r="E815" s="316" t="s">
        <v>506</v>
      </c>
      <c r="F815" s="187">
        <v>37469</v>
      </c>
      <c r="G815" s="188"/>
      <c r="H815" s="188" t="str">
        <f>IF(J815="Book","n/a","")</f>
        <v>n/a</v>
      </c>
      <c r="I815" s="188">
        <v>286</v>
      </c>
      <c r="J815" s="902" t="s">
        <v>6868</v>
      </c>
      <c r="K815" s="162" t="s">
        <v>5458</v>
      </c>
      <c r="L815" s="162" t="str">
        <f>IF(J815="Book","n/a","")</f>
        <v>n/a</v>
      </c>
      <c r="M815" s="162"/>
      <c r="N815" s="162"/>
      <c r="O815" s="162"/>
      <c r="P815" s="178" t="s">
        <v>8980</v>
      </c>
      <c r="Q815" s="162" t="s">
        <v>3953</v>
      </c>
      <c r="R815" s="189" t="s">
        <v>2717</v>
      </c>
      <c r="S815" s="366" t="s">
        <v>1778</v>
      </c>
      <c r="T815" s="178"/>
      <c r="U815" s="178"/>
      <c r="V815" s="178"/>
      <c r="W815" s="316" t="s">
        <v>506</v>
      </c>
      <c r="X815" s="648" t="s">
        <v>12323</v>
      </c>
      <c r="Y815" s="356" t="s">
        <v>6868</v>
      </c>
      <c r="Z815" s="272">
        <v>29</v>
      </c>
      <c r="AA815" s="272">
        <v>8</v>
      </c>
      <c r="AB815" s="34">
        <f t="shared" ca="1" si="14"/>
        <v>9.6777109457337085E-2</v>
      </c>
      <c r="AC815" s="814"/>
      <c r="AD815" s="815"/>
      <c r="AE815" s="942"/>
      <c r="AF815" s="923">
        <f>IF(X815=X814,AF814,0)+IF(ISNUMBER(I815),IF(I815&lt;1,I815,I815*VLOOKUP(J815,Summary!$H$2:$I$9,2)),VLOOKUP(J815,Summary!$J$2:$K$9,2)*IF(ISNUMBER(H815),H815,1))</f>
        <v>0.83937499999999998</v>
      </c>
      <c r="AG815" s="291">
        <v>814</v>
      </c>
      <c r="AH815" s="94"/>
      <c r="AI815" s="94"/>
    </row>
    <row r="816" spans="1:35" s="2" customFormat="1" ht="12" customHeight="1" x14ac:dyDescent="0.25">
      <c r="A816" s="472">
        <v>10</v>
      </c>
      <c r="B816" s="472">
        <v>3</v>
      </c>
      <c r="C816" s="473">
        <v>8.09</v>
      </c>
      <c r="D816" s="176" t="s">
        <v>1862</v>
      </c>
      <c r="E816" s="313" t="s">
        <v>1863</v>
      </c>
      <c r="F816" s="174">
        <v>37956</v>
      </c>
      <c r="G816" s="174"/>
      <c r="H816" s="869">
        <v>1</v>
      </c>
      <c r="I816" s="176">
        <v>12</v>
      </c>
      <c r="J816" s="900" t="s">
        <v>2755</v>
      </c>
      <c r="K816" s="164" t="s">
        <v>185</v>
      </c>
      <c r="L816" s="164" t="s">
        <v>461</v>
      </c>
      <c r="M816" s="164"/>
      <c r="N816" s="164" t="s">
        <v>4996</v>
      </c>
      <c r="O816" s="164"/>
      <c r="P816" s="173" t="s">
        <v>2555</v>
      </c>
      <c r="Q816" s="164" t="s">
        <v>3947</v>
      </c>
      <c r="R816" s="177" t="s">
        <v>2723</v>
      </c>
      <c r="S816" s="354" t="s">
        <v>1778</v>
      </c>
      <c r="T816" s="173"/>
      <c r="U816" s="173"/>
      <c r="V816" s="173"/>
      <c r="W816" s="313" t="s">
        <v>1863</v>
      </c>
      <c r="X816" s="645" t="s">
        <v>12323</v>
      </c>
      <c r="Y816" s="354"/>
      <c r="Z816" s="176"/>
      <c r="AA816" s="176"/>
      <c r="AB816" s="32">
        <f t="shared" ca="1" si="14"/>
        <v>0.41245564979598137</v>
      </c>
      <c r="AC816" s="812"/>
      <c r="AD816" s="763"/>
      <c r="AE816" s="807"/>
      <c r="AF816" s="921">
        <f>IF(X816=X815,AF815,0)+IF(ISNUMBER(I816),IF(I816&lt;1,I816,I816*VLOOKUP(J816,Summary!$H$2:$I$9,2)),VLOOKUP(J816,Summary!$J$2:$K$9,2)*IF(ISNUMBER(H816),H816,1))</f>
        <v>0.84770833333333329</v>
      </c>
      <c r="AG816" s="289">
        <v>815</v>
      </c>
      <c r="AH816" s="94"/>
      <c r="AI816" s="94"/>
    </row>
    <row r="817" spans="1:35" s="22" customFormat="1" ht="12" customHeight="1" x14ac:dyDescent="0.2">
      <c r="A817" s="481"/>
      <c r="B817" s="411" t="s">
        <v>2650</v>
      </c>
      <c r="C817" s="411">
        <v>102</v>
      </c>
      <c r="D817" s="428" t="s">
        <v>9856</v>
      </c>
      <c r="E817" s="325" t="s">
        <v>9857</v>
      </c>
      <c r="F817" s="184">
        <v>37237</v>
      </c>
      <c r="G817" s="184"/>
      <c r="H817" s="185">
        <v>1</v>
      </c>
      <c r="I817" s="185">
        <v>7</v>
      </c>
      <c r="J817" s="901" t="s">
        <v>1796</v>
      </c>
      <c r="K817" s="158" t="s">
        <v>5251</v>
      </c>
      <c r="L817" s="158" t="s">
        <v>3551</v>
      </c>
      <c r="M817" s="158" t="s">
        <v>3551</v>
      </c>
      <c r="N817" s="158" t="s">
        <v>5929</v>
      </c>
      <c r="O817" s="158"/>
      <c r="P817" s="182" t="s">
        <v>461</v>
      </c>
      <c r="Q817" s="158" t="s">
        <v>4104</v>
      </c>
      <c r="R817" s="186" t="s">
        <v>5266</v>
      </c>
      <c r="S817" s="355"/>
      <c r="T817" s="182"/>
      <c r="U817" s="182"/>
      <c r="V817" s="182"/>
      <c r="W817" s="325" t="s">
        <v>9857</v>
      </c>
      <c r="X817" s="657" t="s">
        <v>12323</v>
      </c>
      <c r="Y817" s="361"/>
      <c r="Z817" s="362"/>
      <c r="AA817" s="362"/>
      <c r="AB817" s="33">
        <f t="shared" ca="1" si="14"/>
        <v>0.80493875865710862</v>
      </c>
      <c r="AC817" s="813"/>
      <c r="AD817" s="211"/>
      <c r="AE817" s="949"/>
      <c r="AF817" s="922">
        <f>IF(X817=X816,AF816,0)+IF(ISNUMBER(I817),IF(I817&lt;1,I817,I817*VLOOKUP(J817,Summary!$H$2:$I$9,2)),VLOOKUP(J817,Summary!$J$2:$K$9,2)*IF(ISNUMBER(H817),H817,1))</f>
        <v>0.85013888888888889</v>
      </c>
      <c r="AG817" s="295">
        <v>816</v>
      </c>
      <c r="AH817" s="94"/>
      <c r="AI817" s="94"/>
    </row>
    <row r="818" spans="1:35" s="22" customFormat="1" ht="12" customHeight="1" x14ac:dyDescent="0.2">
      <c r="A818" s="465">
        <v>10</v>
      </c>
      <c r="B818" s="465">
        <v>3</v>
      </c>
      <c r="C818" s="471">
        <v>6.04</v>
      </c>
      <c r="D818" s="407" t="s">
        <v>726</v>
      </c>
      <c r="E818" s="315" t="s">
        <v>458</v>
      </c>
      <c r="F818" s="169">
        <v>40817</v>
      </c>
      <c r="G818" s="170"/>
      <c r="H818" s="170">
        <v>2</v>
      </c>
      <c r="I818" s="746">
        <f>TIME(1,4,34)</f>
        <v>4.4837962962962961E-2</v>
      </c>
      <c r="J818" s="899" t="s">
        <v>4706</v>
      </c>
      <c r="K818" s="167" t="s">
        <v>180</v>
      </c>
      <c r="L818" s="167" t="s">
        <v>5662</v>
      </c>
      <c r="M818" s="167" t="s">
        <v>8063</v>
      </c>
      <c r="N818" s="167"/>
      <c r="O818" s="167"/>
      <c r="P818" s="168" t="s">
        <v>9151</v>
      </c>
      <c r="Q818" s="167" t="s">
        <v>3947</v>
      </c>
      <c r="R818" s="172" t="s">
        <v>3153</v>
      </c>
      <c r="S818" s="388" t="s">
        <v>1778</v>
      </c>
      <c r="T818" s="168"/>
      <c r="U818" s="168"/>
      <c r="V818" s="168"/>
      <c r="W818" s="312" t="s">
        <v>11107</v>
      </c>
      <c r="X818" s="644" t="s">
        <v>12323</v>
      </c>
      <c r="Y818" s="352" t="s">
        <v>5643</v>
      </c>
      <c r="Z818" s="353">
        <v>335</v>
      </c>
      <c r="AA818" s="353">
        <v>5</v>
      </c>
      <c r="AB818" s="31">
        <f t="shared" ca="1" si="14"/>
        <v>0.1484214562300944</v>
      </c>
      <c r="AC818" s="810"/>
      <c r="AD818" s="811"/>
      <c r="AE818" s="940"/>
      <c r="AF818" s="920">
        <f>IF(X818=X817,AF817,0)+IF(ISNUMBER(I818),IF(I818&lt;1,I818,I818*VLOOKUP(J818,Summary!$H$2:$I$9,2)),VLOOKUP(J818,Summary!$J$2:$K$9,2)*IF(ISNUMBER(H818),H818,1))</f>
        <v>0.89497685185185183</v>
      </c>
      <c r="AG818" s="287">
        <v>817</v>
      </c>
      <c r="AH818" s="94"/>
      <c r="AI818" s="94"/>
    </row>
    <row r="819" spans="1:35" s="22" customFormat="1" ht="12" customHeight="1" x14ac:dyDescent="0.25">
      <c r="A819" s="472">
        <v>10</v>
      </c>
      <c r="B819" s="472">
        <v>3</v>
      </c>
      <c r="C819" s="473">
        <v>27.09</v>
      </c>
      <c r="D819" s="176" t="s">
        <v>1864</v>
      </c>
      <c r="E819" s="313" t="s">
        <v>1865</v>
      </c>
      <c r="F819" s="174">
        <v>39569</v>
      </c>
      <c r="G819" s="174"/>
      <c r="H819" s="176" t="s">
        <v>461</v>
      </c>
      <c r="I819" s="176">
        <v>24</v>
      </c>
      <c r="J819" s="900" t="s">
        <v>2755</v>
      </c>
      <c r="K819" s="164" t="s">
        <v>1866</v>
      </c>
      <c r="L819" s="164" t="s">
        <v>461</v>
      </c>
      <c r="M819" s="164"/>
      <c r="N819" s="164" t="s">
        <v>7621</v>
      </c>
      <c r="O819" s="164"/>
      <c r="P819" s="173" t="s">
        <v>6705</v>
      </c>
      <c r="Q819" s="164" t="s">
        <v>3947</v>
      </c>
      <c r="R819" s="177" t="s">
        <v>2723</v>
      </c>
      <c r="S819" s="354" t="s">
        <v>1778</v>
      </c>
      <c r="T819" s="173"/>
      <c r="U819" s="173"/>
      <c r="V819" s="173"/>
      <c r="W819" s="313" t="s">
        <v>1865</v>
      </c>
      <c r="X819" s="645" t="s">
        <v>12323</v>
      </c>
      <c r="Y819" s="354"/>
      <c r="Z819" s="176"/>
      <c r="AA819" s="176"/>
      <c r="AB819" s="32">
        <f t="shared" ca="1" si="14"/>
        <v>0.13256466168882042</v>
      </c>
      <c r="AC819" s="812"/>
      <c r="AD819" s="763"/>
      <c r="AE819" s="807"/>
      <c r="AF819" s="921">
        <f>IF(X819=X818,AF818,0)+IF(ISNUMBER(I819),IF(I819&lt;1,I819,I819*VLOOKUP(J819,Summary!$H$2:$I$9,2)),VLOOKUP(J819,Summary!$J$2:$K$9,2)*IF(ISNUMBER(H819),H819,1))</f>
        <v>0.91164351851851855</v>
      </c>
      <c r="AG819" s="289">
        <v>818</v>
      </c>
      <c r="AH819" s="94"/>
      <c r="AI819" s="94"/>
    </row>
    <row r="820" spans="1:35" s="22" customFormat="1" ht="12" customHeight="1" x14ac:dyDescent="0.25">
      <c r="A820" s="472">
        <v>10</v>
      </c>
      <c r="B820" s="472">
        <v>3</v>
      </c>
      <c r="C820" s="473">
        <v>30.14</v>
      </c>
      <c r="D820" s="176" t="s">
        <v>7384</v>
      </c>
      <c r="E820" s="313" t="s">
        <v>7385</v>
      </c>
      <c r="F820" s="174">
        <v>39783</v>
      </c>
      <c r="G820" s="174"/>
      <c r="H820" s="176" t="s">
        <v>461</v>
      </c>
      <c r="I820" s="176">
        <v>8</v>
      </c>
      <c r="J820" s="900" t="s">
        <v>2755</v>
      </c>
      <c r="K820" s="164" t="s">
        <v>7386</v>
      </c>
      <c r="L820" s="164" t="s">
        <v>461</v>
      </c>
      <c r="M820" s="164"/>
      <c r="N820" s="164" t="s">
        <v>4944</v>
      </c>
      <c r="O820" s="164"/>
      <c r="P820" s="173" t="s">
        <v>6702</v>
      </c>
      <c r="Q820" s="164" t="s">
        <v>3947</v>
      </c>
      <c r="R820" s="177" t="s">
        <v>2723</v>
      </c>
      <c r="S820" s="354" t="s">
        <v>1778</v>
      </c>
      <c r="T820" s="173"/>
      <c r="U820" s="173"/>
      <c r="V820" s="173"/>
      <c r="W820" s="313" t="s">
        <v>7385</v>
      </c>
      <c r="X820" s="645" t="s">
        <v>12323</v>
      </c>
      <c r="Y820" s="354"/>
      <c r="Z820" s="176"/>
      <c r="AA820" s="869"/>
      <c r="AB820" s="32">
        <f t="shared" ca="1" si="14"/>
        <v>0.37681312445325943</v>
      </c>
      <c r="AC820" s="812"/>
      <c r="AD820" s="763"/>
      <c r="AE820" s="807"/>
      <c r="AF820" s="921">
        <f>IF(X820=X819,AF819,0)+IF(ISNUMBER(I820),IF(I820&lt;1,I820,I820*VLOOKUP(J820,Summary!$H$2:$I$9,2)),VLOOKUP(J820,Summary!$J$2:$K$9,2)*IF(ISNUMBER(H820),H820,1))</f>
        <v>0.91719907407407408</v>
      </c>
      <c r="AG820" s="289">
        <v>819</v>
      </c>
      <c r="AH820" s="94"/>
      <c r="AI820" s="94"/>
    </row>
    <row r="821" spans="1:35" s="22" customFormat="1" ht="12" customHeight="1" x14ac:dyDescent="0.25">
      <c r="A821" s="472">
        <v>10</v>
      </c>
      <c r="B821" s="472">
        <v>3</v>
      </c>
      <c r="C821" s="473">
        <v>31.16</v>
      </c>
      <c r="D821" s="176" t="s">
        <v>622</v>
      </c>
      <c r="E821" s="313" t="s">
        <v>7388</v>
      </c>
      <c r="F821" s="174">
        <v>39873</v>
      </c>
      <c r="G821" s="174"/>
      <c r="H821" s="869" t="s">
        <v>461</v>
      </c>
      <c r="I821" s="176">
        <v>15</v>
      </c>
      <c r="J821" s="900" t="s">
        <v>2755</v>
      </c>
      <c r="K821" s="164" t="s">
        <v>2414</v>
      </c>
      <c r="L821" s="164" t="s">
        <v>461</v>
      </c>
      <c r="M821" s="164"/>
      <c r="N821" s="164" t="s">
        <v>1805</v>
      </c>
      <c r="O821" s="164"/>
      <c r="P821" s="173" t="s">
        <v>6699</v>
      </c>
      <c r="Q821" s="164" t="s">
        <v>3947</v>
      </c>
      <c r="R821" s="177" t="s">
        <v>2723</v>
      </c>
      <c r="S821" s="354" t="s">
        <v>1778</v>
      </c>
      <c r="T821" s="173"/>
      <c r="U821" s="173"/>
      <c r="V821" s="173"/>
      <c r="W821" s="313" t="s">
        <v>7388</v>
      </c>
      <c r="X821" s="645" t="s">
        <v>12323</v>
      </c>
      <c r="Y821" s="354"/>
      <c r="Z821" s="176"/>
      <c r="AA821" s="176"/>
      <c r="AB821" s="32">
        <f t="shared" ca="1" si="14"/>
        <v>8.2043872822790687E-2</v>
      </c>
      <c r="AC821" s="812"/>
      <c r="AD821" s="763"/>
      <c r="AE821" s="807"/>
      <c r="AF821" s="921">
        <f>IF(X821=X820,AF820,0)+IF(ISNUMBER(I821),IF(I821&lt;1,I821,I821*VLOOKUP(J821,Summary!$H$2:$I$9,2)),VLOOKUP(J821,Summary!$J$2:$K$9,2)*IF(ISNUMBER(H821),H821,1))</f>
        <v>0.92761574074074071</v>
      </c>
      <c r="AG821" s="289">
        <v>820</v>
      </c>
      <c r="AH821" s="94"/>
      <c r="AI821" s="94"/>
    </row>
    <row r="822" spans="1:35" s="22" customFormat="1" ht="12" customHeight="1" x14ac:dyDescent="0.25">
      <c r="A822" s="469">
        <v>10</v>
      </c>
      <c r="B822" s="469">
        <v>3</v>
      </c>
      <c r="C822" s="470">
        <v>3.03</v>
      </c>
      <c r="D822" s="192" t="s">
        <v>7389</v>
      </c>
      <c r="E822" s="317" t="s">
        <v>7390</v>
      </c>
      <c r="F822" s="209">
        <v>40602</v>
      </c>
      <c r="G822" s="209"/>
      <c r="H822" s="192">
        <v>1</v>
      </c>
      <c r="I822" s="753">
        <f>TIME(0,16, 2)</f>
        <v>1.113425925925926E-2</v>
      </c>
      <c r="J822" s="903" t="s">
        <v>2755</v>
      </c>
      <c r="K822" s="194" t="s">
        <v>7391</v>
      </c>
      <c r="L822" s="194" t="s">
        <v>3426</v>
      </c>
      <c r="M822" s="194" t="s">
        <v>3821</v>
      </c>
      <c r="N822" s="194"/>
      <c r="O822" s="194"/>
      <c r="P822" s="190" t="s">
        <v>5600</v>
      </c>
      <c r="Q822" s="194" t="s">
        <v>3947</v>
      </c>
      <c r="R822" s="193" t="s">
        <v>2722</v>
      </c>
      <c r="S822" s="357" t="s">
        <v>1778</v>
      </c>
      <c r="T822" s="190"/>
      <c r="U822" s="190"/>
      <c r="V822" s="190"/>
      <c r="W822" s="317" t="s">
        <v>7390</v>
      </c>
      <c r="X822" s="649" t="s">
        <v>12323</v>
      </c>
      <c r="Y822" s="357" t="s">
        <v>5643</v>
      </c>
      <c r="Z822" s="192">
        <v>999</v>
      </c>
      <c r="AA822" s="192"/>
      <c r="AB822" s="37">
        <f t="shared" ca="1" si="14"/>
        <v>0.49739554656812257</v>
      </c>
      <c r="AC822" s="816"/>
      <c r="AD822" s="817"/>
      <c r="AE822" s="943"/>
      <c r="AF822" s="924">
        <f>IF(X822=X821,AF821,0)+IF(ISNUMBER(I822),IF(I822&lt;1,I822,I822*VLOOKUP(J822,Summary!$H$2:$I$9,2)),VLOOKUP(J822,Summary!$J$2:$K$9,2)*IF(ISNUMBER(H822),H822,1))</f>
        <v>0.93874999999999997</v>
      </c>
      <c r="AG822" s="292">
        <v>821</v>
      </c>
      <c r="AH822" s="94"/>
      <c r="AI822" s="94"/>
    </row>
    <row r="823" spans="1:35" s="3" customFormat="1" ht="12" customHeight="1" x14ac:dyDescent="0.25">
      <c r="A823" s="466" t="s">
        <v>1550</v>
      </c>
      <c r="B823" s="466">
        <v>3</v>
      </c>
      <c r="C823" s="466">
        <v>67</v>
      </c>
      <c r="D823" s="424" t="s">
        <v>507</v>
      </c>
      <c r="E823" s="319" t="s">
        <v>508</v>
      </c>
      <c r="F823" s="198">
        <v>26719</v>
      </c>
      <c r="G823" s="198">
        <v>26754</v>
      </c>
      <c r="H823" s="199">
        <v>6</v>
      </c>
      <c r="I823" s="791">
        <f>TIME(0,23,17)+TIME(0,24,10)+TIME(0,24, 0)+TIME(0,23,35)+TIME(0,23,57)+TIME(0,24,44)</f>
        <v>9.9803240740740748E-2</v>
      </c>
      <c r="J823" s="904" t="s">
        <v>1588</v>
      </c>
      <c r="K823" s="200" t="s">
        <v>2682</v>
      </c>
      <c r="L823" s="200" t="s">
        <v>7026</v>
      </c>
      <c r="M823" s="200"/>
      <c r="N823" s="200" t="s">
        <v>1088</v>
      </c>
      <c r="O823" s="200" t="s">
        <v>1884</v>
      </c>
      <c r="P823" s="197" t="s">
        <v>461</v>
      </c>
      <c r="Q823" s="200" t="s">
        <v>3946</v>
      </c>
      <c r="R823" s="201" t="s">
        <v>5280</v>
      </c>
      <c r="S823" s="390" t="s">
        <v>1778</v>
      </c>
      <c r="T823" s="197"/>
      <c r="U823" s="197"/>
      <c r="V823" s="197"/>
      <c r="W823" s="318" t="s">
        <v>14266</v>
      </c>
      <c r="X823" s="650" t="s">
        <v>12323</v>
      </c>
      <c r="Y823" s="358" t="s">
        <v>6141</v>
      </c>
      <c r="Z823" s="253">
        <v>113</v>
      </c>
      <c r="AA823" s="253">
        <v>6.5</v>
      </c>
      <c r="AB823" s="35">
        <f t="shared" ca="1" si="14"/>
        <v>0.73951153542896497</v>
      </c>
      <c r="AC823" s="820"/>
      <c r="AD823" s="821" t="s">
        <v>16242</v>
      </c>
      <c r="AE823" s="944" t="s">
        <v>12543</v>
      </c>
      <c r="AF823" s="925">
        <f>IF(X823=X822,AF822,0)+IF(ISNUMBER(I823),IF(I823&lt;1,I823,I823*VLOOKUP(J823,Summary!$H$2:$I$9,2)),VLOOKUP(J823,Summary!$J$2:$K$9,2)*IF(ISNUMBER(H823),H823,1))</f>
        <v>1.0385532407407407</v>
      </c>
      <c r="AG823" s="293">
        <v>822</v>
      </c>
      <c r="AH823" s="94"/>
      <c r="AI823" s="94"/>
    </row>
    <row r="824" spans="1:35" s="22" customFormat="1" ht="12" customHeight="1" x14ac:dyDescent="0.25">
      <c r="A824" s="466" t="s">
        <v>1550</v>
      </c>
      <c r="B824" s="466">
        <v>3</v>
      </c>
      <c r="C824" s="466">
        <v>68</v>
      </c>
      <c r="D824" s="424" t="s">
        <v>6828</v>
      </c>
      <c r="E824" s="319" t="s">
        <v>1449</v>
      </c>
      <c r="F824" s="198">
        <v>26761</v>
      </c>
      <c r="G824" s="198">
        <v>26796</v>
      </c>
      <c r="H824" s="199">
        <v>6</v>
      </c>
      <c r="I824" s="791">
        <f>TIME(0,24,51)+TIME(0,24, 8)+TIME(0,22,34)+TIME(0,23,36)+TIME(0,22,31)+TIME(0,23, 2)</f>
        <v>9.7708333333333328E-2</v>
      </c>
      <c r="J824" s="904" t="s">
        <v>1588</v>
      </c>
      <c r="K824" s="200" t="s">
        <v>6148</v>
      </c>
      <c r="L824" s="200" t="s">
        <v>6125</v>
      </c>
      <c r="M824" s="200"/>
      <c r="N824" s="200" t="s">
        <v>1088</v>
      </c>
      <c r="O824" s="200" t="s">
        <v>1884</v>
      </c>
      <c r="P824" s="197" t="s">
        <v>461</v>
      </c>
      <c r="Q824" s="200" t="s">
        <v>3946</v>
      </c>
      <c r="R824" s="201" t="s">
        <v>5280</v>
      </c>
      <c r="S824" s="390" t="s">
        <v>1778</v>
      </c>
      <c r="T824" s="197"/>
      <c r="U824" s="197"/>
      <c r="V824" s="197"/>
      <c r="W824" s="318" t="s">
        <v>9679</v>
      </c>
      <c r="X824" s="650" t="s">
        <v>12323</v>
      </c>
      <c r="Y824" s="358" t="s">
        <v>6141</v>
      </c>
      <c r="Z824" s="253">
        <v>132</v>
      </c>
      <c r="AA824" s="253">
        <v>6</v>
      </c>
      <c r="AB824" s="35">
        <f t="shared" ca="1" si="14"/>
        <v>0.50575141874284346</v>
      </c>
      <c r="AC824" s="820"/>
      <c r="AD824" s="821" t="s">
        <v>16242</v>
      </c>
      <c r="AE824" s="944" t="s">
        <v>15062</v>
      </c>
      <c r="AF824" s="925">
        <f>IF(X824=X823,AF823,0)+IF(ISNUMBER(I824),IF(I824&lt;1,I824,I824*VLOOKUP(J824,Summary!$H$2:$I$9,2)),VLOOKUP(J824,Summary!$J$2:$K$9,2)*IF(ISNUMBER(H824),H824,1))</f>
        <v>1.136261574074074</v>
      </c>
      <c r="AG824" s="293">
        <v>823</v>
      </c>
      <c r="AH824" s="94"/>
      <c r="AI824" s="94"/>
    </row>
    <row r="825" spans="1:35" s="1" customFormat="1" ht="12" customHeight="1" x14ac:dyDescent="0.25">
      <c r="A825" s="465">
        <v>10</v>
      </c>
      <c r="B825" s="465">
        <v>3</v>
      </c>
      <c r="C825" s="479">
        <v>3.1</v>
      </c>
      <c r="D825" s="407" t="s">
        <v>12682</v>
      </c>
      <c r="E825" s="315" t="s">
        <v>12683</v>
      </c>
      <c r="F825" s="196">
        <v>42964</v>
      </c>
      <c r="G825" s="170"/>
      <c r="H825" s="170">
        <v>4</v>
      </c>
      <c r="I825" s="747">
        <f>TIME(0,120,0)</f>
        <v>8.3333333333333329E-2</v>
      </c>
      <c r="J825" s="899" t="s">
        <v>4706</v>
      </c>
      <c r="K825" s="167" t="s">
        <v>4549</v>
      </c>
      <c r="L825" s="167" t="s">
        <v>4549</v>
      </c>
      <c r="M825" s="167"/>
      <c r="N825" s="167"/>
      <c r="O825" s="167"/>
      <c r="P825" s="168" t="s">
        <v>12681</v>
      </c>
      <c r="Q825" s="167" t="s">
        <v>3947</v>
      </c>
      <c r="R825" s="172" t="s">
        <v>13344</v>
      </c>
      <c r="S825" s="388" t="s">
        <v>1778</v>
      </c>
      <c r="T825" s="168"/>
      <c r="U825" s="168"/>
      <c r="V825" s="168"/>
      <c r="W825" s="312"/>
      <c r="X825" s="644" t="s">
        <v>12323</v>
      </c>
      <c r="Y825" s="352"/>
      <c r="Z825" s="353"/>
      <c r="AA825" s="353"/>
      <c r="AB825" s="31">
        <f t="shared" ca="1" si="14"/>
        <v>0.93175400481204407</v>
      </c>
      <c r="AC825" s="810"/>
      <c r="AD825" s="811"/>
      <c r="AE825" s="940"/>
      <c r="AF825" s="920">
        <f>IF(X825=X824,AF824,0)+IF(ISNUMBER(I825),IF(I825&lt;1,I825,I825*VLOOKUP(J825,Summary!$H$2:$I$9,2)),VLOOKUP(J825,Summary!$J$2:$K$9,2)*IF(ISNUMBER(H825),H825,1))</f>
        <v>1.2195949074074073</v>
      </c>
      <c r="AG825" s="287">
        <v>824</v>
      </c>
      <c r="AH825" s="94"/>
      <c r="AI825" s="94"/>
    </row>
    <row r="826" spans="1:35" s="22" customFormat="1" ht="12" customHeight="1" x14ac:dyDescent="0.25">
      <c r="A826" s="468" t="s">
        <v>15470</v>
      </c>
      <c r="B826" s="468">
        <v>3</v>
      </c>
      <c r="C826" s="468">
        <v>11</v>
      </c>
      <c r="D826" s="417" t="s">
        <v>1450</v>
      </c>
      <c r="E826" s="316" t="s">
        <v>1451</v>
      </c>
      <c r="F826" s="195">
        <v>35920</v>
      </c>
      <c r="G826" s="188"/>
      <c r="H826" s="188" t="str">
        <f>IF(J826="Book","n/a","")</f>
        <v>n/a</v>
      </c>
      <c r="I826" s="188">
        <v>288</v>
      </c>
      <c r="J826" s="902" t="s">
        <v>6868</v>
      </c>
      <c r="K826" s="162" t="s">
        <v>1088</v>
      </c>
      <c r="L826" s="162" t="str">
        <f>IF(J826="Book","n/a","")</f>
        <v>n/a</v>
      </c>
      <c r="M826" s="162"/>
      <c r="N826" s="162"/>
      <c r="O826" s="162"/>
      <c r="P826" s="178" t="s">
        <v>8936</v>
      </c>
      <c r="Q826" s="162" t="s">
        <v>3953</v>
      </c>
      <c r="R826" s="189" t="s">
        <v>2717</v>
      </c>
      <c r="S826" s="366" t="s">
        <v>1778</v>
      </c>
      <c r="T826" s="178"/>
      <c r="U826" s="178"/>
      <c r="V826" s="178"/>
      <c r="W826" s="316" t="s">
        <v>1451</v>
      </c>
      <c r="X826" s="648" t="s">
        <v>15423</v>
      </c>
      <c r="Y826" s="356" t="s">
        <v>6868</v>
      </c>
      <c r="Z826" s="272"/>
      <c r="AA826" s="272"/>
      <c r="AB826" s="34">
        <f t="shared" ca="1" si="14"/>
        <v>0.44205321071575732</v>
      </c>
      <c r="AC826" s="814"/>
      <c r="AD826" s="815" t="s">
        <v>16243</v>
      </c>
      <c r="AE826" s="942" t="s">
        <v>12543</v>
      </c>
      <c r="AF826" s="923">
        <f>IF(X826=X825,AF825,0)+IF(ISNUMBER(I826),IF(I826&lt;1,I826,I826*VLOOKUP(J826,Summary!$H$2:$I$9,2)),VLOOKUP(J826,Summary!$J$2:$K$9,2)*IF(ISNUMBER(H826),H826,1))</f>
        <v>0.2</v>
      </c>
      <c r="AG826" s="291">
        <v>825</v>
      </c>
      <c r="AH826" s="94"/>
      <c r="AI826" s="94"/>
    </row>
    <row r="827" spans="1:35" s="1" customFormat="1" ht="12" customHeight="1" x14ac:dyDescent="0.25">
      <c r="A827" s="465" t="s">
        <v>15470</v>
      </c>
      <c r="B827" s="465">
        <v>3</v>
      </c>
      <c r="C827" s="479">
        <v>2.1</v>
      </c>
      <c r="D827" s="407" t="s">
        <v>11408</v>
      </c>
      <c r="E827" s="315" t="s">
        <v>11409</v>
      </c>
      <c r="F827" s="196">
        <v>42677</v>
      </c>
      <c r="G827" s="170"/>
      <c r="H827" s="170">
        <v>4</v>
      </c>
      <c r="I827" s="747">
        <f>TIME(0,120,0)</f>
        <v>8.3333333333333329E-2</v>
      </c>
      <c r="J827" s="899" t="s">
        <v>4706</v>
      </c>
      <c r="K827" s="167" t="s">
        <v>1826</v>
      </c>
      <c r="L827" s="167" t="s">
        <v>4549</v>
      </c>
      <c r="M827" s="167"/>
      <c r="N827" s="167"/>
      <c r="O827" s="167" t="s">
        <v>3295</v>
      </c>
      <c r="P827" s="168" t="s">
        <v>11410</v>
      </c>
      <c r="Q827" s="167" t="s">
        <v>3947</v>
      </c>
      <c r="R827" s="172" t="s">
        <v>13344</v>
      </c>
      <c r="S827" s="388" t="s">
        <v>1778</v>
      </c>
      <c r="T827" s="168"/>
      <c r="U827" s="168"/>
      <c r="V827" s="168"/>
      <c r="W827" s="312"/>
      <c r="X827" s="644" t="s">
        <v>15423</v>
      </c>
      <c r="Y827" s="352"/>
      <c r="Z827" s="353"/>
      <c r="AA827" s="353"/>
      <c r="AB827" s="31">
        <f t="shared" ca="1" si="14"/>
        <v>0.1787645497584377</v>
      </c>
      <c r="AC827" s="810"/>
      <c r="AD827" s="811"/>
      <c r="AE827" s="940"/>
      <c r="AF827" s="920">
        <f>IF(X827=X826,AF826,0)+IF(ISNUMBER(I827),IF(I827&lt;1,I827,I827*VLOOKUP(J827,Summary!$H$2:$I$9,2)),VLOOKUP(J827,Summary!$J$2:$K$9,2)*IF(ISNUMBER(H827),H827,1))</f>
        <v>0.28333333333333333</v>
      </c>
      <c r="AG827" s="287">
        <v>826</v>
      </c>
      <c r="AH827" s="94"/>
      <c r="AI827" s="94"/>
    </row>
    <row r="828" spans="1:35" s="22" customFormat="1" ht="12" customHeight="1" x14ac:dyDescent="0.25">
      <c r="A828" s="468" t="s">
        <v>15470</v>
      </c>
      <c r="B828" s="468">
        <v>3</v>
      </c>
      <c r="C828" s="468">
        <v>3</v>
      </c>
      <c r="D828" s="417" t="s">
        <v>1452</v>
      </c>
      <c r="E828" s="316" t="s">
        <v>1453</v>
      </c>
      <c r="F828" s="187">
        <v>37377</v>
      </c>
      <c r="G828" s="188"/>
      <c r="H828" s="188" t="str">
        <f>IF(J828="Book","n/a","")</f>
        <v>n/a</v>
      </c>
      <c r="I828" s="188">
        <v>107</v>
      </c>
      <c r="J828" s="902" t="s">
        <v>6868</v>
      </c>
      <c r="K828" s="162" t="s">
        <v>5459</v>
      </c>
      <c r="L828" s="162" t="str">
        <f>IF(J828="Book","n/a","")</f>
        <v>n/a</v>
      </c>
      <c r="M828" s="162"/>
      <c r="N828" s="162"/>
      <c r="O828" s="162"/>
      <c r="P828" s="178" t="s">
        <v>8858</v>
      </c>
      <c r="Q828" s="162" t="s">
        <v>6055</v>
      </c>
      <c r="R828" s="189" t="s">
        <v>2718</v>
      </c>
      <c r="S828" s="366" t="s">
        <v>1778</v>
      </c>
      <c r="T828" s="178"/>
      <c r="U828" s="178"/>
      <c r="V828" s="178"/>
      <c r="W828" s="316" t="s">
        <v>1453</v>
      </c>
      <c r="X828" s="648" t="s">
        <v>15423</v>
      </c>
      <c r="Y828" s="356" t="s">
        <v>6868</v>
      </c>
      <c r="Z828" s="272">
        <v>120</v>
      </c>
      <c r="AA828" s="272">
        <v>5</v>
      </c>
      <c r="AB828" s="34">
        <f t="shared" ca="1" si="14"/>
        <v>0.63820927429177288</v>
      </c>
      <c r="AC828" s="814"/>
      <c r="AD828" s="815"/>
      <c r="AE828" s="942"/>
      <c r="AF828" s="923">
        <f>IF(X828=X827,AF827,0)+IF(ISNUMBER(I828),IF(I828&lt;1,I828,I828*VLOOKUP(J828,Summary!$H$2:$I$9,2)),VLOOKUP(J828,Summary!$J$2:$K$9,2)*IF(ISNUMBER(H828),H828,1))</f>
        <v>0.3576388888888889</v>
      </c>
      <c r="AG828" s="291">
        <v>827</v>
      </c>
      <c r="AH828" s="94"/>
      <c r="AI828" s="94"/>
    </row>
    <row r="829" spans="1:35" s="22" customFormat="1" ht="12" customHeight="1" x14ac:dyDescent="0.25">
      <c r="A829" s="472" t="s">
        <v>15470</v>
      </c>
      <c r="B829" s="472">
        <v>3</v>
      </c>
      <c r="C829" s="472">
        <v>12</v>
      </c>
      <c r="D829" s="176" t="s">
        <v>9791</v>
      </c>
      <c r="E829" s="313" t="s">
        <v>9792</v>
      </c>
      <c r="F829" s="175">
        <v>42159</v>
      </c>
      <c r="G829" s="174"/>
      <c r="H829" s="176" t="s">
        <v>461</v>
      </c>
      <c r="I829" s="176"/>
      <c r="J829" s="900" t="s">
        <v>2755</v>
      </c>
      <c r="K829" s="164" t="s">
        <v>4033</v>
      </c>
      <c r="L829" s="164" t="s">
        <v>461</v>
      </c>
      <c r="M829" s="164"/>
      <c r="N829" s="164"/>
      <c r="O829" s="164"/>
      <c r="P829" s="173" t="s">
        <v>9509</v>
      </c>
      <c r="Q829" s="164" t="s">
        <v>3953</v>
      </c>
      <c r="R829" s="177" t="s">
        <v>9510</v>
      </c>
      <c r="S829" s="354" t="s">
        <v>1778</v>
      </c>
      <c r="T829" s="173"/>
      <c r="U829" s="173"/>
      <c r="V829" s="173"/>
      <c r="W829" s="313" t="s">
        <v>9792</v>
      </c>
      <c r="X829" s="645" t="s">
        <v>15423</v>
      </c>
      <c r="Y829" s="354"/>
      <c r="Z829" s="157"/>
      <c r="AA829" s="176"/>
      <c r="AB829" s="32">
        <f t="shared" ca="1" si="14"/>
        <v>5.0960986184162782E-2</v>
      </c>
      <c r="AC829" s="812"/>
      <c r="AD829" s="763"/>
      <c r="AE829" s="807"/>
      <c r="AF829" s="921">
        <f>IF(X829=X828,AF828,0)+IF(ISNUMBER(I829),IF(I829&lt;1,I829,I829*VLOOKUP(J829,Summary!$H$2:$I$9,2)),VLOOKUP(J829,Summary!$J$2:$K$9,2)*IF(ISNUMBER(H829),H829,1))</f>
        <v>0.375</v>
      </c>
      <c r="AG829" s="289">
        <v>828</v>
      </c>
      <c r="AH829" s="94"/>
      <c r="AI829" s="94"/>
    </row>
    <row r="830" spans="1:35" s="22" customFormat="1" ht="12" customHeight="1" x14ac:dyDescent="0.25">
      <c r="A830" s="472" t="s">
        <v>15470</v>
      </c>
      <c r="B830" s="472">
        <v>3</v>
      </c>
      <c r="C830" s="473">
        <v>5.14</v>
      </c>
      <c r="D830" s="176" t="s">
        <v>1867</v>
      </c>
      <c r="E830" s="313" t="s">
        <v>1868</v>
      </c>
      <c r="F830" s="174">
        <v>37681</v>
      </c>
      <c r="G830" s="174"/>
      <c r="H830" s="176">
        <v>1</v>
      </c>
      <c r="I830" s="176">
        <v>14</v>
      </c>
      <c r="J830" s="900" t="s">
        <v>2755</v>
      </c>
      <c r="K830" s="164" t="s">
        <v>1869</v>
      </c>
      <c r="L830" s="164" t="s">
        <v>461</v>
      </c>
      <c r="M830" s="164"/>
      <c r="N830" s="164" t="s">
        <v>4552</v>
      </c>
      <c r="O830" s="164"/>
      <c r="P830" s="173" t="s">
        <v>6556</v>
      </c>
      <c r="Q830" s="164" t="s">
        <v>3947</v>
      </c>
      <c r="R830" s="177" t="s">
        <v>2723</v>
      </c>
      <c r="S830" s="354" t="s">
        <v>1778</v>
      </c>
      <c r="T830" s="173"/>
      <c r="U830" s="173"/>
      <c r="V830" s="173"/>
      <c r="W830" s="313" t="s">
        <v>1868</v>
      </c>
      <c r="X830" s="645" t="s">
        <v>15423</v>
      </c>
      <c r="Y830" s="354"/>
      <c r="Z830" s="176"/>
      <c r="AA830" s="176"/>
      <c r="AB830" s="32">
        <f t="shared" ca="1" si="14"/>
        <v>0.42731331045179188</v>
      </c>
      <c r="AC830" s="812"/>
      <c r="AD830" s="763"/>
      <c r="AE830" s="807"/>
      <c r="AF830" s="921">
        <f>IF(X830=X829,AF829,0)+IF(ISNUMBER(I830),IF(I830&lt;1,I830,I830*VLOOKUP(J830,Summary!$H$2:$I$9,2)),VLOOKUP(J830,Summary!$J$2:$K$9,2)*IF(ISNUMBER(H830),H830,1))</f>
        <v>0.38472222222222224</v>
      </c>
      <c r="AG830" s="289">
        <v>829</v>
      </c>
      <c r="AH830" s="94"/>
      <c r="AI830" s="94"/>
    </row>
    <row r="831" spans="1:35" s="22" customFormat="1" ht="12" customHeight="1" x14ac:dyDescent="0.25">
      <c r="A831" s="469" t="s">
        <v>15470</v>
      </c>
      <c r="B831" s="469">
        <v>3</v>
      </c>
      <c r="C831" s="470">
        <v>5.03</v>
      </c>
      <c r="D831" s="192" t="s">
        <v>9426</v>
      </c>
      <c r="E831" s="317" t="s">
        <v>9427</v>
      </c>
      <c r="F831" s="191">
        <v>42064</v>
      </c>
      <c r="G831" s="209"/>
      <c r="H831" s="192">
        <v>1</v>
      </c>
      <c r="I831" s="753">
        <f>TIME(0,31,45)</f>
        <v>2.2048611111111113E-2</v>
      </c>
      <c r="J831" s="903" t="s">
        <v>2755</v>
      </c>
      <c r="K831" s="194" t="s">
        <v>7757</v>
      </c>
      <c r="L831" s="194" t="s">
        <v>5662</v>
      </c>
      <c r="M831" s="194" t="s">
        <v>3821</v>
      </c>
      <c r="N831" s="194"/>
      <c r="O831" s="194"/>
      <c r="P831" s="190" t="s">
        <v>9428</v>
      </c>
      <c r="Q831" s="194" t="s">
        <v>3947</v>
      </c>
      <c r="R831" s="193" t="s">
        <v>2722</v>
      </c>
      <c r="S831" s="357" t="s">
        <v>1778</v>
      </c>
      <c r="T831" s="190" t="s">
        <v>2597</v>
      </c>
      <c r="U831" s="190" t="s">
        <v>2600</v>
      </c>
      <c r="V831" s="190" t="s">
        <v>2601</v>
      </c>
      <c r="W831" s="317" t="s">
        <v>9427</v>
      </c>
      <c r="X831" s="649" t="s">
        <v>15423</v>
      </c>
      <c r="Y831" s="357" t="s">
        <v>5643</v>
      </c>
      <c r="Z831" s="192">
        <v>51</v>
      </c>
      <c r="AA831" s="192">
        <v>3.5</v>
      </c>
      <c r="AB831" s="37">
        <f t="shared" ca="1" si="14"/>
        <v>8.4751734696830727E-2</v>
      </c>
      <c r="AC831" s="816"/>
      <c r="AD831" s="817"/>
      <c r="AE831" s="943"/>
      <c r="AF831" s="924">
        <f>IF(X831=X830,AF830,0)+IF(ISNUMBER(I831),IF(I831&lt;1,I831,I831*VLOOKUP(J831,Summary!$H$2:$I$9,2)),VLOOKUP(J831,Summary!$J$2:$K$9,2)*IF(ISNUMBER(H831),H831,1))</f>
        <v>0.40677083333333336</v>
      </c>
      <c r="AG831" s="292">
        <v>830</v>
      </c>
      <c r="AH831" s="94"/>
      <c r="AI831" s="94"/>
    </row>
    <row r="832" spans="1:35" s="3" customFormat="1" ht="12" customHeight="1" x14ac:dyDescent="0.25">
      <c r="A832" s="472" t="s">
        <v>15470</v>
      </c>
      <c r="B832" s="472">
        <v>3</v>
      </c>
      <c r="C832" s="482">
        <v>4</v>
      </c>
      <c r="D832" s="176" t="s">
        <v>13107</v>
      </c>
      <c r="E832" s="313" t="s">
        <v>13108</v>
      </c>
      <c r="F832" s="175">
        <v>41704</v>
      </c>
      <c r="G832" s="174"/>
      <c r="H832" s="176">
        <v>1</v>
      </c>
      <c r="I832" s="176"/>
      <c r="J832" s="900" t="s">
        <v>2755</v>
      </c>
      <c r="K832" s="164" t="s">
        <v>13109</v>
      </c>
      <c r="L832" s="164" t="s">
        <v>461</v>
      </c>
      <c r="M832" s="164"/>
      <c r="N832" s="164"/>
      <c r="O832" s="164"/>
      <c r="P832" s="173" t="s">
        <v>10232</v>
      </c>
      <c r="Q832" s="164" t="s">
        <v>2173</v>
      </c>
      <c r="R832" s="177" t="s">
        <v>10233</v>
      </c>
      <c r="S832" s="354" t="s">
        <v>1778</v>
      </c>
      <c r="T832" s="173"/>
      <c r="U832" s="173"/>
      <c r="V832" s="173"/>
      <c r="W832" s="313" t="s">
        <v>13108</v>
      </c>
      <c r="X832" s="645" t="s">
        <v>15423</v>
      </c>
      <c r="Y832" s="354"/>
      <c r="Z832" s="176"/>
      <c r="AA832" s="176"/>
      <c r="AB832" s="32">
        <f t="shared" ca="1" si="14"/>
        <v>0.40291827280352233</v>
      </c>
      <c r="AC832" s="812"/>
      <c r="AD832" s="763"/>
      <c r="AE832" s="807"/>
      <c r="AF832" s="921">
        <f>IF(X832=X831,AF831,0)+IF(ISNUMBER(I832),IF(I832&lt;1,I832,I832*VLOOKUP(J832,Summary!$H$2:$I$9,2)),VLOOKUP(J832,Summary!$J$2:$K$9,2)*IF(ISNUMBER(H832),H832,1))</f>
        <v>0.42413194444444446</v>
      </c>
      <c r="AG832" s="289">
        <v>831</v>
      </c>
      <c r="AH832" s="94"/>
      <c r="AI832" s="94"/>
    </row>
    <row r="833" spans="1:35" s="120" customFormat="1" ht="12" customHeight="1" x14ac:dyDescent="0.25">
      <c r="A833" s="472" t="s">
        <v>15470</v>
      </c>
      <c r="B833" s="472">
        <v>3</v>
      </c>
      <c r="C833" s="473">
        <v>13.1</v>
      </c>
      <c r="D833" s="176" t="s">
        <v>1882</v>
      </c>
      <c r="E833" s="313" t="s">
        <v>521</v>
      </c>
      <c r="F833" s="174">
        <v>38261</v>
      </c>
      <c r="G833" s="174"/>
      <c r="H833" s="176">
        <v>1</v>
      </c>
      <c r="I833" s="176">
        <v>14</v>
      </c>
      <c r="J833" s="900" t="s">
        <v>2755</v>
      </c>
      <c r="K833" s="164" t="s">
        <v>5019</v>
      </c>
      <c r="L833" s="164" t="s">
        <v>461</v>
      </c>
      <c r="M833" s="164"/>
      <c r="N833" s="164" t="s">
        <v>4996</v>
      </c>
      <c r="O833" s="164"/>
      <c r="P833" s="173" t="s">
        <v>1945</v>
      </c>
      <c r="Q833" s="164" t="s">
        <v>3947</v>
      </c>
      <c r="R833" s="177" t="s">
        <v>2723</v>
      </c>
      <c r="S833" s="354" t="s">
        <v>1778</v>
      </c>
      <c r="T833" s="173"/>
      <c r="U833" s="173"/>
      <c r="V833" s="173"/>
      <c r="W833" s="313" t="s">
        <v>521</v>
      </c>
      <c r="X833" s="645" t="s">
        <v>15423</v>
      </c>
      <c r="Y833" s="354"/>
      <c r="Z833" s="176"/>
      <c r="AA833" s="176"/>
      <c r="AB833" s="32">
        <f t="shared" ca="1" si="14"/>
        <v>0.28085967089381525</v>
      </c>
      <c r="AC833" s="812"/>
      <c r="AD833" s="763"/>
      <c r="AE833" s="807"/>
      <c r="AF833" s="921">
        <f>IF(X833=X832,AF832,0)+IF(ISNUMBER(I833),IF(I833&lt;1,I833,I833*VLOOKUP(J833,Summary!$H$2:$I$9,2)),VLOOKUP(J833,Summary!$J$2:$K$9,2)*IF(ISNUMBER(H833),H833,1))</f>
        <v>0.43385416666666671</v>
      </c>
      <c r="AG833" s="289">
        <v>832</v>
      </c>
      <c r="AH833" s="136"/>
      <c r="AI833" s="136"/>
    </row>
    <row r="834" spans="1:35" s="22" customFormat="1" ht="12" customHeight="1" x14ac:dyDescent="0.25">
      <c r="A834" s="472" t="s">
        <v>15470</v>
      </c>
      <c r="B834" s="472">
        <v>3</v>
      </c>
      <c r="C834" s="473">
        <v>1.03</v>
      </c>
      <c r="D834" s="176" t="s">
        <v>9241</v>
      </c>
      <c r="E834" s="313" t="s">
        <v>9242</v>
      </c>
      <c r="F834" s="175">
        <v>41356</v>
      </c>
      <c r="G834" s="174"/>
      <c r="H834" s="176">
        <v>1</v>
      </c>
      <c r="I834" s="176">
        <v>53</v>
      </c>
      <c r="J834" s="900" t="s">
        <v>2755</v>
      </c>
      <c r="K834" s="164" t="s">
        <v>9243</v>
      </c>
      <c r="L834" s="164" t="s">
        <v>461</v>
      </c>
      <c r="M834" s="164"/>
      <c r="N834" s="164"/>
      <c r="O834" s="164"/>
      <c r="P834" s="173" t="s">
        <v>9237</v>
      </c>
      <c r="Q834" s="164" t="s">
        <v>9235</v>
      </c>
      <c r="R834" s="177" t="s">
        <v>9236</v>
      </c>
      <c r="S834" s="354" t="s">
        <v>1778</v>
      </c>
      <c r="T834" s="173"/>
      <c r="U834" s="173"/>
      <c r="V834" s="173"/>
      <c r="W834" s="313" t="s">
        <v>9242</v>
      </c>
      <c r="X834" s="645" t="s">
        <v>15423</v>
      </c>
      <c r="Y834" s="354" t="s">
        <v>6868</v>
      </c>
      <c r="Z834" s="176"/>
      <c r="AA834" s="176"/>
      <c r="AB834" s="32">
        <f t="shared" ref="AB834:AB897" ca="1" si="15">RAND()</f>
        <v>0.58177437141533317</v>
      </c>
      <c r="AC834" s="812"/>
      <c r="AD834" s="763"/>
      <c r="AE834" s="807"/>
      <c r="AF834" s="921">
        <f>IF(X834=X833,AF833,0)+IF(ISNUMBER(I834),IF(I834&lt;1,I834,I834*VLOOKUP(J834,Summary!$H$2:$I$9,2)),VLOOKUP(J834,Summary!$J$2:$K$9,2)*IF(ISNUMBER(H834),H834,1))</f>
        <v>0.47065972222222224</v>
      </c>
      <c r="AG834" s="289">
        <v>833</v>
      </c>
      <c r="AH834" s="94"/>
      <c r="AI834" s="94"/>
    </row>
    <row r="835" spans="1:35" s="22" customFormat="1" ht="12" customHeight="1" x14ac:dyDescent="0.2">
      <c r="A835" s="465" t="s">
        <v>15470</v>
      </c>
      <c r="B835" s="465">
        <v>3</v>
      </c>
      <c r="C835" s="471">
        <v>8.0399999999999991</v>
      </c>
      <c r="D835" s="407" t="s">
        <v>8013</v>
      </c>
      <c r="E835" s="315" t="s">
        <v>839</v>
      </c>
      <c r="F835" s="169">
        <v>41548</v>
      </c>
      <c r="G835" s="170"/>
      <c r="H835" s="170">
        <v>2</v>
      </c>
      <c r="I835" s="746">
        <f>TIME(1,5,20)</f>
        <v>4.5370370370370366E-2</v>
      </c>
      <c r="J835" s="899" t="s">
        <v>4706</v>
      </c>
      <c r="K835" s="167" t="s">
        <v>177</v>
      </c>
      <c r="L835" s="167" t="s">
        <v>7408</v>
      </c>
      <c r="M835" s="167" t="s">
        <v>8014</v>
      </c>
      <c r="N835" s="167"/>
      <c r="O835" s="167"/>
      <c r="P835" s="168" t="s">
        <v>8015</v>
      </c>
      <c r="Q835" s="167" t="s">
        <v>3947</v>
      </c>
      <c r="R835" s="172" t="s">
        <v>3153</v>
      </c>
      <c r="S835" s="388" t="s">
        <v>1778</v>
      </c>
      <c r="T835" s="168"/>
      <c r="U835" s="168"/>
      <c r="V835" s="168"/>
      <c r="W835" s="312" t="s">
        <v>10266</v>
      </c>
      <c r="X835" s="644" t="s">
        <v>15423</v>
      </c>
      <c r="Y835" s="352" t="s">
        <v>5643</v>
      </c>
      <c r="Z835" s="353">
        <v>204</v>
      </c>
      <c r="AA835" s="353">
        <v>6</v>
      </c>
      <c r="AB835" s="31">
        <f t="shared" ca="1" si="15"/>
        <v>0.99979615953942647</v>
      </c>
      <c r="AC835" s="810"/>
      <c r="AD835" s="811"/>
      <c r="AE835" s="940"/>
      <c r="AF835" s="920">
        <f>IF(X835=X834,AF834,0)+IF(ISNUMBER(I835),IF(I835&lt;1,I835,I835*VLOOKUP(J835,Summary!$H$2:$I$9,2)),VLOOKUP(J835,Summary!$J$2:$K$9,2)*IF(ISNUMBER(H835),H835,1))</f>
        <v>0.51603009259259258</v>
      </c>
      <c r="AG835" s="287">
        <v>834</v>
      </c>
      <c r="AH835" s="94"/>
      <c r="AI835" s="94"/>
    </row>
    <row r="836" spans="1:35" s="22" customFormat="1" ht="12" customHeight="1" x14ac:dyDescent="0.2">
      <c r="A836" s="465" t="s">
        <v>15470</v>
      </c>
      <c r="B836" s="465">
        <v>3</v>
      </c>
      <c r="C836" s="479">
        <v>4.0999999999999996</v>
      </c>
      <c r="D836" s="407" t="s">
        <v>14275</v>
      </c>
      <c r="E836" s="315" t="s">
        <v>14276</v>
      </c>
      <c r="F836" s="196">
        <v>43180</v>
      </c>
      <c r="G836" s="170"/>
      <c r="H836" s="170">
        <v>4</v>
      </c>
      <c r="I836" s="747">
        <f>TIME(0,120,0)</f>
        <v>8.3333333333333329E-2</v>
      </c>
      <c r="J836" s="899" t="s">
        <v>4706</v>
      </c>
      <c r="K836" s="167" t="s">
        <v>1826</v>
      </c>
      <c r="L836" s="167" t="s">
        <v>4549</v>
      </c>
      <c r="M836" s="167"/>
      <c r="N836" s="167"/>
      <c r="O836" s="167"/>
      <c r="P836" s="168" t="s">
        <v>14277</v>
      </c>
      <c r="Q836" s="167" t="s">
        <v>3947</v>
      </c>
      <c r="R836" s="172" t="s">
        <v>13344</v>
      </c>
      <c r="S836" s="388" t="s">
        <v>1778</v>
      </c>
      <c r="T836" s="168"/>
      <c r="U836" s="168"/>
      <c r="V836" s="168"/>
      <c r="W836" s="312"/>
      <c r="X836" s="644" t="s">
        <v>15423</v>
      </c>
      <c r="Y836" s="352"/>
      <c r="Z836" s="353"/>
      <c r="AA836" s="353"/>
      <c r="AB836" s="31">
        <f t="shared" ca="1" si="15"/>
        <v>0.17518291236212102</v>
      </c>
      <c r="AC836" s="810"/>
      <c r="AD836" s="811"/>
      <c r="AE836" s="940"/>
      <c r="AF836" s="920">
        <f>IF(X836=X835,AF835,0)+IF(ISNUMBER(I836),IF(I836&lt;1,I836,I836*VLOOKUP(J836,Summary!$H$2:$I$9,2)),VLOOKUP(J836,Summary!$J$2:$K$9,2)*IF(ISNUMBER(H836),H836,1))</f>
        <v>0.59936342592592595</v>
      </c>
      <c r="AG836" s="287">
        <v>835</v>
      </c>
      <c r="AH836" s="94"/>
      <c r="AI836" s="94"/>
    </row>
    <row r="837" spans="1:35" s="22" customFormat="1" ht="12" customHeight="1" x14ac:dyDescent="0.25">
      <c r="A837" s="472" t="s">
        <v>15470</v>
      </c>
      <c r="B837" s="472">
        <v>3</v>
      </c>
      <c r="C837" s="472"/>
      <c r="D837" s="176" t="s">
        <v>1707</v>
      </c>
      <c r="E837" s="313" t="s">
        <v>2730</v>
      </c>
      <c r="F837" s="174">
        <v>27273</v>
      </c>
      <c r="G837" s="176"/>
      <c r="H837" s="176" t="s">
        <v>461</v>
      </c>
      <c r="I837" s="176">
        <v>7</v>
      </c>
      <c r="J837" s="900" t="s">
        <v>2755</v>
      </c>
      <c r="K837" s="164" t="s">
        <v>7343</v>
      </c>
      <c r="L837" s="164" t="s">
        <v>461</v>
      </c>
      <c r="M837" s="164"/>
      <c r="N837" s="164"/>
      <c r="O837" s="164"/>
      <c r="P837" s="173" t="s">
        <v>2729</v>
      </c>
      <c r="Q837" s="164" t="s">
        <v>4705</v>
      </c>
      <c r="R837" s="177" t="s">
        <v>4600</v>
      </c>
      <c r="S837" s="354" t="s">
        <v>1778</v>
      </c>
      <c r="T837" s="173"/>
      <c r="U837" s="173"/>
      <c r="V837" s="173"/>
      <c r="W837" s="313" t="s">
        <v>2730</v>
      </c>
      <c r="X837" s="645" t="s">
        <v>15423</v>
      </c>
      <c r="Y837" s="354"/>
      <c r="Z837" s="176"/>
      <c r="AA837" s="176"/>
      <c r="AB837" s="32">
        <f t="shared" ca="1" si="15"/>
        <v>0.25782096428018464</v>
      </c>
      <c r="AC837" s="812"/>
      <c r="AD837" s="763" t="s">
        <v>16662</v>
      </c>
      <c r="AE837" s="807" t="s">
        <v>15093</v>
      </c>
      <c r="AF837" s="921">
        <f>IF(X837=X836,AF836,0)+IF(ISNUMBER(I837),IF(I837&lt;1,I837,I837*VLOOKUP(J837,Summary!$H$2:$I$9,2)),VLOOKUP(J837,Summary!$J$2:$K$9,2)*IF(ISNUMBER(H837),H837,1))</f>
        <v>0.60422453703703705</v>
      </c>
      <c r="AG837" s="289">
        <v>836</v>
      </c>
      <c r="AH837" s="94"/>
      <c r="AI837" s="94"/>
    </row>
    <row r="838" spans="1:35" s="22" customFormat="1" ht="12" customHeight="1" x14ac:dyDescent="0.25">
      <c r="A838" s="472" t="s">
        <v>15470</v>
      </c>
      <c r="B838" s="472">
        <v>3</v>
      </c>
      <c r="C838" s="472"/>
      <c r="D838" s="176" t="s">
        <v>1707</v>
      </c>
      <c r="E838" s="313" t="s">
        <v>7338</v>
      </c>
      <c r="F838" s="174">
        <v>27273</v>
      </c>
      <c r="G838" s="176"/>
      <c r="H838" s="176" t="s">
        <v>461</v>
      </c>
      <c r="I838" s="176">
        <v>5</v>
      </c>
      <c r="J838" s="900" t="s">
        <v>2755</v>
      </c>
      <c r="K838" s="164" t="s">
        <v>5784</v>
      </c>
      <c r="L838" s="164" t="s">
        <v>461</v>
      </c>
      <c r="M838" s="164"/>
      <c r="N838" s="164"/>
      <c r="O838" s="164"/>
      <c r="P838" s="173" t="s">
        <v>2729</v>
      </c>
      <c r="Q838" s="164" t="s">
        <v>4705</v>
      </c>
      <c r="R838" s="177" t="s">
        <v>4600</v>
      </c>
      <c r="S838" s="354" t="s">
        <v>1778</v>
      </c>
      <c r="T838" s="173"/>
      <c r="U838" s="173"/>
      <c r="V838" s="173"/>
      <c r="W838" s="313" t="s">
        <v>7338</v>
      </c>
      <c r="X838" s="645" t="s">
        <v>15423</v>
      </c>
      <c r="Y838" s="354"/>
      <c r="Z838" s="176"/>
      <c r="AA838" s="176"/>
      <c r="AB838" s="32">
        <f t="shared" ca="1" si="15"/>
        <v>0.45000116721870165</v>
      </c>
      <c r="AC838" s="812"/>
      <c r="AD838" s="763"/>
      <c r="AE838" s="807"/>
      <c r="AF838" s="921">
        <f>IF(X838=X837,AF837,0)+IF(ISNUMBER(I838),IF(I838&lt;1,I838,I838*VLOOKUP(J838,Summary!$H$2:$I$9,2)),VLOOKUP(J838,Summary!$J$2:$K$9,2)*IF(ISNUMBER(H838),H838,1))</f>
        <v>0.60769675925925926</v>
      </c>
      <c r="AG838" s="289">
        <v>837</v>
      </c>
      <c r="AH838" s="94"/>
      <c r="AI838" s="94"/>
    </row>
    <row r="839" spans="1:35" s="22" customFormat="1" ht="12" customHeight="1" x14ac:dyDescent="0.2">
      <c r="A839" s="467" t="s">
        <v>15470</v>
      </c>
      <c r="B839" s="467">
        <v>3</v>
      </c>
      <c r="C839" s="467"/>
      <c r="D839" s="185" t="s">
        <v>1707</v>
      </c>
      <c r="E839" s="314" t="s">
        <v>7339</v>
      </c>
      <c r="F839" s="183">
        <v>27273</v>
      </c>
      <c r="G839" s="185"/>
      <c r="H839" s="185" t="s">
        <v>461</v>
      </c>
      <c r="I839" s="185">
        <v>6</v>
      </c>
      <c r="J839" s="901" t="s">
        <v>1796</v>
      </c>
      <c r="K839" s="163" t="s">
        <v>5784</v>
      </c>
      <c r="L839" s="163" t="s">
        <v>5784</v>
      </c>
      <c r="M839" s="163"/>
      <c r="N839" s="163"/>
      <c r="O839" s="163"/>
      <c r="P839" s="182" t="s">
        <v>2729</v>
      </c>
      <c r="Q839" s="163" t="s">
        <v>4705</v>
      </c>
      <c r="R839" s="186" t="s">
        <v>4600</v>
      </c>
      <c r="S839" s="355" t="s">
        <v>1778</v>
      </c>
      <c r="T839" s="182"/>
      <c r="U839" s="182"/>
      <c r="V839" s="182"/>
      <c r="W839" s="314" t="s">
        <v>7339</v>
      </c>
      <c r="X839" s="646" t="s">
        <v>15423</v>
      </c>
      <c r="Y839" s="355"/>
      <c r="Z839" s="185"/>
      <c r="AA839" s="185"/>
      <c r="AB839" s="33">
        <f t="shared" ca="1" si="15"/>
        <v>0.24748875766323652</v>
      </c>
      <c r="AC839" s="813"/>
      <c r="AD839" s="211"/>
      <c r="AE839" s="941"/>
      <c r="AF839" s="922">
        <f>IF(X839=X838,AF838,0)+IF(ISNUMBER(I839),IF(I839&lt;1,I839,I839*VLOOKUP(J839,Summary!$H$2:$I$9,2)),VLOOKUP(J839,Summary!$J$2:$K$9,2)*IF(ISNUMBER(H839),H839,1))</f>
        <v>0.60978009259259258</v>
      </c>
      <c r="AG839" s="290">
        <v>838</v>
      </c>
      <c r="AH839" s="94"/>
      <c r="AI839" s="94"/>
    </row>
    <row r="840" spans="1:35" s="5" customFormat="1" ht="12" customHeight="1" x14ac:dyDescent="0.25">
      <c r="A840" s="472" t="s">
        <v>15470</v>
      </c>
      <c r="B840" s="472">
        <v>3</v>
      </c>
      <c r="C840" s="472"/>
      <c r="D840" s="176" t="s">
        <v>1707</v>
      </c>
      <c r="E840" s="313" t="s">
        <v>7340</v>
      </c>
      <c r="F840" s="174">
        <v>27273</v>
      </c>
      <c r="G840" s="176"/>
      <c r="H840" s="176" t="s">
        <v>461</v>
      </c>
      <c r="I840" s="176">
        <v>8</v>
      </c>
      <c r="J840" s="900" t="s">
        <v>2755</v>
      </c>
      <c r="K840" s="164" t="s">
        <v>5784</v>
      </c>
      <c r="L840" s="164" t="s">
        <v>461</v>
      </c>
      <c r="M840" s="164"/>
      <c r="N840" s="164"/>
      <c r="O840" s="164"/>
      <c r="P840" s="173" t="s">
        <v>2729</v>
      </c>
      <c r="Q840" s="164" t="s">
        <v>4705</v>
      </c>
      <c r="R840" s="177" t="s">
        <v>4600</v>
      </c>
      <c r="S840" s="354" t="s">
        <v>1778</v>
      </c>
      <c r="T840" s="173"/>
      <c r="U840" s="173"/>
      <c r="V840" s="173"/>
      <c r="W840" s="313" t="s">
        <v>7340</v>
      </c>
      <c r="X840" s="645" t="s">
        <v>15423</v>
      </c>
      <c r="Y840" s="354"/>
      <c r="Z840" s="176"/>
      <c r="AA840" s="176"/>
      <c r="AB840" s="32">
        <f t="shared" ca="1" si="15"/>
        <v>0.16915377715022617</v>
      </c>
      <c r="AC840" s="812"/>
      <c r="AD840" s="763"/>
      <c r="AE840" s="807"/>
      <c r="AF840" s="921">
        <f>IF(X840=X839,AF839,0)+IF(ISNUMBER(I840),IF(I840&lt;1,I840,I840*VLOOKUP(J840,Summary!$H$2:$I$9,2)),VLOOKUP(J840,Summary!$J$2:$K$9,2)*IF(ISNUMBER(H840),H840,1))</f>
        <v>0.61533564814814812</v>
      </c>
      <c r="AG840" s="289">
        <v>839</v>
      </c>
      <c r="AH840" s="94"/>
      <c r="AI840" s="94"/>
    </row>
    <row r="841" spans="1:35" s="22" customFormat="1" ht="12" customHeight="1" x14ac:dyDescent="0.2">
      <c r="A841" s="467" t="s">
        <v>15470</v>
      </c>
      <c r="B841" s="467">
        <v>3</v>
      </c>
      <c r="C841" s="467"/>
      <c r="D841" s="185" t="s">
        <v>1707</v>
      </c>
      <c r="E841" s="314" t="s">
        <v>7341</v>
      </c>
      <c r="F841" s="183">
        <v>27273</v>
      </c>
      <c r="G841" s="185"/>
      <c r="H841" s="185" t="s">
        <v>461</v>
      </c>
      <c r="I841" s="185">
        <v>6</v>
      </c>
      <c r="J841" s="901" t="s">
        <v>1796</v>
      </c>
      <c r="K841" s="163" t="s">
        <v>5784</v>
      </c>
      <c r="L841" s="163" t="s">
        <v>5784</v>
      </c>
      <c r="M841" s="163"/>
      <c r="N841" s="163"/>
      <c r="O841" s="163"/>
      <c r="P841" s="182" t="s">
        <v>2729</v>
      </c>
      <c r="Q841" s="163" t="s">
        <v>4705</v>
      </c>
      <c r="R841" s="186" t="s">
        <v>4600</v>
      </c>
      <c r="S841" s="355" t="s">
        <v>1778</v>
      </c>
      <c r="T841" s="182"/>
      <c r="U841" s="182"/>
      <c r="V841" s="182"/>
      <c r="W841" s="314" t="s">
        <v>7341</v>
      </c>
      <c r="X841" s="646" t="s">
        <v>15423</v>
      </c>
      <c r="Y841" s="355"/>
      <c r="Z841" s="185"/>
      <c r="AA841" s="185"/>
      <c r="AB841" s="33">
        <f t="shared" ca="1" si="15"/>
        <v>0.32078512147303884</v>
      </c>
      <c r="AC841" s="813"/>
      <c r="AD841" s="211"/>
      <c r="AE841" s="941"/>
      <c r="AF841" s="922">
        <f>IF(X841=X840,AF840,0)+IF(ISNUMBER(I841),IF(I841&lt;1,I841,I841*VLOOKUP(J841,Summary!$H$2:$I$9,2)),VLOOKUP(J841,Summary!$J$2:$K$9,2)*IF(ISNUMBER(H841),H841,1))</f>
        <v>0.61741898148148144</v>
      </c>
      <c r="AG841" s="290">
        <v>840</v>
      </c>
      <c r="AH841" s="94"/>
      <c r="AI841" s="94"/>
    </row>
    <row r="842" spans="1:35" s="22" customFormat="1" ht="12" customHeight="1" x14ac:dyDescent="0.25">
      <c r="A842" s="472" t="s">
        <v>15470</v>
      </c>
      <c r="B842" s="472">
        <v>3</v>
      </c>
      <c r="C842" s="472"/>
      <c r="D842" s="176" t="s">
        <v>1707</v>
      </c>
      <c r="E842" s="313" t="s">
        <v>7342</v>
      </c>
      <c r="F842" s="174">
        <v>27273</v>
      </c>
      <c r="G842" s="176"/>
      <c r="H842" s="176" t="s">
        <v>461</v>
      </c>
      <c r="I842" s="176">
        <v>5</v>
      </c>
      <c r="J842" s="900" t="s">
        <v>2755</v>
      </c>
      <c r="K842" s="164" t="s">
        <v>5784</v>
      </c>
      <c r="L842" s="164" t="s">
        <v>461</v>
      </c>
      <c r="M842" s="164"/>
      <c r="N842" s="164"/>
      <c r="O842" s="164"/>
      <c r="P842" s="173" t="s">
        <v>2729</v>
      </c>
      <c r="Q842" s="164" t="s">
        <v>4705</v>
      </c>
      <c r="R842" s="177" t="s">
        <v>4600</v>
      </c>
      <c r="S842" s="354" t="s">
        <v>1778</v>
      </c>
      <c r="T842" s="173"/>
      <c r="U842" s="173"/>
      <c r="V842" s="173"/>
      <c r="W842" s="313" t="s">
        <v>7342</v>
      </c>
      <c r="X842" s="645" t="s">
        <v>15423</v>
      </c>
      <c r="Y842" s="354"/>
      <c r="Z842" s="176"/>
      <c r="AA842" s="176"/>
      <c r="AB842" s="32">
        <f t="shared" ca="1" si="15"/>
        <v>4.8873481551678699E-2</v>
      </c>
      <c r="AC842" s="812"/>
      <c r="AD842" s="763"/>
      <c r="AE842" s="807"/>
      <c r="AF842" s="921">
        <f>IF(X842=X841,AF841,0)+IF(ISNUMBER(I842),IF(I842&lt;1,I842,I842*VLOOKUP(J842,Summary!$H$2:$I$9,2)),VLOOKUP(J842,Summary!$J$2:$K$9,2)*IF(ISNUMBER(H842),H842,1))</f>
        <v>0.62089120370370365</v>
      </c>
      <c r="AG842" s="289">
        <v>841</v>
      </c>
      <c r="AH842" s="94"/>
      <c r="AI842" s="94"/>
    </row>
    <row r="843" spans="1:35" s="22" customFormat="1" ht="12" customHeight="1" x14ac:dyDescent="0.25">
      <c r="A843" s="469" t="s">
        <v>15470</v>
      </c>
      <c r="B843" s="469">
        <v>3</v>
      </c>
      <c r="C843" s="470">
        <v>0.23</v>
      </c>
      <c r="D843" s="192" t="s">
        <v>13136</v>
      </c>
      <c r="E843" s="317" t="s">
        <v>10228</v>
      </c>
      <c r="F843" s="191">
        <v>42156</v>
      </c>
      <c r="G843" s="209"/>
      <c r="H843" s="192" t="s">
        <v>461</v>
      </c>
      <c r="I843" s="753"/>
      <c r="J843" s="903" t="s">
        <v>2755</v>
      </c>
      <c r="K843" s="194" t="s">
        <v>10208</v>
      </c>
      <c r="L843" s="194" t="s">
        <v>3365</v>
      </c>
      <c r="M843" s="194" t="s">
        <v>9290</v>
      </c>
      <c r="N843" s="194"/>
      <c r="O843" s="194"/>
      <c r="P843" s="190" t="s">
        <v>461</v>
      </c>
      <c r="Q843" s="194" t="s">
        <v>3947</v>
      </c>
      <c r="R843" s="193" t="s">
        <v>2722</v>
      </c>
      <c r="S843" s="357" t="s">
        <v>1778</v>
      </c>
      <c r="T843" s="190"/>
      <c r="U843" s="190"/>
      <c r="V843" s="190"/>
      <c r="W843" s="317" t="s">
        <v>10228</v>
      </c>
      <c r="X843" s="649" t="s">
        <v>15423</v>
      </c>
      <c r="Y843" s="357"/>
      <c r="Z843" s="192"/>
      <c r="AA843" s="192"/>
      <c r="AB843" s="37">
        <f t="shared" ca="1" si="15"/>
        <v>0.59887363522797432</v>
      </c>
      <c r="AC843" s="816"/>
      <c r="AD843" s="817"/>
      <c r="AE843" s="943"/>
      <c r="AF843" s="924">
        <f>IF(X843=X842,AF842,0)+IF(ISNUMBER(I843),IF(I843&lt;1,I843,I843*VLOOKUP(J843,Summary!$H$2:$I$9,2)),VLOOKUP(J843,Summary!$J$2:$K$9,2)*IF(ISNUMBER(H843),H843,1))</f>
        <v>0.63825231481481481</v>
      </c>
      <c r="AG843" s="292">
        <v>842</v>
      </c>
      <c r="AH843" s="94"/>
      <c r="AI843" s="94"/>
    </row>
    <row r="844" spans="1:35" s="22" customFormat="1" ht="12" customHeight="1" x14ac:dyDescent="0.2">
      <c r="A844" s="465" t="s">
        <v>15470</v>
      </c>
      <c r="B844" s="465">
        <v>3</v>
      </c>
      <c r="C844" s="479">
        <v>4.2</v>
      </c>
      <c r="D844" s="407" t="s">
        <v>14278</v>
      </c>
      <c r="E844" s="315" t="s">
        <v>14279</v>
      </c>
      <c r="F844" s="196">
        <v>43180</v>
      </c>
      <c r="G844" s="170"/>
      <c r="H844" s="170">
        <v>4</v>
      </c>
      <c r="I844" s="747">
        <f>TIME(0,120,0)</f>
        <v>8.3333333333333329E-2</v>
      </c>
      <c r="J844" s="899" t="s">
        <v>4706</v>
      </c>
      <c r="K844" s="167" t="s">
        <v>941</v>
      </c>
      <c r="L844" s="167" t="s">
        <v>4549</v>
      </c>
      <c r="M844" s="167"/>
      <c r="N844" s="167"/>
      <c r="O844" s="167"/>
      <c r="P844" s="168" t="s">
        <v>14277</v>
      </c>
      <c r="Q844" s="167" t="s">
        <v>3947</v>
      </c>
      <c r="R844" s="172" t="s">
        <v>13344</v>
      </c>
      <c r="S844" s="388" t="s">
        <v>1778</v>
      </c>
      <c r="T844" s="168"/>
      <c r="U844" s="168"/>
      <c r="V844" s="168"/>
      <c r="W844" s="312"/>
      <c r="X844" s="644" t="s">
        <v>15423</v>
      </c>
      <c r="Y844" s="352"/>
      <c r="Z844" s="353"/>
      <c r="AA844" s="353"/>
      <c r="AB844" s="31">
        <f t="shared" ca="1" si="15"/>
        <v>0.98245461933649036</v>
      </c>
      <c r="AC844" s="810"/>
      <c r="AD844" s="811"/>
      <c r="AE844" s="940"/>
      <c r="AF844" s="920">
        <f>IF(X844=X843,AF843,0)+IF(ISNUMBER(I844),IF(I844&lt;1,I844,I844*VLOOKUP(J844,Summary!$H$2:$I$9,2)),VLOOKUP(J844,Summary!$J$2:$K$9,2)*IF(ISNUMBER(H844),H844,1))</f>
        <v>0.72158564814814818</v>
      </c>
      <c r="AG844" s="287">
        <v>843</v>
      </c>
      <c r="AH844" s="94"/>
      <c r="AI844" s="94"/>
    </row>
    <row r="845" spans="1:35" s="2" customFormat="1" ht="12" customHeight="1" x14ac:dyDescent="0.25">
      <c r="A845" s="472" t="s">
        <v>15470</v>
      </c>
      <c r="B845" s="472">
        <v>3</v>
      </c>
      <c r="C845" s="472">
        <v>24</v>
      </c>
      <c r="D845" s="176" t="s">
        <v>12831</v>
      </c>
      <c r="E845" s="313" t="s">
        <v>12832</v>
      </c>
      <c r="F845" s="175">
        <v>35137</v>
      </c>
      <c r="G845" s="175">
        <v>35193</v>
      </c>
      <c r="H845" s="176">
        <v>3</v>
      </c>
      <c r="I845" s="176">
        <v>6</v>
      </c>
      <c r="J845" s="900" t="s">
        <v>2755</v>
      </c>
      <c r="K845" s="164" t="s">
        <v>7374</v>
      </c>
      <c r="L845" s="164" t="s">
        <v>461</v>
      </c>
      <c r="M845" s="164"/>
      <c r="N845" s="164" t="s">
        <v>2750</v>
      </c>
      <c r="O845" s="164"/>
      <c r="P845" s="173" t="s">
        <v>461</v>
      </c>
      <c r="Q845" s="164" t="s">
        <v>4062</v>
      </c>
      <c r="R845" s="177" t="s">
        <v>10250</v>
      </c>
      <c r="S845" s="354" t="s">
        <v>1778</v>
      </c>
      <c r="T845" s="173"/>
      <c r="U845" s="173"/>
      <c r="V845" s="173"/>
      <c r="W845" s="313"/>
      <c r="X845" s="645" t="s">
        <v>15423</v>
      </c>
      <c r="Y845" s="354"/>
      <c r="Z845" s="176"/>
      <c r="AA845" s="176"/>
      <c r="AB845" s="32">
        <f t="shared" ca="1" si="15"/>
        <v>0.50300183457871295</v>
      </c>
      <c r="AC845" s="812"/>
      <c r="AD845" s="763"/>
      <c r="AE845" s="807"/>
      <c r="AF845" s="921">
        <f>IF(X845=X844,AF844,0)+IF(ISNUMBER(I845),IF(I845&lt;1,I845,I845*VLOOKUP(J845,Summary!$H$2:$I$9,2)),VLOOKUP(J845,Summary!$J$2:$K$9,2)*IF(ISNUMBER(H845),H845,1))</f>
        <v>0.72575231481481484</v>
      </c>
      <c r="AG845" s="289">
        <v>844</v>
      </c>
      <c r="AH845" s="94"/>
      <c r="AI845" s="94"/>
    </row>
    <row r="846" spans="1:35" s="43" customFormat="1" ht="12" customHeight="1" x14ac:dyDescent="0.25">
      <c r="A846" s="472" t="s">
        <v>15470</v>
      </c>
      <c r="B846" s="472">
        <v>3</v>
      </c>
      <c r="C846" s="473">
        <v>20.02</v>
      </c>
      <c r="D846" s="176" t="s">
        <v>1870</v>
      </c>
      <c r="E846" s="313" t="s">
        <v>1871</v>
      </c>
      <c r="F846" s="174">
        <v>38961</v>
      </c>
      <c r="G846" s="174"/>
      <c r="H846" s="176">
        <v>1</v>
      </c>
      <c r="I846" s="176">
        <v>14</v>
      </c>
      <c r="J846" s="900" t="s">
        <v>2755</v>
      </c>
      <c r="K846" s="164" t="s">
        <v>7375</v>
      </c>
      <c r="L846" s="164" t="s">
        <v>461</v>
      </c>
      <c r="M846" s="164"/>
      <c r="N846" s="164" t="s">
        <v>7381</v>
      </c>
      <c r="O846" s="164"/>
      <c r="P846" s="173" t="s">
        <v>705</v>
      </c>
      <c r="Q846" s="164" t="s">
        <v>3947</v>
      </c>
      <c r="R846" s="177" t="s">
        <v>2723</v>
      </c>
      <c r="S846" s="354"/>
      <c r="T846" s="173"/>
      <c r="U846" s="173"/>
      <c r="V846" s="173"/>
      <c r="W846" s="313" t="s">
        <v>1871</v>
      </c>
      <c r="X846" s="645" t="s">
        <v>15423</v>
      </c>
      <c r="Y846" s="354"/>
      <c r="Z846" s="176"/>
      <c r="AA846" s="176"/>
      <c r="AB846" s="32">
        <f t="shared" ca="1" si="15"/>
        <v>0.78659569858598688</v>
      </c>
      <c r="AC846" s="812"/>
      <c r="AD846" s="763"/>
      <c r="AE846" s="807"/>
      <c r="AF846" s="921">
        <f>IF(X846=X845,AF845,0)+IF(ISNUMBER(I846),IF(I846&lt;1,I846,I846*VLOOKUP(J846,Summary!$H$2:$I$9,2)),VLOOKUP(J846,Summary!$J$2:$K$9,2)*IF(ISNUMBER(H846),H846,1))</f>
        <v>0.73547453703703702</v>
      </c>
      <c r="AG846" s="289">
        <v>845</v>
      </c>
      <c r="AH846" s="94"/>
      <c r="AI846" s="94"/>
    </row>
    <row r="847" spans="1:35" s="5" customFormat="1" ht="12" customHeight="1" x14ac:dyDescent="0.25">
      <c r="A847" s="728" t="s">
        <v>15470</v>
      </c>
      <c r="B847" s="728">
        <v>3</v>
      </c>
      <c r="C847" s="729">
        <v>1</v>
      </c>
      <c r="D847" s="619" t="s">
        <v>15183</v>
      </c>
      <c r="E847" s="345" t="s">
        <v>16116</v>
      </c>
      <c r="F847" s="219">
        <v>43320</v>
      </c>
      <c r="G847" s="219"/>
      <c r="H847" s="210" t="s">
        <v>461</v>
      </c>
      <c r="I847" s="210"/>
      <c r="J847" s="908" t="s">
        <v>3346</v>
      </c>
      <c r="K847" s="166" t="s">
        <v>7375</v>
      </c>
      <c r="L847" s="166" t="s">
        <v>15188</v>
      </c>
      <c r="M847" s="166" t="s">
        <v>5941</v>
      </c>
      <c r="N847" s="166"/>
      <c r="O847" s="166"/>
      <c r="P847" s="267" t="s">
        <v>461</v>
      </c>
      <c r="Q847" s="166" t="s">
        <v>15182</v>
      </c>
      <c r="R847" s="268" t="s">
        <v>15181</v>
      </c>
      <c r="S847" s="386" t="s">
        <v>1778</v>
      </c>
      <c r="T847" s="267"/>
      <c r="U847" s="267"/>
      <c r="V847" s="267"/>
      <c r="W847" s="345" t="s">
        <v>15187</v>
      </c>
      <c r="X847" s="680" t="s">
        <v>15423</v>
      </c>
      <c r="Y847" s="384"/>
      <c r="Z847" s="385"/>
      <c r="AA847" s="385"/>
      <c r="AB847" s="41">
        <f t="shared" ca="1" si="15"/>
        <v>0.77151804746180552</v>
      </c>
      <c r="AC847" s="832"/>
      <c r="AD847" s="833" t="s">
        <v>15189</v>
      </c>
      <c r="AE847" s="956"/>
      <c r="AF847" s="929">
        <f>IF(X847=X846,AF846,0)+IF(ISNUMBER(I847),IF(I847&lt;1,I847,I847*VLOOKUP(J847,Summary!$H$2:$I$9,2)),VLOOKUP(J847,Summary!$J$2:$K$9,2)*IF(ISNUMBER(H847),H847,1))</f>
        <v>0.77714120370370365</v>
      </c>
      <c r="AG847" s="307">
        <v>846</v>
      </c>
      <c r="AH847" s="94"/>
      <c r="AI847" s="94"/>
    </row>
    <row r="848" spans="1:35" s="22" customFormat="1" ht="12" customHeight="1" x14ac:dyDescent="0.25">
      <c r="A848" s="469" t="s">
        <v>15470</v>
      </c>
      <c r="B848" s="469">
        <v>3</v>
      </c>
      <c r="C848" s="470">
        <v>4.03</v>
      </c>
      <c r="D848" s="192" t="s">
        <v>406</v>
      </c>
      <c r="E848" s="317" t="s">
        <v>420</v>
      </c>
      <c r="F848" s="209">
        <v>40786</v>
      </c>
      <c r="G848" s="209"/>
      <c r="H848" s="192">
        <v>1</v>
      </c>
      <c r="I848" s="753">
        <f>TIME(0,16,38)</f>
        <v>1.1550925925925925E-2</v>
      </c>
      <c r="J848" s="903" t="s">
        <v>2755</v>
      </c>
      <c r="K848" s="194" t="s">
        <v>416</v>
      </c>
      <c r="L848" s="194" t="s">
        <v>3426</v>
      </c>
      <c r="M848" s="194" t="s">
        <v>3821</v>
      </c>
      <c r="N848" s="194"/>
      <c r="O848" s="194"/>
      <c r="P848" s="190" t="s">
        <v>5598</v>
      </c>
      <c r="Q848" s="194" t="s">
        <v>3947</v>
      </c>
      <c r="R848" s="193" t="s">
        <v>2722</v>
      </c>
      <c r="S848" s="357"/>
      <c r="T848" s="190"/>
      <c r="U848" s="190"/>
      <c r="V848" s="190"/>
      <c r="W848" s="317" t="s">
        <v>420</v>
      </c>
      <c r="X848" s="649" t="s">
        <v>15423</v>
      </c>
      <c r="Y848" s="357" t="s">
        <v>5643</v>
      </c>
      <c r="Z848" s="192">
        <v>999</v>
      </c>
      <c r="AA848" s="192"/>
      <c r="AB848" s="37">
        <f t="shared" ca="1" si="15"/>
        <v>0.96554362867682808</v>
      </c>
      <c r="AC848" s="816"/>
      <c r="AD848" s="817"/>
      <c r="AE848" s="943"/>
      <c r="AF848" s="924">
        <f>IF(X848=X847,AF847,0)+IF(ISNUMBER(I848),IF(I848&lt;1,I848,I848*VLOOKUP(J848,Summary!$H$2:$I$9,2)),VLOOKUP(J848,Summary!$J$2:$K$9,2)*IF(ISNUMBER(H848),H848,1))</f>
        <v>0.78869212962962953</v>
      </c>
      <c r="AG848" s="292">
        <v>847</v>
      </c>
      <c r="AH848" s="94"/>
      <c r="AI848" s="94"/>
    </row>
    <row r="849" spans="1:36" s="26" customFormat="1" ht="12" customHeight="1" x14ac:dyDescent="0.25">
      <c r="A849" s="468" t="s">
        <v>15470</v>
      </c>
      <c r="B849" s="468">
        <v>3</v>
      </c>
      <c r="C849" s="468">
        <v>9</v>
      </c>
      <c r="D849" s="417" t="s">
        <v>1454</v>
      </c>
      <c r="E849" s="316" t="s">
        <v>1455</v>
      </c>
      <c r="F849" s="187">
        <v>34820</v>
      </c>
      <c r="G849" s="188"/>
      <c r="H849" s="188" t="str">
        <f>IF(J849="Book","n/a","")</f>
        <v>n/a</v>
      </c>
      <c r="I849" s="188">
        <v>256</v>
      </c>
      <c r="J849" s="902" t="s">
        <v>6868</v>
      </c>
      <c r="K849" s="162" t="s">
        <v>6232</v>
      </c>
      <c r="L849" s="162" t="str">
        <f>IF(J849="Book","n/a","")</f>
        <v>n/a</v>
      </c>
      <c r="M849" s="162"/>
      <c r="N849" s="162"/>
      <c r="O849" s="162"/>
      <c r="P849" s="178" t="s">
        <v>8593</v>
      </c>
      <c r="Q849" s="162" t="s">
        <v>601</v>
      </c>
      <c r="R849" s="189" t="s">
        <v>2715</v>
      </c>
      <c r="S849" s="366" t="s">
        <v>1778</v>
      </c>
      <c r="T849" s="178" t="s">
        <v>2597</v>
      </c>
      <c r="U849" s="178" t="s">
        <v>2600</v>
      </c>
      <c r="V849" s="178" t="s">
        <v>2601</v>
      </c>
      <c r="W849" s="316" t="s">
        <v>1455</v>
      </c>
      <c r="X849" s="648" t="s">
        <v>15423</v>
      </c>
      <c r="Y849" s="356" t="s">
        <v>6868</v>
      </c>
      <c r="Z849" s="272"/>
      <c r="AA849" s="272"/>
      <c r="AB849" s="34">
        <f t="shared" ca="1" si="15"/>
        <v>0.9975705306227286</v>
      </c>
      <c r="AC849" s="814"/>
      <c r="AD849" s="815"/>
      <c r="AE849" s="942"/>
      <c r="AF849" s="923">
        <f>IF(X849=X848,AF848,0)+IF(ISNUMBER(I849),IF(I849&lt;1,I849,I849*VLOOKUP(J849,Summary!$H$2:$I$9,2)),VLOOKUP(J849,Summary!$J$2:$K$9,2)*IF(ISNUMBER(H849),H849,1))</f>
        <v>0.96646990740740735</v>
      </c>
      <c r="AG849" s="291">
        <v>848</v>
      </c>
      <c r="AH849" s="94"/>
      <c r="AI849" s="94"/>
    </row>
    <row r="850" spans="1:36" s="120" customFormat="1" ht="12" customHeight="1" x14ac:dyDescent="0.25">
      <c r="A850" s="408" t="s">
        <v>15470</v>
      </c>
      <c r="B850" s="408" t="s">
        <v>2650</v>
      </c>
      <c r="C850" s="408">
        <v>16</v>
      </c>
      <c r="D850" s="176" t="s">
        <v>9823</v>
      </c>
      <c r="E850" s="313" t="s">
        <v>9824</v>
      </c>
      <c r="F850" s="175">
        <v>41802</v>
      </c>
      <c r="G850" s="174"/>
      <c r="H850" s="176">
        <v>1</v>
      </c>
      <c r="I850" s="176">
        <v>18</v>
      </c>
      <c r="J850" s="900" t="s">
        <v>2755</v>
      </c>
      <c r="K850" s="164" t="s">
        <v>9281</v>
      </c>
      <c r="L850" s="164" t="s">
        <v>461</v>
      </c>
      <c r="M850" s="164"/>
      <c r="N850" s="164" t="s">
        <v>543</v>
      </c>
      <c r="O850" s="164"/>
      <c r="P850" s="173" t="s">
        <v>9278</v>
      </c>
      <c r="Q850" s="164" t="s">
        <v>3953</v>
      </c>
      <c r="R850" s="177" t="s">
        <v>9279</v>
      </c>
      <c r="S850" s="354"/>
      <c r="T850" s="173"/>
      <c r="U850" s="173"/>
      <c r="V850" s="173"/>
      <c r="W850" s="313" t="s">
        <v>9824</v>
      </c>
      <c r="X850" s="645" t="s">
        <v>15423</v>
      </c>
      <c r="Y850" s="354" t="s">
        <v>6868</v>
      </c>
      <c r="Z850" s="176"/>
      <c r="AA850" s="176"/>
      <c r="AB850" s="32">
        <f t="shared" ca="1" si="15"/>
        <v>0.27702288203475411</v>
      </c>
      <c r="AC850" s="812"/>
      <c r="AD850" s="763"/>
      <c r="AE850" s="807"/>
      <c r="AF850" s="921">
        <f>IF(X850=X849,AF849,0)+IF(ISNUMBER(I850),IF(I850&lt;1,I850,I850*VLOOKUP(J850,Summary!$H$2:$I$9,2)),VLOOKUP(J850,Summary!$J$2:$K$9,2)*IF(ISNUMBER(H850),H850,1))</f>
        <v>0.9789699074074073</v>
      </c>
      <c r="AG850" s="289">
        <v>849</v>
      </c>
      <c r="AH850" s="94"/>
      <c r="AI850" s="94"/>
    </row>
    <row r="851" spans="1:36" s="3" customFormat="1" ht="12" customHeight="1" x14ac:dyDescent="0.25">
      <c r="A851" s="468" t="s">
        <v>15470</v>
      </c>
      <c r="B851" s="468">
        <v>3</v>
      </c>
      <c r="C851" s="468">
        <v>27</v>
      </c>
      <c r="D851" s="417" t="s">
        <v>1458</v>
      </c>
      <c r="E851" s="316" t="s">
        <v>1459</v>
      </c>
      <c r="F851" s="187">
        <v>35339</v>
      </c>
      <c r="G851" s="188"/>
      <c r="H851" s="188" t="str">
        <f>IF(J851="Book","n/a","")</f>
        <v>n/a</v>
      </c>
      <c r="I851" s="188">
        <v>256</v>
      </c>
      <c r="J851" s="902" t="s">
        <v>6868</v>
      </c>
      <c r="K851" s="162" t="s">
        <v>6232</v>
      </c>
      <c r="L851" s="162" t="str">
        <f>IF(J851="Book","n/a","")</f>
        <v>n/a</v>
      </c>
      <c r="M851" s="162"/>
      <c r="N851" s="162"/>
      <c r="O851" s="162"/>
      <c r="P851" s="178" t="s">
        <v>8612</v>
      </c>
      <c r="Q851" s="162" t="s">
        <v>601</v>
      </c>
      <c r="R851" s="189" t="s">
        <v>2715</v>
      </c>
      <c r="S851" s="366" t="s">
        <v>1778</v>
      </c>
      <c r="T851" s="178"/>
      <c r="U851" s="178"/>
      <c r="V851" s="178" t="s">
        <v>2601</v>
      </c>
      <c r="W851" s="316" t="s">
        <v>1459</v>
      </c>
      <c r="X851" s="648" t="s">
        <v>15423</v>
      </c>
      <c r="Y851" s="356"/>
      <c r="Z851" s="272">
        <v>103</v>
      </c>
      <c r="AA851" s="272">
        <v>5</v>
      </c>
      <c r="AB851" s="34">
        <f t="shared" ca="1" si="15"/>
        <v>0.76229660920986075</v>
      </c>
      <c r="AC851" s="814"/>
      <c r="AD851" s="815" t="s">
        <v>16488</v>
      </c>
      <c r="AE851" s="942" t="s">
        <v>12543</v>
      </c>
      <c r="AF851" s="923">
        <f>IF(X851=X850,AF850,0)+IF(ISNUMBER(I851),IF(I851&lt;1,I851,I851*VLOOKUP(J851,Summary!$H$2:$I$9,2)),VLOOKUP(J851,Summary!$J$2:$K$9,2)*IF(ISNUMBER(H851),H851,1))</f>
        <v>1.156747685185185</v>
      </c>
      <c r="AG851" s="291">
        <v>850</v>
      </c>
      <c r="AH851" s="94"/>
      <c r="AI851" s="94"/>
    </row>
    <row r="852" spans="1:36" s="1" customFormat="1" ht="12" customHeight="1" x14ac:dyDescent="0.25">
      <c r="A852" s="472" t="s">
        <v>15470</v>
      </c>
      <c r="B852" s="472">
        <v>3</v>
      </c>
      <c r="C852" s="473">
        <v>19.03</v>
      </c>
      <c r="D852" s="176" t="s">
        <v>1872</v>
      </c>
      <c r="E852" s="313" t="s">
        <v>1873</v>
      </c>
      <c r="F852" s="174">
        <v>38808</v>
      </c>
      <c r="G852" s="174"/>
      <c r="H852" s="176">
        <v>1</v>
      </c>
      <c r="I852" s="176">
        <v>12</v>
      </c>
      <c r="J852" s="900" t="s">
        <v>2755</v>
      </c>
      <c r="K852" s="164" t="s">
        <v>6564</v>
      </c>
      <c r="L852" s="164" t="s">
        <v>461</v>
      </c>
      <c r="M852" s="164"/>
      <c r="N852" s="164" t="s">
        <v>4552</v>
      </c>
      <c r="O852" s="164"/>
      <c r="P852" s="173" t="s">
        <v>5020</v>
      </c>
      <c r="Q852" s="164" t="s">
        <v>3947</v>
      </c>
      <c r="R852" s="177" t="s">
        <v>2723</v>
      </c>
      <c r="S852" s="354" t="s">
        <v>1778</v>
      </c>
      <c r="T852" s="173"/>
      <c r="U852" s="173"/>
      <c r="V852" s="173"/>
      <c r="W852" s="313" t="s">
        <v>1873</v>
      </c>
      <c r="X852" s="645" t="s">
        <v>15423</v>
      </c>
      <c r="Y852" s="354"/>
      <c r="Z852" s="176"/>
      <c r="AA852" s="176"/>
      <c r="AB852" s="32">
        <f t="shared" ca="1" si="15"/>
        <v>0.61971491478289131</v>
      </c>
      <c r="AC852" s="812"/>
      <c r="AD852" s="763"/>
      <c r="AE852" s="807"/>
      <c r="AF852" s="921">
        <f>IF(X852=X851,AF851,0)+IF(ISNUMBER(I852),IF(I852&lt;1,I852,I852*VLOOKUP(J852,Summary!$H$2:$I$9,2)),VLOOKUP(J852,Summary!$J$2:$K$9,2)*IF(ISNUMBER(H852),H852,1))</f>
        <v>1.1650810185185183</v>
      </c>
      <c r="AG852" s="289">
        <v>851</v>
      </c>
      <c r="AH852" s="94"/>
      <c r="AI852" s="94"/>
    </row>
    <row r="853" spans="1:36" s="22" customFormat="1" ht="12" customHeight="1" x14ac:dyDescent="0.25">
      <c r="A853" s="472" t="s">
        <v>15470</v>
      </c>
      <c r="B853" s="472">
        <v>3</v>
      </c>
      <c r="C853" s="473">
        <v>22.07</v>
      </c>
      <c r="D853" s="176" t="s">
        <v>524</v>
      </c>
      <c r="E853" s="313" t="s">
        <v>523</v>
      </c>
      <c r="F853" s="174">
        <v>39052</v>
      </c>
      <c r="G853" s="174"/>
      <c r="H853" s="176">
        <v>1</v>
      </c>
      <c r="I853" s="176">
        <v>15</v>
      </c>
      <c r="J853" s="900" t="s">
        <v>2755</v>
      </c>
      <c r="K853" s="164" t="s">
        <v>7381</v>
      </c>
      <c r="L853" s="164" t="s">
        <v>461</v>
      </c>
      <c r="M853" s="164"/>
      <c r="N853" s="164" t="s">
        <v>4549</v>
      </c>
      <c r="O853" s="164"/>
      <c r="P853" s="173" t="s">
        <v>522</v>
      </c>
      <c r="Q853" s="164" t="s">
        <v>3947</v>
      </c>
      <c r="R853" s="177" t="s">
        <v>2723</v>
      </c>
      <c r="S853" s="354"/>
      <c r="T853" s="173"/>
      <c r="U853" s="173"/>
      <c r="V853" s="173"/>
      <c r="W853" s="313" t="s">
        <v>523</v>
      </c>
      <c r="X853" s="645" t="s">
        <v>15423</v>
      </c>
      <c r="Y853" s="354"/>
      <c r="Z853" s="176"/>
      <c r="AA853" s="176"/>
      <c r="AB853" s="32">
        <f t="shared" ca="1" si="15"/>
        <v>0.69419653487250965</v>
      </c>
      <c r="AC853" s="812"/>
      <c r="AD853" s="763"/>
      <c r="AE853" s="807"/>
      <c r="AF853" s="921">
        <f>IF(X853=X852,AF852,0)+IF(ISNUMBER(I853),IF(I853&lt;1,I853,I853*VLOOKUP(J853,Summary!$H$2:$I$9,2)),VLOOKUP(J853,Summary!$J$2:$K$9,2)*IF(ISNUMBER(H853),H853,1))</f>
        <v>1.175497685185185</v>
      </c>
      <c r="AG853" s="289">
        <v>852</v>
      </c>
      <c r="AH853" s="94"/>
      <c r="AI853" s="94"/>
    </row>
    <row r="854" spans="1:36" s="2" customFormat="1" ht="12" customHeight="1" x14ac:dyDescent="0.25">
      <c r="A854" s="472" t="s">
        <v>15470</v>
      </c>
      <c r="B854" s="472">
        <v>3</v>
      </c>
      <c r="C854" s="472">
        <v>3.01</v>
      </c>
      <c r="D854" s="176" t="s">
        <v>1874</v>
      </c>
      <c r="E854" s="313" t="s">
        <v>1875</v>
      </c>
      <c r="F854" s="176">
        <v>1996</v>
      </c>
      <c r="G854" s="176"/>
      <c r="H854" s="176" t="s">
        <v>461</v>
      </c>
      <c r="I854" s="176"/>
      <c r="J854" s="900" t="s">
        <v>2755</v>
      </c>
      <c r="K854" s="164" t="s">
        <v>1876</v>
      </c>
      <c r="L854" s="164" t="s">
        <v>461</v>
      </c>
      <c r="M854" s="164"/>
      <c r="N854" s="164" t="s">
        <v>333</v>
      </c>
      <c r="O854" s="164"/>
      <c r="P854" s="173" t="s">
        <v>3523</v>
      </c>
      <c r="Q854" s="164" t="s">
        <v>6548</v>
      </c>
      <c r="R854" s="177" t="s">
        <v>4598</v>
      </c>
      <c r="S854" s="354" t="s">
        <v>1778</v>
      </c>
      <c r="T854" s="173"/>
      <c r="U854" s="173"/>
      <c r="V854" s="173"/>
      <c r="W854" s="313" t="s">
        <v>1875</v>
      </c>
      <c r="X854" s="645" t="s">
        <v>15423</v>
      </c>
      <c r="Y854" s="354" t="s">
        <v>6868</v>
      </c>
      <c r="Z854" s="176">
        <v>58</v>
      </c>
      <c r="AA854" s="176">
        <v>2</v>
      </c>
      <c r="AB854" s="32">
        <f t="shared" ca="1" si="15"/>
        <v>0.68234879924558123</v>
      </c>
      <c r="AC854" s="812"/>
      <c r="AD854" s="763"/>
      <c r="AE854" s="807"/>
      <c r="AF854" s="921">
        <f>IF(X854=X853,AF853,0)+IF(ISNUMBER(I854),IF(I854&lt;1,I854,I854*VLOOKUP(J854,Summary!$H$2:$I$9,2)),VLOOKUP(J854,Summary!$J$2:$K$9,2)*IF(ISNUMBER(H854),H854,1))</f>
        <v>1.1928587962962962</v>
      </c>
      <c r="AG854" s="289">
        <v>853</v>
      </c>
      <c r="AH854" s="94"/>
      <c r="AI854" s="94"/>
    </row>
    <row r="855" spans="1:36" s="22" customFormat="1" ht="12" customHeight="1" x14ac:dyDescent="0.25">
      <c r="A855" s="468" t="s">
        <v>15470</v>
      </c>
      <c r="B855" s="468">
        <v>3</v>
      </c>
      <c r="C855" s="468">
        <v>28</v>
      </c>
      <c r="D855" s="417" t="s">
        <v>1456</v>
      </c>
      <c r="E855" s="316" t="s">
        <v>1457</v>
      </c>
      <c r="F855" s="195">
        <v>36528</v>
      </c>
      <c r="G855" s="188"/>
      <c r="H855" s="188" t="str">
        <f>IF(J855="Book","n/a","")</f>
        <v>n/a</v>
      </c>
      <c r="I855" s="188">
        <v>288</v>
      </c>
      <c r="J855" s="902" t="s">
        <v>6868</v>
      </c>
      <c r="K855" s="162" t="s">
        <v>4964</v>
      </c>
      <c r="L855" s="162" t="str">
        <f>IF(J855="Book","n/a","")</f>
        <v>n/a</v>
      </c>
      <c r="M855" s="162"/>
      <c r="N855" s="162"/>
      <c r="O855" s="162"/>
      <c r="P855" s="178" t="s">
        <v>8953</v>
      </c>
      <c r="Q855" s="162" t="s">
        <v>3953</v>
      </c>
      <c r="R855" s="189" t="s">
        <v>2717</v>
      </c>
      <c r="S855" s="366" t="s">
        <v>1778</v>
      </c>
      <c r="T855" s="178" t="s">
        <v>2597</v>
      </c>
      <c r="U855" s="178" t="s">
        <v>2600</v>
      </c>
      <c r="V855" s="178" t="s">
        <v>2601</v>
      </c>
      <c r="W855" s="316" t="s">
        <v>1457</v>
      </c>
      <c r="X855" s="648" t="s">
        <v>15423</v>
      </c>
      <c r="Y855" s="356" t="s">
        <v>6868</v>
      </c>
      <c r="Z855" s="272">
        <v>10</v>
      </c>
      <c r="AA855" s="272">
        <v>9.5</v>
      </c>
      <c r="AB855" s="34">
        <f t="shared" ca="1" si="15"/>
        <v>0.4462033359857096</v>
      </c>
      <c r="AC855" s="814"/>
      <c r="AD855" s="815" t="s">
        <v>15822</v>
      </c>
      <c r="AE855" s="942"/>
      <c r="AF855" s="923">
        <f>IF(X855=X854,AF854,0)+IF(ISNUMBER(I855),IF(I855&lt;1,I855,I855*VLOOKUP(J855,Summary!$H$2:$I$9,2)),VLOOKUP(J855,Summary!$J$2:$K$9,2)*IF(ISNUMBER(H855),H855,1))</f>
        <v>1.3928587962962962</v>
      </c>
      <c r="AG855" s="291">
        <v>854</v>
      </c>
      <c r="AH855" s="94"/>
      <c r="AI855" s="94"/>
    </row>
    <row r="856" spans="1:36" s="27" customFormat="1" ht="12" customHeight="1" x14ac:dyDescent="0.25">
      <c r="A856" s="466" t="s">
        <v>15470</v>
      </c>
      <c r="B856" s="466">
        <v>3</v>
      </c>
      <c r="C856" s="466">
        <v>69</v>
      </c>
      <c r="D856" s="424" t="s">
        <v>1460</v>
      </c>
      <c r="E856" s="319" t="s">
        <v>1461</v>
      </c>
      <c r="F856" s="198">
        <v>26803</v>
      </c>
      <c r="G856" s="198">
        <v>26838</v>
      </c>
      <c r="H856" s="199">
        <v>6</v>
      </c>
      <c r="I856" s="791">
        <f>TIME(0,25,55)+TIME(0,25,56)+TIME(0,25,12)+TIME(0,25,47)+TIME(0,25,20)+TIME(0,26, 6)</f>
        <v>0.10712962962962963</v>
      </c>
      <c r="J856" s="904" t="s">
        <v>1588</v>
      </c>
      <c r="K856" s="200" t="s">
        <v>7019</v>
      </c>
      <c r="L856" s="200" t="s">
        <v>7015</v>
      </c>
      <c r="M856" s="200"/>
      <c r="N856" s="200" t="s">
        <v>1088</v>
      </c>
      <c r="O856" s="200" t="s">
        <v>1884</v>
      </c>
      <c r="P856" s="197" t="s">
        <v>461</v>
      </c>
      <c r="Q856" s="200" t="s">
        <v>3946</v>
      </c>
      <c r="R856" s="201" t="s">
        <v>5280</v>
      </c>
      <c r="S856" s="390" t="s">
        <v>1778</v>
      </c>
      <c r="T856" s="197" t="s">
        <v>2597</v>
      </c>
      <c r="U856" s="197" t="s">
        <v>2600</v>
      </c>
      <c r="V856" s="197" t="s">
        <v>2601</v>
      </c>
      <c r="W856" s="318" t="s">
        <v>8688</v>
      </c>
      <c r="X856" s="650" t="s">
        <v>15423</v>
      </c>
      <c r="Y856" s="358" t="s">
        <v>6141</v>
      </c>
      <c r="Z856" s="253">
        <v>12</v>
      </c>
      <c r="AA856" s="253">
        <v>9.5</v>
      </c>
      <c r="AB856" s="35">
        <f t="shared" ca="1" si="15"/>
        <v>0.64497231231048591</v>
      </c>
      <c r="AC856" s="820"/>
      <c r="AD856" s="821" t="s">
        <v>12554</v>
      </c>
      <c r="AE856" s="944"/>
      <c r="AF856" s="925">
        <f>IF(X856=X855,AF855,0)+IF(ISNUMBER(I856),IF(I856&lt;1,I856,I856*VLOOKUP(J856,Summary!$H$2:$I$9,2)),VLOOKUP(J856,Summary!$J$2:$K$9,2)*IF(ISNUMBER(H856),H856,1))</f>
        <v>1.4999884259259257</v>
      </c>
      <c r="AG856" s="293">
        <v>855</v>
      </c>
      <c r="AH856" s="94"/>
      <c r="AI856" s="94"/>
    </row>
    <row r="857" spans="1:36" s="2" customFormat="1" ht="12" customHeight="1" x14ac:dyDescent="0.25">
      <c r="A857" s="588" t="s">
        <v>15470</v>
      </c>
      <c r="B857" s="589" t="s">
        <v>2650</v>
      </c>
      <c r="C857" s="588"/>
      <c r="D857" s="509"/>
      <c r="E857" s="335" t="s">
        <v>15357</v>
      </c>
      <c r="F857" s="223">
        <v>38117</v>
      </c>
      <c r="G857" s="223"/>
      <c r="H857" s="242">
        <v>1</v>
      </c>
      <c r="I857" s="792">
        <f>TIME(0,10,54)</f>
        <v>7.5694444444444446E-3</v>
      </c>
      <c r="J857" s="909" t="s">
        <v>1588</v>
      </c>
      <c r="K857" s="243" t="s">
        <v>4964</v>
      </c>
      <c r="L857" s="243" t="s">
        <v>15358</v>
      </c>
      <c r="M857" s="243"/>
      <c r="N857" s="243"/>
      <c r="O857" s="243" t="s">
        <v>15359</v>
      </c>
      <c r="P857" s="241" t="s">
        <v>461</v>
      </c>
      <c r="Q857" s="243" t="s">
        <v>3946</v>
      </c>
      <c r="R857" s="244" t="s">
        <v>237</v>
      </c>
      <c r="S857" s="395"/>
      <c r="T857" s="241"/>
      <c r="U857" s="241"/>
      <c r="V857" s="241"/>
      <c r="W857" s="335" t="s">
        <v>15357</v>
      </c>
      <c r="X857" s="667" t="s">
        <v>15423</v>
      </c>
      <c r="Y857" s="375" t="s">
        <v>6141</v>
      </c>
      <c r="Z857" s="377"/>
      <c r="AA857" s="377"/>
      <c r="AB857" s="55">
        <f t="shared" ca="1" si="15"/>
        <v>0.49734003966900486</v>
      </c>
      <c r="AC857" s="834"/>
      <c r="AD857" s="835"/>
      <c r="AE857" s="957"/>
      <c r="AF857" s="930">
        <f>IF(X857=X856,AF856,0)+IF(ISNUMBER(I857),IF(I857&lt;1,I857,I857*VLOOKUP(J857,Summary!$H$2:$I$9,2)),VLOOKUP(J857,Summary!$J$2:$K$9,2)*IF(ISNUMBER(H857),H857,1))</f>
        <v>1.5075578703703703</v>
      </c>
      <c r="AG857" s="302">
        <v>856</v>
      </c>
      <c r="AH857" s="94"/>
      <c r="AI857" s="94"/>
      <c r="AJ857" s="43"/>
    </row>
    <row r="858" spans="1:36" s="1" customFormat="1" ht="12" customHeight="1" x14ac:dyDescent="0.25">
      <c r="A858" s="405" t="s">
        <v>15470</v>
      </c>
      <c r="B858" s="405" t="s">
        <v>8364</v>
      </c>
      <c r="C858" s="405">
        <v>8.11</v>
      </c>
      <c r="D858" s="407" t="s">
        <v>8365</v>
      </c>
      <c r="E858" s="315" t="s">
        <v>8366</v>
      </c>
      <c r="F858" s="196">
        <v>41775</v>
      </c>
      <c r="G858" s="170"/>
      <c r="H858" s="170">
        <v>2</v>
      </c>
      <c r="I858" s="746">
        <f>TIME(1,12,5)</f>
        <v>5.0057870370370371E-2</v>
      </c>
      <c r="J858" s="899" t="s">
        <v>4706</v>
      </c>
      <c r="K858" s="167" t="s">
        <v>5658</v>
      </c>
      <c r="L858" s="167" t="s">
        <v>5662</v>
      </c>
      <c r="M858" s="167" t="s">
        <v>8368</v>
      </c>
      <c r="N858" s="167"/>
      <c r="O858" s="167"/>
      <c r="P858" s="168" t="s">
        <v>8367</v>
      </c>
      <c r="Q858" s="167" t="s">
        <v>3947</v>
      </c>
      <c r="R858" s="172" t="s">
        <v>3153</v>
      </c>
      <c r="S858" s="388" t="s">
        <v>1778</v>
      </c>
      <c r="T858" s="168"/>
      <c r="U858" s="168"/>
      <c r="V858" s="168" t="s">
        <v>3535</v>
      </c>
      <c r="W858" s="312" t="s">
        <v>9529</v>
      </c>
      <c r="X858" s="644" t="s">
        <v>15423</v>
      </c>
      <c r="Y858" s="352" t="s">
        <v>5643</v>
      </c>
      <c r="Z858" s="353">
        <v>528</v>
      </c>
      <c r="AA858" s="353">
        <v>4</v>
      </c>
      <c r="AB858" s="31">
        <f t="shared" ca="1" si="15"/>
        <v>0.64548386921970657</v>
      </c>
      <c r="AC858" s="810"/>
      <c r="AD858" s="811"/>
      <c r="AE858" s="940"/>
      <c r="AF858" s="920">
        <f>IF(X858=X857,AF857,0)+IF(ISNUMBER(I858),IF(I858&lt;1,I858,I858*VLOOKUP(J858,Summary!$H$2:$I$9,2)),VLOOKUP(J858,Summary!$J$2:$K$9,2)*IF(ISNUMBER(H858),H858,1))</f>
        <v>1.5576157407407407</v>
      </c>
      <c r="AG858" s="287">
        <v>857</v>
      </c>
      <c r="AH858" s="94"/>
      <c r="AI858" s="94"/>
    </row>
    <row r="859" spans="1:36" s="2" customFormat="1" ht="12" customHeight="1" x14ac:dyDescent="0.25">
      <c r="A859" s="472" t="s">
        <v>15469</v>
      </c>
      <c r="B859" s="472">
        <v>3</v>
      </c>
      <c r="C859" s="473">
        <v>24.17</v>
      </c>
      <c r="D859" s="176" t="s">
        <v>527</v>
      </c>
      <c r="E859" s="313" t="s">
        <v>528</v>
      </c>
      <c r="F859" s="174">
        <v>39264</v>
      </c>
      <c r="G859" s="174"/>
      <c r="H859" s="176">
        <v>1</v>
      </c>
      <c r="I859" s="176">
        <v>10</v>
      </c>
      <c r="J859" s="900" t="s">
        <v>2755</v>
      </c>
      <c r="K859" s="164" t="s">
        <v>7757</v>
      </c>
      <c r="L859" s="164" t="s">
        <v>461</v>
      </c>
      <c r="M859" s="164"/>
      <c r="N859" s="164" t="s">
        <v>4425</v>
      </c>
      <c r="O859" s="164"/>
      <c r="P859" s="173" t="s">
        <v>5601</v>
      </c>
      <c r="Q859" s="164" t="s">
        <v>3947</v>
      </c>
      <c r="R859" s="177" t="s">
        <v>2723</v>
      </c>
      <c r="S859" s="354"/>
      <c r="T859" s="173"/>
      <c r="U859" s="173"/>
      <c r="V859" s="173"/>
      <c r="W859" s="313" t="s">
        <v>528</v>
      </c>
      <c r="X859" s="645" t="s">
        <v>12324</v>
      </c>
      <c r="Y859" s="354"/>
      <c r="Z859" s="176"/>
      <c r="AA859" s="176"/>
      <c r="AB859" s="32">
        <f t="shared" ca="1" si="15"/>
        <v>0.22282944343962297</v>
      </c>
      <c r="AC859" s="812"/>
      <c r="AD859" s="763"/>
      <c r="AE859" s="807"/>
      <c r="AF859" s="921">
        <f>IF(X859=X858,AF858,0)+IF(ISNUMBER(I859),IF(I859&lt;1,I859,I859*VLOOKUP(J859,Summary!$H$2:$I$9,2)),VLOOKUP(J859,Summary!$J$2:$K$9,2)*IF(ISNUMBER(H859),H859,1))</f>
        <v>6.9444444444444449E-3</v>
      </c>
      <c r="AG859" s="289">
        <v>858</v>
      </c>
      <c r="AH859" s="94"/>
      <c r="AI859" s="94"/>
    </row>
    <row r="860" spans="1:36" s="22" customFormat="1" ht="12" customHeight="1" x14ac:dyDescent="0.2">
      <c r="A860" s="465" t="s">
        <v>15469</v>
      </c>
      <c r="B860" s="465">
        <v>3</v>
      </c>
      <c r="C860" s="465">
        <v>7.12</v>
      </c>
      <c r="D860" s="407" t="s">
        <v>2287</v>
      </c>
      <c r="E860" s="315" t="s">
        <v>2288</v>
      </c>
      <c r="F860" s="196">
        <v>41436</v>
      </c>
      <c r="G860" s="170"/>
      <c r="H860" s="170">
        <v>2</v>
      </c>
      <c r="I860" s="746">
        <f>TIME(1,7,18)</f>
        <v>4.673611111111111E-2</v>
      </c>
      <c r="J860" s="899" t="s">
        <v>4706</v>
      </c>
      <c r="K860" s="167" t="s">
        <v>2983</v>
      </c>
      <c r="L860" s="167" t="s">
        <v>5662</v>
      </c>
      <c r="M860" s="167" t="s">
        <v>2289</v>
      </c>
      <c r="N860" s="167"/>
      <c r="O860" s="167"/>
      <c r="P860" s="168" t="s">
        <v>2290</v>
      </c>
      <c r="Q860" s="167" t="s">
        <v>3947</v>
      </c>
      <c r="R860" s="172" t="s">
        <v>3153</v>
      </c>
      <c r="S860" s="388"/>
      <c r="T860" s="168"/>
      <c r="U860" s="168" t="s">
        <v>2600</v>
      </c>
      <c r="V860" s="168"/>
      <c r="W860" s="312" t="s">
        <v>10265</v>
      </c>
      <c r="X860" s="644" t="s">
        <v>12324</v>
      </c>
      <c r="Y860" s="352" t="s">
        <v>5643</v>
      </c>
      <c r="Z860" s="353">
        <v>609</v>
      </c>
      <c r="AA860" s="353">
        <v>3.5</v>
      </c>
      <c r="AB860" s="31">
        <f t="shared" ca="1" si="15"/>
        <v>2.2454900056654625E-2</v>
      </c>
      <c r="AC860" s="810"/>
      <c r="AD860" s="811"/>
      <c r="AE860" s="940"/>
      <c r="AF860" s="920">
        <f>IF(X860=X859,AF859,0)+IF(ISNUMBER(I860),IF(I860&lt;1,I860,I860*VLOOKUP(J860,Summary!$H$2:$I$9,2)),VLOOKUP(J860,Summary!$J$2:$K$9,2)*IF(ISNUMBER(H860),H860,1))</f>
        <v>5.3680555555555558E-2</v>
      </c>
      <c r="AG860" s="287">
        <v>859</v>
      </c>
      <c r="AH860" s="94"/>
      <c r="AI860" s="94"/>
    </row>
    <row r="861" spans="1:36" s="22" customFormat="1" ht="12" customHeight="1" x14ac:dyDescent="0.25">
      <c r="A861" s="469" t="s">
        <v>15469</v>
      </c>
      <c r="B861" s="469">
        <v>3</v>
      </c>
      <c r="C861" s="470" t="s">
        <v>12684</v>
      </c>
      <c r="D861" s="192" t="s">
        <v>12685</v>
      </c>
      <c r="E861" s="317" t="s">
        <v>12686</v>
      </c>
      <c r="F861" s="209">
        <v>43098</v>
      </c>
      <c r="G861" s="209"/>
      <c r="H861" s="192" t="s">
        <v>461</v>
      </c>
      <c r="I861" s="753">
        <f>TIME(0,37,48)</f>
        <v>2.6249999999999999E-2</v>
      </c>
      <c r="J861" s="903" t="s">
        <v>2755</v>
      </c>
      <c r="K861" s="194" t="s">
        <v>12687</v>
      </c>
      <c r="L861" s="194" t="s">
        <v>10635</v>
      </c>
      <c r="M861" s="194" t="s">
        <v>4549</v>
      </c>
      <c r="N861" s="194"/>
      <c r="O861" s="194"/>
      <c r="P861" s="190" t="s">
        <v>12688</v>
      </c>
      <c r="Q861" s="194" t="s">
        <v>3947</v>
      </c>
      <c r="R861" s="193" t="s">
        <v>2722</v>
      </c>
      <c r="S861" s="357"/>
      <c r="T861" s="190"/>
      <c r="U861" s="190"/>
      <c r="V861" s="190"/>
      <c r="W861" s="317" t="s">
        <v>12686</v>
      </c>
      <c r="X861" s="649" t="s">
        <v>12324</v>
      </c>
      <c r="Y861" s="357" t="s">
        <v>5643</v>
      </c>
      <c r="Z861" s="192"/>
      <c r="AA861" s="192"/>
      <c r="AB861" s="37">
        <f t="shared" ca="1" si="15"/>
        <v>0.5758465554714054</v>
      </c>
      <c r="AC861" s="816"/>
      <c r="AD861" s="817"/>
      <c r="AE861" s="943"/>
      <c r="AF861" s="924">
        <f>IF(X861=X860,AF860,0)+IF(ISNUMBER(I861),IF(I861&lt;1,I861,I861*VLOOKUP(J861,Summary!$H$2:$I$9,2)),VLOOKUP(J861,Summary!$J$2:$K$9,2)*IF(ISNUMBER(H861),H861,1))</f>
        <v>7.993055555555556E-2</v>
      </c>
      <c r="AG861" s="292">
        <v>860</v>
      </c>
      <c r="AH861" s="94"/>
      <c r="AI861" s="94"/>
    </row>
    <row r="862" spans="1:36" s="1" customFormat="1" ht="12" customHeight="1" x14ac:dyDescent="0.25">
      <c r="A862" s="467" t="s">
        <v>15469</v>
      </c>
      <c r="B862" s="467">
        <v>3</v>
      </c>
      <c r="C862" s="467"/>
      <c r="D862" s="185" t="s">
        <v>4227</v>
      </c>
      <c r="E862" s="314" t="s">
        <v>4310</v>
      </c>
      <c r="F862" s="184">
        <v>26082</v>
      </c>
      <c r="G862" s="184">
        <v>26131</v>
      </c>
      <c r="H862" s="185">
        <v>8</v>
      </c>
      <c r="I862" s="185">
        <v>16</v>
      </c>
      <c r="J862" s="901" t="s">
        <v>1796</v>
      </c>
      <c r="K862" s="163" t="s">
        <v>3548</v>
      </c>
      <c r="L862" s="163" t="s">
        <v>3545</v>
      </c>
      <c r="M862" s="163"/>
      <c r="N862" s="163"/>
      <c r="O862" s="163"/>
      <c r="P862" s="182" t="s">
        <v>461</v>
      </c>
      <c r="Q862" s="163" t="s">
        <v>3546</v>
      </c>
      <c r="R862" s="186" t="s">
        <v>4602</v>
      </c>
      <c r="S862" s="355"/>
      <c r="T862" s="182"/>
      <c r="U862" s="182"/>
      <c r="V862" s="182"/>
      <c r="W862" s="328"/>
      <c r="X862" s="660" t="s">
        <v>12324</v>
      </c>
      <c r="Y862" s="355"/>
      <c r="Z862" s="185"/>
      <c r="AA862" s="185"/>
      <c r="AB862" s="33">
        <f t="shared" ca="1" si="15"/>
        <v>0.29447795435323321</v>
      </c>
      <c r="AC862" s="813"/>
      <c r="AD862" s="211"/>
      <c r="AE862" s="875"/>
      <c r="AF862" s="922">
        <f>IF(X862=X861,AF861,0)+IF(ISNUMBER(I862),IF(I862&lt;1,I862,I862*VLOOKUP(J862,Summary!$H$2:$I$9,2)),VLOOKUP(J862,Summary!$J$2:$K$9,2)*IF(ISNUMBER(H862),H862,1))</f>
        <v>8.548611111111111E-2</v>
      </c>
      <c r="AG862" s="290">
        <v>861</v>
      </c>
      <c r="AH862" s="94"/>
      <c r="AI862" s="94"/>
    </row>
    <row r="863" spans="1:36" s="22" customFormat="1" ht="12" customHeight="1" x14ac:dyDescent="0.25">
      <c r="A863" s="472" t="s">
        <v>15469</v>
      </c>
      <c r="B863" s="472">
        <v>3</v>
      </c>
      <c r="C863" s="473">
        <v>23.01</v>
      </c>
      <c r="D863" s="176" t="s">
        <v>525</v>
      </c>
      <c r="E863" s="313" t="s">
        <v>3974</v>
      </c>
      <c r="F863" s="174">
        <v>39234</v>
      </c>
      <c r="G863" s="174"/>
      <c r="H863" s="176">
        <v>1</v>
      </c>
      <c r="I863" s="176">
        <v>17</v>
      </c>
      <c r="J863" s="900" t="s">
        <v>2755</v>
      </c>
      <c r="K863" s="164" t="s">
        <v>526</v>
      </c>
      <c r="L863" s="164" t="s">
        <v>461</v>
      </c>
      <c r="M863" s="164"/>
      <c r="N863" s="164" t="s">
        <v>804</v>
      </c>
      <c r="O863" s="164"/>
      <c r="P863" s="173" t="s">
        <v>6700</v>
      </c>
      <c r="Q863" s="164" t="s">
        <v>3947</v>
      </c>
      <c r="R863" s="177" t="s">
        <v>2723</v>
      </c>
      <c r="S863" s="354"/>
      <c r="T863" s="173"/>
      <c r="U863" s="173"/>
      <c r="V863" s="173"/>
      <c r="W863" s="313" t="s">
        <v>3974</v>
      </c>
      <c r="X863" s="645" t="s">
        <v>12324</v>
      </c>
      <c r="Y863" s="354"/>
      <c r="Z863" s="176"/>
      <c r="AA863" s="176"/>
      <c r="AB863" s="32">
        <f t="shared" ca="1" si="15"/>
        <v>0.13783965101056306</v>
      </c>
      <c r="AC863" s="812"/>
      <c r="AD863" s="763"/>
      <c r="AE863" s="807"/>
      <c r="AF863" s="921">
        <f>IF(X863=X862,AF862,0)+IF(ISNUMBER(I863),IF(I863&lt;1,I863,I863*VLOOKUP(J863,Summary!$H$2:$I$9,2)),VLOOKUP(J863,Summary!$J$2:$K$9,2)*IF(ISNUMBER(H863),H863,1))</f>
        <v>9.7291666666666665E-2</v>
      </c>
      <c r="AG863" s="289">
        <v>862</v>
      </c>
      <c r="AH863" s="94"/>
      <c r="AI863" s="94"/>
    </row>
    <row r="864" spans="1:36" s="29" customFormat="1" ht="12" customHeight="1" x14ac:dyDescent="0.25">
      <c r="A864" s="465" t="s">
        <v>15469</v>
      </c>
      <c r="B864" s="465">
        <v>3</v>
      </c>
      <c r="C864" s="465">
        <v>6.0019999999999998</v>
      </c>
      <c r="D864" s="407" t="s">
        <v>4316</v>
      </c>
      <c r="E864" s="315" t="s">
        <v>5462</v>
      </c>
      <c r="F864" s="169">
        <v>40026</v>
      </c>
      <c r="G864" s="170"/>
      <c r="H864" s="170">
        <v>4</v>
      </c>
      <c r="I864" s="746">
        <f>TIME(1,1,23)</f>
        <v>4.2627314814814819E-2</v>
      </c>
      <c r="J864" s="899" t="s">
        <v>4706</v>
      </c>
      <c r="K864" s="167" t="s">
        <v>941</v>
      </c>
      <c r="L864" s="167" t="s">
        <v>5662</v>
      </c>
      <c r="M864" s="167" t="s">
        <v>8062</v>
      </c>
      <c r="N864" s="167"/>
      <c r="O864" s="167"/>
      <c r="P864" s="168" t="s">
        <v>9202</v>
      </c>
      <c r="Q864" s="167" t="s">
        <v>3947</v>
      </c>
      <c r="R864" s="172" t="s">
        <v>3153</v>
      </c>
      <c r="S864" s="388"/>
      <c r="T864" s="168" t="s">
        <v>2597</v>
      </c>
      <c r="U864" s="168"/>
      <c r="V864" s="168"/>
      <c r="W864" s="312" t="s">
        <v>10166</v>
      </c>
      <c r="X864" s="644" t="s">
        <v>12324</v>
      </c>
      <c r="Y864" s="352" t="s">
        <v>5643</v>
      </c>
      <c r="Z864" s="353">
        <v>338</v>
      </c>
      <c r="AA864" s="353">
        <v>5</v>
      </c>
      <c r="AB864" s="31">
        <f t="shared" ca="1" si="15"/>
        <v>0.83066822104678872</v>
      </c>
      <c r="AC864" s="810"/>
      <c r="AD864" s="811"/>
      <c r="AE864" s="940"/>
      <c r="AF864" s="920">
        <f>IF(X864=X863,AF863,0)+IF(ISNUMBER(I864),IF(I864&lt;1,I864,I864*VLOOKUP(J864,Summary!$H$2:$I$9,2)),VLOOKUP(J864,Summary!$J$2:$K$9,2)*IF(ISNUMBER(H864),H864,1))</f>
        <v>0.13991898148148149</v>
      </c>
      <c r="AG864" s="287">
        <v>863</v>
      </c>
      <c r="AH864" s="94"/>
      <c r="AI864" s="94"/>
    </row>
    <row r="865" spans="1:35" s="29" customFormat="1" ht="12" customHeight="1" x14ac:dyDescent="0.25">
      <c r="A865" s="465" t="s">
        <v>15469</v>
      </c>
      <c r="B865" s="465">
        <v>3</v>
      </c>
      <c r="C865" s="471">
        <v>4.03</v>
      </c>
      <c r="D865" s="407" t="s">
        <v>709</v>
      </c>
      <c r="E865" s="315" t="s">
        <v>1462</v>
      </c>
      <c r="F865" s="169">
        <v>40057</v>
      </c>
      <c r="G865" s="170"/>
      <c r="H865" s="170">
        <v>2</v>
      </c>
      <c r="I865" s="746">
        <f>TIME(1,6,32)</f>
        <v>4.6203703703703698E-2</v>
      </c>
      <c r="J865" s="899" t="s">
        <v>4706</v>
      </c>
      <c r="K865" s="167" t="s">
        <v>180</v>
      </c>
      <c r="L865" s="167" t="s">
        <v>5460</v>
      </c>
      <c r="M865" s="167" t="s">
        <v>8046</v>
      </c>
      <c r="N865" s="167"/>
      <c r="O865" s="167"/>
      <c r="P865" s="168" t="s">
        <v>9180</v>
      </c>
      <c r="Q865" s="167" t="s">
        <v>3947</v>
      </c>
      <c r="R865" s="172" t="s">
        <v>3153</v>
      </c>
      <c r="S865" s="388"/>
      <c r="T865" s="168"/>
      <c r="U865" s="168"/>
      <c r="V865" s="168"/>
      <c r="W865" s="312" t="s">
        <v>10104</v>
      </c>
      <c r="X865" s="644" t="s">
        <v>12324</v>
      </c>
      <c r="Y865" s="352" t="s">
        <v>5398</v>
      </c>
      <c r="Z865" s="353">
        <v>472</v>
      </c>
      <c r="AA865" s="353">
        <v>4</v>
      </c>
      <c r="AB865" s="31">
        <f t="shared" ca="1" si="15"/>
        <v>0.77609386147586956</v>
      </c>
      <c r="AC865" s="810"/>
      <c r="AD865" s="811" t="s">
        <v>16382</v>
      </c>
      <c r="AE865" s="940" t="s">
        <v>15062</v>
      </c>
      <c r="AF865" s="920">
        <f>IF(X865=X864,AF864,0)+IF(ISNUMBER(I865),IF(I865&lt;1,I865,I865*VLOOKUP(J865,Summary!$H$2:$I$9,2)),VLOOKUP(J865,Summary!$J$2:$K$9,2)*IF(ISNUMBER(H865),H865,1))</f>
        <v>0.18612268518518518</v>
      </c>
      <c r="AG865" s="287">
        <v>864</v>
      </c>
      <c r="AH865" s="94"/>
      <c r="AI865" s="94"/>
    </row>
    <row r="866" spans="1:35" s="3" customFormat="1" ht="12" customHeight="1" x14ac:dyDescent="0.25">
      <c r="A866" s="467" t="s">
        <v>15469</v>
      </c>
      <c r="B866" s="467">
        <v>3</v>
      </c>
      <c r="C866" s="467"/>
      <c r="D866" s="185" t="s">
        <v>4228</v>
      </c>
      <c r="E866" s="314" t="s">
        <v>4311</v>
      </c>
      <c r="F866" s="184">
        <v>26138</v>
      </c>
      <c r="G866" s="184">
        <v>26201</v>
      </c>
      <c r="H866" s="185">
        <v>10</v>
      </c>
      <c r="I866" s="185">
        <v>20</v>
      </c>
      <c r="J866" s="901" t="s">
        <v>1796</v>
      </c>
      <c r="K866" s="163" t="s">
        <v>3548</v>
      </c>
      <c r="L866" s="163" t="s">
        <v>3545</v>
      </c>
      <c r="M866" s="163"/>
      <c r="N866" s="163"/>
      <c r="O866" s="163"/>
      <c r="P866" s="182" t="s">
        <v>461</v>
      </c>
      <c r="Q866" s="163" t="s">
        <v>3546</v>
      </c>
      <c r="R866" s="186" t="s">
        <v>4602</v>
      </c>
      <c r="S866" s="355"/>
      <c r="T866" s="182"/>
      <c r="U866" s="182"/>
      <c r="V866" s="182"/>
      <c r="W866" s="328"/>
      <c r="X866" s="660" t="s">
        <v>12324</v>
      </c>
      <c r="Y866" s="355"/>
      <c r="Z866" s="185"/>
      <c r="AA866" s="185"/>
      <c r="AB866" s="33">
        <f t="shared" ca="1" si="15"/>
        <v>0.37780717907740069</v>
      </c>
      <c r="AC866" s="813"/>
      <c r="AD866" s="211"/>
      <c r="AE866" s="875"/>
      <c r="AF866" s="922">
        <f>IF(X866=X865,AF865,0)+IF(ISNUMBER(I866),IF(I866&lt;1,I866,I866*VLOOKUP(J866,Summary!$H$2:$I$9,2)),VLOOKUP(J866,Summary!$J$2:$K$9,2)*IF(ISNUMBER(H866),H866,1))</f>
        <v>0.19306712962962963</v>
      </c>
      <c r="AG866" s="290">
        <v>865</v>
      </c>
      <c r="AH866" s="94"/>
      <c r="AI866" s="94"/>
    </row>
    <row r="867" spans="1:35" s="22" customFormat="1" ht="12" customHeight="1" x14ac:dyDescent="0.2">
      <c r="A867" s="467" t="s">
        <v>15469</v>
      </c>
      <c r="B867" s="467">
        <v>3</v>
      </c>
      <c r="C867" s="467"/>
      <c r="D867" s="185" t="s">
        <v>4229</v>
      </c>
      <c r="E867" s="314" t="s">
        <v>4312</v>
      </c>
      <c r="F867" s="184">
        <v>26208</v>
      </c>
      <c r="G867" s="184">
        <v>26250</v>
      </c>
      <c r="H867" s="185">
        <v>7</v>
      </c>
      <c r="I867" s="185">
        <v>14</v>
      </c>
      <c r="J867" s="901" t="s">
        <v>1796</v>
      </c>
      <c r="K867" s="163" t="s">
        <v>4230</v>
      </c>
      <c r="L867" s="163" t="s">
        <v>4231</v>
      </c>
      <c r="M867" s="163"/>
      <c r="N867" s="163"/>
      <c r="O867" s="163"/>
      <c r="P867" s="182" t="s">
        <v>461</v>
      </c>
      <c r="Q867" s="163" t="s">
        <v>3546</v>
      </c>
      <c r="R867" s="186" t="s">
        <v>4602</v>
      </c>
      <c r="S867" s="355"/>
      <c r="T867" s="182"/>
      <c r="U867" s="182"/>
      <c r="V867" s="182"/>
      <c r="W867" s="328"/>
      <c r="X867" s="660" t="s">
        <v>12324</v>
      </c>
      <c r="Y867" s="355"/>
      <c r="Z867" s="185"/>
      <c r="AA867" s="185"/>
      <c r="AB867" s="33">
        <f t="shared" ca="1" si="15"/>
        <v>0.80395795955674176</v>
      </c>
      <c r="AC867" s="813"/>
      <c r="AD867" s="836"/>
      <c r="AE867" s="875"/>
      <c r="AF867" s="922">
        <f>IF(X867=X866,AF866,0)+IF(ISNUMBER(I867),IF(I867&lt;1,I867,I867*VLOOKUP(J867,Summary!$H$2:$I$9,2)),VLOOKUP(J867,Summary!$J$2:$K$9,2)*IF(ISNUMBER(H867),H867,1))</f>
        <v>0.19792824074074075</v>
      </c>
      <c r="AG867" s="290">
        <v>866</v>
      </c>
      <c r="AH867" s="94"/>
      <c r="AI867" s="94"/>
    </row>
    <row r="868" spans="1:35" s="1" customFormat="1" ht="12" customHeight="1" x14ac:dyDescent="0.25">
      <c r="A868" s="467" t="s">
        <v>15469</v>
      </c>
      <c r="B868" s="467">
        <v>3</v>
      </c>
      <c r="C868" s="467"/>
      <c r="D868" s="185" t="s">
        <v>4233</v>
      </c>
      <c r="E868" s="314" t="s">
        <v>1689</v>
      </c>
      <c r="F868" s="185">
        <v>1971</v>
      </c>
      <c r="G868" s="184"/>
      <c r="H868" s="185">
        <v>1</v>
      </c>
      <c r="I868" s="185">
        <v>8</v>
      </c>
      <c r="J868" s="901" t="s">
        <v>1796</v>
      </c>
      <c r="K868" s="163" t="s">
        <v>5784</v>
      </c>
      <c r="L868" s="163" t="s">
        <v>4232</v>
      </c>
      <c r="M868" s="163"/>
      <c r="N868" s="163"/>
      <c r="O868" s="163"/>
      <c r="P868" s="182" t="s">
        <v>461</v>
      </c>
      <c r="Q868" s="163" t="s">
        <v>3546</v>
      </c>
      <c r="R868" s="186" t="s">
        <v>4602</v>
      </c>
      <c r="S868" s="355"/>
      <c r="T868" s="182"/>
      <c r="U868" s="182"/>
      <c r="V868" s="182"/>
      <c r="W868" s="314" t="s">
        <v>1689</v>
      </c>
      <c r="X868" s="646" t="s">
        <v>12324</v>
      </c>
      <c r="Y868" s="355"/>
      <c r="Z868" s="185"/>
      <c r="AA868" s="185"/>
      <c r="AB868" s="33">
        <f t="shared" ca="1" si="15"/>
        <v>0.73120195969629531</v>
      </c>
      <c r="AC868" s="813"/>
      <c r="AD868" s="211"/>
      <c r="AE868" s="949"/>
      <c r="AF868" s="922">
        <f>IF(X868=X867,AF867,0)+IF(ISNUMBER(I868),IF(I868&lt;1,I868,I868*VLOOKUP(J868,Summary!$H$2:$I$9,2)),VLOOKUP(J868,Summary!$J$2:$K$9,2)*IF(ISNUMBER(H868),H868,1))</f>
        <v>0.20070601851851852</v>
      </c>
      <c r="AG868" s="295">
        <v>867</v>
      </c>
      <c r="AH868" s="94"/>
      <c r="AI868" s="94"/>
    </row>
    <row r="869" spans="1:35" s="2" customFormat="1" ht="12" customHeight="1" x14ac:dyDescent="0.25">
      <c r="A869" s="467" t="s">
        <v>15469</v>
      </c>
      <c r="B869" s="467">
        <v>3</v>
      </c>
      <c r="C869" s="467"/>
      <c r="D869" s="185" t="s">
        <v>4234</v>
      </c>
      <c r="E869" s="314" t="s">
        <v>1690</v>
      </c>
      <c r="F869" s="184">
        <v>26257</v>
      </c>
      <c r="G869" s="184">
        <v>26300</v>
      </c>
      <c r="H869" s="185">
        <v>7</v>
      </c>
      <c r="I869" s="185">
        <v>14</v>
      </c>
      <c r="J869" s="901" t="s">
        <v>1796</v>
      </c>
      <c r="K869" s="163" t="s">
        <v>3548</v>
      </c>
      <c r="L869" s="163" t="s">
        <v>3545</v>
      </c>
      <c r="M869" s="163"/>
      <c r="N869" s="163"/>
      <c r="O869" s="163"/>
      <c r="P869" s="182" t="s">
        <v>461</v>
      </c>
      <c r="Q869" s="163" t="s">
        <v>3546</v>
      </c>
      <c r="R869" s="186" t="s">
        <v>4602</v>
      </c>
      <c r="S869" s="355"/>
      <c r="T869" s="182"/>
      <c r="U869" s="182"/>
      <c r="V869" s="182"/>
      <c r="W869" s="328"/>
      <c r="X869" s="660" t="s">
        <v>12324</v>
      </c>
      <c r="Y869" s="355"/>
      <c r="Z869" s="185"/>
      <c r="AA869" s="185"/>
      <c r="AB869" s="33">
        <f t="shared" ca="1" si="15"/>
        <v>0.92947091923232728</v>
      </c>
      <c r="AC869" s="813"/>
      <c r="AD869" s="211"/>
      <c r="AE869" s="875"/>
      <c r="AF869" s="922">
        <f>IF(X869=X868,AF868,0)+IF(ISNUMBER(I869),IF(I869&lt;1,I869,I869*VLOOKUP(J869,Summary!$H$2:$I$9,2)),VLOOKUP(J869,Summary!$J$2:$K$9,2)*IF(ISNUMBER(H869),H869,1))</f>
        <v>0.20556712962962964</v>
      </c>
      <c r="AG869" s="290">
        <v>868</v>
      </c>
      <c r="AH869" s="94"/>
      <c r="AI869" s="94"/>
    </row>
    <row r="870" spans="1:35" s="3" customFormat="1" ht="12" customHeight="1" x14ac:dyDescent="0.25">
      <c r="A870" s="467" t="s">
        <v>15469</v>
      </c>
      <c r="B870" s="467">
        <v>3</v>
      </c>
      <c r="C870" s="467"/>
      <c r="D870" s="185" t="s">
        <v>4235</v>
      </c>
      <c r="E870" s="314" t="s">
        <v>1691</v>
      </c>
      <c r="F870" s="184">
        <v>26308</v>
      </c>
      <c r="G870" s="184">
        <v>26355</v>
      </c>
      <c r="H870" s="185">
        <v>8</v>
      </c>
      <c r="I870" s="185">
        <v>16</v>
      </c>
      <c r="J870" s="901" t="s">
        <v>1796</v>
      </c>
      <c r="K870" s="163" t="s">
        <v>3548</v>
      </c>
      <c r="L870" s="163" t="s">
        <v>3547</v>
      </c>
      <c r="M870" s="163"/>
      <c r="N870" s="163"/>
      <c r="O870" s="163"/>
      <c r="P870" s="182" t="s">
        <v>461</v>
      </c>
      <c r="Q870" s="163" t="s">
        <v>3546</v>
      </c>
      <c r="R870" s="186" t="s">
        <v>4602</v>
      </c>
      <c r="S870" s="355"/>
      <c r="T870" s="182"/>
      <c r="U870" s="182"/>
      <c r="V870" s="182"/>
      <c r="W870" s="328"/>
      <c r="X870" s="660" t="s">
        <v>12324</v>
      </c>
      <c r="Y870" s="355"/>
      <c r="Z870" s="185"/>
      <c r="AA870" s="185"/>
      <c r="AB870" s="33">
        <f t="shared" ca="1" si="15"/>
        <v>0.9802275010566146</v>
      </c>
      <c r="AC870" s="813"/>
      <c r="AD870" s="211"/>
      <c r="AE870" s="875"/>
      <c r="AF870" s="922">
        <f>IF(X870=X869,AF869,0)+IF(ISNUMBER(I870),IF(I870&lt;1,I870,I870*VLOOKUP(J870,Summary!$H$2:$I$9,2)),VLOOKUP(J870,Summary!$J$2:$K$9,2)*IF(ISNUMBER(H870),H870,1))</f>
        <v>0.2111226851851852</v>
      </c>
      <c r="AG870" s="290">
        <v>869</v>
      </c>
      <c r="AH870" s="94"/>
      <c r="AI870" s="94"/>
    </row>
    <row r="871" spans="1:35" s="22" customFormat="1" ht="12" customHeight="1" x14ac:dyDescent="0.2">
      <c r="A871" s="467" t="s">
        <v>15469</v>
      </c>
      <c r="B871" s="467">
        <v>3</v>
      </c>
      <c r="C871" s="467"/>
      <c r="D871" s="185" t="s">
        <v>4236</v>
      </c>
      <c r="E871" s="314" t="s">
        <v>1692</v>
      </c>
      <c r="F871" s="184">
        <v>26362</v>
      </c>
      <c r="G871" s="184">
        <v>26411</v>
      </c>
      <c r="H871" s="185">
        <v>8</v>
      </c>
      <c r="I871" s="185">
        <v>20</v>
      </c>
      <c r="J871" s="901" t="s">
        <v>1796</v>
      </c>
      <c r="K871" s="163" t="s">
        <v>3548</v>
      </c>
      <c r="L871" s="163" t="s">
        <v>3547</v>
      </c>
      <c r="M871" s="163"/>
      <c r="N871" s="163"/>
      <c r="O871" s="163"/>
      <c r="P871" s="182" t="s">
        <v>461</v>
      </c>
      <c r="Q871" s="163" t="s">
        <v>3546</v>
      </c>
      <c r="R871" s="186" t="s">
        <v>4602</v>
      </c>
      <c r="S871" s="355"/>
      <c r="T871" s="182"/>
      <c r="U871" s="182"/>
      <c r="V871" s="182"/>
      <c r="W871" s="328"/>
      <c r="X871" s="660" t="s">
        <v>12324</v>
      </c>
      <c r="Y871" s="355"/>
      <c r="Z871" s="185"/>
      <c r="AA871" s="185"/>
      <c r="AB871" s="33">
        <f t="shared" ca="1" si="15"/>
        <v>6.2676338862089009E-2</v>
      </c>
      <c r="AC871" s="813"/>
      <c r="AD871" s="211"/>
      <c r="AE871" s="875"/>
      <c r="AF871" s="922">
        <f>IF(X871=X870,AF870,0)+IF(ISNUMBER(I871),IF(I871&lt;1,I871,I871*VLOOKUP(J871,Summary!$H$2:$I$9,2)),VLOOKUP(J871,Summary!$J$2:$K$9,2)*IF(ISNUMBER(H871),H871,1))</f>
        <v>0.21806712962962965</v>
      </c>
      <c r="AG871" s="290">
        <v>870</v>
      </c>
      <c r="AH871" s="94"/>
      <c r="AI871" s="94"/>
    </row>
    <row r="872" spans="1:35" s="22" customFormat="1" ht="12" customHeight="1" x14ac:dyDescent="0.2">
      <c r="A872" s="467" t="s">
        <v>15469</v>
      </c>
      <c r="B872" s="467">
        <v>3</v>
      </c>
      <c r="C872" s="467"/>
      <c r="D872" s="185" t="s">
        <v>4237</v>
      </c>
      <c r="E872" s="314" t="s">
        <v>1698</v>
      </c>
      <c r="F872" s="184">
        <v>26418</v>
      </c>
      <c r="G872" s="184">
        <v>26467</v>
      </c>
      <c r="H872" s="185">
        <v>8</v>
      </c>
      <c r="I872" s="185">
        <v>24</v>
      </c>
      <c r="J872" s="901" t="s">
        <v>1796</v>
      </c>
      <c r="K872" s="163" t="s">
        <v>3548</v>
      </c>
      <c r="L872" s="163" t="s">
        <v>3547</v>
      </c>
      <c r="M872" s="163"/>
      <c r="N872" s="163"/>
      <c r="O872" s="163"/>
      <c r="P872" s="182" t="s">
        <v>461</v>
      </c>
      <c r="Q872" s="163" t="s">
        <v>3546</v>
      </c>
      <c r="R872" s="186" t="s">
        <v>4602</v>
      </c>
      <c r="S872" s="355"/>
      <c r="T872" s="403"/>
      <c r="U872" s="182"/>
      <c r="V872" s="182"/>
      <c r="W872" s="328"/>
      <c r="X872" s="660" t="s">
        <v>12324</v>
      </c>
      <c r="Y872" s="355"/>
      <c r="Z872" s="185"/>
      <c r="AA872" s="185"/>
      <c r="AB872" s="33">
        <f t="shared" ca="1" si="15"/>
        <v>0.38533575793598174</v>
      </c>
      <c r="AC872" s="813"/>
      <c r="AD872" s="211"/>
      <c r="AE872" s="875"/>
      <c r="AF872" s="922">
        <f>IF(X872=X871,AF871,0)+IF(ISNUMBER(I872),IF(I872&lt;1,I872,I872*VLOOKUP(J872,Summary!$H$2:$I$9,2)),VLOOKUP(J872,Summary!$J$2:$K$9,2)*IF(ISNUMBER(H872),H872,1))</f>
        <v>0.22640046296296298</v>
      </c>
      <c r="AG872" s="290">
        <v>871</v>
      </c>
      <c r="AH872" s="94"/>
      <c r="AI872" s="94"/>
    </row>
    <row r="873" spans="1:35" s="22" customFormat="1" ht="12" customHeight="1" x14ac:dyDescent="0.25">
      <c r="A873" s="472" t="s">
        <v>15469</v>
      </c>
      <c r="B873" s="472">
        <v>3</v>
      </c>
      <c r="C873" s="472"/>
      <c r="D873" s="176" t="s">
        <v>12107</v>
      </c>
      <c r="E873" s="313" t="s">
        <v>12106</v>
      </c>
      <c r="F873" s="224">
        <v>26481</v>
      </c>
      <c r="G873" s="175"/>
      <c r="H873" s="176" t="s">
        <v>461</v>
      </c>
      <c r="I873" s="176"/>
      <c r="J873" s="900" t="s">
        <v>2755</v>
      </c>
      <c r="K873" s="164" t="s">
        <v>5784</v>
      </c>
      <c r="L873" s="164"/>
      <c r="M873" s="164"/>
      <c r="N873" s="164"/>
      <c r="O873" s="164"/>
      <c r="P873" s="173" t="s">
        <v>461</v>
      </c>
      <c r="Q873" s="164" t="s">
        <v>3546</v>
      </c>
      <c r="R873" s="177" t="s">
        <v>4602</v>
      </c>
      <c r="S873" s="354"/>
      <c r="T873" s="173"/>
      <c r="U873" s="173"/>
      <c r="V873" s="173"/>
      <c r="W873" s="329" t="s">
        <v>12106</v>
      </c>
      <c r="X873" s="661" t="s">
        <v>12324</v>
      </c>
      <c r="Y873" s="354"/>
      <c r="Z873" s="176"/>
      <c r="AA873" s="176"/>
      <c r="AB873" s="32">
        <f t="shared" ca="1" si="15"/>
        <v>0.63999651313864414</v>
      </c>
      <c r="AC873" s="812"/>
      <c r="AD873" s="763"/>
      <c r="AE873" s="878"/>
      <c r="AF873" s="921">
        <f>IF(X873=X872,AF872,0)+IF(ISNUMBER(I873),IF(I873&lt;1,I873,I873*VLOOKUP(J873,Summary!$H$2:$I$9,2)),VLOOKUP(J873,Summary!$J$2:$K$9,2)*IF(ISNUMBER(H873),H873,1))</f>
        <v>0.24376157407407409</v>
      </c>
      <c r="AG873" s="289">
        <v>872</v>
      </c>
      <c r="AH873" s="94"/>
      <c r="AI873" s="94"/>
    </row>
    <row r="874" spans="1:35" s="22" customFormat="1" ht="12" customHeight="1" x14ac:dyDescent="0.2">
      <c r="A874" s="467" t="s">
        <v>15469</v>
      </c>
      <c r="B874" s="467">
        <v>3</v>
      </c>
      <c r="C874" s="467"/>
      <c r="D874" s="185" t="s">
        <v>4238</v>
      </c>
      <c r="E874" s="314" t="s">
        <v>1693</v>
      </c>
      <c r="F874" s="184">
        <v>26474</v>
      </c>
      <c r="G874" s="184">
        <v>26523</v>
      </c>
      <c r="H874" s="185">
        <v>8</v>
      </c>
      <c r="I874" s="185">
        <v>24</v>
      </c>
      <c r="J874" s="901" t="s">
        <v>1796</v>
      </c>
      <c r="K874" s="163" t="s">
        <v>3548</v>
      </c>
      <c r="L874" s="163" t="s">
        <v>3547</v>
      </c>
      <c r="M874" s="163"/>
      <c r="N874" s="163"/>
      <c r="O874" s="163"/>
      <c r="P874" s="182" t="s">
        <v>461</v>
      </c>
      <c r="Q874" s="163" t="s">
        <v>3546</v>
      </c>
      <c r="R874" s="186" t="s">
        <v>4602</v>
      </c>
      <c r="S874" s="355"/>
      <c r="T874" s="182"/>
      <c r="U874" s="182"/>
      <c r="V874" s="182"/>
      <c r="W874" s="328"/>
      <c r="X874" s="660" t="s">
        <v>12324</v>
      </c>
      <c r="Y874" s="355"/>
      <c r="Z874" s="185"/>
      <c r="AA874" s="185"/>
      <c r="AB874" s="33">
        <f t="shared" ca="1" si="15"/>
        <v>0.31307468450378373</v>
      </c>
      <c r="AC874" s="813"/>
      <c r="AD874" s="211"/>
      <c r="AE874" s="875"/>
      <c r="AF874" s="922">
        <f>IF(X874=X873,AF873,0)+IF(ISNUMBER(I874),IF(I874&lt;1,I874,I874*VLOOKUP(J874,Summary!$H$2:$I$9,2)),VLOOKUP(J874,Summary!$J$2:$K$9,2)*IF(ISNUMBER(H874),H874,1))</f>
        <v>0.25209490740740742</v>
      </c>
      <c r="AG874" s="290">
        <v>873</v>
      </c>
      <c r="AH874" s="94"/>
      <c r="AI874" s="94"/>
    </row>
    <row r="875" spans="1:35" s="3" customFormat="1" ht="12" customHeight="1" x14ac:dyDescent="0.25">
      <c r="A875" s="467" t="s">
        <v>15469</v>
      </c>
      <c r="B875" s="467">
        <v>3</v>
      </c>
      <c r="C875" s="467"/>
      <c r="D875" s="185" t="s">
        <v>4239</v>
      </c>
      <c r="E875" s="314" t="s">
        <v>1694</v>
      </c>
      <c r="F875" s="184">
        <v>26530</v>
      </c>
      <c r="G875" s="184">
        <v>26593</v>
      </c>
      <c r="H875" s="185">
        <v>10</v>
      </c>
      <c r="I875" s="185">
        <v>30</v>
      </c>
      <c r="J875" s="901" t="s">
        <v>1796</v>
      </c>
      <c r="K875" s="163" t="s">
        <v>3548</v>
      </c>
      <c r="L875" s="163" t="s">
        <v>3547</v>
      </c>
      <c r="M875" s="163"/>
      <c r="N875" s="163"/>
      <c r="O875" s="163"/>
      <c r="P875" s="182" t="s">
        <v>461</v>
      </c>
      <c r="Q875" s="163" t="s">
        <v>3546</v>
      </c>
      <c r="R875" s="186" t="s">
        <v>4602</v>
      </c>
      <c r="S875" s="355"/>
      <c r="T875" s="182"/>
      <c r="U875" s="182"/>
      <c r="V875" s="182"/>
      <c r="W875" s="328"/>
      <c r="X875" s="660" t="s">
        <v>12324</v>
      </c>
      <c r="Y875" s="355"/>
      <c r="Z875" s="185"/>
      <c r="AA875" s="185"/>
      <c r="AB875" s="33">
        <f t="shared" ca="1" si="15"/>
        <v>0.64413148642719098</v>
      </c>
      <c r="AC875" s="813"/>
      <c r="AD875" s="211"/>
      <c r="AE875" s="875"/>
      <c r="AF875" s="922">
        <f>IF(X875=X874,AF874,0)+IF(ISNUMBER(I875),IF(I875&lt;1,I875,I875*VLOOKUP(J875,Summary!$H$2:$I$9,2)),VLOOKUP(J875,Summary!$J$2:$K$9,2)*IF(ISNUMBER(H875),H875,1))</f>
        <v>0.26251157407407411</v>
      </c>
      <c r="AG875" s="290">
        <v>874</v>
      </c>
      <c r="AH875" s="94"/>
      <c r="AI875" s="94"/>
    </row>
    <row r="876" spans="1:35" s="22" customFormat="1" ht="12" customHeight="1" x14ac:dyDescent="0.2">
      <c r="A876" s="467" t="s">
        <v>15469</v>
      </c>
      <c r="B876" s="467">
        <v>3</v>
      </c>
      <c r="C876" s="467"/>
      <c r="D876" s="185" t="s">
        <v>4240</v>
      </c>
      <c r="E876" s="314" t="s">
        <v>1695</v>
      </c>
      <c r="F876" s="184">
        <v>26600</v>
      </c>
      <c r="G876" s="184">
        <v>26628</v>
      </c>
      <c r="H876" s="185">
        <v>5</v>
      </c>
      <c r="I876" s="185">
        <v>15</v>
      </c>
      <c r="J876" s="901" t="s">
        <v>1796</v>
      </c>
      <c r="K876" s="163" t="s">
        <v>3548</v>
      </c>
      <c r="L876" s="163" t="s">
        <v>3547</v>
      </c>
      <c r="M876" s="163"/>
      <c r="N876" s="163"/>
      <c r="O876" s="163"/>
      <c r="P876" s="182" t="s">
        <v>461</v>
      </c>
      <c r="Q876" s="163" t="s">
        <v>3546</v>
      </c>
      <c r="R876" s="186" t="s">
        <v>4602</v>
      </c>
      <c r="S876" s="355"/>
      <c r="T876" s="182"/>
      <c r="U876" s="182"/>
      <c r="V876" s="182"/>
      <c r="W876" s="328"/>
      <c r="X876" s="660" t="s">
        <v>12324</v>
      </c>
      <c r="Y876" s="355"/>
      <c r="Z876" s="185"/>
      <c r="AA876" s="185"/>
      <c r="AB876" s="33">
        <f t="shared" ca="1" si="15"/>
        <v>0.72136683613584618</v>
      </c>
      <c r="AC876" s="813"/>
      <c r="AD876" s="211"/>
      <c r="AE876" s="875"/>
      <c r="AF876" s="922">
        <f>IF(X876=X875,AF875,0)+IF(ISNUMBER(I876),IF(I876&lt;1,I876,I876*VLOOKUP(J876,Summary!$H$2:$I$9,2)),VLOOKUP(J876,Summary!$J$2:$K$9,2)*IF(ISNUMBER(H876),H876,1))</f>
        <v>0.26771990740740742</v>
      </c>
      <c r="AG876" s="290">
        <v>875</v>
      </c>
      <c r="AH876" s="94"/>
      <c r="AI876" s="94"/>
    </row>
    <row r="877" spans="1:35" s="22" customFormat="1" ht="12" customHeight="1" x14ac:dyDescent="0.2">
      <c r="A877" s="467" t="s">
        <v>15469</v>
      </c>
      <c r="B877" s="467">
        <v>3</v>
      </c>
      <c r="C877" s="467"/>
      <c r="D877" s="185" t="s">
        <v>4241</v>
      </c>
      <c r="E877" s="314" t="s">
        <v>1696</v>
      </c>
      <c r="F877" s="185">
        <v>1972</v>
      </c>
      <c r="G877" s="184"/>
      <c r="H877" s="185">
        <v>1</v>
      </c>
      <c r="I877" s="185">
        <v>7</v>
      </c>
      <c r="J877" s="901" t="s">
        <v>1796</v>
      </c>
      <c r="K877" s="163" t="s">
        <v>5784</v>
      </c>
      <c r="L877" s="163" t="s">
        <v>4231</v>
      </c>
      <c r="M877" s="163"/>
      <c r="N877" s="163"/>
      <c r="O877" s="163"/>
      <c r="P877" s="182" t="s">
        <v>461</v>
      </c>
      <c r="Q877" s="163" t="s">
        <v>3546</v>
      </c>
      <c r="R877" s="186" t="s">
        <v>4602</v>
      </c>
      <c r="S877" s="355"/>
      <c r="T877" s="182"/>
      <c r="U877" s="182"/>
      <c r="V877" s="182"/>
      <c r="W877" s="314" t="s">
        <v>1696</v>
      </c>
      <c r="X877" s="646" t="s">
        <v>12324</v>
      </c>
      <c r="Y877" s="355"/>
      <c r="Z877" s="185"/>
      <c r="AA877" s="185"/>
      <c r="AB877" s="33">
        <f t="shared" ca="1" si="15"/>
        <v>0.50252324191843534</v>
      </c>
      <c r="AC877" s="813"/>
      <c r="AD877" s="211"/>
      <c r="AE877" s="875"/>
      <c r="AF877" s="922">
        <f>IF(X877=X876,AF876,0)+IF(ISNUMBER(I877),IF(I877&lt;1,I877,I877*VLOOKUP(J877,Summary!$H$2:$I$9,2)),VLOOKUP(J877,Summary!$J$2:$K$9,2)*IF(ISNUMBER(H877),H877,1))</f>
        <v>0.27015046296296297</v>
      </c>
      <c r="AG877" s="290">
        <v>876</v>
      </c>
      <c r="AH877" s="94"/>
      <c r="AI877" s="94"/>
    </row>
    <row r="878" spans="1:35" s="3" customFormat="1" ht="12" customHeight="1" x14ac:dyDescent="0.25">
      <c r="A878" s="469" t="s">
        <v>15469</v>
      </c>
      <c r="B878" s="469">
        <v>3</v>
      </c>
      <c r="C878" s="470">
        <v>1.03</v>
      </c>
      <c r="D878" s="192" t="s">
        <v>704</v>
      </c>
      <c r="E878" s="317" t="s">
        <v>703</v>
      </c>
      <c r="F878" s="191">
        <v>40483</v>
      </c>
      <c r="G878" s="191"/>
      <c r="H878" s="192">
        <v>1</v>
      </c>
      <c r="I878" s="753">
        <f>TIME(0,17,43)</f>
        <v>1.230324074074074E-2</v>
      </c>
      <c r="J878" s="903" t="s">
        <v>2755</v>
      </c>
      <c r="K878" s="194" t="s">
        <v>702</v>
      </c>
      <c r="L878" s="194" t="s">
        <v>3426</v>
      </c>
      <c r="M878" s="194" t="s">
        <v>3821</v>
      </c>
      <c r="N878" s="194"/>
      <c r="O878" s="194"/>
      <c r="P878" s="190" t="s">
        <v>5599</v>
      </c>
      <c r="Q878" s="194" t="s">
        <v>3947</v>
      </c>
      <c r="R878" s="193" t="s">
        <v>2722</v>
      </c>
      <c r="S878" s="357"/>
      <c r="T878" s="190"/>
      <c r="U878" s="190"/>
      <c r="V878" s="190"/>
      <c r="W878" s="317" t="s">
        <v>703</v>
      </c>
      <c r="X878" s="649" t="s">
        <v>12324</v>
      </c>
      <c r="Y878" s="357" t="s">
        <v>5643</v>
      </c>
      <c r="Z878" s="192">
        <v>999</v>
      </c>
      <c r="AA878" s="192"/>
      <c r="AB878" s="37">
        <f t="shared" ca="1" si="15"/>
        <v>0.79166471422966511</v>
      </c>
      <c r="AC878" s="816"/>
      <c r="AD878" s="817"/>
      <c r="AE878" s="943"/>
      <c r="AF878" s="924">
        <f>IF(X878=X877,AF877,0)+IF(ISNUMBER(I878),IF(I878&lt;1,I878,I878*VLOOKUP(J878,Summary!$H$2:$I$9,2)),VLOOKUP(J878,Summary!$J$2:$K$9,2)*IF(ISNUMBER(H878),H878,1))</f>
        <v>0.28245370370370371</v>
      </c>
      <c r="AG878" s="292">
        <v>877</v>
      </c>
      <c r="AH878" s="94"/>
      <c r="AI878" s="94"/>
    </row>
    <row r="879" spans="1:35" s="22" customFormat="1" ht="12" customHeight="1" x14ac:dyDescent="0.2">
      <c r="A879" s="467" t="s">
        <v>15469</v>
      </c>
      <c r="B879" s="467">
        <v>3</v>
      </c>
      <c r="C879" s="467"/>
      <c r="D879" s="185" t="s">
        <v>4242</v>
      </c>
      <c r="E879" s="314" t="s">
        <v>1697</v>
      </c>
      <c r="F879" s="184">
        <v>26635</v>
      </c>
      <c r="G879" s="184">
        <v>26677</v>
      </c>
      <c r="H879" s="185">
        <v>7</v>
      </c>
      <c r="I879" s="185">
        <v>21</v>
      </c>
      <c r="J879" s="901" t="s">
        <v>1796</v>
      </c>
      <c r="K879" s="163" t="s">
        <v>3548</v>
      </c>
      <c r="L879" s="163" t="s">
        <v>3547</v>
      </c>
      <c r="M879" s="163"/>
      <c r="N879" s="163"/>
      <c r="O879" s="163"/>
      <c r="P879" s="182" t="s">
        <v>461</v>
      </c>
      <c r="Q879" s="163" t="s">
        <v>3546</v>
      </c>
      <c r="R879" s="186" t="s">
        <v>4602</v>
      </c>
      <c r="S879" s="355"/>
      <c r="T879" s="182"/>
      <c r="U879" s="182"/>
      <c r="V879" s="182"/>
      <c r="W879" s="328"/>
      <c r="X879" s="660" t="s">
        <v>12324</v>
      </c>
      <c r="Y879" s="355"/>
      <c r="Z879" s="185"/>
      <c r="AA879" s="185"/>
      <c r="AB879" s="33">
        <f t="shared" ca="1" si="15"/>
        <v>4.555135968418933E-2</v>
      </c>
      <c r="AC879" s="813"/>
      <c r="AD879" s="211"/>
      <c r="AE879" s="875"/>
      <c r="AF879" s="922">
        <f>IF(X879=X878,AF878,0)+IF(ISNUMBER(I879),IF(I879&lt;1,I879,I879*VLOOKUP(J879,Summary!$H$2:$I$9,2)),VLOOKUP(J879,Summary!$J$2:$K$9,2)*IF(ISNUMBER(H879),H879,1))</f>
        <v>0.28974537037037035</v>
      </c>
      <c r="AG879" s="290">
        <v>878</v>
      </c>
      <c r="AH879" s="94"/>
      <c r="AI879" s="94"/>
    </row>
    <row r="880" spans="1:35" s="2" customFormat="1" ht="12" customHeight="1" x14ac:dyDescent="0.25">
      <c r="A880" s="472" t="s">
        <v>15469</v>
      </c>
      <c r="B880" s="472">
        <v>3</v>
      </c>
      <c r="C880" s="473">
        <v>3.05</v>
      </c>
      <c r="D880" s="176" t="s">
        <v>3186</v>
      </c>
      <c r="E880" s="313" t="s">
        <v>1850</v>
      </c>
      <c r="F880" s="174">
        <v>36586</v>
      </c>
      <c r="G880" s="174"/>
      <c r="H880" s="176">
        <v>1</v>
      </c>
      <c r="I880" s="176">
        <v>16</v>
      </c>
      <c r="J880" s="900" t="s">
        <v>2755</v>
      </c>
      <c r="K880" s="164" t="s">
        <v>7375</v>
      </c>
      <c r="L880" s="164" t="s">
        <v>461</v>
      </c>
      <c r="M880" s="164"/>
      <c r="N880" s="164" t="s">
        <v>4992</v>
      </c>
      <c r="O880" s="164"/>
      <c r="P880" s="173" t="s">
        <v>4993</v>
      </c>
      <c r="Q880" s="164" t="s">
        <v>3953</v>
      </c>
      <c r="R880" s="177" t="s">
        <v>2723</v>
      </c>
      <c r="S880" s="354"/>
      <c r="T880" s="173"/>
      <c r="U880" s="173"/>
      <c r="V880" s="173"/>
      <c r="W880" s="313" t="s">
        <v>1850</v>
      </c>
      <c r="X880" s="645" t="s">
        <v>12324</v>
      </c>
      <c r="Y880" s="354" t="s">
        <v>6868</v>
      </c>
      <c r="Z880" s="176">
        <v>999</v>
      </c>
      <c r="AA880" s="176"/>
      <c r="AB880" s="32">
        <f t="shared" ca="1" si="15"/>
        <v>2.432286561544883E-2</v>
      </c>
      <c r="AC880" s="812"/>
      <c r="AD880" s="763"/>
      <c r="AE880" s="807"/>
      <c r="AF880" s="921">
        <f>IF(X880=X879,AF879,0)+IF(ISNUMBER(I880),IF(I880&lt;1,I880,I880*VLOOKUP(J880,Summary!$H$2:$I$9,2)),VLOOKUP(J880,Summary!$J$2:$K$9,2)*IF(ISNUMBER(H880),H880,1))</f>
        <v>0.30085648148148147</v>
      </c>
      <c r="AG880" s="289">
        <v>879</v>
      </c>
      <c r="AH880" s="94"/>
      <c r="AI880" s="94"/>
    </row>
    <row r="881" spans="1:35" s="22" customFormat="1" ht="12" customHeight="1" x14ac:dyDescent="0.2">
      <c r="A881" s="467" t="s">
        <v>15469</v>
      </c>
      <c r="B881" s="467">
        <v>3</v>
      </c>
      <c r="C881" s="467"/>
      <c r="D881" s="185" t="s">
        <v>4243</v>
      </c>
      <c r="E881" s="314" t="s">
        <v>1699</v>
      </c>
      <c r="F881" s="184">
        <v>26684</v>
      </c>
      <c r="G881" s="184">
        <v>26698</v>
      </c>
      <c r="H881" s="185">
        <v>3</v>
      </c>
      <c r="I881" s="185">
        <v>6</v>
      </c>
      <c r="J881" s="901" t="s">
        <v>1796</v>
      </c>
      <c r="K881" s="163" t="s">
        <v>3548</v>
      </c>
      <c r="L881" s="163" t="s">
        <v>3547</v>
      </c>
      <c r="M881" s="163"/>
      <c r="N881" s="163"/>
      <c r="O881" s="163"/>
      <c r="P881" s="182" t="s">
        <v>461</v>
      </c>
      <c r="Q881" s="163" t="s">
        <v>3546</v>
      </c>
      <c r="R881" s="186" t="s">
        <v>4602</v>
      </c>
      <c r="S881" s="355"/>
      <c r="T881" s="182"/>
      <c r="U881" s="182"/>
      <c r="V881" s="182"/>
      <c r="W881" s="328"/>
      <c r="X881" s="660" t="s">
        <v>12324</v>
      </c>
      <c r="Y881" s="355"/>
      <c r="Z881" s="185"/>
      <c r="AA881" s="185"/>
      <c r="AB881" s="33">
        <f t="shared" ca="1" si="15"/>
        <v>0.89988971197105538</v>
      </c>
      <c r="AC881" s="813"/>
      <c r="AD881" s="211"/>
      <c r="AE881" s="875"/>
      <c r="AF881" s="922">
        <f>IF(X881=X880,AF880,0)+IF(ISNUMBER(I881),IF(I881&lt;1,I881,I881*VLOOKUP(J881,Summary!$H$2:$I$9,2)),VLOOKUP(J881,Summary!$J$2:$K$9,2)*IF(ISNUMBER(H881),H881,1))</f>
        <v>0.3029398148148148</v>
      </c>
      <c r="AG881" s="290">
        <v>880</v>
      </c>
      <c r="AH881" s="94"/>
      <c r="AI881" s="94"/>
    </row>
    <row r="882" spans="1:35" s="22" customFormat="1" ht="12" customHeight="1" x14ac:dyDescent="0.2">
      <c r="A882" s="467" t="s">
        <v>15469</v>
      </c>
      <c r="B882" s="467">
        <v>3</v>
      </c>
      <c r="C882" s="467"/>
      <c r="D882" s="185" t="s">
        <v>4244</v>
      </c>
      <c r="E882" s="314" t="s">
        <v>1700</v>
      </c>
      <c r="F882" s="184">
        <v>26705</v>
      </c>
      <c r="G882" s="184"/>
      <c r="H882" s="185">
        <v>1</v>
      </c>
      <c r="I882" s="185">
        <v>7</v>
      </c>
      <c r="J882" s="901" t="s">
        <v>1796</v>
      </c>
      <c r="K882" s="163" t="s">
        <v>3548</v>
      </c>
      <c r="L882" s="163" t="s">
        <v>3547</v>
      </c>
      <c r="M882" s="163"/>
      <c r="N882" s="163"/>
      <c r="O882" s="163"/>
      <c r="P882" s="182" t="s">
        <v>461</v>
      </c>
      <c r="Q882" s="163" t="s">
        <v>3546</v>
      </c>
      <c r="R882" s="186" t="s">
        <v>4602</v>
      </c>
      <c r="S882" s="355"/>
      <c r="T882" s="182"/>
      <c r="U882" s="182"/>
      <c r="V882" s="182"/>
      <c r="W882" s="314" t="s">
        <v>1700</v>
      </c>
      <c r="X882" s="646" t="s">
        <v>12324</v>
      </c>
      <c r="Y882" s="355"/>
      <c r="Z882" s="185"/>
      <c r="AA882" s="185"/>
      <c r="AB882" s="33">
        <f t="shared" ca="1" si="15"/>
        <v>0.70217899538205875</v>
      </c>
      <c r="AC882" s="813"/>
      <c r="AD882" s="211"/>
      <c r="AE882" s="875"/>
      <c r="AF882" s="922">
        <f>IF(X882=X881,AF881,0)+IF(ISNUMBER(I882),IF(I882&lt;1,I882,I882*VLOOKUP(J882,Summary!$H$2:$I$9,2)),VLOOKUP(J882,Summary!$J$2:$K$9,2)*IF(ISNUMBER(H882),H882,1))</f>
        <v>0.30537037037037035</v>
      </c>
      <c r="AG882" s="290">
        <v>881</v>
      </c>
      <c r="AH882" s="94"/>
      <c r="AI882" s="94"/>
    </row>
    <row r="883" spans="1:35" s="2" customFormat="1" ht="12" customHeight="1" x14ac:dyDescent="0.25">
      <c r="A883" s="467" t="s">
        <v>15469</v>
      </c>
      <c r="B883" s="467">
        <v>3</v>
      </c>
      <c r="C883" s="467"/>
      <c r="D883" s="185" t="s">
        <v>4463</v>
      </c>
      <c r="E883" s="314" t="s">
        <v>943</v>
      </c>
      <c r="F883" s="184">
        <v>26712</v>
      </c>
      <c r="G883" s="184">
        <v>26754</v>
      </c>
      <c r="H883" s="185">
        <v>5</v>
      </c>
      <c r="I883" s="185">
        <v>10</v>
      </c>
      <c r="J883" s="901" t="s">
        <v>1796</v>
      </c>
      <c r="K883" s="163" t="s">
        <v>4230</v>
      </c>
      <c r="L883" s="163" t="s">
        <v>3547</v>
      </c>
      <c r="M883" s="163"/>
      <c r="N883" s="163"/>
      <c r="O883" s="163"/>
      <c r="P883" s="182" t="s">
        <v>461</v>
      </c>
      <c r="Q883" s="163" t="s">
        <v>3546</v>
      </c>
      <c r="R883" s="186" t="s">
        <v>4602</v>
      </c>
      <c r="S883" s="355"/>
      <c r="T883" s="182"/>
      <c r="U883" s="182"/>
      <c r="V883" s="182"/>
      <c r="W883" s="328"/>
      <c r="X883" s="660" t="s">
        <v>12324</v>
      </c>
      <c r="Y883" s="355"/>
      <c r="Z883" s="185"/>
      <c r="AA883" s="185"/>
      <c r="AB883" s="33">
        <f t="shared" ca="1" si="15"/>
        <v>0.66902005532479236</v>
      </c>
      <c r="AC883" s="813"/>
      <c r="AD883" s="211"/>
      <c r="AE883" s="875"/>
      <c r="AF883" s="922">
        <f>IF(X883=X882,AF882,0)+IF(ISNUMBER(I883),IF(I883&lt;1,I883,I883*VLOOKUP(J883,Summary!$H$2:$I$9,2)),VLOOKUP(J883,Summary!$J$2:$K$9,2)*IF(ISNUMBER(H883),H883,1))</f>
        <v>0.30884259259259256</v>
      </c>
      <c r="AG883" s="290">
        <v>882</v>
      </c>
      <c r="AH883" s="94"/>
      <c r="AI883" s="94"/>
    </row>
    <row r="884" spans="1:35" s="22" customFormat="1" ht="12" customHeight="1" x14ac:dyDescent="0.2">
      <c r="A884" s="467" t="s">
        <v>15469</v>
      </c>
      <c r="B884" s="467">
        <v>3</v>
      </c>
      <c r="C884" s="467"/>
      <c r="D884" s="185" t="s">
        <v>4465</v>
      </c>
      <c r="E884" s="314" t="s">
        <v>944</v>
      </c>
      <c r="F884" s="184">
        <v>26761</v>
      </c>
      <c r="G884" s="184"/>
      <c r="H884" s="185">
        <v>1</v>
      </c>
      <c r="I884" s="185">
        <v>7</v>
      </c>
      <c r="J884" s="901" t="s">
        <v>1796</v>
      </c>
      <c r="K884" s="163" t="s">
        <v>4230</v>
      </c>
      <c r="L884" s="163" t="s">
        <v>3547</v>
      </c>
      <c r="M884" s="163"/>
      <c r="N884" s="163"/>
      <c r="O884" s="163"/>
      <c r="P884" s="182" t="s">
        <v>461</v>
      </c>
      <c r="Q884" s="163" t="s">
        <v>3546</v>
      </c>
      <c r="R884" s="186" t="s">
        <v>4602</v>
      </c>
      <c r="S884" s="355"/>
      <c r="T884" s="182"/>
      <c r="U884" s="182"/>
      <c r="V884" s="182"/>
      <c r="W884" s="314" t="s">
        <v>944</v>
      </c>
      <c r="X884" s="646" t="s">
        <v>12324</v>
      </c>
      <c r="Y884" s="355"/>
      <c r="Z884" s="185"/>
      <c r="AA884" s="185"/>
      <c r="AB884" s="33">
        <f t="shared" ca="1" si="15"/>
        <v>0.41476202969699294</v>
      </c>
      <c r="AC884" s="813"/>
      <c r="AD884" s="211"/>
      <c r="AE884" s="875"/>
      <c r="AF884" s="922">
        <f>IF(X884=X883,AF883,0)+IF(ISNUMBER(I884),IF(I884&lt;1,I884,I884*VLOOKUP(J884,Summary!$H$2:$I$9,2)),VLOOKUP(J884,Summary!$J$2:$K$9,2)*IF(ISNUMBER(H884),H884,1))</f>
        <v>0.3112731481481481</v>
      </c>
      <c r="AG884" s="290">
        <v>883</v>
      </c>
      <c r="AH884" s="94"/>
      <c r="AI884" s="94"/>
    </row>
    <row r="885" spans="1:35" s="22" customFormat="1" ht="12" customHeight="1" x14ac:dyDescent="0.2">
      <c r="A885" s="467" t="s">
        <v>15469</v>
      </c>
      <c r="B885" s="467">
        <v>3</v>
      </c>
      <c r="C885" s="467"/>
      <c r="D885" s="185" t="s">
        <v>4466</v>
      </c>
      <c r="E885" s="314" t="s">
        <v>945</v>
      </c>
      <c r="F885" s="184">
        <v>26789</v>
      </c>
      <c r="G885" s="184">
        <v>26810</v>
      </c>
      <c r="H885" s="185">
        <v>4</v>
      </c>
      <c r="I885" s="185">
        <v>8</v>
      </c>
      <c r="J885" s="901" t="s">
        <v>1796</v>
      </c>
      <c r="K885" s="163" t="s">
        <v>3548</v>
      </c>
      <c r="L885" s="163" t="s">
        <v>3547</v>
      </c>
      <c r="M885" s="163"/>
      <c r="N885" s="163"/>
      <c r="O885" s="163"/>
      <c r="P885" s="182" t="s">
        <v>461</v>
      </c>
      <c r="Q885" s="163" t="s">
        <v>3546</v>
      </c>
      <c r="R885" s="186" t="s">
        <v>4602</v>
      </c>
      <c r="S885" s="355"/>
      <c r="T885" s="182"/>
      <c r="U885" s="182"/>
      <c r="V885" s="182"/>
      <c r="W885" s="328"/>
      <c r="X885" s="660" t="s">
        <v>12324</v>
      </c>
      <c r="Y885" s="355"/>
      <c r="Z885" s="185"/>
      <c r="AA885" s="185"/>
      <c r="AB885" s="33">
        <f t="shared" ca="1" si="15"/>
        <v>0.2735864523567233</v>
      </c>
      <c r="AC885" s="813"/>
      <c r="AD885" s="211"/>
      <c r="AE885" s="875"/>
      <c r="AF885" s="922">
        <f>IF(X885=X884,AF884,0)+IF(ISNUMBER(I885),IF(I885&lt;1,I885,I885*VLOOKUP(J885,Summary!$H$2:$I$9,2)),VLOOKUP(J885,Summary!$J$2:$K$9,2)*IF(ISNUMBER(H885),H885,1))</f>
        <v>0.31405092592592587</v>
      </c>
      <c r="AG885" s="290">
        <v>884</v>
      </c>
      <c r="AH885" s="94"/>
      <c r="AI885" s="94"/>
    </row>
    <row r="886" spans="1:35" s="22" customFormat="1" ht="12" customHeight="1" x14ac:dyDescent="0.2">
      <c r="A886" s="467" t="s">
        <v>15469</v>
      </c>
      <c r="B886" s="467">
        <v>3</v>
      </c>
      <c r="C886" s="467"/>
      <c r="D886" s="185" t="s">
        <v>5111</v>
      </c>
      <c r="E886" s="314" t="s">
        <v>946</v>
      </c>
      <c r="F886" s="183">
        <v>26785</v>
      </c>
      <c r="G886" s="184"/>
      <c r="H886" s="185">
        <v>1</v>
      </c>
      <c r="I886" s="185">
        <v>6</v>
      </c>
      <c r="J886" s="901" t="s">
        <v>1796</v>
      </c>
      <c r="K886" s="163" t="s">
        <v>5784</v>
      </c>
      <c r="L886" s="163" t="s">
        <v>4231</v>
      </c>
      <c r="M886" s="163"/>
      <c r="N886" s="163"/>
      <c r="O886" s="163"/>
      <c r="P886" s="182" t="s">
        <v>461</v>
      </c>
      <c r="Q886" s="163" t="s">
        <v>3546</v>
      </c>
      <c r="R886" s="186" t="s">
        <v>5267</v>
      </c>
      <c r="S886" s="355"/>
      <c r="T886" s="182"/>
      <c r="U886" s="182"/>
      <c r="V886" s="182"/>
      <c r="W886" s="314" t="s">
        <v>946</v>
      </c>
      <c r="X886" s="646" t="s">
        <v>12324</v>
      </c>
      <c r="Y886" s="355"/>
      <c r="Z886" s="185"/>
      <c r="AA886" s="185"/>
      <c r="AB886" s="33">
        <f t="shared" ca="1" si="15"/>
        <v>0.68143092239445446</v>
      </c>
      <c r="AC886" s="813"/>
      <c r="AD886" s="211"/>
      <c r="AE886" s="875"/>
      <c r="AF886" s="922">
        <f>IF(X886=X885,AF885,0)+IF(ISNUMBER(I886),IF(I886&lt;1,I886,I886*VLOOKUP(J886,Summary!$H$2:$I$9,2)),VLOOKUP(J886,Summary!$J$2:$K$9,2)*IF(ISNUMBER(H886),H886,1))</f>
        <v>0.3161342592592592</v>
      </c>
      <c r="AG886" s="290">
        <v>885</v>
      </c>
      <c r="AH886" s="94"/>
      <c r="AI886" s="94"/>
    </row>
    <row r="887" spans="1:35" s="22" customFormat="1" ht="12" customHeight="1" x14ac:dyDescent="0.25">
      <c r="A887" s="472" t="s">
        <v>15469</v>
      </c>
      <c r="B887" s="472">
        <v>3</v>
      </c>
      <c r="C887" s="472"/>
      <c r="D887" s="176" t="s">
        <v>5111</v>
      </c>
      <c r="E887" s="313" t="s">
        <v>12105</v>
      </c>
      <c r="F887" s="174">
        <v>26785</v>
      </c>
      <c r="G887" s="175"/>
      <c r="H887" s="176" t="s">
        <v>461</v>
      </c>
      <c r="I887" s="176"/>
      <c r="J887" s="900" t="s">
        <v>2755</v>
      </c>
      <c r="K887" s="164" t="s">
        <v>5784</v>
      </c>
      <c r="L887" s="164"/>
      <c r="M887" s="164"/>
      <c r="N887" s="164"/>
      <c r="O887" s="164"/>
      <c r="P887" s="173" t="s">
        <v>461</v>
      </c>
      <c r="Q887" s="164" t="s">
        <v>3546</v>
      </c>
      <c r="R887" s="177" t="s">
        <v>5267</v>
      </c>
      <c r="S887" s="354"/>
      <c r="T887" s="173"/>
      <c r="U887" s="173"/>
      <c r="V887" s="173"/>
      <c r="W887" s="313" t="s">
        <v>12105</v>
      </c>
      <c r="X887" s="645" t="s">
        <v>12324</v>
      </c>
      <c r="Y887" s="354"/>
      <c r="Z887" s="176"/>
      <c r="AA887" s="176"/>
      <c r="AB887" s="32">
        <f t="shared" ca="1" si="15"/>
        <v>0.21521467975429831</v>
      </c>
      <c r="AC887" s="812"/>
      <c r="AD887" s="763"/>
      <c r="AE887" s="878"/>
      <c r="AF887" s="921">
        <f>IF(X887=X886,AF886,0)+IF(ISNUMBER(I887),IF(I887&lt;1,I887,I887*VLOOKUP(J887,Summary!$H$2:$I$9,2)),VLOOKUP(J887,Summary!$J$2:$K$9,2)*IF(ISNUMBER(H887),H887,1))</f>
        <v>0.3334953703703703</v>
      </c>
      <c r="AG887" s="289">
        <v>886</v>
      </c>
      <c r="AH887" s="94"/>
      <c r="AI887" s="94"/>
    </row>
    <row r="888" spans="1:35" s="22" customFormat="1" ht="12" customHeight="1" x14ac:dyDescent="0.2">
      <c r="A888" s="467" t="s">
        <v>15469</v>
      </c>
      <c r="B888" s="467">
        <v>3</v>
      </c>
      <c r="C888" s="467"/>
      <c r="D888" s="185" t="s">
        <v>5111</v>
      </c>
      <c r="E888" s="314" t="s">
        <v>947</v>
      </c>
      <c r="F888" s="183">
        <v>26785</v>
      </c>
      <c r="G888" s="184"/>
      <c r="H888" s="185">
        <v>1</v>
      </c>
      <c r="I888" s="185">
        <v>7</v>
      </c>
      <c r="J888" s="901" t="s">
        <v>1796</v>
      </c>
      <c r="K888" s="163" t="s">
        <v>5784</v>
      </c>
      <c r="L888" s="163" t="s">
        <v>4467</v>
      </c>
      <c r="M888" s="163"/>
      <c r="N888" s="163"/>
      <c r="O888" s="163"/>
      <c r="P888" s="182" t="s">
        <v>461</v>
      </c>
      <c r="Q888" s="163" t="s">
        <v>3546</v>
      </c>
      <c r="R888" s="186" t="s">
        <v>5267</v>
      </c>
      <c r="S888" s="355"/>
      <c r="T888" s="182"/>
      <c r="U888" s="182"/>
      <c r="V888" s="182"/>
      <c r="W888" s="314" t="s">
        <v>947</v>
      </c>
      <c r="X888" s="646" t="s">
        <v>12324</v>
      </c>
      <c r="Y888" s="355"/>
      <c r="Z888" s="185"/>
      <c r="AA888" s="185"/>
      <c r="AB888" s="33">
        <f t="shared" ca="1" si="15"/>
        <v>0.21206847400983941</v>
      </c>
      <c r="AC888" s="813"/>
      <c r="AD888" s="211"/>
      <c r="AE888" s="875"/>
      <c r="AF888" s="922">
        <f>IF(X888=X887,AF887,0)+IF(ISNUMBER(I888),IF(I888&lt;1,I888,I888*VLOOKUP(J888,Summary!$H$2:$I$9,2)),VLOOKUP(J888,Summary!$J$2:$K$9,2)*IF(ISNUMBER(H888),H888,1))</f>
        <v>0.33592592592592585</v>
      </c>
      <c r="AG888" s="290">
        <v>887</v>
      </c>
      <c r="AH888" s="94"/>
      <c r="AI888" s="94"/>
    </row>
    <row r="889" spans="1:35" s="22" customFormat="1" ht="12" customHeight="1" x14ac:dyDescent="0.25">
      <c r="A889" s="472" t="s">
        <v>15469</v>
      </c>
      <c r="B889" s="472">
        <v>3</v>
      </c>
      <c r="C889" s="472"/>
      <c r="D889" s="176" t="s">
        <v>5111</v>
      </c>
      <c r="E889" s="313" t="s">
        <v>12108</v>
      </c>
      <c r="F889" s="174">
        <v>26785</v>
      </c>
      <c r="G889" s="175"/>
      <c r="H889" s="176" t="s">
        <v>461</v>
      </c>
      <c r="I889" s="176"/>
      <c r="J889" s="900" t="s">
        <v>2755</v>
      </c>
      <c r="K889" s="164" t="s">
        <v>5784</v>
      </c>
      <c r="L889" s="164"/>
      <c r="M889" s="164"/>
      <c r="N889" s="164"/>
      <c r="O889" s="164"/>
      <c r="P889" s="173" t="s">
        <v>461</v>
      </c>
      <c r="Q889" s="164" t="s">
        <v>3546</v>
      </c>
      <c r="R889" s="177" t="s">
        <v>5267</v>
      </c>
      <c r="S889" s="354"/>
      <c r="T889" s="173"/>
      <c r="U889" s="173"/>
      <c r="V889" s="173"/>
      <c r="W889" s="313" t="s">
        <v>12108</v>
      </c>
      <c r="X889" s="645" t="s">
        <v>12324</v>
      </c>
      <c r="Y889" s="354"/>
      <c r="Z889" s="176"/>
      <c r="AA889" s="176"/>
      <c r="AB889" s="32">
        <f t="shared" ca="1" si="15"/>
        <v>0.64119202219023941</v>
      </c>
      <c r="AC889" s="812"/>
      <c r="AD889" s="763"/>
      <c r="AE889" s="878"/>
      <c r="AF889" s="921">
        <f>IF(X889=X888,AF888,0)+IF(ISNUMBER(I889),IF(I889&lt;1,I889,I889*VLOOKUP(J889,Summary!$H$2:$I$9,2)),VLOOKUP(J889,Summary!$J$2:$K$9,2)*IF(ISNUMBER(H889),H889,1))</f>
        <v>0.35328703703703696</v>
      </c>
      <c r="AG889" s="289">
        <v>888</v>
      </c>
      <c r="AH889" s="94"/>
      <c r="AI889" s="94"/>
    </row>
    <row r="890" spans="1:35" s="22" customFormat="1" ht="12" customHeight="1" x14ac:dyDescent="0.2">
      <c r="A890" s="467" t="s">
        <v>15469</v>
      </c>
      <c r="B890" s="467">
        <v>3</v>
      </c>
      <c r="C890" s="467"/>
      <c r="D890" s="185" t="s">
        <v>4468</v>
      </c>
      <c r="E890" s="314" t="s">
        <v>948</v>
      </c>
      <c r="F890" s="184">
        <v>26817</v>
      </c>
      <c r="G890" s="184"/>
      <c r="H890" s="185">
        <v>1</v>
      </c>
      <c r="I890" s="185">
        <v>7</v>
      </c>
      <c r="J890" s="901" t="s">
        <v>1796</v>
      </c>
      <c r="K890" s="163" t="s">
        <v>4230</v>
      </c>
      <c r="L890" s="163" t="s">
        <v>3547</v>
      </c>
      <c r="M890" s="163"/>
      <c r="N890" s="163"/>
      <c r="O890" s="163"/>
      <c r="P890" s="182" t="s">
        <v>461</v>
      </c>
      <c r="Q890" s="163" t="s">
        <v>3546</v>
      </c>
      <c r="R890" s="186" t="s">
        <v>4602</v>
      </c>
      <c r="S890" s="355"/>
      <c r="T890" s="182"/>
      <c r="U890" s="182"/>
      <c r="V890" s="182"/>
      <c r="W890" s="314" t="s">
        <v>948</v>
      </c>
      <c r="X890" s="646" t="s">
        <v>12324</v>
      </c>
      <c r="Y890" s="355"/>
      <c r="Z890" s="185"/>
      <c r="AA890" s="185"/>
      <c r="AB890" s="33">
        <f t="shared" ca="1" si="15"/>
        <v>0.3896023764854617</v>
      </c>
      <c r="AC890" s="813"/>
      <c r="AD890" s="211"/>
      <c r="AE890" s="875"/>
      <c r="AF890" s="922">
        <f>IF(X890=X889,AF889,0)+IF(ISNUMBER(I890),IF(I890&lt;1,I890,I890*VLOOKUP(J890,Summary!$H$2:$I$9,2)),VLOOKUP(J890,Summary!$J$2:$K$9,2)*IF(ISNUMBER(H890),H890,1))</f>
        <v>0.3557175925925925</v>
      </c>
      <c r="AG890" s="290">
        <v>889</v>
      </c>
      <c r="AH890" s="94"/>
      <c r="AI890" s="94"/>
    </row>
    <row r="891" spans="1:35" s="22" customFormat="1" ht="12" customHeight="1" x14ac:dyDescent="0.2">
      <c r="A891" s="467" t="s">
        <v>15469</v>
      </c>
      <c r="B891" s="467">
        <v>3</v>
      </c>
      <c r="C891" s="467"/>
      <c r="D891" s="185" t="s">
        <v>4469</v>
      </c>
      <c r="E891" s="314" t="s">
        <v>949</v>
      </c>
      <c r="F891" s="184">
        <v>26838</v>
      </c>
      <c r="G891" s="184"/>
      <c r="H891" s="185">
        <v>1</v>
      </c>
      <c r="I891" s="185">
        <v>7</v>
      </c>
      <c r="J891" s="901" t="s">
        <v>1796</v>
      </c>
      <c r="K891" s="163" t="s">
        <v>4230</v>
      </c>
      <c r="L891" s="163" t="s">
        <v>3547</v>
      </c>
      <c r="M891" s="163"/>
      <c r="N891" s="163"/>
      <c r="O891" s="163"/>
      <c r="P891" s="182" t="s">
        <v>461</v>
      </c>
      <c r="Q891" s="163" t="s">
        <v>3546</v>
      </c>
      <c r="R891" s="186" t="s">
        <v>4602</v>
      </c>
      <c r="S891" s="355"/>
      <c r="T891" s="182"/>
      <c r="U891" s="182"/>
      <c r="V891" s="182"/>
      <c r="W891" s="314" t="s">
        <v>949</v>
      </c>
      <c r="X891" s="646" t="s">
        <v>12324</v>
      </c>
      <c r="Y891" s="355"/>
      <c r="Z891" s="185"/>
      <c r="AA891" s="185"/>
      <c r="AB891" s="33">
        <f t="shared" ca="1" si="15"/>
        <v>0.2073863315462442</v>
      </c>
      <c r="AC891" s="813"/>
      <c r="AD891" s="211"/>
      <c r="AE891" s="875"/>
      <c r="AF891" s="922">
        <f>IF(X891=X890,AF890,0)+IF(ISNUMBER(I891),IF(I891&lt;1,I891,I891*VLOOKUP(J891,Summary!$H$2:$I$9,2)),VLOOKUP(J891,Summary!$J$2:$K$9,2)*IF(ISNUMBER(H891),H891,1))</f>
        <v>0.35814814814814805</v>
      </c>
      <c r="AG891" s="290">
        <v>890</v>
      </c>
      <c r="AH891" s="94"/>
      <c r="AI891" s="94"/>
    </row>
    <row r="892" spans="1:35" s="22" customFormat="1" ht="12" customHeight="1" x14ac:dyDescent="0.2">
      <c r="A892" s="467" t="s">
        <v>15469</v>
      </c>
      <c r="B892" s="467">
        <v>3</v>
      </c>
      <c r="C892" s="467"/>
      <c r="D892" s="185" t="s">
        <v>4470</v>
      </c>
      <c r="E892" s="314" t="s">
        <v>7738</v>
      </c>
      <c r="F892" s="184">
        <v>26852</v>
      </c>
      <c r="G892" s="184">
        <v>26880</v>
      </c>
      <c r="H892" s="185">
        <v>5</v>
      </c>
      <c r="I892" s="185">
        <v>10</v>
      </c>
      <c r="J892" s="901" t="s">
        <v>1796</v>
      </c>
      <c r="K892" s="163" t="s">
        <v>3548</v>
      </c>
      <c r="L892" s="163" t="s">
        <v>3547</v>
      </c>
      <c r="M892" s="163"/>
      <c r="N892" s="163"/>
      <c r="O892" s="163"/>
      <c r="P892" s="182" t="s">
        <v>461</v>
      </c>
      <c r="Q892" s="163" t="s">
        <v>3546</v>
      </c>
      <c r="R892" s="186" t="s">
        <v>4602</v>
      </c>
      <c r="S892" s="355"/>
      <c r="T892" s="182"/>
      <c r="U892" s="182"/>
      <c r="V892" s="182"/>
      <c r="W892" s="328"/>
      <c r="X892" s="660" t="s">
        <v>12324</v>
      </c>
      <c r="Y892" s="355"/>
      <c r="Z892" s="185"/>
      <c r="AA892" s="185"/>
      <c r="AB892" s="33">
        <f t="shared" ca="1" si="15"/>
        <v>0.46366216654299885</v>
      </c>
      <c r="AC892" s="813"/>
      <c r="AD892" s="211"/>
      <c r="AE892" s="875"/>
      <c r="AF892" s="922">
        <f>IF(X892=X891,AF891,0)+IF(ISNUMBER(I892),IF(I892&lt;1,I892,I892*VLOOKUP(J892,Summary!$H$2:$I$9,2)),VLOOKUP(J892,Summary!$J$2:$K$9,2)*IF(ISNUMBER(H892),H892,1))</f>
        <v>0.36162037037037026</v>
      </c>
      <c r="AG892" s="290">
        <v>891</v>
      </c>
      <c r="AH892" s="94"/>
      <c r="AI892" s="94"/>
    </row>
    <row r="893" spans="1:35" s="22" customFormat="1" ht="12" customHeight="1" x14ac:dyDescent="0.2">
      <c r="A893" s="467" t="s">
        <v>15469</v>
      </c>
      <c r="B893" s="467">
        <v>3</v>
      </c>
      <c r="C893" s="467"/>
      <c r="D893" s="185" t="s">
        <v>4471</v>
      </c>
      <c r="E893" s="314" t="s">
        <v>2440</v>
      </c>
      <c r="F893" s="184">
        <v>26894</v>
      </c>
      <c r="G893" s="184"/>
      <c r="H893" s="185">
        <v>1</v>
      </c>
      <c r="I893" s="185">
        <v>7</v>
      </c>
      <c r="J893" s="901" t="s">
        <v>1796</v>
      </c>
      <c r="K893" s="163" t="s">
        <v>5784</v>
      </c>
      <c r="L893" s="163" t="s">
        <v>3547</v>
      </c>
      <c r="M893" s="163"/>
      <c r="N893" s="163"/>
      <c r="O893" s="163"/>
      <c r="P893" s="182" t="s">
        <v>461</v>
      </c>
      <c r="Q893" s="163" t="s">
        <v>3546</v>
      </c>
      <c r="R893" s="186" t="s">
        <v>4602</v>
      </c>
      <c r="S893" s="355"/>
      <c r="T893" s="182"/>
      <c r="U893" s="182"/>
      <c r="V893" s="182"/>
      <c r="W893" s="314" t="s">
        <v>2440</v>
      </c>
      <c r="X893" s="646" t="s">
        <v>12324</v>
      </c>
      <c r="Y893" s="355"/>
      <c r="Z893" s="185"/>
      <c r="AA893" s="185"/>
      <c r="AB893" s="33">
        <f t="shared" ca="1" si="15"/>
        <v>0.76212555138311755</v>
      </c>
      <c r="AC893" s="813"/>
      <c r="AD893" s="211"/>
      <c r="AE893" s="875"/>
      <c r="AF893" s="922">
        <f>IF(X893=X892,AF892,0)+IF(ISNUMBER(I893),IF(I893&lt;1,I893,I893*VLOOKUP(J893,Summary!$H$2:$I$9,2)),VLOOKUP(J893,Summary!$J$2:$K$9,2)*IF(ISNUMBER(H893),H893,1))</f>
        <v>0.36405092592592581</v>
      </c>
      <c r="AG893" s="290">
        <v>892</v>
      </c>
      <c r="AH893" s="94"/>
      <c r="AI893" s="94"/>
    </row>
    <row r="894" spans="1:35" s="43" customFormat="1" ht="12" customHeight="1" x14ac:dyDescent="0.25">
      <c r="A894" s="467" t="s">
        <v>15469</v>
      </c>
      <c r="B894" s="467">
        <v>3</v>
      </c>
      <c r="C894" s="467"/>
      <c r="D894" s="185" t="s">
        <v>3242</v>
      </c>
      <c r="E894" s="314" t="s">
        <v>2441</v>
      </c>
      <c r="F894" s="183">
        <v>26908</v>
      </c>
      <c r="G894" s="184"/>
      <c r="H894" s="185">
        <v>1</v>
      </c>
      <c r="I894" s="185">
        <v>6</v>
      </c>
      <c r="J894" s="901" t="s">
        <v>1796</v>
      </c>
      <c r="K894" s="163" t="s">
        <v>5784</v>
      </c>
      <c r="L894" s="163" t="s">
        <v>4232</v>
      </c>
      <c r="M894" s="163"/>
      <c r="N894" s="163"/>
      <c r="O894" s="163"/>
      <c r="P894" s="182" t="s">
        <v>461</v>
      </c>
      <c r="Q894" s="163" t="s">
        <v>3546</v>
      </c>
      <c r="R894" s="186" t="s">
        <v>4602</v>
      </c>
      <c r="S894" s="355"/>
      <c r="T894" s="182"/>
      <c r="U894" s="182"/>
      <c r="V894" s="182"/>
      <c r="W894" s="314" t="s">
        <v>2441</v>
      </c>
      <c r="X894" s="646" t="s">
        <v>12324</v>
      </c>
      <c r="Y894" s="355"/>
      <c r="Z894" s="185"/>
      <c r="AA894" s="185"/>
      <c r="AB894" s="33">
        <f t="shared" ca="1" si="15"/>
        <v>0.30747750228112003</v>
      </c>
      <c r="AC894" s="813"/>
      <c r="AD894" s="211"/>
      <c r="AE894" s="875"/>
      <c r="AF894" s="922">
        <f>IF(X894=X893,AF893,0)+IF(ISNUMBER(I894),IF(I894&lt;1,I894,I894*VLOOKUP(J894,Summary!$H$2:$I$9,2)),VLOOKUP(J894,Summary!$J$2:$K$9,2)*IF(ISNUMBER(H894),H894,1))</f>
        <v>0.36613425925925913</v>
      </c>
      <c r="AG894" s="290">
        <v>893</v>
      </c>
      <c r="AH894" s="94"/>
      <c r="AI894" s="94"/>
    </row>
    <row r="895" spans="1:35" s="22" customFormat="1" ht="12" customHeight="1" x14ac:dyDescent="0.2">
      <c r="A895" s="467" t="s">
        <v>15469</v>
      </c>
      <c r="B895" s="467">
        <v>3</v>
      </c>
      <c r="C895" s="467">
        <v>93</v>
      </c>
      <c r="D895" s="185" t="s">
        <v>3241</v>
      </c>
      <c r="E895" s="314" t="s">
        <v>2442</v>
      </c>
      <c r="F895" s="184">
        <v>26908</v>
      </c>
      <c r="G895" s="184">
        <v>26943</v>
      </c>
      <c r="H895" s="185">
        <v>6</v>
      </c>
      <c r="I895" s="185">
        <v>12</v>
      </c>
      <c r="J895" s="901" t="s">
        <v>1796</v>
      </c>
      <c r="K895" s="163" t="s">
        <v>5784</v>
      </c>
      <c r="L895" s="163" t="s">
        <v>3547</v>
      </c>
      <c r="M895" s="163"/>
      <c r="N895" s="163"/>
      <c r="O895" s="163"/>
      <c r="P895" s="182" t="s">
        <v>461</v>
      </c>
      <c r="Q895" s="163" t="s">
        <v>1797</v>
      </c>
      <c r="R895" s="186" t="s">
        <v>4601</v>
      </c>
      <c r="S895" s="355"/>
      <c r="T895" s="182"/>
      <c r="U895" s="182"/>
      <c r="V895" s="182"/>
      <c r="W895" s="328"/>
      <c r="X895" s="660" t="s">
        <v>12324</v>
      </c>
      <c r="Y895" s="355"/>
      <c r="Z895" s="185"/>
      <c r="AA895" s="185"/>
      <c r="AB895" s="33">
        <f t="shared" ca="1" si="15"/>
        <v>0.8373197603239938</v>
      </c>
      <c r="AC895" s="813"/>
      <c r="AD895" s="211"/>
      <c r="AE895" s="875"/>
      <c r="AF895" s="922">
        <f>IF(X895=X894,AF894,0)+IF(ISNUMBER(I895),IF(I895&lt;1,I895,I895*VLOOKUP(J895,Summary!$H$2:$I$9,2)),VLOOKUP(J895,Summary!$J$2:$K$9,2)*IF(ISNUMBER(H895),H895,1))</f>
        <v>0.37030092592592578</v>
      </c>
      <c r="AG895" s="290">
        <v>894</v>
      </c>
      <c r="AH895" s="94"/>
      <c r="AI895" s="94"/>
    </row>
    <row r="896" spans="1:35" s="22" customFormat="1" ht="12" customHeight="1" x14ac:dyDescent="0.2">
      <c r="A896" s="467" t="s">
        <v>15469</v>
      </c>
      <c r="B896" s="467">
        <v>3</v>
      </c>
      <c r="C896" s="467">
        <v>94</v>
      </c>
      <c r="D896" s="185" t="s">
        <v>3243</v>
      </c>
      <c r="E896" s="314" t="s">
        <v>2443</v>
      </c>
      <c r="F896" s="184">
        <v>26950</v>
      </c>
      <c r="G896" s="184">
        <v>27006</v>
      </c>
      <c r="H896" s="185">
        <v>8</v>
      </c>
      <c r="I896" s="185">
        <v>18</v>
      </c>
      <c r="J896" s="901" t="s">
        <v>1796</v>
      </c>
      <c r="K896" s="163" t="s">
        <v>5784</v>
      </c>
      <c r="L896" s="163" t="s">
        <v>3547</v>
      </c>
      <c r="M896" s="163"/>
      <c r="N896" s="163"/>
      <c r="O896" s="163"/>
      <c r="P896" s="182" t="s">
        <v>461</v>
      </c>
      <c r="Q896" s="163" t="s">
        <v>1797</v>
      </c>
      <c r="R896" s="186" t="s">
        <v>4601</v>
      </c>
      <c r="S896" s="355"/>
      <c r="T896" s="182"/>
      <c r="U896" s="182"/>
      <c r="V896" s="182"/>
      <c r="W896" s="328"/>
      <c r="X896" s="660" t="s">
        <v>12324</v>
      </c>
      <c r="Y896" s="355"/>
      <c r="Z896" s="185"/>
      <c r="AA896" s="185"/>
      <c r="AB896" s="33">
        <f t="shared" ca="1" si="15"/>
        <v>0.71755941467764484</v>
      </c>
      <c r="AC896" s="813"/>
      <c r="AD896" s="211"/>
      <c r="AE896" s="875"/>
      <c r="AF896" s="922">
        <f>IF(X896=X895,AF895,0)+IF(ISNUMBER(I896),IF(I896&lt;1,I896,I896*VLOOKUP(J896,Summary!$H$2:$I$9,2)),VLOOKUP(J896,Summary!$J$2:$K$9,2)*IF(ISNUMBER(H896),H896,1))</f>
        <v>0.37655092592592576</v>
      </c>
      <c r="AG896" s="290">
        <v>895</v>
      </c>
      <c r="AH896" s="94"/>
      <c r="AI896" s="94"/>
    </row>
    <row r="897" spans="1:35" s="22" customFormat="1" ht="12" customHeight="1" x14ac:dyDescent="0.2">
      <c r="A897" s="467" t="s">
        <v>15469</v>
      </c>
      <c r="B897" s="467">
        <v>3</v>
      </c>
      <c r="C897" s="467">
        <v>95</v>
      </c>
      <c r="D897" s="185" t="s">
        <v>3245</v>
      </c>
      <c r="E897" s="314" t="s">
        <v>2444</v>
      </c>
      <c r="F897" s="184">
        <v>27013</v>
      </c>
      <c r="G897" s="184">
        <v>27055</v>
      </c>
      <c r="H897" s="185">
        <v>7</v>
      </c>
      <c r="I897" s="185">
        <v>14</v>
      </c>
      <c r="J897" s="901" t="s">
        <v>1796</v>
      </c>
      <c r="K897" s="163" t="s">
        <v>5784</v>
      </c>
      <c r="L897" s="163" t="s">
        <v>3547</v>
      </c>
      <c r="M897" s="163"/>
      <c r="N897" s="163"/>
      <c r="O897" s="163"/>
      <c r="P897" s="182" t="s">
        <v>461</v>
      </c>
      <c r="Q897" s="163" t="s">
        <v>1797</v>
      </c>
      <c r="R897" s="186" t="s">
        <v>4601</v>
      </c>
      <c r="S897" s="355"/>
      <c r="T897" s="182"/>
      <c r="U897" s="182"/>
      <c r="V897" s="182"/>
      <c r="W897" s="328"/>
      <c r="X897" s="660" t="s">
        <v>12324</v>
      </c>
      <c r="Y897" s="355"/>
      <c r="Z897" s="185"/>
      <c r="AA897" s="185"/>
      <c r="AB897" s="33">
        <f t="shared" ca="1" si="15"/>
        <v>0.76692768035991643</v>
      </c>
      <c r="AC897" s="813"/>
      <c r="AD897" s="211"/>
      <c r="AE897" s="875"/>
      <c r="AF897" s="922">
        <f>IF(X897=X896,AF896,0)+IF(ISNUMBER(I897),IF(I897&lt;1,I897,I897*VLOOKUP(J897,Summary!$H$2:$I$9,2)),VLOOKUP(J897,Summary!$J$2:$K$9,2)*IF(ISNUMBER(H897),H897,1))</f>
        <v>0.38141203703703686</v>
      </c>
      <c r="AG897" s="290">
        <v>896</v>
      </c>
      <c r="AH897" s="94"/>
      <c r="AI897" s="94"/>
    </row>
    <row r="898" spans="1:35" s="22" customFormat="1" ht="12" customHeight="1" x14ac:dyDescent="0.2">
      <c r="A898" s="467" t="s">
        <v>15469</v>
      </c>
      <c r="B898" s="467">
        <v>3</v>
      </c>
      <c r="C898" s="467">
        <v>96</v>
      </c>
      <c r="D898" s="185" t="s">
        <v>3246</v>
      </c>
      <c r="E898" s="314" t="s">
        <v>2445</v>
      </c>
      <c r="F898" s="184">
        <v>27062</v>
      </c>
      <c r="G898" s="184">
        <v>27090</v>
      </c>
      <c r="H898" s="185">
        <v>5</v>
      </c>
      <c r="I898" s="185">
        <v>10</v>
      </c>
      <c r="J898" s="901" t="s">
        <v>1796</v>
      </c>
      <c r="K898" s="163" t="s">
        <v>5784</v>
      </c>
      <c r="L898" s="163" t="s">
        <v>3547</v>
      </c>
      <c r="M898" s="163"/>
      <c r="N898" s="163"/>
      <c r="O898" s="163"/>
      <c r="P898" s="182" t="s">
        <v>461</v>
      </c>
      <c r="Q898" s="163" t="s">
        <v>1797</v>
      </c>
      <c r="R898" s="186" t="s">
        <v>4601</v>
      </c>
      <c r="S898" s="355"/>
      <c r="T898" s="182"/>
      <c r="U898" s="182"/>
      <c r="V898" s="182"/>
      <c r="W898" s="328"/>
      <c r="X898" s="660" t="s">
        <v>12324</v>
      </c>
      <c r="Y898" s="355"/>
      <c r="Z898" s="185"/>
      <c r="AA898" s="185"/>
      <c r="AB898" s="33">
        <f t="shared" ref="AB898:AB961" ca="1" si="16">RAND()</f>
        <v>4.8560573252235395E-2</v>
      </c>
      <c r="AC898" s="813"/>
      <c r="AD898" s="211"/>
      <c r="AE898" s="875"/>
      <c r="AF898" s="922">
        <f>IF(X898=X897,AF897,0)+IF(ISNUMBER(I898),IF(I898&lt;1,I898,I898*VLOOKUP(J898,Summary!$H$2:$I$9,2)),VLOOKUP(J898,Summary!$J$2:$K$9,2)*IF(ISNUMBER(H898),H898,1))</f>
        <v>0.38488425925925907</v>
      </c>
      <c r="AG898" s="290">
        <v>897</v>
      </c>
      <c r="AH898" s="94"/>
      <c r="AI898" s="94"/>
    </row>
    <row r="899" spans="1:35" s="22" customFormat="1" ht="12" customHeight="1" x14ac:dyDescent="0.25">
      <c r="A899" s="472" t="s">
        <v>15469</v>
      </c>
      <c r="B899" s="472">
        <v>3</v>
      </c>
      <c r="C899" s="473">
        <v>30.09</v>
      </c>
      <c r="D899" s="176" t="s">
        <v>6056</v>
      </c>
      <c r="E899" s="313" t="s">
        <v>4400</v>
      </c>
      <c r="F899" s="174">
        <v>39783</v>
      </c>
      <c r="G899" s="174"/>
      <c r="H899" s="176" t="s">
        <v>461</v>
      </c>
      <c r="I899" s="176">
        <v>16</v>
      </c>
      <c r="J899" s="900" t="s">
        <v>2755</v>
      </c>
      <c r="K899" s="164" t="s">
        <v>7381</v>
      </c>
      <c r="L899" s="164" t="s">
        <v>461</v>
      </c>
      <c r="M899" s="164"/>
      <c r="N899" s="164" t="s">
        <v>4944</v>
      </c>
      <c r="O899" s="164"/>
      <c r="P899" s="173" t="s">
        <v>6702</v>
      </c>
      <c r="Q899" s="164" t="s">
        <v>3947</v>
      </c>
      <c r="R899" s="177" t="s">
        <v>2723</v>
      </c>
      <c r="S899" s="354"/>
      <c r="T899" s="173"/>
      <c r="U899" s="173"/>
      <c r="V899" s="173"/>
      <c r="W899" s="313" t="s">
        <v>4400</v>
      </c>
      <c r="X899" s="645" t="s">
        <v>12324</v>
      </c>
      <c r="Y899" s="354"/>
      <c r="Z899" s="176"/>
      <c r="AA899" s="176"/>
      <c r="AB899" s="32">
        <f t="shared" ca="1" si="16"/>
        <v>6.5126486758184443E-2</v>
      </c>
      <c r="AC899" s="812"/>
      <c r="AD899" s="763"/>
      <c r="AE899" s="807"/>
      <c r="AF899" s="921">
        <f>IF(X899=X898,AF898,0)+IF(ISNUMBER(I899),IF(I899&lt;1,I899,I899*VLOOKUP(J899,Summary!$H$2:$I$9,2)),VLOOKUP(J899,Summary!$J$2:$K$9,2)*IF(ISNUMBER(H899),H899,1))</f>
        <v>0.39599537037037019</v>
      </c>
      <c r="AG899" s="289">
        <v>898</v>
      </c>
      <c r="AH899" s="94"/>
      <c r="AI899" s="94"/>
    </row>
    <row r="900" spans="1:35" s="22" customFormat="1" ht="12" customHeight="1" x14ac:dyDescent="0.2">
      <c r="A900" s="467" t="s">
        <v>15469</v>
      </c>
      <c r="B900" s="467">
        <v>3</v>
      </c>
      <c r="C900" s="467">
        <v>97</v>
      </c>
      <c r="D900" s="185" t="s">
        <v>3247</v>
      </c>
      <c r="E900" s="314" t="s">
        <v>2446</v>
      </c>
      <c r="F900" s="184">
        <v>27097</v>
      </c>
      <c r="G900" s="184">
        <v>27160</v>
      </c>
      <c r="H900" s="185">
        <v>10</v>
      </c>
      <c r="I900" s="185">
        <v>20</v>
      </c>
      <c r="J900" s="901" t="s">
        <v>1796</v>
      </c>
      <c r="K900" s="163" t="s">
        <v>5784</v>
      </c>
      <c r="L900" s="163" t="s">
        <v>3547</v>
      </c>
      <c r="M900" s="163"/>
      <c r="N900" s="163"/>
      <c r="O900" s="163"/>
      <c r="P900" s="182" t="s">
        <v>461</v>
      </c>
      <c r="Q900" s="163" t="s">
        <v>1797</v>
      </c>
      <c r="R900" s="186" t="s">
        <v>4601</v>
      </c>
      <c r="S900" s="355"/>
      <c r="T900" s="182"/>
      <c r="U900" s="182"/>
      <c r="V900" s="182"/>
      <c r="W900" s="328"/>
      <c r="X900" s="660" t="s">
        <v>12324</v>
      </c>
      <c r="Y900" s="355"/>
      <c r="Z900" s="185"/>
      <c r="AA900" s="185"/>
      <c r="AB900" s="33">
        <f t="shared" ca="1" si="16"/>
        <v>0.31718271231131889</v>
      </c>
      <c r="AC900" s="813"/>
      <c r="AD900" s="211"/>
      <c r="AE900" s="875"/>
      <c r="AF900" s="922">
        <f>IF(X900=X899,AF899,0)+IF(ISNUMBER(I900),IF(I900&lt;1,I900,I900*VLOOKUP(J900,Summary!$H$2:$I$9,2)),VLOOKUP(J900,Summary!$J$2:$K$9,2)*IF(ISNUMBER(H900),H900,1))</f>
        <v>0.40293981481481461</v>
      </c>
      <c r="AG900" s="290">
        <v>899</v>
      </c>
      <c r="AH900" s="94"/>
      <c r="AI900" s="94"/>
    </row>
    <row r="901" spans="1:35" s="22" customFormat="1" ht="12" customHeight="1" x14ac:dyDescent="0.2">
      <c r="A901" s="467" t="s">
        <v>15469</v>
      </c>
      <c r="B901" s="467">
        <v>3</v>
      </c>
      <c r="C901" s="467">
        <v>98</v>
      </c>
      <c r="D901" s="185" t="s">
        <v>15434</v>
      </c>
      <c r="E901" s="314" t="s">
        <v>2447</v>
      </c>
      <c r="F901" s="184">
        <v>27167</v>
      </c>
      <c r="G901" s="184">
        <v>27209</v>
      </c>
      <c r="H901" s="185">
        <v>7</v>
      </c>
      <c r="I901" s="185"/>
      <c r="J901" s="901" t="s">
        <v>1796</v>
      </c>
      <c r="K901" s="163" t="s">
        <v>5784</v>
      </c>
      <c r="L901" s="163" t="s">
        <v>3547</v>
      </c>
      <c r="M901" s="163"/>
      <c r="N901" s="163"/>
      <c r="O901" s="163"/>
      <c r="P901" s="182" t="s">
        <v>461</v>
      </c>
      <c r="Q901" s="163" t="s">
        <v>1797</v>
      </c>
      <c r="R901" s="186" t="s">
        <v>4601</v>
      </c>
      <c r="S901" s="355"/>
      <c r="T901" s="182"/>
      <c r="U901" s="182"/>
      <c r="V901" s="182"/>
      <c r="W901" s="328"/>
      <c r="X901" s="660" t="s">
        <v>12324</v>
      </c>
      <c r="Y901" s="355"/>
      <c r="Z901" s="185"/>
      <c r="AA901" s="185"/>
      <c r="AB901" s="33">
        <f t="shared" ca="1" si="16"/>
        <v>0.30658195851658887</v>
      </c>
      <c r="AC901" s="813"/>
      <c r="AD901" s="211"/>
      <c r="AE901" s="875"/>
      <c r="AF901" s="922">
        <f>IF(X901=X900,AF900,0)+IF(ISNUMBER(I901),IF(I901&lt;1,I901,I901*VLOOKUP(J901,Summary!$H$2:$I$9,2)),VLOOKUP(J901,Summary!$J$2:$K$9,2)*IF(ISNUMBER(H901),H901,1))</f>
        <v>0.42724537037037014</v>
      </c>
      <c r="AG901" s="290">
        <v>900</v>
      </c>
      <c r="AH901" s="94"/>
      <c r="AI901" s="94"/>
    </row>
    <row r="902" spans="1:35" s="27" customFormat="1" ht="12" customHeight="1" x14ac:dyDescent="0.25">
      <c r="A902" s="467" t="s">
        <v>15469</v>
      </c>
      <c r="B902" s="467">
        <v>3</v>
      </c>
      <c r="C902" s="467">
        <v>99</v>
      </c>
      <c r="D902" s="185" t="s">
        <v>3249</v>
      </c>
      <c r="E902" s="314" t="s">
        <v>2448</v>
      </c>
      <c r="F902" s="184">
        <v>27216</v>
      </c>
      <c r="G902" s="184">
        <v>27258</v>
      </c>
      <c r="H902" s="185">
        <v>7</v>
      </c>
      <c r="I902" s="185"/>
      <c r="J902" s="901" t="s">
        <v>1796</v>
      </c>
      <c r="K902" s="163" t="s">
        <v>5784</v>
      </c>
      <c r="L902" s="163" t="s">
        <v>3547</v>
      </c>
      <c r="M902" s="163"/>
      <c r="N902" s="163"/>
      <c r="O902" s="163"/>
      <c r="P902" s="182" t="s">
        <v>461</v>
      </c>
      <c r="Q902" s="163" t="s">
        <v>1797</v>
      </c>
      <c r="R902" s="186" t="s">
        <v>4601</v>
      </c>
      <c r="S902" s="355"/>
      <c r="T902" s="182"/>
      <c r="U902" s="182"/>
      <c r="V902" s="182"/>
      <c r="W902" s="328"/>
      <c r="X902" s="660" t="s">
        <v>12324</v>
      </c>
      <c r="Y902" s="355"/>
      <c r="Z902" s="185"/>
      <c r="AA902" s="185"/>
      <c r="AB902" s="33">
        <f t="shared" ca="1" si="16"/>
        <v>7.4793883128610905E-2</v>
      </c>
      <c r="AC902" s="813"/>
      <c r="AD902" s="211"/>
      <c r="AE902" s="875"/>
      <c r="AF902" s="922">
        <f>IF(X902=X901,AF901,0)+IF(ISNUMBER(I902),IF(I902&lt;1,I902,I902*VLOOKUP(J902,Summary!$H$2:$I$9,2)),VLOOKUP(J902,Summary!$J$2:$K$9,2)*IF(ISNUMBER(H902),H902,1))</f>
        <v>0.45155092592592572</v>
      </c>
      <c r="AG902" s="290">
        <v>901</v>
      </c>
      <c r="AH902" s="94"/>
      <c r="AI902" s="94"/>
    </row>
    <row r="903" spans="1:35" s="22" customFormat="1" ht="12" customHeight="1" x14ac:dyDescent="0.25">
      <c r="A903" s="408" t="s">
        <v>15469</v>
      </c>
      <c r="B903" s="408" t="s">
        <v>2650</v>
      </c>
      <c r="C903" s="408">
        <v>9</v>
      </c>
      <c r="D903" s="176" t="s">
        <v>859</v>
      </c>
      <c r="E903" s="313" t="s">
        <v>832</v>
      </c>
      <c r="F903" s="174">
        <v>36100</v>
      </c>
      <c r="G903" s="175"/>
      <c r="H903" s="176" t="s">
        <v>461</v>
      </c>
      <c r="I903" s="176">
        <v>5</v>
      </c>
      <c r="J903" s="900" t="s">
        <v>2755</v>
      </c>
      <c r="K903" s="164" t="s">
        <v>5658</v>
      </c>
      <c r="L903" s="164"/>
      <c r="M903" s="164"/>
      <c r="N903" s="164" t="s">
        <v>819</v>
      </c>
      <c r="O903" s="164"/>
      <c r="P903" s="178" t="s">
        <v>461</v>
      </c>
      <c r="Q903" s="164" t="s">
        <v>820</v>
      </c>
      <c r="R903" s="177" t="s">
        <v>895</v>
      </c>
      <c r="S903" s="354"/>
      <c r="T903" s="173"/>
      <c r="U903" s="173"/>
      <c r="V903" s="173" t="s">
        <v>3535</v>
      </c>
      <c r="W903" s="313" t="s">
        <v>832</v>
      </c>
      <c r="X903" s="645" t="s">
        <v>12324</v>
      </c>
      <c r="Y903" s="354"/>
      <c r="Z903" s="176"/>
      <c r="AA903" s="176"/>
      <c r="AB903" s="32">
        <f t="shared" ca="1" si="16"/>
        <v>0.92089654915112851</v>
      </c>
      <c r="AC903" s="812"/>
      <c r="AD903" s="763"/>
      <c r="AE903" s="807"/>
      <c r="AF903" s="921">
        <f>IF(X903=X902,AF902,0)+IF(ISNUMBER(I903),IF(I903&lt;1,I903,I903*VLOOKUP(J903,Summary!$H$2:$I$9,2)),VLOOKUP(J903,Summary!$J$2:$K$9,2)*IF(ISNUMBER(H903),H903,1))</f>
        <v>0.45502314814814793</v>
      </c>
      <c r="AG903" s="289">
        <v>902</v>
      </c>
      <c r="AH903" s="94"/>
      <c r="AI903" s="94"/>
    </row>
    <row r="904" spans="1:35" s="22" customFormat="1" ht="12" customHeight="1" x14ac:dyDescent="0.2">
      <c r="A904" s="483" t="s">
        <v>15469</v>
      </c>
      <c r="B904" s="483">
        <v>3</v>
      </c>
      <c r="C904" s="483">
        <v>2</v>
      </c>
      <c r="D904" s="226" t="s">
        <v>5110</v>
      </c>
      <c r="E904" s="331" t="s">
        <v>942</v>
      </c>
      <c r="F904" s="198" t="s">
        <v>3365</v>
      </c>
      <c r="G904" s="198"/>
      <c r="H904" s="226" t="s">
        <v>461</v>
      </c>
      <c r="I904" s="226">
        <v>71</v>
      </c>
      <c r="J904" s="907" t="s">
        <v>1796</v>
      </c>
      <c r="K904" s="228" t="s">
        <v>4464</v>
      </c>
      <c r="L904" s="228" t="s">
        <v>4464</v>
      </c>
      <c r="M904" s="228"/>
      <c r="N904" s="228"/>
      <c r="O904" s="228"/>
      <c r="P904" s="225" t="s">
        <v>461</v>
      </c>
      <c r="Q904" s="228"/>
      <c r="R904" s="227" t="s">
        <v>10292</v>
      </c>
      <c r="S904" s="369"/>
      <c r="T904" s="225"/>
      <c r="U904" s="225"/>
      <c r="V904" s="225"/>
      <c r="W904" s="331" t="s">
        <v>942</v>
      </c>
      <c r="X904" s="663" t="s">
        <v>12324</v>
      </c>
      <c r="Y904" s="369" t="s">
        <v>6000</v>
      </c>
      <c r="Z904" s="226">
        <v>999</v>
      </c>
      <c r="AA904" s="226"/>
      <c r="AB904" s="33">
        <f t="shared" ca="1" si="16"/>
        <v>0.60988340141096753</v>
      </c>
      <c r="AC904" s="813"/>
      <c r="AD904" s="211"/>
      <c r="AE904" s="941"/>
      <c r="AF904" s="922">
        <f>IF(X904=X903,AF903,0)+IF(ISNUMBER(I904),IF(I904&lt;1,I904,I904*VLOOKUP(J904,Summary!$H$2:$I$9,2)),VLOOKUP(J904,Summary!$J$2:$K$9,2)*IF(ISNUMBER(H904),H904,1))</f>
        <v>0.47967592592592573</v>
      </c>
      <c r="AG904" s="295">
        <v>903</v>
      </c>
      <c r="AH904" s="94"/>
      <c r="AI904" s="94"/>
    </row>
    <row r="905" spans="1:35" s="22" customFormat="1" ht="12" customHeight="1" x14ac:dyDescent="0.25">
      <c r="A905" s="472" t="s">
        <v>15469</v>
      </c>
      <c r="B905" s="472">
        <v>3</v>
      </c>
      <c r="C905" s="473">
        <v>25.01</v>
      </c>
      <c r="D905" s="176" t="s">
        <v>3975</v>
      </c>
      <c r="E905" s="313" t="s">
        <v>1686</v>
      </c>
      <c r="F905" s="174">
        <v>39417</v>
      </c>
      <c r="G905" s="174"/>
      <c r="H905" s="176">
        <v>1</v>
      </c>
      <c r="I905" s="176">
        <v>8</v>
      </c>
      <c r="J905" s="900" t="s">
        <v>2755</v>
      </c>
      <c r="K905" s="164" t="s">
        <v>5146</v>
      </c>
      <c r="L905" s="164" t="s">
        <v>461</v>
      </c>
      <c r="M905" s="164"/>
      <c r="N905" s="164" t="s">
        <v>5146</v>
      </c>
      <c r="O905" s="164"/>
      <c r="P905" s="173" t="s">
        <v>6701</v>
      </c>
      <c r="Q905" s="164" t="s">
        <v>3947</v>
      </c>
      <c r="R905" s="177" t="s">
        <v>2723</v>
      </c>
      <c r="S905" s="354"/>
      <c r="T905" s="173" t="s">
        <v>2597</v>
      </c>
      <c r="U905" s="173"/>
      <c r="V905" s="173"/>
      <c r="W905" s="313" t="s">
        <v>1686</v>
      </c>
      <c r="X905" s="645" t="s">
        <v>12324</v>
      </c>
      <c r="Y905" s="354"/>
      <c r="Z905" s="176"/>
      <c r="AA905" s="176"/>
      <c r="AB905" s="32">
        <f t="shared" ca="1" si="16"/>
        <v>0.84117598337346466</v>
      </c>
      <c r="AC905" s="812"/>
      <c r="AD905" s="763"/>
      <c r="AE905" s="807"/>
      <c r="AF905" s="921">
        <f>IF(X905=X904,AF904,0)+IF(ISNUMBER(I905),IF(I905&lt;1,I905,I905*VLOOKUP(J905,Summary!$H$2:$I$9,2)),VLOOKUP(J905,Summary!$J$2:$K$9,2)*IF(ISNUMBER(H905),H905,1))</f>
        <v>0.48523148148148126</v>
      </c>
      <c r="AG905" s="289">
        <v>904</v>
      </c>
      <c r="AH905" s="94"/>
      <c r="AI905" s="94"/>
    </row>
    <row r="906" spans="1:35" s="22" customFormat="1" ht="12" customHeight="1" x14ac:dyDescent="0.25">
      <c r="A906" s="472" t="s">
        <v>15469</v>
      </c>
      <c r="B906" s="472">
        <v>3</v>
      </c>
      <c r="C906" s="473">
        <v>20.04</v>
      </c>
      <c r="D906" s="176" t="s">
        <v>1687</v>
      </c>
      <c r="E906" s="313" t="s">
        <v>1688</v>
      </c>
      <c r="F906" s="174">
        <v>38961</v>
      </c>
      <c r="G906" s="174"/>
      <c r="H906" s="176">
        <v>1</v>
      </c>
      <c r="I906" s="176">
        <v>12</v>
      </c>
      <c r="J906" s="900" t="s">
        <v>2755</v>
      </c>
      <c r="K906" s="164" t="s">
        <v>4693</v>
      </c>
      <c r="L906" s="164" t="s">
        <v>461</v>
      </c>
      <c r="M906" s="164"/>
      <c r="N906" s="164" t="s">
        <v>7381</v>
      </c>
      <c r="O906" s="164"/>
      <c r="P906" s="173" t="s">
        <v>705</v>
      </c>
      <c r="Q906" s="164" t="s">
        <v>3947</v>
      </c>
      <c r="R906" s="177" t="s">
        <v>2723</v>
      </c>
      <c r="S906" s="354"/>
      <c r="T906" s="173"/>
      <c r="U906" s="173"/>
      <c r="V906" s="173"/>
      <c r="W906" s="313" t="s">
        <v>1688</v>
      </c>
      <c r="X906" s="645" t="s">
        <v>12324</v>
      </c>
      <c r="Y906" s="354"/>
      <c r="Z906" s="176"/>
      <c r="AA906" s="176"/>
      <c r="AB906" s="32">
        <f t="shared" ca="1" si="16"/>
        <v>0.23287030187370694</v>
      </c>
      <c r="AC906" s="812"/>
      <c r="AD906" s="763"/>
      <c r="AE906" s="807"/>
      <c r="AF906" s="921">
        <f>IF(X906=X905,AF905,0)+IF(ISNUMBER(I906),IF(I906&lt;1,I906,I906*VLOOKUP(J906,Summary!$H$2:$I$9,2)),VLOOKUP(J906,Summary!$J$2:$K$9,2)*IF(ISNUMBER(H906),H906,1))</f>
        <v>0.49356481481481462</v>
      </c>
      <c r="AG906" s="289">
        <v>905</v>
      </c>
      <c r="AH906" s="94"/>
      <c r="AI906" s="94"/>
    </row>
    <row r="907" spans="1:35" s="22" customFormat="1" ht="12" customHeight="1" x14ac:dyDescent="0.25">
      <c r="A907" s="472" t="s">
        <v>15469</v>
      </c>
      <c r="B907" s="472">
        <v>3</v>
      </c>
      <c r="C907" s="473">
        <v>29.04</v>
      </c>
      <c r="D907" s="176" t="s">
        <v>955</v>
      </c>
      <c r="E907" s="313" t="s">
        <v>2415</v>
      </c>
      <c r="F907" s="174">
        <v>39692</v>
      </c>
      <c r="G907" s="174"/>
      <c r="H907" s="176" t="s">
        <v>461</v>
      </c>
      <c r="I907" s="176">
        <v>4</v>
      </c>
      <c r="J907" s="900" t="s">
        <v>2755</v>
      </c>
      <c r="K907" s="164" t="s">
        <v>2414</v>
      </c>
      <c r="L907" s="164" t="s">
        <v>461</v>
      </c>
      <c r="M907" s="164"/>
      <c r="N907" s="164" t="s">
        <v>5664</v>
      </c>
      <c r="O907" s="164"/>
      <c r="P907" s="173" t="s">
        <v>6707</v>
      </c>
      <c r="Q907" s="164" t="s">
        <v>3947</v>
      </c>
      <c r="R907" s="177" t="s">
        <v>2723</v>
      </c>
      <c r="S907" s="354"/>
      <c r="T907" s="173"/>
      <c r="U907" s="173"/>
      <c r="V907" s="173"/>
      <c r="W907" s="313" t="s">
        <v>2415</v>
      </c>
      <c r="X907" s="645" t="s">
        <v>12324</v>
      </c>
      <c r="Y907" s="354"/>
      <c r="Z907" s="176"/>
      <c r="AA907" s="176"/>
      <c r="AB907" s="32">
        <f t="shared" ca="1" si="16"/>
        <v>0.53677611699746108</v>
      </c>
      <c r="AC907" s="812"/>
      <c r="AD907" s="763"/>
      <c r="AE907" s="807"/>
      <c r="AF907" s="921">
        <f>IF(X907=X906,AF906,0)+IF(ISNUMBER(I907),IF(I907&lt;1,I907,I907*VLOOKUP(J907,Summary!$H$2:$I$9,2)),VLOOKUP(J907,Summary!$J$2:$K$9,2)*IF(ISNUMBER(H907),H907,1))</f>
        <v>0.49634259259259239</v>
      </c>
      <c r="AG907" s="289">
        <v>906</v>
      </c>
      <c r="AH907" s="94"/>
      <c r="AI907" s="94"/>
    </row>
    <row r="908" spans="1:35" s="43" customFormat="1" ht="12" customHeight="1" x14ac:dyDescent="0.25">
      <c r="A908" s="466" t="s">
        <v>1463</v>
      </c>
      <c r="B908" s="466">
        <v>3</v>
      </c>
      <c r="C908" s="466">
        <v>70</v>
      </c>
      <c r="D908" s="424" t="s">
        <v>1464</v>
      </c>
      <c r="E908" s="319" t="s">
        <v>529</v>
      </c>
      <c r="F908" s="198">
        <v>27013</v>
      </c>
      <c r="G908" s="198">
        <v>27034</v>
      </c>
      <c r="H908" s="199">
        <v>4</v>
      </c>
      <c r="I908" s="791">
        <f>TIME(0,24,15)+TIME(0,24,10)+TIME(0,23,30)+TIME(0,24,57)</f>
        <v>6.7268518518518519E-2</v>
      </c>
      <c r="J908" s="904" t="s">
        <v>1588</v>
      </c>
      <c r="K908" s="200" t="s">
        <v>1093</v>
      </c>
      <c r="L908" s="200" t="s">
        <v>5043</v>
      </c>
      <c r="M908" s="200"/>
      <c r="N908" s="200" t="s">
        <v>1088</v>
      </c>
      <c r="O908" s="200" t="s">
        <v>1884</v>
      </c>
      <c r="P908" s="197" t="s">
        <v>461</v>
      </c>
      <c r="Q908" s="200" t="s">
        <v>3946</v>
      </c>
      <c r="R908" s="201" t="s">
        <v>5280</v>
      </c>
      <c r="S908" s="390" t="s">
        <v>53</v>
      </c>
      <c r="T908" s="197" t="s">
        <v>2597</v>
      </c>
      <c r="U908" s="197"/>
      <c r="V908" s="197"/>
      <c r="W908" s="318" t="s">
        <v>8689</v>
      </c>
      <c r="X908" s="650" t="s">
        <v>12324</v>
      </c>
      <c r="Y908" s="358" t="s">
        <v>6141</v>
      </c>
      <c r="Z908" s="253">
        <v>41</v>
      </c>
      <c r="AA908" s="253">
        <v>8.5</v>
      </c>
      <c r="AB908" s="35">
        <f t="shared" ca="1" si="16"/>
        <v>0.3327957080876135</v>
      </c>
      <c r="AC908" s="820"/>
      <c r="AD908" s="821" t="s">
        <v>15083</v>
      </c>
      <c r="AE908" s="944" t="s">
        <v>15082</v>
      </c>
      <c r="AF908" s="925">
        <f>IF(X908=X907,AF907,0)+IF(ISNUMBER(I908),IF(I908&lt;1,I908,I908*VLOOKUP(J908,Summary!$H$2:$I$9,2)),VLOOKUP(J908,Summary!$J$2:$K$9,2)*IF(ISNUMBER(H908),H908,1))</f>
        <v>0.56361111111111095</v>
      </c>
      <c r="AG908" s="293">
        <v>907</v>
      </c>
      <c r="AH908" s="94"/>
      <c r="AI908" s="94"/>
    </row>
    <row r="909" spans="1:35" s="22" customFormat="1" ht="12" customHeight="1" x14ac:dyDescent="0.2">
      <c r="A909" s="467">
        <v>11</v>
      </c>
      <c r="B909" s="467">
        <v>3</v>
      </c>
      <c r="C909" s="467"/>
      <c r="D909" s="185" t="s">
        <v>1708</v>
      </c>
      <c r="E909" s="314" t="s">
        <v>4474</v>
      </c>
      <c r="F909" s="183">
        <v>26908</v>
      </c>
      <c r="G909" s="185"/>
      <c r="H909" s="185" t="s">
        <v>461</v>
      </c>
      <c r="I909" s="185">
        <v>6</v>
      </c>
      <c r="J909" s="901" t="s">
        <v>1796</v>
      </c>
      <c r="K909" s="163" t="s">
        <v>5784</v>
      </c>
      <c r="L909" s="163" t="s">
        <v>3244</v>
      </c>
      <c r="M909" s="163"/>
      <c r="N909" s="163"/>
      <c r="O909" s="163"/>
      <c r="P909" s="182" t="s">
        <v>2728</v>
      </c>
      <c r="Q909" s="163" t="s">
        <v>4705</v>
      </c>
      <c r="R909" s="186" t="s">
        <v>4600</v>
      </c>
      <c r="S909" s="355" t="s">
        <v>53</v>
      </c>
      <c r="T909" s="182"/>
      <c r="U909" s="182"/>
      <c r="V909" s="182"/>
      <c r="W909" s="314" t="s">
        <v>4474</v>
      </c>
      <c r="X909" s="646" t="s">
        <v>12324</v>
      </c>
      <c r="Y909" s="355" t="s">
        <v>6000</v>
      </c>
      <c r="Z909" s="185">
        <v>999</v>
      </c>
      <c r="AA909" s="185"/>
      <c r="AB909" s="33">
        <f t="shared" ca="1" si="16"/>
        <v>0.21645172594143203</v>
      </c>
      <c r="AC909" s="813"/>
      <c r="AD909" s="211"/>
      <c r="AE909" s="941"/>
      <c r="AF909" s="922">
        <f>IF(X909=X908,AF908,0)+IF(ISNUMBER(I909),IF(I909&lt;1,I909,I909*VLOOKUP(J909,Summary!$H$2:$I$9,2)),VLOOKUP(J909,Summary!$J$2:$K$9,2)*IF(ISNUMBER(H909),H909,1))</f>
        <v>0.56569444444444428</v>
      </c>
      <c r="AG909" s="290">
        <v>908</v>
      </c>
      <c r="AH909" s="94"/>
      <c r="AI909" s="94"/>
    </row>
    <row r="910" spans="1:35" s="22" customFormat="1" ht="12" customHeight="1" x14ac:dyDescent="0.2">
      <c r="A910" s="465" t="s">
        <v>1463</v>
      </c>
      <c r="B910" s="465">
        <v>3</v>
      </c>
      <c r="C910" s="465">
        <v>1</v>
      </c>
      <c r="D910" s="407" t="s">
        <v>4887</v>
      </c>
      <c r="E910" s="315" t="s">
        <v>6971</v>
      </c>
      <c r="F910" s="196">
        <v>34208</v>
      </c>
      <c r="G910" s="196">
        <v>34236</v>
      </c>
      <c r="H910" s="170">
        <v>5</v>
      </c>
      <c r="I910" s="746">
        <f>TIME(2,30,0)</f>
        <v>0.10416666666666667</v>
      </c>
      <c r="J910" s="899" t="s">
        <v>4706</v>
      </c>
      <c r="K910" s="167" t="s">
        <v>1884</v>
      </c>
      <c r="L910" s="167" t="s">
        <v>5463</v>
      </c>
      <c r="M910" s="167"/>
      <c r="N910" s="167"/>
      <c r="O910" s="167"/>
      <c r="P910" s="168" t="s">
        <v>9003</v>
      </c>
      <c r="Q910" s="167" t="s">
        <v>3948</v>
      </c>
      <c r="R910" s="172" t="s">
        <v>3408</v>
      </c>
      <c r="S910" s="388" t="s">
        <v>53</v>
      </c>
      <c r="T910" s="168" t="s">
        <v>2597</v>
      </c>
      <c r="U910" s="168"/>
      <c r="V910" s="168"/>
      <c r="W910" s="312"/>
      <c r="X910" s="644" t="s">
        <v>12324</v>
      </c>
      <c r="Y910" s="352"/>
      <c r="Z910" s="353"/>
      <c r="AA910" s="353"/>
      <c r="AB910" s="31">
        <f t="shared" ca="1" si="16"/>
        <v>0.93260909512460954</v>
      </c>
      <c r="AC910" s="810"/>
      <c r="AD910" s="811"/>
      <c r="AE910" s="940"/>
      <c r="AF910" s="920">
        <f>IF(X910=X909,AF909,0)+IF(ISNUMBER(I910),IF(I910&lt;1,I910,I910*VLOOKUP(J910,Summary!$H$2:$I$9,2)),VLOOKUP(J910,Summary!$J$2:$K$9,2)*IF(ISNUMBER(H910),H910,1))</f>
        <v>0.66986111111111091</v>
      </c>
      <c r="AG910" s="287">
        <v>909</v>
      </c>
      <c r="AH910" s="94"/>
      <c r="AI910" s="94"/>
    </row>
    <row r="911" spans="1:35" s="22" customFormat="1" ht="12" customHeight="1" x14ac:dyDescent="0.25">
      <c r="A911" s="472">
        <v>11</v>
      </c>
      <c r="B911" s="472">
        <v>3</v>
      </c>
      <c r="C911" s="473">
        <v>19.04</v>
      </c>
      <c r="D911" s="176" t="s">
        <v>4582</v>
      </c>
      <c r="E911" s="313" t="s">
        <v>4583</v>
      </c>
      <c r="F911" s="174">
        <v>38808</v>
      </c>
      <c r="G911" s="174"/>
      <c r="H911" s="176">
        <v>1</v>
      </c>
      <c r="I911" s="176">
        <v>19</v>
      </c>
      <c r="J911" s="900" t="s">
        <v>2755</v>
      </c>
      <c r="K911" s="164" t="s">
        <v>4584</v>
      </c>
      <c r="L911" s="164" t="s">
        <v>461</v>
      </c>
      <c r="M911" s="164"/>
      <c r="N911" s="164" t="s">
        <v>4552</v>
      </c>
      <c r="O911" s="164"/>
      <c r="P911" s="173" t="s">
        <v>5020</v>
      </c>
      <c r="Q911" s="164" t="s">
        <v>3947</v>
      </c>
      <c r="R911" s="177" t="s">
        <v>2723</v>
      </c>
      <c r="S911" s="354" t="s">
        <v>53</v>
      </c>
      <c r="T911" s="173"/>
      <c r="U911" s="173"/>
      <c r="V911" s="173"/>
      <c r="W911" s="313" t="s">
        <v>4583</v>
      </c>
      <c r="X911" s="645" t="s">
        <v>12324</v>
      </c>
      <c r="Y911" s="354"/>
      <c r="Z911" s="176"/>
      <c r="AA911" s="176"/>
      <c r="AB911" s="32">
        <f t="shared" ca="1" si="16"/>
        <v>0.28285034039222257</v>
      </c>
      <c r="AC911" s="812"/>
      <c r="AD911" s="763"/>
      <c r="AE911" s="807"/>
      <c r="AF911" s="921">
        <f>IF(X911=X910,AF910,0)+IF(ISNUMBER(I911),IF(I911&lt;1,I911,I911*VLOOKUP(J911,Summary!$H$2:$I$9,2)),VLOOKUP(J911,Summary!$J$2:$K$9,2)*IF(ISNUMBER(H911),H911,1))</f>
        <v>0.6830555555555553</v>
      </c>
      <c r="AG911" s="289">
        <v>910</v>
      </c>
      <c r="AH911" s="94"/>
      <c r="AI911" s="94"/>
    </row>
    <row r="912" spans="1:35" s="22" customFormat="1" ht="12" customHeight="1" x14ac:dyDescent="0.25">
      <c r="A912" s="472">
        <v>11</v>
      </c>
      <c r="B912" s="472">
        <v>3</v>
      </c>
      <c r="C912" s="472"/>
      <c r="D912" s="176" t="s">
        <v>1707</v>
      </c>
      <c r="E912" s="313" t="s">
        <v>2456</v>
      </c>
      <c r="F912" s="174">
        <v>26908</v>
      </c>
      <c r="G912" s="176"/>
      <c r="H912" s="176" t="s">
        <v>461</v>
      </c>
      <c r="I912" s="176">
        <v>5</v>
      </c>
      <c r="J912" s="900" t="s">
        <v>2755</v>
      </c>
      <c r="K912" s="164" t="s">
        <v>5784</v>
      </c>
      <c r="L912" s="164" t="s">
        <v>5784</v>
      </c>
      <c r="M912" s="164"/>
      <c r="N912" s="164"/>
      <c r="O912" s="164"/>
      <c r="P912" s="173" t="s">
        <v>2728</v>
      </c>
      <c r="Q912" s="164" t="s">
        <v>4705</v>
      </c>
      <c r="R912" s="177" t="s">
        <v>4600</v>
      </c>
      <c r="S912" s="354" t="s">
        <v>53</v>
      </c>
      <c r="T912" s="173"/>
      <c r="U912" s="173"/>
      <c r="V912" s="173"/>
      <c r="W912" s="313" t="s">
        <v>2456</v>
      </c>
      <c r="X912" s="645" t="s">
        <v>12324</v>
      </c>
      <c r="Y912" s="354" t="s">
        <v>6000</v>
      </c>
      <c r="Z912" s="176">
        <v>999</v>
      </c>
      <c r="AA912" s="176"/>
      <c r="AB912" s="32">
        <f t="shared" ca="1" si="16"/>
        <v>0.21746671127426687</v>
      </c>
      <c r="AC912" s="812"/>
      <c r="AD912" s="763"/>
      <c r="AE912" s="807"/>
      <c r="AF912" s="921">
        <f>IF(X912=X911,AF911,0)+IF(ISNUMBER(I912),IF(I912&lt;1,I912,I912*VLOOKUP(J912,Summary!$H$2:$I$9,2)),VLOOKUP(J912,Summary!$J$2:$K$9,2)*IF(ISNUMBER(H912),H912,1))</f>
        <v>0.68652777777777751</v>
      </c>
      <c r="AG912" s="289">
        <v>911</v>
      </c>
      <c r="AH912" s="94"/>
      <c r="AI912" s="94"/>
    </row>
    <row r="913" spans="1:35" s="1" customFormat="1" ht="12" customHeight="1" x14ac:dyDescent="0.25">
      <c r="A913" s="472">
        <v>11</v>
      </c>
      <c r="B913" s="472">
        <v>3</v>
      </c>
      <c r="C913" s="472"/>
      <c r="D913" s="176" t="s">
        <v>1707</v>
      </c>
      <c r="E913" s="313" t="s">
        <v>2457</v>
      </c>
      <c r="F913" s="174">
        <v>26908</v>
      </c>
      <c r="G913" s="176"/>
      <c r="H913" s="176" t="s">
        <v>461</v>
      </c>
      <c r="I913" s="176">
        <v>6</v>
      </c>
      <c r="J913" s="900" t="s">
        <v>2755</v>
      </c>
      <c r="K913" s="164" t="s">
        <v>5784</v>
      </c>
      <c r="L913" s="164" t="s">
        <v>5784</v>
      </c>
      <c r="M913" s="164"/>
      <c r="N913" s="164"/>
      <c r="O913" s="164"/>
      <c r="P913" s="173" t="s">
        <v>2728</v>
      </c>
      <c r="Q913" s="164" t="s">
        <v>4705</v>
      </c>
      <c r="R913" s="177" t="s">
        <v>4600</v>
      </c>
      <c r="S913" s="354" t="s">
        <v>53</v>
      </c>
      <c r="T913" s="173"/>
      <c r="U913" s="173"/>
      <c r="V913" s="173"/>
      <c r="W913" s="313" t="s">
        <v>2457</v>
      </c>
      <c r="X913" s="645" t="s">
        <v>12324</v>
      </c>
      <c r="Y913" s="354" t="s">
        <v>6000</v>
      </c>
      <c r="Z913" s="176">
        <v>999</v>
      </c>
      <c r="AA913" s="176"/>
      <c r="AB913" s="32">
        <f t="shared" ca="1" si="16"/>
        <v>0.19299771833559098</v>
      </c>
      <c r="AC913" s="812"/>
      <c r="AD913" s="763"/>
      <c r="AE913" s="807"/>
      <c r="AF913" s="921">
        <f>IF(X913=X912,AF912,0)+IF(ISNUMBER(I913),IF(I913&lt;1,I913,I913*VLOOKUP(J913,Summary!$H$2:$I$9,2)),VLOOKUP(J913,Summary!$J$2:$K$9,2)*IF(ISNUMBER(H913),H913,1))</f>
        <v>0.69069444444444417</v>
      </c>
      <c r="AG913" s="289">
        <v>912</v>
      </c>
      <c r="AH913" s="94"/>
      <c r="AI913" s="94"/>
    </row>
    <row r="914" spans="1:35" s="22" customFormat="1" ht="12" customHeight="1" x14ac:dyDescent="0.25">
      <c r="A914" s="466" t="s">
        <v>1463</v>
      </c>
      <c r="B914" s="466">
        <v>3</v>
      </c>
      <c r="C914" s="466">
        <v>71</v>
      </c>
      <c r="D914" s="424" t="s">
        <v>6972</v>
      </c>
      <c r="E914" s="319" t="s">
        <v>6973</v>
      </c>
      <c r="F914" s="198">
        <v>27041</v>
      </c>
      <c r="G914" s="198">
        <v>27076</v>
      </c>
      <c r="H914" s="199">
        <v>6</v>
      </c>
      <c r="I914" s="791">
        <f>TIME(0,25,29)+TIME(0,24,43)+TIME(0,23,26)+TIME(0,23,33)+TIME(0,24,30)+TIME(0,25,34)</f>
        <v>0.10225694444444444</v>
      </c>
      <c r="J914" s="904" t="s">
        <v>1588</v>
      </c>
      <c r="K914" s="200" t="s">
        <v>2682</v>
      </c>
      <c r="L914" s="200" t="s">
        <v>5404</v>
      </c>
      <c r="M914" s="200"/>
      <c r="N914" s="200" t="s">
        <v>1088</v>
      </c>
      <c r="O914" s="200" t="s">
        <v>1884</v>
      </c>
      <c r="P914" s="197" t="s">
        <v>461</v>
      </c>
      <c r="Q914" s="200" t="s">
        <v>3946</v>
      </c>
      <c r="R914" s="201" t="s">
        <v>5280</v>
      </c>
      <c r="S914" s="390" t="s">
        <v>53</v>
      </c>
      <c r="T914" s="197" t="s">
        <v>2597</v>
      </c>
      <c r="U914" s="197" t="s">
        <v>2600</v>
      </c>
      <c r="V914" s="197" t="s">
        <v>2601</v>
      </c>
      <c r="W914" s="318" t="s">
        <v>8690</v>
      </c>
      <c r="X914" s="650" t="s">
        <v>12324</v>
      </c>
      <c r="Y914" s="358" t="s">
        <v>6141</v>
      </c>
      <c r="Z914" s="253">
        <v>218</v>
      </c>
      <c r="AA914" s="253">
        <v>4</v>
      </c>
      <c r="AB914" s="35">
        <f t="shared" ca="1" si="16"/>
        <v>0.52479980347852051</v>
      </c>
      <c r="AC914" s="820"/>
      <c r="AD914" s="821" t="s">
        <v>15823</v>
      </c>
      <c r="AE914" s="944"/>
      <c r="AF914" s="925">
        <f>IF(X914=X913,AF913,0)+IF(ISNUMBER(I914),IF(I914&lt;1,I914,I914*VLOOKUP(J914,Summary!$H$2:$I$9,2)),VLOOKUP(J914,Summary!$J$2:$K$9,2)*IF(ISNUMBER(H914),H914,1))</f>
        <v>0.79295138888888861</v>
      </c>
      <c r="AG914" s="293">
        <v>913</v>
      </c>
      <c r="AH914" s="94"/>
      <c r="AI914" s="94"/>
    </row>
    <row r="915" spans="1:35" s="1" customFormat="1" ht="12" customHeight="1" x14ac:dyDescent="0.25">
      <c r="A915" s="472">
        <v>11</v>
      </c>
      <c r="B915" s="472">
        <v>3</v>
      </c>
      <c r="C915" s="473">
        <v>26.08</v>
      </c>
      <c r="D915" s="176" t="s">
        <v>5879</v>
      </c>
      <c r="E915" s="313" t="s">
        <v>5880</v>
      </c>
      <c r="F915" s="174">
        <v>39508</v>
      </c>
      <c r="G915" s="174"/>
      <c r="H915" s="176">
        <v>1</v>
      </c>
      <c r="I915" s="176">
        <v>12</v>
      </c>
      <c r="J915" s="900" t="s">
        <v>2755</v>
      </c>
      <c r="K915" s="164" t="s">
        <v>1881</v>
      </c>
      <c r="L915" s="164" t="s">
        <v>461</v>
      </c>
      <c r="M915" s="164"/>
      <c r="N915" s="164" t="s">
        <v>7381</v>
      </c>
      <c r="O915" s="164"/>
      <c r="P915" s="173" t="s">
        <v>6706</v>
      </c>
      <c r="Q915" s="164" t="s">
        <v>3947</v>
      </c>
      <c r="R915" s="177" t="s">
        <v>2723</v>
      </c>
      <c r="S915" s="354" t="s">
        <v>53</v>
      </c>
      <c r="T915" s="173"/>
      <c r="U915" s="173"/>
      <c r="V915" s="173"/>
      <c r="W915" s="313" t="s">
        <v>5880</v>
      </c>
      <c r="X915" s="645" t="s">
        <v>12324</v>
      </c>
      <c r="Y915" s="354"/>
      <c r="Z915" s="176"/>
      <c r="AA915" s="176"/>
      <c r="AB915" s="32">
        <f t="shared" ca="1" si="16"/>
        <v>0.13846410026164768</v>
      </c>
      <c r="AC915" s="812"/>
      <c r="AD915" s="763"/>
      <c r="AE915" s="807"/>
      <c r="AF915" s="921">
        <f>IF(X915=X914,AF914,0)+IF(ISNUMBER(I915),IF(I915&lt;1,I915,I915*VLOOKUP(J915,Summary!$H$2:$I$9,2)),VLOOKUP(J915,Summary!$J$2:$K$9,2)*IF(ISNUMBER(H915),H915,1))</f>
        <v>0.80128472222222191</v>
      </c>
      <c r="AG915" s="289">
        <v>914</v>
      </c>
      <c r="AH915" s="94"/>
      <c r="AI915" s="94"/>
    </row>
    <row r="916" spans="1:35" s="22" customFormat="1" ht="12" customHeight="1" x14ac:dyDescent="0.25">
      <c r="A916" s="466" t="s">
        <v>1463</v>
      </c>
      <c r="B916" s="466">
        <v>3</v>
      </c>
      <c r="C916" s="466">
        <v>72</v>
      </c>
      <c r="D916" s="424" t="s">
        <v>6974</v>
      </c>
      <c r="E916" s="319" t="s">
        <v>6975</v>
      </c>
      <c r="F916" s="198">
        <v>27083</v>
      </c>
      <c r="G916" s="198">
        <v>27104</v>
      </c>
      <c r="H916" s="199">
        <v>4</v>
      </c>
      <c r="I916" s="791">
        <f>TIME(0,24,32)+TIME(0,24,25)+TIME(0,24,24)+TIME(0,24,35)</f>
        <v>6.8009259259259255E-2</v>
      </c>
      <c r="J916" s="904" t="s">
        <v>1588</v>
      </c>
      <c r="K916" s="200" t="s">
        <v>6148</v>
      </c>
      <c r="L916" s="200" t="s">
        <v>7015</v>
      </c>
      <c r="M916" s="200"/>
      <c r="N916" s="200" t="s">
        <v>1088</v>
      </c>
      <c r="O916" s="200" t="s">
        <v>1884</v>
      </c>
      <c r="P916" s="197" t="s">
        <v>461</v>
      </c>
      <c r="Q916" s="200" t="s">
        <v>3946</v>
      </c>
      <c r="R916" s="201" t="s">
        <v>5280</v>
      </c>
      <c r="S916" s="390" t="s">
        <v>53</v>
      </c>
      <c r="T916" s="197"/>
      <c r="U916" s="197"/>
      <c r="V916" s="197"/>
      <c r="W916" s="318" t="s">
        <v>8691</v>
      </c>
      <c r="X916" s="650" t="s">
        <v>12324</v>
      </c>
      <c r="Y916" s="358" t="s">
        <v>6141</v>
      </c>
      <c r="Z916" s="253">
        <v>250</v>
      </c>
      <c r="AA916" s="253">
        <v>3.5</v>
      </c>
      <c r="AB916" s="35">
        <f t="shared" ca="1" si="16"/>
        <v>0.22229261380593879</v>
      </c>
      <c r="AC916" s="820"/>
      <c r="AD916" s="821" t="s">
        <v>16274</v>
      </c>
      <c r="AE916" s="944" t="s">
        <v>3365</v>
      </c>
      <c r="AF916" s="925">
        <f>IF(X916=X915,AF915,0)+IF(ISNUMBER(I916),IF(I916&lt;1,I916,I916*VLOOKUP(J916,Summary!$H$2:$I$9,2)),VLOOKUP(J916,Summary!$J$2:$K$9,2)*IF(ISNUMBER(H916),H916,1))</f>
        <v>0.86929398148148118</v>
      </c>
      <c r="AG916" s="293">
        <v>915</v>
      </c>
      <c r="AH916" s="94"/>
      <c r="AI916" s="94"/>
    </row>
    <row r="917" spans="1:35" s="2" customFormat="1" ht="12" customHeight="1" x14ac:dyDescent="0.25">
      <c r="A917" s="469">
        <v>11</v>
      </c>
      <c r="B917" s="469">
        <v>3</v>
      </c>
      <c r="C917" s="470">
        <v>17.079999999999998</v>
      </c>
      <c r="D917" s="192" t="s">
        <v>7455</v>
      </c>
      <c r="E917" s="317" t="s">
        <v>7456</v>
      </c>
      <c r="F917" s="191">
        <v>38596</v>
      </c>
      <c r="G917" s="191"/>
      <c r="H917" s="192">
        <v>1</v>
      </c>
      <c r="I917" s="753">
        <f>TIME(0,50,31)</f>
        <v>3.5081018518518518E-2</v>
      </c>
      <c r="J917" s="903" t="s">
        <v>2755</v>
      </c>
      <c r="K917" s="194" t="s">
        <v>2675</v>
      </c>
      <c r="L917" s="194" t="s">
        <v>461</v>
      </c>
      <c r="M917" s="194" t="s">
        <v>13151</v>
      </c>
      <c r="N917" s="194" t="s">
        <v>7375</v>
      </c>
      <c r="O917" s="194"/>
      <c r="P917" s="190" t="s">
        <v>2568</v>
      </c>
      <c r="Q917" s="194" t="s">
        <v>3947</v>
      </c>
      <c r="R917" s="193" t="s">
        <v>2723</v>
      </c>
      <c r="S917" s="357" t="s">
        <v>53</v>
      </c>
      <c r="T917" s="190"/>
      <c r="U917" s="190"/>
      <c r="V917" s="190"/>
      <c r="W917" s="317" t="s">
        <v>7456</v>
      </c>
      <c r="X917" s="649" t="s">
        <v>12324</v>
      </c>
      <c r="Y917" s="357" t="s">
        <v>5643</v>
      </c>
      <c r="Z917" s="192">
        <v>999</v>
      </c>
      <c r="AA917" s="192"/>
      <c r="AB917" s="37">
        <f t="shared" ca="1" si="16"/>
        <v>0.31823756406380188</v>
      </c>
      <c r="AC917" s="816"/>
      <c r="AD917" s="817"/>
      <c r="AE917" s="943"/>
      <c r="AF917" s="924">
        <f>IF(X917=X916,AF916,0)+IF(ISNUMBER(I917),IF(I917&lt;1,I917,I917*VLOOKUP(J917,Summary!$H$2:$I$9,2)),VLOOKUP(J917,Summary!$J$2:$K$9,2)*IF(ISNUMBER(H917),H917,1))</f>
        <v>0.90437499999999971</v>
      </c>
      <c r="AG917" s="292">
        <v>916</v>
      </c>
      <c r="AH917" s="94"/>
      <c r="AI917" s="94"/>
    </row>
    <row r="918" spans="1:35" s="29" customFormat="1" ht="12" customHeight="1" x14ac:dyDescent="0.25">
      <c r="A918" s="472">
        <v>11</v>
      </c>
      <c r="B918" s="472">
        <v>3</v>
      </c>
      <c r="C918" s="472">
        <v>56</v>
      </c>
      <c r="D918" s="176" t="s">
        <v>7624</v>
      </c>
      <c r="E918" s="313" t="s">
        <v>54</v>
      </c>
      <c r="F918" s="174">
        <v>34578</v>
      </c>
      <c r="G918" s="174"/>
      <c r="H918" s="176">
        <v>1</v>
      </c>
      <c r="I918" s="176">
        <v>4</v>
      </c>
      <c r="J918" s="900" t="s">
        <v>2755</v>
      </c>
      <c r="K918" s="164" t="s">
        <v>3451</v>
      </c>
      <c r="L918" s="164" t="s">
        <v>461</v>
      </c>
      <c r="M918" s="164"/>
      <c r="N918" s="164" t="s">
        <v>7626</v>
      </c>
      <c r="O918" s="164"/>
      <c r="P918" s="173" t="s">
        <v>7627</v>
      </c>
      <c r="Q918" s="164" t="s">
        <v>4062</v>
      </c>
      <c r="R918" s="177" t="s">
        <v>4599</v>
      </c>
      <c r="S918" s="354" t="s">
        <v>53</v>
      </c>
      <c r="T918" s="173"/>
      <c r="U918" s="173"/>
      <c r="V918" s="173"/>
      <c r="W918" s="313" t="s">
        <v>54</v>
      </c>
      <c r="X918" s="645" t="s">
        <v>12324</v>
      </c>
      <c r="Y918" s="354" t="s">
        <v>6868</v>
      </c>
      <c r="Z918" s="176">
        <v>999</v>
      </c>
      <c r="AA918" s="176"/>
      <c r="AB918" s="32">
        <f t="shared" ca="1" si="16"/>
        <v>0.54275670278764521</v>
      </c>
      <c r="AC918" s="812"/>
      <c r="AD918" s="763"/>
      <c r="AE918" s="807"/>
      <c r="AF918" s="921">
        <f>IF(X918=X917,AF917,0)+IF(ISNUMBER(I918),IF(I918&lt;1,I918,I918*VLOOKUP(J918,Summary!$H$2:$I$9,2)),VLOOKUP(J918,Summary!$J$2:$K$9,2)*IF(ISNUMBER(H918),H918,1))</f>
        <v>0.90715277777777747</v>
      </c>
      <c r="AG918" s="289">
        <v>917</v>
      </c>
      <c r="AH918" s="94"/>
      <c r="AI918" s="94"/>
    </row>
    <row r="919" spans="1:35" s="22" customFormat="1" ht="12" customHeight="1" x14ac:dyDescent="0.25">
      <c r="A919" s="472">
        <v>11</v>
      </c>
      <c r="B919" s="472">
        <v>3</v>
      </c>
      <c r="C919" s="473">
        <v>30.12</v>
      </c>
      <c r="D919" s="176" t="s">
        <v>7383</v>
      </c>
      <c r="E919" s="313" t="s">
        <v>7382</v>
      </c>
      <c r="F919" s="174">
        <v>39783</v>
      </c>
      <c r="G919" s="174"/>
      <c r="H919" s="176" t="s">
        <v>461</v>
      </c>
      <c r="I919" s="176">
        <v>14</v>
      </c>
      <c r="J919" s="900" t="s">
        <v>2755</v>
      </c>
      <c r="K919" s="164" t="s">
        <v>6353</v>
      </c>
      <c r="L919" s="164" t="s">
        <v>461</v>
      </c>
      <c r="M919" s="164"/>
      <c r="N919" s="164" t="s">
        <v>4944</v>
      </c>
      <c r="O919" s="164"/>
      <c r="P919" s="173" t="s">
        <v>6702</v>
      </c>
      <c r="Q919" s="164" t="s">
        <v>3947</v>
      </c>
      <c r="R919" s="177" t="s">
        <v>2723</v>
      </c>
      <c r="S919" s="354" t="s">
        <v>53</v>
      </c>
      <c r="T919" s="173"/>
      <c r="U919" s="173"/>
      <c r="V919" s="173"/>
      <c r="W919" s="313" t="s">
        <v>7382</v>
      </c>
      <c r="X919" s="645" t="s">
        <v>12324</v>
      </c>
      <c r="Y919" s="354"/>
      <c r="Z919" s="176"/>
      <c r="AA919" s="176"/>
      <c r="AB919" s="32">
        <f t="shared" ca="1" si="16"/>
        <v>0.26998009887252572</v>
      </c>
      <c r="AC919" s="812"/>
      <c r="AD919" s="763"/>
      <c r="AE919" s="807"/>
      <c r="AF919" s="921">
        <f>IF(X919=X918,AF918,0)+IF(ISNUMBER(I919),IF(I919&lt;1,I919,I919*VLOOKUP(J919,Summary!$H$2:$I$9,2)),VLOOKUP(J919,Summary!$J$2:$K$9,2)*IF(ISNUMBER(H919),H919,1))</f>
        <v>0.91687499999999966</v>
      </c>
      <c r="AG919" s="289">
        <v>918</v>
      </c>
      <c r="AH919" s="94"/>
      <c r="AI919" s="94"/>
    </row>
    <row r="920" spans="1:35" s="8" customFormat="1" ht="12" customHeight="1" x14ac:dyDescent="0.25">
      <c r="A920" s="467">
        <v>11</v>
      </c>
      <c r="B920" s="467">
        <v>3</v>
      </c>
      <c r="C920" s="467">
        <v>3</v>
      </c>
      <c r="D920" s="185" t="s">
        <v>8355</v>
      </c>
      <c r="E920" s="314" t="s">
        <v>8356</v>
      </c>
      <c r="F920" s="184">
        <v>41353</v>
      </c>
      <c r="G920" s="184"/>
      <c r="H920" s="185">
        <v>1</v>
      </c>
      <c r="I920" s="185">
        <v>22</v>
      </c>
      <c r="J920" s="901" t="s">
        <v>1796</v>
      </c>
      <c r="K920" s="163" t="s">
        <v>8333</v>
      </c>
      <c r="L920" s="163" t="s">
        <v>4138</v>
      </c>
      <c r="M920" s="163"/>
      <c r="N920" s="163" t="s">
        <v>6573</v>
      </c>
      <c r="O920" s="163"/>
      <c r="P920" s="182" t="s">
        <v>461</v>
      </c>
      <c r="Q920" s="163" t="s">
        <v>5719</v>
      </c>
      <c r="R920" s="186" t="s">
        <v>5718</v>
      </c>
      <c r="S920" s="355" t="s">
        <v>53</v>
      </c>
      <c r="T920" s="182" t="s">
        <v>2597</v>
      </c>
      <c r="U920" s="182" t="s">
        <v>5811</v>
      </c>
      <c r="V920" s="182"/>
      <c r="W920" s="314" t="s">
        <v>10147</v>
      </c>
      <c r="X920" s="646" t="s">
        <v>12324</v>
      </c>
      <c r="Y920" s="355" t="s">
        <v>6000</v>
      </c>
      <c r="Z920" s="185">
        <v>999</v>
      </c>
      <c r="AA920" s="185"/>
      <c r="AB920" s="33">
        <f t="shared" ca="1" si="16"/>
        <v>0.37434464036046688</v>
      </c>
      <c r="AC920" s="813"/>
      <c r="AD920" s="211"/>
      <c r="AE920" s="949"/>
      <c r="AF920" s="922">
        <f>IF(X920=X919,AF919,0)+IF(ISNUMBER(I920),IF(I920&lt;1,I920,I920*VLOOKUP(J920,Summary!$H$2:$I$9,2)),VLOOKUP(J920,Summary!$J$2:$K$9,2)*IF(ISNUMBER(H920),H920,1))</f>
        <v>0.92451388888888852</v>
      </c>
      <c r="AG920" s="295">
        <v>919</v>
      </c>
      <c r="AH920" s="94"/>
      <c r="AI920" s="94"/>
    </row>
    <row r="921" spans="1:35" s="3" customFormat="1" ht="12" customHeight="1" x14ac:dyDescent="0.25">
      <c r="A921" s="465" t="s">
        <v>1463</v>
      </c>
      <c r="B921" s="465">
        <v>3</v>
      </c>
      <c r="C921" s="465">
        <v>2</v>
      </c>
      <c r="D921" s="407" t="s">
        <v>4888</v>
      </c>
      <c r="E921" s="315" t="s">
        <v>6976</v>
      </c>
      <c r="F921" s="196">
        <v>35084</v>
      </c>
      <c r="G921" s="196">
        <v>35119</v>
      </c>
      <c r="H921" s="170">
        <v>6</v>
      </c>
      <c r="I921" s="746">
        <f>TIME(3,0,0)</f>
        <v>0.125</v>
      </c>
      <c r="J921" s="899" t="s">
        <v>4706</v>
      </c>
      <c r="K921" s="167" t="s">
        <v>1884</v>
      </c>
      <c r="L921" s="167" t="s">
        <v>5463</v>
      </c>
      <c r="M921" s="167"/>
      <c r="N921" s="167"/>
      <c r="O921" s="167"/>
      <c r="P921" s="168" t="s">
        <v>9002</v>
      </c>
      <c r="Q921" s="167" t="s">
        <v>3948</v>
      </c>
      <c r="R921" s="172" t="s">
        <v>3408</v>
      </c>
      <c r="S921" s="388" t="s">
        <v>53</v>
      </c>
      <c r="T921" s="168" t="s">
        <v>2597</v>
      </c>
      <c r="U921" s="168"/>
      <c r="V921" s="168"/>
      <c r="W921" s="312"/>
      <c r="X921" s="644" t="s">
        <v>12324</v>
      </c>
      <c r="Y921" s="352" t="s">
        <v>1650</v>
      </c>
      <c r="Z921" s="353">
        <v>698</v>
      </c>
      <c r="AA921" s="353">
        <v>1</v>
      </c>
      <c r="AB921" s="31">
        <f t="shared" ca="1" si="16"/>
        <v>0.234507904830351</v>
      </c>
      <c r="AC921" s="810"/>
      <c r="AD921" s="825" t="s">
        <v>16568</v>
      </c>
      <c r="AE921" s="940" t="s">
        <v>16569</v>
      </c>
      <c r="AF921" s="920">
        <f>IF(X921=X920,AF920,0)+IF(ISNUMBER(I921),IF(I921&lt;1,I921,I921*VLOOKUP(J921,Summary!$H$2:$I$9,2)),VLOOKUP(J921,Summary!$J$2:$K$9,2)*IF(ISNUMBER(H921),H921,1))</f>
        <v>1.0495138888888884</v>
      </c>
      <c r="AG921" s="287">
        <v>920</v>
      </c>
      <c r="AH921" s="94"/>
      <c r="AI921" s="94"/>
    </row>
    <row r="922" spans="1:35" s="27" customFormat="1" ht="12" customHeight="1" x14ac:dyDescent="0.25">
      <c r="A922" s="472">
        <v>11</v>
      </c>
      <c r="B922" s="472">
        <v>3</v>
      </c>
      <c r="C922" s="473">
        <v>11.05</v>
      </c>
      <c r="D922" s="176" t="s">
        <v>5881</v>
      </c>
      <c r="E922" s="313" t="s">
        <v>5882</v>
      </c>
      <c r="F922" s="174">
        <v>38200</v>
      </c>
      <c r="G922" s="174"/>
      <c r="H922" s="176">
        <v>1</v>
      </c>
      <c r="I922" s="176">
        <v>14</v>
      </c>
      <c r="J922" s="900" t="s">
        <v>2755</v>
      </c>
      <c r="K922" s="164" t="s">
        <v>7454</v>
      </c>
      <c r="L922" s="164" t="s">
        <v>461</v>
      </c>
      <c r="M922" s="164"/>
      <c r="N922" s="164" t="s">
        <v>7375</v>
      </c>
      <c r="O922" s="164"/>
      <c r="P922" s="173" t="s">
        <v>2559</v>
      </c>
      <c r="Q922" s="164" t="s">
        <v>3947</v>
      </c>
      <c r="R922" s="177" t="s">
        <v>2723</v>
      </c>
      <c r="S922" s="354"/>
      <c r="T922" s="173"/>
      <c r="U922" s="173"/>
      <c r="V922" s="173"/>
      <c r="W922" s="313" t="s">
        <v>5882</v>
      </c>
      <c r="X922" s="645" t="s">
        <v>12324</v>
      </c>
      <c r="Y922" s="354"/>
      <c r="Z922" s="176">
        <v>999</v>
      </c>
      <c r="AA922" s="176"/>
      <c r="AB922" s="32">
        <f t="shared" ca="1" si="16"/>
        <v>2.9662685048252091E-2</v>
      </c>
      <c r="AC922" s="812"/>
      <c r="AD922" s="763"/>
      <c r="AE922" s="807"/>
      <c r="AF922" s="921">
        <f>IF(X922=X921,AF921,0)+IF(ISNUMBER(I922),IF(I922&lt;1,I922,I922*VLOOKUP(J922,Summary!$H$2:$I$9,2)),VLOOKUP(J922,Summary!$J$2:$K$9,2)*IF(ISNUMBER(H922),H922,1))</f>
        <v>1.0592361111111106</v>
      </c>
      <c r="AG922" s="289">
        <v>921</v>
      </c>
      <c r="AH922" s="94"/>
      <c r="AI922" s="94"/>
    </row>
    <row r="923" spans="1:35" s="22" customFormat="1" ht="12" customHeight="1" x14ac:dyDescent="0.25">
      <c r="A923" s="472">
        <v>11</v>
      </c>
      <c r="B923" s="472">
        <v>3</v>
      </c>
      <c r="C923" s="473">
        <v>17.100000000000001</v>
      </c>
      <c r="D923" s="176" t="s">
        <v>2676</v>
      </c>
      <c r="E923" s="313" t="s">
        <v>2677</v>
      </c>
      <c r="F923" s="174">
        <v>38596</v>
      </c>
      <c r="G923" s="174"/>
      <c r="H923" s="176">
        <v>1</v>
      </c>
      <c r="I923" s="176">
        <v>13</v>
      </c>
      <c r="J923" s="900" t="s">
        <v>2755</v>
      </c>
      <c r="K923" s="164" t="s">
        <v>2678</v>
      </c>
      <c r="L923" s="164" t="s">
        <v>461</v>
      </c>
      <c r="M923" s="164"/>
      <c r="N923" s="164" t="s">
        <v>7375</v>
      </c>
      <c r="O923" s="164"/>
      <c r="P923" s="173" t="s">
        <v>2568</v>
      </c>
      <c r="Q923" s="164" t="s">
        <v>3947</v>
      </c>
      <c r="R923" s="177" t="s">
        <v>2723</v>
      </c>
      <c r="S923" s="354" t="s">
        <v>2679</v>
      </c>
      <c r="T923" s="173"/>
      <c r="U923" s="173"/>
      <c r="V923" s="173"/>
      <c r="W923" s="313" t="s">
        <v>2677</v>
      </c>
      <c r="X923" s="645" t="s">
        <v>12324</v>
      </c>
      <c r="Y923" s="354"/>
      <c r="Z923" s="176"/>
      <c r="AA923" s="176"/>
      <c r="AB923" s="32">
        <f t="shared" ca="1" si="16"/>
        <v>0.49899603939492287</v>
      </c>
      <c r="AC923" s="812"/>
      <c r="AD923" s="763"/>
      <c r="AE923" s="807"/>
      <c r="AF923" s="921">
        <f>IF(X923=X922,AF922,0)+IF(ISNUMBER(I923),IF(I923&lt;1,I923,I923*VLOOKUP(J923,Summary!$H$2:$I$9,2)),VLOOKUP(J923,Summary!$J$2:$K$9,2)*IF(ISNUMBER(H923),H923,1))</f>
        <v>1.0682638888888885</v>
      </c>
      <c r="AG923" s="289">
        <v>922</v>
      </c>
      <c r="AH923" s="94"/>
      <c r="AI923" s="94"/>
    </row>
    <row r="924" spans="1:35" s="22" customFormat="1" ht="12" customHeight="1" x14ac:dyDescent="0.25">
      <c r="A924" s="466" t="s">
        <v>1463</v>
      </c>
      <c r="B924" s="466">
        <v>3</v>
      </c>
      <c r="C924" s="466">
        <v>73</v>
      </c>
      <c r="D924" s="424" t="s">
        <v>6979</v>
      </c>
      <c r="E924" s="319" t="s">
        <v>6299</v>
      </c>
      <c r="F924" s="198">
        <v>27083</v>
      </c>
      <c r="G924" s="198">
        <v>27104</v>
      </c>
      <c r="H924" s="199">
        <v>6</v>
      </c>
      <c r="I924" s="791">
        <f>TIME(0,24,59)+TIME(0,23,26)+TIME(0,24,47)+TIME(0,24,50)+TIME(0,23,56)+TIME(0,23,48)</f>
        <v>0.10122685185185185</v>
      </c>
      <c r="J924" s="904" t="s">
        <v>1588</v>
      </c>
      <c r="K924" s="200" t="s">
        <v>5434</v>
      </c>
      <c r="L924" s="200" t="s">
        <v>7030</v>
      </c>
      <c r="M924" s="200"/>
      <c r="N924" s="200" t="s">
        <v>1088</v>
      </c>
      <c r="O924" s="200" t="s">
        <v>1884</v>
      </c>
      <c r="P924" s="197" t="s">
        <v>461</v>
      </c>
      <c r="Q924" s="200" t="s">
        <v>3946</v>
      </c>
      <c r="R924" s="201" t="s">
        <v>5280</v>
      </c>
      <c r="S924" s="390" t="s">
        <v>53</v>
      </c>
      <c r="T924" s="197"/>
      <c r="U924" s="197"/>
      <c r="V924" s="197"/>
      <c r="W924" s="318" t="s">
        <v>8692</v>
      </c>
      <c r="X924" s="650" t="s">
        <v>12324</v>
      </c>
      <c r="Y924" s="358" t="s">
        <v>6141</v>
      </c>
      <c r="Z924" s="253">
        <v>163</v>
      </c>
      <c r="AA924" s="253">
        <v>5</v>
      </c>
      <c r="AB924" s="35">
        <f t="shared" ca="1" si="16"/>
        <v>0.41320963033525571</v>
      </c>
      <c r="AC924" s="820"/>
      <c r="AD924" s="821" t="s">
        <v>16386</v>
      </c>
      <c r="AE924" s="944" t="s">
        <v>15062</v>
      </c>
      <c r="AF924" s="925">
        <f>IF(X924=X923,AF923,0)+IF(ISNUMBER(I924),IF(I924&lt;1,I924,I924*VLOOKUP(J924,Summary!$H$2:$I$9,2)),VLOOKUP(J924,Summary!$J$2:$K$9,2)*IF(ISNUMBER(H924),H924,1))</f>
        <v>1.1694907407407402</v>
      </c>
      <c r="AG924" s="293">
        <v>923</v>
      </c>
      <c r="AH924" s="94"/>
      <c r="AI924" s="94"/>
    </row>
    <row r="925" spans="1:35" s="22" customFormat="1" ht="12" customHeight="1" x14ac:dyDescent="0.2">
      <c r="A925" s="467">
        <v>11</v>
      </c>
      <c r="B925" s="467">
        <v>3</v>
      </c>
      <c r="C925" s="467"/>
      <c r="D925" s="185" t="s">
        <v>3248</v>
      </c>
      <c r="E925" s="314" t="s">
        <v>2453</v>
      </c>
      <c r="F925" s="183">
        <v>27150</v>
      </c>
      <c r="G925" s="184"/>
      <c r="H925" s="185">
        <v>1</v>
      </c>
      <c r="I925" s="185">
        <v>6</v>
      </c>
      <c r="J925" s="901" t="s">
        <v>1796</v>
      </c>
      <c r="K925" s="163" t="s">
        <v>5784</v>
      </c>
      <c r="L925" s="163" t="s">
        <v>5784</v>
      </c>
      <c r="M925" s="163"/>
      <c r="N925" s="163"/>
      <c r="O925" s="163"/>
      <c r="P925" s="182" t="s">
        <v>461</v>
      </c>
      <c r="Q925" s="163" t="s">
        <v>3546</v>
      </c>
      <c r="R925" s="186" t="s">
        <v>5267</v>
      </c>
      <c r="S925" s="355" t="s">
        <v>53</v>
      </c>
      <c r="T925" s="182"/>
      <c r="U925" s="182"/>
      <c r="V925" s="182"/>
      <c r="W925" s="314" t="s">
        <v>2453</v>
      </c>
      <c r="X925" s="646" t="s">
        <v>12324</v>
      </c>
      <c r="Y925" s="355"/>
      <c r="Z925" s="185"/>
      <c r="AA925" s="185"/>
      <c r="AB925" s="33">
        <f t="shared" ca="1" si="16"/>
        <v>0.11105052373062174</v>
      </c>
      <c r="AC925" s="813"/>
      <c r="AD925" s="211"/>
      <c r="AE925" s="875"/>
      <c r="AF925" s="922">
        <f>IF(X925=X924,AF924,0)+IF(ISNUMBER(I925),IF(I925&lt;1,I925,I925*VLOOKUP(J925,Summary!$H$2:$I$9,2)),VLOOKUP(J925,Summary!$J$2:$K$9,2)*IF(ISNUMBER(H925),H925,1))</f>
        <v>1.1715740740740737</v>
      </c>
      <c r="AG925" s="290">
        <v>924</v>
      </c>
      <c r="AH925" s="94"/>
      <c r="AI925" s="94"/>
    </row>
    <row r="926" spans="1:35" s="22" customFormat="1" ht="12" customHeight="1" x14ac:dyDescent="0.2">
      <c r="A926" s="467">
        <v>11</v>
      </c>
      <c r="B926" s="467">
        <v>3</v>
      </c>
      <c r="C926" s="467"/>
      <c r="D926" s="185" t="s">
        <v>3248</v>
      </c>
      <c r="E926" s="314" t="s">
        <v>2454</v>
      </c>
      <c r="F926" s="183">
        <v>27150</v>
      </c>
      <c r="G926" s="184"/>
      <c r="H926" s="185">
        <v>1</v>
      </c>
      <c r="I926" s="185">
        <v>8</v>
      </c>
      <c r="J926" s="901" t="s">
        <v>1796</v>
      </c>
      <c r="K926" s="163" t="s">
        <v>5784</v>
      </c>
      <c r="L926" s="163" t="s">
        <v>5784</v>
      </c>
      <c r="M926" s="163"/>
      <c r="N926" s="163"/>
      <c r="O926" s="163"/>
      <c r="P926" s="182" t="s">
        <v>461</v>
      </c>
      <c r="Q926" s="163" t="s">
        <v>3546</v>
      </c>
      <c r="R926" s="186" t="s">
        <v>5267</v>
      </c>
      <c r="S926" s="355" t="s">
        <v>53</v>
      </c>
      <c r="T926" s="182"/>
      <c r="U926" s="182"/>
      <c r="V926" s="182"/>
      <c r="W926" s="314" t="s">
        <v>2454</v>
      </c>
      <c r="X926" s="646" t="s">
        <v>12324</v>
      </c>
      <c r="Y926" s="355"/>
      <c r="Z926" s="185"/>
      <c r="AA926" s="185"/>
      <c r="AB926" s="33">
        <f t="shared" ca="1" si="16"/>
        <v>0.65726816502657537</v>
      </c>
      <c r="AC926" s="813"/>
      <c r="AD926" s="211"/>
      <c r="AE926" s="875"/>
      <c r="AF926" s="922">
        <f>IF(X926=X925,AF925,0)+IF(ISNUMBER(I926),IF(I926&lt;1,I926,I926*VLOOKUP(J926,Summary!$H$2:$I$9,2)),VLOOKUP(J926,Summary!$J$2:$K$9,2)*IF(ISNUMBER(H926),H926,1))</f>
        <v>1.1743518518518514</v>
      </c>
      <c r="AG926" s="290">
        <v>925</v>
      </c>
      <c r="AH926" s="94"/>
      <c r="AI926" s="94"/>
    </row>
    <row r="927" spans="1:35" s="22" customFormat="1" ht="12" customHeight="1" x14ac:dyDescent="0.2">
      <c r="A927" s="467">
        <v>11</v>
      </c>
      <c r="B927" s="467">
        <v>3</v>
      </c>
      <c r="C927" s="467"/>
      <c r="D927" s="185" t="s">
        <v>3248</v>
      </c>
      <c r="E927" s="314" t="s">
        <v>2455</v>
      </c>
      <c r="F927" s="183">
        <v>27150</v>
      </c>
      <c r="G927" s="184"/>
      <c r="H927" s="185">
        <v>1</v>
      </c>
      <c r="I927" s="185">
        <v>8</v>
      </c>
      <c r="J927" s="901" t="s">
        <v>1796</v>
      </c>
      <c r="K927" s="163" t="s">
        <v>5784</v>
      </c>
      <c r="L927" s="163" t="s">
        <v>5784</v>
      </c>
      <c r="M927" s="163"/>
      <c r="N927" s="163"/>
      <c r="O927" s="163"/>
      <c r="P927" s="182" t="s">
        <v>461</v>
      </c>
      <c r="Q927" s="163" t="s">
        <v>3546</v>
      </c>
      <c r="R927" s="186" t="s">
        <v>5267</v>
      </c>
      <c r="S927" s="355" t="s">
        <v>53</v>
      </c>
      <c r="T927" s="182"/>
      <c r="U927" s="182"/>
      <c r="V927" s="182"/>
      <c r="W927" s="314" t="s">
        <v>2455</v>
      </c>
      <c r="X927" s="646" t="s">
        <v>12324</v>
      </c>
      <c r="Y927" s="355"/>
      <c r="Z927" s="185"/>
      <c r="AA927" s="185"/>
      <c r="AB927" s="33">
        <f t="shared" ca="1" si="16"/>
        <v>0.26315996429083</v>
      </c>
      <c r="AC927" s="813"/>
      <c r="AD927" s="211"/>
      <c r="AE927" s="941"/>
      <c r="AF927" s="922">
        <f>IF(X927=X926,AF926,0)+IF(ISNUMBER(I927),IF(I927&lt;1,I927,I927*VLOOKUP(J927,Summary!$H$2:$I$9,2)),VLOOKUP(J927,Summary!$J$2:$K$9,2)*IF(ISNUMBER(H927),H927,1))</f>
        <v>1.1771296296296292</v>
      </c>
      <c r="AG927" s="290">
        <v>926</v>
      </c>
      <c r="AH927" s="94"/>
      <c r="AI927" s="94"/>
    </row>
    <row r="928" spans="1:35" s="22" customFormat="1" ht="12" customHeight="1" x14ac:dyDescent="0.25">
      <c r="A928" s="472">
        <v>11</v>
      </c>
      <c r="B928" s="472">
        <v>3</v>
      </c>
      <c r="C928" s="473">
        <v>28.09</v>
      </c>
      <c r="D928" s="176" t="s">
        <v>4579</v>
      </c>
      <c r="E928" s="313" t="s">
        <v>4580</v>
      </c>
      <c r="F928" s="174">
        <v>39630</v>
      </c>
      <c r="G928" s="174"/>
      <c r="H928" s="176" t="s">
        <v>461</v>
      </c>
      <c r="I928" s="176">
        <v>17</v>
      </c>
      <c r="J928" s="900" t="s">
        <v>2755</v>
      </c>
      <c r="K928" s="164" t="s">
        <v>4581</v>
      </c>
      <c r="L928" s="164" t="s">
        <v>461</v>
      </c>
      <c r="M928" s="164"/>
      <c r="N928" s="164" t="s">
        <v>185</v>
      </c>
      <c r="O928" s="164"/>
      <c r="P928" s="173" t="s">
        <v>6704</v>
      </c>
      <c r="Q928" s="164" t="s">
        <v>3947</v>
      </c>
      <c r="R928" s="177" t="s">
        <v>2723</v>
      </c>
      <c r="S928" s="354" t="s">
        <v>53</v>
      </c>
      <c r="T928" s="173"/>
      <c r="U928" s="173"/>
      <c r="V928" s="173"/>
      <c r="W928" s="313" t="s">
        <v>4580</v>
      </c>
      <c r="X928" s="645" t="s">
        <v>12324</v>
      </c>
      <c r="Y928" s="354"/>
      <c r="Z928" s="176"/>
      <c r="AA928" s="176"/>
      <c r="AB928" s="32">
        <f t="shared" ca="1" si="16"/>
        <v>0.14261954184126469</v>
      </c>
      <c r="AC928" s="812"/>
      <c r="AD928" s="763"/>
      <c r="AE928" s="807"/>
      <c r="AF928" s="921">
        <f>IF(X928=X927,AF927,0)+IF(ISNUMBER(I928),IF(I928&lt;1,I928,I928*VLOOKUP(J928,Summary!$H$2:$I$9,2)),VLOOKUP(J928,Summary!$J$2:$K$9,2)*IF(ISNUMBER(H928),H928,1))</f>
        <v>1.1889351851851848</v>
      </c>
      <c r="AG928" s="289">
        <v>927</v>
      </c>
      <c r="AH928" s="94"/>
      <c r="AI928" s="94"/>
    </row>
    <row r="929" spans="1:36" s="1" customFormat="1" ht="12" customHeight="1" x14ac:dyDescent="0.25">
      <c r="A929" s="472">
        <v>11</v>
      </c>
      <c r="B929" s="472">
        <v>3</v>
      </c>
      <c r="C929" s="472"/>
      <c r="D929" s="176" t="s">
        <v>12109</v>
      </c>
      <c r="E929" s="313" t="s">
        <v>12110</v>
      </c>
      <c r="F929" s="224">
        <v>27273</v>
      </c>
      <c r="G929" s="175"/>
      <c r="H929" s="176">
        <v>1</v>
      </c>
      <c r="I929" s="176"/>
      <c r="J929" s="900" t="s">
        <v>2755</v>
      </c>
      <c r="K929" s="164" t="s">
        <v>5784</v>
      </c>
      <c r="L929" s="164"/>
      <c r="M929" s="164"/>
      <c r="N929" s="164"/>
      <c r="O929" s="164"/>
      <c r="P929" s="173" t="s">
        <v>461</v>
      </c>
      <c r="Q929" s="164" t="s">
        <v>1797</v>
      </c>
      <c r="R929" s="177" t="s">
        <v>4601</v>
      </c>
      <c r="S929" s="354" t="s">
        <v>53</v>
      </c>
      <c r="T929" s="173" t="s">
        <v>2597</v>
      </c>
      <c r="U929" s="173"/>
      <c r="V929" s="173"/>
      <c r="W929" s="313" t="s">
        <v>12110</v>
      </c>
      <c r="X929" s="645" t="s">
        <v>12324</v>
      </c>
      <c r="Y929" s="354"/>
      <c r="Z929" s="176"/>
      <c r="AA929" s="176"/>
      <c r="AB929" s="32">
        <f t="shared" ca="1" si="16"/>
        <v>0.84558283569075898</v>
      </c>
      <c r="AC929" s="812"/>
      <c r="AD929" s="763"/>
      <c r="AE929" s="878"/>
      <c r="AF929" s="921">
        <f>IF(X929=X928,AF928,0)+IF(ISNUMBER(I929),IF(I929&lt;1,I929,I929*VLOOKUP(J929,Summary!$H$2:$I$9,2)),VLOOKUP(J929,Summary!$J$2:$K$9,2)*IF(ISNUMBER(H929),H929,1))</f>
        <v>1.206296296296296</v>
      </c>
      <c r="AG929" s="289">
        <v>928</v>
      </c>
      <c r="AH929" s="94"/>
      <c r="AI929" s="94"/>
    </row>
    <row r="930" spans="1:36" s="27" customFormat="1" ht="12" customHeight="1" x14ac:dyDescent="0.25">
      <c r="A930" s="472">
        <v>11</v>
      </c>
      <c r="B930" s="472">
        <v>3</v>
      </c>
      <c r="C930" s="473">
        <v>30.03</v>
      </c>
      <c r="D930" s="176" t="s">
        <v>4399</v>
      </c>
      <c r="E930" s="313" t="s">
        <v>2418</v>
      </c>
      <c r="F930" s="174">
        <v>39783</v>
      </c>
      <c r="G930" s="174"/>
      <c r="H930" s="176" t="s">
        <v>461</v>
      </c>
      <c r="I930" s="176">
        <v>8</v>
      </c>
      <c r="J930" s="900" t="s">
        <v>2755</v>
      </c>
      <c r="K930" s="164" t="s">
        <v>2417</v>
      </c>
      <c r="L930" s="164" t="s">
        <v>461</v>
      </c>
      <c r="M930" s="164"/>
      <c r="N930" s="164" t="s">
        <v>4944</v>
      </c>
      <c r="O930" s="164"/>
      <c r="P930" s="173" t="s">
        <v>6702</v>
      </c>
      <c r="Q930" s="164" t="s">
        <v>3947</v>
      </c>
      <c r="R930" s="177" t="s">
        <v>2723</v>
      </c>
      <c r="S930" s="354" t="s">
        <v>53</v>
      </c>
      <c r="T930" s="173"/>
      <c r="U930" s="173"/>
      <c r="V930" s="173"/>
      <c r="W930" s="313" t="s">
        <v>2418</v>
      </c>
      <c r="X930" s="645" t="s">
        <v>12324</v>
      </c>
      <c r="Y930" s="354"/>
      <c r="Z930" s="176"/>
      <c r="AA930" s="176"/>
      <c r="AB930" s="32">
        <f t="shared" ca="1" si="16"/>
        <v>0.53042462315051531</v>
      </c>
      <c r="AC930" s="812"/>
      <c r="AD930" s="763"/>
      <c r="AE930" s="807"/>
      <c r="AF930" s="921">
        <f>IF(X930=X929,AF929,0)+IF(ISNUMBER(I930),IF(I930&lt;1,I930,I930*VLOOKUP(J930,Summary!$H$2:$I$9,2)),VLOOKUP(J930,Summary!$J$2:$K$9,2)*IF(ISNUMBER(H930),H930,1))</f>
        <v>1.2118518518518515</v>
      </c>
      <c r="AG930" s="289">
        <v>929</v>
      </c>
      <c r="AH930" s="119"/>
      <c r="AI930" s="119"/>
    </row>
    <row r="931" spans="1:36" s="22" customFormat="1" ht="12" customHeight="1" x14ac:dyDescent="0.25">
      <c r="A931" s="468" t="s">
        <v>1463</v>
      </c>
      <c r="B931" s="468">
        <v>3</v>
      </c>
      <c r="C931" s="468">
        <v>52</v>
      </c>
      <c r="D931" s="417" t="s">
        <v>6300</v>
      </c>
      <c r="E931" s="316" t="s">
        <v>6301</v>
      </c>
      <c r="F931" s="187">
        <v>37347</v>
      </c>
      <c r="G931" s="188"/>
      <c r="H931" s="188" t="str">
        <f>IF(J931="Book","n/a","")</f>
        <v>n/a</v>
      </c>
      <c r="I931" s="188">
        <v>287</v>
      </c>
      <c r="J931" s="902" t="s">
        <v>6868</v>
      </c>
      <c r="K931" s="162" t="s">
        <v>1746</v>
      </c>
      <c r="L931" s="162" t="str">
        <f>IF(J931="Book","n/a","")</f>
        <v>n/a</v>
      </c>
      <c r="M931" s="162"/>
      <c r="N931" s="162"/>
      <c r="O931" s="162"/>
      <c r="P931" s="178" t="s">
        <v>8976</v>
      </c>
      <c r="Q931" s="162" t="s">
        <v>3953</v>
      </c>
      <c r="R931" s="189" t="s">
        <v>2717</v>
      </c>
      <c r="S931" s="366" t="s">
        <v>53</v>
      </c>
      <c r="T931" s="178"/>
      <c r="U931" s="178"/>
      <c r="V931" s="178"/>
      <c r="W931" s="316" t="s">
        <v>6301</v>
      </c>
      <c r="X931" s="648" t="s">
        <v>12324</v>
      </c>
      <c r="Y931" s="356" t="s">
        <v>6868</v>
      </c>
      <c r="Z931" s="272"/>
      <c r="AA931" s="272"/>
      <c r="AB931" s="34">
        <f t="shared" ca="1" si="16"/>
        <v>0.71462119133773849</v>
      </c>
      <c r="AC931" s="814"/>
      <c r="AD931" s="815" t="s">
        <v>16761</v>
      </c>
      <c r="AE931" s="942"/>
      <c r="AF931" s="923">
        <f>IF(X931=X930,AF930,0)+IF(ISNUMBER(I931),IF(I931&lt;1,I931,I931*VLOOKUP(J931,Summary!$H$2:$I$9,2)),VLOOKUP(J931,Summary!$J$2:$K$9,2)*IF(ISNUMBER(H931),H931,1))</f>
        <v>1.4111574074074071</v>
      </c>
      <c r="AG931" s="291">
        <v>930</v>
      </c>
      <c r="AH931" s="94"/>
      <c r="AI931" s="94"/>
    </row>
    <row r="932" spans="1:36" s="22" customFormat="1" ht="12" customHeight="1" x14ac:dyDescent="0.25">
      <c r="A932" s="472">
        <v>11</v>
      </c>
      <c r="B932" s="472">
        <v>3</v>
      </c>
      <c r="C932" s="473">
        <v>6.06</v>
      </c>
      <c r="D932" s="176" t="s">
        <v>4588</v>
      </c>
      <c r="E932" s="313" t="s">
        <v>4589</v>
      </c>
      <c r="F932" s="174">
        <v>37773</v>
      </c>
      <c r="G932" s="174"/>
      <c r="H932" s="176">
        <v>1</v>
      </c>
      <c r="I932" s="176">
        <v>18</v>
      </c>
      <c r="J932" s="900" t="s">
        <v>2755</v>
      </c>
      <c r="K932" s="164" t="s">
        <v>4590</v>
      </c>
      <c r="L932" s="164" t="s">
        <v>461</v>
      </c>
      <c r="M932" s="164"/>
      <c r="N932" s="164" t="s">
        <v>4996</v>
      </c>
      <c r="O932" s="164"/>
      <c r="P932" s="173" t="s">
        <v>4997</v>
      </c>
      <c r="Q932" s="164" t="s">
        <v>3947</v>
      </c>
      <c r="R932" s="177" t="s">
        <v>2723</v>
      </c>
      <c r="S932" s="354" t="s">
        <v>53</v>
      </c>
      <c r="T932" s="173"/>
      <c r="U932" s="173"/>
      <c r="V932" s="173"/>
      <c r="W932" s="313" t="s">
        <v>4589</v>
      </c>
      <c r="X932" s="645" t="s">
        <v>12324</v>
      </c>
      <c r="Y932" s="354"/>
      <c r="Z932" s="176">
        <v>999</v>
      </c>
      <c r="AA932" s="176"/>
      <c r="AB932" s="32">
        <f t="shared" ca="1" si="16"/>
        <v>0.77945657192428852</v>
      </c>
      <c r="AC932" s="812"/>
      <c r="AD932" s="763"/>
      <c r="AE932" s="807"/>
      <c r="AF932" s="921">
        <f>IF(X932=X931,AF931,0)+IF(ISNUMBER(I932),IF(I932&lt;1,I932,I932*VLOOKUP(J932,Summary!$H$2:$I$9,2)),VLOOKUP(J932,Summary!$J$2:$K$9,2)*IF(ISNUMBER(H932),H932,1))</f>
        <v>1.4236574074074071</v>
      </c>
      <c r="AG932" s="289">
        <v>931</v>
      </c>
      <c r="AH932" s="94"/>
      <c r="AI932" s="94"/>
    </row>
    <row r="933" spans="1:36" s="120" customFormat="1" ht="12" customHeight="1" x14ac:dyDescent="0.25">
      <c r="A933" s="472">
        <v>11</v>
      </c>
      <c r="B933" s="472">
        <v>3</v>
      </c>
      <c r="C933" s="473">
        <v>10.02</v>
      </c>
      <c r="D933" s="176" t="s">
        <v>4585</v>
      </c>
      <c r="E933" s="313" t="s">
        <v>4586</v>
      </c>
      <c r="F933" s="174">
        <v>38139</v>
      </c>
      <c r="G933" s="174"/>
      <c r="H933" s="176">
        <v>1</v>
      </c>
      <c r="I933" s="176">
        <v>10</v>
      </c>
      <c r="J933" s="900" t="s">
        <v>2755</v>
      </c>
      <c r="K933" s="164" t="s">
        <v>4587</v>
      </c>
      <c r="L933" s="164" t="s">
        <v>461</v>
      </c>
      <c r="M933" s="164"/>
      <c r="N933" s="164" t="s">
        <v>4996</v>
      </c>
      <c r="O933" s="164"/>
      <c r="P933" s="173" t="s">
        <v>5669</v>
      </c>
      <c r="Q933" s="164" t="s">
        <v>3947</v>
      </c>
      <c r="R933" s="177" t="s">
        <v>2723</v>
      </c>
      <c r="S933" s="354" t="s">
        <v>53</v>
      </c>
      <c r="T933" s="173"/>
      <c r="U933" s="173"/>
      <c r="V933" s="173"/>
      <c r="W933" s="313" t="s">
        <v>4586</v>
      </c>
      <c r="X933" s="645" t="s">
        <v>12324</v>
      </c>
      <c r="Y933" s="354"/>
      <c r="Z933" s="176">
        <v>999</v>
      </c>
      <c r="AA933" s="176"/>
      <c r="AB933" s="32">
        <f t="shared" ca="1" si="16"/>
        <v>0.92326989782473701</v>
      </c>
      <c r="AC933" s="812"/>
      <c r="AD933" s="763"/>
      <c r="AE933" s="807"/>
      <c r="AF933" s="921">
        <f>IF(X933=X932,AF932,0)+IF(ISNUMBER(I933),IF(I933&lt;1,I933,I933*VLOOKUP(J933,Summary!$H$2:$I$9,2)),VLOOKUP(J933,Summary!$J$2:$K$9,2)*IF(ISNUMBER(H933),H933,1))</f>
        <v>1.4306018518518515</v>
      </c>
      <c r="AG933" s="289">
        <v>932</v>
      </c>
      <c r="AH933" s="136"/>
      <c r="AI933" s="136"/>
    </row>
    <row r="934" spans="1:36" s="1" customFormat="1" ht="12" customHeight="1" x14ac:dyDescent="0.25">
      <c r="A934" s="472">
        <v>11</v>
      </c>
      <c r="B934" s="472">
        <v>3</v>
      </c>
      <c r="C934" s="473">
        <v>18.010000000000002</v>
      </c>
      <c r="D934" s="176" t="s">
        <v>2410</v>
      </c>
      <c r="E934" s="313" t="s">
        <v>4577</v>
      </c>
      <c r="F934" s="174">
        <v>38687</v>
      </c>
      <c r="G934" s="174"/>
      <c r="H934" s="176">
        <v>1</v>
      </c>
      <c r="I934" s="176">
        <v>10</v>
      </c>
      <c r="J934" s="900" t="s">
        <v>2755</v>
      </c>
      <c r="K934" s="164" t="s">
        <v>7802</v>
      </c>
      <c r="L934" s="164" t="s">
        <v>461</v>
      </c>
      <c r="M934" s="164"/>
      <c r="N934" s="164" t="s">
        <v>5664</v>
      </c>
      <c r="O934" s="164"/>
      <c r="P934" s="173" t="s">
        <v>5000</v>
      </c>
      <c r="Q934" s="164" t="s">
        <v>3947</v>
      </c>
      <c r="R934" s="177" t="s">
        <v>2723</v>
      </c>
      <c r="S934" s="354" t="s">
        <v>53</v>
      </c>
      <c r="T934" s="173"/>
      <c r="U934" s="173"/>
      <c r="V934" s="173"/>
      <c r="W934" s="313" t="s">
        <v>4577</v>
      </c>
      <c r="X934" s="645" t="s">
        <v>12324</v>
      </c>
      <c r="Y934" s="354"/>
      <c r="Z934" s="176"/>
      <c r="AA934" s="176"/>
      <c r="AB934" s="32">
        <f t="shared" ca="1" si="16"/>
        <v>0.41867816456988349</v>
      </c>
      <c r="AC934" s="812"/>
      <c r="AD934" s="763"/>
      <c r="AE934" s="807"/>
      <c r="AF934" s="921">
        <f>IF(X934=X933,AF933,0)+IF(ISNUMBER(I934),IF(I934&lt;1,I934,I934*VLOOKUP(J934,Summary!$H$2:$I$9,2)),VLOOKUP(J934,Summary!$J$2:$K$9,2)*IF(ISNUMBER(H934),H934,1))</f>
        <v>1.4375462962962959</v>
      </c>
      <c r="AG934" s="289">
        <v>933</v>
      </c>
      <c r="AH934" s="94"/>
      <c r="AI934" s="94"/>
      <c r="AJ934" s="3"/>
    </row>
    <row r="935" spans="1:36" s="22" customFormat="1" ht="12" customHeight="1" x14ac:dyDescent="0.25">
      <c r="A935" s="472">
        <v>11</v>
      </c>
      <c r="B935" s="472">
        <v>3</v>
      </c>
      <c r="C935" s="473">
        <v>28.05</v>
      </c>
      <c r="D935" s="176" t="s">
        <v>4591</v>
      </c>
      <c r="E935" s="313" t="s">
        <v>4592</v>
      </c>
      <c r="F935" s="174">
        <v>39630</v>
      </c>
      <c r="G935" s="174"/>
      <c r="H935" s="176" t="s">
        <v>461</v>
      </c>
      <c r="I935" s="176">
        <v>16</v>
      </c>
      <c r="J935" s="900" t="s">
        <v>2755</v>
      </c>
      <c r="K935" s="164" t="s">
        <v>4593</v>
      </c>
      <c r="L935" s="164" t="s">
        <v>461</v>
      </c>
      <c r="M935" s="164"/>
      <c r="N935" s="164" t="s">
        <v>185</v>
      </c>
      <c r="O935" s="164"/>
      <c r="P935" s="173" t="s">
        <v>6704</v>
      </c>
      <c r="Q935" s="164" t="s">
        <v>3947</v>
      </c>
      <c r="R935" s="177" t="s">
        <v>2723</v>
      </c>
      <c r="S935" s="354" t="s">
        <v>53</v>
      </c>
      <c r="T935" s="173"/>
      <c r="U935" s="173"/>
      <c r="V935" s="173"/>
      <c r="W935" s="313" t="s">
        <v>4592</v>
      </c>
      <c r="X935" s="645" t="s">
        <v>12324</v>
      </c>
      <c r="Y935" s="354"/>
      <c r="Z935" s="176"/>
      <c r="AA935" s="176"/>
      <c r="AB935" s="32">
        <f t="shared" ca="1" si="16"/>
        <v>0.96031088694720668</v>
      </c>
      <c r="AC935" s="812"/>
      <c r="AD935" s="763"/>
      <c r="AE935" s="807"/>
      <c r="AF935" s="921">
        <f>IF(X935=X934,AF934,0)+IF(ISNUMBER(I935),IF(I935&lt;1,I935,I935*VLOOKUP(J935,Summary!$H$2:$I$9,2)),VLOOKUP(J935,Summary!$J$2:$K$9,2)*IF(ISNUMBER(H935),H935,1))</f>
        <v>1.448657407407407</v>
      </c>
      <c r="AG935" s="289">
        <v>934</v>
      </c>
      <c r="AH935" s="94"/>
      <c r="AI935" s="94"/>
    </row>
    <row r="936" spans="1:36" s="43" customFormat="1" ht="12" customHeight="1" x14ac:dyDescent="0.25">
      <c r="A936" s="467">
        <v>11</v>
      </c>
      <c r="B936" s="467">
        <v>3</v>
      </c>
      <c r="C936" s="467">
        <v>100</v>
      </c>
      <c r="D936" s="185" t="s">
        <v>2074</v>
      </c>
      <c r="E936" s="314" t="s">
        <v>2449</v>
      </c>
      <c r="F936" s="184">
        <v>27265</v>
      </c>
      <c r="G936" s="184">
        <v>27307</v>
      </c>
      <c r="H936" s="185">
        <v>7</v>
      </c>
      <c r="I936" s="185">
        <v>14</v>
      </c>
      <c r="J936" s="901" t="s">
        <v>1796</v>
      </c>
      <c r="K936" s="163" t="s">
        <v>5784</v>
      </c>
      <c r="L936" s="163" t="s">
        <v>3547</v>
      </c>
      <c r="M936" s="163"/>
      <c r="N936" s="163"/>
      <c r="O936" s="163"/>
      <c r="P936" s="182" t="s">
        <v>461</v>
      </c>
      <c r="Q936" s="163" t="s">
        <v>1797</v>
      </c>
      <c r="R936" s="186" t="s">
        <v>4601</v>
      </c>
      <c r="S936" s="355"/>
      <c r="T936" s="182"/>
      <c r="U936" s="182"/>
      <c r="V936" s="182"/>
      <c r="W936" s="328"/>
      <c r="X936" s="660" t="s">
        <v>12324</v>
      </c>
      <c r="Y936" s="355"/>
      <c r="Z936" s="185"/>
      <c r="AA936" s="185"/>
      <c r="AB936" s="33">
        <f t="shared" ca="1" si="16"/>
        <v>2.3280785380380364E-2</v>
      </c>
      <c r="AC936" s="813"/>
      <c r="AD936" s="211"/>
      <c r="AE936" s="875"/>
      <c r="AF936" s="922">
        <f>IF(X936=X935,AF935,0)+IF(ISNUMBER(I936),IF(I936&lt;1,I936,I936*VLOOKUP(J936,Summary!$H$2:$I$9,2)),VLOOKUP(J936,Summary!$J$2:$K$9,2)*IF(ISNUMBER(H936),H936,1))</f>
        <v>1.4535185185185182</v>
      </c>
      <c r="AG936" s="290">
        <v>935</v>
      </c>
      <c r="AH936" s="94"/>
      <c r="AI936" s="94"/>
    </row>
    <row r="937" spans="1:36" s="2" customFormat="1" ht="12" customHeight="1" x14ac:dyDescent="0.25">
      <c r="A937" s="467">
        <v>11</v>
      </c>
      <c r="B937" s="467">
        <v>3</v>
      </c>
      <c r="C937" s="467">
        <v>101</v>
      </c>
      <c r="D937" s="185" t="s">
        <v>5108</v>
      </c>
      <c r="E937" s="314" t="s">
        <v>2450</v>
      </c>
      <c r="F937" s="183">
        <v>27273</v>
      </c>
      <c r="G937" s="184"/>
      <c r="H937" s="185">
        <v>1</v>
      </c>
      <c r="I937" s="185">
        <v>5</v>
      </c>
      <c r="J937" s="901" t="s">
        <v>1796</v>
      </c>
      <c r="K937" s="163" t="s">
        <v>5784</v>
      </c>
      <c r="L937" s="163" t="s">
        <v>3547</v>
      </c>
      <c r="M937" s="163"/>
      <c r="N937" s="163"/>
      <c r="O937" s="163"/>
      <c r="P937" s="182" t="s">
        <v>461</v>
      </c>
      <c r="Q937" s="163" t="s">
        <v>1797</v>
      </c>
      <c r="R937" s="186" t="s">
        <v>4601</v>
      </c>
      <c r="S937" s="355"/>
      <c r="T937" s="182"/>
      <c r="U937" s="182"/>
      <c r="V937" s="182"/>
      <c r="W937" s="314" t="s">
        <v>2450</v>
      </c>
      <c r="X937" s="646" t="s">
        <v>12324</v>
      </c>
      <c r="Y937" s="355"/>
      <c r="Z937" s="185"/>
      <c r="AA937" s="185"/>
      <c r="AB937" s="33">
        <f t="shared" ca="1" si="16"/>
        <v>0.97899489866802469</v>
      </c>
      <c r="AC937" s="813"/>
      <c r="AD937" s="211"/>
      <c r="AE937" s="875"/>
      <c r="AF937" s="922">
        <f>IF(X937=X936,AF936,0)+IF(ISNUMBER(I937),IF(I937&lt;1,I937,I937*VLOOKUP(J937,Summary!$H$2:$I$9,2)),VLOOKUP(J937,Summary!$J$2:$K$9,2)*IF(ISNUMBER(H937),H937,1))</f>
        <v>1.4552546296296294</v>
      </c>
      <c r="AG937" s="290">
        <v>936</v>
      </c>
      <c r="AH937" s="94"/>
      <c r="AI937" s="94"/>
    </row>
    <row r="938" spans="1:36" s="22" customFormat="1" ht="12" customHeight="1" x14ac:dyDescent="0.2">
      <c r="A938" s="467">
        <v>11</v>
      </c>
      <c r="B938" s="467">
        <v>3</v>
      </c>
      <c r="C938" s="467">
        <v>102</v>
      </c>
      <c r="D938" s="185" t="s">
        <v>2075</v>
      </c>
      <c r="E938" s="314" t="s">
        <v>2451</v>
      </c>
      <c r="F938" s="184">
        <v>27314</v>
      </c>
      <c r="G938" s="184">
        <v>27363</v>
      </c>
      <c r="H938" s="185">
        <v>8</v>
      </c>
      <c r="I938" s="185">
        <v>16</v>
      </c>
      <c r="J938" s="901" t="s">
        <v>1796</v>
      </c>
      <c r="K938" s="163" t="s">
        <v>5784</v>
      </c>
      <c r="L938" s="163" t="s">
        <v>3547</v>
      </c>
      <c r="M938" s="163"/>
      <c r="N938" s="163"/>
      <c r="O938" s="163"/>
      <c r="P938" s="182" t="s">
        <v>461</v>
      </c>
      <c r="Q938" s="163" t="s">
        <v>1797</v>
      </c>
      <c r="R938" s="186" t="s">
        <v>4601</v>
      </c>
      <c r="S938" s="355"/>
      <c r="T938" s="182"/>
      <c r="U938" s="182"/>
      <c r="V938" s="182"/>
      <c r="W938" s="328"/>
      <c r="X938" s="660" t="s">
        <v>12324</v>
      </c>
      <c r="Y938" s="355"/>
      <c r="Z938" s="185"/>
      <c r="AA938" s="185"/>
      <c r="AB938" s="33">
        <f t="shared" ca="1" si="16"/>
        <v>0.13520728607136734</v>
      </c>
      <c r="AC938" s="813"/>
      <c r="AD938" s="211"/>
      <c r="AE938" s="875"/>
      <c r="AF938" s="922">
        <f>IF(X938=X937,AF937,0)+IF(ISNUMBER(I938),IF(I938&lt;1,I938,I938*VLOOKUP(J938,Summary!$H$2:$I$9,2)),VLOOKUP(J938,Summary!$J$2:$K$9,2)*IF(ISNUMBER(H938),H938,1))</f>
        <v>1.4608101851851849</v>
      </c>
      <c r="AG938" s="290">
        <v>937</v>
      </c>
      <c r="AH938" s="94"/>
      <c r="AI938" s="94"/>
    </row>
    <row r="939" spans="1:36" s="2" customFormat="1" ht="12" customHeight="1" x14ac:dyDescent="0.25">
      <c r="A939" s="467">
        <v>11</v>
      </c>
      <c r="B939" s="467">
        <v>3</v>
      </c>
      <c r="C939" s="467">
        <v>103</v>
      </c>
      <c r="D939" s="185" t="s">
        <v>5109</v>
      </c>
      <c r="E939" s="314" t="s">
        <v>2452</v>
      </c>
      <c r="F939" s="184">
        <v>27370</v>
      </c>
      <c r="G939" s="184">
        <v>27398</v>
      </c>
      <c r="H939" s="185">
        <v>5</v>
      </c>
      <c r="I939" s="185"/>
      <c r="J939" s="901" t="s">
        <v>1796</v>
      </c>
      <c r="K939" s="163" t="s">
        <v>5784</v>
      </c>
      <c r="L939" s="163" t="s">
        <v>3547</v>
      </c>
      <c r="M939" s="163"/>
      <c r="N939" s="163"/>
      <c r="O939" s="163"/>
      <c r="P939" s="182" t="s">
        <v>461</v>
      </c>
      <c r="Q939" s="163" t="s">
        <v>1797</v>
      </c>
      <c r="R939" s="186" t="s">
        <v>4601</v>
      </c>
      <c r="S939" s="355"/>
      <c r="T939" s="182"/>
      <c r="U939" s="182"/>
      <c r="V939" s="182"/>
      <c r="W939" s="328"/>
      <c r="X939" s="660" t="s">
        <v>12324</v>
      </c>
      <c r="Y939" s="355"/>
      <c r="Z939" s="185"/>
      <c r="AA939" s="185"/>
      <c r="AB939" s="33">
        <f t="shared" ca="1" si="16"/>
        <v>0.26640731439995091</v>
      </c>
      <c r="AC939" s="813"/>
      <c r="AD939" s="211"/>
      <c r="AE939" s="875"/>
      <c r="AF939" s="922">
        <f>IF(X939=X938,AF938,0)+IF(ISNUMBER(I939),IF(I939&lt;1,I939,I939*VLOOKUP(J939,Summary!$H$2:$I$9,2)),VLOOKUP(J939,Summary!$J$2:$K$9,2)*IF(ISNUMBER(H939),H939,1))</f>
        <v>1.4781712962962961</v>
      </c>
      <c r="AG939" s="290">
        <v>938</v>
      </c>
      <c r="AH939" s="94"/>
      <c r="AI939" s="94"/>
    </row>
    <row r="940" spans="1:36" s="22" customFormat="1" ht="12" customHeight="1" x14ac:dyDescent="0.25">
      <c r="A940" s="468" t="s">
        <v>1463</v>
      </c>
      <c r="B940" s="468">
        <v>3</v>
      </c>
      <c r="C940" s="468">
        <v>71</v>
      </c>
      <c r="D940" s="417" t="s">
        <v>6977</v>
      </c>
      <c r="E940" s="316" t="s">
        <v>6978</v>
      </c>
      <c r="F940" s="195">
        <v>38537</v>
      </c>
      <c r="G940" s="188"/>
      <c r="H940" s="188" t="str">
        <f>IF(J940="Book","n/a","")</f>
        <v>n/a</v>
      </c>
      <c r="I940" s="188">
        <v>281</v>
      </c>
      <c r="J940" s="902" t="s">
        <v>6868</v>
      </c>
      <c r="K940" s="162" t="s">
        <v>1884</v>
      </c>
      <c r="L940" s="162" t="str">
        <f>IF(J940="Book","n/a","")</f>
        <v>n/a</v>
      </c>
      <c r="M940" s="162"/>
      <c r="N940" s="162"/>
      <c r="O940" s="162"/>
      <c r="P940" s="178" t="s">
        <v>8994</v>
      </c>
      <c r="Q940" s="162" t="s">
        <v>3953</v>
      </c>
      <c r="R940" s="189" t="s">
        <v>2717</v>
      </c>
      <c r="S940" s="366" t="s">
        <v>53</v>
      </c>
      <c r="T940" s="178"/>
      <c r="U940" s="178"/>
      <c r="V940" s="178"/>
      <c r="W940" s="316" t="s">
        <v>6978</v>
      </c>
      <c r="X940" s="648" t="s">
        <v>12324</v>
      </c>
      <c r="Y940" s="356"/>
      <c r="Z940" s="272"/>
      <c r="AA940" s="272"/>
      <c r="AB940" s="34">
        <f t="shared" ca="1" si="16"/>
        <v>8.7769945721794085E-2</v>
      </c>
      <c r="AC940" s="814"/>
      <c r="AD940" s="815" t="s">
        <v>14968</v>
      </c>
      <c r="AE940" s="942" t="s">
        <v>3234</v>
      </c>
      <c r="AF940" s="923">
        <f>IF(X940=X939,AF939,0)+IF(ISNUMBER(I940),IF(I940&lt;1,I940,I940*VLOOKUP(J940,Summary!$H$2:$I$9,2)),VLOOKUP(J940,Summary!$J$2:$K$9,2)*IF(ISNUMBER(H940),H940,1))</f>
        <v>1.673310185185185</v>
      </c>
      <c r="AG940" s="291">
        <v>939</v>
      </c>
      <c r="AH940" s="94"/>
      <c r="AI940" s="94"/>
    </row>
    <row r="941" spans="1:36" s="43" customFormat="1" ht="12" customHeight="1" x14ac:dyDescent="0.25">
      <c r="A941" s="467">
        <v>11</v>
      </c>
      <c r="B941" s="467">
        <v>3</v>
      </c>
      <c r="C941" s="467">
        <v>0.03</v>
      </c>
      <c r="D941" s="185" t="s">
        <v>15377</v>
      </c>
      <c r="E941" s="314" t="s">
        <v>15378</v>
      </c>
      <c r="F941" s="184">
        <v>43369</v>
      </c>
      <c r="G941" s="184"/>
      <c r="H941" s="185">
        <v>1</v>
      </c>
      <c r="I941" s="185">
        <v>4</v>
      </c>
      <c r="J941" s="901" t="s">
        <v>1796</v>
      </c>
      <c r="K941" s="163" t="s">
        <v>2675</v>
      </c>
      <c r="L941" s="163" t="s">
        <v>3365</v>
      </c>
      <c r="M941" s="163" t="s">
        <v>3365</v>
      </c>
      <c r="N941" s="163"/>
      <c r="O941" s="163"/>
      <c r="P941" s="182" t="s">
        <v>461</v>
      </c>
      <c r="Q941" s="163" t="s">
        <v>7076</v>
      </c>
      <c r="R941" s="186" t="s">
        <v>12174</v>
      </c>
      <c r="S941" s="355" t="s">
        <v>53</v>
      </c>
      <c r="T941" s="182"/>
      <c r="U941" s="182"/>
      <c r="V941" s="182"/>
      <c r="W941" s="314" t="s">
        <v>15378</v>
      </c>
      <c r="X941" s="660" t="s">
        <v>12324</v>
      </c>
      <c r="Y941" s="355"/>
      <c r="Z941" s="185"/>
      <c r="AA941" s="185"/>
      <c r="AB941" s="33">
        <f t="shared" ca="1" si="16"/>
        <v>0.50258775478820272</v>
      </c>
      <c r="AC941" s="813"/>
      <c r="AD941" s="819"/>
      <c r="AE941" s="875"/>
      <c r="AF941" s="922">
        <f>IF(X941=X940,AF940,0)+IF(ISNUMBER(I941),IF(I941&lt;1,I941,I941*VLOOKUP(J941,Summary!$H$2:$I$9,2)),VLOOKUP(J941,Summary!$J$2:$K$9,2)*IF(ISNUMBER(H941),H941,1))</f>
        <v>1.6746990740740739</v>
      </c>
      <c r="AG941" s="290">
        <v>940</v>
      </c>
      <c r="AH941" s="94"/>
      <c r="AI941" s="94"/>
    </row>
    <row r="942" spans="1:36" s="1" customFormat="1" ht="12" customHeight="1" x14ac:dyDescent="0.25">
      <c r="A942" s="472">
        <v>11</v>
      </c>
      <c r="B942" s="472">
        <v>3</v>
      </c>
      <c r="C942" s="473">
        <v>7.04</v>
      </c>
      <c r="D942" s="176" t="s">
        <v>2802</v>
      </c>
      <c r="E942" s="313" t="s">
        <v>2801</v>
      </c>
      <c r="F942" s="174">
        <v>38991</v>
      </c>
      <c r="G942" s="174"/>
      <c r="H942" s="176">
        <v>1</v>
      </c>
      <c r="I942" s="176">
        <v>15</v>
      </c>
      <c r="J942" s="900" t="s">
        <v>2755</v>
      </c>
      <c r="K942" s="164" t="s">
        <v>5664</v>
      </c>
      <c r="L942" s="164" t="s">
        <v>461</v>
      </c>
      <c r="M942" s="164"/>
      <c r="N942" s="164" t="s">
        <v>5664</v>
      </c>
      <c r="O942" s="164"/>
      <c r="P942" s="173" t="s">
        <v>3325</v>
      </c>
      <c r="Q942" s="164" t="s">
        <v>3947</v>
      </c>
      <c r="R942" s="177" t="s">
        <v>2723</v>
      </c>
      <c r="S942" s="354" t="s">
        <v>53</v>
      </c>
      <c r="T942" s="173" t="s">
        <v>2597</v>
      </c>
      <c r="U942" s="173"/>
      <c r="V942" s="173"/>
      <c r="W942" s="313" t="s">
        <v>2801</v>
      </c>
      <c r="X942" s="645" t="s">
        <v>12324</v>
      </c>
      <c r="Y942" s="354"/>
      <c r="Z942" s="176"/>
      <c r="AA942" s="176"/>
      <c r="AB942" s="32">
        <f t="shared" ca="1" si="16"/>
        <v>0.45942959614863266</v>
      </c>
      <c r="AC942" s="812"/>
      <c r="AD942" s="763"/>
      <c r="AE942" s="807"/>
      <c r="AF942" s="921">
        <f>IF(X942=X941,AF941,0)+IF(ISNUMBER(I942),IF(I942&lt;1,I942,I942*VLOOKUP(J942,Summary!$H$2:$I$9,2)),VLOOKUP(J942,Summary!$J$2:$K$9,2)*IF(ISNUMBER(H942),H942,1))</f>
        <v>1.6851157407407407</v>
      </c>
      <c r="AG942" s="289">
        <v>941</v>
      </c>
      <c r="AH942" s="94"/>
      <c r="AI942" s="94"/>
    </row>
    <row r="943" spans="1:36" s="22" customFormat="1" ht="12" customHeight="1" x14ac:dyDescent="0.25">
      <c r="A943" s="466" t="s">
        <v>1463</v>
      </c>
      <c r="B943" s="466">
        <v>3</v>
      </c>
      <c r="C943" s="466">
        <v>74</v>
      </c>
      <c r="D943" s="424" t="s">
        <v>6302</v>
      </c>
      <c r="E943" s="319" t="s">
        <v>1798</v>
      </c>
      <c r="F943" s="198">
        <v>27153</v>
      </c>
      <c r="G943" s="198">
        <v>27188</v>
      </c>
      <c r="H943" s="199">
        <v>6</v>
      </c>
      <c r="I943" s="791">
        <f>TIME(0,24,40)+TIME(0,25, 2)+TIME(0,24,58)+TIME(0,23,53)+TIME(0,24, 1)+TIME(0,24,43)</f>
        <v>0.1022800925925926</v>
      </c>
      <c r="J943" s="904" t="s">
        <v>1588</v>
      </c>
      <c r="K943" s="200" t="s">
        <v>7019</v>
      </c>
      <c r="L943" s="200" t="s">
        <v>1884</v>
      </c>
      <c r="M943" s="200"/>
      <c r="N943" s="200" t="s">
        <v>1088</v>
      </c>
      <c r="O943" s="200" t="s">
        <v>1884</v>
      </c>
      <c r="P943" s="197" t="s">
        <v>461</v>
      </c>
      <c r="Q943" s="200" t="s">
        <v>3946</v>
      </c>
      <c r="R943" s="201" t="s">
        <v>5280</v>
      </c>
      <c r="S943" s="390" t="s">
        <v>53</v>
      </c>
      <c r="T943" s="197" t="s">
        <v>2597</v>
      </c>
      <c r="U943" s="197" t="s">
        <v>2600</v>
      </c>
      <c r="V943" s="197" t="s">
        <v>2601</v>
      </c>
      <c r="W943" s="318" t="s">
        <v>8693</v>
      </c>
      <c r="X943" s="650" t="s">
        <v>12324</v>
      </c>
      <c r="Y943" s="358" t="s">
        <v>6141</v>
      </c>
      <c r="Z943" s="253">
        <v>127</v>
      </c>
      <c r="AA943" s="253">
        <v>6</v>
      </c>
      <c r="AB943" s="35">
        <f t="shared" ca="1" si="16"/>
        <v>0.73539862000231593</v>
      </c>
      <c r="AC943" s="820"/>
      <c r="AD943" s="821" t="s">
        <v>16443</v>
      </c>
      <c r="AE943" s="944" t="s">
        <v>16444</v>
      </c>
      <c r="AF943" s="925">
        <f>IF(X943=X942,AF942,0)+IF(ISNUMBER(I943),IF(I943&lt;1,I943,I943*VLOOKUP(J943,Summary!$H$2:$I$9,2)),VLOOKUP(J943,Summary!$J$2:$K$9,2)*IF(ISNUMBER(H943),H943,1))</f>
        <v>1.7873958333333333</v>
      </c>
      <c r="AG943" s="293">
        <v>942</v>
      </c>
      <c r="AH943" s="94"/>
      <c r="AI943" s="94"/>
    </row>
    <row r="944" spans="1:36" s="22" customFormat="1" ht="12" customHeight="1" x14ac:dyDescent="0.25">
      <c r="A944" s="408"/>
      <c r="B944" s="408" t="s">
        <v>2650</v>
      </c>
      <c r="C944" s="408">
        <v>12</v>
      </c>
      <c r="D944" s="176" t="s">
        <v>3572</v>
      </c>
      <c r="E944" s="313" t="s">
        <v>3573</v>
      </c>
      <c r="F944" s="175">
        <v>33709</v>
      </c>
      <c r="G944" s="175"/>
      <c r="H944" s="176">
        <v>1</v>
      </c>
      <c r="I944" s="176">
        <v>1</v>
      </c>
      <c r="J944" s="900" t="s">
        <v>2755</v>
      </c>
      <c r="K944" s="164" t="s">
        <v>3574</v>
      </c>
      <c r="L944" s="164" t="s">
        <v>3575</v>
      </c>
      <c r="M944" s="164"/>
      <c r="N944" s="164" t="s">
        <v>561</v>
      </c>
      <c r="O944" s="164"/>
      <c r="P944" s="173" t="s">
        <v>461</v>
      </c>
      <c r="Q944" s="164" t="s">
        <v>4062</v>
      </c>
      <c r="R944" s="177" t="s">
        <v>4599</v>
      </c>
      <c r="S944" s="354" t="s">
        <v>2602</v>
      </c>
      <c r="T944" s="173" t="s">
        <v>53</v>
      </c>
      <c r="U944" s="173"/>
      <c r="V944" s="173"/>
      <c r="W944" s="313" t="s">
        <v>3573</v>
      </c>
      <c r="X944" s="645" t="s">
        <v>12324</v>
      </c>
      <c r="Y944" s="354"/>
      <c r="Z944" s="176"/>
      <c r="AA944" s="176"/>
      <c r="AB944" s="32">
        <f t="shared" ca="1" si="16"/>
        <v>0.52840124039668213</v>
      </c>
      <c r="AC944" s="812"/>
      <c r="AD944" s="763" t="s">
        <v>16855</v>
      </c>
      <c r="AE944" s="807" t="s">
        <v>3365</v>
      </c>
      <c r="AF944" s="921">
        <f>IF(X944=X943,AF943,0)+IF(ISNUMBER(I944),IF(I944&lt;1,I944,I944*VLOOKUP(J944,Summary!$H$2:$I$9,2)),VLOOKUP(J944,Summary!$J$2:$K$9,2)*IF(ISNUMBER(H944),H944,1))</f>
        <v>1.7880902777777778</v>
      </c>
      <c r="AG944" s="289">
        <v>943</v>
      </c>
      <c r="AH944" s="94"/>
      <c r="AI944" s="94"/>
    </row>
    <row r="945" spans="1:35" s="22" customFormat="1" ht="12" customHeight="1" x14ac:dyDescent="0.2">
      <c r="A945" s="465" t="s">
        <v>1463</v>
      </c>
      <c r="B945" s="465" t="s">
        <v>3221</v>
      </c>
      <c r="C945" s="465">
        <v>3</v>
      </c>
      <c r="D945" s="407" t="s">
        <v>4889</v>
      </c>
      <c r="E945" s="315" t="s">
        <v>5808</v>
      </c>
      <c r="F945" s="196">
        <v>38600</v>
      </c>
      <c r="G945" s="229"/>
      <c r="H945" s="170">
        <v>1</v>
      </c>
      <c r="I945" s="746">
        <f>TIME(0,7,54)</f>
        <v>5.4861111111111117E-3</v>
      </c>
      <c r="J945" s="899" t="s">
        <v>4706</v>
      </c>
      <c r="K945" s="167" t="s">
        <v>3365</v>
      </c>
      <c r="L945" s="167" t="s">
        <v>3365</v>
      </c>
      <c r="M945" s="167"/>
      <c r="N945" s="167"/>
      <c r="O945" s="167"/>
      <c r="P945" s="168" t="s">
        <v>9006</v>
      </c>
      <c r="Q945" s="167" t="s">
        <v>3948</v>
      </c>
      <c r="R945" s="172" t="s">
        <v>3408</v>
      </c>
      <c r="S945" s="388" t="s">
        <v>53</v>
      </c>
      <c r="T945" s="168"/>
      <c r="U945" s="168"/>
      <c r="V945" s="168"/>
      <c r="W945" s="312"/>
      <c r="X945" s="644" t="s">
        <v>12324</v>
      </c>
      <c r="Y945" s="352"/>
      <c r="Z945" s="353"/>
      <c r="AA945" s="353"/>
      <c r="AB945" s="31">
        <f t="shared" ca="1" si="16"/>
        <v>0.8442862453822797</v>
      </c>
      <c r="AC945" s="810"/>
      <c r="AD945" s="811"/>
      <c r="AE945" s="940"/>
      <c r="AF945" s="920">
        <f>IF(X945=X944,AF944,0)+IF(ISNUMBER(I945),IF(I945&lt;1,I945,I945*VLOOKUP(J945,Summary!$H$2:$I$9,2)),VLOOKUP(J945,Summary!$J$2:$K$9,2)*IF(ISNUMBER(H945),H945,1))</f>
        <v>1.7935763888888889</v>
      </c>
      <c r="AG945" s="287">
        <v>944</v>
      </c>
      <c r="AH945" s="94"/>
      <c r="AI945" s="94"/>
    </row>
    <row r="946" spans="1:35" s="27" customFormat="1" ht="12" customHeight="1" x14ac:dyDescent="0.25">
      <c r="A946" s="472">
        <v>11</v>
      </c>
      <c r="B946" s="472">
        <v>3</v>
      </c>
      <c r="C946" s="473">
        <v>20.09</v>
      </c>
      <c r="D946" s="176" t="s">
        <v>2680</v>
      </c>
      <c r="E946" s="313" t="s">
        <v>2408</v>
      </c>
      <c r="F946" s="174">
        <v>38961</v>
      </c>
      <c r="G946" s="174"/>
      <c r="H946" s="176">
        <v>1</v>
      </c>
      <c r="I946" s="176">
        <v>16</v>
      </c>
      <c r="J946" s="900" t="s">
        <v>2755</v>
      </c>
      <c r="K946" s="164" t="s">
        <v>2409</v>
      </c>
      <c r="L946" s="164" t="s">
        <v>461</v>
      </c>
      <c r="M946" s="164"/>
      <c r="N946" s="164" t="s">
        <v>7381</v>
      </c>
      <c r="O946" s="164"/>
      <c r="P946" s="173" t="s">
        <v>705</v>
      </c>
      <c r="Q946" s="164" t="s">
        <v>3947</v>
      </c>
      <c r="R946" s="177" t="s">
        <v>2723</v>
      </c>
      <c r="S946" s="354"/>
      <c r="T946" s="173"/>
      <c r="U946" s="173"/>
      <c r="V946" s="173"/>
      <c r="W946" s="313" t="s">
        <v>2408</v>
      </c>
      <c r="X946" s="645" t="s">
        <v>12324</v>
      </c>
      <c r="Y946" s="354"/>
      <c r="Z946" s="176"/>
      <c r="AA946" s="176"/>
      <c r="AB946" s="32">
        <f t="shared" ca="1" si="16"/>
        <v>0.93084838331449171</v>
      </c>
      <c r="AC946" s="812"/>
      <c r="AD946" s="763"/>
      <c r="AE946" s="807"/>
      <c r="AF946" s="921">
        <f>IF(X946=X945,AF945,0)+IF(ISNUMBER(I946),IF(I946&lt;1,I946,I946*VLOOKUP(J946,Summary!$H$2:$I$9,2)),VLOOKUP(J946,Summary!$J$2:$K$9,2)*IF(ISNUMBER(H946),H946,1))</f>
        <v>1.8046875</v>
      </c>
      <c r="AG946" s="289">
        <v>945</v>
      </c>
      <c r="AH946" s="94"/>
      <c r="AI946" s="94"/>
    </row>
    <row r="947" spans="1:35" s="22" customFormat="1" ht="12" customHeight="1" x14ac:dyDescent="0.25">
      <c r="A947" s="472">
        <v>11</v>
      </c>
      <c r="B947" s="472">
        <v>3</v>
      </c>
      <c r="C947" s="482">
        <v>7</v>
      </c>
      <c r="D947" s="176" t="s">
        <v>10229</v>
      </c>
      <c r="E947" s="313" t="s">
        <v>10230</v>
      </c>
      <c r="F947" s="175">
        <v>41886</v>
      </c>
      <c r="G947" s="174"/>
      <c r="H947" s="176">
        <v>1</v>
      </c>
      <c r="I947" s="176"/>
      <c r="J947" s="900" t="s">
        <v>2755</v>
      </c>
      <c r="K947" s="164" t="s">
        <v>10231</v>
      </c>
      <c r="L947" s="164" t="s">
        <v>461</v>
      </c>
      <c r="M947" s="164"/>
      <c r="N947" s="164"/>
      <c r="O947" s="164"/>
      <c r="P947" s="173" t="s">
        <v>10232</v>
      </c>
      <c r="Q947" s="164" t="s">
        <v>2173</v>
      </c>
      <c r="R947" s="177" t="s">
        <v>10233</v>
      </c>
      <c r="S947" s="354" t="s">
        <v>10234</v>
      </c>
      <c r="T947" s="173"/>
      <c r="U947" s="173"/>
      <c r="V947" s="173"/>
      <c r="W947" s="313" t="s">
        <v>10230</v>
      </c>
      <c r="X947" s="645" t="s">
        <v>12324</v>
      </c>
      <c r="Y947" s="354"/>
      <c r="Z947" s="176"/>
      <c r="AA947" s="176"/>
      <c r="AB947" s="32">
        <f t="shared" ca="1" si="16"/>
        <v>0.5153551839926136</v>
      </c>
      <c r="AC947" s="812"/>
      <c r="AD947" s="763"/>
      <c r="AE947" s="807"/>
      <c r="AF947" s="921">
        <f>IF(X947=X946,AF946,0)+IF(ISNUMBER(I947),IF(I947&lt;1,I947,I947*VLOOKUP(J947,Summary!$H$2:$I$9,2)),VLOOKUP(J947,Summary!$J$2:$K$9,2)*IF(ISNUMBER(H947),H947,1))</f>
        <v>1.8220486111111112</v>
      </c>
      <c r="AG947" s="289">
        <v>946</v>
      </c>
      <c r="AH947" s="94"/>
      <c r="AI947" s="94"/>
    </row>
    <row r="948" spans="1:35" s="2" customFormat="1" ht="12" customHeight="1" x14ac:dyDescent="0.25">
      <c r="A948" s="411"/>
      <c r="B948" s="411" t="s">
        <v>2650</v>
      </c>
      <c r="C948" s="411"/>
      <c r="D948" s="434" t="s">
        <v>12742</v>
      </c>
      <c r="E948" s="324" t="s">
        <v>12743</v>
      </c>
      <c r="F948" s="174">
        <v>26969</v>
      </c>
      <c r="G948" s="174"/>
      <c r="H948" s="176" t="s">
        <v>461</v>
      </c>
      <c r="I948" s="176"/>
      <c r="J948" s="900" t="s">
        <v>2755</v>
      </c>
      <c r="K948" s="164" t="s">
        <v>6148</v>
      </c>
      <c r="L948" s="164" t="s">
        <v>461</v>
      </c>
      <c r="M948" s="164"/>
      <c r="N948" s="164"/>
      <c r="O948" s="164"/>
      <c r="P948" s="173" t="s">
        <v>461</v>
      </c>
      <c r="Q948" s="164" t="s">
        <v>4929</v>
      </c>
      <c r="R948" s="179" t="s">
        <v>12737</v>
      </c>
      <c r="S948" s="354"/>
      <c r="T948" s="173"/>
      <c r="U948" s="173"/>
      <c r="V948" s="173"/>
      <c r="W948" s="324" t="s">
        <v>12743</v>
      </c>
      <c r="X948" s="656" t="s">
        <v>12508</v>
      </c>
      <c r="Y948" s="354"/>
      <c r="Z948" s="176"/>
      <c r="AA948" s="176"/>
      <c r="AB948" s="32">
        <f t="shared" ca="1" si="16"/>
        <v>0.74473640390303597</v>
      </c>
      <c r="AC948" s="812"/>
      <c r="AD948" s="763"/>
      <c r="AE948" s="951"/>
      <c r="AF948" s="921">
        <f>IF(X948=X947,AF947,0)+IF(ISNUMBER(I948),IF(I948&lt;1,I948,I948*VLOOKUP(J948,Summary!$H$2:$I$9,2)),VLOOKUP(J948,Summary!$J$2:$K$9,2)*IF(ISNUMBER(H948),H948,1))</f>
        <v>1.7361111111111112E-2</v>
      </c>
      <c r="AG948" s="288">
        <v>947</v>
      </c>
      <c r="AH948" s="94"/>
      <c r="AI948" s="94"/>
    </row>
    <row r="949" spans="1:35" s="3" customFormat="1" ht="12" customHeight="1" x14ac:dyDescent="0.25">
      <c r="A949" s="411"/>
      <c r="B949" s="411" t="s">
        <v>2650</v>
      </c>
      <c r="C949" s="411"/>
      <c r="D949" s="434" t="s">
        <v>13538</v>
      </c>
      <c r="E949" s="324" t="s">
        <v>13539</v>
      </c>
      <c r="F949" s="174">
        <v>27638</v>
      </c>
      <c r="G949" s="174"/>
      <c r="H949" s="176" t="s">
        <v>461</v>
      </c>
      <c r="I949" s="176">
        <v>8</v>
      </c>
      <c r="J949" s="900" t="s">
        <v>2755</v>
      </c>
      <c r="K949" s="164" t="s">
        <v>5784</v>
      </c>
      <c r="L949" s="164" t="s">
        <v>5784</v>
      </c>
      <c r="M949" s="164"/>
      <c r="N949" s="164"/>
      <c r="O949" s="164"/>
      <c r="P949" s="173" t="s">
        <v>13555</v>
      </c>
      <c r="Q949" s="164" t="s">
        <v>4705</v>
      </c>
      <c r="R949" s="179" t="s">
        <v>440</v>
      </c>
      <c r="S949" s="354"/>
      <c r="T949" s="173"/>
      <c r="U949" s="173"/>
      <c r="V949" s="173"/>
      <c r="W949" s="324" t="s">
        <v>13539</v>
      </c>
      <c r="X949" s="656" t="s">
        <v>12508</v>
      </c>
      <c r="Y949" s="354"/>
      <c r="Z949" s="176"/>
      <c r="AA949" s="176"/>
      <c r="AB949" s="32">
        <f t="shared" ca="1" si="16"/>
        <v>0.12999268662529528</v>
      </c>
      <c r="AC949" s="812"/>
      <c r="AD949" s="763"/>
      <c r="AE949" s="951"/>
      <c r="AF949" s="921">
        <f>IF(X949=X948,AF948,0)+IF(ISNUMBER(I949),IF(I949&lt;1,I949,I949*VLOOKUP(J949,Summary!$H$2:$I$9,2)),VLOOKUP(J949,Summary!$J$2:$K$9,2)*IF(ISNUMBER(H949),H949,1))</f>
        <v>2.2916666666666669E-2</v>
      </c>
      <c r="AG949" s="288">
        <v>948</v>
      </c>
      <c r="AH949" s="94"/>
      <c r="AI949" s="94"/>
    </row>
    <row r="950" spans="1:35" s="2" customFormat="1" ht="12" customHeight="1" x14ac:dyDescent="0.25">
      <c r="A950" s="411"/>
      <c r="B950" s="411" t="s">
        <v>2650</v>
      </c>
      <c r="C950" s="411"/>
      <c r="D950" s="434" t="s">
        <v>13529</v>
      </c>
      <c r="E950" s="324" t="s">
        <v>13530</v>
      </c>
      <c r="F950" s="174">
        <v>27638</v>
      </c>
      <c r="G950" s="174"/>
      <c r="H950" s="176" t="s">
        <v>461</v>
      </c>
      <c r="I950" s="176">
        <v>7</v>
      </c>
      <c r="J950" s="900" t="s">
        <v>2755</v>
      </c>
      <c r="K950" s="164" t="s">
        <v>5784</v>
      </c>
      <c r="L950" s="164" t="s">
        <v>5784</v>
      </c>
      <c r="M950" s="164"/>
      <c r="N950" s="164"/>
      <c r="O950" s="164"/>
      <c r="P950" s="173" t="s">
        <v>13555</v>
      </c>
      <c r="Q950" s="164" t="s">
        <v>4705</v>
      </c>
      <c r="R950" s="179" t="s">
        <v>440</v>
      </c>
      <c r="S950" s="354"/>
      <c r="T950" s="173"/>
      <c r="U950" s="173"/>
      <c r="V950" s="173"/>
      <c r="W950" s="324" t="s">
        <v>13530</v>
      </c>
      <c r="X950" s="656" t="s">
        <v>12508</v>
      </c>
      <c r="Y950" s="354"/>
      <c r="Z950" s="176"/>
      <c r="AA950" s="176"/>
      <c r="AB950" s="32">
        <f t="shared" ca="1" si="16"/>
        <v>0.52995306041357948</v>
      </c>
      <c r="AC950" s="812"/>
      <c r="AD950" s="763"/>
      <c r="AE950" s="951"/>
      <c r="AF950" s="921">
        <f>IF(X950=X949,AF949,0)+IF(ISNUMBER(I950),IF(I950&lt;1,I950,I950*VLOOKUP(J950,Summary!$H$2:$I$9,2)),VLOOKUP(J950,Summary!$J$2:$K$9,2)*IF(ISNUMBER(H950),H950,1))</f>
        <v>2.777777777777778E-2</v>
      </c>
      <c r="AG950" s="288">
        <v>949</v>
      </c>
      <c r="AH950" s="94"/>
      <c r="AI950" s="94"/>
    </row>
    <row r="951" spans="1:35" s="2" customFormat="1" ht="12" customHeight="1" x14ac:dyDescent="0.25">
      <c r="A951" s="411"/>
      <c r="B951" s="411" t="s">
        <v>2650</v>
      </c>
      <c r="C951" s="411"/>
      <c r="D951" s="434" t="s">
        <v>13531</v>
      </c>
      <c r="E951" s="324" t="s">
        <v>13533</v>
      </c>
      <c r="F951" s="174">
        <v>27638</v>
      </c>
      <c r="G951" s="174"/>
      <c r="H951" s="176" t="s">
        <v>461</v>
      </c>
      <c r="I951" s="176">
        <v>6</v>
      </c>
      <c r="J951" s="900" t="s">
        <v>2755</v>
      </c>
      <c r="K951" s="164" t="s">
        <v>5784</v>
      </c>
      <c r="L951" s="164" t="s">
        <v>5784</v>
      </c>
      <c r="M951" s="164"/>
      <c r="N951" s="164"/>
      <c r="O951" s="164"/>
      <c r="P951" s="173" t="s">
        <v>13555</v>
      </c>
      <c r="Q951" s="164" t="s">
        <v>4705</v>
      </c>
      <c r="R951" s="179" t="s">
        <v>440</v>
      </c>
      <c r="S951" s="354"/>
      <c r="T951" s="173"/>
      <c r="U951" s="173"/>
      <c r="V951" s="173"/>
      <c r="W951" s="324" t="s">
        <v>13533</v>
      </c>
      <c r="X951" s="656" t="s">
        <v>12508</v>
      </c>
      <c r="Y951" s="354"/>
      <c r="Z951" s="176"/>
      <c r="AA951" s="176"/>
      <c r="AB951" s="32">
        <f t="shared" ca="1" si="16"/>
        <v>0.94708054920216922</v>
      </c>
      <c r="AC951" s="812"/>
      <c r="AD951" s="763"/>
      <c r="AE951" s="951"/>
      <c r="AF951" s="921">
        <f>IF(X951=X950,AF950,0)+IF(ISNUMBER(I951),IF(I951&lt;1,I951,I951*VLOOKUP(J951,Summary!$H$2:$I$9,2)),VLOOKUP(J951,Summary!$J$2:$K$9,2)*IF(ISNUMBER(H951),H951,1))</f>
        <v>3.1944444444444449E-2</v>
      </c>
      <c r="AG951" s="288">
        <v>950</v>
      </c>
      <c r="AH951" s="94"/>
      <c r="AI951" s="94"/>
    </row>
    <row r="952" spans="1:35" s="22" customFormat="1" ht="12" customHeight="1" x14ac:dyDescent="0.2">
      <c r="A952" s="411"/>
      <c r="B952" s="411" t="s">
        <v>2650</v>
      </c>
      <c r="C952" s="411"/>
      <c r="D952" s="428" t="s">
        <v>13532</v>
      </c>
      <c r="E952" s="325" t="s">
        <v>13534</v>
      </c>
      <c r="F952" s="183">
        <v>27638</v>
      </c>
      <c r="G952" s="183"/>
      <c r="H952" s="185" t="s">
        <v>461</v>
      </c>
      <c r="I952" s="185">
        <v>6</v>
      </c>
      <c r="J952" s="901" t="s">
        <v>1796</v>
      </c>
      <c r="K952" s="163" t="s">
        <v>5784</v>
      </c>
      <c r="L952" s="163" t="s">
        <v>5784</v>
      </c>
      <c r="M952" s="163"/>
      <c r="N952" s="163"/>
      <c r="O952" s="163"/>
      <c r="P952" s="182" t="s">
        <v>13555</v>
      </c>
      <c r="Q952" s="163" t="s">
        <v>4705</v>
      </c>
      <c r="R952" s="207" t="s">
        <v>440</v>
      </c>
      <c r="S952" s="355"/>
      <c r="T952" s="182"/>
      <c r="U952" s="182"/>
      <c r="V952" s="182"/>
      <c r="W952" s="325" t="s">
        <v>13534</v>
      </c>
      <c r="X952" s="657" t="s">
        <v>12508</v>
      </c>
      <c r="Y952" s="355"/>
      <c r="Z952" s="185"/>
      <c r="AA952" s="185"/>
      <c r="AB952" s="33">
        <f t="shared" ca="1" si="16"/>
        <v>0.54873232151803697</v>
      </c>
      <c r="AC952" s="813"/>
      <c r="AD952" s="211"/>
      <c r="AE952" s="949"/>
      <c r="AF952" s="922">
        <f>IF(X952=X951,AF951,0)+IF(ISNUMBER(I952),IF(I952&lt;1,I952,I952*VLOOKUP(J952,Summary!$H$2:$I$9,2)),VLOOKUP(J952,Summary!$J$2:$K$9,2)*IF(ISNUMBER(H952),H952,1))</f>
        <v>3.4027777777777782E-2</v>
      </c>
      <c r="AG952" s="295">
        <v>951</v>
      </c>
      <c r="AH952" s="94"/>
      <c r="AI952" s="94"/>
    </row>
    <row r="953" spans="1:35" s="22" customFormat="1" ht="12" customHeight="1" x14ac:dyDescent="0.25">
      <c r="A953" s="411"/>
      <c r="B953" s="411" t="s">
        <v>2650</v>
      </c>
      <c r="C953" s="411"/>
      <c r="D953" s="434" t="s">
        <v>13535</v>
      </c>
      <c r="E953" s="324" t="s">
        <v>856</v>
      </c>
      <c r="F953" s="174">
        <v>27638</v>
      </c>
      <c r="G953" s="174"/>
      <c r="H953" s="176" t="s">
        <v>461</v>
      </c>
      <c r="I953" s="176">
        <v>5</v>
      </c>
      <c r="J953" s="900" t="s">
        <v>2755</v>
      </c>
      <c r="K953" s="164" t="s">
        <v>5784</v>
      </c>
      <c r="L953" s="164" t="s">
        <v>5784</v>
      </c>
      <c r="M953" s="164"/>
      <c r="N953" s="164"/>
      <c r="O953" s="164"/>
      <c r="P953" s="173" t="s">
        <v>13555</v>
      </c>
      <c r="Q953" s="164" t="s">
        <v>4705</v>
      </c>
      <c r="R953" s="179" t="s">
        <v>440</v>
      </c>
      <c r="S953" s="354"/>
      <c r="T953" s="173"/>
      <c r="U953" s="173"/>
      <c r="V953" s="173"/>
      <c r="W953" s="324" t="s">
        <v>856</v>
      </c>
      <c r="X953" s="656" t="s">
        <v>12508</v>
      </c>
      <c r="Y953" s="354"/>
      <c r="Z953" s="176"/>
      <c r="AA953" s="176"/>
      <c r="AB953" s="32">
        <f t="shared" ca="1" si="16"/>
        <v>0.15226384718433006</v>
      </c>
      <c r="AC953" s="812"/>
      <c r="AD953" s="763"/>
      <c r="AE953" s="951"/>
      <c r="AF953" s="921">
        <f>IF(X953=X952,AF952,0)+IF(ISNUMBER(I953),IF(I953&lt;1,I953,I953*VLOOKUP(J953,Summary!$H$2:$I$9,2)),VLOOKUP(J953,Summary!$J$2:$K$9,2)*IF(ISNUMBER(H953),H953,1))</f>
        <v>3.7500000000000006E-2</v>
      </c>
      <c r="AG953" s="288">
        <v>952</v>
      </c>
      <c r="AH953" s="94"/>
      <c r="AI953" s="94"/>
    </row>
    <row r="954" spans="1:35" s="22" customFormat="1" ht="12" customHeight="1" x14ac:dyDescent="0.2">
      <c r="A954" s="411"/>
      <c r="B954" s="411" t="s">
        <v>2650</v>
      </c>
      <c r="C954" s="411"/>
      <c r="D954" s="428" t="s">
        <v>13536</v>
      </c>
      <c r="E954" s="325" t="s">
        <v>13537</v>
      </c>
      <c r="F954" s="183">
        <v>27638</v>
      </c>
      <c r="G954" s="183"/>
      <c r="H954" s="185" t="s">
        <v>461</v>
      </c>
      <c r="I954" s="185">
        <v>6</v>
      </c>
      <c r="J954" s="901" t="s">
        <v>1796</v>
      </c>
      <c r="K954" s="163" t="s">
        <v>5784</v>
      </c>
      <c r="L954" s="163" t="s">
        <v>5784</v>
      </c>
      <c r="M954" s="163"/>
      <c r="N954" s="163"/>
      <c r="O954" s="163"/>
      <c r="P954" s="182" t="s">
        <v>13555</v>
      </c>
      <c r="Q954" s="163" t="s">
        <v>4705</v>
      </c>
      <c r="R954" s="207" t="s">
        <v>440</v>
      </c>
      <c r="S954" s="355"/>
      <c r="T954" s="182"/>
      <c r="U954" s="182"/>
      <c r="V954" s="182"/>
      <c r="W954" s="325" t="s">
        <v>13537</v>
      </c>
      <c r="X954" s="657" t="s">
        <v>12508</v>
      </c>
      <c r="Y954" s="355"/>
      <c r="Z954" s="185"/>
      <c r="AA954" s="185"/>
      <c r="AB954" s="33">
        <f t="shared" ca="1" si="16"/>
        <v>0.95456760179021205</v>
      </c>
      <c r="AC954" s="813"/>
      <c r="AD954" s="211"/>
      <c r="AE954" s="949"/>
      <c r="AF954" s="922">
        <f>IF(X954=X953,AF953,0)+IF(ISNUMBER(I954),IF(I954&lt;1,I954,I954*VLOOKUP(J954,Summary!$H$2:$I$9,2)),VLOOKUP(J954,Summary!$J$2:$K$9,2)*IF(ISNUMBER(H954),H954,1))</f>
        <v>3.9583333333333338E-2</v>
      </c>
      <c r="AG954" s="295">
        <v>953</v>
      </c>
      <c r="AH954" s="94"/>
      <c r="AI954" s="94"/>
    </row>
    <row r="955" spans="1:35" s="1" customFormat="1" ht="12" customHeight="1" x14ac:dyDescent="0.25">
      <c r="A955" s="411"/>
      <c r="B955" s="411" t="s">
        <v>2650</v>
      </c>
      <c r="C955" s="411"/>
      <c r="D955" s="434" t="s">
        <v>13540</v>
      </c>
      <c r="E955" s="324" t="s">
        <v>13541</v>
      </c>
      <c r="F955" s="174">
        <v>28004</v>
      </c>
      <c r="G955" s="174"/>
      <c r="H955" s="176" t="s">
        <v>461</v>
      </c>
      <c r="I955" s="176">
        <v>9</v>
      </c>
      <c r="J955" s="900" t="s">
        <v>2755</v>
      </c>
      <c r="K955" s="164" t="s">
        <v>5784</v>
      </c>
      <c r="L955" s="164" t="s">
        <v>5784</v>
      </c>
      <c r="M955" s="164"/>
      <c r="N955" s="164"/>
      <c r="O955" s="164"/>
      <c r="P955" s="173" t="s">
        <v>13554</v>
      </c>
      <c r="Q955" s="164" t="s">
        <v>4705</v>
      </c>
      <c r="R955" s="179" t="s">
        <v>440</v>
      </c>
      <c r="S955" s="354"/>
      <c r="T955" s="173"/>
      <c r="U955" s="173"/>
      <c r="V955" s="173"/>
      <c r="W955" s="324" t="s">
        <v>13541</v>
      </c>
      <c r="X955" s="656" t="s">
        <v>12508</v>
      </c>
      <c r="Y955" s="354"/>
      <c r="Z955" s="176"/>
      <c r="AA955" s="176"/>
      <c r="AB955" s="32">
        <f t="shared" ca="1" si="16"/>
        <v>0.7130201166095137</v>
      </c>
      <c r="AC955" s="812"/>
      <c r="AD955" s="763"/>
      <c r="AE955" s="951"/>
      <c r="AF955" s="921">
        <f>IF(X955=X954,AF954,0)+IF(ISNUMBER(I955),IF(I955&lt;1,I955,I955*VLOOKUP(J955,Summary!$H$2:$I$9,2)),VLOOKUP(J955,Summary!$J$2:$K$9,2)*IF(ISNUMBER(H955),H955,1))</f>
        <v>4.5833333333333337E-2</v>
      </c>
      <c r="AG955" s="288">
        <v>954</v>
      </c>
      <c r="AH955" s="94"/>
      <c r="AI955" s="94"/>
    </row>
    <row r="956" spans="1:35" s="22" customFormat="1" ht="12" customHeight="1" x14ac:dyDescent="0.25">
      <c r="A956" s="411"/>
      <c r="B956" s="411" t="s">
        <v>2650</v>
      </c>
      <c r="C956" s="411"/>
      <c r="D956" s="434" t="s">
        <v>13542</v>
      </c>
      <c r="E956" s="324" t="s">
        <v>13543</v>
      </c>
      <c r="F956" s="174">
        <v>28004</v>
      </c>
      <c r="G956" s="174"/>
      <c r="H956" s="176" t="s">
        <v>461</v>
      </c>
      <c r="I956" s="176">
        <v>8</v>
      </c>
      <c r="J956" s="900" t="s">
        <v>2755</v>
      </c>
      <c r="K956" s="164" t="s">
        <v>5784</v>
      </c>
      <c r="L956" s="164" t="s">
        <v>5784</v>
      </c>
      <c r="M956" s="164"/>
      <c r="N956" s="164"/>
      <c r="O956" s="164"/>
      <c r="P956" s="173" t="s">
        <v>13554</v>
      </c>
      <c r="Q956" s="164" t="s">
        <v>4705</v>
      </c>
      <c r="R956" s="179" t="s">
        <v>440</v>
      </c>
      <c r="S956" s="354"/>
      <c r="T956" s="173"/>
      <c r="U956" s="173"/>
      <c r="V956" s="173"/>
      <c r="W956" s="324" t="s">
        <v>13543</v>
      </c>
      <c r="X956" s="656" t="s">
        <v>12508</v>
      </c>
      <c r="Y956" s="354"/>
      <c r="Z956" s="176"/>
      <c r="AA956" s="176"/>
      <c r="AB956" s="32">
        <f t="shared" ca="1" si="16"/>
        <v>0.19084632533218737</v>
      </c>
      <c r="AC956" s="812"/>
      <c r="AD956" s="763"/>
      <c r="AE956" s="951"/>
      <c r="AF956" s="921">
        <f>IF(X956=X955,AF955,0)+IF(ISNUMBER(I956),IF(I956&lt;1,I956,I956*VLOOKUP(J956,Summary!$H$2:$I$9,2)),VLOOKUP(J956,Summary!$J$2:$K$9,2)*IF(ISNUMBER(H956),H956,1))</f>
        <v>5.1388888888888894E-2</v>
      </c>
      <c r="AG956" s="288">
        <v>955</v>
      </c>
      <c r="AH956" s="94"/>
      <c r="AI956" s="94"/>
    </row>
    <row r="957" spans="1:35" s="22" customFormat="1" ht="12" customHeight="1" x14ac:dyDescent="0.25">
      <c r="A957" s="411"/>
      <c r="B957" s="411" t="s">
        <v>2650</v>
      </c>
      <c r="C957" s="411"/>
      <c r="D957" s="434" t="s">
        <v>13544</v>
      </c>
      <c r="E957" s="324" t="s">
        <v>13545</v>
      </c>
      <c r="F957" s="174">
        <v>28004</v>
      </c>
      <c r="G957" s="174"/>
      <c r="H957" s="176" t="s">
        <v>461</v>
      </c>
      <c r="I957" s="176">
        <v>8</v>
      </c>
      <c r="J957" s="900" t="s">
        <v>2755</v>
      </c>
      <c r="K957" s="164" t="s">
        <v>5784</v>
      </c>
      <c r="L957" s="164" t="s">
        <v>5784</v>
      </c>
      <c r="M957" s="164"/>
      <c r="N957" s="164"/>
      <c r="O957" s="164"/>
      <c r="P957" s="173" t="s">
        <v>13554</v>
      </c>
      <c r="Q957" s="164" t="s">
        <v>4705</v>
      </c>
      <c r="R957" s="179" t="s">
        <v>440</v>
      </c>
      <c r="S957" s="354"/>
      <c r="T957" s="173"/>
      <c r="U957" s="173"/>
      <c r="V957" s="173"/>
      <c r="W957" s="324" t="s">
        <v>13545</v>
      </c>
      <c r="X957" s="656" t="s">
        <v>12508</v>
      </c>
      <c r="Y957" s="354"/>
      <c r="Z957" s="176"/>
      <c r="AA957" s="176"/>
      <c r="AB957" s="32">
        <f t="shared" ca="1" si="16"/>
        <v>0.32554237187934165</v>
      </c>
      <c r="AC957" s="812"/>
      <c r="AD957" s="763"/>
      <c r="AE957" s="951"/>
      <c r="AF957" s="921">
        <f>IF(X957=X956,AF956,0)+IF(ISNUMBER(I957),IF(I957&lt;1,I957,I957*VLOOKUP(J957,Summary!$H$2:$I$9,2)),VLOOKUP(J957,Summary!$J$2:$K$9,2)*IF(ISNUMBER(H957),H957,1))</f>
        <v>5.694444444444445E-2</v>
      </c>
      <c r="AG957" s="288">
        <v>956</v>
      </c>
      <c r="AH957" s="94"/>
      <c r="AI957" s="94"/>
    </row>
    <row r="958" spans="1:35" s="1" customFormat="1" ht="12" customHeight="1" x14ac:dyDescent="0.25">
      <c r="A958" s="411"/>
      <c r="B958" s="411" t="s">
        <v>2650</v>
      </c>
      <c r="C958" s="411"/>
      <c r="D958" s="434" t="s">
        <v>13546</v>
      </c>
      <c r="E958" s="324" t="s">
        <v>13547</v>
      </c>
      <c r="F958" s="174">
        <v>28369</v>
      </c>
      <c r="G958" s="174"/>
      <c r="H958" s="176" t="s">
        <v>461</v>
      </c>
      <c r="I958" s="176">
        <v>8</v>
      </c>
      <c r="J958" s="900" t="s">
        <v>2755</v>
      </c>
      <c r="K958" s="164" t="s">
        <v>5784</v>
      </c>
      <c r="L958" s="164" t="s">
        <v>5784</v>
      </c>
      <c r="M958" s="164"/>
      <c r="N958" s="164"/>
      <c r="O958" s="164"/>
      <c r="P958" s="173" t="s">
        <v>13556</v>
      </c>
      <c r="Q958" s="164" t="s">
        <v>4705</v>
      </c>
      <c r="R958" s="179" t="s">
        <v>440</v>
      </c>
      <c r="S958" s="354"/>
      <c r="T958" s="173"/>
      <c r="U958" s="173"/>
      <c r="V958" s="173"/>
      <c r="W958" s="324" t="s">
        <v>13547</v>
      </c>
      <c r="X958" s="656" t="s">
        <v>12508</v>
      </c>
      <c r="Y958" s="354"/>
      <c r="Z958" s="176"/>
      <c r="AA958" s="176"/>
      <c r="AB958" s="32">
        <f t="shared" ca="1" si="16"/>
        <v>0.886960699195532</v>
      </c>
      <c r="AC958" s="812"/>
      <c r="AD958" s="763"/>
      <c r="AE958" s="951"/>
      <c r="AF958" s="921">
        <f>IF(X958=X957,AF957,0)+IF(ISNUMBER(I958),IF(I958&lt;1,I958,I958*VLOOKUP(J958,Summary!$H$2:$I$9,2)),VLOOKUP(J958,Summary!$J$2:$K$9,2)*IF(ISNUMBER(H958),H958,1))</f>
        <v>6.25E-2</v>
      </c>
      <c r="AG958" s="288">
        <v>957</v>
      </c>
      <c r="AH958" s="94"/>
      <c r="AI958" s="94"/>
    </row>
    <row r="959" spans="1:35" s="22" customFormat="1" ht="12" customHeight="1" x14ac:dyDescent="0.25">
      <c r="A959" s="411"/>
      <c r="B959" s="411" t="s">
        <v>2650</v>
      </c>
      <c r="C959" s="411"/>
      <c r="D959" s="434" t="s">
        <v>13548</v>
      </c>
      <c r="E959" s="324" t="s">
        <v>13549</v>
      </c>
      <c r="F959" s="174">
        <v>28369</v>
      </c>
      <c r="G959" s="174"/>
      <c r="H959" s="176" t="s">
        <v>461</v>
      </c>
      <c r="I959" s="176">
        <v>8</v>
      </c>
      <c r="J959" s="900" t="s">
        <v>2755</v>
      </c>
      <c r="K959" s="164" t="s">
        <v>5784</v>
      </c>
      <c r="L959" s="164" t="s">
        <v>5784</v>
      </c>
      <c r="M959" s="164"/>
      <c r="N959" s="164"/>
      <c r="O959" s="164"/>
      <c r="P959" s="173" t="s">
        <v>13556</v>
      </c>
      <c r="Q959" s="164" t="s">
        <v>4705</v>
      </c>
      <c r="R959" s="179" t="s">
        <v>440</v>
      </c>
      <c r="S959" s="354"/>
      <c r="T959" s="173"/>
      <c r="U959" s="173"/>
      <c r="V959" s="173"/>
      <c r="W959" s="324" t="s">
        <v>13549</v>
      </c>
      <c r="X959" s="656" t="s">
        <v>12508</v>
      </c>
      <c r="Y959" s="354"/>
      <c r="Z959" s="176"/>
      <c r="AA959" s="176"/>
      <c r="AB959" s="32">
        <f t="shared" ca="1" si="16"/>
        <v>0.38123916783673961</v>
      </c>
      <c r="AC959" s="812"/>
      <c r="AD959" s="763"/>
      <c r="AE959" s="951"/>
      <c r="AF959" s="921">
        <f>IF(X959=X958,AF958,0)+IF(ISNUMBER(I959),IF(I959&lt;1,I959,I959*VLOOKUP(J959,Summary!$H$2:$I$9,2)),VLOOKUP(J959,Summary!$J$2:$K$9,2)*IF(ISNUMBER(H959),H959,1))</f>
        <v>6.805555555555555E-2</v>
      </c>
      <c r="AG959" s="288">
        <v>958</v>
      </c>
      <c r="AH959" s="94"/>
      <c r="AI959" s="94"/>
    </row>
    <row r="960" spans="1:35" s="22" customFormat="1" ht="12" customHeight="1" x14ac:dyDescent="0.25">
      <c r="A960" s="411"/>
      <c r="B960" s="411" t="s">
        <v>2650</v>
      </c>
      <c r="C960" s="411"/>
      <c r="D960" s="434" t="s">
        <v>13550</v>
      </c>
      <c r="E960" s="324" t="s">
        <v>13551</v>
      </c>
      <c r="F960" s="174">
        <v>28369</v>
      </c>
      <c r="G960" s="174"/>
      <c r="H960" s="176" t="s">
        <v>461</v>
      </c>
      <c r="I960" s="176">
        <v>11</v>
      </c>
      <c r="J960" s="900" t="s">
        <v>2755</v>
      </c>
      <c r="K960" s="164" t="s">
        <v>5784</v>
      </c>
      <c r="L960" s="164" t="s">
        <v>5784</v>
      </c>
      <c r="M960" s="164"/>
      <c r="N960" s="164"/>
      <c r="O960" s="164"/>
      <c r="P960" s="173" t="s">
        <v>13556</v>
      </c>
      <c r="Q960" s="164" t="s">
        <v>4705</v>
      </c>
      <c r="R960" s="179" t="s">
        <v>440</v>
      </c>
      <c r="S960" s="354"/>
      <c r="T960" s="173"/>
      <c r="U960" s="173"/>
      <c r="V960" s="173"/>
      <c r="W960" s="324" t="s">
        <v>13551</v>
      </c>
      <c r="X960" s="656" t="s">
        <v>12508</v>
      </c>
      <c r="Y960" s="354"/>
      <c r="Z960" s="176"/>
      <c r="AA960" s="176"/>
      <c r="AB960" s="32">
        <f t="shared" ca="1" si="16"/>
        <v>0.30383913255832307</v>
      </c>
      <c r="AC960" s="812"/>
      <c r="AD960" s="763"/>
      <c r="AE960" s="951"/>
      <c r="AF960" s="921">
        <f>IF(X960=X959,AF959,0)+IF(ISNUMBER(I960),IF(I960&lt;1,I960,I960*VLOOKUP(J960,Summary!$H$2:$I$9,2)),VLOOKUP(J960,Summary!$J$2:$K$9,2)*IF(ISNUMBER(H960),H960,1))</f>
        <v>7.5694444444444439E-2</v>
      </c>
      <c r="AG960" s="288">
        <v>959</v>
      </c>
      <c r="AH960" s="94"/>
      <c r="AI960" s="94"/>
    </row>
    <row r="961" spans="1:36" s="29" customFormat="1" ht="12" customHeight="1" x14ac:dyDescent="0.25">
      <c r="A961" s="411"/>
      <c r="B961" s="411" t="s">
        <v>2650</v>
      </c>
      <c r="C961" s="411"/>
      <c r="D961" s="434" t="s">
        <v>13552</v>
      </c>
      <c r="E961" s="324" t="s">
        <v>13553</v>
      </c>
      <c r="F961" s="174">
        <v>28734</v>
      </c>
      <c r="G961" s="174"/>
      <c r="H961" s="176" t="s">
        <v>461</v>
      </c>
      <c r="I961" s="176">
        <v>9</v>
      </c>
      <c r="J961" s="900" t="s">
        <v>2755</v>
      </c>
      <c r="K961" s="164" t="s">
        <v>5784</v>
      </c>
      <c r="L961" s="164" t="s">
        <v>5784</v>
      </c>
      <c r="M961" s="164"/>
      <c r="N961" s="164"/>
      <c r="O961" s="164"/>
      <c r="P961" s="173" t="s">
        <v>13557</v>
      </c>
      <c r="Q961" s="164" t="s">
        <v>4705</v>
      </c>
      <c r="R961" s="179" t="s">
        <v>440</v>
      </c>
      <c r="S961" s="354"/>
      <c r="T961" s="173"/>
      <c r="U961" s="173"/>
      <c r="V961" s="173"/>
      <c r="W961" s="324" t="s">
        <v>13553</v>
      </c>
      <c r="X961" s="656" t="s">
        <v>12508</v>
      </c>
      <c r="Y961" s="354"/>
      <c r="Z961" s="176"/>
      <c r="AA961" s="176"/>
      <c r="AB961" s="32">
        <f t="shared" ca="1" si="16"/>
        <v>0.55097417955497707</v>
      </c>
      <c r="AC961" s="812"/>
      <c r="AD961" s="763"/>
      <c r="AE961" s="951"/>
      <c r="AF961" s="921">
        <f>IF(X961=X960,AF960,0)+IF(ISNUMBER(I961),IF(I961&lt;1,I961,I961*VLOOKUP(J961,Summary!$H$2:$I$9,2)),VLOOKUP(J961,Summary!$J$2:$K$9,2)*IF(ISNUMBER(H961),H961,1))</f>
        <v>8.1944444444444445E-2</v>
      </c>
      <c r="AG961" s="288">
        <v>960</v>
      </c>
      <c r="AH961" s="94"/>
      <c r="AI961" s="94"/>
    </row>
    <row r="962" spans="1:36" s="22" customFormat="1" ht="12" customHeight="1" x14ac:dyDescent="0.25">
      <c r="A962" s="411"/>
      <c r="B962" s="411" t="s">
        <v>2650</v>
      </c>
      <c r="C962" s="411"/>
      <c r="D962" s="434" t="s">
        <v>13559</v>
      </c>
      <c r="E962" s="324" t="s">
        <v>13558</v>
      </c>
      <c r="F962" s="174">
        <v>28734</v>
      </c>
      <c r="G962" s="174"/>
      <c r="H962" s="176" t="s">
        <v>461</v>
      </c>
      <c r="I962" s="176">
        <v>10</v>
      </c>
      <c r="J962" s="900" t="s">
        <v>2755</v>
      </c>
      <c r="K962" s="164" t="s">
        <v>5784</v>
      </c>
      <c r="L962" s="164" t="s">
        <v>5784</v>
      </c>
      <c r="M962" s="164"/>
      <c r="N962" s="164"/>
      <c r="O962" s="164"/>
      <c r="P962" s="173" t="s">
        <v>13557</v>
      </c>
      <c r="Q962" s="164" t="s">
        <v>4705</v>
      </c>
      <c r="R962" s="179" t="s">
        <v>440</v>
      </c>
      <c r="S962" s="354"/>
      <c r="T962" s="173"/>
      <c r="U962" s="173"/>
      <c r="V962" s="173"/>
      <c r="W962" s="324" t="s">
        <v>13558</v>
      </c>
      <c r="X962" s="656" t="s">
        <v>12508</v>
      </c>
      <c r="Y962" s="354"/>
      <c r="Z962" s="176"/>
      <c r="AA962" s="176"/>
      <c r="AB962" s="32">
        <f t="shared" ref="AB962:AB1025" ca="1" si="17">RAND()</f>
        <v>0.2741399356353954</v>
      </c>
      <c r="AC962" s="812"/>
      <c r="AD962" s="763"/>
      <c r="AE962" s="951"/>
      <c r="AF962" s="921">
        <f>IF(X962=X961,AF961,0)+IF(ISNUMBER(I962),IF(I962&lt;1,I962,I962*VLOOKUP(J962,Summary!$H$2:$I$9,2)),VLOOKUP(J962,Summary!$J$2:$K$9,2)*IF(ISNUMBER(H962),H962,1))</f>
        <v>8.8888888888888892E-2</v>
      </c>
      <c r="AG962" s="288">
        <v>961</v>
      </c>
      <c r="AH962" s="94"/>
      <c r="AI962" s="94"/>
    </row>
    <row r="963" spans="1:36" s="22" customFormat="1" ht="12" customHeight="1" x14ac:dyDescent="0.2">
      <c r="A963" s="411"/>
      <c r="B963" s="411" t="s">
        <v>2650</v>
      </c>
      <c r="C963" s="411"/>
      <c r="D963" s="428" t="s">
        <v>13560</v>
      </c>
      <c r="E963" s="325" t="s">
        <v>13561</v>
      </c>
      <c r="F963" s="183">
        <v>28734</v>
      </c>
      <c r="G963" s="183"/>
      <c r="H963" s="185" t="s">
        <v>461</v>
      </c>
      <c r="I963" s="185">
        <v>6</v>
      </c>
      <c r="J963" s="901" t="s">
        <v>1796</v>
      </c>
      <c r="K963" s="163" t="s">
        <v>5784</v>
      </c>
      <c r="L963" s="163" t="s">
        <v>5784</v>
      </c>
      <c r="M963" s="163"/>
      <c r="N963" s="163"/>
      <c r="O963" s="163"/>
      <c r="P963" s="182" t="s">
        <v>13557</v>
      </c>
      <c r="Q963" s="163" t="s">
        <v>4705</v>
      </c>
      <c r="R963" s="207" t="s">
        <v>440</v>
      </c>
      <c r="S963" s="355"/>
      <c r="T963" s="182"/>
      <c r="U963" s="182"/>
      <c r="V963" s="182"/>
      <c r="W963" s="325" t="s">
        <v>13561</v>
      </c>
      <c r="X963" s="657" t="s">
        <v>12508</v>
      </c>
      <c r="Y963" s="355"/>
      <c r="Z963" s="185"/>
      <c r="AA963" s="185"/>
      <c r="AB963" s="33">
        <f t="shared" ca="1" si="17"/>
        <v>0.26212870199305927</v>
      </c>
      <c r="AC963" s="813"/>
      <c r="AD963" s="211"/>
      <c r="AE963" s="949"/>
      <c r="AF963" s="922">
        <f>IF(X963=X962,AF962,0)+IF(ISNUMBER(I963),IF(I963&lt;1,I963,I963*VLOOKUP(J963,Summary!$H$2:$I$9,2)),VLOOKUP(J963,Summary!$J$2:$K$9,2)*IF(ISNUMBER(H963),H963,1))</f>
        <v>9.0972222222222232E-2</v>
      </c>
      <c r="AG963" s="295">
        <v>962</v>
      </c>
      <c r="AH963" s="94"/>
      <c r="AI963" s="94"/>
    </row>
    <row r="964" spans="1:36" s="1" customFormat="1" ht="12" customHeight="1" x14ac:dyDescent="0.25">
      <c r="A964" s="411"/>
      <c r="B964" s="411" t="s">
        <v>2650</v>
      </c>
      <c r="C964" s="411"/>
      <c r="D964" s="428" t="s">
        <v>13562</v>
      </c>
      <c r="E964" s="325" t="s">
        <v>13563</v>
      </c>
      <c r="F964" s="183">
        <v>28734</v>
      </c>
      <c r="G964" s="183"/>
      <c r="H964" s="185" t="s">
        <v>461</v>
      </c>
      <c r="I964" s="185">
        <v>6</v>
      </c>
      <c r="J964" s="901" t="s">
        <v>1796</v>
      </c>
      <c r="K964" s="163" t="s">
        <v>5784</v>
      </c>
      <c r="L964" s="163" t="s">
        <v>5784</v>
      </c>
      <c r="M964" s="163"/>
      <c r="N964" s="163"/>
      <c r="O964" s="163"/>
      <c r="P964" s="182" t="s">
        <v>13557</v>
      </c>
      <c r="Q964" s="163" t="s">
        <v>4705</v>
      </c>
      <c r="R964" s="207" t="s">
        <v>440</v>
      </c>
      <c r="S964" s="355"/>
      <c r="T964" s="182"/>
      <c r="U964" s="182"/>
      <c r="V964" s="182"/>
      <c r="W964" s="325" t="s">
        <v>13563</v>
      </c>
      <c r="X964" s="657" t="s">
        <v>12508</v>
      </c>
      <c r="Y964" s="355"/>
      <c r="Z964" s="185"/>
      <c r="AA964" s="185"/>
      <c r="AB964" s="33">
        <f t="shared" ca="1" si="17"/>
        <v>0.36434364249828544</v>
      </c>
      <c r="AC964" s="813"/>
      <c r="AD964" s="211"/>
      <c r="AE964" s="949"/>
      <c r="AF964" s="922">
        <f>IF(X964=X963,AF963,0)+IF(ISNUMBER(I964),IF(I964&lt;1,I964,I964*VLOOKUP(J964,Summary!$H$2:$I$9,2)),VLOOKUP(J964,Summary!$J$2:$K$9,2)*IF(ISNUMBER(H964),H964,1))</f>
        <v>9.3055555555555572E-2</v>
      </c>
      <c r="AG964" s="295">
        <v>963</v>
      </c>
      <c r="AH964" s="94"/>
      <c r="AI964" s="94"/>
    </row>
    <row r="965" spans="1:36" s="2" customFormat="1" ht="12" customHeight="1" x14ac:dyDescent="0.25">
      <c r="A965" s="411"/>
      <c r="B965" s="411" t="s">
        <v>2650</v>
      </c>
      <c r="C965" s="411"/>
      <c r="D965" s="434" t="s">
        <v>13564</v>
      </c>
      <c r="E965" s="324" t="s">
        <v>13565</v>
      </c>
      <c r="F965" s="174">
        <v>28734</v>
      </c>
      <c r="G965" s="174"/>
      <c r="H965" s="176" t="s">
        <v>461</v>
      </c>
      <c r="I965" s="176">
        <v>10</v>
      </c>
      <c r="J965" s="900" t="s">
        <v>2755</v>
      </c>
      <c r="K965" s="164" t="s">
        <v>5784</v>
      </c>
      <c r="L965" s="164" t="s">
        <v>5784</v>
      </c>
      <c r="M965" s="164"/>
      <c r="N965" s="164"/>
      <c r="O965" s="164"/>
      <c r="P965" s="173" t="s">
        <v>13557</v>
      </c>
      <c r="Q965" s="164" t="s">
        <v>4705</v>
      </c>
      <c r="R965" s="179" t="s">
        <v>440</v>
      </c>
      <c r="S965" s="354"/>
      <c r="T965" s="173"/>
      <c r="U965" s="173"/>
      <c r="V965" s="173"/>
      <c r="W965" s="324" t="s">
        <v>13565</v>
      </c>
      <c r="X965" s="656" t="s">
        <v>12508</v>
      </c>
      <c r="Y965" s="354"/>
      <c r="Z965" s="176"/>
      <c r="AA965" s="176"/>
      <c r="AB965" s="32">
        <f t="shared" ca="1" si="17"/>
        <v>0.21483985844529552</v>
      </c>
      <c r="AC965" s="812"/>
      <c r="AD965" s="763"/>
      <c r="AE965" s="951"/>
      <c r="AF965" s="921">
        <f>IF(X965=X964,AF964,0)+IF(ISNUMBER(I965),IF(I965&lt;1,I965,I965*VLOOKUP(J965,Summary!$H$2:$I$9,2)),VLOOKUP(J965,Summary!$J$2:$K$9,2)*IF(ISNUMBER(H965),H965,1))</f>
        <v>0.10000000000000002</v>
      </c>
      <c r="AG965" s="288">
        <v>964</v>
      </c>
      <c r="AH965" s="94"/>
      <c r="AI965" s="94"/>
    </row>
    <row r="966" spans="1:36" s="22" customFormat="1" ht="12" customHeight="1" x14ac:dyDescent="0.2">
      <c r="A966" s="411"/>
      <c r="B966" s="411" t="s">
        <v>2650</v>
      </c>
      <c r="C966" s="411">
        <v>1</v>
      </c>
      <c r="D966" s="185" t="s">
        <v>9923</v>
      </c>
      <c r="E966" s="314" t="s">
        <v>9924</v>
      </c>
      <c r="F966" s="184">
        <v>29145</v>
      </c>
      <c r="G966" s="184">
        <v>29166</v>
      </c>
      <c r="H966" s="185">
        <v>4</v>
      </c>
      <c r="I966" s="185">
        <v>16</v>
      </c>
      <c r="J966" s="901" t="s">
        <v>1796</v>
      </c>
      <c r="K966" s="163" t="s">
        <v>6031</v>
      </c>
      <c r="L966" s="163" t="s">
        <v>9925</v>
      </c>
      <c r="M966" s="163" t="s">
        <v>6043</v>
      </c>
      <c r="N966" s="163" t="s">
        <v>6026</v>
      </c>
      <c r="O966" s="163"/>
      <c r="P966" s="182" t="s">
        <v>461</v>
      </c>
      <c r="Q966" s="163" t="s">
        <v>4062</v>
      </c>
      <c r="R966" s="186" t="s">
        <v>9922</v>
      </c>
      <c r="S966" s="355"/>
      <c r="T966" s="182"/>
      <c r="U966" s="182"/>
      <c r="V966" s="182"/>
      <c r="W966" s="314"/>
      <c r="X966" s="646" t="s">
        <v>12508</v>
      </c>
      <c r="Y966" s="355"/>
      <c r="Z966" s="158"/>
      <c r="AA966" s="185"/>
      <c r="AB966" s="33">
        <f t="shared" ca="1" si="17"/>
        <v>9.3929461750994925E-2</v>
      </c>
      <c r="AC966" s="813"/>
      <c r="AD966" s="211"/>
      <c r="AE966" s="941"/>
      <c r="AF966" s="922">
        <f>IF(X966=X965,AF965,0)+IF(ISNUMBER(I966),IF(I966&lt;1,I966,I966*VLOOKUP(J966,Summary!$H$2:$I$9,2)),VLOOKUP(J966,Summary!$J$2:$K$9,2)*IF(ISNUMBER(H966),H966,1))</f>
        <v>0.10555555555555557</v>
      </c>
      <c r="AG966" s="290">
        <v>965</v>
      </c>
      <c r="AH966" s="94"/>
      <c r="AI966" s="94"/>
    </row>
    <row r="967" spans="1:36" s="3" customFormat="1" ht="12" customHeight="1" x14ac:dyDescent="0.25">
      <c r="A967" s="411"/>
      <c r="B967" s="411" t="s">
        <v>2650</v>
      </c>
      <c r="C967" s="411">
        <v>19</v>
      </c>
      <c r="D967" s="434" t="s">
        <v>12828</v>
      </c>
      <c r="E967" s="324" t="s">
        <v>12827</v>
      </c>
      <c r="F967" s="175">
        <v>33597</v>
      </c>
      <c r="G967" s="175">
        <v>33597</v>
      </c>
      <c r="H967" s="176">
        <v>2</v>
      </c>
      <c r="I967" s="176">
        <v>6</v>
      </c>
      <c r="J967" s="900" t="s">
        <v>2755</v>
      </c>
      <c r="K967" s="164" t="s">
        <v>4132</v>
      </c>
      <c r="L967" s="164" t="s">
        <v>7928</v>
      </c>
      <c r="M967" s="164"/>
      <c r="N967" s="164" t="s">
        <v>561</v>
      </c>
      <c r="O967" s="164"/>
      <c r="P967" s="173" t="s">
        <v>461</v>
      </c>
      <c r="Q967" s="164" t="s">
        <v>4062</v>
      </c>
      <c r="R967" s="179" t="s">
        <v>10250</v>
      </c>
      <c r="S967" s="354"/>
      <c r="T967" s="173"/>
      <c r="U967" s="173"/>
      <c r="V967" s="173"/>
      <c r="W967" s="324"/>
      <c r="X967" s="656" t="s">
        <v>12508</v>
      </c>
      <c r="Y967" s="354"/>
      <c r="Z967" s="176"/>
      <c r="AA967" s="176"/>
      <c r="AB967" s="32">
        <f t="shared" ca="1" si="17"/>
        <v>0.41099552656023686</v>
      </c>
      <c r="AC967" s="812"/>
      <c r="AD967" s="763"/>
      <c r="AE967" s="951"/>
      <c r="AF967" s="921">
        <f>IF(X967=X966,AF966,0)+IF(ISNUMBER(I967),IF(I967&lt;1,I967,I967*VLOOKUP(J967,Summary!$H$2:$I$9,2)),VLOOKUP(J967,Summary!$J$2:$K$9,2)*IF(ISNUMBER(H967),H967,1))</f>
        <v>0.10972222222222223</v>
      </c>
      <c r="AG967" s="288">
        <v>966</v>
      </c>
      <c r="AH967" s="94"/>
      <c r="AI967" s="94"/>
    </row>
    <row r="968" spans="1:36" s="3" customFormat="1" ht="12" customHeight="1" x14ac:dyDescent="0.25">
      <c r="A968" s="411"/>
      <c r="B968" s="411" t="s">
        <v>2650</v>
      </c>
      <c r="C968" s="411">
        <v>3</v>
      </c>
      <c r="D968" s="185" t="s">
        <v>9928</v>
      </c>
      <c r="E968" s="314" t="s">
        <v>9929</v>
      </c>
      <c r="F968" s="184">
        <v>29194</v>
      </c>
      <c r="G968" s="184"/>
      <c r="H968" s="185">
        <v>1</v>
      </c>
      <c r="I968" s="185">
        <v>4</v>
      </c>
      <c r="J968" s="901" t="s">
        <v>1796</v>
      </c>
      <c r="K968" s="163" t="s">
        <v>6031</v>
      </c>
      <c r="L968" s="163" t="s">
        <v>9925</v>
      </c>
      <c r="M968" s="163" t="s">
        <v>6043</v>
      </c>
      <c r="N968" s="163" t="s">
        <v>6026</v>
      </c>
      <c r="O968" s="163"/>
      <c r="P968" s="182" t="s">
        <v>461</v>
      </c>
      <c r="Q968" s="163" t="s">
        <v>4062</v>
      </c>
      <c r="R968" s="186" t="s">
        <v>9922</v>
      </c>
      <c r="S968" s="355"/>
      <c r="T968" s="182"/>
      <c r="U968" s="182"/>
      <c r="V968" s="182"/>
      <c r="W968" s="314" t="s">
        <v>9929</v>
      </c>
      <c r="X968" s="646" t="s">
        <v>12508</v>
      </c>
      <c r="Y968" s="355"/>
      <c r="Z968" s="158"/>
      <c r="AA968" s="185"/>
      <c r="AB968" s="33">
        <f t="shared" ca="1" si="17"/>
        <v>8.8864308640669409E-2</v>
      </c>
      <c r="AC968" s="813"/>
      <c r="AD968" s="211"/>
      <c r="AE968" s="941"/>
      <c r="AF968" s="922">
        <f>IF(X968=X967,AF967,0)+IF(ISNUMBER(I968),IF(I968&lt;1,I968,I968*VLOOKUP(J968,Summary!$H$2:$I$9,2)),VLOOKUP(J968,Summary!$J$2:$K$9,2)*IF(ISNUMBER(H968),H968,1))</f>
        <v>0.11111111111111112</v>
      </c>
      <c r="AG968" s="290">
        <v>967</v>
      </c>
      <c r="AH968" s="94"/>
      <c r="AI968" s="94"/>
      <c r="AJ968" s="43"/>
    </row>
    <row r="969" spans="1:36" s="3" customFormat="1" ht="12" customHeight="1" x14ac:dyDescent="0.25">
      <c r="A969" s="411"/>
      <c r="B969" s="411" t="s">
        <v>2650</v>
      </c>
      <c r="C969" s="411">
        <v>11</v>
      </c>
      <c r="D969" s="185" t="s">
        <v>9963</v>
      </c>
      <c r="E969" s="314" t="s">
        <v>9943</v>
      </c>
      <c r="F969" s="184">
        <v>29313</v>
      </c>
      <c r="G969" s="184">
        <v>29320</v>
      </c>
      <c r="H969" s="185">
        <v>2</v>
      </c>
      <c r="I969" s="185">
        <v>8</v>
      </c>
      <c r="J969" s="901" t="s">
        <v>1796</v>
      </c>
      <c r="K969" s="163" t="s">
        <v>6031</v>
      </c>
      <c r="L969" s="163" t="s">
        <v>9937</v>
      </c>
      <c r="M969" s="163"/>
      <c r="N969" s="163" t="s">
        <v>6026</v>
      </c>
      <c r="O969" s="163"/>
      <c r="P969" s="182" t="s">
        <v>461</v>
      </c>
      <c r="Q969" s="163" t="s">
        <v>4062</v>
      </c>
      <c r="R969" s="186" t="s">
        <v>9922</v>
      </c>
      <c r="S969" s="355"/>
      <c r="T969" s="182"/>
      <c r="U969" s="182"/>
      <c r="V969" s="182"/>
      <c r="W969" s="314"/>
      <c r="X969" s="646" t="s">
        <v>12508</v>
      </c>
      <c r="Y969" s="355"/>
      <c r="Z969" s="158"/>
      <c r="AA969" s="185"/>
      <c r="AB969" s="33">
        <f t="shared" ca="1" si="17"/>
        <v>0.45555066904765806</v>
      </c>
      <c r="AC969" s="813"/>
      <c r="AD969" s="211"/>
      <c r="AE969" s="941"/>
      <c r="AF969" s="922">
        <f>IF(X969=X968,AF968,0)+IF(ISNUMBER(I969),IF(I969&lt;1,I969,I969*VLOOKUP(J969,Summary!$H$2:$I$9,2)),VLOOKUP(J969,Summary!$J$2:$K$9,2)*IF(ISNUMBER(H969),H969,1))</f>
        <v>0.1138888888888889</v>
      </c>
      <c r="AG969" s="290">
        <v>968</v>
      </c>
      <c r="AH969" s="94"/>
      <c r="AI969" s="94"/>
    </row>
    <row r="970" spans="1:36" s="22" customFormat="1" ht="12" customHeight="1" x14ac:dyDescent="0.2">
      <c r="A970" s="411"/>
      <c r="B970" s="411" t="s">
        <v>2650</v>
      </c>
      <c r="C970" s="411">
        <v>7</v>
      </c>
      <c r="D970" s="185" t="s">
        <v>9936</v>
      </c>
      <c r="E970" s="314" t="s">
        <v>9935</v>
      </c>
      <c r="F970" s="184">
        <v>29243</v>
      </c>
      <c r="G970" s="184">
        <v>29250</v>
      </c>
      <c r="H970" s="185">
        <v>2</v>
      </c>
      <c r="I970" s="185">
        <v>8</v>
      </c>
      <c r="J970" s="901" t="s">
        <v>1796</v>
      </c>
      <c r="K970" s="163" t="s">
        <v>6031</v>
      </c>
      <c r="L970" s="163" t="s">
        <v>9937</v>
      </c>
      <c r="M970" s="163"/>
      <c r="N970" s="163" t="s">
        <v>6026</v>
      </c>
      <c r="O970" s="163"/>
      <c r="P970" s="182" t="s">
        <v>461</v>
      </c>
      <c r="Q970" s="163" t="s">
        <v>4062</v>
      </c>
      <c r="R970" s="186" t="s">
        <v>9922</v>
      </c>
      <c r="S970" s="355"/>
      <c r="T970" s="182"/>
      <c r="U970" s="182"/>
      <c r="V970" s="182"/>
      <c r="W970" s="314"/>
      <c r="X970" s="646" t="s">
        <v>12508</v>
      </c>
      <c r="Y970" s="355"/>
      <c r="Z970" s="158"/>
      <c r="AA970" s="185"/>
      <c r="AB970" s="33">
        <f t="shared" ca="1" si="17"/>
        <v>0.94771462618235924</v>
      </c>
      <c r="AC970" s="813"/>
      <c r="AD970" s="211" t="s">
        <v>16391</v>
      </c>
      <c r="AE970" s="941" t="s">
        <v>3365</v>
      </c>
      <c r="AF970" s="922">
        <f>IF(X970=X969,AF969,0)+IF(ISNUMBER(I970),IF(I970&lt;1,I970,I970*VLOOKUP(J970,Summary!$H$2:$I$9,2)),VLOOKUP(J970,Summary!$J$2:$K$9,2)*IF(ISNUMBER(H970),H970,1))</f>
        <v>0.11666666666666668</v>
      </c>
      <c r="AG970" s="290">
        <v>969</v>
      </c>
      <c r="AH970" s="94"/>
      <c r="AI970" s="94"/>
    </row>
    <row r="971" spans="1:36" s="1" customFormat="1" ht="12" customHeight="1" x14ac:dyDescent="0.25">
      <c r="A971" s="411"/>
      <c r="B971" s="411" t="s">
        <v>2650</v>
      </c>
      <c r="C971" s="411">
        <v>14</v>
      </c>
      <c r="D971" s="185" t="s">
        <v>6038</v>
      </c>
      <c r="E971" s="314" t="s">
        <v>9946</v>
      </c>
      <c r="F971" s="184">
        <v>29384</v>
      </c>
      <c r="G971" s="184">
        <v>29405</v>
      </c>
      <c r="H971" s="185">
        <v>4</v>
      </c>
      <c r="I971" s="185">
        <v>8</v>
      </c>
      <c r="J971" s="901" t="s">
        <v>1796</v>
      </c>
      <c r="K971" s="163" t="s">
        <v>9981</v>
      </c>
      <c r="L971" s="163" t="s">
        <v>9937</v>
      </c>
      <c r="M971" s="163"/>
      <c r="N971" s="163" t="s">
        <v>6026</v>
      </c>
      <c r="O971" s="163"/>
      <c r="P971" s="182" t="s">
        <v>461</v>
      </c>
      <c r="Q971" s="163" t="s">
        <v>4062</v>
      </c>
      <c r="R971" s="186" t="s">
        <v>9922</v>
      </c>
      <c r="S971" s="355"/>
      <c r="T971" s="182"/>
      <c r="U971" s="182"/>
      <c r="V971" s="182"/>
      <c r="W971" s="314"/>
      <c r="X971" s="646" t="s">
        <v>12508</v>
      </c>
      <c r="Y971" s="355"/>
      <c r="Z971" s="158"/>
      <c r="AA971" s="185"/>
      <c r="AB971" s="33">
        <f t="shared" ca="1" si="17"/>
        <v>0.39752713324332201</v>
      </c>
      <c r="AC971" s="813"/>
      <c r="AD971" s="211"/>
      <c r="AE971" s="941"/>
      <c r="AF971" s="922">
        <f>IF(X971=X970,AF970,0)+IF(ISNUMBER(I971),IF(I971&lt;1,I971,I971*VLOOKUP(J971,Summary!$H$2:$I$9,2)),VLOOKUP(J971,Summary!$J$2:$K$9,2)*IF(ISNUMBER(H971),H971,1))</f>
        <v>0.11944444444444446</v>
      </c>
      <c r="AG971" s="290">
        <v>970</v>
      </c>
      <c r="AH971" s="94"/>
      <c r="AI971" s="94"/>
    </row>
    <row r="972" spans="1:36" s="22" customFormat="1" ht="12" customHeight="1" x14ac:dyDescent="0.2">
      <c r="A972" s="411"/>
      <c r="B972" s="411" t="s">
        <v>2650</v>
      </c>
      <c r="C972" s="411">
        <v>15</v>
      </c>
      <c r="D972" s="185" t="s">
        <v>9965</v>
      </c>
      <c r="E972" s="314" t="s">
        <v>9947</v>
      </c>
      <c r="F972" s="184">
        <v>29419</v>
      </c>
      <c r="G972" s="184">
        <v>29440</v>
      </c>
      <c r="H972" s="185">
        <v>4</v>
      </c>
      <c r="I972" s="185">
        <v>8</v>
      </c>
      <c r="J972" s="901" t="s">
        <v>1796</v>
      </c>
      <c r="K972" s="163" t="s">
        <v>9981</v>
      </c>
      <c r="L972" s="163" t="s">
        <v>9937</v>
      </c>
      <c r="M972" s="163"/>
      <c r="N972" s="163" t="s">
        <v>6026</v>
      </c>
      <c r="O972" s="163"/>
      <c r="P972" s="182" t="s">
        <v>461</v>
      </c>
      <c r="Q972" s="163" t="s">
        <v>4062</v>
      </c>
      <c r="R972" s="186" t="s">
        <v>9922</v>
      </c>
      <c r="S972" s="355"/>
      <c r="T972" s="182"/>
      <c r="U972" s="182"/>
      <c r="V972" s="182"/>
      <c r="W972" s="314"/>
      <c r="X972" s="646" t="s">
        <v>12508</v>
      </c>
      <c r="Y972" s="355"/>
      <c r="Z972" s="158"/>
      <c r="AA972" s="185"/>
      <c r="AB972" s="33">
        <f t="shared" ca="1" si="17"/>
        <v>0.12078162367183309</v>
      </c>
      <c r="AC972" s="813"/>
      <c r="AD972" s="211" t="s">
        <v>16032</v>
      </c>
      <c r="AE972" s="941"/>
      <c r="AF972" s="922">
        <f>IF(X972=X971,AF971,0)+IF(ISNUMBER(I972),IF(I972&lt;1,I972,I972*VLOOKUP(J972,Summary!$H$2:$I$9,2)),VLOOKUP(J972,Summary!$J$2:$K$9,2)*IF(ISNUMBER(H972),H972,1))</f>
        <v>0.12222222222222225</v>
      </c>
      <c r="AG972" s="290">
        <v>971</v>
      </c>
      <c r="AH972" s="94"/>
      <c r="AI972" s="94"/>
    </row>
    <row r="973" spans="1:36" s="22" customFormat="1" ht="12" customHeight="1" x14ac:dyDescent="0.2">
      <c r="A973" s="411"/>
      <c r="B973" s="411" t="s">
        <v>2650</v>
      </c>
      <c r="C973" s="411">
        <v>24</v>
      </c>
      <c r="D973" s="185" t="s">
        <v>9972</v>
      </c>
      <c r="E973" s="314" t="s">
        <v>9956</v>
      </c>
      <c r="F973" s="183">
        <v>29921</v>
      </c>
      <c r="G973" s="184"/>
      <c r="H973" s="185">
        <v>1</v>
      </c>
      <c r="I973" s="185">
        <v>4</v>
      </c>
      <c r="J973" s="901" t="s">
        <v>1796</v>
      </c>
      <c r="K973" s="163" t="s">
        <v>7085</v>
      </c>
      <c r="L973" s="163" t="s">
        <v>9937</v>
      </c>
      <c r="M973" s="163"/>
      <c r="N973" s="163" t="s">
        <v>4061</v>
      </c>
      <c r="O973" s="163"/>
      <c r="P973" s="182" t="s">
        <v>461</v>
      </c>
      <c r="Q973" s="163" t="s">
        <v>4062</v>
      </c>
      <c r="R973" s="186" t="s">
        <v>9922</v>
      </c>
      <c r="S973" s="355"/>
      <c r="T973" s="182"/>
      <c r="U973" s="182"/>
      <c r="V973" s="182"/>
      <c r="W973" s="314" t="s">
        <v>9956</v>
      </c>
      <c r="X973" s="646" t="s">
        <v>12508</v>
      </c>
      <c r="Y973" s="355"/>
      <c r="Z973" s="158"/>
      <c r="AA973" s="185"/>
      <c r="AB973" s="33">
        <f t="shared" ca="1" si="17"/>
        <v>0.46121110692306677</v>
      </c>
      <c r="AC973" s="813"/>
      <c r="AD973" s="211" t="s">
        <v>16694</v>
      </c>
      <c r="AE973" s="941"/>
      <c r="AF973" s="922">
        <f>IF(X973=X972,AF972,0)+IF(ISNUMBER(I973),IF(I973&lt;1,I973,I973*VLOOKUP(J973,Summary!$H$2:$I$9,2)),VLOOKUP(J973,Summary!$J$2:$K$9,2)*IF(ISNUMBER(H973),H973,1))</f>
        <v>0.12361111111111113</v>
      </c>
      <c r="AG973" s="290">
        <v>972</v>
      </c>
      <c r="AH973" s="94"/>
      <c r="AI973" s="94"/>
    </row>
    <row r="974" spans="1:36" s="22" customFormat="1" ht="12" customHeight="1" x14ac:dyDescent="0.2">
      <c r="A974" s="411"/>
      <c r="B974" s="411" t="s">
        <v>2650</v>
      </c>
      <c r="C974" s="411">
        <v>25</v>
      </c>
      <c r="D974" s="185" t="s">
        <v>9975</v>
      </c>
      <c r="E974" s="314" t="s">
        <v>9986</v>
      </c>
      <c r="F974" s="183">
        <v>29921</v>
      </c>
      <c r="G974" s="184"/>
      <c r="H974" s="185">
        <v>1</v>
      </c>
      <c r="I974" s="185">
        <v>6</v>
      </c>
      <c r="J974" s="901" t="s">
        <v>1796</v>
      </c>
      <c r="K974" s="163" t="s">
        <v>9985</v>
      </c>
      <c r="L974" s="163" t="s">
        <v>9982</v>
      </c>
      <c r="M974" s="163"/>
      <c r="N974" s="163" t="s">
        <v>4061</v>
      </c>
      <c r="O974" s="163"/>
      <c r="P974" s="182" t="s">
        <v>461</v>
      </c>
      <c r="Q974" s="163" t="s">
        <v>4062</v>
      </c>
      <c r="R974" s="186" t="s">
        <v>9922</v>
      </c>
      <c r="S974" s="355"/>
      <c r="T974" s="182"/>
      <c r="U974" s="182"/>
      <c r="V974" s="182"/>
      <c r="W974" s="314" t="s">
        <v>9986</v>
      </c>
      <c r="X974" s="646" t="s">
        <v>12508</v>
      </c>
      <c r="Y974" s="355"/>
      <c r="Z974" s="158"/>
      <c r="AA974" s="185"/>
      <c r="AB974" s="33">
        <f t="shared" ca="1" si="17"/>
        <v>0.91859791622935483</v>
      </c>
      <c r="AC974" s="813"/>
      <c r="AD974" s="211"/>
      <c r="AE974" s="941"/>
      <c r="AF974" s="922">
        <f>IF(X974=X973,AF973,0)+IF(ISNUMBER(I974),IF(I974&lt;1,I974,I974*VLOOKUP(J974,Summary!$H$2:$I$9,2)),VLOOKUP(J974,Summary!$J$2:$K$9,2)*IF(ISNUMBER(H974),H974,1))</f>
        <v>0.12569444444444447</v>
      </c>
      <c r="AG974" s="290">
        <v>973</v>
      </c>
      <c r="AH974" s="94"/>
      <c r="AI974" s="94"/>
    </row>
    <row r="975" spans="1:36" s="22" customFormat="1" ht="12" customHeight="1" x14ac:dyDescent="0.2">
      <c r="A975" s="411"/>
      <c r="B975" s="411" t="s">
        <v>2650</v>
      </c>
      <c r="C975" s="411">
        <v>26</v>
      </c>
      <c r="D975" s="185" t="s">
        <v>9973</v>
      </c>
      <c r="E975" s="314" t="s">
        <v>9957</v>
      </c>
      <c r="F975" s="183">
        <v>29983</v>
      </c>
      <c r="G975" s="184"/>
      <c r="H975" s="185">
        <v>1</v>
      </c>
      <c r="I975" s="185">
        <v>4</v>
      </c>
      <c r="J975" s="901" t="s">
        <v>1796</v>
      </c>
      <c r="K975" s="163" t="s">
        <v>7085</v>
      </c>
      <c r="L975" s="163" t="s">
        <v>9937</v>
      </c>
      <c r="M975" s="163"/>
      <c r="N975" s="163" t="s">
        <v>4061</v>
      </c>
      <c r="O975" s="163"/>
      <c r="P975" s="182" t="s">
        <v>461</v>
      </c>
      <c r="Q975" s="163" t="s">
        <v>4062</v>
      </c>
      <c r="R975" s="186" t="s">
        <v>9922</v>
      </c>
      <c r="S975" s="355"/>
      <c r="T975" s="182"/>
      <c r="U975" s="182"/>
      <c r="V975" s="182"/>
      <c r="W975" s="314" t="s">
        <v>9957</v>
      </c>
      <c r="X975" s="646" t="s">
        <v>12508</v>
      </c>
      <c r="Y975" s="355"/>
      <c r="Z975" s="158"/>
      <c r="AA975" s="185"/>
      <c r="AB975" s="33">
        <f t="shared" ca="1" si="17"/>
        <v>0.59408383120107922</v>
      </c>
      <c r="AC975" s="813"/>
      <c r="AD975" s="211" t="s">
        <v>15110</v>
      </c>
      <c r="AE975" s="941" t="s">
        <v>12543</v>
      </c>
      <c r="AF975" s="922">
        <f>IF(X975=X974,AF974,0)+IF(ISNUMBER(I975),IF(I975&lt;1,I975,I975*VLOOKUP(J975,Summary!$H$2:$I$9,2)),VLOOKUP(J975,Summary!$J$2:$K$9,2)*IF(ISNUMBER(H975),H975,1))</f>
        <v>0.12708333333333335</v>
      </c>
      <c r="AG975" s="290">
        <v>974</v>
      </c>
      <c r="AH975" s="94"/>
      <c r="AI975" s="94"/>
    </row>
    <row r="976" spans="1:36" s="27" customFormat="1" ht="12" customHeight="1" x14ac:dyDescent="0.25">
      <c r="A976" s="411"/>
      <c r="B976" s="411" t="s">
        <v>2650</v>
      </c>
      <c r="C976" s="411">
        <v>27</v>
      </c>
      <c r="D976" s="185" t="s">
        <v>9974</v>
      </c>
      <c r="E976" s="314" t="s">
        <v>9958</v>
      </c>
      <c r="F976" s="183">
        <v>30072</v>
      </c>
      <c r="G976" s="184"/>
      <c r="H976" s="185">
        <v>1</v>
      </c>
      <c r="I976" s="185">
        <v>4</v>
      </c>
      <c r="J976" s="901" t="s">
        <v>1796</v>
      </c>
      <c r="K976" s="163" t="s">
        <v>7085</v>
      </c>
      <c r="L976" s="163" t="s">
        <v>9982</v>
      </c>
      <c r="M976" s="163"/>
      <c r="N976" s="163" t="s">
        <v>4061</v>
      </c>
      <c r="O976" s="163"/>
      <c r="P976" s="182" t="s">
        <v>461</v>
      </c>
      <c r="Q976" s="163" t="s">
        <v>4062</v>
      </c>
      <c r="R976" s="186" t="s">
        <v>9922</v>
      </c>
      <c r="S976" s="355"/>
      <c r="T976" s="182"/>
      <c r="U976" s="182"/>
      <c r="V976" s="182"/>
      <c r="W976" s="314" t="s">
        <v>9958</v>
      </c>
      <c r="X976" s="646" t="s">
        <v>12508</v>
      </c>
      <c r="Y976" s="355"/>
      <c r="Z976" s="158"/>
      <c r="AA976" s="185"/>
      <c r="AB976" s="33">
        <f t="shared" ca="1" si="17"/>
        <v>0.3045981533027895</v>
      </c>
      <c r="AC976" s="813"/>
      <c r="AD976" s="211" t="s">
        <v>15085</v>
      </c>
      <c r="AE976" s="941"/>
      <c r="AF976" s="922">
        <f>IF(X976=X975,AF975,0)+IF(ISNUMBER(I976),IF(I976&lt;1,I976,I976*VLOOKUP(J976,Summary!$H$2:$I$9,2)),VLOOKUP(J976,Summary!$J$2:$K$9,2)*IF(ISNUMBER(H976),H976,1))</f>
        <v>0.12847222222222224</v>
      </c>
      <c r="AG976" s="290">
        <v>975</v>
      </c>
      <c r="AH976" s="119"/>
      <c r="AI976" s="119"/>
    </row>
    <row r="977" spans="1:35" s="22" customFormat="1" ht="12" customHeight="1" x14ac:dyDescent="0.2">
      <c r="A977" s="411"/>
      <c r="B977" s="411" t="s">
        <v>2650</v>
      </c>
      <c r="C977" s="411">
        <v>31</v>
      </c>
      <c r="D977" s="185" t="s">
        <v>9962</v>
      </c>
      <c r="E977" s="314" t="s">
        <v>9961</v>
      </c>
      <c r="F977" s="183">
        <v>33635</v>
      </c>
      <c r="G977" s="184"/>
      <c r="H977" s="185">
        <v>1</v>
      </c>
      <c r="I977" s="185">
        <v>4</v>
      </c>
      <c r="J977" s="901" t="s">
        <v>1796</v>
      </c>
      <c r="K977" s="163" t="s">
        <v>4132</v>
      </c>
      <c r="L977" s="163" t="s">
        <v>9988</v>
      </c>
      <c r="M977" s="163"/>
      <c r="N977" s="163" t="s">
        <v>561</v>
      </c>
      <c r="O977" s="163"/>
      <c r="P977" s="182" t="s">
        <v>461</v>
      </c>
      <c r="Q977" s="163" t="s">
        <v>4062</v>
      </c>
      <c r="R977" s="186" t="s">
        <v>9922</v>
      </c>
      <c r="S977" s="355"/>
      <c r="T977" s="182"/>
      <c r="U977" s="182"/>
      <c r="V977" s="182"/>
      <c r="W977" s="314" t="s">
        <v>9961</v>
      </c>
      <c r="X977" s="646" t="s">
        <v>12508</v>
      </c>
      <c r="Y977" s="355"/>
      <c r="Z977" s="158"/>
      <c r="AA977" s="185"/>
      <c r="AB977" s="33">
        <f t="shared" ca="1" si="17"/>
        <v>0.17188751674846148</v>
      </c>
      <c r="AC977" s="813"/>
      <c r="AD977" s="211" t="s">
        <v>16145</v>
      </c>
      <c r="AE977" s="949" t="s">
        <v>3365</v>
      </c>
      <c r="AF977" s="922">
        <f>IF(X977=X976,AF976,0)+IF(ISNUMBER(I977),IF(I977&lt;1,I977,I977*VLOOKUP(J977,Summary!$H$2:$I$9,2)),VLOOKUP(J977,Summary!$J$2:$K$9,2)*IF(ISNUMBER(H977),H977,1))</f>
        <v>0.12986111111111112</v>
      </c>
      <c r="AG977" s="295">
        <v>976</v>
      </c>
      <c r="AH977" s="94"/>
      <c r="AI977" s="94"/>
    </row>
    <row r="978" spans="1:35" s="22" customFormat="1" ht="12" customHeight="1" x14ac:dyDescent="0.25">
      <c r="A978" s="485" t="s">
        <v>1799</v>
      </c>
      <c r="B978" s="485">
        <v>4</v>
      </c>
      <c r="C978" s="485">
        <v>0</v>
      </c>
      <c r="D978" s="486"/>
      <c r="E978" s="332" t="s">
        <v>6368</v>
      </c>
      <c r="F978" s="230">
        <v>37377</v>
      </c>
      <c r="G978" s="214"/>
      <c r="H978" s="214" t="str">
        <f>IF(J978="Book","n/a","")</f>
        <v>n/a</v>
      </c>
      <c r="I978" s="750">
        <f>TIME(2,6,0)</f>
        <v>8.7500000000000008E-2</v>
      </c>
      <c r="J978" s="906" t="s">
        <v>6868</v>
      </c>
      <c r="K978" s="161" t="s">
        <v>6369</v>
      </c>
      <c r="L978" s="161"/>
      <c r="M978" s="161" t="s">
        <v>6369</v>
      </c>
      <c r="N978" s="161"/>
      <c r="O978" s="161"/>
      <c r="P978" s="212" t="s">
        <v>461</v>
      </c>
      <c r="Q978" s="161" t="s">
        <v>603</v>
      </c>
      <c r="R978" s="231" t="s">
        <v>6988</v>
      </c>
      <c r="S978" s="365"/>
      <c r="T978" s="212"/>
      <c r="U978" s="212"/>
      <c r="V978" s="212" t="s">
        <v>2601</v>
      </c>
      <c r="W978" s="332" t="s">
        <v>6368</v>
      </c>
      <c r="X978" s="664" t="s">
        <v>12325</v>
      </c>
      <c r="Y978" s="370"/>
      <c r="Z978" s="371"/>
      <c r="AA978" s="371"/>
      <c r="AB978" s="39">
        <f t="shared" ca="1" si="17"/>
        <v>0.85186748108901722</v>
      </c>
      <c r="AC978" s="828"/>
      <c r="AD978" s="829"/>
      <c r="AE978" s="952"/>
      <c r="AF978" s="927">
        <f>IF(X978=X977,AF977,0)+IF(ISNUMBER(I978),IF(I978&lt;1,I978,I978*VLOOKUP(J978,Summary!$H$2:$I$9,2)),VLOOKUP(J978,Summary!$J$2:$K$9,2)*IF(ISNUMBER(H978),H978,1))</f>
        <v>8.7500000000000008E-2</v>
      </c>
      <c r="AG978" s="299">
        <v>977</v>
      </c>
      <c r="AH978" s="94"/>
      <c r="AI978" s="94"/>
    </row>
    <row r="979" spans="1:35" s="22" customFormat="1" ht="12" customHeight="1" x14ac:dyDescent="0.25">
      <c r="A979" s="487" t="s">
        <v>1799</v>
      </c>
      <c r="B979" s="487">
        <v>4</v>
      </c>
      <c r="C979" s="487">
        <v>75</v>
      </c>
      <c r="D979" s="424" t="s">
        <v>4522</v>
      </c>
      <c r="E979" s="319" t="s">
        <v>4523</v>
      </c>
      <c r="F979" s="198">
        <v>27391</v>
      </c>
      <c r="G979" s="198">
        <v>27412</v>
      </c>
      <c r="H979" s="199">
        <v>4</v>
      </c>
      <c r="I979" s="791">
        <f>TIME(0,24,11)+TIME(0,25, 0)+TIME(0,24,29)+TIME(0,24,29)</f>
        <v>6.8159722222222233E-2</v>
      </c>
      <c r="J979" s="904" t="s">
        <v>1588</v>
      </c>
      <c r="K979" s="200" t="s">
        <v>1088</v>
      </c>
      <c r="L979" s="200" t="s">
        <v>30</v>
      </c>
      <c r="M979" s="200"/>
      <c r="N979" s="200" t="s">
        <v>1093</v>
      </c>
      <c r="O979" s="200" t="s">
        <v>1884</v>
      </c>
      <c r="P979" s="197" t="s">
        <v>461</v>
      </c>
      <c r="Q979" s="200" t="s">
        <v>3946</v>
      </c>
      <c r="R979" s="201" t="s">
        <v>5280</v>
      </c>
      <c r="S979" s="390" t="s">
        <v>53</v>
      </c>
      <c r="T979" s="197" t="s">
        <v>2606</v>
      </c>
      <c r="U979" s="197" t="s">
        <v>2597</v>
      </c>
      <c r="V979" s="197" t="s">
        <v>2600</v>
      </c>
      <c r="W979" s="318" t="s">
        <v>9680</v>
      </c>
      <c r="X979" s="650" t="s">
        <v>12325</v>
      </c>
      <c r="Y979" s="358" t="s">
        <v>6141</v>
      </c>
      <c r="Z979" s="253">
        <v>262</v>
      </c>
      <c r="AA979" s="253">
        <v>3</v>
      </c>
      <c r="AB979" s="35">
        <f t="shared" ca="1" si="17"/>
        <v>0.56846944299537272</v>
      </c>
      <c r="AC979" s="820"/>
      <c r="AD979" s="821" t="s">
        <v>14969</v>
      </c>
      <c r="AE979" s="944" t="s">
        <v>3234</v>
      </c>
      <c r="AF979" s="925">
        <f>IF(X979=X978,AF978,0)+IF(ISNUMBER(I979),IF(I979&lt;1,I979,I979*VLOOKUP(J979,Summary!$H$2:$I$9,2)),VLOOKUP(J979,Summary!$J$2:$K$9,2)*IF(ISNUMBER(H979),H979,1))</f>
        <v>0.15565972222222224</v>
      </c>
      <c r="AG979" s="293">
        <v>978</v>
      </c>
      <c r="AH979" s="94"/>
      <c r="AI979" s="94"/>
    </row>
    <row r="980" spans="1:35" s="22" customFormat="1" ht="12" customHeight="1" x14ac:dyDescent="0.2">
      <c r="A980" s="488">
        <v>12</v>
      </c>
      <c r="B980" s="488">
        <v>4</v>
      </c>
      <c r="C980" s="488">
        <v>104</v>
      </c>
      <c r="D980" s="185" t="s">
        <v>450</v>
      </c>
      <c r="E980" s="314" t="s">
        <v>451</v>
      </c>
      <c r="F980" s="184">
        <v>27405</v>
      </c>
      <c r="G980" s="184">
        <v>27475</v>
      </c>
      <c r="H980" s="185">
        <v>11</v>
      </c>
      <c r="I980" s="185">
        <v>22</v>
      </c>
      <c r="J980" s="901" t="s">
        <v>1796</v>
      </c>
      <c r="K980" s="163" t="s">
        <v>5784</v>
      </c>
      <c r="L980" s="163" t="s">
        <v>3547</v>
      </c>
      <c r="M980" s="163"/>
      <c r="N980" s="163"/>
      <c r="O980" s="163"/>
      <c r="P980" s="182" t="s">
        <v>461</v>
      </c>
      <c r="Q980" s="163" t="s">
        <v>1797</v>
      </c>
      <c r="R980" s="186" t="s">
        <v>4601</v>
      </c>
      <c r="S980" s="355" t="s">
        <v>53</v>
      </c>
      <c r="T980" s="182"/>
      <c r="U980" s="182"/>
      <c r="V980" s="182"/>
      <c r="W980" s="328"/>
      <c r="X980" s="660" t="s">
        <v>12325</v>
      </c>
      <c r="Y980" s="355"/>
      <c r="Z980" s="185"/>
      <c r="AA980" s="185"/>
      <c r="AB980" s="33">
        <f t="shared" ca="1" si="17"/>
        <v>0.36976760384782914</v>
      </c>
      <c r="AC980" s="813"/>
      <c r="AD980" s="211"/>
      <c r="AE980" s="875"/>
      <c r="AF980" s="922">
        <f>IF(X980=X979,AF979,0)+IF(ISNUMBER(I980),IF(I980&lt;1,I980,I980*VLOOKUP(J980,Summary!$H$2:$I$9,2)),VLOOKUP(J980,Summary!$J$2:$K$9,2)*IF(ISNUMBER(H980),H980,1))</f>
        <v>0.16329861111111113</v>
      </c>
      <c r="AG980" s="290">
        <v>979</v>
      </c>
      <c r="AH980" s="94"/>
      <c r="AI980" s="94"/>
    </row>
    <row r="981" spans="1:35" s="22" customFormat="1" ht="12" customHeight="1" x14ac:dyDescent="0.25">
      <c r="A981" s="489">
        <v>12</v>
      </c>
      <c r="B981" s="489">
        <v>4</v>
      </c>
      <c r="C981" s="489"/>
      <c r="D981" s="434" t="s">
        <v>4866</v>
      </c>
      <c r="E981" s="324" t="s">
        <v>4868</v>
      </c>
      <c r="F981" s="174">
        <v>27638</v>
      </c>
      <c r="G981" s="175"/>
      <c r="H981" s="176" t="s">
        <v>461</v>
      </c>
      <c r="I981" s="176">
        <v>5</v>
      </c>
      <c r="J981" s="900" t="s">
        <v>2755</v>
      </c>
      <c r="K981" s="157" t="s">
        <v>5784</v>
      </c>
      <c r="L981" s="157" t="s">
        <v>461</v>
      </c>
      <c r="M981" s="157"/>
      <c r="N981" s="157"/>
      <c r="O981" s="157"/>
      <c r="P981" s="173" t="s">
        <v>4864</v>
      </c>
      <c r="Q981" s="157" t="s">
        <v>4705</v>
      </c>
      <c r="R981" s="179" t="s">
        <v>4600</v>
      </c>
      <c r="S981" s="354" t="s">
        <v>53</v>
      </c>
      <c r="T981" s="173" t="s">
        <v>2606</v>
      </c>
      <c r="U981" s="173"/>
      <c r="V981" s="173"/>
      <c r="W981" s="324" t="s">
        <v>4868</v>
      </c>
      <c r="X981" s="656" t="s">
        <v>12325</v>
      </c>
      <c r="Y981" s="363" t="s">
        <v>6000</v>
      </c>
      <c r="Z981" s="176">
        <v>999</v>
      </c>
      <c r="AA981" s="364"/>
      <c r="AB981" s="32">
        <f t="shared" ca="1" si="17"/>
        <v>0.36051170225179463</v>
      </c>
      <c r="AC981" s="812"/>
      <c r="AD981" s="763"/>
      <c r="AE981" s="951"/>
      <c r="AF981" s="921">
        <f>IF(X981=X980,AF980,0)+IF(ISNUMBER(I981),IF(I981&lt;1,I981,I981*VLOOKUP(J981,Summary!$H$2:$I$9,2)),VLOOKUP(J981,Summary!$J$2:$K$9,2)*IF(ISNUMBER(H981),H981,1))</f>
        <v>0.16677083333333334</v>
      </c>
      <c r="AG981" s="288">
        <v>980</v>
      </c>
      <c r="AH981" s="94"/>
      <c r="AI981" s="94"/>
    </row>
    <row r="982" spans="1:35" s="22" customFormat="1" ht="12" customHeight="1" x14ac:dyDescent="0.25">
      <c r="A982" s="490">
        <v>12</v>
      </c>
      <c r="B982" s="490">
        <v>4</v>
      </c>
      <c r="C982" s="490">
        <v>30.16</v>
      </c>
      <c r="D982" s="176" t="s">
        <v>5368</v>
      </c>
      <c r="E982" s="313" t="s">
        <v>612</v>
      </c>
      <c r="F982" s="174">
        <v>39783</v>
      </c>
      <c r="G982" s="174"/>
      <c r="H982" s="176" t="s">
        <v>461</v>
      </c>
      <c r="I982" s="176">
        <v>14</v>
      </c>
      <c r="J982" s="900" t="s">
        <v>2755</v>
      </c>
      <c r="K982" s="164" t="s">
        <v>611</v>
      </c>
      <c r="L982" s="164" t="s">
        <v>461</v>
      </c>
      <c r="M982" s="164"/>
      <c r="N982" s="164" t="s">
        <v>4944</v>
      </c>
      <c r="O982" s="164"/>
      <c r="P982" s="173" t="s">
        <v>6702</v>
      </c>
      <c r="Q982" s="164" t="s">
        <v>3947</v>
      </c>
      <c r="R982" s="177" t="s">
        <v>2723</v>
      </c>
      <c r="S982" s="354" t="s">
        <v>53</v>
      </c>
      <c r="T982" s="173"/>
      <c r="U982" s="173"/>
      <c r="V982" s="173"/>
      <c r="W982" s="313" t="s">
        <v>612</v>
      </c>
      <c r="X982" s="645" t="s">
        <v>12325</v>
      </c>
      <c r="Y982" s="354"/>
      <c r="Z982" s="176"/>
      <c r="AA982" s="176"/>
      <c r="AB982" s="32">
        <f t="shared" ca="1" si="17"/>
        <v>0.1808343697270488</v>
      </c>
      <c r="AC982" s="812"/>
      <c r="AD982" s="763"/>
      <c r="AE982" s="807"/>
      <c r="AF982" s="921">
        <f>IF(X982=X981,AF981,0)+IF(ISNUMBER(I982),IF(I982&lt;1,I982,I982*VLOOKUP(J982,Summary!$H$2:$I$9,2)),VLOOKUP(J982,Summary!$J$2:$K$9,2)*IF(ISNUMBER(H982),H982,1))</f>
        <v>0.17649305555555556</v>
      </c>
      <c r="AG982" s="289">
        <v>981</v>
      </c>
      <c r="AH982" s="94"/>
      <c r="AI982" s="94"/>
    </row>
    <row r="983" spans="1:35" s="22" customFormat="1" ht="12" customHeight="1" x14ac:dyDescent="0.25">
      <c r="A983" s="489">
        <v>12</v>
      </c>
      <c r="B983" s="489">
        <v>4</v>
      </c>
      <c r="C983" s="489">
        <v>1</v>
      </c>
      <c r="D983" s="434" t="s">
        <v>12115</v>
      </c>
      <c r="E983" s="324" t="s">
        <v>12117</v>
      </c>
      <c r="F983" s="224">
        <v>27760</v>
      </c>
      <c r="G983" s="175"/>
      <c r="H983" s="176" t="s">
        <v>461</v>
      </c>
      <c r="I983" s="176"/>
      <c r="J983" s="900" t="s">
        <v>2755</v>
      </c>
      <c r="K983" s="157" t="s">
        <v>5784</v>
      </c>
      <c r="L983" s="157" t="s">
        <v>461</v>
      </c>
      <c r="M983" s="157"/>
      <c r="N983" s="157"/>
      <c r="O983" s="157"/>
      <c r="P983" s="173"/>
      <c r="Q983" s="157" t="s">
        <v>12113</v>
      </c>
      <c r="R983" s="179" t="s">
        <v>12114</v>
      </c>
      <c r="S983" s="354" t="s">
        <v>53</v>
      </c>
      <c r="T983" s="173"/>
      <c r="U983" s="173"/>
      <c r="V983" s="173"/>
      <c r="W983" s="324" t="s">
        <v>4873</v>
      </c>
      <c r="X983" s="656" t="s">
        <v>12325</v>
      </c>
      <c r="Y983" s="363"/>
      <c r="Z983" s="364"/>
      <c r="AA983" s="364"/>
      <c r="AB983" s="32">
        <f t="shared" ca="1" si="17"/>
        <v>0.18768506884349012</v>
      </c>
      <c r="AC983" s="812"/>
      <c r="AD983" s="763"/>
      <c r="AE983" s="951"/>
      <c r="AF983" s="921">
        <f>IF(X983=X982,AF982,0)+IF(ISNUMBER(I983),IF(I983&lt;1,I983,I983*VLOOKUP(J983,Summary!$H$2:$I$9,2)),VLOOKUP(J983,Summary!$J$2:$K$9,2)*IF(ISNUMBER(H983),H983,1))</f>
        <v>0.19385416666666666</v>
      </c>
      <c r="AG983" s="288">
        <v>982</v>
      </c>
      <c r="AH983" s="94"/>
      <c r="AI983" s="94"/>
    </row>
    <row r="984" spans="1:35" s="27" customFormat="1" ht="12" customHeight="1" x14ac:dyDescent="0.25">
      <c r="A984" s="489">
        <v>12</v>
      </c>
      <c r="B984" s="489">
        <v>4</v>
      </c>
      <c r="C984" s="489">
        <v>2</v>
      </c>
      <c r="D984" s="434" t="s">
        <v>12116</v>
      </c>
      <c r="E984" s="324" t="s">
        <v>12118</v>
      </c>
      <c r="F984" s="224">
        <v>27760</v>
      </c>
      <c r="G984" s="175"/>
      <c r="H984" s="176" t="s">
        <v>461</v>
      </c>
      <c r="I984" s="176"/>
      <c r="J984" s="900" t="s">
        <v>2755</v>
      </c>
      <c r="K984" s="157" t="s">
        <v>5784</v>
      </c>
      <c r="L984" s="157" t="s">
        <v>461</v>
      </c>
      <c r="M984" s="157"/>
      <c r="N984" s="157"/>
      <c r="O984" s="157"/>
      <c r="P984" s="173"/>
      <c r="Q984" s="157" t="s">
        <v>12113</v>
      </c>
      <c r="R984" s="179" t="s">
        <v>12114</v>
      </c>
      <c r="S984" s="354" t="s">
        <v>53</v>
      </c>
      <c r="T984" s="173"/>
      <c r="U984" s="173"/>
      <c r="V984" s="173"/>
      <c r="W984" s="324" t="s">
        <v>4873</v>
      </c>
      <c r="X984" s="656" t="s">
        <v>12325</v>
      </c>
      <c r="Y984" s="363"/>
      <c r="Z984" s="364"/>
      <c r="AA984" s="364"/>
      <c r="AB984" s="32">
        <f t="shared" ca="1" si="17"/>
        <v>0.56924420443608192</v>
      </c>
      <c r="AC984" s="812"/>
      <c r="AD984" s="763"/>
      <c r="AE984" s="951"/>
      <c r="AF984" s="921">
        <f>IF(X984=X983,AF983,0)+IF(ISNUMBER(I984),IF(I984&lt;1,I984,I984*VLOOKUP(J984,Summary!$H$2:$I$9,2)),VLOOKUP(J984,Summary!$J$2:$K$9,2)*IF(ISNUMBER(H984),H984,1))</f>
        <v>0.21121527777777777</v>
      </c>
      <c r="AG984" s="288">
        <v>983</v>
      </c>
      <c r="AH984" s="119"/>
      <c r="AI984" s="119"/>
    </row>
    <row r="985" spans="1:35" s="22" customFormat="1" ht="12" customHeight="1" x14ac:dyDescent="0.25">
      <c r="A985" s="489">
        <v>12</v>
      </c>
      <c r="B985" s="489">
        <v>4</v>
      </c>
      <c r="C985" s="489"/>
      <c r="D985" s="434" t="s">
        <v>4866</v>
      </c>
      <c r="E985" s="324" t="s">
        <v>4873</v>
      </c>
      <c r="F985" s="174">
        <v>27638</v>
      </c>
      <c r="G985" s="175"/>
      <c r="H985" s="176" t="s">
        <v>461</v>
      </c>
      <c r="I985" s="176">
        <v>4</v>
      </c>
      <c r="J985" s="900" t="s">
        <v>2755</v>
      </c>
      <c r="K985" s="157" t="s">
        <v>5784</v>
      </c>
      <c r="L985" s="157" t="s">
        <v>461</v>
      </c>
      <c r="M985" s="157"/>
      <c r="N985" s="157"/>
      <c r="O985" s="157"/>
      <c r="P985" s="173" t="s">
        <v>4864</v>
      </c>
      <c r="Q985" s="157" t="s">
        <v>4705</v>
      </c>
      <c r="R985" s="179" t="s">
        <v>4600</v>
      </c>
      <c r="S985" s="354" t="s">
        <v>53</v>
      </c>
      <c r="T985" s="173" t="s">
        <v>2606</v>
      </c>
      <c r="U985" s="173"/>
      <c r="V985" s="173"/>
      <c r="W985" s="324" t="s">
        <v>4873</v>
      </c>
      <c r="X985" s="656" t="s">
        <v>12325</v>
      </c>
      <c r="Y985" s="363" t="s">
        <v>6000</v>
      </c>
      <c r="Z985" s="176">
        <v>999</v>
      </c>
      <c r="AA985" s="364"/>
      <c r="AB985" s="32">
        <f t="shared" ca="1" si="17"/>
        <v>0.31196112611887872</v>
      </c>
      <c r="AC985" s="812"/>
      <c r="AD985" s="763"/>
      <c r="AE985" s="951"/>
      <c r="AF985" s="921">
        <f>IF(X985=X984,AF984,0)+IF(ISNUMBER(I985),IF(I985&lt;1,I985,I985*VLOOKUP(J985,Summary!$H$2:$I$9,2)),VLOOKUP(J985,Summary!$J$2:$K$9,2)*IF(ISNUMBER(H985),H985,1))</f>
        <v>0.21399305555555553</v>
      </c>
      <c r="AG985" s="288">
        <v>984</v>
      </c>
      <c r="AH985" s="94"/>
      <c r="AI985" s="94"/>
    </row>
    <row r="986" spans="1:35" s="43" customFormat="1" ht="12" customHeight="1" x14ac:dyDescent="0.25">
      <c r="A986" s="489">
        <v>12</v>
      </c>
      <c r="B986" s="489">
        <v>4</v>
      </c>
      <c r="C986" s="489"/>
      <c r="D986" s="434" t="s">
        <v>4866</v>
      </c>
      <c r="E986" s="324" t="s">
        <v>4869</v>
      </c>
      <c r="F986" s="174">
        <v>27638</v>
      </c>
      <c r="G986" s="175"/>
      <c r="H986" s="176" t="s">
        <v>461</v>
      </c>
      <c r="I986" s="176">
        <v>5</v>
      </c>
      <c r="J986" s="900" t="s">
        <v>2755</v>
      </c>
      <c r="K986" s="157" t="s">
        <v>5784</v>
      </c>
      <c r="L986" s="157" t="s">
        <v>461</v>
      </c>
      <c r="M986" s="157"/>
      <c r="N986" s="157"/>
      <c r="O986" s="157"/>
      <c r="P986" s="173" t="s">
        <v>4864</v>
      </c>
      <c r="Q986" s="157" t="s">
        <v>4705</v>
      </c>
      <c r="R986" s="179" t="s">
        <v>4600</v>
      </c>
      <c r="S986" s="354" t="s">
        <v>53</v>
      </c>
      <c r="T986" s="173" t="s">
        <v>2606</v>
      </c>
      <c r="U986" s="173"/>
      <c r="V986" s="173"/>
      <c r="W986" s="324" t="s">
        <v>4869</v>
      </c>
      <c r="X986" s="656" t="s">
        <v>12325</v>
      </c>
      <c r="Y986" s="363" t="s">
        <v>6000</v>
      </c>
      <c r="Z986" s="176">
        <v>999</v>
      </c>
      <c r="AA986" s="364"/>
      <c r="AB986" s="32">
        <f t="shared" ca="1" si="17"/>
        <v>0.36930200008156289</v>
      </c>
      <c r="AC986" s="812"/>
      <c r="AD986" s="763"/>
      <c r="AE986" s="951"/>
      <c r="AF986" s="921">
        <f>IF(X986=X985,AF985,0)+IF(ISNUMBER(I986),IF(I986&lt;1,I986,I986*VLOOKUP(J986,Summary!$H$2:$I$9,2)),VLOOKUP(J986,Summary!$J$2:$K$9,2)*IF(ISNUMBER(H986),H986,1))</f>
        <v>0.21746527777777774</v>
      </c>
      <c r="AG986" s="288">
        <v>985</v>
      </c>
      <c r="AH986" s="94"/>
      <c r="AI986" s="94"/>
    </row>
    <row r="987" spans="1:35" s="22" customFormat="1" ht="12" customHeight="1" x14ac:dyDescent="0.2">
      <c r="A987" s="491">
        <v>12</v>
      </c>
      <c r="B987" s="491">
        <v>4</v>
      </c>
      <c r="C987" s="491"/>
      <c r="D987" s="428" t="s">
        <v>4866</v>
      </c>
      <c r="E987" s="325" t="s">
        <v>4870</v>
      </c>
      <c r="F987" s="183">
        <v>27638</v>
      </c>
      <c r="G987" s="184"/>
      <c r="H987" s="185" t="s">
        <v>461</v>
      </c>
      <c r="I987" s="185">
        <v>6</v>
      </c>
      <c r="J987" s="901" t="s">
        <v>1796</v>
      </c>
      <c r="K987" s="158" t="s">
        <v>5784</v>
      </c>
      <c r="L987" s="158" t="s">
        <v>5784</v>
      </c>
      <c r="M987" s="158"/>
      <c r="N987" s="158"/>
      <c r="O987" s="158"/>
      <c r="P987" s="182" t="s">
        <v>4864</v>
      </c>
      <c r="Q987" s="158" t="s">
        <v>4705</v>
      </c>
      <c r="R987" s="207" t="s">
        <v>4600</v>
      </c>
      <c r="S987" s="355" t="s">
        <v>53</v>
      </c>
      <c r="T987" s="182" t="s">
        <v>2606</v>
      </c>
      <c r="U987" s="182"/>
      <c r="V987" s="182"/>
      <c r="W987" s="325" t="s">
        <v>4870</v>
      </c>
      <c r="X987" s="657" t="s">
        <v>12325</v>
      </c>
      <c r="Y987" s="361" t="s">
        <v>6000</v>
      </c>
      <c r="Z987" s="362"/>
      <c r="AA987" s="362"/>
      <c r="AB987" s="33">
        <f t="shared" ca="1" si="17"/>
        <v>0.9762067437249401</v>
      </c>
      <c r="AC987" s="813"/>
      <c r="AD987" s="211"/>
      <c r="AE987" s="949"/>
      <c r="AF987" s="922">
        <f>IF(X987=X986,AF986,0)+IF(ISNUMBER(I987),IF(I987&lt;1,I987,I987*VLOOKUP(J987,Summary!$H$2:$I$9,2)),VLOOKUP(J987,Summary!$J$2:$K$9,2)*IF(ISNUMBER(H987),H987,1))</f>
        <v>0.21954861111111107</v>
      </c>
      <c r="AG987" s="295">
        <v>986</v>
      </c>
      <c r="AH987" s="94"/>
      <c r="AI987" s="94"/>
    </row>
    <row r="988" spans="1:35" s="43" customFormat="1" ht="12" customHeight="1" x14ac:dyDescent="0.25">
      <c r="A988" s="489">
        <v>12</v>
      </c>
      <c r="B988" s="489">
        <v>4</v>
      </c>
      <c r="C988" s="489"/>
      <c r="D988" s="434" t="s">
        <v>4866</v>
      </c>
      <c r="E988" s="324" t="s">
        <v>4871</v>
      </c>
      <c r="F988" s="174">
        <v>27638</v>
      </c>
      <c r="G988" s="175"/>
      <c r="H988" s="176" t="s">
        <v>461</v>
      </c>
      <c r="I988" s="176">
        <v>5</v>
      </c>
      <c r="J988" s="900" t="s">
        <v>2755</v>
      </c>
      <c r="K988" s="157" t="s">
        <v>5784</v>
      </c>
      <c r="L988" s="157" t="s">
        <v>461</v>
      </c>
      <c r="M988" s="157"/>
      <c r="N988" s="157"/>
      <c r="O988" s="157"/>
      <c r="P988" s="173" t="s">
        <v>4864</v>
      </c>
      <c r="Q988" s="157" t="s">
        <v>4705</v>
      </c>
      <c r="R988" s="179" t="s">
        <v>4600</v>
      </c>
      <c r="S988" s="354" t="s">
        <v>53</v>
      </c>
      <c r="T988" s="173" t="s">
        <v>2606</v>
      </c>
      <c r="U988" s="173"/>
      <c r="V988" s="173"/>
      <c r="W988" s="324" t="s">
        <v>4871</v>
      </c>
      <c r="X988" s="656" t="s">
        <v>12325</v>
      </c>
      <c r="Y988" s="363" t="s">
        <v>6000</v>
      </c>
      <c r="Z988" s="176">
        <v>999</v>
      </c>
      <c r="AA988" s="364"/>
      <c r="AB988" s="32">
        <f t="shared" ca="1" si="17"/>
        <v>0.96957363426110754</v>
      </c>
      <c r="AC988" s="812"/>
      <c r="AD988" s="763"/>
      <c r="AE988" s="951"/>
      <c r="AF988" s="921">
        <f>IF(X988=X987,AF987,0)+IF(ISNUMBER(I988),IF(I988&lt;1,I988,I988*VLOOKUP(J988,Summary!$H$2:$I$9,2)),VLOOKUP(J988,Summary!$J$2:$K$9,2)*IF(ISNUMBER(H988),H988,1))</f>
        <v>0.22302083333333328</v>
      </c>
      <c r="AG988" s="288">
        <v>987</v>
      </c>
      <c r="AH988" s="94"/>
      <c r="AI988" s="94"/>
    </row>
    <row r="989" spans="1:35" s="43" customFormat="1" ht="12" customHeight="1" x14ac:dyDescent="0.25">
      <c r="A989" s="491">
        <v>12</v>
      </c>
      <c r="B989" s="491">
        <v>4</v>
      </c>
      <c r="C989" s="491"/>
      <c r="D989" s="428" t="s">
        <v>4866</v>
      </c>
      <c r="E989" s="325" t="s">
        <v>4872</v>
      </c>
      <c r="F989" s="183">
        <v>27638</v>
      </c>
      <c r="G989" s="184"/>
      <c r="H989" s="185" t="s">
        <v>461</v>
      </c>
      <c r="I989" s="185">
        <v>6</v>
      </c>
      <c r="J989" s="901" t="s">
        <v>1796</v>
      </c>
      <c r="K989" s="158" t="s">
        <v>5784</v>
      </c>
      <c r="L989" s="158" t="s">
        <v>5784</v>
      </c>
      <c r="M989" s="158"/>
      <c r="N989" s="158"/>
      <c r="O989" s="158"/>
      <c r="P989" s="182" t="s">
        <v>4864</v>
      </c>
      <c r="Q989" s="158" t="s">
        <v>4705</v>
      </c>
      <c r="R989" s="207" t="s">
        <v>4600</v>
      </c>
      <c r="S989" s="355" t="s">
        <v>53</v>
      </c>
      <c r="T989" s="182" t="s">
        <v>2606</v>
      </c>
      <c r="U989" s="182"/>
      <c r="V989" s="182"/>
      <c r="W989" s="325" t="s">
        <v>4872</v>
      </c>
      <c r="X989" s="657" t="s">
        <v>12325</v>
      </c>
      <c r="Y989" s="361" t="s">
        <v>6000</v>
      </c>
      <c r="Z989" s="362"/>
      <c r="AA989" s="362"/>
      <c r="AB989" s="33">
        <f t="shared" ca="1" si="17"/>
        <v>7.9954150126068657E-2</v>
      </c>
      <c r="AC989" s="813"/>
      <c r="AD989" s="211"/>
      <c r="AE989" s="949"/>
      <c r="AF989" s="922">
        <f>IF(X989=X988,AF988,0)+IF(ISNUMBER(I989),IF(I989&lt;1,I989,I989*VLOOKUP(J989,Summary!$H$2:$I$9,2)),VLOOKUP(J989,Summary!$J$2:$K$9,2)*IF(ISNUMBER(H989),H989,1))</f>
        <v>0.22510416666666661</v>
      </c>
      <c r="AG989" s="295">
        <v>988</v>
      </c>
      <c r="AH989" s="94"/>
      <c r="AI989" s="94"/>
    </row>
    <row r="990" spans="1:35" s="43" customFormat="1" ht="12" customHeight="1" x14ac:dyDescent="0.25">
      <c r="A990" s="489">
        <v>12</v>
      </c>
      <c r="B990" s="489">
        <v>4</v>
      </c>
      <c r="C990" s="489"/>
      <c r="D990" s="434" t="s">
        <v>4866</v>
      </c>
      <c r="E990" s="324" t="s">
        <v>4874</v>
      </c>
      <c r="F990" s="174">
        <v>27638</v>
      </c>
      <c r="G990" s="175"/>
      <c r="H990" s="176" t="s">
        <v>461</v>
      </c>
      <c r="I990" s="176">
        <v>6</v>
      </c>
      <c r="J990" s="900" t="s">
        <v>2755</v>
      </c>
      <c r="K990" s="157" t="s">
        <v>5784</v>
      </c>
      <c r="L990" s="157" t="s">
        <v>461</v>
      </c>
      <c r="M990" s="157"/>
      <c r="N990" s="157"/>
      <c r="O990" s="157"/>
      <c r="P990" s="173" t="s">
        <v>4864</v>
      </c>
      <c r="Q990" s="157" t="s">
        <v>4705</v>
      </c>
      <c r="R990" s="179" t="s">
        <v>4600</v>
      </c>
      <c r="S990" s="354" t="s">
        <v>53</v>
      </c>
      <c r="T990" s="173" t="s">
        <v>2606</v>
      </c>
      <c r="U990" s="173"/>
      <c r="V990" s="173"/>
      <c r="W990" s="324" t="s">
        <v>4874</v>
      </c>
      <c r="X990" s="656" t="s">
        <v>12325</v>
      </c>
      <c r="Y990" s="363" t="s">
        <v>6000</v>
      </c>
      <c r="Z990" s="176">
        <v>999</v>
      </c>
      <c r="AA990" s="364"/>
      <c r="AB990" s="32">
        <f t="shared" ca="1" si="17"/>
        <v>0.46917259431795277</v>
      </c>
      <c r="AC990" s="812"/>
      <c r="AD990" s="763"/>
      <c r="AE990" s="951"/>
      <c r="AF990" s="921">
        <f>IF(X990=X989,AF989,0)+IF(ISNUMBER(I990),IF(I990&lt;1,I990,I990*VLOOKUP(J990,Summary!$H$2:$I$9,2)),VLOOKUP(J990,Summary!$J$2:$K$9,2)*IF(ISNUMBER(H990),H990,1))</f>
        <v>0.22927083333333328</v>
      </c>
      <c r="AG990" s="288">
        <v>989</v>
      </c>
      <c r="AH990" s="94"/>
      <c r="AI990" s="94"/>
    </row>
    <row r="991" spans="1:35" s="43" customFormat="1" ht="12" customHeight="1" x14ac:dyDescent="0.25">
      <c r="A991" s="490">
        <v>12</v>
      </c>
      <c r="B991" s="490">
        <v>4</v>
      </c>
      <c r="C991" s="490">
        <v>11</v>
      </c>
      <c r="D991" s="176" t="s">
        <v>5700</v>
      </c>
      <c r="E991" s="313" t="s">
        <v>12111</v>
      </c>
      <c r="F991" s="174">
        <v>31686</v>
      </c>
      <c r="G991" s="174"/>
      <c r="H991" s="176">
        <v>1</v>
      </c>
      <c r="I991" s="176">
        <v>3</v>
      </c>
      <c r="J991" s="900" t="s">
        <v>2755</v>
      </c>
      <c r="K991" s="164" t="s">
        <v>12112</v>
      </c>
      <c r="L991" s="164" t="s">
        <v>461</v>
      </c>
      <c r="M991" s="164"/>
      <c r="N991" s="164"/>
      <c r="O991" s="164"/>
      <c r="P991" s="173" t="s">
        <v>461</v>
      </c>
      <c r="Q991" s="164" t="s">
        <v>4062</v>
      </c>
      <c r="R991" s="177" t="s">
        <v>10250</v>
      </c>
      <c r="S991" s="354" t="s">
        <v>53</v>
      </c>
      <c r="T991" s="173" t="s">
        <v>2606</v>
      </c>
      <c r="U991" s="173"/>
      <c r="V991" s="173"/>
      <c r="W991" s="313" t="s">
        <v>5065</v>
      </c>
      <c r="X991" s="645" t="s">
        <v>12325</v>
      </c>
      <c r="Y991" s="354"/>
      <c r="Z991" s="176"/>
      <c r="AA991" s="176"/>
      <c r="AB991" s="32">
        <f t="shared" ca="1" si="17"/>
        <v>0.35146377628634651</v>
      </c>
      <c r="AC991" s="812"/>
      <c r="AD991" s="763"/>
      <c r="AE991" s="807"/>
      <c r="AF991" s="921">
        <f>IF(X991=X990,AF990,0)+IF(ISNUMBER(I991),IF(I991&lt;1,I991,I991*VLOOKUP(J991,Summary!$H$2:$I$9,2)),VLOOKUP(J991,Summary!$J$2:$K$9,2)*IF(ISNUMBER(H991),H991,1))</f>
        <v>0.23135416666666661</v>
      </c>
      <c r="AG991" s="289">
        <v>990</v>
      </c>
      <c r="AH991" s="94"/>
      <c r="AI991" s="94"/>
    </row>
    <row r="992" spans="1:35" s="43" customFormat="1" ht="12" customHeight="1" x14ac:dyDescent="0.25">
      <c r="A992" s="490">
        <v>12</v>
      </c>
      <c r="B992" s="490">
        <v>4</v>
      </c>
      <c r="C992" s="490">
        <v>9.15</v>
      </c>
      <c r="D992" s="434" t="s">
        <v>5714</v>
      </c>
      <c r="E992" s="324" t="s">
        <v>5518</v>
      </c>
      <c r="F992" s="174">
        <v>38047</v>
      </c>
      <c r="G992" s="174"/>
      <c r="H992" s="176">
        <v>1</v>
      </c>
      <c r="I992" s="176">
        <v>10</v>
      </c>
      <c r="J992" s="900" t="s">
        <v>2755</v>
      </c>
      <c r="K992" s="164" t="s">
        <v>5523</v>
      </c>
      <c r="L992" s="164" t="s">
        <v>461</v>
      </c>
      <c r="M992" s="164"/>
      <c r="N992" s="164" t="s">
        <v>7381</v>
      </c>
      <c r="O992" s="164"/>
      <c r="P992" s="173" t="s">
        <v>3431</v>
      </c>
      <c r="Q992" s="164" t="s">
        <v>3947</v>
      </c>
      <c r="R992" s="179" t="s">
        <v>2723</v>
      </c>
      <c r="S992" s="354" t="s">
        <v>53</v>
      </c>
      <c r="T992" s="173" t="s">
        <v>2606</v>
      </c>
      <c r="U992" s="173"/>
      <c r="V992" s="173"/>
      <c r="W992" s="324" t="s">
        <v>5518</v>
      </c>
      <c r="X992" s="656" t="s">
        <v>12325</v>
      </c>
      <c r="Y992" s="354"/>
      <c r="Z992" s="176">
        <v>999</v>
      </c>
      <c r="AA992" s="176"/>
      <c r="AB992" s="32">
        <f t="shared" ca="1" si="17"/>
        <v>0.38484675176998318</v>
      </c>
      <c r="AC992" s="812"/>
      <c r="AD992" s="763"/>
      <c r="AE992" s="951"/>
      <c r="AF992" s="921">
        <f>IF(X992=X991,AF991,0)+IF(ISNUMBER(I992),IF(I992&lt;1,I992,I992*VLOOKUP(J992,Summary!$H$2:$I$9,2)),VLOOKUP(J992,Summary!$J$2:$K$9,2)*IF(ISNUMBER(H992),H992,1))</f>
        <v>0.23829861111111106</v>
      </c>
      <c r="AG992" s="288">
        <v>991</v>
      </c>
      <c r="AH992" s="94"/>
      <c r="AI992" s="94"/>
    </row>
    <row r="993" spans="1:35" s="22" customFormat="1" ht="12" customHeight="1" x14ac:dyDescent="0.25">
      <c r="A993" s="487" t="s">
        <v>1799</v>
      </c>
      <c r="B993" s="487">
        <v>4</v>
      </c>
      <c r="C993" s="487">
        <v>76</v>
      </c>
      <c r="D993" s="424" t="s">
        <v>4524</v>
      </c>
      <c r="E993" s="319" t="s">
        <v>6689</v>
      </c>
      <c r="F993" s="198">
        <v>27419</v>
      </c>
      <c r="G993" s="198">
        <v>27440</v>
      </c>
      <c r="H993" s="199">
        <v>4</v>
      </c>
      <c r="I993" s="791">
        <f>TIME(0,24,58)+TIME(0,24,49)+TIME(0,24, 5)+TIME(0,24,37)</f>
        <v>6.8391203703703704E-2</v>
      </c>
      <c r="J993" s="904" t="s">
        <v>1588</v>
      </c>
      <c r="K993" s="200" t="s">
        <v>7083</v>
      </c>
      <c r="L993" s="200" t="s">
        <v>7084</v>
      </c>
      <c r="M993" s="200"/>
      <c r="N993" s="200" t="s">
        <v>1093</v>
      </c>
      <c r="O993" s="200" t="s">
        <v>1717</v>
      </c>
      <c r="P993" s="197" t="s">
        <v>461</v>
      </c>
      <c r="Q993" s="200" t="s">
        <v>3946</v>
      </c>
      <c r="R993" s="201" t="s">
        <v>5280</v>
      </c>
      <c r="S993" s="390" t="s">
        <v>53</v>
      </c>
      <c r="T993" s="197" t="s">
        <v>2606</v>
      </c>
      <c r="U993" s="197"/>
      <c r="V993" s="197"/>
      <c r="W993" s="318" t="s">
        <v>8694</v>
      </c>
      <c r="X993" s="650" t="s">
        <v>12325</v>
      </c>
      <c r="Y993" s="358" t="s">
        <v>6141</v>
      </c>
      <c r="Z993" s="253">
        <v>56</v>
      </c>
      <c r="AA993" s="253">
        <v>8</v>
      </c>
      <c r="AB993" s="35">
        <f t="shared" ca="1" si="17"/>
        <v>0.76580506551168814</v>
      </c>
      <c r="AC993" s="820"/>
      <c r="AD993" s="821" t="s">
        <v>16480</v>
      </c>
      <c r="AE993" s="944" t="s">
        <v>12543</v>
      </c>
      <c r="AF993" s="925">
        <f>IF(X993=X992,AF992,0)+IF(ISNUMBER(I993),IF(I993&lt;1,I993,I993*VLOOKUP(J993,Summary!$H$2:$I$9,2)),VLOOKUP(J993,Summary!$J$2:$K$9,2)*IF(ISNUMBER(H993),H993,1))</f>
        <v>0.30668981481481478</v>
      </c>
      <c r="AG993" s="293">
        <v>992</v>
      </c>
      <c r="AH993" s="94"/>
      <c r="AI993" s="94"/>
    </row>
    <row r="994" spans="1:35" s="22" customFormat="1" ht="12" customHeight="1" x14ac:dyDescent="0.25">
      <c r="A994" s="487" t="s">
        <v>1799</v>
      </c>
      <c r="B994" s="487">
        <v>4</v>
      </c>
      <c r="C994" s="487">
        <v>77</v>
      </c>
      <c r="D994" s="424" t="s">
        <v>1718</v>
      </c>
      <c r="E994" s="319" t="s">
        <v>1719</v>
      </c>
      <c r="F994" s="198">
        <v>27447</v>
      </c>
      <c r="G994" s="198">
        <v>27454</v>
      </c>
      <c r="H994" s="199">
        <v>2</v>
      </c>
      <c r="I994" s="791">
        <f>TIME(0,24,27)+TIME(0,25, 0)</f>
        <v>3.4340277777777775E-2</v>
      </c>
      <c r="J994" s="904" t="s">
        <v>1588</v>
      </c>
      <c r="K994" s="200" t="s">
        <v>7012</v>
      </c>
      <c r="L994" s="200" t="s">
        <v>7084</v>
      </c>
      <c r="M994" s="200"/>
      <c r="N994" s="200" t="s">
        <v>1093</v>
      </c>
      <c r="O994" s="200" t="s">
        <v>1717</v>
      </c>
      <c r="P994" s="197" t="s">
        <v>461</v>
      </c>
      <c r="Q994" s="200" t="s">
        <v>3946</v>
      </c>
      <c r="R994" s="201" t="s">
        <v>5280</v>
      </c>
      <c r="S994" s="390" t="s">
        <v>53</v>
      </c>
      <c r="T994" s="197" t="s">
        <v>2606</v>
      </c>
      <c r="U994" s="197"/>
      <c r="V994" s="197"/>
      <c r="W994" s="318" t="s">
        <v>8695</v>
      </c>
      <c r="X994" s="650" t="s">
        <v>12325</v>
      </c>
      <c r="Y994" s="358" t="s">
        <v>6141</v>
      </c>
      <c r="Z994" s="253">
        <v>204</v>
      </c>
      <c r="AA994" s="253">
        <v>4.5</v>
      </c>
      <c r="AB994" s="35">
        <f t="shared" ca="1" si="17"/>
        <v>0.97258654073437778</v>
      </c>
      <c r="AC994" s="820"/>
      <c r="AD994" s="821" t="s">
        <v>16480</v>
      </c>
      <c r="AE994" s="944" t="s">
        <v>12543</v>
      </c>
      <c r="AF994" s="925">
        <f>IF(X994=X993,AF993,0)+IF(ISNUMBER(I994),IF(I994&lt;1,I994,I994*VLOOKUP(J994,Summary!$H$2:$I$9,2)),VLOOKUP(J994,Summary!$J$2:$K$9,2)*IF(ISNUMBER(H994),H994,1))</f>
        <v>0.34103009259259254</v>
      </c>
      <c r="AG994" s="293">
        <v>993</v>
      </c>
      <c r="AH994" s="94"/>
      <c r="AI994" s="94"/>
    </row>
    <row r="995" spans="1:35" s="26" customFormat="1" ht="12" customHeight="1" x14ac:dyDescent="0.2">
      <c r="A995" s="405"/>
      <c r="B995" s="405" t="s">
        <v>6153</v>
      </c>
      <c r="C995" s="405">
        <v>1</v>
      </c>
      <c r="D995" s="407" t="s">
        <v>5984</v>
      </c>
      <c r="E995" s="315" t="s">
        <v>2220</v>
      </c>
      <c r="F995" s="169">
        <v>38961</v>
      </c>
      <c r="G995" s="170"/>
      <c r="H995" s="170">
        <v>1</v>
      </c>
      <c r="I995" s="746">
        <f>TIME(0,77,0)</f>
        <v>5.3472222222222227E-2</v>
      </c>
      <c r="J995" s="899" t="s">
        <v>4706</v>
      </c>
      <c r="K995" s="167" t="s">
        <v>3237</v>
      </c>
      <c r="L995" s="167" t="s">
        <v>7375</v>
      </c>
      <c r="M995" s="167"/>
      <c r="N995" s="167"/>
      <c r="O995" s="167" t="s">
        <v>5979</v>
      </c>
      <c r="P995" s="168" t="s">
        <v>5978</v>
      </c>
      <c r="Q995" s="167" t="s">
        <v>3947</v>
      </c>
      <c r="R995" s="172" t="s">
        <v>5977</v>
      </c>
      <c r="S995" s="388"/>
      <c r="T995" s="168"/>
      <c r="U995" s="168"/>
      <c r="V995" s="168"/>
      <c r="W995" s="312" t="s">
        <v>9633</v>
      </c>
      <c r="X995" s="644" t="s">
        <v>12325</v>
      </c>
      <c r="Y995" s="352" t="s">
        <v>6141</v>
      </c>
      <c r="Z995" s="353">
        <v>5999</v>
      </c>
      <c r="AA995" s="353"/>
      <c r="AB995" s="31">
        <f t="shared" ca="1" si="17"/>
        <v>0.90940500567032512</v>
      </c>
      <c r="AC995" s="810"/>
      <c r="AD995" s="825" t="s">
        <v>15061</v>
      </c>
      <c r="AE995" s="940" t="s">
        <v>15062</v>
      </c>
      <c r="AF995" s="920">
        <f>IF(X995=X994,AF994,0)+IF(ISNUMBER(I995),IF(I995&lt;1,I995,I995*VLOOKUP(J995,Summary!$H$2:$I$9,2)),VLOOKUP(J995,Summary!$J$2:$K$9,2)*IF(ISNUMBER(H995),H995,1))</f>
        <v>0.39450231481481479</v>
      </c>
      <c r="AG995" s="287">
        <v>994</v>
      </c>
      <c r="AH995" s="94"/>
      <c r="AI995" s="94"/>
    </row>
    <row r="996" spans="1:35" s="43" customFormat="1" ht="12" customHeight="1" x14ac:dyDescent="0.25">
      <c r="A996" s="405"/>
      <c r="B996" s="406" t="s">
        <v>6153</v>
      </c>
      <c r="C996" s="405">
        <v>2</v>
      </c>
      <c r="D996" s="407" t="s">
        <v>5985</v>
      </c>
      <c r="E996" s="315" t="s">
        <v>2221</v>
      </c>
      <c r="F996" s="169">
        <v>38991</v>
      </c>
      <c r="G996" s="170"/>
      <c r="H996" s="170">
        <v>1</v>
      </c>
      <c r="I996" s="746">
        <f>TIME(0,72,0)</f>
        <v>4.9999999999999996E-2</v>
      </c>
      <c r="J996" s="899" t="s">
        <v>4706</v>
      </c>
      <c r="K996" s="167" t="s">
        <v>6877</v>
      </c>
      <c r="L996" s="167" t="s">
        <v>7375</v>
      </c>
      <c r="M996" s="167"/>
      <c r="N996" s="167"/>
      <c r="O996" s="167" t="s">
        <v>5979</v>
      </c>
      <c r="P996" s="168" t="s">
        <v>5980</v>
      </c>
      <c r="Q996" s="167" t="s">
        <v>3947</v>
      </c>
      <c r="R996" s="172" t="s">
        <v>5977</v>
      </c>
      <c r="S996" s="388"/>
      <c r="T996" s="168"/>
      <c r="U996" s="168"/>
      <c r="V996" s="168"/>
      <c r="W996" s="312" t="s">
        <v>9634</v>
      </c>
      <c r="X996" s="644" t="s">
        <v>12325</v>
      </c>
      <c r="Y996" s="352" t="s">
        <v>6141</v>
      </c>
      <c r="Z996" s="353">
        <v>5999</v>
      </c>
      <c r="AA996" s="353"/>
      <c r="AB996" s="31">
        <f t="shared" ca="1" si="17"/>
        <v>0.66941876574586157</v>
      </c>
      <c r="AC996" s="810"/>
      <c r="AD996" s="825" t="s">
        <v>15063</v>
      </c>
      <c r="AE996" s="940" t="s">
        <v>15062</v>
      </c>
      <c r="AF996" s="920">
        <f>IF(X996=X995,AF995,0)+IF(ISNUMBER(I996),IF(I996&lt;1,I996,I996*VLOOKUP(J996,Summary!$H$2:$I$9,2)),VLOOKUP(J996,Summary!$J$2:$K$9,2)*IF(ISNUMBER(H996),H996,1))</f>
        <v>0.44450231481481478</v>
      </c>
      <c r="AG996" s="287">
        <v>995</v>
      </c>
      <c r="AH996" s="94"/>
      <c r="AI996" s="94"/>
    </row>
    <row r="997" spans="1:35" s="142" customFormat="1" ht="12" customHeight="1" x14ac:dyDescent="0.25">
      <c r="A997" s="405"/>
      <c r="B997" s="406" t="s">
        <v>6153</v>
      </c>
      <c r="C997" s="405">
        <v>3</v>
      </c>
      <c r="D997" s="407" t="s">
        <v>5986</v>
      </c>
      <c r="E997" s="315" t="s">
        <v>2222</v>
      </c>
      <c r="F997" s="169">
        <v>39022</v>
      </c>
      <c r="G997" s="170"/>
      <c r="H997" s="170">
        <v>1</v>
      </c>
      <c r="I997" s="746">
        <f>TIME(0,65,0)</f>
        <v>4.5138888888888888E-2</v>
      </c>
      <c r="J997" s="899" t="s">
        <v>4706</v>
      </c>
      <c r="K997" s="167" t="s">
        <v>2311</v>
      </c>
      <c r="L997" s="167" t="s">
        <v>7375</v>
      </c>
      <c r="M997" s="167"/>
      <c r="N997" s="167"/>
      <c r="O997" s="167" t="s">
        <v>5979</v>
      </c>
      <c r="P997" s="168" t="s">
        <v>5981</v>
      </c>
      <c r="Q997" s="167" t="s">
        <v>3947</v>
      </c>
      <c r="R997" s="172" t="s">
        <v>5977</v>
      </c>
      <c r="S997" s="388"/>
      <c r="T997" s="168"/>
      <c r="U997" s="168"/>
      <c r="V997" s="168"/>
      <c r="W997" s="312" t="s">
        <v>9635</v>
      </c>
      <c r="X997" s="644" t="s">
        <v>12325</v>
      </c>
      <c r="Y997" s="352" t="s">
        <v>6141</v>
      </c>
      <c r="Z997" s="353">
        <v>5999</v>
      </c>
      <c r="AA997" s="353"/>
      <c r="AB997" s="31">
        <f t="shared" ca="1" si="17"/>
        <v>0.90097326146782786</v>
      </c>
      <c r="AC997" s="810"/>
      <c r="AD997" s="825" t="s">
        <v>15064</v>
      </c>
      <c r="AE997" s="940" t="s">
        <v>15062</v>
      </c>
      <c r="AF997" s="920">
        <f>IF(X997=X996,AF996,0)+IF(ISNUMBER(I997),IF(I997&lt;1,I997,I997*VLOOKUP(J997,Summary!$H$2:$I$9,2)),VLOOKUP(J997,Summary!$J$2:$K$9,2)*IF(ISNUMBER(H997),H997,1))</f>
        <v>0.48964120370370368</v>
      </c>
      <c r="AG997" s="287">
        <v>996</v>
      </c>
      <c r="AH997" s="94"/>
      <c r="AI997" s="94"/>
    </row>
    <row r="998" spans="1:35" s="43" customFormat="1" ht="12" customHeight="1" x14ac:dyDescent="0.25">
      <c r="A998" s="405"/>
      <c r="B998" s="406" t="s">
        <v>6153</v>
      </c>
      <c r="C998" s="405">
        <v>4</v>
      </c>
      <c r="D998" s="407" t="s">
        <v>5987</v>
      </c>
      <c r="E998" s="315" t="s">
        <v>2223</v>
      </c>
      <c r="F998" s="169">
        <v>39052</v>
      </c>
      <c r="G998" s="170"/>
      <c r="H998" s="170">
        <v>1</v>
      </c>
      <c r="I998" s="746">
        <f>TIME(0,65,0)</f>
        <v>4.5138888888888888E-2</v>
      </c>
      <c r="J998" s="899" t="s">
        <v>4706</v>
      </c>
      <c r="K998" s="167" t="s">
        <v>5982</v>
      </c>
      <c r="L998" s="167" t="s">
        <v>7375</v>
      </c>
      <c r="M998" s="167"/>
      <c r="N998" s="167"/>
      <c r="O998" s="167" t="s">
        <v>5979</v>
      </c>
      <c r="P998" s="168" t="s">
        <v>5983</v>
      </c>
      <c r="Q998" s="167" t="s">
        <v>3947</v>
      </c>
      <c r="R998" s="172" t="s">
        <v>5977</v>
      </c>
      <c r="S998" s="388"/>
      <c r="T998" s="168"/>
      <c r="U998" s="168"/>
      <c r="V998" s="168"/>
      <c r="W998" s="312" t="s">
        <v>9636</v>
      </c>
      <c r="X998" s="644" t="s">
        <v>12325</v>
      </c>
      <c r="Y998" s="352" t="s">
        <v>6141</v>
      </c>
      <c r="Z998" s="353">
        <v>5999</v>
      </c>
      <c r="AA998" s="353"/>
      <c r="AB998" s="31">
        <f t="shared" ca="1" si="17"/>
        <v>0.87798401602262266</v>
      </c>
      <c r="AC998" s="810"/>
      <c r="AD998" s="825" t="s">
        <v>15065</v>
      </c>
      <c r="AE998" s="940" t="s">
        <v>15062</v>
      </c>
      <c r="AF998" s="920">
        <f>IF(X998=X997,AF997,0)+IF(ISNUMBER(I998),IF(I998&lt;1,I998,I998*VLOOKUP(J998,Summary!$H$2:$I$9,2)),VLOOKUP(J998,Summary!$J$2:$K$9,2)*IF(ISNUMBER(H998),H998,1))</f>
        <v>0.53478009259259252</v>
      </c>
      <c r="AG998" s="287">
        <v>997</v>
      </c>
      <c r="AH998" s="94"/>
      <c r="AI998" s="94"/>
    </row>
    <row r="999" spans="1:35" s="29" customFormat="1" ht="12" customHeight="1" x14ac:dyDescent="0.25">
      <c r="A999" s="487" t="s">
        <v>1799</v>
      </c>
      <c r="B999" s="487">
        <v>4</v>
      </c>
      <c r="C999" s="487">
        <v>78</v>
      </c>
      <c r="D999" s="424" t="s">
        <v>1720</v>
      </c>
      <c r="E999" s="319" t="s">
        <v>2155</v>
      </c>
      <c r="F999" s="198">
        <v>27461</v>
      </c>
      <c r="G999" s="198">
        <v>27496</v>
      </c>
      <c r="H999" s="199">
        <v>6</v>
      </c>
      <c r="I999" s="791">
        <f>TIME(0,24,30)+TIME(0,24,51)+TIME(0,22,38)+TIME(0,23,38)+TIME(0,23,37)+TIME(0,23,30)</f>
        <v>9.9120370370370359E-2</v>
      </c>
      <c r="J999" s="904" t="s">
        <v>1588</v>
      </c>
      <c r="K999" s="200" t="s">
        <v>6148</v>
      </c>
      <c r="L999" s="200" t="s">
        <v>6125</v>
      </c>
      <c r="M999" s="200"/>
      <c r="N999" s="200" t="s">
        <v>1093</v>
      </c>
      <c r="O999" s="200" t="s">
        <v>1717</v>
      </c>
      <c r="P999" s="197" t="s">
        <v>461</v>
      </c>
      <c r="Q999" s="200" t="s">
        <v>3946</v>
      </c>
      <c r="R999" s="201" t="s">
        <v>5280</v>
      </c>
      <c r="S999" s="390" t="s">
        <v>53</v>
      </c>
      <c r="T999" s="197" t="s">
        <v>2606</v>
      </c>
      <c r="U999" s="197"/>
      <c r="V999" s="197"/>
      <c r="W999" s="318" t="s">
        <v>8696</v>
      </c>
      <c r="X999" s="650" t="s">
        <v>12325</v>
      </c>
      <c r="Y999" s="358" t="s">
        <v>6141</v>
      </c>
      <c r="Z999" s="253">
        <v>48</v>
      </c>
      <c r="AA999" s="253">
        <v>8.5</v>
      </c>
      <c r="AB999" s="35">
        <f t="shared" ca="1" si="17"/>
        <v>0.14958785600801161</v>
      </c>
      <c r="AC999" s="820"/>
      <c r="AD999" s="824" t="s">
        <v>15066</v>
      </c>
      <c r="AE999" s="944" t="s">
        <v>3365</v>
      </c>
      <c r="AF999" s="925">
        <f>IF(X999=X998,AF998,0)+IF(ISNUMBER(I999),IF(I999&lt;1,I999,I999*VLOOKUP(J999,Summary!$H$2:$I$9,2)),VLOOKUP(J999,Summary!$J$2:$K$9,2)*IF(ISNUMBER(H999),H999,1))</f>
        <v>0.63390046296296287</v>
      </c>
      <c r="AG999" s="293">
        <v>998</v>
      </c>
      <c r="AH999" s="94"/>
      <c r="AI999" s="94"/>
    </row>
    <row r="1000" spans="1:35" s="43" customFormat="1" ht="12" customHeight="1" x14ac:dyDescent="0.25">
      <c r="A1000" s="492" t="s">
        <v>1799</v>
      </c>
      <c r="B1000" s="492">
        <v>4</v>
      </c>
      <c r="C1000" s="492">
        <v>31</v>
      </c>
      <c r="D1000" s="417" t="s">
        <v>2156</v>
      </c>
      <c r="E1000" s="316" t="s">
        <v>2157</v>
      </c>
      <c r="F1000" s="187">
        <v>35462</v>
      </c>
      <c r="G1000" s="188"/>
      <c r="H1000" s="188" t="str">
        <f>IF(J1000="Book","n/a","")</f>
        <v>n/a</v>
      </c>
      <c r="I1000" s="188">
        <v>256</v>
      </c>
      <c r="J1000" s="902" t="s">
        <v>6868</v>
      </c>
      <c r="K1000" s="162" t="s">
        <v>181</v>
      </c>
      <c r="L1000" s="162" t="str">
        <f>IF(J1000="Book","n/a","")</f>
        <v>n/a</v>
      </c>
      <c r="M1000" s="162"/>
      <c r="N1000" s="162"/>
      <c r="O1000" s="162"/>
      <c r="P1000" s="178" t="s">
        <v>8615</v>
      </c>
      <c r="Q1000" s="162" t="s">
        <v>601</v>
      </c>
      <c r="R1000" s="189" t="s">
        <v>2715</v>
      </c>
      <c r="S1000" s="366" t="s">
        <v>53</v>
      </c>
      <c r="T1000" s="178" t="s">
        <v>2606</v>
      </c>
      <c r="U1000" s="178"/>
      <c r="V1000" s="178"/>
      <c r="W1000" s="316" t="s">
        <v>2157</v>
      </c>
      <c r="X1000" s="648" t="s">
        <v>12325</v>
      </c>
      <c r="Y1000" s="356"/>
      <c r="Z1000" s="272"/>
      <c r="AA1000" s="272"/>
      <c r="AB1000" s="34">
        <f t="shared" ca="1" si="17"/>
        <v>0.63067017390633917</v>
      </c>
      <c r="AC1000" s="814"/>
      <c r="AD1000" s="815" t="s">
        <v>16379</v>
      </c>
      <c r="AE1000" s="942" t="s">
        <v>3365</v>
      </c>
      <c r="AF1000" s="923">
        <f>IF(X1000=X999,AF999,0)+IF(ISNUMBER(I1000),IF(I1000&lt;1,I1000,I1000*VLOOKUP(J1000,Summary!$H$2:$I$9,2)),VLOOKUP(J1000,Summary!$J$2:$K$9,2)*IF(ISNUMBER(H1000),H1000,1))</f>
        <v>0.81167824074074069</v>
      </c>
      <c r="AG1000" s="291">
        <v>999</v>
      </c>
      <c r="AH1000" s="94"/>
      <c r="AI1000" s="94"/>
    </row>
    <row r="1001" spans="1:35" s="22" customFormat="1" ht="12" customHeight="1" x14ac:dyDescent="0.25">
      <c r="A1001" s="490">
        <v>12</v>
      </c>
      <c r="B1001" s="490">
        <v>4</v>
      </c>
      <c r="C1001" s="490">
        <v>29.09</v>
      </c>
      <c r="D1001" s="176" t="s">
        <v>959</v>
      </c>
      <c r="E1001" s="313" t="s">
        <v>5065</v>
      </c>
      <c r="F1001" s="174">
        <v>39692</v>
      </c>
      <c r="G1001" s="174"/>
      <c r="H1001" s="176" t="s">
        <v>461</v>
      </c>
      <c r="I1001" s="176">
        <v>10</v>
      </c>
      <c r="J1001" s="900" t="s">
        <v>2755</v>
      </c>
      <c r="K1001" s="164" t="s">
        <v>5066</v>
      </c>
      <c r="L1001" s="164" t="s">
        <v>461</v>
      </c>
      <c r="M1001" s="164"/>
      <c r="N1001" s="164" t="s">
        <v>5664</v>
      </c>
      <c r="O1001" s="164"/>
      <c r="P1001" s="173" t="s">
        <v>6707</v>
      </c>
      <c r="Q1001" s="164" t="s">
        <v>3947</v>
      </c>
      <c r="R1001" s="177" t="s">
        <v>2723</v>
      </c>
      <c r="S1001" s="354" t="s">
        <v>53</v>
      </c>
      <c r="T1001" s="173" t="s">
        <v>2606</v>
      </c>
      <c r="U1001" s="173"/>
      <c r="V1001" s="173"/>
      <c r="W1001" s="313" t="s">
        <v>5065</v>
      </c>
      <c r="X1001" s="645" t="s">
        <v>12325</v>
      </c>
      <c r="Y1001" s="354"/>
      <c r="Z1001" s="176"/>
      <c r="AA1001" s="176"/>
      <c r="AB1001" s="32">
        <f t="shared" ca="1" si="17"/>
        <v>0.51745706978303352</v>
      </c>
      <c r="AC1001" s="812"/>
      <c r="AD1001" s="763"/>
      <c r="AE1001" s="807"/>
      <c r="AF1001" s="921">
        <f>IF(X1001=X1000,AF1000,0)+IF(ISNUMBER(I1001),IF(I1001&lt;1,I1001,I1001*VLOOKUP(J1001,Summary!$H$2:$I$9,2)),VLOOKUP(J1001,Summary!$J$2:$K$9,2)*IF(ISNUMBER(H1001),H1001,1))</f>
        <v>0.81862268518518511</v>
      </c>
      <c r="AG1001" s="289">
        <v>1000</v>
      </c>
      <c r="AH1001" s="94"/>
      <c r="AI1001" s="94"/>
    </row>
    <row r="1002" spans="1:35" s="2" customFormat="1" ht="12" customHeight="1" x14ac:dyDescent="0.25">
      <c r="A1002" s="487" t="s">
        <v>1799</v>
      </c>
      <c r="B1002" s="487">
        <v>4</v>
      </c>
      <c r="C1002" s="487">
        <v>79</v>
      </c>
      <c r="D1002" s="424" t="s">
        <v>2158</v>
      </c>
      <c r="E1002" s="319" t="s">
        <v>2159</v>
      </c>
      <c r="F1002" s="198">
        <v>27503</v>
      </c>
      <c r="G1002" s="198">
        <v>27524</v>
      </c>
      <c r="H1002" s="199">
        <v>4</v>
      </c>
      <c r="I1002" s="791">
        <f>TIME(0,24,19)+TIME(0,24,24)+TIME(0,24,32)+TIME(0,23,21)</f>
        <v>6.7083333333333328E-2</v>
      </c>
      <c r="J1002" s="904" t="s">
        <v>1588</v>
      </c>
      <c r="K1002" s="200" t="s">
        <v>5405</v>
      </c>
      <c r="L1002" s="200" t="s">
        <v>7015</v>
      </c>
      <c r="M1002" s="200"/>
      <c r="N1002" s="200" t="s">
        <v>1093</v>
      </c>
      <c r="O1002" s="200" t="s">
        <v>1717</v>
      </c>
      <c r="P1002" s="197" t="s">
        <v>461</v>
      </c>
      <c r="Q1002" s="200" t="s">
        <v>3946</v>
      </c>
      <c r="R1002" s="201" t="s">
        <v>5280</v>
      </c>
      <c r="S1002" s="390" t="s">
        <v>53</v>
      </c>
      <c r="T1002" s="197" t="s">
        <v>2606</v>
      </c>
      <c r="U1002" s="197"/>
      <c r="V1002" s="197"/>
      <c r="W1002" s="318" t="s">
        <v>8697</v>
      </c>
      <c r="X1002" s="650" t="s">
        <v>12325</v>
      </c>
      <c r="Y1002" s="358" t="s">
        <v>6141</v>
      </c>
      <c r="Z1002" s="253">
        <v>210</v>
      </c>
      <c r="AA1002" s="253">
        <v>4.5</v>
      </c>
      <c r="AB1002" s="35">
        <f t="shared" ca="1" si="17"/>
        <v>0.16968069027339372</v>
      </c>
      <c r="AC1002" s="820"/>
      <c r="AD1002" s="821" t="s">
        <v>16317</v>
      </c>
      <c r="AE1002" s="944" t="s">
        <v>3365</v>
      </c>
      <c r="AF1002" s="925">
        <f>IF(X1002=X1001,AF1001,0)+IF(ISNUMBER(I1002),IF(I1002&lt;1,I1002,I1002*VLOOKUP(J1002,Summary!$H$2:$I$9,2)),VLOOKUP(J1002,Summary!$J$2:$K$9,2)*IF(ISNUMBER(H1002),H1002,1))</f>
        <v>0.88570601851851838</v>
      </c>
      <c r="AG1002" s="293">
        <v>1001</v>
      </c>
      <c r="AH1002" s="94"/>
      <c r="AI1002" s="94"/>
    </row>
    <row r="1003" spans="1:35" s="2" customFormat="1" ht="12" customHeight="1" x14ac:dyDescent="0.25">
      <c r="A1003" s="458"/>
      <c r="B1003" s="457" t="s">
        <v>2650</v>
      </c>
      <c r="C1003" s="458"/>
      <c r="D1003" s="493" t="s">
        <v>1588</v>
      </c>
      <c r="E1003" s="333" t="s">
        <v>6257</v>
      </c>
      <c r="F1003" s="233">
        <v>31778</v>
      </c>
      <c r="G1003" s="233"/>
      <c r="H1003" s="226">
        <v>1</v>
      </c>
      <c r="I1003" s="793">
        <f>TIME(0,35,28)</f>
        <v>2.462962962962963E-2</v>
      </c>
      <c r="J1003" s="907" t="s">
        <v>1588</v>
      </c>
      <c r="K1003" s="165" t="s">
        <v>6258</v>
      </c>
      <c r="L1003" s="165" t="s">
        <v>6259</v>
      </c>
      <c r="M1003" s="165"/>
      <c r="N1003" s="165"/>
      <c r="O1003" s="165" t="s">
        <v>6259</v>
      </c>
      <c r="P1003" s="225" t="s">
        <v>461</v>
      </c>
      <c r="Q1003" s="165" t="s">
        <v>602</v>
      </c>
      <c r="R1003" s="234" t="s">
        <v>6989</v>
      </c>
      <c r="S1003" s="369"/>
      <c r="T1003" s="225"/>
      <c r="U1003" s="225" t="s">
        <v>2600</v>
      </c>
      <c r="V1003" s="225"/>
      <c r="W1003" s="333" t="s">
        <v>6257</v>
      </c>
      <c r="X1003" s="665" t="s">
        <v>12325</v>
      </c>
      <c r="Y1003" s="372"/>
      <c r="Z1003" s="269"/>
      <c r="AA1003" s="269"/>
      <c r="AB1003" s="38">
        <f t="shared" ca="1" si="17"/>
        <v>0.56233459956553822</v>
      </c>
      <c r="AC1003" s="830"/>
      <c r="AD1003" s="831"/>
      <c r="AE1003" s="953"/>
      <c r="AF1003" s="928">
        <f>IF(X1003=X1002,AF1002,0)+IF(ISNUMBER(I1003),IF(I1003&lt;1,I1003,I1003*VLOOKUP(J1003,Summary!$H$2:$I$9,2)),VLOOKUP(J1003,Summary!$J$2:$K$9,2)*IF(ISNUMBER(H1003),H1003,1))</f>
        <v>0.91033564814814805</v>
      </c>
      <c r="AG1003" s="300">
        <v>1002</v>
      </c>
      <c r="AH1003" s="94"/>
      <c r="AI1003" s="94"/>
    </row>
    <row r="1004" spans="1:35" s="22" customFormat="1" ht="12" customHeight="1" x14ac:dyDescent="0.2">
      <c r="A1004" s="488" t="s">
        <v>15654</v>
      </c>
      <c r="B1004" s="488">
        <v>4</v>
      </c>
      <c r="C1004" s="488">
        <v>79</v>
      </c>
      <c r="D1004" s="185" t="s">
        <v>4861</v>
      </c>
      <c r="E1004" s="314" t="s">
        <v>4862</v>
      </c>
      <c r="F1004" s="184">
        <v>35109</v>
      </c>
      <c r="G1004" s="184">
        <v>35165</v>
      </c>
      <c r="H1004" s="185">
        <v>3</v>
      </c>
      <c r="I1004" s="185">
        <v>21</v>
      </c>
      <c r="J1004" s="901" t="s">
        <v>1796</v>
      </c>
      <c r="K1004" s="163" t="s">
        <v>7375</v>
      </c>
      <c r="L1004" s="163" t="s">
        <v>4863</v>
      </c>
      <c r="M1004" s="163"/>
      <c r="N1004" s="163" t="s">
        <v>2750</v>
      </c>
      <c r="O1004" s="163"/>
      <c r="P1004" s="182" t="s">
        <v>461</v>
      </c>
      <c r="Q1004" s="163" t="s">
        <v>4062</v>
      </c>
      <c r="R1004" s="186" t="s">
        <v>5266</v>
      </c>
      <c r="S1004" s="355" t="s">
        <v>53</v>
      </c>
      <c r="T1004" s="182" t="s">
        <v>2606</v>
      </c>
      <c r="U1004" s="182"/>
      <c r="V1004" s="182"/>
      <c r="W1004" s="328"/>
      <c r="X1004" s="660" t="s">
        <v>12325</v>
      </c>
      <c r="Y1004" s="355"/>
      <c r="Z1004" s="185"/>
      <c r="AA1004" s="185"/>
      <c r="AB1004" s="33">
        <f t="shared" ca="1" si="17"/>
        <v>0.32357248840720643</v>
      </c>
      <c r="AC1004" s="813"/>
      <c r="AD1004" s="211" t="s">
        <v>16105</v>
      </c>
      <c r="AE1004" s="941"/>
      <c r="AF1004" s="922">
        <f>IF(X1004=X1003,AF1003,0)+IF(ISNUMBER(I1004),IF(I1004&lt;1,I1004,I1004*VLOOKUP(J1004,Summary!$H$2:$I$9,2)),VLOOKUP(J1004,Summary!$J$2:$K$9,2)*IF(ISNUMBER(H1004),H1004,1))</f>
        <v>0.91762731481481474</v>
      </c>
      <c r="AG1004" s="290">
        <v>1003</v>
      </c>
      <c r="AH1004" s="94"/>
      <c r="AI1004" s="94"/>
    </row>
    <row r="1005" spans="1:35" s="9" customFormat="1" ht="12" customHeight="1" x14ac:dyDescent="0.25">
      <c r="A1005" s="490" t="s">
        <v>15654</v>
      </c>
      <c r="B1005" s="490">
        <v>4</v>
      </c>
      <c r="C1005" s="490">
        <v>23.09</v>
      </c>
      <c r="D1005" s="434" t="s">
        <v>2225</v>
      </c>
      <c r="E1005" s="324" t="s">
        <v>2224</v>
      </c>
      <c r="F1005" s="174">
        <v>39234</v>
      </c>
      <c r="G1005" s="175"/>
      <c r="H1005" s="176">
        <v>1</v>
      </c>
      <c r="I1005" s="176">
        <v>12</v>
      </c>
      <c r="J1005" s="900" t="s">
        <v>2755</v>
      </c>
      <c r="K1005" s="157" t="s">
        <v>2226</v>
      </c>
      <c r="L1005" s="157" t="s">
        <v>461</v>
      </c>
      <c r="M1005" s="157"/>
      <c r="N1005" s="157" t="s">
        <v>804</v>
      </c>
      <c r="O1005" s="157"/>
      <c r="P1005" s="173" t="s">
        <v>6700</v>
      </c>
      <c r="Q1005" s="157" t="s">
        <v>3947</v>
      </c>
      <c r="R1005" s="179" t="s">
        <v>2723</v>
      </c>
      <c r="S1005" s="354" t="s">
        <v>53</v>
      </c>
      <c r="T1005" s="173" t="s">
        <v>2606</v>
      </c>
      <c r="U1005" s="173"/>
      <c r="V1005" s="173"/>
      <c r="W1005" s="324" t="s">
        <v>2224</v>
      </c>
      <c r="X1005" s="656" t="s">
        <v>12325</v>
      </c>
      <c r="Y1005" s="363"/>
      <c r="Z1005" s="364"/>
      <c r="AA1005" s="364"/>
      <c r="AB1005" s="32">
        <f t="shared" ca="1" si="17"/>
        <v>0.97343770069128677</v>
      </c>
      <c r="AC1005" s="812"/>
      <c r="AD1005" s="763"/>
      <c r="AE1005" s="951"/>
      <c r="AF1005" s="921">
        <f>IF(X1005=X1004,AF1004,0)+IF(ISNUMBER(I1005),IF(I1005&lt;1,I1005,I1005*VLOOKUP(J1005,Summary!$H$2:$I$9,2)),VLOOKUP(J1005,Summary!$J$2:$K$9,2)*IF(ISNUMBER(H1005),H1005,1))</f>
        <v>0.92596064814814805</v>
      </c>
      <c r="AG1005" s="288">
        <v>1004</v>
      </c>
      <c r="AH1005" s="94"/>
      <c r="AI1005" s="94"/>
    </row>
    <row r="1006" spans="1:35" s="22" customFormat="1" ht="12" customHeight="1" x14ac:dyDescent="0.25">
      <c r="A1006" s="492" t="s">
        <v>15654</v>
      </c>
      <c r="B1006" s="492">
        <v>4</v>
      </c>
      <c r="C1006" s="492">
        <v>62</v>
      </c>
      <c r="D1006" s="417" t="s">
        <v>2161</v>
      </c>
      <c r="E1006" s="316" t="s">
        <v>2162</v>
      </c>
      <c r="F1006" s="187">
        <v>37865</v>
      </c>
      <c r="G1006" s="188"/>
      <c r="H1006" s="188" t="str">
        <f>IF(J1006="Book","n/a","")</f>
        <v>n/a</v>
      </c>
      <c r="I1006" s="188">
        <v>245</v>
      </c>
      <c r="J1006" s="902" t="s">
        <v>6868</v>
      </c>
      <c r="K1006" s="162" t="s">
        <v>4552</v>
      </c>
      <c r="L1006" s="162" t="str">
        <f>IF(J1006="Book","n/a","")</f>
        <v>n/a</v>
      </c>
      <c r="M1006" s="162"/>
      <c r="N1006" s="162"/>
      <c r="O1006" s="162"/>
      <c r="P1006" s="178" t="s">
        <v>8986</v>
      </c>
      <c r="Q1006" s="162" t="s">
        <v>3953</v>
      </c>
      <c r="R1006" s="189" t="s">
        <v>2717</v>
      </c>
      <c r="S1006" s="366" t="s">
        <v>53</v>
      </c>
      <c r="T1006" s="178" t="s">
        <v>2606</v>
      </c>
      <c r="U1006" s="178"/>
      <c r="V1006" s="178"/>
      <c r="W1006" s="316" t="s">
        <v>2162</v>
      </c>
      <c r="X1006" s="648" t="s">
        <v>12325</v>
      </c>
      <c r="Y1006" s="356"/>
      <c r="Z1006" s="272">
        <v>119</v>
      </c>
      <c r="AA1006" s="272">
        <v>5</v>
      </c>
      <c r="AB1006" s="34">
        <f t="shared" ca="1" si="17"/>
        <v>0.72396710374039253</v>
      </c>
      <c r="AC1006" s="814"/>
      <c r="AD1006" s="815" t="s">
        <v>16712</v>
      </c>
      <c r="AE1006" s="942" t="s">
        <v>16629</v>
      </c>
      <c r="AF1006" s="923">
        <f>IF(X1006=X1005,AF1005,0)+IF(ISNUMBER(I1006),IF(I1006&lt;1,I1006,I1006*VLOOKUP(J1006,Summary!$H$2:$I$9,2)),VLOOKUP(J1006,Summary!$J$2:$K$9,2)*IF(ISNUMBER(H1006),H1006,1))</f>
        <v>1.096099537037037</v>
      </c>
      <c r="AG1006" s="291">
        <v>1005</v>
      </c>
      <c r="AH1006" s="94"/>
      <c r="AI1006" s="94"/>
    </row>
    <row r="1007" spans="1:35" s="22" customFormat="1" ht="12" customHeight="1" x14ac:dyDescent="0.25">
      <c r="A1007" s="485" t="s">
        <v>15654</v>
      </c>
      <c r="B1007" s="485">
        <v>4</v>
      </c>
      <c r="C1007" s="485">
        <v>4</v>
      </c>
      <c r="D1007" s="192" t="s">
        <v>12641</v>
      </c>
      <c r="E1007" s="317" t="s">
        <v>12642</v>
      </c>
      <c r="F1007" s="209">
        <v>42985</v>
      </c>
      <c r="G1007" s="192"/>
      <c r="H1007" s="192" t="s">
        <v>461</v>
      </c>
      <c r="I1007" s="192"/>
      <c r="J1007" s="903" t="s">
        <v>2755</v>
      </c>
      <c r="K1007" s="194" t="s">
        <v>7798</v>
      </c>
      <c r="L1007" s="194" t="s">
        <v>12629</v>
      </c>
      <c r="M1007" s="194" t="s">
        <v>12643</v>
      </c>
      <c r="N1007" s="194"/>
      <c r="O1007" s="194"/>
      <c r="P1007" s="190" t="s">
        <v>12632</v>
      </c>
      <c r="Q1007" s="194" t="s">
        <v>3954</v>
      </c>
      <c r="R1007" s="193" t="s">
        <v>12631</v>
      </c>
      <c r="S1007" s="357" t="s">
        <v>53</v>
      </c>
      <c r="T1007" s="190" t="s">
        <v>2606</v>
      </c>
      <c r="U1007" s="190"/>
      <c r="V1007" s="190"/>
      <c r="W1007" s="317" t="s">
        <v>12637</v>
      </c>
      <c r="X1007" s="662" t="s">
        <v>12325</v>
      </c>
      <c r="Y1007" s="357"/>
      <c r="Z1007" s="192"/>
      <c r="AA1007" s="192"/>
      <c r="AB1007" s="37">
        <f t="shared" ca="1" si="17"/>
        <v>0.54305077377474298</v>
      </c>
      <c r="AC1007" s="816"/>
      <c r="AD1007" s="817"/>
      <c r="AE1007" s="943"/>
      <c r="AF1007" s="924">
        <f>IF(X1007=X1006,AF1006,0)+IF(ISNUMBER(I1007),IF(I1007&lt;1,I1007,I1007*VLOOKUP(J1007,Summary!$H$2:$I$9,2)),VLOOKUP(J1007,Summary!$J$2:$K$9,2)*IF(ISNUMBER(H1007),H1007,1))</f>
        <v>1.1134606481481482</v>
      </c>
      <c r="AG1007" s="292">
        <v>1006</v>
      </c>
      <c r="AH1007" s="94"/>
      <c r="AI1007" s="94"/>
    </row>
    <row r="1008" spans="1:35" s="22" customFormat="1" ht="12" customHeight="1" x14ac:dyDescent="0.25">
      <c r="A1008" s="487" t="s">
        <v>15654</v>
      </c>
      <c r="B1008" s="487">
        <v>4</v>
      </c>
      <c r="C1008" s="487">
        <v>80</v>
      </c>
      <c r="D1008" s="424" t="s">
        <v>2163</v>
      </c>
      <c r="E1008" s="319" t="s">
        <v>2164</v>
      </c>
      <c r="F1008" s="198">
        <v>27636</v>
      </c>
      <c r="G1008" s="198">
        <v>27657</v>
      </c>
      <c r="H1008" s="199">
        <v>4</v>
      </c>
      <c r="I1008" s="791">
        <f>TIME(0,21,41)+TIME(0,25, 8)+TIME(0,24, 9)+TIME(0,25,22)</f>
        <v>6.6898148148148151E-2</v>
      </c>
      <c r="J1008" s="904" t="s">
        <v>1588</v>
      </c>
      <c r="K1008" s="200" t="s">
        <v>2165</v>
      </c>
      <c r="L1008" s="200" t="s">
        <v>3211</v>
      </c>
      <c r="M1008" s="200"/>
      <c r="N1008" s="200" t="s">
        <v>1093</v>
      </c>
      <c r="O1008" s="200" t="s">
        <v>1717</v>
      </c>
      <c r="P1008" s="197" t="s">
        <v>461</v>
      </c>
      <c r="Q1008" s="200" t="s">
        <v>3946</v>
      </c>
      <c r="R1008" s="201" t="s">
        <v>5280</v>
      </c>
      <c r="S1008" s="390" t="s">
        <v>53</v>
      </c>
      <c r="T1008" s="197" t="s">
        <v>2606</v>
      </c>
      <c r="U1008" s="197" t="s">
        <v>2597</v>
      </c>
      <c r="V1008" s="197" t="s">
        <v>2600</v>
      </c>
      <c r="W1008" s="318" t="s">
        <v>8698</v>
      </c>
      <c r="X1008" s="650" t="s">
        <v>12325</v>
      </c>
      <c r="Y1008" s="358" t="s">
        <v>6141</v>
      </c>
      <c r="Z1008" s="253">
        <v>137</v>
      </c>
      <c r="AA1008" s="253">
        <v>6</v>
      </c>
      <c r="AB1008" s="35">
        <f t="shared" ca="1" si="17"/>
        <v>6.0509663727119856E-2</v>
      </c>
      <c r="AC1008" s="820"/>
      <c r="AD1008" s="821" t="s">
        <v>14970</v>
      </c>
      <c r="AE1008" s="944" t="s">
        <v>12552</v>
      </c>
      <c r="AF1008" s="925">
        <f>IF(X1008=X1007,AF1007,0)+IF(ISNUMBER(I1008),IF(I1008&lt;1,I1008,I1008*VLOOKUP(J1008,Summary!$H$2:$I$9,2)),VLOOKUP(J1008,Summary!$J$2:$K$9,2)*IF(ISNUMBER(H1008),H1008,1))</f>
        <v>1.1803587962962963</v>
      </c>
      <c r="AG1008" s="293">
        <v>1007</v>
      </c>
      <c r="AH1008" s="94"/>
      <c r="AI1008" s="94"/>
    </row>
    <row r="1009" spans="1:35" s="2" customFormat="1" ht="12" customHeight="1" x14ac:dyDescent="0.25">
      <c r="A1009" s="411"/>
      <c r="B1009" s="411" t="s">
        <v>2650</v>
      </c>
      <c r="C1009" s="411">
        <v>23</v>
      </c>
      <c r="D1009" s="185" t="s">
        <v>9984</v>
      </c>
      <c r="E1009" s="314" t="s">
        <v>9955</v>
      </c>
      <c r="F1009" s="183">
        <v>29891</v>
      </c>
      <c r="G1009" s="183">
        <v>29921</v>
      </c>
      <c r="H1009" s="185">
        <v>2</v>
      </c>
      <c r="I1009" s="185">
        <v>8</v>
      </c>
      <c r="J1009" s="901" t="s">
        <v>1796</v>
      </c>
      <c r="K1009" s="163" t="s">
        <v>9985</v>
      </c>
      <c r="L1009" s="163" t="s">
        <v>7161</v>
      </c>
      <c r="M1009" s="163"/>
      <c r="N1009" s="163" t="s">
        <v>6026</v>
      </c>
      <c r="O1009" s="163"/>
      <c r="P1009" s="182" t="s">
        <v>461</v>
      </c>
      <c r="Q1009" s="163" t="s">
        <v>4062</v>
      </c>
      <c r="R1009" s="186" t="s">
        <v>9922</v>
      </c>
      <c r="S1009" s="355"/>
      <c r="T1009" s="182"/>
      <c r="U1009" s="182"/>
      <c r="V1009" s="182"/>
      <c r="W1009" s="314"/>
      <c r="X1009" s="646" t="s">
        <v>12325</v>
      </c>
      <c r="Y1009" s="355"/>
      <c r="Z1009" s="158"/>
      <c r="AA1009" s="185"/>
      <c r="AB1009" s="33">
        <f t="shared" ca="1" si="17"/>
        <v>0.30574259921281544</v>
      </c>
      <c r="AC1009" s="813"/>
      <c r="AD1009" s="211" t="s">
        <v>16023</v>
      </c>
      <c r="AE1009" s="941"/>
      <c r="AF1009" s="922">
        <f>IF(X1009=X1008,AF1008,0)+IF(ISNUMBER(I1009),IF(I1009&lt;1,I1009,I1009*VLOOKUP(J1009,Summary!$H$2:$I$9,2)),VLOOKUP(J1009,Summary!$J$2:$K$9,2)*IF(ISNUMBER(H1009),H1009,1))</f>
        <v>1.183136574074074</v>
      </c>
      <c r="AG1009" s="290">
        <v>1008</v>
      </c>
      <c r="AH1009" s="94"/>
      <c r="AI1009" s="94"/>
    </row>
    <row r="1010" spans="1:35" s="22" customFormat="1" ht="12" customHeight="1" x14ac:dyDescent="0.25">
      <c r="A1010" s="487" t="s">
        <v>2160</v>
      </c>
      <c r="B1010" s="487">
        <v>4</v>
      </c>
      <c r="C1010" s="487">
        <v>81</v>
      </c>
      <c r="D1010" s="424" t="s">
        <v>2166</v>
      </c>
      <c r="E1010" s="319" t="s">
        <v>2167</v>
      </c>
      <c r="F1010" s="198">
        <v>27664</v>
      </c>
      <c r="G1010" s="198">
        <v>27685</v>
      </c>
      <c r="H1010" s="199">
        <v>4</v>
      </c>
      <c r="I1010" s="791">
        <f>TIME(0,24, 2)+TIME(0,22,30)+TIME(0,23,50)+TIME(0,23,43)</f>
        <v>6.5335648148148143E-2</v>
      </c>
      <c r="J1010" s="904" t="s">
        <v>1588</v>
      </c>
      <c r="K1010" s="200" t="s">
        <v>4453</v>
      </c>
      <c r="L1010" s="200" t="s">
        <v>6125</v>
      </c>
      <c r="M1010" s="200"/>
      <c r="N1010" s="200" t="s">
        <v>1093</v>
      </c>
      <c r="O1010" s="200" t="s">
        <v>1717</v>
      </c>
      <c r="P1010" s="197" t="s">
        <v>461</v>
      </c>
      <c r="Q1010" s="200" t="s">
        <v>3946</v>
      </c>
      <c r="R1010" s="201" t="s">
        <v>5280</v>
      </c>
      <c r="S1010" s="390" t="s">
        <v>53</v>
      </c>
      <c r="T1010" s="197"/>
      <c r="U1010" s="197"/>
      <c r="V1010" s="197"/>
      <c r="W1010" s="318" t="s">
        <v>8699</v>
      </c>
      <c r="X1010" s="650" t="s">
        <v>12326</v>
      </c>
      <c r="Y1010" s="358" t="s">
        <v>6141</v>
      </c>
      <c r="Z1010" s="253">
        <v>120</v>
      </c>
      <c r="AA1010" s="253">
        <v>6.5</v>
      </c>
      <c r="AB1010" s="35">
        <f t="shared" ca="1" si="17"/>
        <v>0.82674185540008271</v>
      </c>
      <c r="AC1010" s="820"/>
      <c r="AD1010" s="821" t="s">
        <v>16489</v>
      </c>
      <c r="AE1010" s="944"/>
      <c r="AF1010" s="925">
        <f>IF(X1010=X1009,AF1009,0)+IF(ISNUMBER(I1010),IF(I1010&lt;1,I1010,I1010*VLOOKUP(J1010,Summary!$H$2:$I$9,2)),VLOOKUP(J1010,Summary!$J$2:$K$9,2)*IF(ISNUMBER(H1010),H1010,1))</f>
        <v>6.5335648148148143E-2</v>
      </c>
      <c r="AG1010" s="293">
        <v>1009</v>
      </c>
      <c r="AH1010" s="94"/>
      <c r="AI1010" s="94"/>
    </row>
    <row r="1011" spans="1:35" s="22" customFormat="1" ht="12" customHeight="1" x14ac:dyDescent="0.25">
      <c r="A1011" s="494">
        <v>13</v>
      </c>
      <c r="B1011" s="494">
        <v>4</v>
      </c>
      <c r="C1011" s="495">
        <v>0.3</v>
      </c>
      <c r="D1011" s="192" t="s">
        <v>11400</v>
      </c>
      <c r="E1011" s="317" t="s">
        <v>12689</v>
      </c>
      <c r="F1011" s="191">
        <v>42795</v>
      </c>
      <c r="G1011" s="191"/>
      <c r="H1011" s="192" t="s">
        <v>461</v>
      </c>
      <c r="I1011" s="753"/>
      <c r="J1011" s="903" t="s">
        <v>2755</v>
      </c>
      <c r="K1011" s="194" t="s">
        <v>12690</v>
      </c>
      <c r="L1011" s="194" t="s">
        <v>3365</v>
      </c>
      <c r="M1011" s="194" t="s">
        <v>9290</v>
      </c>
      <c r="N1011" s="194"/>
      <c r="O1011" s="194"/>
      <c r="P1011" s="190" t="s">
        <v>461</v>
      </c>
      <c r="Q1011" s="194" t="s">
        <v>3947</v>
      </c>
      <c r="R1011" s="193" t="s">
        <v>2722</v>
      </c>
      <c r="S1011" s="357" t="s">
        <v>53</v>
      </c>
      <c r="T1011" s="190"/>
      <c r="U1011" s="190"/>
      <c r="V1011" s="190"/>
      <c r="W1011" s="317" t="s">
        <v>12689</v>
      </c>
      <c r="X1011" s="649" t="s">
        <v>12326</v>
      </c>
      <c r="Y1011" s="357"/>
      <c r="Z1011" s="192"/>
      <c r="AA1011" s="192"/>
      <c r="AB1011" s="37">
        <f t="shared" ca="1" si="17"/>
        <v>0.49331096057242296</v>
      </c>
      <c r="AC1011" s="816"/>
      <c r="AD1011" s="817"/>
      <c r="AE1011" s="943"/>
      <c r="AF1011" s="924">
        <f>IF(X1011=X1010,AF1010,0)+IF(ISNUMBER(I1011),IF(I1011&lt;1,I1011,I1011*VLOOKUP(J1011,Summary!$H$2:$I$9,2)),VLOOKUP(J1011,Summary!$J$2:$K$9,2)*IF(ISNUMBER(H1011),H1011,1))</f>
        <v>8.2696759259259262E-2</v>
      </c>
      <c r="AG1011" s="292">
        <v>1010</v>
      </c>
      <c r="AH1011" s="94"/>
      <c r="AI1011" s="94"/>
    </row>
    <row r="1012" spans="1:35" s="22" customFormat="1" ht="12" customHeight="1" x14ac:dyDescent="0.25">
      <c r="A1012" s="490" t="s">
        <v>2160</v>
      </c>
      <c r="B1012" s="490">
        <v>4</v>
      </c>
      <c r="C1012" s="490">
        <v>11.12</v>
      </c>
      <c r="D1012" s="434" t="s">
        <v>5529</v>
      </c>
      <c r="E1012" s="324" t="s">
        <v>5527</v>
      </c>
      <c r="F1012" s="174">
        <v>38200</v>
      </c>
      <c r="G1012" s="175"/>
      <c r="H1012" s="176">
        <v>1</v>
      </c>
      <c r="I1012" s="176">
        <v>16</v>
      </c>
      <c r="J1012" s="900" t="s">
        <v>2755</v>
      </c>
      <c r="K1012" s="157" t="s">
        <v>5528</v>
      </c>
      <c r="L1012" s="157" t="s">
        <v>461</v>
      </c>
      <c r="M1012" s="157"/>
      <c r="N1012" s="157" t="s">
        <v>7375</v>
      </c>
      <c r="O1012" s="157"/>
      <c r="P1012" s="173" t="s">
        <v>2559</v>
      </c>
      <c r="Q1012" s="157" t="s">
        <v>3947</v>
      </c>
      <c r="R1012" s="179" t="s">
        <v>2723</v>
      </c>
      <c r="S1012" s="354" t="s">
        <v>53</v>
      </c>
      <c r="T1012" s="173"/>
      <c r="U1012" s="173"/>
      <c r="V1012" s="173"/>
      <c r="W1012" s="324" t="s">
        <v>5527</v>
      </c>
      <c r="X1012" s="656" t="s">
        <v>12326</v>
      </c>
      <c r="Y1012" s="363"/>
      <c r="Z1012" s="364">
        <v>999</v>
      </c>
      <c r="AA1012" s="364"/>
      <c r="AB1012" s="32">
        <f t="shared" ca="1" si="17"/>
        <v>0.87272922373614059</v>
      </c>
      <c r="AC1012" s="812"/>
      <c r="AD1012" s="763"/>
      <c r="AE1012" s="951"/>
      <c r="AF1012" s="921">
        <f>IF(X1012=X1011,AF1011,0)+IF(ISNUMBER(I1012),IF(I1012&lt;1,I1012,I1012*VLOOKUP(J1012,Summary!$H$2:$I$9,2)),VLOOKUP(J1012,Summary!$J$2:$K$9,2)*IF(ISNUMBER(H1012),H1012,1))</f>
        <v>9.3807870370370375E-2</v>
      </c>
      <c r="AG1012" s="288">
        <v>1011</v>
      </c>
      <c r="AH1012" s="94"/>
      <c r="AI1012" s="94"/>
    </row>
    <row r="1013" spans="1:35" s="6" customFormat="1" ht="12" customHeight="1" x14ac:dyDescent="0.25">
      <c r="A1013" s="494">
        <v>13</v>
      </c>
      <c r="B1013" s="494">
        <v>4</v>
      </c>
      <c r="C1013" s="495">
        <v>3.04</v>
      </c>
      <c r="D1013" s="192" t="s">
        <v>484</v>
      </c>
      <c r="E1013" s="317" t="s">
        <v>6054</v>
      </c>
      <c r="F1013" s="191">
        <v>40664</v>
      </c>
      <c r="G1013" s="191"/>
      <c r="H1013" s="192">
        <v>1</v>
      </c>
      <c r="I1013" s="753">
        <f>TIME(0,17,33)</f>
        <v>1.2187500000000002E-2</v>
      </c>
      <c r="J1013" s="903" t="s">
        <v>2755</v>
      </c>
      <c r="K1013" s="194" t="s">
        <v>2696</v>
      </c>
      <c r="L1013" s="194" t="s">
        <v>3426</v>
      </c>
      <c r="M1013" s="194" t="s">
        <v>7408</v>
      </c>
      <c r="N1013" s="194"/>
      <c r="O1013" s="194"/>
      <c r="P1013" s="190" t="s">
        <v>6698</v>
      </c>
      <c r="Q1013" s="194" t="s">
        <v>3947</v>
      </c>
      <c r="R1013" s="193" t="s">
        <v>2722</v>
      </c>
      <c r="S1013" s="357" t="s">
        <v>53</v>
      </c>
      <c r="T1013" s="190"/>
      <c r="U1013" s="190"/>
      <c r="V1013" s="190"/>
      <c r="W1013" s="317" t="s">
        <v>6054</v>
      </c>
      <c r="X1013" s="649" t="s">
        <v>12326</v>
      </c>
      <c r="Y1013" s="357" t="s">
        <v>5643</v>
      </c>
      <c r="Z1013" s="192">
        <v>999</v>
      </c>
      <c r="AA1013" s="192"/>
      <c r="AB1013" s="37">
        <f t="shared" ca="1" si="17"/>
        <v>0.30701445392474147</v>
      </c>
      <c r="AC1013" s="816"/>
      <c r="AD1013" s="817"/>
      <c r="AE1013" s="943"/>
      <c r="AF1013" s="924">
        <f>IF(X1013=X1012,AF1012,0)+IF(ISNUMBER(I1013),IF(I1013&lt;1,I1013,I1013*VLOOKUP(J1013,Summary!$H$2:$I$9,2)),VLOOKUP(J1013,Summary!$J$2:$K$9,2)*IF(ISNUMBER(H1013),H1013,1))</f>
        <v>0.10599537037037038</v>
      </c>
      <c r="AG1013" s="292">
        <v>1012</v>
      </c>
      <c r="AH1013" s="94"/>
      <c r="AI1013" s="94"/>
    </row>
    <row r="1014" spans="1:35" s="27" customFormat="1" ht="12" customHeight="1" x14ac:dyDescent="0.25">
      <c r="A1014" s="492" t="s">
        <v>2160</v>
      </c>
      <c r="B1014" s="492">
        <v>4</v>
      </c>
      <c r="C1014" s="492">
        <v>14</v>
      </c>
      <c r="D1014" s="417" t="s">
        <v>2168</v>
      </c>
      <c r="E1014" s="316" t="s">
        <v>2169</v>
      </c>
      <c r="F1014" s="187">
        <v>34943</v>
      </c>
      <c r="G1014" s="188"/>
      <c r="H1014" s="188">
        <v>4</v>
      </c>
      <c r="I1014" s="188">
        <v>329</v>
      </c>
      <c r="J1014" s="902" t="s">
        <v>6868</v>
      </c>
      <c r="K1014" s="162" t="s">
        <v>5809</v>
      </c>
      <c r="L1014" s="245" t="str">
        <f>IF(J1014="Book","n/a","")</f>
        <v>n/a</v>
      </c>
      <c r="M1014" s="162"/>
      <c r="N1014" s="162"/>
      <c r="O1014" s="162"/>
      <c r="P1014" s="178" t="s">
        <v>8599</v>
      </c>
      <c r="Q1014" s="162" t="s">
        <v>601</v>
      </c>
      <c r="R1014" s="189" t="s">
        <v>2715</v>
      </c>
      <c r="S1014" s="366" t="s">
        <v>53</v>
      </c>
      <c r="T1014" s="178"/>
      <c r="U1014" s="178"/>
      <c r="V1014" s="178"/>
      <c r="W1014" s="316"/>
      <c r="X1014" s="648" t="s">
        <v>12326</v>
      </c>
      <c r="Y1014" s="356" t="s">
        <v>6868</v>
      </c>
      <c r="Z1014" s="272">
        <v>211</v>
      </c>
      <c r="AA1014" s="272">
        <v>3</v>
      </c>
      <c r="AB1014" s="34">
        <f t="shared" ca="1" si="17"/>
        <v>0.39383708097733905</v>
      </c>
      <c r="AC1014" s="814"/>
      <c r="AD1014" s="815" t="s">
        <v>16353</v>
      </c>
      <c r="AE1014" s="942"/>
      <c r="AF1014" s="923">
        <f>IF(X1014=X1013,AF1013,0)+IF(ISNUMBER(I1014),IF(I1014&lt;1,I1014,I1014*VLOOKUP(J1014,Summary!$H$2:$I$9,2)),VLOOKUP(J1014,Summary!$J$2:$K$9,2)*IF(ISNUMBER(H1014),H1014,1))</f>
        <v>0.33446759259259262</v>
      </c>
      <c r="AG1014" s="291">
        <v>1013</v>
      </c>
      <c r="AH1014" s="119"/>
      <c r="AI1014" s="119"/>
    </row>
    <row r="1015" spans="1:35" s="22" customFormat="1" ht="12" customHeight="1" x14ac:dyDescent="0.25">
      <c r="A1015" s="408"/>
      <c r="B1015" s="408" t="s">
        <v>2650</v>
      </c>
      <c r="C1015" s="408">
        <v>11</v>
      </c>
      <c r="D1015" s="176" t="s">
        <v>861</v>
      </c>
      <c r="E1015" s="313" t="s">
        <v>834</v>
      </c>
      <c r="F1015" s="174">
        <v>36100</v>
      </c>
      <c r="G1015" s="175"/>
      <c r="H1015" s="176" t="s">
        <v>461</v>
      </c>
      <c r="I1015" s="176"/>
      <c r="J1015" s="900" t="s">
        <v>2755</v>
      </c>
      <c r="K1015" s="164" t="s">
        <v>5809</v>
      </c>
      <c r="L1015" s="164"/>
      <c r="M1015" s="164"/>
      <c r="N1015" s="164" t="s">
        <v>819</v>
      </c>
      <c r="O1015" s="164"/>
      <c r="P1015" s="178" t="s">
        <v>461</v>
      </c>
      <c r="Q1015" s="164" t="s">
        <v>820</v>
      </c>
      <c r="R1015" s="177" t="s">
        <v>895</v>
      </c>
      <c r="S1015" s="354"/>
      <c r="T1015" s="173"/>
      <c r="U1015" s="173"/>
      <c r="V1015" s="173"/>
      <c r="W1015" s="313" t="s">
        <v>834</v>
      </c>
      <c r="X1015" s="645" t="s">
        <v>12326</v>
      </c>
      <c r="Y1015" s="354"/>
      <c r="Z1015" s="176"/>
      <c r="AA1015" s="176"/>
      <c r="AB1015" s="32">
        <f t="shared" ca="1" si="17"/>
        <v>0.20122521798914739</v>
      </c>
      <c r="AC1015" s="812"/>
      <c r="AD1015" s="763"/>
      <c r="AE1015" s="807"/>
      <c r="AF1015" s="921">
        <f>IF(X1015=X1014,AF1014,0)+IF(ISNUMBER(I1015),IF(I1015&lt;1,I1015,I1015*VLOOKUP(J1015,Summary!$H$2:$I$9,2)),VLOOKUP(J1015,Summary!$J$2:$K$9,2)*IF(ISNUMBER(H1015),H1015,1))</f>
        <v>0.35182870370370373</v>
      </c>
      <c r="AG1015" s="289">
        <v>1014</v>
      </c>
      <c r="AH1015" s="94"/>
      <c r="AI1015" s="94"/>
    </row>
    <row r="1016" spans="1:35" s="1" customFormat="1" ht="12" customHeight="1" x14ac:dyDescent="0.25">
      <c r="A1016" s="408"/>
      <c r="B1016" s="408" t="s">
        <v>2650</v>
      </c>
      <c r="C1016" s="408">
        <v>13</v>
      </c>
      <c r="D1016" s="176" t="s">
        <v>12610</v>
      </c>
      <c r="E1016" s="313" t="s">
        <v>12611</v>
      </c>
      <c r="F1016" s="175">
        <v>42915</v>
      </c>
      <c r="G1016" s="174"/>
      <c r="H1016" s="176" t="s">
        <v>461</v>
      </c>
      <c r="I1016" s="176"/>
      <c r="J1016" s="900" t="s">
        <v>2755</v>
      </c>
      <c r="K1016" s="164" t="s">
        <v>2675</v>
      </c>
      <c r="L1016" s="164" t="s">
        <v>3551</v>
      </c>
      <c r="M1016" s="164"/>
      <c r="N1016" s="164"/>
      <c r="O1016" s="164"/>
      <c r="P1016" s="173" t="s">
        <v>12587</v>
      </c>
      <c r="Q1016" s="164" t="s">
        <v>3953</v>
      </c>
      <c r="R1016" s="177" t="s">
        <v>12588</v>
      </c>
      <c r="S1016" s="354"/>
      <c r="T1016" s="173"/>
      <c r="U1016" s="173"/>
      <c r="V1016" s="173"/>
      <c r="W1016" s="313" t="s">
        <v>12611</v>
      </c>
      <c r="X1016" s="645" t="s">
        <v>12326</v>
      </c>
      <c r="Y1016" s="354"/>
      <c r="Z1016" s="176"/>
      <c r="AA1016" s="176"/>
      <c r="AB1016" s="32">
        <f t="shared" ca="1" si="17"/>
        <v>0.42856026632695732</v>
      </c>
      <c r="AC1016" s="812"/>
      <c r="AD1016" s="763"/>
      <c r="AE1016" s="807"/>
      <c r="AF1016" s="921">
        <f>IF(X1016=X1015,AF1015,0)+IF(ISNUMBER(I1016),IF(I1016&lt;1,I1016,I1016*VLOOKUP(J1016,Summary!$H$2:$I$9,2)),VLOOKUP(J1016,Summary!$J$2:$K$9,2)*IF(ISNUMBER(H1016),H1016,1))</f>
        <v>0.36918981481481483</v>
      </c>
      <c r="AG1016" s="289">
        <v>1015</v>
      </c>
      <c r="AH1016" s="94"/>
      <c r="AI1016" s="94"/>
    </row>
    <row r="1017" spans="1:35" s="3" customFormat="1" ht="12" customHeight="1" x14ac:dyDescent="0.25">
      <c r="A1017" s="487" t="s">
        <v>2160</v>
      </c>
      <c r="B1017" s="487">
        <v>4</v>
      </c>
      <c r="C1017" s="487">
        <v>82</v>
      </c>
      <c r="D1017" s="424" t="s">
        <v>2170</v>
      </c>
      <c r="E1017" s="319" t="s">
        <v>2171</v>
      </c>
      <c r="F1017" s="198">
        <v>27692</v>
      </c>
      <c r="G1017" s="198">
        <v>27713</v>
      </c>
      <c r="H1017" s="199">
        <v>4</v>
      </c>
      <c r="I1017" s="791">
        <f>TIME(0,25,22)+TIME(0,25,53)+TIME(0,24,32)+TIME(0,24,52)</f>
        <v>6.9895833333333338E-2</v>
      </c>
      <c r="J1017" s="904" t="s">
        <v>1588</v>
      </c>
      <c r="K1017" s="200" t="s">
        <v>5671</v>
      </c>
      <c r="L1017" s="200" t="s">
        <v>5404</v>
      </c>
      <c r="M1017" s="200"/>
      <c r="N1017" s="200" t="s">
        <v>1093</v>
      </c>
      <c r="O1017" s="200" t="s">
        <v>1717</v>
      </c>
      <c r="P1017" s="197" t="s">
        <v>461</v>
      </c>
      <c r="Q1017" s="200" t="s">
        <v>3946</v>
      </c>
      <c r="R1017" s="201" t="s">
        <v>5280</v>
      </c>
      <c r="S1017" s="390" t="s">
        <v>53</v>
      </c>
      <c r="T1017" s="197"/>
      <c r="U1017" s="197"/>
      <c r="V1017" s="197"/>
      <c r="W1017" s="318" t="s">
        <v>8700</v>
      </c>
      <c r="X1017" s="650" t="s">
        <v>12326</v>
      </c>
      <c r="Y1017" s="358" t="s">
        <v>6141</v>
      </c>
      <c r="Z1017" s="253">
        <v>96</v>
      </c>
      <c r="AA1017" s="253">
        <v>7</v>
      </c>
      <c r="AB1017" s="35">
        <f t="shared" ca="1" si="17"/>
        <v>0.48772852013811141</v>
      </c>
      <c r="AC1017" s="820"/>
      <c r="AD1017" s="821" t="s">
        <v>16668</v>
      </c>
      <c r="AE1017" s="944"/>
      <c r="AF1017" s="925">
        <f>IF(X1017=X1016,AF1016,0)+IF(ISNUMBER(I1017),IF(I1017&lt;1,I1017,I1017*VLOOKUP(J1017,Summary!$H$2:$I$9,2)),VLOOKUP(J1017,Summary!$J$2:$K$9,2)*IF(ISNUMBER(H1017),H1017,1))</f>
        <v>0.43908564814814816</v>
      </c>
      <c r="AG1017" s="293">
        <v>1016</v>
      </c>
      <c r="AH1017" s="94"/>
      <c r="AI1017" s="94"/>
    </row>
    <row r="1018" spans="1:35" s="3" customFormat="1" ht="12" customHeight="1" x14ac:dyDescent="0.25">
      <c r="A1018" s="489" t="s">
        <v>2160</v>
      </c>
      <c r="B1018" s="489">
        <v>4</v>
      </c>
      <c r="C1018" s="489">
        <v>1.02</v>
      </c>
      <c r="D1018" s="176" t="s">
        <v>566</v>
      </c>
      <c r="E1018" s="313" t="s">
        <v>4877</v>
      </c>
      <c r="F1018" s="176">
        <v>1994</v>
      </c>
      <c r="G1018" s="176"/>
      <c r="H1018" s="176">
        <v>1</v>
      </c>
      <c r="I1018" s="176">
        <v>42</v>
      </c>
      <c r="J1018" s="900" t="s">
        <v>2755</v>
      </c>
      <c r="K1018" s="164" t="s">
        <v>941</v>
      </c>
      <c r="L1018" s="164" t="s">
        <v>461</v>
      </c>
      <c r="M1018" s="164"/>
      <c r="N1018" s="164" t="s">
        <v>7001</v>
      </c>
      <c r="O1018" s="164"/>
      <c r="P1018" s="173" t="s">
        <v>7002</v>
      </c>
      <c r="Q1018" s="164" t="s">
        <v>6548</v>
      </c>
      <c r="R1018" s="179" t="s">
        <v>4598</v>
      </c>
      <c r="S1018" s="354" t="s">
        <v>53</v>
      </c>
      <c r="T1018" s="178"/>
      <c r="U1018" s="178"/>
      <c r="V1018" s="178"/>
      <c r="W1018" s="313" t="s">
        <v>4877</v>
      </c>
      <c r="X1018" s="645" t="s">
        <v>12326</v>
      </c>
      <c r="Y1018" s="354" t="s">
        <v>6868</v>
      </c>
      <c r="Z1018" s="176">
        <v>999</v>
      </c>
      <c r="AA1018" s="176"/>
      <c r="AB1018" s="32">
        <f t="shared" ca="1" si="17"/>
        <v>0.69788612103442549</v>
      </c>
      <c r="AC1018" s="812"/>
      <c r="AD1018" s="763"/>
      <c r="AE1018" s="942"/>
      <c r="AF1018" s="921">
        <f>IF(X1018=X1017,AF1017,0)+IF(ISNUMBER(I1018),IF(I1018&lt;1,I1018,I1018*VLOOKUP(J1018,Summary!$H$2:$I$9,2)),VLOOKUP(J1018,Summary!$J$2:$K$9,2)*IF(ISNUMBER(H1018),H1018,1))</f>
        <v>0.46825231481481483</v>
      </c>
      <c r="AG1018" s="288">
        <v>1017</v>
      </c>
      <c r="AH1018" s="94"/>
      <c r="AI1018" s="94"/>
    </row>
    <row r="1019" spans="1:35" s="1" customFormat="1" ht="12" customHeight="1" x14ac:dyDescent="0.25">
      <c r="A1019" s="490" t="s">
        <v>2160</v>
      </c>
      <c r="B1019" s="490">
        <v>4</v>
      </c>
      <c r="C1019" s="490">
        <v>1.1200000000000001</v>
      </c>
      <c r="D1019" s="434" t="s">
        <v>5526</v>
      </c>
      <c r="E1019" s="324" t="s">
        <v>5524</v>
      </c>
      <c r="F1019" s="174">
        <v>35855</v>
      </c>
      <c r="G1019" s="175"/>
      <c r="H1019" s="176">
        <v>1</v>
      </c>
      <c r="I1019" s="176">
        <v>24</v>
      </c>
      <c r="J1019" s="900" t="s">
        <v>2755</v>
      </c>
      <c r="K1019" s="157" t="s">
        <v>5525</v>
      </c>
      <c r="L1019" s="157" t="s">
        <v>461</v>
      </c>
      <c r="M1019" s="157"/>
      <c r="N1019" s="164" t="s">
        <v>6237</v>
      </c>
      <c r="O1019" s="157"/>
      <c r="P1019" s="173" t="s">
        <v>5042</v>
      </c>
      <c r="Q1019" s="157" t="s">
        <v>3953</v>
      </c>
      <c r="R1019" s="179" t="s">
        <v>2723</v>
      </c>
      <c r="S1019" s="354" t="s">
        <v>53</v>
      </c>
      <c r="T1019" s="173"/>
      <c r="U1019" s="173"/>
      <c r="V1019" s="173"/>
      <c r="W1019" s="324" t="s">
        <v>5524</v>
      </c>
      <c r="X1019" s="656" t="s">
        <v>12326</v>
      </c>
      <c r="Y1019" s="354" t="s">
        <v>6868</v>
      </c>
      <c r="Z1019" s="176">
        <v>999</v>
      </c>
      <c r="AA1019" s="364"/>
      <c r="AB1019" s="32">
        <f t="shared" ca="1" si="17"/>
        <v>0.70398515384105942</v>
      </c>
      <c r="AC1019" s="812"/>
      <c r="AD1019" s="763"/>
      <c r="AE1019" s="951"/>
      <c r="AF1019" s="921">
        <f>IF(X1019=X1018,AF1018,0)+IF(ISNUMBER(I1019),IF(I1019&lt;1,I1019,I1019*VLOOKUP(J1019,Summary!$H$2:$I$9,2)),VLOOKUP(J1019,Summary!$J$2:$K$9,2)*IF(ISNUMBER(H1019),H1019,1))</f>
        <v>0.48491898148148149</v>
      </c>
      <c r="AG1019" s="288">
        <v>1018</v>
      </c>
      <c r="AH1019" s="94"/>
      <c r="AI1019" s="94"/>
    </row>
    <row r="1020" spans="1:35" s="43" customFormat="1" ht="12" customHeight="1" x14ac:dyDescent="0.25">
      <c r="A1020" s="490" t="s">
        <v>2160</v>
      </c>
      <c r="B1020" s="490">
        <v>4</v>
      </c>
      <c r="C1020" s="490">
        <v>13.04</v>
      </c>
      <c r="D1020" s="176" t="s">
        <v>4883</v>
      </c>
      <c r="E1020" s="313" t="s">
        <v>4882</v>
      </c>
      <c r="F1020" s="174">
        <v>38261</v>
      </c>
      <c r="G1020" s="174"/>
      <c r="H1020" s="176">
        <v>1</v>
      </c>
      <c r="I1020" s="176">
        <v>16</v>
      </c>
      <c r="J1020" s="900" t="s">
        <v>2755</v>
      </c>
      <c r="K1020" s="164" t="s">
        <v>2311</v>
      </c>
      <c r="L1020" s="164" t="s">
        <v>461</v>
      </c>
      <c r="M1020" s="164"/>
      <c r="N1020" s="164" t="s">
        <v>4996</v>
      </c>
      <c r="O1020" s="164"/>
      <c r="P1020" s="173" t="s">
        <v>1945</v>
      </c>
      <c r="Q1020" s="164" t="s">
        <v>3947</v>
      </c>
      <c r="R1020" s="179" t="s">
        <v>2723</v>
      </c>
      <c r="S1020" s="354" t="s">
        <v>53</v>
      </c>
      <c r="T1020" s="178"/>
      <c r="U1020" s="178"/>
      <c r="V1020" s="178"/>
      <c r="W1020" s="313" t="s">
        <v>4882</v>
      </c>
      <c r="X1020" s="645" t="s">
        <v>12326</v>
      </c>
      <c r="Y1020" s="354"/>
      <c r="Z1020" s="176"/>
      <c r="AA1020" s="176"/>
      <c r="AB1020" s="32">
        <f t="shared" ca="1" si="17"/>
        <v>0.90500195592887733</v>
      </c>
      <c r="AC1020" s="812"/>
      <c r="AD1020" s="763"/>
      <c r="AE1020" s="942"/>
      <c r="AF1020" s="921">
        <f>IF(X1020=X1019,AF1019,0)+IF(ISNUMBER(I1020),IF(I1020&lt;1,I1020,I1020*VLOOKUP(J1020,Summary!$H$2:$I$9,2)),VLOOKUP(J1020,Summary!$J$2:$K$9,2)*IF(ISNUMBER(H1020),H1020,1))</f>
        <v>0.49603009259259262</v>
      </c>
      <c r="AG1020" s="288">
        <v>1019</v>
      </c>
      <c r="AH1020" s="94"/>
      <c r="AI1020" s="94"/>
    </row>
    <row r="1021" spans="1:35" s="22" customFormat="1" ht="12" customHeight="1" x14ac:dyDescent="0.25">
      <c r="A1021" s="490">
        <v>13</v>
      </c>
      <c r="B1021" s="490">
        <v>4</v>
      </c>
      <c r="C1021" s="490">
        <v>31.18</v>
      </c>
      <c r="D1021" s="176" t="s">
        <v>13149</v>
      </c>
      <c r="E1021" s="313" t="s">
        <v>634</v>
      </c>
      <c r="F1021" s="174">
        <v>39873</v>
      </c>
      <c r="G1021" s="174"/>
      <c r="H1021" s="176" t="s">
        <v>461</v>
      </c>
      <c r="I1021" s="176">
        <v>20</v>
      </c>
      <c r="J1021" s="900" t="s">
        <v>2755</v>
      </c>
      <c r="K1021" s="164" t="s">
        <v>5068</v>
      </c>
      <c r="L1021" s="164" t="s">
        <v>461</v>
      </c>
      <c r="M1021" s="164"/>
      <c r="N1021" s="164" t="s">
        <v>1805</v>
      </c>
      <c r="O1021" s="164"/>
      <c r="P1021" s="173" t="s">
        <v>6699</v>
      </c>
      <c r="Q1021" s="164" t="s">
        <v>3947</v>
      </c>
      <c r="R1021" s="177" t="s">
        <v>2723</v>
      </c>
      <c r="S1021" s="354" t="s">
        <v>53</v>
      </c>
      <c r="T1021" s="173"/>
      <c r="U1021" s="173"/>
      <c r="V1021" s="173"/>
      <c r="W1021" s="313" t="s">
        <v>634</v>
      </c>
      <c r="X1021" s="645" t="s">
        <v>12326</v>
      </c>
      <c r="Y1021" s="354"/>
      <c r="Z1021" s="176"/>
      <c r="AA1021" s="176"/>
      <c r="AB1021" s="32">
        <f t="shared" ca="1" si="17"/>
        <v>0.42642530120896105</v>
      </c>
      <c r="AC1021" s="812"/>
      <c r="AD1021" s="763"/>
      <c r="AE1021" s="807"/>
      <c r="AF1021" s="921">
        <f>IF(X1021=X1020,AF1020,0)+IF(ISNUMBER(I1021),IF(I1021&lt;1,I1021,I1021*VLOOKUP(J1021,Summary!$H$2:$I$9,2)),VLOOKUP(J1021,Summary!$J$2:$K$9,2)*IF(ISNUMBER(H1021),H1021,1))</f>
        <v>0.50991898148148151</v>
      </c>
      <c r="AG1021" s="289">
        <v>1020</v>
      </c>
      <c r="AH1021" s="94"/>
      <c r="AI1021" s="94"/>
    </row>
    <row r="1022" spans="1:35" s="22" customFormat="1" ht="12" customHeight="1" x14ac:dyDescent="0.25">
      <c r="A1022" s="487" t="s">
        <v>2160</v>
      </c>
      <c r="B1022" s="487">
        <v>4</v>
      </c>
      <c r="C1022" s="487">
        <v>83</v>
      </c>
      <c r="D1022" s="424" t="s">
        <v>5672</v>
      </c>
      <c r="E1022" s="319" t="s">
        <v>5673</v>
      </c>
      <c r="F1022" s="198">
        <v>27720</v>
      </c>
      <c r="G1022" s="198">
        <v>27741</v>
      </c>
      <c r="H1022" s="199">
        <v>4</v>
      </c>
      <c r="I1022" s="791">
        <f>TIME(0,24,21)+TIME(0,24,30)+TIME(0,24,50)+TIME(0,24,30)</f>
        <v>6.8182870370370366E-2</v>
      </c>
      <c r="J1022" s="904" t="s">
        <v>1588</v>
      </c>
      <c r="K1022" s="200" t="s">
        <v>6148</v>
      </c>
      <c r="L1022" s="200" t="s">
        <v>1884</v>
      </c>
      <c r="M1022" s="200"/>
      <c r="N1022" s="200" t="s">
        <v>1093</v>
      </c>
      <c r="O1022" s="200" t="s">
        <v>1717</v>
      </c>
      <c r="P1022" s="197" t="s">
        <v>461</v>
      </c>
      <c r="Q1022" s="200" t="s">
        <v>3946</v>
      </c>
      <c r="R1022" s="201" t="s">
        <v>5280</v>
      </c>
      <c r="S1022" s="390" t="s">
        <v>53</v>
      </c>
      <c r="T1022" s="197" t="s">
        <v>2606</v>
      </c>
      <c r="U1022" s="197" t="s">
        <v>2600</v>
      </c>
      <c r="V1022" s="197"/>
      <c r="W1022" s="318" t="s">
        <v>8701</v>
      </c>
      <c r="X1022" s="650" t="s">
        <v>12326</v>
      </c>
      <c r="Y1022" s="358" t="s">
        <v>6141</v>
      </c>
      <c r="Z1022" s="253">
        <v>214</v>
      </c>
      <c r="AA1022" s="253">
        <v>4.5</v>
      </c>
      <c r="AB1022" s="35">
        <f t="shared" ca="1" si="17"/>
        <v>0.26488026483645688</v>
      </c>
      <c r="AC1022" s="820"/>
      <c r="AD1022" s="821"/>
      <c r="AE1022" s="944"/>
      <c r="AF1022" s="925">
        <f>IF(X1022=X1021,AF1021,0)+IF(ISNUMBER(I1022),IF(I1022&lt;1,I1022,I1022*VLOOKUP(J1022,Summary!$H$2:$I$9,2)),VLOOKUP(J1022,Summary!$J$2:$K$9,2)*IF(ISNUMBER(H1022),H1022,1))</f>
        <v>0.57810185185185192</v>
      </c>
      <c r="AG1022" s="293">
        <v>1021</v>
      </c>
      <c r="AH1022" s="94"/>
      <c r="AI1022" s="94"/>
    </row>
    <row r="1023" spans="1:35" s="22" customFormat="1" ht="12" customHeight="1" x14ac:dyDescent="0.25">
      <c r="A1023" s="490" t="s">
        <v>2160</v>
      </c>
      <c r="B1023" s="490">
        <v>4</v>
      </c>
      <c r="C1023" s="490">
        <v>9.0299999999999994</v>
      </c>
      <c r="D1023" s="434" t="s">
        <v>5713</v>
      </c>
      <c r="E1023" s="324" t="s">
        <v>2232</v>
      </c>
      <c r="F1023" s="174">
        <v>38047</v>
      </c>
      <c r="G1023" s="174"/>
      <c r="H1023" s="176">
        <v>1</v>
      </c>
      <c r="I1023" s="176">
        <v>20</v>
      </c>
      <c r="J1023" s="900" t="s">
        <v>2755</v>
      </c>
      <c r="K1023" s="164" t="s">
        <v>3430</v>
      </c>
      <c r="L1023" s="164" t="s">
        <v>461</v>
      </c>
      <c r="M1023" s="164"/>
      <c r="N1023" s="164" t="s">
        <v>7381</v>
      </c>
      <c r="O1023" s="164"/>
      <c r="P1023" s="173" t="s">
        <v>3431</v>
      </c>
      <c r="Q1023" s="164" t="s">
        <v>3947</v>
      </c>
      <c r="R1023" s="179" t="s">
        <v>2723</v>
      </c>
      <c r="S1023" s="354" t="s">
        <v>53</v>
      </c>
      <c r="T1023" s="178"/>
      <c r="U1023" s="178"/>
      <c r="V1023" s="178"/>
      <c r="W1023" s="324" t="s">
        <v>2232</v>
      </c>
      <c r="X1023" s="656" t="s">
        <v>12326</v>
      </c>
      <c r="Y1023" s="354"/>
      <c r="Z1023" s="176">
        <v>999</v>
      </c>
      <c r="AA1023" s="176"/>
      <c r="AB1023" s="32">
        <f t="shared" ca="1" si="17"/>
        <v>9.6732895642498207E-2</v>
      </c>
      <c r="AC1023" s="812"/>
      <c r="AD1023" s="763"/>
      <c r="AE1023" s="942"/>
      <c r="AF1023" s="921">
        <f>IF(X1023=X1022,AF1022,0)+IF(ISNUMBER(I1023),IF(I1023&lt;1,I1023,I1023*VLOOKUP(J1023,Summary!$H$2:$I$9,2)),VLOOKUP(J1023,Summary!$J$2:$K$9,2)*IF(ISNUMBER(H1023),H1023,1))</f>
        <v>0.59199074074074076</v>
      </c>
      <c r="AG1023" s="288">
        <v>1022</v>
      </c>
      <c r="AH1023" s="94"/>
      <c r="AI1023" s="94"/>
    </row>
    <row r="1024" spans="1:35" s="43" customFormat="1" ht="12" customHeight="1" x14ac:dyDescent="0.25">
      <c r="A1024" s="487">
        <v>13</v>
      </c>
      <c r="B1024" s="487">
        <v>4</v>
      </c>
      <c r="C1024" s="768">
        <v>1.1000000000000001</v>
      </c>
      <c r="D1024" s="493" t="s">
        <v>12175</v>
      </c>
      <c r="E1024" s="333" t="s">
        <v>12119</v>
      </c>
      <c r="F1024" s="233">
        <v>42452</v>
      </c>
      <c r="G1024" s="233">
        <v>42634</v>
      </c>
      <c r="H1024" s="226">
        <v>5</v>
      </c>
      <c r="I1024" s="226">
        <v>110</v>
      </c>
      <c r="J1024" s="907" t="s">
        <v>1796</v>
      </c>
      <c r="K1024" s="165" t="s">
        <v>9357</v>
      </c>
      <c r="L1024" s="165" t="s">
        <v>3543</v>
      </c>
      <c r="M1024" s="165"/>
      <c r="N1024" s="165" t="s">
        <v>10882</v>
      </c>
      <c r="O1024" s="165"/>
      <c r="P1024" s="225" t="s">
        <v>461</v>
      </c>
      <c r="Q1024" s="228" t="s">
        <v>7076</v>
      </c>
      <c r="R1024" s="234" t="s">
        <v>12120</v>
      </c>
      <c r="S1024" s="369" t="s">
        <v>53</v>
      </c>
      <c r="T1024" s="225"/>
      <c r="U1024" s="225"/>
      <c r="V1024" s="225"/>
      <c r="W1024" s="333"/>
      <c r="X1024" s="665" t="s">
        <v>12326</v>
      </c>
      <c r="Y1024" s="369" t="s">
        <v>6000</v>
      </c>
      <c r="Z1024" s="269"/>
      <c r="AA1024" s="269"/>
      <c r="AB1024" s="38">
        <f t="shared" ca="1" si="17"/>
        <v>0.59376379827186698</v>
      </c>
      <c r="AC1024" s="830"/>
      <c r="AD1024" s="831"/>
      <c r="AE1024" s="953"/>
      <c r="AF1024" s="928">
        <f>IF(X1024=X1023,AF1023,0)+IF(ISNUMBER(I1024),IF(I1024&lt;1,I1024,I1024*VLOOKUP(J1024,Summary!$H$2:$I$9,2)),VLOOKUP(J1024,Summary!$J$2:$K$9,2)*IF(ISNUMBER(H1024),H1024,1))</f>
        <v>0.63018518518518518</v>
      </c>
      <c r="AG1024" s="300">
        <v>1023</v>
      </c>
      <c r="AH1024" s="94"/>
      <c r="AI1024" s="94"/>
    </row>
    <row r="1025" spans="1:35" s="22" customFormat="1" ht="12" customHeight="1" x14ac:dyDescent="0.25">
      <c r="A1025" s="489">
        <v>13</v>
      </c>
      <c r="B1025" s="489">
        <v>4</v>
      </c>
      <c r="C1025" s="489"/>
      <c r="D1025" s="434" t="s">
        <v>4867</v>
      </c>
      <c r="E1025" s="324" t="s">
        <v>4875</v>
      </c>
      <c r="F1025" s="174">
        <v>28004</v>
      </c>
      <c r="G1025" s="175"/>
      <c r="H1025" s="176" t="s">
        <v>461</v>
      </c>
      <c r="I1025" s="176">
        <v>5</v>
      </c>
      <c r="J1025" s="900" t="s">
        <v>2755</v>
      </c>
      <c r="K1025" s="157" t="s">
        <v>5784</v>
      </c>
      <c r="L1025" s="157" t="s">
        <v>461</v>
      </c>
      <c r="M1025" s="157"/>
      <c r="N1025" s="157"/>
      <c r="O1025" s="157"/>
      <c r="P1025" s="173" t="s">
        <v>4865</v>
      </c>
      <c r="Q1025" s="157" t="s">
        <v>4705</v>
      </c>
      <c r="R1025" s="179" t="s">
        <v>4600</v>
      </c>
      <c r="S1025" s="354" t="s">
        <v>53</v>
      </c>
      <c r="T1025" s="173" t="s">
        <v>2606</v>
      </c>
      <c r="U1025" s="173"/>
      <c r="V1025" s="173"/>
      <c r="W1025" s="324" t="s">
        <v>4875</v>
      </c>
      <c r="X1025" s="656" t="s">
        <v>12326</v>
      </c>
      <c r="Y1025" s="363" t="s">
        <v>6000</v>
      </c>
      <c r="Z1025" s="176">
        <v>999</v>
      </c>
      <c r="AA1025" s="364"/>
      <c r="AB1025" s="32">
        <f t="shared" ca="1" si="17"/>
        <v>0.33187234750323769</v>
      </c>
      <c r="AC1025" s="812"/>
      <c r="AD1025" s="763"/>
      <c r="AE1025" s="951"/>
      <c r="AF1025" s="921">
        <f>IF(X1025=X1024,AF1024,0)+IF(ISNUMBER(I1025),IF(I1025&lt;1,I1025,I1025*VLOOKUP(J1025,Summary!$H$2:$I$9,2)),VLOOKUP(J1025,Summary!$J$2:$K$9,2)*IF(ISNUMBER(H1025),H1025,1))</f>
        <v>0.63365740740740739</v>
      </c>
      <c r="AG1025" s="288">
        <v>1024</v>
      </c>
      <c r="AH1025" s="94"/>
      <c r="AI1025" s="94"/>
    </row>
    <row r="1026" spans="1:35" s="22" customFormat="1" ht="12" customHeight="1" x14ac:dyDescent="0.25">
      <c r="A1026" s="489">
        <v>13</v>
      </c>
      <c r="B1026" s="489">
        <v>4</v>
      </c>
      <c r="C1026" s="489"/>
      <c r="D1026" s="434" t="s">
        <v>4867</v>
      </c>
      <c r="E1026" s="324" t="s">
        <v>7816</v>
      </c>
      <c r="F1026" s="174">
        <v>28004</v>
      </c>
      <c r="G1026" s="175"/>
      <c r="H1026" s="176" t="s">
        <v>461</v>
      </c>
      <c r="I1026" s="176">
        <v>4</v>
      </c>
      <c r="J1026" s="900" t="s">
        <v>2755</v>
      </c>
      <c r="K1026" s="157" t="s">
        <v>5784</v>
      </c>
      <c r="L1026" s="157" t="s">
        <v>461</v>
      </c>
      <c r="M1026" s="157"/>
      <c r="N1026" s="157"/>
      <c r="O1026" s="157"/>
      <c r="P1026" s="173" t="s">
        <v>4865</v>
      </c>
      <c r="Q1026" s="157" t="s">
        <v>4705</v>
      </c>
      <c r="R1026" s="179" t="s">
        <v>4600</v>
      </c>
      <c r="S1026" s="354" t="s">
        <v>53</v>
      </c>
      <c r="T1026" s="173" t="s">
        <v>2606</v>
      </c>
      <c r="U1026" s="173"/>
      <c r="V1026" s="173"/>
      <c r="W1026" s="324" t="s">
        <v>7816</v>
      </c>
      <c r="X1026" s="656" t="s">
        <v>12326</v>
      </c>
      <c r="Y1026" s="363" t="s">
        <v>6000</v>
      </c>
      <c r="Z1026" s="176">
        <v>999</v>
      </c>
      <c r="AA1026" s="364"/>
      <c r="AB1026" s="32">
        <f t="shared" ref="AB1026:AB1089" ca="1" si="18">RAND()</f>
        <v>0.1386523320943206</v>
      </c>
      <c r="AC1026" s="812"/>
      <c r="AD1026" s="763"/>
      <c r="AE1026" s="951"/>
      <c r="AF1026" s="921">
        <f>IF(X1026=X1025,AF1025,0)+IF(ISNUMBER(I1026),IF(I1026&lt;1,I1026,I1026*VLOOKUP(J1026,Summary!$H$2:$I$9,2)),VLOOKUP(J1026,Summary!$J$2:$K$9,2)*IF(ISNUMBER(H1026),H1026,1))</f>
        <v>0.63643518518518516</v>
      </c>
      <c r="AG1026" s="288">
        <v>1025</v>
      </c>
      <c r="AH1026" s="94"/>
      <c r="AI1026" s="94"/>
    </row>
    <row r="1027" spans="1:35" s="43" customFormat="1" ht="12" customHeight="1" x14ac:dyDescent="0.25">
      <c r="A1027" s="489">
        <v>13</v>
      </c>
      <c r="B1027" s="489">
        <v>4</v>
      </c>
      <c r="C1027" s="489"/>
      <c r="D1027" s="434" t="s">
        <v>4867</v>
      </c>
      <c r="E1027" s="324" t="s">
        <v>15458</v>
      </c>
      <c r="F1027" s="174">
        <v>28004</v>
      </c>
      <c r="G1027" s="175"/>
      <c r="H1027" s="176" t="s">
        <v>461</v>
      </c>
      <c r="I1027" s="176">
        <v>5</v>
      </c>
      <c r="J1027" s="900" t="s">
        <v>2755</v>
      </c>
      <c r="K1027" s="157" t="s">
        <v>5784</v>
      </c>
      <c r="L1027" s="157" t="s">
        <v>461</v>
      </c>
      <c r="M1027" s="157"/>
      <c r="N1027" s="157"/>
      <c r="O1027" s="157"/>
      <c r="P1027" s="173" t="s">
        <v>4865</v>
      </c>
      <c r="Q1027" s="157" t="s">
        <v>4705</v>
      </c>
      <c r="R1027" s="179" t="s">
        <v>4600</v>
      </c>
      <c r="S1027" s="354" t="s">
        <v>53</v>
      </c>
      <c r="T1027" s="173" t="s">
        <v>2606</v>
      </c>
      <c r="U1027" s="173"/>
      <c r="V1027" s="173"/>
      <c r="W1027" s="324" t="s">
        <v>7817</v>
      </c>
      <c r="X1027" s="656" t="s">
        <v>12326</v>
      </c>
      <c r="Y1027" s="363" t="s">
        <v>6000</v>
      </c>
      <c r="Z1027" s="176">
        <v>999</v>
      </c>
      <c r="AA1027" s="364"/>
      <c r="AB1027" s="32">
        <f t="shared" ca="1" si="18"/>
        <v>0.33149028548399628</v>
      </c>
      <c r="AC1027" s="812"/>
      <c r="AD1027" s="763"/>
      <c r="AE1027" s="951"/>
      <c r="AF1027" s="921">
        <f>IF(X1027=X1026,AF1026,0)+IF(ISNUMBER(I1027),IF(I1027&lt;1,I1027,I1027*VLOOKUP(J1027,Summary!$H$2:$I$9,2)),VLOOKUP(J1027,Summary!$J$2:$K$9,2)*IF(ISNUMBER(H1027),H1027,1))</f>
        <v>0.63990740740740737</v>
      </c>
      <c r="AG1027" s="288">
        <v>1026</v>
      </c>
      <c r="AH1027" s="94"/>
      <c r="AI1027" s="94"/>
    </row>
    <row r="1028" spans="1:35" s="1" customFormat="1" ht="12" customHeight="1" x14ac:dyDescent="0.25">
      <c r="A1028" s="491">
        <v>13</v>
      </c>
      <c r="B1028" s="491">
        <v>4</v>
      </c>
      <c r="C1028" s="491"/>
      <c r="D1028" s="428" t="s">
        <v>4867</v>
      </c>
      <c r="E1028" s="325" t="s">
        <v>7818</v>
      </c>
      <c r="F1028" s="183">
        <v>28004</v>
      </c>
      <c r="G1028" s="184"/>
      <c r="H1028" s="185" t="s">
        <v>461</v>
      </c>
      <c r="I1028" s="185">
        <v>6</v>
      </c>
      <c r="J1028" s="901" t="s">
        <v>1796</v>
      </c>
      <c r="K1028" s="158" t="s">
        <v>5784</v>
      </c>
      <c r="L1028" s="158" t="s">
        <v>5784</v>
      </c>
      <c r="M1028" s="158"/>
      <c r="N1028" s="158"/>
      <c r="O1028" s="158"/>
      <c r="P1028" s="182" t="s">
        <v>4865</v>
      </c>
      <c r="Q1028" s="158" t="s">
        <v>4705</v>
      </c>
      <c r="R1028" s="207" t="s">
        <v>4600</v>
      </c>
      <c r="S1028" s="355" t="s">
        <v>53</v>
      </c>
      <c r="T1028" s="182" t="s">
        <v>2606</v>
      </c>
      <c r="U1028" s="182"/>
      <c r="V1028" s="182"/>
      <c r="W1028" s="325" t="s">
        <v>7818</v>
      </c>
      <c r="X1028" s="657" t="s">
        <v>12326</v>
      </c>
      <c r="Y1028" s="361" t="s">
        <v>6000</v>
      </c>
      <c r="Z1028" s="362"/>
      <c r="AA1028" s="362"/>
      <c r="AB1028" s="33">
        <f t="shared" ca="1" si="18"/>
        <v>0.79131389621361337</v>
      </c>
      <c r="AC1028" s="813"/>
      <c r="AD1028" s="211"/>
      <c r="AE1028" s="949"/>
      <c r="AF1028" s="922">
        <f>IF(X1028=X1027,AF1027,0)+IF(ISNUMBER(I1028),IF(I1028&lt;1,I1028,I1028*VLOOKUP(J1028,Summary!$H$2:$I$9,2)),VLOOKUP(J1028,Summary!$J$2:$K$9,2)*IF(ISNUMBER(H1028),H1028,1))</f>
        <v>0.6419907407407407</v>
      </c>
      <c r="AG1028" s="295">
        <v>1027</v>
      </c>
      <c r="AH1028" s="94"/>
      <c r="AI1028" s="94"/>
    </row>
    <row r="1029" spans="1:35" s="43" customFormat="1" ht="12" customHeight="1" x14ac:dyDescent="0.25">
      <c r="A1029" s="489">
        <v>13</v>
      </c>
      <c r="B1029" s="489">
        <v>4</v>
      </c>
      <c r="C1029" s="489"/>
      <c r="D1029" s="434" t="s">
        <v>4867</v>
      </c>
      <c r="E1029" s="324" t="s">
        <v>4892</v>
      </c>
      <c r="F1029" s="174">
        <v>28004</v>
      </c>
      <c r="G1029" s="175"/>
      <c r="H1029" s="176" t="s">
        <v>461</v>
      </c>
      <c r="I1029" s="176">
        <v>6</v>
      </c>
      <c r="J1029" s="900" t="s">
        <v>2755</v>
      </c>
      <c r="K1029" s="157" t="s">
        <v>5784</v>
      </c>
      <c r="L1029" s="157" t="s">
        <v>461</v>
      </c>
      <c r="M1029" s="157"/>
      <c r="N1029" s="157"/>
      <c r="O1029" s="157"/>
      <c r="P1029" s="173" t="s">
        <v>4865</v>
      </c>
      <c r="Q1029" s="157" t="s">
        <v>4705</v>
      </c>
      <c r="R1029" s="179" t="s">
        <v>4600</v>
      </c>
      <c r="S1029" s="354" t="s">
        <v>53</v>
      </c>
      <c r="T1029" s="173" t="s">
        <v>2606</v>
      </c>
      <c r="U1029" s="173"/>
      <c r="V1029" s="173"/>
      <c r="W1029" s="324" t="s">
        <v>4892</v>
      </c>
      <c r="X1029" s="656" t="s">
        <v>12326</v>
      </c>
      <c r="Y1029" s="363" t="s">
        <v>6000</v>
      </c>
      <c r="Z1029" s="176">
        <v>999</v>
      </c>
      <c r="AA1029" s="364"/>
      <c r="AB1029" s="32">
        <f t="shared" ca="1" si="18"/>
        <v>0.37376591970566764</v>
      </c>
      <c r="AC1029" s="812"/>
      <c r="AD1029" s="763"/>
      <c r="AE1029" s="951"/>
      <c r="AF1029" s="921">
        <f>IF(X1029=X1028,AF1028,0)+IF(ISNUMBER(I1029),IF(I1029&lt;1,I1029,I1029*VLOOKUP(J1029,Summary!$H$2:$I$9,2)),VLOOKUP(J1029,Summary!$J$2:$K$9,2)*IF(ISNUMBER(H1029),H1029,1))</f>
        <v>0.64615740740740735</v>
      </c>
      <c r="AG1029" s="288">
        <v>1028</v>
      </c>
      <c r="AH1029" s="94"/>
      <c r="AI1029" s="94"/>
    </row>
    <row r="1030" spans="1:35" s="29" customFormat="1" ht="12" customHeight="1" x14ac:dyDescent="0.25">
      <c r="A1030" s="489">
        <v>13</v>
      </c>
      <c r="B1030" s="489">
        <v>4</v>
      </c>
      <c r="C1030" s="489"/>
      <c r="D1030" s="434" t="s">
        <v>4867</v>
      </c>
      <c r="E1030" s="324" t="s">
        <v>4893</v>
      </c>
      <c r="F1030" s="174">
        <v>28004</v>
      </c>
      <c r="G1030" s="175"/>
      <c r="H1030" s="176" t="s">
        <v>461</v>
      </c>
      <c r="I1030" s="176">
        <v>4</v>
      </c>
      <c r="J1030" s="900" t="s">
        <v>2755</v>
      </c>
      <c r="K1030" s="157" t="s">
        <v>5784</v>
      </c>
      <c r="L1030" s="157" t="s">
        <v>461</v>
      </c>
      <c r="M1030" s="157"/>
      <c r="N1030" s="157"/>
      <c r="O1030" s="157"/>
      <c r="P1030" s="173" t="s">
        <v>4865</v>
      </c>
      <c r="Q1030" s="157" t="s">
        <v>4705</v>
      </c>
      <c r="R1030" s="179" t="s">
        <v>4600</v>
      </c>
      <c r="S1030" s="354" t="s">
        <v>53</v>
      </c>
      <c r="T1030" s="173" t="s">
        <v>2606</v>
      </c>
      <c r="U1030" s="173"/>
      <c r="V1030" s="173"/>
      <c r="W1030" s="324" t="s">
        <v>4893</v>
      </c>
      <c r="X1030" s="656" t="s">
        <v>12326</v>
      </c>
      <c r="Y1030" s="363" t="s">
        <v>6000</v>
      </c>
      <c r="Z1030" s="176">
        <v>999</v>
      </c>
      <c r="AA1030" s="364"/>
      <c r="AB1030" s="32">
        <f t="shared" ca="1" si="18"/>
        <v>0.72032361249362586</v>
      </c>
      <c r="AC1030" s="812"/>
      <c r="AD1030" s="763"/>
      <c r="AE1030" s="951"/>
      <c r="AF1030" s="921">
        <f>IF(X1030=X1029,AF1029,0)+IF(ISNUMBER(I1030),IF(I1030&lt;1,I1030,I1030*VLOOKUP(J1030,Summary!$H$2:$I$9,2)),VLOOKUP(J1030,Summary!$J$2:$K$9,2)*IF(ISNUMBER(H1030),H1030,1))</f>
        <v>0.64893518518518511</v>
      </c>
      <c r="AG1030" s="288">
        <v>1029</v>
      </c>
      <c r="AH1030" s="94"/>
      <c r="AI1030" s="94"/>
    </row>
    <row r="1031" spans="1:35" s="22" customFormat="1" ht="12" customHeight="1" x14ac:dyDescent="0.25">
      <c r="A1031" s="489">
        <v>13</v>
      </c>
      <c r="B1031" s="489">
        <v>4</v>
      </c>
      <c r="C1031" s="489"/>
      <c r="D1031" s="434" t="s">
        <v>4867</v>
      </c>
      <c r="E1031" s="324" t="s">
        <v>5973</v>
      </c>
      <c r="F1031" s="174">
        <v>28004</v>
      </c>
      <c r="G1031" s="175"/>
      <c r="H1031" s="176" t="s">
        <v>461</v>
      </c>
      <c r="I1031" s="176">
        <v>4</v>
      </c>
      <c r="J1031" s="900" t="s">
        <v>2755</v>
      </c>
      <c r="K1031" s="157" t="s">
        <v>5784</v>
      </c>
      <c r="L1031" s="157" t="s">
        <v>461</v>
      </c>
      <c r="M1031" s="157"/>
      <c r="N1031" s="157"/>
      <c r="O1031" s="157"/>
      <c r="P1031" s="173" t="s">
        <v>4865</v>
      </c>
      <c r="Q1031" s="157" t="s">
        <v>4705</v>
      </c>
      <c r="R1031" s="179" t="s">
        <v>4600</v>
      </c>
      <c r="S1031" s="354" t="s">
        <v>53</v>
      </c>
      <c r="T1031" s="173" t="s">
        <v>2606</v>
      </c>
      <c r="U1031" s="173"/>
      <c r="V1031" s="173"/>
      <c r="W1031" s="324" t="s">
        <v>5973</v>
      </c>
      <c r="X1031" s="656" t="s">
        <v>12326</v>
      </c>
      <c r="Y1031" s="363" t="s">
        <v>6000</v>
      </c>
      <c r="Z1031" s="176">
        <v>999</v>
      </c>
      <c r="AA1031" s="364"/>
      <c r="AB1031" s="32">
        <f t="shared" ca="1" si="18"/>
        <v>2.5947291910282999E-2</v>
      </c>
      <c r="AC1031" s="812"/>
      <c r="AD1031" s="763"/>
      <c r="AE1031" s="951"/>
      <c r="AF1031" s="921">
        <f>IF(X1031=X1030,AF1030,0)+IF(ISNUMBER(I1031),IF(I1031&lt;1,I1031,I1031*VLOOKUP(J1031,Summary!$H$2:$I$9,2)),VLOOKUP(J1031,Summary!$J$2:$K$9,2)*IF(ISNUMBER(H1031),H1031,1))</f>
        <v>0.65171296296296288</v>
      </c>
      <c r="AG1031" s="288">
        <v>1030</v>
      </c>
      <c r="AH1031" s="94"/>
      <c r="AI1031" s="94"/>
    </row>
    <row r="1032" spans="1:35" s="27" customFormat="1" ht="12" customHeight="1" x14ac:dyDescent="0.25">
      <c r="A1032" s="491">
        <v>13</v>
      </c>
      <c r="B1032" s="491">
        <v>4</v>
      </c>
      <c r="C1032" s="491"/>
      <c r="D1032" s="428" t="s">
        <v>4867</v>
      </c>
      <c r="E1032" s="325" t="s">
        <v>4894</v>
      </c>
      <c r="F1032" s="183">
        <v>28004</v>
      </c>
      <c r="G1032" s="184"/>
      <c r="H1032" s="185" t="s">
        <v>461</v>
      </c>
      <c r="I1032" s="185">
        <v>6</v>
      </c>
      <c r="J1032" s="901" t="s">
        <v>1796</v>
      </c>
      <c r="K1032" s="158" t="s">
        <v>5784</v>
      </c>
      <c r="L1032" s="158" t="s">
        <v>5784</v>
      </c>
      <c r="M1032" s="158"/>
      <c r="N1032" s="158"/>
      <c r="O1032" s="158"/>
      <c r="P1032" s="182" t="s">
        <v>4865</v>
      </c>
      <c r="Q1032" s="158" t="s">
        <v>4705</v>
      </c>
      <c r="R1032" s="207" t="s">
        <v>4600</v>
      </c>
      <c r="S1032" s="355" t="s">
        <v>53</v>
      </c>
      <c r="T1032" s="182" t="s">
        <v>2606</v>
      </c>
      <c r="U1032" s="182"/>
      <c r="V1032" s="182"/>
      <c r="W1032" s="325" t="s">
        <v>4894</v>
      </c>
      <c r="X1032" s="657" t="s">
        <v>12326</v>
      </c>
      <c r="Y1032" s="361" t="s">
        <v>6000</v>
      </c>
      <c r="Z1032" s="362"/>
      <c r="AA1032" s="362"/>
      <c r="AB1032" s="33">
        <f t="shared" ca="1" si="18"/>
        <v>0.71011149950391195</v>
      </c>
      <c r="AC1032" s="813"/>
      <c r="AD1032" s="211"/>
      <c r="AE1032" s="949"/>
      <c r="AF1032" s="922">
        <f>IF(X1032=X1031,AF1031,0)+IF(ISNUMBER(I1032),IF(I1032&lt;1,I1032,I1032*VLOOKUP(J1032,Summary!$H$2:$I$9,2)),VLOOKUP(J1032,Summary!$J$2:$K$9,2)*IF(ISNUMBER(H1032),H1032,1))</f>
        <v>0.65379629629629621</v>
      </c>
      <c r="AG1032" s="295">
        <v>1031</v>
      </c>
      <c r="AH1032" s="119"/>
      <c r="AI1032" s="119"/>
    </row>
    <row r="1033" spans="1:35" s="2" customFormat="1" ht="12" customHeight="1" x14ac:dyDescent="0.25">
      <c r="A1033" s="489">
        <v>13</v>
      </c>
      <c r="B1033" s="489">
        <v>4</v>
      </c>
      <c r="C1033" s="489"/>
      <c r="D1033" s="434" t="s">
        <v>4867</v>
      </c>
      <c r="E1033" s="324" t="s">
        <v>5517</v>
      </c>
      <c r="F1033" s="174">
        <v>28004</v>
      </c>
      <c r="G1033" s="175"/>
      <c r="H1033" s="176" t="s">
        <v>461</v>
      </c>
      <c r="I1033" s="176">
        <v>7</v>
      </c>
      <c r="J1033" s="900" t="s">
        <v>2755</v>
      </c>
      <c r="K1033" s="157" t="s">
        <v>5784</v>
      </c>
      <c r="L1033" s="157" t="s">
        <v>461</v>
      </c>
      <c r="M1033" s="157"/>
      <c r="N1033" s="157"/>
      <c r="O1033" s="157"/>
      <c r="P1033" s="173" t="s">
        <v>4865</v>
      </c>
      <c r="Q1033" s="157" t="s">
        <v>4705</v>
      </c>
      <c r="R1033" s="179" t="s">
        <v>4600</v>
      </c>
      <c r="S1033" s="354" t="s">
        <v>53</v>
      </c>
      <c r="T1033" s="173" t="s">
        <v>2606</v>
      </c>
      <c r="U1033" s="173"/>
      <c r="V1033" s="173"/>
      <c r="W1033" s="324" t="s">
        <v>5517</v>
      </c>
      <c r="X1033" s="656" t="s">
        <v>12326</v>
      </c>
      <c r="Y1033" s="363" t="s">
        <v>6000</v>
      </c>
      <c r="Z1033" s="176">
        <v>999</v>
      </c>
      <c r="AA1033" s="364"/>
      <c r="AB1033" s="32">
        <f t="shared" ca="1" si="18"/>
        <v>0.62374091131871989</v>
      </c>
      <c r="AC1033" s="812"/>
      <c r="AD1033" s="763"/>
      <c r="AE1033" s="951"/>
      <c r="AF1033" s="921">
        <f>IF(X1033=X1032,AF1032,0)+IF(ISNUMBER(I1033),IF(I1033&lt;1,I1033,I1033*VLOOKUP(J1033,Summary!$H$2:$I$9,2)),VLOOKUP(J1033,Summary!$J$2:$K$9,2)*IF(ISNUMBER(H1033),H1033,1))</f>
        <v>0.6586574074074073</v>
      </c>
      <c r="AG1033" s="288">
        <v>1032</v>
      </c>
      <c r="AH1033" s="94"/>
      <c r="AI1033" s="94"/>
    </row>
    <row r="1034" spans="1:35" s="22" customFormat="1" ht="12" customHeight="1" x14ac:dyDescent="0.25">
      <c r="A1034" s="490">
        <v>13</v>
      </c>
      <c r="B1034" s="490">
        <v>4</v>
      </c>
      <c r="C1034" s="496">
        <v>23.2</v>
      </c>
      <c r="D1034" s="434" t="s">
        <v>5522</v>
      </c>
      <c r="E1034" s="324" t="s">
        <v>5520</v>
      </c>
      <c r="F1034" s="174">
        <v>39234</v>
      </c>
      <c r="G1034" s="174"/>
      <c r="H1034" s="176">
        <v>1</v>
      </c>
      <c r="I1034" s="176">
        <v>19</v>
      </c>
      <c r="J1034" s="900" t="s">
        <v>2755</v>
      </c>
      <c r="K1034" s="164" t="s">
        <v>5521</v>
      </c>
      <c r="L1034" s="164" t="s">
        <v>461</v>
      </c>
      <c r="M1034" s="164"/>
      <c r="N1034" s="164" t="s">
        <v>804</v>
      </c>
      <c r="O1034" s="164"/>
      <c r="P1034" s="173" t="s">
        <v>6700</v>
      </c>
      <c r="Q1034" s="164" t="s">
        <v>3947</v>
      </c>
      <c r="R1034" s="179" t="s">
        <v>2723</v>
      </c>
      <c r="S1034" s="354" t="s">
        <v>53</v>
      </c>
      <c r="T1034" s="173" t="s">
        <v>2606</v>
      </c>
      <c r="U1034" s="173"/>
      <c r="V1034" s="173"/>
      <c r="W1034" s="324" t="s">
        <v>5520</v>
      </c>
      <c r="X1034" s="656" t="s">
        <v>12326</v>
      </c>
      <c r="Y1034" s="354"/>
      <c r="Z1034" s="176"/>
      <c r="AA1034" s="176"/>
      <c r="AB1034" s="32">
        <f t="shared" ca="1" si="18"/>
        <v>0.9461915929039264</v>
      </c>
      <c r="AC1034" s="812"/>
      <c r="AD1034" s="763"/>
      <c r="AE1034" s="951"/>
      <c r="AF1034" s="921">
        <f>IF(X1034=X1033,AF1033,0)+IF(ISNUMBER(I1034),IF(I1034&lt;1,I1034,I1034*VLOOKUP(J1034,Summary!$H$2:$I$9,2)),VLOOKUP(J1034,Summary!$J$2:$K$9,2)*IF(ISNUMBER(H1034),H1034,1))</f>
        <v>0.6718518518518517</v>
      </c>
      <c r="AG1034" s="288">
        <v>1033</v>
      </c>
      <c r="AH1034" s="94"/>
      <c r="AI1034" s="94"/>
    </row>
    <row r="1035" spans="1:35" s="43" customFormat="1" ht="12" customHeight="1" x14ac:dyDescent="0.25">
      <c r="A1035" s="799" t="s">
        <v>2160</v>
      </c>
      <c r="B1035" s="799">
        <v>4</v>
      </c>
      <c r="C1035" s="799">
        <v>1</v>
      </c>
      <c r="D1035" s="619" t="s">
        <v>15552</v>
      </c>
      <c r="E1035" s="345" t="s">
        <v>15553</v>
      </c>
      <c r="F1035" s="800">
        <v>31747</v>
      </c>
      <c r="G1035" s="219"/>
      <c r="H1035" s="210" t="s">
        <v>461</v>
      </c>
      <c r="I1035" s="210">
        <v>371</v>
      </c>
      <c r="J1035" s="908" t="s">
        <v>15556</v>
      </c>
      <c r="K1035" s="166" t="s">
        <v>15555</v>
      </c>
      <c r="L1035" s="166"/>
      <c r="M1035" s="166"/>
      <c r="N1035" s="166"/>
      <c r="O1035" s="166"/>
      <c r="P1035" s="267" t="s">
        <v>461</v>
      </c>
      <c r="Q1035" s="166" t="s">
        <v>15557</v>
      </c>
      <c r="R1035" s="268" t="s">
        <v>15554</v>
      </c>
      <c r="S1035" s="386" t="s">
        <v>53</v>
      </c>
      <c r="T1035" s="267" t="s">
        <v>2606</v>
      </c>
      <c r="U1035" s="267"/>
      <c r="V1035" s="267"/>
      <c r="W1035" s="345" t="s">
        <v>15553</v>
      </c>
      <c r="X1035" s="680" t="s">
        <v>12326</v>
      </c>
      <c r="Y1035" s="384"/>
      <c r="Z1035" s="385"/>
      <c r="AA1035" s="385"/>
      <c r="AB1035" s="41">
        <f t="shared" ca="1" si="18"/>
        <v>3.1795810685331882E-2</v>
      </c>
      <c r="AC1035" s="832"/>
      <c r="AD1035" s="833"/>
      <c r="AE1035" s="956"/>
      <c r="AF1035" s="929">
        <f>IF(X1035=X1034,AF1034,0)+IF(ISNUMBER(I1035),IF(I1035&lt;1,I1035,I1035*VLOOKUP(J1035,Summary!$H$2:$I$9,2)),VLOOKUP(J1035,Summary!$J$2:$K$9,2)*IF(ISNUMBER(H1035),H1035,1))</f>
        <v>0.80067129629629619</v>
      </c>
      <c r="AG1035" s="307">
        <v>1034</v>
      </c>
      <c r="AH1035" s="94"/>
      <c r="AI1035" s="94"/>
    </row>
    <row r="1036" spans="1:35" s="1" customFormat="1" ht="12" customHeight="1" x14ac:dyDescent="0.25">
      <c r="A1036" s="494">
        <v>13</v>
      </c>
      <c r="B1036" s="494">
        <v>4</v>
      </c>
      <c r="C1036" s="495">
        <v>7.06</v>
      </c>
      <c r="D1036" s="192" t="s">
        <v>12691</v>
      </c>
      <c r="E1036" s="317" t="s">
        <v>12692</v>
      </c>
      <c r="F1036" s="209">
        <v>42915</v>
      </c>
      <c r="G1036" s="209"/>
      <c r="H1036" s="192">
        <v>1</v>
      </c>
      <c r="I1036" s="753">
        <f>TIME(0,35,29)</f>
        <v>2.4641203703703703E-2</v>
      </c>
      <c r="J1036" s="903" t="s">
        <v>2755</v>
      </c>
      <c r="K1036" s="194" t="s">
        <v>1643</v>
      </c>
      <c r="L1036" s="194" t="s">
        <v>5662</v>
      </c>
      <c r="M1036" s="194" t="s">
        <v>10223</v>
      </c>
      <c r="N1036" s="194"/>
      <c r="O1036" s="194"/>
      <c r="P1036" s="190" t="s">
        <v>12693</v>
      </c>
      <c r="Q1036" s="194" t="s">
        <v>3947</v>
      </c>
      <c r="R1036" s="193" t="s">
        <v>2722</v>
      </c>
      <c r="S1036" s="357" t="s">
        <v>53</v>
      </c>
      <c r="T1036" s="190" t="s">
        <v>2606</v>
      </c>
      <c r="U1036" s="190"/>
      <c r="V1036" s="190"/>
      <c r="W1036" s="317" t="s">
        <v>1977</v>
      </c>
      <c r="X1036" s="649" t="s">
        <v>12326</v>
      </c>
      <c r="Y1036" s="357" t="s">
        <v>5643</v>
      </c>
      <c r="Z1036" s="192"/>
      <c r="AA1036" s="192"/>
      <c r="AB1036" s="37">
        <f t="shared" ca="1" si="18"/>
        <v>4.1415368914631823E-2</v>
      </c>
      <c r="AC1036" s="816"/>
      <c r="AD1036" s="817"/>
      <c r="AE1036" s="943"/>
      <c r="AF1036" s="924">
        <f>IF(X1036=X1035,AF1035,0)+IF(ISNUMBER(I1036),IF(I1036&lt;1,I1036,I1036*VLOOKUP(J1036,Summary!$H$2:$I$9,2)),VLOOKUP(J1036,Summary!$J$2:$K$9,2)*IF(ISNUMBER(H1036),H1036,1))</f>
        <v>0.82531249999999989</v>
      </c>
      <c r="AG1036" s="292">
        <v>1035</v>
      </c>
      <c r="AH1036" s="94"/>
      <c r="AI1036" s="94"/>
    </row>
    <row r="1037" spans="1:35" s="45" customFormat="1" ht="12" customHeight="1" x14ac:dyDescent="0.3">
      <c r="A1037" s="485" t="s">
        <v>2160</v>
      </c>
      <c r="B1037" s="485">
        <v>4</v>
      </c>
      <c r="C1037" s="485">
        <v>83</v>
      </c>
      <c r="D1037" s="486"/>
      <c r="E1037" s="332" t="s">
        <v>15976</v>
      </c>
      <c r="F1037" s="213">
        <v>43489</v>
      </c>
      <c r="G1037" s="214"/>
      <c r="H1037" s="214" t="str">
        <f>IF(J1037="Book","n/a","")</f>
        <v>n/a</v>
      </c>
      <c r="I1037" s="214">
        <v>304</v>
      </c>
      <c r="J1037" s="906" t="s">
        <v>6868</v>
      </c>
      <c r="K1037" s="161" t="s">
        <v>15977</v>
      </c>
      <c r="L1037" s="161" t="str">
        <f>IF(J1037="Book","n/a","")</f>
        <v>n/a</v>
      </c>
      <c r="M1037" s="161" t="s">
        <v>13422</v>
      </c>
      <c r="N1037" s="161"/>
      <c r="O1037" s="161"/>
      <c r="P1037" s="212" t="s">
        <v>15978</v>
      </c>
      <c r="Q1037" s="161" t="s">
        <v>3953</v>
      </c>
      <c r="R1037" s="231" t="s">
        <v>2717</v>
      </c>
      <c r="S1037" s="365" t="s">
        <v>53</v>
      </c>
      <c r="T1037" s="212" t="s">
        <v>2606</v>
      </c>
      <c r="U1037" s="212"/>
      <c r="V1037" s="212"/>
      <c r="W1037" s="332" t="s">
        <v>15976</v>
      </c>
      <c r="X1037" s="664" t="s">
        <v>12326</v>
      </c>
      <c r="Y1037" s="370"/>
      <c r="Z1037" s="371"/>
      <c r="AA1037" s="371"/>
      <c r="AB1037" s="39">
        <f t="shared" ca="1" si="18"/>
        <v>0.33716639629143641</v>
      </c>
      <c r="AC1037" s="828"/>
      <c r="AD1037" s="829"/>
      <c r="AE1037" s="952"/>
      <c r="AF1037" s="927">
        <f>IF(X1037=X1036,AF1036,0)+IF(ISNUMBER(I1037),IF(I1037&lt;1,I1037,I1037*VLOOKUP(J1037,Summary!$H$2:$I$9,2)),VLOOKUP(J1037,Summary!$J$2:$K$9,2)*IF(ISNUMBER(H1037),H1037,1))</f>
        <v>1.0364236111111109</v>
      </c>
      <c r="AG1037" s="299">
        <v>1036</v>
      </c>
      <c r="AH1037" s="94"/>
      <c r="AI1037" s="94"/>
    </row>
    <row r="1038" spans="1:35" s="22" customFormat="1" ht="12" customHeight="1" x14ac:dyDescent="0.25">
      <c r="A1038" s="490">
        <v>13</v>
      </c>
      <c r="B1038" s="490">
        <v>4</v>
      </c>
      <c r="C1038" s="490">
        <v>16.14</v>
      </c>
      <c r="D1038" s="434" t="s">
        <v>5712</v>
      </c>
      <c r="E1038" s="324" t="s">
        <v>5519</v>
      </c>
      <c r="F1038" s="174">
        <v>38473</v>
      </c>
      <c r="G1038" s="175"/>
      <c r="H1038" s="176">
        <v>1</v>
      </c>
      <c r="I1038" s="176">
        <v>10</v>
      </c>
      <c r="J1038" s="900" t="s">
        <v>2755</v>
      </c>
      <c r="K1038" s="157" t="s">
        <v>2554</v>
      </c>
      <c r="L1038" s="157" t="s">
        <v>461</v>
      </c>
      <c r="M1038" s="157"/>
      <c r="N1038" s="157" t="s">
        <v>7381</v>
      </c>
      <c r="O1038" s="157"/>
      <c r="P1038" s="173" t="s">
        <v>1652</v>
      </c>
      <c r="Q1038" s="157" t="s">
        <v>3947</v>
      </c>
      <c r="R1038" s="179" t="s">
        <v>2723</v>
      </c>
      <c r="S1038" s="354" t="s">
        <v>53</v>
      </c>
      <c r="T1038" s="173" t="s">
        <v>2606</v>
      </c>
      <c r="U1038" s="173"/>
      <c r="V1038" s="173"/>
      <c r="W1038" s="324" t="s">
        <v>5519</v>
      </c>
      <c r="X1038" s="656" t="s">
        <v>12326</v>
      </c>
      <c r="Y1038" s="363"/>
      <c r="Z1038" s="364"/>
      <c r="AA1038" s="364"/>
      <c r="AB1038" s="32">
        <f t="shared" ca="1" si="18"/>
        <v>0.50271160522677805</v>
      </c>
      <c r="AC1038" s="812"/>
      <c r="AD1038" s="763"/>
      <c r="AE1038" s="951"/>
      <c r="AF1038" s="921">
        <f>IF(X1038=X1037,AF1037,0)+IF(ISNUMBER(I1038),IF(I1038&lt;1,I1038,I1038*VLOOKUP(J1038,Summary!$H$2:$I$9,2)),VLOOKUP(J1038,Summary!$J$2:$K$9,2)*IF(ISNUMBER(H1038),H1038,1))</f>
        <v>1.0433680555555553</v>
      </c>
      <c r="AG1038" s="288">
        <v>1037</v>
      </c>
      <c r="AH1038" s="94"/>
      <c r="AI1038" s="94"/>
    </row>
    <row r="1039" spans="1:35" s="22" customFormat="1" ht="12" customHeight="1" x14ac:dyDescent="0.25">
      <c r="A1039" s="490" t="s">
        <v>2160</v>
      </c>
      <c r="B1039" s="490">
        <v>4</v>
      </c>
      <c r="C1039" s="496">
        <v>14.3</v>
      </c>
      <c r="D1039" s="176" t="s">
        <v>3566</v>
      </c>
      <c r="E1039" s="313" t="s">
        <v>5948</v>
      </c>
      <c r="F1039" s="174">
        <v>38322</v>
      </c>
      <c r="G1039" s="174"/>
      <c r="H1039" s="176">
        <v>1</v>
      </c>
      <c r="I1039" s="176">
        <v>8</v>
      </c>
      <c r="J1039" s="900" t="s">
        <v>2755</v>
      </c>
      <c r="K1039" s="164" t="s">
        <v>188</v>
      </c>
      <c r="L1039" s="164" t="s">
        <v>461</v>
      </c>
      <c r="M1039" s="164"/>
      <c r="N1039" s="164" t="s">
        <v>3807</v>
      </c>
      <c r="O1039" s="164"/>
      <c r="P1039" s="173" t="s">
        <v>6565</v>
      </c>
      <c r="Q1039" s="164" t="s">
        <v>3947</v>
      </c>
      <c r="R1039" s="179" t="s">
        <v>2723</v>
      </c>
      <c r="S1039" s="354" t="s">
        <v>53</v>
      </c>
      <c r="T1039" s="173" t="s">
        <v>2606</v>
      </c>
      <c r="U1039" s="173"/>
      <c r="V1039" s="173"/>
      <c r="W1039" s="313" t="s">
        <v>5948</v>
      </c>
      <c r="X1039" s="645" t="s">
        <v>12326</v>
      </c>
      <c r="Y1039" s="354"/>
      <c r="Z1039" s="176"/>
      <c r="AA1039" s="176"/>
      <c r="AB1039" s="32">
        <f t="shared" ca="1" si="18"/>
        <v>0.94251994008119755</v>
      </c>
      <c r="AC1039" s="812"/>
      <c r="AD1039" s="763"/>
      <c r="AE1039" s="942"/>
      <c r="AF1039" s="921">
        <f>IF(X1039=X1038,AF1038,0)+IF(ISNUMBER(I1039),IF(I1039&lt;1,I1039,I1039*VLOOKUP(J1039,Summary!$H$2:$I$9,2)),VLOOKUP(J1039,Summary!$J$2:$K$9,2)*IF(ISNUMBER(H1039),H1039,1))</f>
        <v>1.0489236111111109</v>
      </c>
      <c r="AG1039" s="288">
        <v>1038</v>
      </c>
      <c r="AH1039" s="94"/>
      <c r="AI1039" s="94"/>
    </row>
    <row r="1040" spans="1:35" s="1" customFormat="1" ht="12" customHeight="1" x14ac:dyDescent="0.25">
      <c r="A1040" s="487" t="s">
        <v>2160</v>
      </c>
      <c r="B1040" s="487">
        <v>4</v>
      </c>
      <c r="C1040" s="487">
        <v>84</v>
      </c>
      <c r="D1040" s="424" t="s">
        <v>5674</v>
      </c>
      <c r="E1040" s="319" t="s">
        <v>5675</v>
      </c>
      <c r="F1040" s="198">
        <v>27762</v>
      </c>
      <c r="G1040" s="198">
        <v>27783</v>
      </c>
      <c r="H1040" s="199">
        <v>4</v>
      </c>
      <c r="I1040" s="791">
        <f>TIME(0,25,25)+TIME(0,24,46)+TIME(0,25, 7)+TIME(0,24,18)</f>
        <v>6.9166666666666668E-2</v>
      </c>
      <c r="J1040" s="904" t="s">
        <v>1588</v>
      </c>
      <c r="K1040" s="200" t="s">
        <v>5676</v>
      </c>
      <c r="L1040" s="200" t="s">
        <v>30</v>
      </c>
      <c r="M1040" s="200"/>
      <c r="N1040" s="200" t="s">
        <v>1093</v>
      </c>
      <c r="O1040" s="200" t="s">
        <v>1717</v>
      </c>
      <c r="P1040" s="197" t="s">
        <v>461</v>
      </c>
      <c r="Q1040" s="200" t="s">
        <v>3946</v>
      </c>
      <c r="R1040" s="201" t="s">
        <v>5280</v>
      </c>
      <c r="S1040" s="390" t="s">
        <v>53</v>
      </c>
      <c r="T1040" s="197"/>
      <c r="U1040" s="197"/>
      <c r="V1040" s="197"/>
      <c r="W1040" s="318" t="s">
        <v>8702</v>
      </c>
      <c r="X1040" s="650" t="s">
        <v>12326</v>
      </c>
      <c r="Y1040" s="358" t="s">
        <v>6141</v>
      </c>
      <c r="Z1040" s="253">
        <v>78</v>
      </c>
      <c r="AA1040" s="253">
        <v>7.5</v>
      </c>
      <c r="AB1040" s="35">
        <f t="shared" ca="1" si="18"/>
        <v>0.10643131402435912</v>
      </c>
      <c r="AC1040" s="820"/>
      <c r="AD1040" s="821" t="s">
        <v>16347</v>
      </c>
      <c r="AE1040" s="944" t="s">
        <v>3365</v>
      </c>
      <c r="AF1040" s="925">
        <f>IF(X1040=X1039,AF1039,0)+IF(ISNUMBER(I1040),IF(I1040&lt;1,I1040,I1040*VLOOKUP(J1040,Summary!$H$2:$I$9,2)),VLOOKUP(J1040,Summary!$J$2:$K$9,2)*IF(ISNUMBER(H1040),H1040,1))</f>
        <v>1.1180902777777775</v>
      </c>
      <c r="AG1040" s="293">
        <v>1039</v>
      </c>
      <c r="AH1040" s="94"/>
      <c r="AI1040" s="94"/>
    </row>
    <row r="1041" spans="1:35" s="29" customFormat="1" ht="12" customHeight="1" x14ac:dyDescent="0.25">
      <c r="A1041" s="492" t="s">
        <v>2160</v>
      </c>
      <c r="B1041" s="492">
        <v>4</v>
      </c>
      <c r="C1041" s="492">
        <v>2</v>
      </c>
      <c r="D1041" s="417" t="s">
        <v>5677</v>
      </c>
      <c r="E1041" s="316" t="s">
        <v>5678</v>
      </c>
      <c r="F1041" s="187">
        <v>34578</v>
      </c>
      <c r="G1041" s="188"/>
      <c r="H1041" s="188" t="str">
        <f>IF(J1041="Book","n/a","")</f>
        <v>n/a</v>
      </c>
      <c r="I1041" s="188">
        <v>256</v>
      </c>
      <c r="J1041" s="902" t="s">
        <v>6868</v>
      </c>
      <c r="K1041" s="162" t="s">
        <v>7085</v>
      </c>
      <c r="L1041" s="162" t="str">
        <f>IF(J1041="Book","n/a","")</f>
        <v>n/a</v>
      </c>
      <c r="M1041" s="162"/>
      <c r="N1041" s="162"/>
      <c r="O1041" s="162"/>
      <c r="P1041" s="178" t="s">
        <v>8587</v>
      </c>
      <c r="Q1041" s="162" t="s">
        <v>601</v>
      </c>
      <c r="R1041" s="189" t="s">
        <v>2715</v>
      </c>
      <c r="S1041" s="366" t="s">
        <v>53</v>
      </c>
      <c r="T1041" s="178"/>
      <c r="U1041" s="178"/>
      <c r="V1041" s="178"/>
      <c r="W1041" s="316" t="s">
        <v>5678</v>
      </c>
      <c r="X1041" s="648" t="s">
        <v>12326</v>
      </c>
      <c r="Y1041" s="356"/>
      <c r="Z1041" s="272">
        <v>191</v>
      </c>
      <c r="AA1041" s="272">
        <v>3.5</v>
      </c>
      <c r="AB1041" s="34">
        <f t="shared" ca="1" si="18"/>
        <v>0.44657586340047395</v>
      </c>
      <c r="AC1041" s="814"/>
      <c r="AD1041" s="815" t="s">
        <v>16622</v>
      </c>
      <c r="AE1041" s="942"/>
      <c r="AF1041" s="923">
        <f>IF(X1041=X1040,AF1040,0)+IF(ISNUMBER(I1041),IF(I1041&lt;1,I1041,I1041*VLOOKUP(J1041,Summary!$H$2:$I$9,2)),VLOOKUP(J1041,Summary!$J$2:$K$9,2)*IF(ISNUMBER(H1041),H1041,1))</f>
        <v>1.2958680555555553</v>
      </c>
      <c r="AG1041" s="291">
        <v>1040</v>
      </c>
      <c r="AH1041" s="94"/>
      <c r="AI1041" s="94"/>
    </row>
    <row r="1042" spans="1:35" s="29" customFormat="1" ht="12" customHeight="1" x14ac:dyDescent="0.25">
      <c r="A1042" s="494">
        <v>13</v>
      </c>
      <c r="B1042" s="494">
        <v>4</v>
      </c>
      <c r="C1042" s="640">
        <v>1</v>
      </c>
      <c r="D1042" s="192" t="s">
        <v>14493</v>
      </c>
      <c r="E1042" s="317" t="s">
        <v>14494</v>
      </c>
      <c r="F1042" s="209">
        <v>43167</v>
      </c>
      <c r="G1042" s="191"/>
      <c r="H1042" s="192">
        <v>1</v>
      </c>
      <c r="I1042" s="192"/>
      <c r="J1042" s="903" t="s">
        <v>2755</v>
      </c>
      <c r="K1042" s="194" t="s">
        <v>4552</v>
      </c>
      <c r="L1042" s="194" t="s">
        <v>14484</v>
      </c>
      <c r="M1042" s="194" t="s">
        <v>13431</v>
      </c>
      <c r="N1042" s="194"/>
      <c r="O1042" s="194"/>
      <c r="P1042" s="190" t="s">
        <v>14485</v>
      </c>
      <c r="Q1042" s="194" t="s">
        <v>3953</v>
      </c>
      <c r="R1042" s="221" t="s">
        <v>14486</v>
      </c>
      <c r="S1042" s="357" t="s">
        <v>53</v>
      </c>
      <c r="T1042" s="190"/>
      <c r="U1042" s="190"/>
      <c r="V1042" s="190"/>
      <c r="W1042" s="317" t="s">
        <v>14494</v>
      </c>
      <c r="X1042" s="649" t="s">
        <v>12326</v>
      </c>
      <c r="Y1042" s="357"/>
      <c r="Z1042" s="192"/>
      <c r="AA1042" s="192"/>
      <c r="AB1042" s="37">
        <f t="shared" ca="1" si="18"/>
        <v>0.76897712904960314</v>
      </c>
      <c r="AC1042" s="816"/>
      <c r="AD1042" s="817"/>
      <c r="AE1042" s="943"/>
      <c r="AF1042" s="924">
        <f>IF(X1042=X1041,AF1041,0)+IF(ISNUMBER(I1042),IF(I1042&lt;1,I1042,I1042*VLOOKUP(J1042,Summary!$H$2:$I$9,2)),VLOOKUP(J1042,Summary!$J$2:$K$9,2)*IF(ISNUMBER(H1042),H1042,1))</f>
        <v>1.3132291666666664</v>
      </c>
      <c r="AG1042" s="298">
        <v>1041</v>
      </c>
      <c r="AH1042" s="94"/>
      <c r="AI1042" s="94"/>
    </row>
    <row r="1043" spans="1:35" s="22" customFormat="1" ht="12" customHeight="1" x14ac:dyDescent="0.25">
      <c r="A1043" s="494">
        <v>13</v>
      </c>
      <c r="B1043" s="494">
        <v>4</v>
      </c>
      <c r="C1043" s="495">
        <v>2.04</v>
      </c>
      <c r="D1043" s="192" t="s">
        <v>3854</v>
      </c>
      <c r="E1043" s="317" t="s">
        <v>1977</v>
      </c>
      <c r="F1043" s="209">
        <v>40602</v>
      </c>
      <c r="G1043" s="209"/>
      <c r="H1043" s="192">
        <v>1</v>
      </c>
      <c r="I1043" s="753">
        <f>TIME(0,15,46)</f>
        <v>1.0949074074074075E-2</v>
      </c>
      <c r="J1043" s="903" t="s">
        <v>2755</v>
      </c>
      <c r="K1043" s="194" t="s">
        <v>1984</v>
      </c>
      <c r="L1043" s="194" t="s">
        <v>3426</v>
      </c>
      <c r="M1043" s="194" t="s">
        <v>7408</v>
      </c>
      <c r="N1043" s="194"/>
      <c r="O1043" s="194"/>
      <c r="P1043" s="190" t="s">
        <v>6698</v>
      </c>
      <c r="Q1043" s="194" t="s">
        <v>3947</v>
      </c>
      <c r="R1043" s="193" t="s">
        <v>2722</v>
      </c>
      <c r="S1043" s="357" t="s">
        <v>53</v>
      </c>
      <c r="T1043" s="190"/>
      <c r="U1043" s="190"/>
      <c r="V1043" s="190"/>
      <c r="W1043" s="317" t="s">
        <v>1977</v>
      </c>
      <c r="X1043" s="649" t="s">
        <v>12326</v>
      </c>
      <c r="Y1043" s="357" t="s">
        <v>5643</v>
      </c>
      <c r="Z1043" s="192">
        <v>999</v>
      </c>
      <c r="AA1043" s="192"/>
      <c r="AB1043" s="37">
        <f t="shared" ca="1" si="18"/>
        <v>0.84916745225351975</v>
      </c>
      <c r="AC1043" s="816"/>
      <c r="AD1043" s="817"/>
      <c r="AE1043" s="943"/>
      <c r="AF1043" s="924">
        <f>IF(X1043=X1042,AF1042,0)+IF(ISNUMBER(I1043),IF(I1043&lt;1,I1043,I1043*VLOOKUP(J1043,Summary!$H$2:$I$9,2)),VLOOKUP(J1043,Summary!$J$2:$K$9,2)*IF(ISNUMBER(H1043),H1043,1))</f>
        <v>1.3241782407407405</v>
      </c>
      <c r="AG1043" s="292">
        <v>1042</v>
      </c>
      <c r="AH1043" s="94"/>
      <c r="AI1043" s="94"/>
    </row>
    <row r="1044" spans="1:35" s="22" customFormat="1" ht="12" customHeight="1" x14ac:dyDescent="0.25">
      <c r="A1044" s="490">
        <v>13</v>
      </c>
      <c r="B1044" s="490">
        <v>4</v>
      </c>
      <c r="C1044" s="490">
        <v>2</v>
      </c>
      <c r="D1044" s="176" t="s">
        <v>9776</v>
      </c>
      <c r="E1044" s="313" t="s">
        <v>9777</v>
      </c>
      <c r="F1044" s="175">
        <v>42159</v>
      </c>
      <c r="G1044" s="174"/>
      <c r="H1044" s="176" t="s">
        <v>461</v>
      </c>
      <c r="I1044" s="176"/>
      <c r="J1044" s="900" t="s">
        <v>2755</v>
      </c>
      <c r="K1044" s="164" t="s">
        <v>2310</v>
      </c>
      <c r="L1044" s="164" t="s">
        <v>461</v>
      </c>
      <c r="M1044" s="164"/>
      <c r="N1044" s="164"/>
      <c r="O1044" s="164"/>
      <c r="P1044" s="173" t="s">
        <v>9509</v>
      </c>
      <c r="Q1044" s="164" t="s">
        <v>3953</v>
      </c>
      <c r="R1044" s="177" t="s">
        <v>9510</v>
      </c>
      <c r="S1044" s="354" t="s">
        <v>53</v>
      </c>
      <c r="T1044" s="173"/>
      <c r="U1044" s="173"/>
      <c r="V1044" s="173"/>
      <c r="W1044" s="313" t="s">
        <v>9777</v>
      </c>
      <c r="X1044" s="645" t="s">
        <v>12326</v>
      </c>
      <c r="Y1044" s="354"/>
      <c r="Z1044" s="157"/>
      <c r="AA1044" s="176"/>
      <c r="AB1044" s="32">
        <f t="shared" ca="1" si="18"/>
        <v>0.7028133264963552</v>
      </c>
      <c r="AC1044" s="812"/>
      <c r="AD1044" s="763"/>
      <c r="AE1044" s="807"/>
      <c r="AF1044" s="921">
        <f>IF(X1044=X1043,AF1043,0)+IF(ISNUMBER(I1044),IF(I1044&lt;1,I1044,I1044*VLOOKUP(J1044,Summary!$H$2:$I$9,2)),VLOOKUP(J1044,Summary!$J$2:$K$9,2)*IF(ISNUMBER(H1044),H1044,1))</f>
        <v>1.3415393518518517</v>
      </c>
      <c r="AG1044" s="289">
        <v>1043</v>
      </c>
      <c r="AH1044" s="94"/>
      <c r="AI1044" s="94"/>
    </row>
    <row r="1045" spans="1:35" s="22" customFormat="1" ht="12" customHeight="1" x14ac:dyDescent="0.2">
      <c r="A1045" s="488" t="s">
        <v>15655</v>
      </c>
      <c r="B1045" s="488">
        <v>4</v>
      </c>
      <c r="C1045" s="488">
        <v>105</v>
      </c>
      <c r="D1045" s="185" t="s">
        <v>4758</v>
      </c>
      <c r="E1045" s="314" t="s">
        <v>4759</v>
      </c>
      <c r="F1045" s="184">
        <v>27482</v>
      </c>
      <c r="G1045" s="184">
        <v>27531</v>
      </c>
      <c r="H1045" s="185">
        <v>8</v>
      </c>
      <c r="I1045" s="185">
        <v>16</v>
      </c>
      <c r="J1045" s="901" t="s">
        <v>1796</v>
      </c>
      <c r="K1045" s="163" t="s">
        <v>5784</v>
      </c>
      <c r="L1045" s="163" t="s">
        <v>4757</v>
      </c>
      <c r="M1045" s="163"/>
      <c r="N1045" s="163"/>
      <c r="O1045" s="163"/>
      <c r="P1045" s="182" t="s">
        <v>461</v>
      </c>
      <c r="Q1045" s="163" t="s">
        <v>1797</v>
      </c>
      <c r="R1045" s="186" t="s">
        <v>4601</v>
      </c>
      <c r="S1045" s="355" t="s">
        <v>53</v>
      </c>
      <c r="T1045" s="182"/>
      <c r="U1045" s="182"/>
      <c r="V1045" s="182"/>
      <c r="W1045" s="328"/>
      <c r="X1045" s="660" t="s">
        <v>15424</v>
      </c>
      <c r="Y1045" s="355"/>
      <c r="Z1045" s="185"/>
      <c r="AA1045" s="185"/>
      <c r="AB1045" s="33">
        <f t="shared" ca="1" si="18"/>
        <v>0.42877126783162289</v>
      </c>
      <c r="AC1045" s="813"/>
      <c r="AD1045" s="211"/>
      <c r="AE1045" s="875"/>
      <c r="AF1045" s="922">
        <f>IF(X1045=X1044,AF1044,0)+IF(ISNUMBER(I1045),IF(I1045&lt;1,I1045,I1045*VLOOKUP(J1045,Summary!$H$2:$I$9,2)),VLOOKUP(J1045,Summary!$J$2:$K$9,2)*IF(ISNUMBER(H1045),H1045,1))</f>
        <v>5.5555555555555558E-3</v>
      </c>
      <c r="AG1045" s="290">
        <v>1044</v>
      </c>
      <c r="AH1045" s="94"/>
      <c r="AI1045" s="94"/>
    </row>
    <row r="1046" spans="1:35" s="27" customFormat="1" ht="12" customHeight="1" x14ac:dyDescent="0.25">
      <c r="A1046" s="488" t="s">
        <v>15655</v>
      </c>
      <c r="B1046" s="488">
        <v>4</v>
      </c>
      <c r="C1046" s="488">
        <v>106</v>
      </c>
      <c r="D1046" s="185" t="s">
        <v>4760</v>
      </c>
      <c r="E1046" s="314" t="s">
        <v>4761</v>
      </c>
      <c r="F1046" s="184">
        <v>27538</v>
      </c>
      <c r="G1046" s="184">
        <v>27594</v>
      </c>
      <c r="H1046" s="185">
        <v>9</v>
      </c>
      <c r="I1046" s="185">
        <v>18</v>
      </c>
      <c r="J1046" s="901" t="s">
        <v>1796</v>
      </c>
      <c r="K1046" s="163" t="s">
        <v>3548</v>
      </c>
      <c r="L1046" s="163" t="s">
        <v>4757</v>
      </c>
      <c r="M1046" s="163"/>
      <c r="N1046" s="163"/>
      <c r="O1046" s="163"/>
      <c r="P1046" s="182" t="s">
        <v>461</v>
      </c>
      <c r="Q1046" s="163" t="s">
        <v>1797</v>
      </c>
      <c r="R1046" s="186" t="s">
        <v>4601</v>
      </c>
      <c r="S1046" s="355" t="s">
        <v>53</v>
      </c>
      <c r="T1046" s="182"/>
      <c r="U1046" s="182"/>
      <c r="V1046" s="182"/>
      <c r="W1046" s="328"/>
      <c r="X1046" s="660" t="s">
        <v>15424</v>
      </c>
      <c r="Y1046" s="355"/>
      <c r="Z1046" s="185"/>
      <c r="AA1046" s="185"/>
      <c r="AB1046" s="33">
        <f t="shared" ca="1" si="18"/>
        <v>0.9836455933325301</v>
      </c>
      <c r="AC1046" s="813"/>
      <c r="AD1046" s="211"/>
      <c r="AE1046" s="875"/>
      <c r="AF1046" s="922">
        <f>IF(X1046=X1045,AF1045,0)+IF(ISNUMBER(I1046),IF(I1046&lt;1,I1046,I1046*VLOOKUP(J1046,Summary!$H$2:$I$9,2)),VLOOKUP(J1046,Summary!$J$2:$K$9,2)*IF(ISNUMBER(H1046),H1046,1))</f>
        <v>1.1805555555555555E-2</v>
      </c>
      <c r="AG1046" s="290">
        <v>1045</v>
      </c>
      <c r="AH1046" s="119"/>
      <c r="AI1046" s="119"/>
    </row>
    <row r="1047" spans="1:35" s="27" customFormat="1" ht="12" customHeight="1" x14ac:dyDescent="0.25">
      <c r="A1047" s="488" t="s">
        <v>15655</v>
      </c>
      <c r="B1047" s="488">
        <v>4</v>
      </c>
      <c r="C1047" s="488">
        <v>107</v>
      </c>
      <c r="D1047" s="185" t="s">
        <v>6608</v>
      </c>
      <c r="E1047" s="314" t="s">
        <v>4762</v>
      </c>
      <c r="F1047" s="184">
        <v>27601</v>
      </c>
      <c r="G1047" s="184">
        <v>27643</v>
      </c>
      <c r="H1047" s="185">
        <v>7</v>
      </c>
      <c r="I1047" s="185"/>
      <c r="J1047" s="901" t="s">
        <v>1796</v>
      </c>
      <c r="K1047" s="163" t="s">
        <v>5784</v>
      </c>
      <c r="L1047" s="163" t="s">
        <v>5174</v>
      </c>
      <c r="M1047" s="163"/>
      <c r="N1047" s="163"/>
      <c r="O1047" s="163"/>
      <c r="P1047" s="182" t="s">
        <v>461</v>
      </c>
      <c r="Q1047" s="163" t="s">
        <v>1797</v>
      </c>
      <c r="R1047" s="186" t="s">
        <v>4601</v>
      </c>
      <c r="S1047" s="355" t="s">
        <v>53</v>
      </c>
      <c r="T1047" s="182"/>
      <c r="U1047" s="182"/>
      <c r="V1047" s="182"/>
      <c r="W1047" s="328"/>
      <c r="X1047" s="660" t="s">
        <v>15424</v>
      </c>
      <c r="Y1047" s="355"/>
      <c r="Z1047" s="185"/>
      <c r="AA1047" s="185"/>
      <c r="AB1047" s="33">
        <f t="shared" ca="1" si="18"/>
        <v>0.47844284244866653</v>
      </c>
      <c r="AC1047" s="813"/>
      <c r="AD1047" s="211"/>
      <c r="AE1047" s="875"/>
      <c r="AF1047" s="922">
        <f>IF(X1047=X1046,AF1046,0)+IF(ISNUMBER(I1047),IF(I1047&lt;1,I1047,I1047*VLOOKUP(J1047,Summary!$H$2:$I$9,2)),VLOOKUP(J1047,Summary!$J$2:$K$9,2)*IF(ISNUMBER(H1047),H1047,1))</f>
        <v>3.6111111111111108E-2</v>
      </c>
      <c r="AG1047" s="290">
        <v>1046</v>
      </c>
      <c r="AH1047" s="119"/>
      <c r="AI1047" s="119"/>
    </row>
    <row r="1048" spans="1:35" s="57" customFormat="1" ht="12" customHeight="1" x14ac:dyDescent="0.25">
      <c r="A1048" s="494" t="s">
        <v>15655</v>
      </c>
      <c r="B1048" s="494">
        <v>4</v>
      </c>
      <c r="C1048" s="494">
        <v>28.03</v>
      </c>
      <c r="D1048" s="463" t="s">
        <v>1466</v>
      </c>
      <c r="E1048" s="330" t="s">
        <v>4838</v>
      </c>
      <c r="F1048" s="191">
        <v>39630</v>
      </c>
      <c r="G1048" s="191"/>
      <c r="H1048" s="192" t="s">
        <v>461</v>
      </c>
      <c r="I1048" s="192">
        <v>13</v>
      </c>
      <c r="J1048" s="903" t="s">
        <v>2755</v>
      </c>
      <c r="K1048" s="194" t="s">
        <v>175</v>
      </c>
      <c r="L1048" s="194" t="s">
        <v>461</v>
      </c>
      <c r="M1048" s="194" t="s">
        <v>13152</v>
      </c>
      <c r="N1048" s="194" t="s">
        <v>185</v>
      </c>
      <c r="O1048" s="194"/>
      <c r="P1048" s="190" t="s">
        <v>6704</v>
      </c>
      <c r="Q1048" s="194" t="s">
        <v>3947</v>
      </c>
      <c r="R1048" s="221" t="s">
        <v>2723</v>
      </c>
      <c r="S1048" s="357"/>
      <c r="T1048" s="190"/>
      <c r="U1048" s="190"/>
      <c r="V1048" s="190"/>
      <c r="W1048" s="330" t="s">
        <v>4838</v>
      </c>
      <c r="X1048" s="662" t="s">
        <v>15424</v>
      </c>
      <c r="Y1048" s="357"/>
      <c r="Z1048" s="192"/>
      <c r="AA1048" s="192"/>
      <c r="AB1048" s="37">
        <f t="shared" ca="1" si="18"/>
        <v>0.62026519605725283</v>
      </c>
      <c r="AC1048" s="816"/>
      <c r="AD1048" s="817"/>
      <c r="AE1048" s="955"/>
      <c r="AF1048" s="924">
        <f>IF(X1048=X1047,AF1047,0)+IF(ISNUMBER(I1048),IF(I1048&lt;1,I1048,I1048*VLOOKUP(J1048,Summary!$H$2:$I$9,2)),VLOOKUP(J1048,Summary!$J$2:$K$9,2)*IF(ISNUMBER(H1048),H1048,1))</f>
        <v>4.5138888888888888E-2</v>
      </c>
      <c r="AG1048" s="298">
        <v>1047</v>
      </c>
      <c r="AH1048" s="94"/>
      <c r="AI1048" s="94"/>
    </row>
    <row r="1049" spans="1:35" s="27" customFormat="1" ht="12" customHeight="1" x14ac:dyDescent="0.25">
      <c r="A1049" s="490" t="s">
        <v>15655</v>
      </c>
      <c r="B1049" s="490">
        <v>4</v>
      </c>
      <c r="C1049" s="490"/>
      <c r="D1049" s="434" t="s">
        <v>10235</v>
      </c>
      <c r="E1049" s="324" t="s">
        <v>10236</v>
      </c>
      <c r="F1049" s="224">
        <v>27576</v>
      </c>
      <c r="G1049" s="175"/>
      <c r="H1049" s="176" t="s">
        <v>461</v>
      </c>
      <c r="I1049" s="176"/>
      <c r="J1049" s="900" t="s">
        <v>2755</v>
      </c>
      <c r="K1049" s="157" t="s">
        <v>5784</v>
      </c>
      <c r="L1049" s="157" t="s">
        <v>461</v>
      </c>
      <c r="M1049" s="157"/>
      <c r="N1049" s="164"/>
      <c r="O1049" s="157"/>
      <c r="P1049" s="173" t="s">
        <v>461</v>
      </c>
      <c r="Q1049" s="157" t="s">
        <v>1797</v>
      </c>
      <c r="R1049" s="179" t="s">
        <v>4601</v>
      </c>
      <c r="S1049" s="354" t="s">
        <v>53</v>
      </c>
      <c r="T1049" s="173" t="s">
        <v>2597</v>
      </c>
      <c r="U1049" s="173"/>
      <c r="V1049" s="173"/>
      <c r="W1049" s="324" t="s">
        <v>10236</v>
      </c>
      <c r="X1049" s="656" t="s">
        <v>15424</v>
      </c>
      <c r="Y1049" s="363"/>
      <c r="Z1049" s="364"/>
      <c r="AA1049" s="364"/>
      <c r="AB1049" s="32">
        <f t="shared" ca="1" si="18"/>
        <v>0.99145092033861992</v>
      </c>
      <c r="AC1049" s="812"/>
      <c r="AD1049" s="763"/>
      <c r="AE1049" s="951"/>
      <c r="AF1049" s="921">
        <f>IF(X1049=X1048,AF1048,0)+IF(ISNUMBER(I1049),IF(I1049&lt;1,I1049,I1049*VLOOKUP(J1049,Summary!$H$2:$I$9,2)),VLOOKUP(J1049,Summary!$J$2:$K$9,2)*IF(ISNUMBER(H1049),H1049,1))</f>
        <v>6.25E-2</v>
      </c>
      <c r="AG1049" s="288">
        <v>1048</v>
      </c>
      <c r="AH1049" s="119"/>
      <c r="AI1049" s="119"/>
    </row>
    <row r="1050" spans="1:35" s="27" customFormat="1" ht="12" customHeight="1" x14ac:dyDescent="0.25">
      <c r="A1050" s="488" t="s">
        <v>15655</v>
      </c>
      <c r="B1050" s="488">
        <v>4</v>
      </c>
      <c r="C1050" s="488">
        <v>108</v>
      </c>
      <c r="D1050" s="185" t="s">
        <v>6609</v>
      </c>
      <c r="E1050" s="314" t="s">
        <v>6610</v>
      </c>
      <c r="F1050" s="184">
        <v>27650</v>
      </c>
      <c r="G1050" s="184">
        <v>27685</v>
      </c>
      <c r="H1050" s="185">
        <v>6</v>
      </c>
      <c r="I1050" s="185"/>
      <c r="J1050" s="901" t="s">
        <v>1796</v>
      </c>
      <c r="K1050" s="163" t="s">
        <v>5784</v>
      </c>
      <c r="L1050" s="163" t="s">
        <v>5174</v>
      </c>
      <c r="M1050" s="163"/>
      <c r="N1050" s="163"/>
      <c r="O1050" s="163"/>
      <c r="P1050" s="182" t="s">
        <v>461</v>
      </c>
      <c r="Q1050" s="163" t="s">
        <v>1797</v>
      </c>
      <c r="R1050" s="186" t="s">
        <v>4601</v>
      </c>
      <c r="S1050" s="355" t="s">
        <v>53</v>
      </c>
      <c r="T1050" s="182"/>
      <c r="U1050" s="182"/>
      <c r="V1050" s="182"/>
      <c r="W1050" s="328"/>
      <c r="X1050" s="660" t="s">
        <v>15424</v>
      </c>
      <c r="Y1050" s="355"/>
      <c r="Z1050" s="185"/>
      <c r="AA1050" s="185"/>
      <c r="AB1050" s="33">
        <f t="shared" ca="1" si="18"/>
        <v>0.89562684866932096</v>
      </c>
      <c r="AC1050" s="813"/>
      <c r="AD1050" s="211"/>
      <c r="AE1050" s="875"/>
      <c r="AF1050" s="922">
        <f>IF(X1050=X1049,AF1049,0)+IF(ISNUMBER(I1050),IF(I1050&lt;1,I1050,I1050*VLOOKUP(J1050,Summary!$H$2:$I$9,2)),VLOOKUP(J1050,Summary!$J$2:$K$9,2)*IF(ISNUMBER(H1050),H1050,1))</f>
        <v>8.3333333333333329E-2</v>
      </c>
      <c r="AG1050" s="290">
        <v>1049</v>
      </c>
      <c r="AH1050" s="119"/>
      <c r="AI1050" s="119"/>
    </row>
    <row r="1051" spans="1:35" s="27" customFormat="1" ht="12" customHeight="1" x14ac:dyDescent="0.25">
      <c r="A1051" s="488" t="s">
        <v>15655</v>
      </c>
      <c r="B1051" s="488">
        <v>4</v>
      </c>
      <c r="C1051" s="488">
        <v>109</v>
      </c>
      <c r="D1051" s="185" t="s">
        <v>6614</v>
      </c>
      <c r="E1051" s="314" t="s">
        <v>6613</v>
      </c>
      <c r="F1051" s="183">
        <v>27638</v>
      </c>
      <c r="G1051" s="184"/>
      <c r="H1051" s="185">
        <v>1</v>
      </c>
      <c r="I1051" s="185">
        <v>5</v>
      </c>
      <c r="J1051" s="901" t="s">
        <v>1796</v>
      </c>
      <c r="K1051" s="163" t="s">
        <v>5784</v>
      </c>
      <c r="L1051" s="163" t="s">
        <v>6615</v>
      </c>
      <c r="M1051" s="163"/>
      <c r="N1051" s="163"/>
      <c r="O1051" s="163"/>
      <c r="P1051" s="182" t="s">
        <v>461</v>
      </c>
      <c r="Q1051" s="163" t="s">
        <v>1797</v>
      </c>
      <c r="R1051" s="186" t="s">
        <v>4601</v>
      </c>
      <c r="S1051" s="355" t="s">
        <v>53</v>
      </c>
      <c r="T1051" s="182"/>
      <c r="U1051" s="182"/>
      <c r="V1051" s="182"/>
      <c r="W1051" s="314" t="s">
        <v>6613</v>
      </c>
      <c r="X1051" s="646" t="s">
        <v>15424</v>
      </c>
      <c r="Y1051" s="355"/>
      <c r="Z1051" s="185"/>
      <c r="AA1051" s="185"/>
      <c r="AB1051" s="33">
        <f t="shared" ca="1" si="18"/>
        <v>0.35084564037636179</v>
      </c>
      <c r="AC1051" s="813"/>
      <c r="AD1051" s="211"/>
      <c r="AE1051" s="875"/>
      <c r="AF1051" s="922">
        <f>IF(X1051=X1050,AF1050,0)+IF(ISNUMBER(I1051),IF(I1051&lt;1,I1051,I1051*VLOOKUP(J1051,Summary!$H$2:$I$9,2)),VLOOKUP(J1051,Summary!$J$2:$K$9,2)*IF(ISNUMBER(H1051),H1051,1))</f>
        <v>8.5069444444444434E-2</v>
      </c>
      <c r="AG1051" s="290">
        <v>1050</v>
      </c>
      <c r="AH1051" s="119"/>
      <c r="AI1051" s="119"/>
    </row>
    <row r="1052" spans="1:35" s="27" customFormat="1" ht="12" customHeight="1" x14ac:dyDescent="0.25">
      <c r="A1052" s="488" t="s">
        <v>15655</v>
      </c>
      <c r="B1052" s="488">
        <v>4</v>
      </c>
      <c r="C1052" s="488">
        <v>110</v>
      </c>
      <c r="D1052" s="185" t="s">
        <v>6612</v>
      </c>
      <c r="E1052" s="314" t="s">
        <v>6611</v>
      </c>
      <c r="F1052" s="184">
        <v>27692</v>
      </c>
      <c r="G1052" s="184">
        <v>24075</v>
      </c>
      <c r="H1052" s="185">
        <v>6</v>
      </c>
      <c r="I1052" s="185"/>
      <c r="J1052" s="901" t="s">
        <v>1796</v>
      </c>
      <c r="K1052" s="163" t="s">
        <v>5784</v>
      </c>
      <c r="L1052" s="163" t="s">
        <v>5174</v>
      </c>
      <c r="M1052" s="163"/>
      <c r="N1052" s="163"/>
      <c r="O1052" s="163"/>
      <c r="P1052" s="182" t="s">
        <v>461</v>
      </c>
      <c r="Q1052" s="163" t="s">
        <v>1797</v>
      </c>
      <c r="R1052" s="186" t="s">
        <v>4601</v>
      </c>
      <c r="S1052" s="355" t="s">
        <v>53</v>
      </c>
      <c r="T1052" s="182"/>
      <c r="U1052" s="182"/>
      <c r="V1052" s="182"/>
      <c r="W1052" s="328"/>
      <c r="X1052" s="660" t="s">
        <v>15424</v>
      </c>
      <c r="Y1052" s="355"/>
      <c r="Z1052" s="185"/>
      <c r="AA1052" s="185"/>
      <c r="AB1052" s="33">
        <f t="shared" ca="1" si="18"/>
        <v>0.27746035325351748</v>
      </c>
      <c r="AC1052" s="813"/>
      <c r="AD1052" s="211"/>
      <c r="AE1052" s="875"/>
      <c r="AF1052" s="922">
        <f>IF(X1052=X1051,AF1051,0)+IF(ISNUMBER(I1052),IF(I1052&lt;1,I1052,I1052*VLOOKUP(J1052,Summary!$H$2:$I$9,2)),VLOOKUP(J1052,Summary!$J$2:$K$9,2)*IF(ISNUMBER(H1052),H1052,1))</f>
        <v>0.10590277777777776</v>
      </c>
      <c r="AG1052" s="290">
        <v>1051</v>
      </c>
      <c r="AH1052" s="119"/>
      <c r="AI1052" s="119"/>
    </row>
    <row r="1053" spans="1:35" s="27" customFormat="1" ht="12" customHeight="1" x14ac:dyDescent="0.25">
      <c r="A1053" s="488" t="s">
        <v>15655</v>
      </c>
      <c r="B1053" s="488">
        <v>4</v>
      </c>
      <c r="C1053" s="488">
        <v>111</v>
      </c>
      <c r="D1053" s="185" t="s">
        <v>6616</v>
      </c>
      <c r="E1053" s="314" t="s">
        <v>6617</v>
      </c>
      <c r="F1053" s="184">
        <v>27734</v>
      </c>
      <c r="G1053" s="184">
        <v>27783</v>
      </c>
      <c r="H1053" s="185">
        <v>8</v>
      </c>
      <c r="I1053" s="185">
        <v>16</v>
      </c>
      <c r="J1053" s="901" t="s">
        <v>1796</v>
      </c>
      <c r="K1053" s="163" t="s">
        <v>5784</v>
      </c>
      <c r="L1053" s="163" t="s">
        <v>5174</v>
      </c>
      <c r="M1053" s="163"/>
      <c r="N1053" s="163"/>
      <c r="O1053" s="163"/>
      <c r="P1053" s="182" t="s">
        <v>461</v>
      </c>
      <c r="Q1053" s="163" t="s">
        <v>1797</v>
      </c>
      <c r="R1053" s="186" t="s">
        <v>4601</v>
      </c>
      <c r="S1053" s="355" t="s">
        <v>53</v>
      </c>
      <c r="T1053" s="182"/>
      <c r="U1053" s="182"/>
      <c r="V1053" s="182"/>
      <c r="W1053" s="328"/>
      <c r="X1053" s="660" t="s">
        <v>15424</v>
      </c>
      <c r="Y1053" s="355"/>
      <c r="Z1053" s="185"/>
      <c r="AA1053" s="185"/>
      <c r="AB1053" s="33">
        <f t="shared" ca="1" si="18"/>
        <v>0.15694415837060904</v>
      </c>
      <c r="AC1053" s="813"/>
      <c r="AD1053" s="211"/>
      <c r="AE1053" s="875"/>
      <c r="AF1053" s="922">
        <f>IF(X1053=X1052,AF1052,0)+IF(ISNUMBER(I1053),IF(I1053&lt;1,I1053,I1053*VLOOKUP(J1053,Summary!$H$2:$I$9,2)),VLOOKUP(J1053,Summary!$J$2:$K$9,2)*IF(ISNUMBER(H1053),H1053,1))</f>
        <v>0.11145833333333331</v>
      </c>
      <c r="AG1053" s="290">
        <v>1052</v>
      </c>
      <c r="AH1053" s="119"/>
      <c r="AI1053" s="119"/>
    </row>
    <row r="1054" spans="1:35" s="27" customFormat="1" ht="12" customHeight="1" x14ac:dyDescent="0.25">
      <c r="A1054" s="488" t="s">
        <v>15655</v>
      </c>
      <c r="B1054" s="488">
        <v>4</v>
      </c>
      <c r="C1054" s="488">
        <v>112</v>
      </c>
      <c r="D1054" s="185" t="s">
        <v>6618</v>
      </c>
      <c r="E1054" s="314" t="s">
        <v>6619</v>
      </c>
      <c r="F1054" s="184">
        <v>27790</v>
      </c>
      <c r="G1054" s="184">
        <v>27832</v>
      </c>
      <c r="H1054" s="185">
        <v>7</v>
      </c>
      <c r="I1054" s="185"/>
      <c r="J1054" s="901" t="s">
        <v>1796</v>
      </c>
      <c r="K1054" s="163" t="s">
        <v>5784</v>
      </c>
      <c r="L1054" s="163" t="s">
        <v>5174</v>
      </c>
      <c r="M1054" s="163"/>
      <c r="N1054" s="163"/>
      <c r="O1054" s="163"/>
      <c r="P1054" s="182" t="s">
        <v>461</v>
      </c>
      <c r="Q1054" s="163" t="s">
        <v>1797</v>
      </c>
      <c r="R1054" s="186" t="s">
        <v>4601</v>
      </c>
      <c r="S1054" s="355" t="s">
        <v>53</v>
      </c>
      <c r="T1054" s="182"/>
      <c r="U1054" s="182"/>
      <c r="V1054" s="182"/>
      <c r="W1054" s="328"/>
      <c r="X1054" s="660" t="s">
        <v>15424</v>
      </c>
      <c r="Y1054" s="355"/>
      <c r="Z1054" s="185"/>
      <c r="AA1054" s="185"/>
      <c r="AB1054" s="33">
        <f t="shared" ca="1" si="18"/>
        <v>0.90380829870212853</v>
      </c>
      <c r="AC1054" s="813"/>
      <c r="AD1054" s="211"/>
      <c r="AE1054" s="875"/>
      <c r="AF1054" s="922">
        <f>IF(X1054=X1053,AF1053,0)+IF(ISNUMBER(I1054),IF(I1054&lt;1,I1054,I1054*VLOOKUP(J1054,Summary!$H$2:$I$9,2)),VLOOKUP(J1054,Summary!$J$2:$K$9,2)*IF(ISNUMBER(H1054),H1054,1))</f>
        <v>0.13576388888888885</v>
      </c>
      <c r="AG1054" s="290">
        <v>1053</v>
      </c>
      <c r="AH1054" s="119"/>
      <c r="AI1054" s="119"/>
    </row>
    <row r="1055" spans="1:35" s="26" customFormat="1" ht="12" customHeight="1" x14ac:dyDescent="0.2">
      <c r="A1055" s="488" t="s">
        <v>15655</v>
      </c>
      <c r="B1055" s="488">
        <v>4</v>
      </c>
      <c r="C1055" s="488">
        <v>113</v>
      </c>
      <c r="D1055" s="185" t="s">
        <v>6620</v>
      </c>
      <c r="E1055" s="314" t="s">
        <v>6621</v>
      </c>
      <c r="F1055" s="184">
        <v>27839</v>
      </c>
      <c r="G1055" s="184">
        <v>27881</v>
      </c>
      <c r="H1055" s="185">
        <v>7</v>
      </c>
      <c r="I1055" s="185"/>
      <c r="J1055" s="901" t="s">
        <v>1796</v>
      </c>
      <c r="K1055" s="163" t="s">
        <v>5784</v>
      </c>
      <c r="L1055" s="163" t="s">
        <v>5174</v>
      </c>
      <c r="M1055" s="163"/>
      <c r="N1055" s="163"/>
      <c r="O1055" s="163"/>
      <c r="P1055" s="182" t="s">
        <v>461</v>
      </c>
      <c r="Q1055" s="163" t="s">
        <v>1797</v>
      </c>
      <c r="R1055" s="186" t="s">
        <v>4601</v>
      </c>
      <c r="S1055" s="355" t="s">
        <v>53</v>
      </c>
      <c r="T1055" s="182"/>
      <c r="U1055" s="182"/>
      <c r="V1055" s="182"/>
      <c r="W1055" s="328"/>
      <c r="X1055" s="660" t="s">
        <v>15424</v>
      </c>
      <c r="Y1055" s="355"/>
      <c r="Z1055" s="185"/>
      <c r="AA1055" s="185"/>
      <c r="AB1055" s="33">
        <f t="shared" ca="1" si="18"/>
        <v>6.4284697223020437E-2</v>
      </c>
      <c r="AC1055" s="813"/>
      <c r="AD1055" s="211"/>
      <c r="AE1055" s="875"/>
      <c r="AF1055" s="922">
        <f>IF(X1055=X1054,AF1054,0)+IF(ISNUMBER(I1055),IF(I1055&lt;1,I1055,I1055*VLOOKUP(J1055,Summary!$H$2:$I$9,2)),VLOOKUP(J1055,Summary!$J$2:$K$9,2)*IF(ISNUMBER(H1055),H1055,1))</f>
        <v>0.1600694444444444</v>
      </c>
      <c r="AG1055" s="290">
        <v>1054</v>
      </c>
      <c r="AH1055" s="94"/>
      <c r="AI1055" s="94"/>
    </row>
    <row r="1056" spans="1:35" s="26" customFormat="1" ht="12" customHeight="1" x14ac:dyDescent="0.2">
      <c r="A1056" s="488" t="s">
        <v>15655</v>
      </c>
      <c r="B1056" s="488">
        <v>4</v>
      </c>
      <c r="C1056" s="488">
        <v>114</v>
      </c>
      <c r="D1056" s="185" t="s">
        <v>6622</v>
      </c>
      <c r="E1056" s="314" t="s">
        <v>6623</v>
      </c>
      <c r="F1056" s="184">
        <v>27888</v>
      </c>
      <c r="G1056" s="184">
        <v>27930</v>
      </c>
      <c r="H1056" s="185">
        <v>7</v>
      </c>
      <c r="I1056" s="185">
        <v>14</v>
      </c>
      <c r="J1056" s="901" t="s">
        <v>1796</v>
      </c>
      <c r="K1056" s="163" t="s">
        <v>5784</v>
      </c>
      <c r="L1056" s="163" t="s">
        <v>5174</v>
      </c>
      <c r="M1056" s="163"/>
      <c r="N1056" s="163"/>
      <c r="O1056" s="163"/>
      <c r="P1056" s="182" t="s">
        <v>461</v>
      </c>
      <c r="Q1056" s="163" t="s">
        <v>1797</v>
      </c>
      <c r="R1056" s="186" t="s">
        <v>4601</v>
      </c>
      <c r="S1056" s="355" t="s">
        <v>53</v>
      </c>
      <c r="T1056" s="182"/>
      <c r="U1056" s="182"/>
      <c r="V1056" s="182"/>
      <c r="W1056" s="328"/>
      <c r="X1056" s="660" t="s">
        <v>15424</v>
      </c>
      <c r="Y1056" s="355"/>
      <c r="Z1056" s="185"/>
      <c r="AA1056" s="185"/>
      <c r="AB1056" s="33">
        <f t="shared" ca="1" si="18"/>
        <v>0.26186984739212227</v>
      </c>
      <c r="AC1056" s="813"/>
      <c r="AD1056" s="211"/>
      <c r="AE1056" s="875"/>
      <c r="AF1056" s="922">
        <f>IF(X1056=X1055,AF1055,0)+IF(ISNUMBER(I1056),IF(I1056&lt;1,I1056,I1056*VLOOKUP(J1056,Summary!$H$2:$I$9,2)),VLOOKUP(J1056,Summary!$J$2:$K$9,2)*IF(ISNUMBER(H1056),H1056,1))</f>
        <v>0.16493055555555552</v>
      </c>
      <c r="AG1056" s="290">
        <v>1055</v>
      </c>
      <c r="AH1056" s="94"/>
      <c r="AI1056" s="94"/>
    </row>
    <row r="1057" spans="1:35" s="27" customFormat="1" ht="12" customHeight="1" x14ac:dyDescent="0.25">
      <c r="A1057" s="490" t="s">
        <v>15655</v>
      </c>
      <c r="B1057" s="490">
        <v>4</v>
      </c>
      <c r="C1057" s="490"/>
      <c r="D1057" s="434" t="s">
        <v>10237</v>
      </c>
      <c r="E1057" s="324" t="s">
        <v>10238</v>
      </c>
      <c r="F1057" s="224">
        <v>27942</v>
      </c>
      <c r="G1057" s="175"/>
      <c r="H1057" s="176" t="s">
        <v>461</v>
      </c>
      <c r="I1057" s="176"/>
      <c r="J1057" s="900" t="s">
        <v>2755</v>
      </c>
      <c r="K1057" s="157" t="s">
        <v>5784</v>
      </c>
      <c r="L1057" s="157" t="s">
        <v>461</v>
      </c>
      <c r="M1057" s="157"/>
      <c r="N1057" s="164"/>
      <c r="O1057" s="157"/>
      <c r="P1057" s="173" t="s">
        <v>461</v>
      </c>
      <c r="Q1057" s="157" t="s">
        <v>1797</v>
      </c>
      <c r="R1057" s="179" t="s">
        <v>4601</v>
      </c>
      <c r="S1057" s="354" t="s">
        <v>53</v>
      </c>
      <c r="T1057" s="173"/>
      <c r="U1057" s="173"/>
      <c r="V1057" s="173"/>
      <c r="W1057" s="324" t="s">
        <v>10238</v>
      </c>
      <c r="X1057" s="656" t="s">
        <v>15424</v>
      </c>
      <c r="Y1057" s="363"/>
      <c r="Z1057" s="364"/>
      <c r="AA1057" s="364"/>
      <c r="AB1057" s="32">
        <f t="shared" ca="1" si="18"/>
        <v>1.857433411767706E-2</v>
      </c>
      <c r="AC1057" s="812"/>
      <c r="AD1057" s="763"/>
      <c r="AE1057" s="951"/>
      <c r="AF1057" s="921">
        <f>IF(X1057=X1056,AF1056,0)+IF(ISNUMBER(I1057),IF(I1057&lt;1,I1057,I1057*VLOOKUP(J1057,Summary!$H$2:$I$9,2)),VLOOKUP(J1057,Summary!$J$2:$K$9,2)*IF(ISNUMBER(H1057),H1057,1))</f>
        <v>0.18229166666666663</v>
      </c>
      <c r="AG1057" s="288">
        <v>1056</v>
      </c>
      <c r="AH1057" s="119"/>
      <c r="AI1057" s="119"/>
    </row>
    <row r="1058" spans="1:35" s="27" customFormat="1" ht="12" customHeight="1" x14ac:dyDescent="0.25">
      <c r="A1058" s="488" t="s">
        <v>15655</v>
      </c>
      <c r="B1058" s="488">
        <v>4</v>
      </c>
      <c r="C1058" s="488">
        <v>115</v>
      </c>
      <c r="D1058" s="185" t="s">
        <v>5965</v>
      </c>
      <c r="E1058" s="314" t="s">
        <v>5966</v>
      </c>
      <c r="F1058" s="184">
        <v>27937</v>
      </c>
      <c r="G1058" s="184">
        <v>27979</v>
      </c>
      <c r="H1058" s="185">
        <v>7</v>
      </c>
      <c r="I1058" s="185"/>
      <c r="J1058" s="901" t="s">
        <v>1796</v>
      </c>
      <c r="K1058" s="163" t="s">
        <v>5784</v>
      </c>
      <c r="L1058" s="163" t="s">
        <v>5174</v>
      </c>
      <c r="M1058" s="163"/>
      <c r="N1058" s="163"/>
      <c r="O1058" s="163"/>
      <c r="P1058" s="182" t="s">
        <v>461</v>
      </c>
      <c r="Q1058" s="163" t="s">
        <v>1797</v>
      </c>
      <c r="R1058" s="186" t="s">
        <v>4601</v>
      </c>
      <c r="S1058" s="355" t="s">
        <v>53</v>
      </c>
      <c r="T1058" s="182"/>
      <c r="U1058" s="182"/>
      <c r="V1058" s="182"/>
      <c r="W1058" s="328"/>
      <c r="X1058" s="660" t="s">
        <v>15424</v>
      </c>
      <c r="Y1058" s="355"/>
      <c r="Z1058" s="185"/>
      <c r="AA1058" s="185"/>
      <c r="AB1058" s="33">
        <f t="shared" ca="1" si="18"/>
        <v>0.49642181503770855</v>
      </c>
      <c r="AC1058" s="813"/>
      <c r="AD1058" s="211"/>
      <c r="AE1058" s="875"/>
      <c r="AF1058" s="922">
        <f>IF(X1058=X1057,AF1057,0)+IF(ISNUMBER(I1058),IF(I1058&lt;1,I1058,I1058*VLOOKUP(J1058,Summary!$H$2:$I$9,2)),VLOOKUP(J1058,Summary!$J$2:$K$9,2)*IF(ISNUMBER(H1058),H1058,1))</f>
        <v>0.20659722222222218</v>
      </c>
      <c r="AG1058" s="290">
        <v>1057</v>
      </c>
      <c r="AH1058" s="119"/>
      <c r="AI1058" s="119"/>
    </row>
    <row r="1059" spans="1:35" s="22" customFormat="1" ht="12" customHeight="1" x14ac:dyDescent="0.2">
      <c r="A1059" s="488" t="s">
        <v>15655</v>
      </c>
      <c r="B1059" s="488">
        <v>4</v>
      </c>
      <c r="C1059" s="488">
        <v>116</v>
      </c>
      <c r="D1059" s="185" t="s">
        <v>5968</v>
      </c>
      <c r="E1059" s="314" t="s">
        <v>5967</v>
      </c>
      <c r="F1059" s="184">
        <v>27986</v>
      </c>
      <c r="G1059" s="184">
        <v>28007</v>
      </c>
      <c r="H1059" s="185">
        <v>4</v>
      </c>
      <c r="I1059" s="185"/>
      <c r="J1059" s="901" t="s">
        <v>1796</v>
      </c>
      <c r="K1059" s="163" t="s">
        <v>5784</v>
      </c>
      <c r="L1059" s="163" t="s">
        <v>5174</v>
      </c>
      <c r="M1059" s="163"/>
      <c r="N1059" s="163"/>
      <c r="O1059" s="163"/>
      <c r="P1059" s="182" t="s">
        <v>461</v>
      </c>
      <c r="Q1059" s="163" t="s">
        <v>1797</v>
      </c>
      <c r="R1059" s="186" t="s">
        <v>4601</v>
      </c>
      <c r="S1059" s="355" t="s">
        <v>53</v>
      </c>
      <c r="T1059" s="182"/>
      <c r="U1059" s="182"/>
      <c r="V1059" s="182"/>
      <c r="W1059" s="328"/>
      <c r="X1059" s="660" t="s">
        <v>15424</v>
      </c>
      <c r="Y1059" s="355"/>
      <c r="Z1059" s="185"/>
      <c r="AA1059" s="185"/>
      <c r="AB1059" s="33">
        <f t="shared" ca="1" si="18"/>
        <v>0.81883671524412815</v>
      </c>
      <c r="AC1059" s="813"/>
      <c r="AD1059" s="211"/>
      <c r="AE1059" s="875"/>
      <c r="AF1059" s="922">
        <f>IF(X1059=X1058,AF1058,0)+IF(ISNUMBER(I1059),IF(I1059&lt;1,I1059,I1059*VLOOKUP(J1059,Summary!$H$2:$I$9,2)),VLOOKUP(J1059,Summary!$J$2:$K$9,2)*IF(ISNUMBER(H1059),H1059,1))</f>
        <v>0.22048611111111108</v>
      </c>
      <c r="AG1059" s="290">
        <v>1058</v>
      </c>
      <c r="AH1059" s="94"/>
      <c r="AI1059" s="94"/>
    </row>
    <row r="1060" spans="1:35" s="22" customFormat="1" ht="12" customHeight="1" x14ac:dyDescent="0.2">
      <c r="A1060" s="488" t="s">
        <v>15655</v>
      </c>
      <c r="B1060" s="488">
        <v>4</v>
      </c>
      <c r="C1060" s="488">
        <v>117</v>
      </c>
      <c r="D1060" s="185" t="s">
        <v>5970</v>
      </c>
      <c r="E1060" s="314" t="s">
        <v>5969</v>
      </c>
      <c r="F1060" s="184">
        <v>28014</v>
      </c>
      <c r="G1060" s="184"/>
      <c r="H1060" s="185">
        <v>1</v>
      </c>
      <c r="I1060" s="185">
        <v>2</v>
      </c>
      <c r="J1060" s="901" t="s">
        <v>1796</v>
      </c>
      <c r="K1060" s="163" t="s">
        <v>5784</v>
      </c>
      <c r="L1060" s="163" t="s">
        <v>5174</v>
      </c>
      <c r="M1060" s="163"/>
      <c r="N1060" s="163"/>
      <c r="O1060" s="163"/>
      <c r="P1060" s="182" t="s">
        <v>461</v>
      </c>
      <c r="Q1060" s="163" t="s">
        <v>1797</v>
      </c>
      <c r="R1060" s="186" t="s">
        <v>4601</v>
      </c>
      <c r="S1060" s="355" t="s">
        <v>53</v>
      </c>
      <c r="T1060" s="182"/>
      <c r="U1060" s="182"/>
      <c r="V1060" s="182"/>
      <c r="W1060" s="314" t="s">
        <v>5969</v>
      </c>
      <c r="X1060" s="646" t="s">
        <v>15424</v>
      </c>
      <c r="Y1060" s="355"/>
      <c r="Z1060" s="185"/>
      <c r="AA1060" s="185"/>
      <c r="AB1060" s="33">
        <f t="shared" ca="1" si="18"/>
        <v>0.78866507074321923</v>
      </c>
      <c r="AC1060" s="813"/>
      <c r="AD1060" s="211"/>
      <c r="AE1060" s="875"/>
      <c r="AF1060" s="922">
        <f>IF(X1060=X1059,AF1059,0)+IF(ISNUMBER(I1060),IF(I1060&lt;1,I1060,I1060*VLOOKUP(J1060,Summary!$H$2:$I$9,2)),VLOOKUP(J1060,Summary!$J$2:$K$9,2)*IF(ISNUMBER(H1060),H1060,1))</f>
        <v>0.22118055555555552</v>
      </c>
      <c r="AG1060" s="290">
        <v>1059</v>
      </c>
      <c r="AH1060" s="94"/>
      <c r="AI1060" s="94"/>
    </row>
    <row r="1061" spans="1:35" s="22" customFormat="1" ht="12" customHeight="1" x14ac:dyDescent="0.2">
      <c r="A1061" s="488" t="s">
        <v>15655</v>
      </c>
      <c r="B1061" s="488">
        <v>4</v>
      </c>
      <c r="C1061" s="488">
        <v>118</v>
      </c>
      <c r="D1061" s="185" t="s">
        <v>5976</v>
      </c>
      <c r="E1061" s="314" t="s">
        <v>5974</v>
      </c>
      <c r="F1061" s="183">
        <v>28004</v>
      </c>
      <c r="G1061" s="184"/>
      <c r="H1061" s="185">
        <v>1</v>
      </c>
      <c r="I1061" s="185"/>
      <c r="J1061" s="901" t="s">
        <v>1796</v>
      </c>
      <c r="K1061" s="163" t="s">
        <v>5784</v>
      </c>
      <c r="L1061" s="163" t="s">
        <v>5174</v>
      </c>
      <c r="M1061" s="163"/>
      <c r="N1061" s="163"/>
      <c r="O1061" s="163"/>
      <c r="P1061" s="182" t="s">
        <v>461</v>
      </c>
      <c r="Q1061" s="163" t="s">
        <v>1797</v>
      </c>
      <c r="R1061" s="186" t="s">
        <v>4601</v>
      </c>
      <c r="S1061" s="355" t="s">
        <v>53</v>
      </c>
      <c r="T1061" s="182"/>
      <c r="U1061" s="182"/>
      <c r="V1061" s="182"/>
      <c r="W1061" s="314" t="s">
        <v>5974</v>
      </c>
      <c r="X1061" s="646" t="s">
        <v>15424</v>
      </c>
      <c r="Y1061" s="355"/>
      <c r="Z1061" s="185"/>
      <c r="AA1061" s="185"/>
      <c r="AB1061" s="33">
        <f t="shared" ca="1" si="18"/>
        <v>0.31132591548187771</v>
      </c>
      <c r="AC1061" s="813"/>
      <c r="AD1061" s="211"/>
      <c r="AE1061" s="875"/>
      <c r="AF1061" s="922">
        <f>IF(X1061=X1060,AF1060,0)+IF(ISNUMBER(I1061),IF(I1061&lt;1,I1061,I1061*VLOOKUP(J1061,Summary!$H$2:$I$9,2)),VLOOKUP(J1061,Summary!$J$2:$K$9,2)*IF(ISNUMBER(H1061),H1061,1))</f>
        <v>0.22465277777777773</v>
      </c>
      <c r="AG1061" s="290">
        <v>1060</v>
      </c>
      <c r="AH1061" s="94"/>
      <c r="AI1061" s="94"/>
    </row>
    <row r="1062" spans="1:35" s="22" customFormat="1" ht="12" customHeight="1" x14ac:dyDescent="0.2">
      <c r="A1062" s="488" t="s">
        <v>15655</v>
      </c>
      <c r="B1062" s="488">
        <v>4</v>
      </c>
      <c r="C1062" s="488">
        <v>119</v>
      </c>
      <c r="D1062" s="185" t="s">
        <v>5971</v>
      </c>
      <c r="E1062" s="314" t="s">
        <v>5972</v>
      </c>
      <c r="F1062" s="184">
        <v>28021</v>
      </c>
      <c r="G1062" s="184">
        <v>28056</v>
      </c>
      <c r="H1062" s="185">
        <v>6</v>
      </c>
      <c r="I1062" s="185">
        <v>6</v>
      </c>
      <c r="J1062" s="901" t="s">
        <v>1796</v>
      </c>
      <c r="K1062" s="163" t="s">
        <v>5784</v>
      </c>
      <c r="L1062" s="163" t="s">
        <v>5174</v>
      </c>
      <c r="M1062" s="163"/>
      <c r="N1062" s="163"/>
      <c r="O1062" s="163"/>
      <c r="P1062" s="182" t="s">
        <v>461</v>
      </c>
      <c r="Q1062" s="163" t="s">
        <v>1797</v>
      </c>
      <c r="R1062" s="186" t="s">
        <v>4601</v>
      </c>
      <c r="S1062" s="355" t="s">
        <v>53</v>
      </c>
      <c r="T1062" s="182"/>
      <c r="U1062" s="182"/>
      <c r="V1062" s="182"/>
      <c r="W1062" s="328"/>
      <c r="X1062" s="660" t="s">
        <v>15424</v>
      </c>
      <c r="Y1062" s="355"/>
      <c r="Z1062" s="185"/>
      <c r="AA1062" s="185"/>
      <c r="AB1062" s="33">
        <f t="shared" ca="1" si="18"/>
        <v>0.6407166756613496</v>
      </c>
      <c r="AC1062" s="813"/>
      <c r="AD1062" s="211"/>
      <c r="AE1062" s="875"/>
      <c r="AF1062" s="922">
        <f>IF(X1062=X1061,AF1061,0)+IF(ISNUMBER(I1062),IF(I1062&lt;1,I1062,I1062*VLOOKUP(J1062,Summary!$H$2:$I$9,2)),VLOOKUP(J1062,Summary!$J$2:$K$9,2)*IF(ISNUMBER(H1062),H1062,1))</f>
        <v>0.22673611111111105</v>
      </c>
      <c r="AG1062" s="290">
        <v>1061</v>
      </c>
      <c r="AH1062" s="94"/>
      <c r="AI1062" s="94"/>
    </row>
    <row r="1063" spans="1:35" s="22" customFormat="1" ht="12" customHeight="1" x14ac:dyDescent="0.2">
      <c r="A1063" s="488" t="s">
        <v>15655</v>
      </c>
      <c r="B1063" s="488">
        <v>4</v>
      </c>
      <c r="C1063" s="488">
        <v>120</v>
      </c>
      <c r="D1063" s="185" t="s">
        <v>5975</v>
      </c>
      <c r="E1063" s="314" t="s">
        <v>5973</v>
      </c>
      <c r="F1063" s="184">
        <v>28063</v>
      </c>
      <c r="G1063" s="184">
        <v>28105</v>
      </c>
      <c r="H1063" s="185">
        <v>7</v>
      </c>
      <c r="I1063" s="185"/>
      <c r="J1063" s="901" t="s">
        <v>1796</v>
      </c>
      <c r="K1063" s="163" t="s">
        <v>5784</v>
      </c>
      <c r="L1063" s="163" t="s">
        <v>5174</v>
      </c>
      <c r="M1063" s="163"/>
      <c r="N1063" s="163"/>
      <c r="O1063" s="163"/>
      <c r="P1063" s="182" t="s">
        <v>461</v>
      </c>
      <c r="Q1063" s="163" t="s">
        <v>1797</v>
      </c>
      <c r="R1063" s="186" t="s">
        <v>4601</v>
      </c>
      <c r="S1063" s="355" t="s">
        <v>53</v>
      </c>
      <c r="T1063" s="182"/>
      <c r="U1063" s="182"/>
      <c r="V1063" s="182"/>
      <c r="W1063" s="328"/>
      <c r="X1063" s="660" t="s">
        <v>15424</v>
      </c>
      <c r="Y1063" s="355"/>
      <c r="Z1063" s="185"/>
      <c r="AA1063" s="185"/>
      <c r="AB1063" s="33">
        <f t="shared" ca="1" si="18"/>
        <v>0.62786580970842965</v>
      </c>
      <c r="AC1063" s="813"/>
      <c r="AD1063" s="211"/>
      <c r="AE1063" s="875"/>
      <c r="AF1063" s="922">
        <f>IF(X1063=X1062,AF1062,0)+IF(ISNUMBER(I1063),IF(I1063&lt;1,I1063,I1063*VLOOKUP(J1063,Summary!$H$2:$I$9,2)),VLOOKUP(J1063,Summary!$J$2:$K$9,2)*IF(ISNUMBER(H1063),H1063,1))</f>
        <v>0.25104166666666661</v>
      </c>
      <c r="AG1063" s="290">
        <v>1062</v>
      </c>
      <c r="AH1063" s="94"/>
      <c r="AI1063" s="94"/>
    </row>
    <row r="1064" spans="1:35" s="1" customFormat="1" ht="12" customHeight="1" x14ac:dyDescent="0.25">
      <c r="A1064" s="487" t="s">
        <v>15655</v>
      </c>
      <c r="B1064" s="487">
        <v>4</v>
      </c>
      <c r="C1064" s="487">
        <v>85</v>
      </c>
      <c r="D1064" s="424" t="s">
        <v>5679</v>
      </c>
      <c r="E1064" s="319" t="s">
        <v>5680</v>
      </c>
      <c r="F1064" s="198">
        <v>27790</v>
      </c>
      <c r="G1064" s="198">
        <v>27825</v>
      </c>
      <c r="H1064" s="199">
        <v>6</v>
      </c>
      <c r="I1064" s="791">
        <f>TIME(0,24,10)+TIME(0,24, 9)+TIME(0,24,51)+TIME(0,24,26)+TIME(0,25, 6)+TIME(0,21,51)</f>
        <v>0.10038194444444445</v>
      </c>
      <c r="J1064" s="904" t="s">
        <v>1588</v>
      </c>
      <c r="K1064" s="200" t="s">
        <v>2165</v>
      </c>
      <c r="L1064" s="200" t="s">
        <v>3211</v>
      </c>
      <c r="M1064" s="200"/>
      <c r="N1064" s="200" t="s">
        <v>1093</v>
      </c>
      <c r="O1064" s="200" t="s">
        <v>1717</v>
      </c>
      <c r="P1064" s="197" t="s">
        <v>461</v>
      </c>
      <c r="Q1064" s="200" t="s">
        <v>3946</v>
      </c>
      <c r="R1064" s="201" t="s">
        <v>5280</v>
      </c>
      <c r="S1064" s="390" t="s">
        <v>53</v>
      </c>
      <c r="T1064" s="197"/>
      <c r="U1064" s="197"/>
      <c r="V1064" s="197"/>
      <c r="W1064" s="318" t="s">
        <v>8703</v>
      </c>
      <c r="X1064" s="650" t="s">
        <v>15424</v>
      </c>
      <c r="Y1064" s="358" t="s">
        <v>6141</v>
      </c>
      <c r="Z1064" s="253">
        <v>166</v>
      </c>
      <c r="AA1064" s="253">
        <v>5</v>
      </c>
      <c r="AB1064" s="35">
        <f t="shared" ca="1" si="18"/>
        <v>2.0689807879765154E-2</v>
      </c>
      <c r="AC1064" s="820"/>
      <c r="AD1064" s="821"/>
      <c r="AE1064" s="944"/>
      <c r="AF1064" s="925">
        <f>IF(X1064=X1063,AF1063,0)+IF(ISNUMBER(I1064),IF(I1064&lt;1,I1064,I1064*VLOOKUP(J1064,Summary!$H$2:$I$9,2)),VLOOKUP(J1064,Summary!$J$2:$K$9,2)*IF(ISNUMBER(H1064),H1064,1))</f>
        <v>0.35142361111111109</v>
      </c>
      <c r="AG1064" s="293">
        <v>1063</v>
      </c>
      <c r="AH1064" s="94"/>
      <c r="AI1064" s="94"/>
    </row>
    <row r="1065" spans="1:35" s="22" customFormat="1" ht="12" customHeight="1" x14ac:dyDescent="0.25">
      <c r="A1065" s="410" t="s">
        <v>15655</v>
      </c>
      <c r="B1065" s="410" t="s">
        <v>2650</v>
      </c>
      <c r="C1065" s="410"/>
      <c r="D1065" s="176"/>
      <c r="E1065" s="313" t="s">
        <v>13746</v>
      </c>
      <c r="F1065" s="175">
        <v>43084</v>
      </c>
      <c r="G1065" s="181"/>
      <c r="H1065" s="176" t="s">
        <v>461</v>
      </c>
      <c r="I1065" s="176"/>
      <c r="J1065" s="900" t="s">
        <v>2755</v>
      </c>
      <c r="K1065" s="164" t="s">
        <v>13749</v>
      </c>
      <c r="L1065" s="164" t="s">
        <v>461</v>
      </c>
      <c r="M1065" s="164"/>
      <c r="N1065" s="164"/>
      <c r="O1065" s="164"/>
      <c r="P1065" s="173"/>
      <c r="Q1065" s="164" t="s">
        <v>13674</v>
      </c>
      <c r="R1065" s="177" t="s">
        <v>13703</v>
      </c>
      <c r="S1065" s="354"/>
      <c r="T1065" s="173"/>
      <c r="U1065" s="173" t="s">
        <v>2597</v>
      </c>
      <c r="V1065" s="173"/>
      <c r="W1065" s="313" t="s">
        <v>13746</v>
      </c>
      <c r="X1065" s="645" t="s">
        <v>15424</v>
      </c>
      <c r="Y1065" s="354"/>
      <c r="Z1065" s="157"/>
      <c r="AA1065" s="176"/>
      <c r="AB1065" s="32">
        <f t="shared" ca="1" si="18"/>
        <v>4.5374966047290743E-2</v>
      </c>
      <c r="AC1065" s="812"/>
      <c r="AD1065" s="763"/>
      <c r="AE1065" s="807"/>
      <c r="AF1065" s="921">
        <f>IF(X1065=X1064,AF1064,0)+IF(ISNUMBER(I1065),IF(I1065&lt;1,I1065,I1065*VLOOKUP(J1065,Summary!$H$2:$I$9,2)),VLOOKUP(J1065,Summary!$J$2:$K$9,2)*IF(ISNUMBER(H1065),H1065,1))</f>
        <v>0.36878472222222219</v>
      </c>
      <c r="AG1065" s="289">
        <v>1064</v>
      </c>
      <c r="AH1065" s="94"/>
      <c r="AI1065" s="94"/>
    </row>
    <row r="1066" spans="1:35" s="43" customFormat="1" ht="12" customHeight="1" x14ac:dyDescent="0.25">
      <c r="A1066" s="489" t="s">
        <v>15655</v>
      </c>
      <c r="B1066" s="489">
        <v>4</v>
      </c>
      <c r="C1066" s="489">
        <v>1.04</v>
      </c>
      <c r="D1066" s="176" t="s">
        <v>768</v>
      </c>
      <c r="E1066" s="313" t="s">
        <v>4876</v>
      </c>
      <c r="F1066" s="176">
        <v>1994</v>
      </c>
      <c r="G1066" s="176"/>
      <c r="H1066" s="176">
        <v>1</v>
      </c>
      <c r="I1066" s="176">
        <v>31</v>
      </c>
      <c r="J1066" s="900" t="s">
        <v>2755</v>
      </c>
      <c r="K1066" s="164" t="s">
        <v>4880</v>
      </c>
      <c r="L1066" s="164" t="s">
        <v>461</v>
      </c>
      <c r="M1066" s="164"/>
      <c r="N1066" s="164" t="s">
        <v>7001</v>
      </c>
      <c r="O1066" s="164"/>
      <c r="P1066" s="173" t="s">
        <v>7002</v>
      </c>
      <c r="Q1066" s="164" t="s">
        <v>6548</v>
      </c>
      <c r="R1066" s="179" t="s">
        <v>4598</v>
      </c>
      <c r="S1066" s="354" t="s">
        <v>53</v>
      </c>
      <c r="T1066" s="178"/>
      <c r="U1066" s="178"/>
      <c r="V1066" s="178"/>
      <c r="W1066" s="313" t="s">
        <v>4876</v>
      </c>
      <c r="X1066" s="645" t="s">
        <v>15424</v>
      </c>
      <c r="Y1066" s="354" t="s">
        <v>6868</v>
      </c>
      <c r="Z1066" s="176">
        <v>999</v>
      </c>
      <c r="AA1066" s="176"/>
      <c r="AB1066" s="32">
        <f t="shared" ca="1" si="18"/>
        <v>0.41176698402791323</v>
      </c>
      <c r="AC1066" s="812"/>
      <c r="AD1066" s="763"/>
      <c r="AE1066" s="942"/>
      <c r="AF1066" s="921">
        <f>IF(X1066=X1065,AF1065,0)+IF(ISNUMBER(I1066),IF(I1066&lt;1,I1066,I1066*VLOOKUP(J1066,Summary!$H$2:$I$9,2)),VLOOKUP(J1066,Summary!$J$2:$K$9,2)*IF(ISNUMBER(H1066),H1066,1))</f>
        <v>0.39031249999999995</v>
      </c>
      <c r="AG1066" s="288">
        <v>1065</v>
      </c>
      <c r="AH1066" s="94"/>
      <c r="AI1066" s="94"/>
    </row>
    <row r="1067" spans="1:35" s="22" customFormat="1" ht="12" customHeight="1" x14ac:dyDescent="0.2">
      <c r="A1067" s="484" t="s">
        <v>15655</v>
      </c>
      <c r="B1067" s="484">
        <v>4</v>
      </c>
      <c r="C1067" s="484">
        <v>1</v>
      </c>
      <c r="D1067" s="407" t="s">
        <v>6347</v>
      </c>
      <c r="E1067" s="315" t="s">
        <v>5681</v>
      </c>
      <c r="F1067" s="169">
        <v>27942</v>
      </c>
      <c r="G1067" s="170"/>
      <c r="H1067" s="170">
        <v>2</v>
      </c>
      <c r="I1067" s="746">
        <f>TIME(0,44,37)</f>
        <v>3.0983796296296297E-2</v>
      </c>
      <c r="J1067" s="899" t="s">
        <v>4706</v>
      </c>
      <c r="K1067" s="167" t="s">
        <v>1634</v>
      </c>
      <c r="L1067" s="162" t="str">
        <f>IF(J1067="Book","n/a","")</f>
        <v/>
      </c>
      <c r="M1067" s="162"/>
      <c r="N1067" s="167"/>
      <c r="O1067" s="167" t="s">
        <v>7086</v>
      </c>
      <c r="P1067" s="168" t="s">
        <v>9005</v>
      </c>
      <c r="Q1067" s="167" t="s">
        <v>3949</v>
      </c>
      <c r="R1067" s="172" t="s">
        <v>2245</v>
      </c>
      <c r="S1067" s="388" t="s">
        <v>53</v>
      </c>
      <c r="T1067" s="168"/>
      <c r="U1067" s="168"/>
      <c r="V1067" s="168"/>
      <c r="W1067" s="312"/>
      <c r="X1067" s="644" t="s">
        <v>15424</v>
      </c>
      <c r="Y1067" s="352"/>
      <c r="Z1067" s="353">
        <v>689</v>
      </c>
      <c r="AA1067" s="353">
        <v>1.5</v>
      </c>
      <c r="AB1067" s="31">
        <f t="shared" ca="1" si="18"/>
        <v>0.45588947175843375</v>
      </c>
      <c r="AC1067" s="810"/>
      <c r="AD1067" s="811"/>
      <c r="AE1067" s="940"/>
      <c r="AF1067" s="920">
        <f>IF(X1067=X1066,AF1066,0)+IF(ISNUMBER(I1067),IF(I1067&lt;1,I1067,I1067*VLOOKUP(J1067,Summary!$H$2:$I$9,2)),VLOOKUP(J1067,Summary!$J$2:$K$9,2)*IF(ISNUMBER(H1067),H1067,1))</f>
        <v>0.42129629629629622</v>
      </c>
      <c r="AG1067" s="287">
        <v>1066</v>
      </c>
      <c r="AH1067" s="94"/>
      <c r="AI1067" s="94"/>
    </row>
    <row r="1068" spans="1:35" s="43" customFormat="1" ht="12" customHeight="1" x14ac:dyDescent="0.25">
      <c r="A1068" s="492" t="s">
        <v>15655</v>
      </c>
      <c r="B1068" s="492">
        <v>4</v>
      </c>
      <c r="C1068" s="492">
        <v>11</v>
      </c>
      <c r="D1068" s="417" t="s">
        <v>5682</v>
      </c>
      <c r="E1068" s="316" t="s">
        <v>5597</v>
      </c>
      <c r="F1068" s="187">
        <v>34820</v>
      </c>
      <c r="G1068" s="188"/>
      <c r="H1068" s="188" t="str">
        <f>IF(J1068="Book","n/a","")</f>
        <v>n/a</v>
      </c>
      <c r="I1068" s="188">
        <v>326</v>
      </c>
      <c r="J1068" s="902" t="s">
        <v>6868</v>
      </c>
      <c r="K1068" s="162" t="s">
        <v>543</v>
      </c>
      <c r="L1068" s="162" t="str">
        <f>IF(J1068="Book","n/a","")</f>
        <v>n/a</v>
      </c>
      <c r="M1068" s="162"/>
      <c r="N1068" s="162"/>
      <c r="O1068" s="162"/>
      <c r="P1068" s="178" t="s">
        <v>8595</v>
      </c>
      <c r="Q1068" s="162" t="s">
        <v>601</v>
      </c>
      <c r="R1068" s="189" t="s">
        <v>2715</v>
      </c>
      <c r="S1068" s="366" t="s">
        <v>53</v>
      </c>
      <c r="T1068" s="178" t="s">
        <v>2606</v>
      </c>
      <c r="U1068" s="178"/>
      <c r="V1068" s="178"/>
      <c r="W1068" s="316" t="s">
        <v>5597</v>
      </c>
      <c r="X1068" s="648" t="s">
        <v>15424</v>
      </c>
      <c r="Y1068" s="356" t="s">
        <v>6868</v>
      </c>
      <c r="Z1068" s="272"/>
      <c r="AA1068" s="272"/>
      <c r="AB1068" s="34">
        <f t="shared" ca="1" si="18"/>
        <v>0.35459184519853393</v>
      </c>
      <c r="AC1068" s="814"/>
      <c r="AD1068" s="815" t="s">
        <v>16060</v>
      </c>
      <c r="AE1068" s="942"/>
      <c r="AF1068" s="923">
        <f>IF(X1068=X1067,AF1067,0)+IF(ISNUMBER(I1068),IF(I1068&lt;1,I1068,I1068*VLOOKUP(J1068,Summary!$H$2:$I$9,2)),VLOOKUP(J1068,Summary!$J$2:$K$9,2)*IF(ISNUMBER(H1068),H1068,1))</f>
        <v>0.64768518518518514</v>
      </c>
      <c r="AG1068" s="291">
        <v>1067</v>
      </c>
      <c r="AH1068" s="94"/>
      <c r="AI1068" s="94"/>
    </row>
    <row r="1069" spans="1:35" s="22" customFormat="1" ht="12" customHeight="1" x14ac:dyDescent="0.25">
      <c r="A1069" s="490" t="s">
        <v>15265</v>
      </c>
      <c r="B1069" s="490">
        <v>4</v>
      </c>
      <c r="C1069" s="490"/>
      <c r="D1069" s="434" t="s">
        <v>2247</v>
      </c>
      <c r="E1069" s="324" t="s">
        <v>2248</v>
      </c>
      <c r="F1069" s="174">
        <v>28369</v>
      </c>
      <c r="G1069" s="175"/>
      <c r="H1069" s="176" t="s">
        <v>461</v>
      </c>
      <c r="I1069" s="176">
        <v>5</v>
      </c>
      <c r="J1069" s="900" t="s">
        <v>2755</v>
      </c>
      <c r="K1069" s="157" t="s">
        <v>5784</v>
      </c>
      <c r="L1069" s="157" t="s">
        <v>461</v>
      </c>
      <c r="M1069" s="157"/>
      <c r="N1069" s="164"/>
      <c r="O1069" s="157"/>
      <c r="P1069" s="173" t="s">
        <v>2246</v>
      </c>
      <c r="Q1069" s="157" t="s">
        <v>4705</v>
      </c>
      <c r="R1069" s="179" t="s">
        <v>4600</v>
      </c>
      <c r="S1069" s="354" t="s">
        <v>53</v>
      </c>
      <c r="T1069" s="173"/>
      <c r="U1069" s="173"/>
      <c r="V1069" s="173"/>
      <c r="W1069" s="324" t="s">
        <v>2248</v>
      </c>
      <c r="X1069" s="656" t="s">
        <v>15424</v>
      </c>
      <c r="Y1069" s="363"/>
      <c r="Z1069" s="364"/>
      <c r="AA1069" s="364"/>
      <c r="AB1069" s="32">
        <f t="shared" ca="1" si="18"/>
        <v>5.8020579304586262E-3</v>
      </c>
      <c r="AC1069" s="812"/>
      <c r="AD1069" s="763"/>
      <c r="AE1069" s="951"/>
      <c r="AF1069" s="921">
        <f>IF(X1069=X1068,AF1068,0)+IF(ISNUMBER(I1069),IF(I1069&lt;1,I1069,I1069*VLOOKUP(J1069,Summary!$H$2:$I$9,2)),VLOOKUP(J1069,Summary!$J$2:$K$9,2)*IF(ISNUMBER(H1069),H1069,1))</f>
        <v>0.65115740740740735</v>
      </c>
      <c r="AG1069" s="288">
        <v>1068</v>
      </c>
      <c r="AH1069" s="94"/>
      <c r="AI1069" s="94"/>
    </row>
    <row r="1070" spans="1:35" s="22" customFormat="1" ht="12" customHeight="1" x14ac:dyDescent="0.25">
      <c r="A1070" s="490" t="s">
        <v>15265</v>
      </c>
      <c r="B1070" s="490">
        <v>4</v>
      </c>
      <c r="C1070" s="490"/>
      <c r="D1070" s="434" t="s">
        <v>2247</v>
      </c>
      <c r="E1070" s="324" t="s">
        <v>2249</v>
      </c>
      <c r="F1070" s="174">
        <v>28369</v>
      </c>
      <c r="G1070" s="175"/>
      <c r="H1070" s="176" t="s">
        <v>461</v>
      </c>
      <c r="I1070" s="176">
        <v>4</v>
      </c>
      <c r="J1070" s="900" t="s">
        <v>2755</v>
      </c>
      <c r="K1070" s="157" t="s">
        <v>5784</v>
      </c>
      <c r="L1070" s="157" t="s">
        <v>461</v>
      </c>
      <c r="M1070" s="157"/>
      <c r="N1070" s="164"/>
      <c r="O1070" s="157"/>
      <c r="P1070" s="173" t="s">
        <v>2246</v>
      </c>
      <c r="Q1070" s="157" t="s">
        <v>4705</v>
      </c>
      <c r="R1070" s="179" t="s">
        <v>4600</v>
      </c>
      <c r="S1070" s="354" t="s">
        <v>53</v>
      </c>
      <c r="T1070" s="173"/>
      <c r="U1070" s="173"/>
      <c r="V1070" s="173"/>
      <c r="W1070" s="324" t="s">
        <v>2249</v>
      </c>
      <c r="X1070" s="656" t="s">
        <v>15424</v>
      </c>
      <c r="Y1070" s="363"/>
      <c r="Z1070" s="364"/>
      <c r="AA1070" s="364"/>
      <c r="AB1070" s="32">
        <f t="shared" ca="1" si="18"/>
        <v>0.21484076619340142</v>
      </c>
      <c r="AC1070" s="812"/>
      <c r="AD1070" s="763"/>
      <c r="AE1070" s="951"/>
      <c r="AF1070" s="921">
        <f>IF(X1070=X1069,AF1069,0)+IF(ISNUMBER(I1070),IF(I1070&lt;1,I1070,I1070*VLOOKUP(J1070,Summary!$H$2:$I$9,2)),VLOOKUP(J1070,Summary!$J$2:$K$9,2)*IF(ISNUMBER(H1070),H1070,1))</f>
        <v>0.65393518518518512</v>
      </c>
      <c r="AG1070" s="288">
        <v>1069</v>
      </c>
      <c r="AH1070" s="94"/>
      <c r="AI1070" s="94"/>
    </row>
    <row r="1071" spans="1:35" s="3" customFormat="1" ht="12" customHeight="1" x14ac:dyDescent="0.25">
      <c r="A1071" s="488" t="s">
        <v>15265</v>
      </c>
      <c r="B1071" s="488">
        <v>4</v>
      </c>
      <c r="C1071" s="488"/>
      <c r="D1071" s="428" t="s">
        <v>2247</v>
      </c>
      <c r="E1071" s="325" t="s">
        <v>2250</v>
      </c>
      <c r="F1071" s="183">
        <v>28369</v>
      </c>
      <c r="G1071" s="184"/>
      <c r="H1071" s="185" t="s">
        <v>461</v>
      </c>
      <c r="I1071" s="185">
        <v>6</v>
      </c>
      <c r="J1071" s="901" t="s">
        <v>1796</v>
      </c>
      <c r="K1071" s="158" t="s">
        <v>5784</v>
      </c>
      <c r="L1071" s="158" t="s">
        <v>5784</v>
      </c>
      <c r="M1071" s="158"/>
      <c r="N1071" s="163"/>
      <c r="O1071" s="158"/>
      <c r="P1071" s="182" t="s">
        <v>2246</v>
      </c>
      <c r="Q1071" s="158" t="s">
        <v>4705</v>
      </c>
      <c r="R1071" s="207" t="s">
        <v>4600</v>
      </c>
      <c r="S1071" s="355" t="s">
        <v>53</v>
      </c>
      <c r="T1071" s="182"/>
      <c r="U1071" s="182"/>
      <c r="V1071" s="182"/>
      <c r="W1071" s="325" t="s">
        <v>2250</v>
      </c>
      <c r="X1071" s="657" t="s">
        <v>15424</v>
      </c>
      <c r="Y1071" s="361"/>
      <c r="Z1071" s="362"/>
      <c r="AA1071" s="362"/>
      <c r="AB1071" s="33">
        <f t="shared" ca="1" si="18"/>
        <v>0.60298401773254529</v>
      </c>
      <c r="AC1071" s="813"/>
      <c r="AD1071" s="211"/>
      <c r="AE1071" s="949"/>
      <c r="AF1071" s="922">
        <f>IF(X1071=X1070,AF1070,0)+IF(ISNUMBER(I1071),IF(I1071&lt;1,I1071,I1071*VLOOKUP(J1071,Summary!$H$2:$I$9,2)),VLOOKUP(J1071,Summary!$J$2:$K$9,2)*IF(ISNUMBER(H1071),H1071,1))</f>
        <v>0.65601851851851845</v>
      </c>
      <c r="AG1071" s="295">
        <v>1070</v>
      </c>
      <c r="AH1071" s="94"/>
      <c r="AI1071" s="94"/>
    </row>
    <row r="1072" spans="1:35" s="22" customFormat="1" ht="12" customHeight="1" x14ac:dyDescent="0.25">
      <c r="A1072" s="490" t="s">
        <v>15265</v>
      </c>
      <c r="B1072" s="490">
        <v>4</v>
      </c>
      <c r="C1072" s="490"/>
      <c r="D1072" s="434" t="s">
        <v>2247</v>
      </c>
      <c r="E1072" s="324" t="s">
        <v>4868</v>
      </c>
      <c r="F1072" s="174">
        <v>28369</v>
      </c>
      <c r="G1072" s="175"/>
      <c r="H1072" s="176" t="s">
        <v>461</v>
      </c>
      <c r="I1072" s="176">
        <v>4</v>
      </c>
      <c r="J1072" s="900" t="s">
        <v>2755</v>
      </c>
      <c r="K1072" s="157" t="s">
        <v>5784</v>
      </c>
      <c r="L1072" s="157" t="s">
        <v>461</v>
      </c>
      <c r="M1072" s="157"/>
      <c r="N1072" s="164"/>
      <c r="O1072" s="157"/>
      <c r="P1072" s="173" t="s">
        <v>2246</v>
      </c>
      <c r="Q1072" s="157" t="s">
        <v>4705</v>
      </c>
      <c r="R1072" s="179" t="s">
        <v>4600</v>
      </c>
      <c r="S1072" s="354" t="s">
        <v>53</v>
      </c>
      <c r="T1072" s="173"/>
      <c r="U1072" s="173"/>
      <c r="V1072" s="173"/>
      <c r="W1072" s="324" t="s">
        <v>4868</v>
      </c>
      <c r="X1072" s="656" t="s">
        <v>15424</v>
      </c>
      <c r="Y1072" s="363"/>
      <c r="Z1072" s="364"/>
      <c r="AA1072" s="364"/>
      <c r="AB1072" s="32">
        <f t="shared" ca="1" si="18"/>
        <v>0.61100043771918588</v>
      </c>
      <c r="AC1072" s="812"/>
      <c r="AD1072" s="763"/>
      <c r="AE1072" s="951"/>
      <c r="AF1072" s="921">
        <f>IF(X1072=X1071,AF1071,0)+IF(ISNUMBER(I1072),IF(I1072&lt;1,I1072,I1072*VLOOKUP(J1072,Summary!$H$2:$I$9,2)),VLOOKUP(J1072,Summary!$J$2:$K$9,2)*IF(ISNUMBER(H1072),H1072,1))</f>
        <v>0.65879629629629621</v>
      </c>
      <c r="AG1072" s="288">
        <v>1071</v>
      </c>
      <c r="AH1072" s="94"/>
      <c r="AI1072" s="94"/>
    </row>
    <row r="1073" spans="1:35" s="22" customFormat="1" ht="12" customHeight="1" x14ac:dyDescent="0.2">
      <c r="A1073" s="488" t="s">
        <v>15265</v>
      </c>
      <c r="B1073" s="488">
        <v>4</v>
      </c>
      <c r="C1073" s="488"/>
      <c r="D1073" s="428" t="s">
        <v>2247</v>
      </c>
      <c r="E1073" s="325" t="s">
        <v>2251</v>
      </c>
      <c r="F1073" s="183">
        <v>28369</v>
      </c>
      <c r="G1073" s="184"/>
      <c r="H1073" s="185" t="s">
        <v>461</v>
      </c>
      <c r="I1073" s="185">
        <v>6</v>
      </c>
      <c r="J1073" s="901" t="s">
        <v>1796</v>
      </c>
      <c r="K1073" s="158" t="s">
        <v>5784</v>
      </c>
      <c r="L1073" s="158" t="s">
        <v>5784</v>
      </c>
      <c r="M1073" s="158"/>
      <c r="N1073" s="163"/>
      <c r="O1073" s="158"/>
      <c r="P1073" s="182" t="s">
        <v>2246</v>
      </c>
      <c r="Q1073" s="158" t="s">
        <v>4705</v>
      </c>
      <c r="R1073" s="207" t="s">
        <v>4600</v>
      </c>
      <c r="S1073" s="355" t="s">
        <v>53</v>
      </c>
      <c r="T1073" s="182"/>
      <c r="U1073" s="182"/>
      <c r="V1073" s="182"/>
      <c r="W1073" s="325" t="s">
        <v>2251</v>
      </c>
      <c r="X1073" s="657" t="s">
        <v>15424</v>
      </c>
      <c r="Y1073" s="361"/>
      <c r="Z1073" s="362"/>
      <c r="AA1073" s="362"/>
      <c r="AB1073" s="33">
        <f t="shared" ca="1" si="18"/>
        <v>0.53102547759018603</v>
      </c>
      <c r="AC1073" s="813"/>
      <c r="AD1073" s="211"/>
      <c r="AE1073" s="949"/>
      <c r="AF1073" s="922">
        <f>IF(X1073=X1072,AF1072,0)+IF(ISNUMBER(I1073),IF(I1073&lt;1,I1073,I1073*VLOOKUP(J1073,Summary!$H$2:$I$9,2)),VLOOKUP(J1073,Summary!$J$2:$K$9,2)*IF(ISNUMBER(H1073),H1073,1))</f>
        <v>0.66087962962962954</v>
      </c>
      <c r="AG1073" s="295">
        <v>1072</v>
      </c>
      <c r="AH1073" s="94"/>
      <c r="AI1073" s="94"/>
    </row>
    <row r="1074" spans="1:35" s="1" customFormat="1" ht="12" customHeight="1" x14ac:dyDescent="0.25">
      <c r="A1074" s="490" t="s">
        <v>15265</v>
      </c>
      <c r="B1074" s="490">
        <v>4</v>
      </c>
      <c r="C1074" s="490"/>
      <c r="D1074" s="434" t="s">
        <v>2247</v>
      </c>
      <c r="E1074" s="324" t="s">
        <v>2252</v>
      </c>
      <c r="F1074" s="174">
        <v>28369</v>
      </c>
      <c r="G1074" s="175"/>
      <c r="H1074" s="176" t="s">
        <v>461</v>
      </c>
      <c r="I1074" s="176">
        <v>8</v>
      </c>
      <c r="J1074" s="900" t="s">
        <v>2755</v>
      </c>
      <c r="K1074" s="157" t="s">
        <v>5784</v>
      </c>
      <c r="L1074" s="157" t="s">
        <v>461</v>
      </c>
      <c r="M1074" s="157"/>
      <c r="N1074" s="164"/>
      <c r="O1074" s="157"/>
      <c r="P1074" s="173" t="s">
        <v>2246</v>
      </c>
      <c r="Q1074" s="157" t="s">
        <v>4705</v>
      </c>
      <c r="R1074" s="179" t="s">
        <v>4600</v>
      </c>
      <c r="S1074" s="354" t="s">
        <v>53</v>
      </c>
      <c r="T1074" s="173"/>
      <c r="U1074" s="173"/>
      <c r="V1074" s="173"/>
      <c r="W1074" s="324" t="s">
        <v>2252</v>
      </c>
      <c r="X1074" s="656" t="s">
        <v>15424</v>
      </c>
      <c r="Y1074" s="363"/>
      <c r="Z1074" s="364"/>
      <c r="AA1074" s="364"/>
      <c r="AB1074" s="32">
        <f t="shared" ca="1" si="18"/>
        <v>0.52006794384403598</v>
      </c>
      <c r="AC1074" s="812"/>
      <c r="AD1074" s="763"/>
      <c r="AE1074" s="951"/>
      <c r="AF1074" s="921">
        <f>IF(X1074=X1073,AF1073,0)+IF(ISNUMBER(I1074),IF(I1074&lt;1,I1074,I1074*VLOOKUP(J1074,Summary!$H$2:$I$9,2)),VLOOKUP(J1074,Summary!$J$2:$K$9,2)*IF(ISNUMBER(H1074),H1074,1))</f>
        <v>0.66643518518518507</v>
      </c>
      <c r="AG1074" s="288">
        <v>1073</v>
      </c>
      <c r="AH1074" s="94"/>
      <c r="AI1074" s="94"/>
    </row>
    <row r="1075" spans="1:35" s="22" customFormat="1" ht="12" customHeight="1" x14ac:dyDescent="0.25">
      <c r="A1075" s="490" t="s">
        <v>15265</v>
      </c>
      <c r="B1075" s="490">
        <v>4</v>
      </c>
      <c r="C1075" s="490">
        <v>12.07</v>
      </c>
      <c r="D1075" s="176" t="s">
        <v>5710</v>
      </c>
      <c r="E1075" s="313" t="s">
        <v>4881</v>
      </c>
      <c r="F1075" s="174">
        <v>38261</v>
      </c>
      <c r="G1075" s="174"/>
      <c r="H1075" s="176">
        <v>1</v>
      </c>
      <c r="I1075" s="176">
        <v>12</v>
      </c>
      <c r="J1075" s="900" t="s">
        <v>2755</v>
      </c>
      <c r="K1075" s="164" t="s">
        <v>5664</v>
      </c>
      <c r="L1075" s="164" t="s">
        <v>461</v>
      </c>
      <c r="M1075" s="164"/>
      <c r="N1075" s="164" t="s">
        <v>7381</v>
      </c>
      <c r="O1075" s="164"/>
      <c r="P1075" s="173" t="s">
        <v>2756</v>
      </c>
      <c r="Q1075" s="164" t="s">
        <v>3947</v>
      </c>
      <c r="R1075" s="179" t="s">
        <v>2723</v>
      </c>
      <c r="S1075" s="354" t="s">
        <v>53</v>
      </c>
      <c r="T1075" s="178"/>
      <c r="U1075" s="178"/>
      <c r="V1075" s="178"/>
      <c r="W1075" s="313" t="s">
        <v>4881</v>
      </c>
      <c r="X1075" s="645" t="s">
        <v>15424</v>
      </c>
      <c r="Y1075" s="354"/>
      <c r="Z1075" s="176"/>
      <c r="AA1075" s="176"/>
      <c r="AB1075" s="32">
        <f t="shared" ca="1" si="18"/>
        <v>0.16727678223840803</v>
      </c>
      <c r="AC1075" s="812"/>
      <c r="AD1075" s="763"/>
      <c r="AE1075" s="942"/>
      <c r="AF1075" s="921">
        <f>IF(X1075=X1074,AF1074,0)+IF(ISNUMBER(I1075),IF(I1075&lt;1,I1075,I1075*VLOOKUP(J1075,Summary!$H$2:$I$9,2)),VLOOKUP(J1075,Summary!$J$2:$K$9,2)*IF(ISNUMBER(H1075),H1075,1))</f>
        <v>0.67476851851851838</v>
      </c>
      <c r="AG1075" s="288">
        <v>1074</v>
      </c>
      <c r="AH1075" s="94"/>
      <c r="AI1075" s="94"/>
    </row>
    <row r="1076" spans="1:35" s="22" customFormat="1" ht="12" customHeight="1" x14ac:dyDescent="0.2">
      <c r="A1076" s="488" t="s">
        <v>15265</v>
      </c>
      <c r="B1076" s="488">
        <v>4</v>
      </c>
      <c r="C1076" s="488">
        <v>121</v>
      </c>
      <c r="D1076" s="428" t="s">
        <v>2253</v>
      </c>
      <c r="E1076" s="325" t="s">
        <v>2254</v>
      </c>
      <c r="F1076" s="184">
        <v>28112</v>
      </c>
      <c r="G1076" s="184">
        <v>28154</v>
      </c>
      <c r="H1076" s="185">
        <v>7</v>
      </c>
      <c r="I1076" s="185"/>
      <c r="J1076" s="901" t="s">
        <v>1796</v>
      </c>
      <c r="K1076" s="158" t="s">
        <v>2255</v>
      </c>
      <c r="L1076" s="158" t="s">
        <v>5174</v>
      </c>
      <c r="M1076" s="158"/>
      <c r="N1076" s="163"/>
      <c r="O1076" s="158"/>
      <c r="P1076" s="182" t="s">
        <v>461</v>
      </c>
      <c r="Q1076" s="158" t="s">
        <v>1797</v>
      </c>
      <c r="R1076" s="186" t="s">
        <v>4601</v>
      </c>
      <c r="S1076" s="355" t="s">
        <v>53</v>
      </c>
      <c r="T1076" s="182"/>
      <c r="U1076" s="182"/>
      <c r="V1076" s="182"/>
      <c r="W1076" s="325" t="s">
        <v>2254</v>
      </c>
      <c r="X1076" s="657" t="s">
        <v>15424</v>
      </c>
      <c r="Y1076" s="361"/>
      <c r="Z1076" s="362"/>
      <c r="AA1076" s="362"/>
      <c r="AB1076" s="33">
        <f t="shared" ca="1" si="18"/>
        <v>0.52940893499352504</v>
      </c>
      <c r="AC1076" s="813"/>
      <c r="AD1076" s="211"/>
      <c r="AE1076" s="875"/>
      <c r="AF1076" s="922">
        <f>IF(X1076=X1075,AF1075,0)+IF(ISNUMBER(I1076),IF(I1076&lt;1,I1076,I1076*VLOOKUP(J1076,Summary!$H$2:$I$9,2)),VLOOKUP(J1076,Summary!$J$2:$K$9,2)*IF(ISNUMBER(H1076),H1076,1))</f>
        <v>0.69907407407407396</v>
      </c>
      <c r="AG1076" s="290">
        <v>1075</v>
      </c>
      <c r="AH1076" s="94"/>
      <c r="AI1076" s="94"/>
    </row>
    <row r="1077" spans="1:35" s="22" customFormat="1" ht="12" customHeight="1" x14ac:dyDescent="0.25">
      <c r="A1077" s="487" t="s">
        <v>15265</v>
      </c>
      <c r="B1077" s="487">
        <v>4</v>
      </c>
      <c r="C1077" s="487">
        <v>86</v>
      </c>
      <c r="D1077" s="424" t="s">
        <v>7298</v>
      </c>
      <c r="E1077" s="319" t="s">
        <v>7299</v>
      </c>
      <c r="F1077" s="198">
        <v>28007</v>
      </c>
      <c r="G1077" s="198">
        <v>28028</v>
      </c>
      <c r="H1077" s="199">
        <v>4</v>
      </c>
      <c r="I1077" s="791">
        <f>TIME(0,24,31)+TIME(0,24,44)+TIME(0,24,34)+TIME(0,24,45)</f>
        <v>6.8449074074074065E-2</v>
      </c>
      <c r="J1077" s="904" t="s">
        <v>1588</v>
      </c>
      <c r="K1077" s="200" t="s">
        <v>4453</v>
      </c>
      <c r="L1077" s="200" t="s">
        <v>7084</v>
      </c>
      <c r="M1077" s="200"/>
      <c r="N1077" s="200" t="s">
        <v>1093</v>
      </c>
      <c r="O1077" s="200" t="s">
        <v>1717</v>
      </c>
      <c r="P1077" s="197" t="s">
        <v>461</v>
      </c>
      <c r="Q1077" s="200" t="s">
        <v>3946</v>
      </c>
      <c r="R1077" s="201" t="s">
        <v>5280</v>
      </c>
      <c r="S1077" s="390" t="s">
        <v>53</v>
      </c>
      <c r="T1077" s="197"/>
      <c r="U1077" s="197"/>
      <c r="V1077" s="197"/>
      <c r="W1077" s="318" t="s">
        <v>12097</v>
      </c>
      <c r="X1077" s="650" t="s">
        <v>15424</v>
      </c>
      <c r="Y1077" s="358" t="s">
        <v>6141</v>
      </c>
      <c r="Z1077" s="253">
        <v>223</v>
      </c>
      <c r="AA1077" s="253">
        <v>4</v>
      </c>
      <c r="AB1077" s="35">
        <f t="shared" ca="1" si="18"/>
        <v>2.274492196983402E-2</v>
      </c>
      <c r="AC1077" s="820"/>
      <c r="AD1077" s="821" t="s">
        <v>15091</v>
      </c>
      <c r="AE1077" s="944"/>
      <c r="AF1077" s="925">
        <f>IF(X1077=X1076,AF1076,0)+IF(ISNUMBER(I1077),IF(I1077&lt;1,I1077,I1077*VLOOKUP(J1077,Summary!$H$2:$I$9,2)),VLOOKUP(J1077,Summary!$J$2:$K$9,2)*IF(ISNUMBER(H1077),H1077,1))</f>
        <v>0.76752314814814804</v>
      </c>
      <c r="AG1077" s="293">
        <v>1076</v>
      </c>
      <c r="AH1077" s="94"/>
      <c r="AI1077" s="94"/>
    </row>
    <row r="1078" spans="1:35" s="2" customFormat="1" ht="12" customHeight="1" x14ac:dyDescent="0.25">
      <c r="A1078" s="490" t="s">
        <v>15265</v>
      </c>
      <c r="B1078" s="490">
        <v>4</v>
      </c>
      <c r="C1078" s="490">
        <v>31.13</v>
      </c>
      <c r="D1078" s="176" t="s">
        <v>620</v>
      </c>
      <c r="E1078" s="313" t="s">
        <v>630</v>
      </c>
      <c r="F1078" s="174">
        <v>39873</v>
      </c>
      <c r="G1078" s="174"/>
      <c r="H1078" s="176" t="s">
        <v>461</v>
      </c>
      <c r="I1078" s="176">
        <v>13</v>
      </c>
      <c r="J1078" s="900" t="s">
        <v>2755</v>
      </c>
      <c r="K1078" s="164" t="s">
        <v>2998</v>
      </c>
      <c r="L1078" s="164" t="s">
        <v>461</v>
      </c>
      <c r="M1078" s="164"/>
      <c r="N1078" s="164" t="s">
        <v>1805</v>
      </c>
      <c r="O1078" s="164"/>
      <c r="P1078" s="173" t="s">
        <v>6699</v>
      </c>
      <c r="Q1078" s="164" t="s">
        <v>3947</v>
      </c>
      <c r="R1078" s="177" t="s">
        <v>2723</v>
      </c>
      <c r="S1078" s="354" t="s">
        <v>53</v>
      </c>
      <c r="T1078" s="173" t="s">
        <v>2606</v>
      </c>
      <c r="U1078" s="173"/>
      <c r="V1078" s="173"/>
      <c r="W1078" s="313" t="s">
        <v>630</v>
      </c>
      <c r="X1078" s="645" t="s">
        <v>15424</v>
      </c>
      <c r="Y1078" s="354"/>
      <c r="Z1078" s="176"/>
      <c r="AA1078" s="176"/>
      <c r="AB1078" s="32">
        <f t="shared" ca="1" si="18"/>
        <v>0.931487592163176</v>
      </c>
      <c r="AC1078" s="812"/>
      <c r="AD1078" s="763"/>
      <c r="AE1078" s="807"/>
      <c r="AF1078" s="921">
        <f>IF(X1078=X1077,AF1077,0)+IF(ISNUMBER(I1078),IF(I1078&lt;1,I1078,I1078*VLOOKUP(J1078,Summary!$H$2:$I$9,2)),VLOOKUP(J1078,Summary!$J$2:$K$9,2)*IF(ISNUMBER(H1078),H1078,1))</f>
        <v>0.77655092592592578</v>
      </c>
      <c r="AG1078" s="289">
        <v>1077</v>
      </c>
      <c r="AH1078" s="94"/>
      <c r="AI1078" s="94"/>
    </row>
    <row r="1079" spans="1:35" s="2" customFormat="1" ht="12" customHeight="1" x14ac:dyDescent="0.25">
      <c r="A1079" s="490" t="s">
        <v>15265</v>
      </c>
      <c r="B1079" s="490">
        <v>4</v>
      </c>
      <c r="C1079" s="490">
        <v>3.07</v>
      </c>
      <c r="D1079" s="434" t="s">
        <v>5951</v>
      </c>
      <c r="E1079" s="324" t="s">
        <v>5950</v>
      </c>
      <c r="F1079" s="174">
        <v>36586</v>
      </c>
      <c r="G1079" s="175"/>
      <c r="H1079" s="176">
        <v>1</v>
      </c>
      <c r="I1079" s="176">
        <v>3</v>
      </c>
      <c r="J1079" s="900" t="s">
        <v>2755</v>
      </c>
      <c r="K1079" s="157" t="s">
        <v>5952</v>
      </c>
      <c r="L1079" s="157" t="s">
        <v>461</v>
      </c>
      <c r="M1079" s="157"/>
      <c r="N1079" s="164" t="s">
        <v>4992</v>
      </c>
      <c r="O1079" s="157"/>
      <c r="P1079" s="173" t="s">
        <v>4993</v>
      </c>
      <c r="Q1079" s="157" t="s">
        <v>3953</v>
      </c>
      <c r="R1079" s="179" t="s">
        <v>2723</v>
      </c>
      <c r="S1079" s="354" t="s">
        <v>53</v>
      </c>
      <c r="T1079" s="173"/>
      <c r="U1079" s="173"/>
      <c r="V1079" s="173"/>
      <c r="W1079" s="324" t="s">
        <v>5950</v>
      </c>
      <c r="X1079" s="656" t="s">
        <v>15424</v>
      </c>
      <c r="Y1079" s="354" t="s">
        <v>6868</v>
      </c>
      <c r="Z1079" s="176">
        <v>999</v>
      </c>
      <c r="AA1079" s="364"/>
      <c r="AB1079" s="32">
        <f t="shared" ca="1" si="18"/>
        <v>0.2847675568582303</v>
      </c>
      <c r="AC1079" s="812"/>
      <c r="AD1079" s="763"/>
      <c r="AE1079" s="951"/>
      <c r="AF1079" s="921">
        <f>IF(X1079=X1078,AF1078,0)+IF(ISNUMBER(I1079),IF(I1079&lt;1,I1079,I1079*VLOOKUP(J1079,Summary!$H$2:$I$9,2)),VLOOKUP(J1079,Summary!$J$2:$K$9,2)*IF(ISNUMBER(H1079),H1079,1))</f>
        <v>0.77863425925925911</v>
      </c>
      <c r="AG1079" s="288">
        <v>1078</v>
      </c>
      <c r="AH1079" s="94"/>
      <c r="AI1079" s="94"/>
    </row>
    <row r="1080" spans="1:35" s="22" customFormat="1" ht="12" customHeight="1" x14ac:dyDescent="0.2">
      <c r="A1080" s="488" t="s">
        <v>15265</v>
      </c>
      <c r="B1080" s="488">
        <v>4</v>
      </c>
      <c r="C1080" s="488">
        <v>122</v>
      </c>
      <c r="D1080" s="428" t="s">
        <v>2257</v>
      </c>
      <c r="E1080" s="325" t="s">
        <v>2258</v>
      </c>
      <c r="F1080" s="183">
        <v>28369</v>
      </c>
      <c r="G1080" s="184"/>
      <c r="H1080" s="185">
        <v>1</v>
      </c>
      <c r="I1080" s="185"/>
      <c r="J1080" s="901" t="s">
        <v>1796</v>
      </c>
      <c r="K1080" s="158" t="s">
        <v>5784</v>
      </c>
      <c r="L1080" s="158" t="s">
        <v>2256</v>
      </c>
      <c r="M1080" s="158"/>
      <c r="N1080" s="163"/>
      <c r="O1080" s="158"/>
      <c r="P1080" s="182" t="s">
        <v>461</v>
      </c>
      <c r="Q1080" s="158" t="s">
        <v>1797</v>
      </c>
      <c r="R1080" s="186" t="s">
        <v>4601</v>
      </c>
      <c r="S1080" s="355" t="s">
        <v>53</v>
      </c>
      <c r="T1080" s="182"/>
      <c r="U1080" s="182"/>
      <c r="V1080" s="182"/>
      <c r="W1080" s="325" t="s">
        <v>2258</v>
      </c>
      <c r="X1080" s="657" t="s">
        <v>15424</v>
      </c>
      <c r="Y1080" s="361"/>
      <c r="Z1080" s="362"/>
      <c r="AA1080" s="362"/>
      <c r="AB1080" s="33">
        <f t="shared" ca="1" si="18"/>
        <v>0.90197111115059747</v>
      </c>
      <c r="AC1080" s="813"/>
      <c r="AD1080" s="211"/>
      <c r="AE1080" s="949"/>
      <c r="AF1080" s="922">
        <f>IF(X1080=X1079,AF1079,0)+IF(ISNUMBER(I1080),IF(I1080&lt;1,I1080,I1080*VLOOKUP(J1080,Summary!$H$2:$I$9,2)),VLOOKUP(J1080,Summary!$J$2:$K$9,2)*IF(ISNUMBER(H1080),H1080,1))</f>
        <v>0.78210648148148132</v>
      </c>
      <c r="AG1080" s="295">
        <v>1079</v>
      </c>
      <c r="AH1080" s="94"/>
      <c r="AI1080" s="94"/>
    </row>
    <row r="1081" spans="1:35" s="1" customFormat="1" ht="12" customHeight="1" x14ac:dyDescent="0.25">
      <c r="A1081" s="490" t="s">
        <v>15265</v>
      </c>
      <c r="B1081" s="490">
        <v>4</v>
      </c>
      <c r="C1081" s="490">
        <v>30.1</v>
      </c>
      <c r="D1081" s="176" t="s">
        <v>5364</v>
      </c>
      <c r="E1081" s="313" t="s">
        <v>606</v>
      </c>
      <c r="F1081" s="174">
        <v>39783</v>
      </c>
      <c r="G1081" s="174"/>
      <c r="H1081" s="176" t="s">
        <v>461</v>
      </c>
      <c r="I1081" s="176">
        <v>14</v>
      </c>
      <c r="J1081" s="900" t="s">
        <v>2755</v>
      </c>
      <c r="K1081" s="164" t="s">
        <v>605</v>
      </c>
      <c r="L1081" s="164" t="s">
        <v>461</v>
      </c>
      <c r="M1081" s="164"/>
      <c r="N1081" s="164" t="s">
        <v>4944</v>
      </c>
      <c r="O1081" s="164"/>
      <c r="P1081" s="173" t="s">
        <v>6702</v>
      </c>
      <c r="Q1081" s="164" t="s">
        <v>3947</v>
      </c>
      <c r="R1081" s="177" t="s">
        <v>2723</v>
      </c>
      <c r="S1081" s="354" t="s">
        <v>53</v>
      </c>
      <c r="T1081" s="173"/>
      <c r="U1081" s="173"/>
      <c r="V1081" s="173"/>
      <c r="W1081" s="313" t="s">
        <v>606</v>
      </c>
      <c r="X1081" s="645" t="s">
        <v>15424</v>
      </c>
      <c r="Y1081" s="354"/>
      <c r="Z1081" s="176"/>
      <c r="AA1081" s="176"/>
      <c r="AB1081" s="32">
        <f t="shared" ca="1" si="18"/>
        <v>0.98344998065412381</v>
      </c>
      <c r="AC1081" s="812"/>
      <c r="AD1081" s="763"/>
      <c r="AE1081" s="807"/>
      <c r="AF1081" s="921">
        <f>IF(X1081=X1080,AF1080,0)+IF(ISNUMBER(I1081),IF(I1081&lt;1,I1081,I1081*VLOOKUP(J1081,Summary!$H$2:$I$9,2)),VLOOKUP(J1081,Summary!$J$2:$K$9,2)*IF(ISNUMBER(H1081),H1081,1))</f>
        <v>0.79182870370370351</v>
      </c>
      <c r="AG1081" s="289">
        <v>1080</v>
      </c>
      <c r="AH1081" s="94"/>
      <c r="AI1081" s="94"/>
    </row>
    <row r="1082" spans="1:35" s="22" customFormat="1" ht="12" customHeight="1" x14ac:dyDescent="0.25">
      <c r="A1082" s="490" t="s">
        <v>15265</v>
      </c>
      <c r="B1082" s="490">
        <v>4</v>
      </c>
      <c r="C1082" s="490">
        <v>8.16</v>
      </c>
      <c r="D1082" s="176" t="s">
        <v>5954</v>
      </c>
      <c r="E1082" s="313" t="s">
        <v>5953</v>
      </c>
      <c r="F1082" s="174">
        <v>37956</v>
      </c>
      <c r="G1082" s="174"/>
      <c r="H1082" s="176">
        <v>1</v>
      </c>
      <c r="I1082" s="176">
        <v>13</v>
      </c>
      <c r="J1082" s="900" t="s">
        <v>2755</v>
      </c>
      <c r="K1082" s="164" t="s">
        <v>6874</v>
      </c>
      <c r="L1082" s="164" t="s">
        <v>461</v>
      </c>
      <c r="M1082" s="164"/>
      <c r="N1082" s="164" t="s">
        <v>4996</v>
      </c>
      <c r="O1082" s="164"/>
      <c r="P1082" s="173" t="s">
        <v>2555</v>
      </c>
      <c r="Q1082" s="164" t="s">
        <v>3947</v>
      </c>
      <c r="R1082" s="179" t="s">
        <v>2723</v>
      </c>
      <c r="S1082" s="354" t="s">
        <v>53</v>
      </c>
      <c r="T1082" s="173"/>
      <c r="U1082" s="173"/>
      <c r="V1082" s="173"/>
      <c r="W1082" s="313" t="s">
        <v>5953</v>
      </c>
      <c r="X1082" s="645" t="s">
        <v>15424</v>
      </c>
      <c r="Y1082" s="354"/>
      <c r="Z1082" s="176"/>
      <c r="AA1082" s="176"/>
      <c r="AB1082" s="32">
        <f t="shared" ca="1" si="18"/>
        <v>0.44193637304393696</v>
      </c>
      <c r="AC1082" s="812"/>
      <c r="AD1082" s="763"/>
      <c r="AE1082" s="951"/>
      <c r="AF1082" s="921">
        <f>IF(X1082=X1081,AF1081,0)+IF(ISNUMBER(I1082),IF(I1082&lt;1,I1082,I1082*VLOOKUP(J1082,Summary!$H$2:$I$9,2)),VLOOKUP(J1082,Summary!$J$2:$K$9,2)*IF(ISNUMBER(H1082),H1082,1))</f>
        <v>0.80085648148148125</v>
      </c>
      <c r="AG1082" s="288">
        <v>1081</v>
      </c>
      <c r="AH1082" s="94"/>
      <c r="AI1082" s="94"/>
    </row>
    <row r="1083" spans="1:35" s="2" customFormat="1" ht="12" customHeight="1" x14ac:dyDescent="0.25">
      <c r="A1083" s="494" t="s">
        <v>15265</v>
      </c>
      <c r="B1083" s="494">
        <v>4</v>
      </c>
      <c r="C1083" s="494">
        <v>1.02</v>
      </c>
      <c r="D1083" s="463" t="s">
        <v>5711</v>
      </c>
      <c r="E1083" s="330" t="s">
        <v>5949</v>
      </c>
      <c r="F1083" s="191">
        <v>35855</v>
      </c>
      <c r="G1083" s="209"/>
      <c r="H1083" s="192">
        <v>1</v>
      </c>
      <c r="I1083" s="753">
        <f>TIME(0,34,26)</f>
        <v>2.3912037037037034E-2</v>
      </c>
      <c r="J1083" s="903" t="s">
        <v>2755</v>
      </c>
      <c r="K1083" s="159" t="s">
        <v>5658</v>
      </c>
      <c r="L1083" s="159" t="s">
        <v>461</v>
      </c>
      <c r="M1083" s="159"/>
      <c r="N1083" s="194" t="s">
        <v>6237</v>
      </c>
      <c r="O1083" s="159"/>
      <c r="P1083" s="190" t="s">
        <v>5042</v>
      </c>
      <c r="Q1083" s="159" t="s">
        <v>3953</v>
      </c>
      <c r="R1083" s="221" t="s">
        <v>2723</v>
      </c>
      <c r="S1083" s="357" t="s">
        <v>53</v>
      </c>
      <c r="T1083" s="190"/>
      <c r="U1083" s="190"/>
      <c r="V1083" s="190" t="s">
        <v>3535</v>
      </c>
      <c r="W1083" s="330" t="s">
        <v>5949</v>
      </c>
      <c r="X1083" s="662" t="s">
        <v>15424</v>
      </c>
      <c r="Y1083" s="357" t="s">
        <v>6868</v>
      </c>
      <c r="Z1083" s="192">
        <v>999</v>
      </c>
      <c r="AA1083" s="367"/>
      <c r="AB1083" s="37">
        <f t="shared" ca="1" si="18"/>
        <v>0.88820525565768105</v>
      </c>
      <c r="AC1083" s="816"/>
      <c r="AD1083" s="817"/>
      <c r="AE1083" s="955"/>
      <c r="AF1083" s="924">
        <f>IF(X1083=X1082,AF1082,0)+IF(ISNUMBER(I1083),IF(I1083&lt;1,I1083,I1083*VLOOKUP(J1083,Summary!$H$2:$I$9,2)),VLOOKUP(J1083,Summary!$J$2:$K$9,2)*IF(ISNUMBER(H1083),H1083,1))</f>
        <v>0.82476851851851829</v>
      </c>
      <c r="AG1083" s="298">
        <v>1082</v>
      </c>
      <c r="AH1083" s="94"/>
      <c r="AI1083" s="94"/>
    </row>
    <row r="1084" spans="1:35" s="22" customFormat="1" ht="12" customHeight="1" x14ac:dyDescent="0.2">
      <c r="A1084" s="484" t="s">
        <v>15265</v>
      </c>
      <c r="B1084" s="484">
        <v>4</v>
      </c>
      <c r="C1084" s="484">
        <v>3</v>
      </c>
      <c r="D1084" s="407" t="s">
        <v>4890</v>
      </c>
      <c r="E1084" s="315" t="s">
        <v>7300</v>
      </c>
      <c r="F1084" s="196">
        <v>28037</v>
      </c>
      <c r="G1084" s="170"/>
      <c r="H1084" s="170" t="str">
        <f>IF(J1084="Book","n/a","")</f>
        <v/>
      </c>
      <c r="I1084" s="746">
        <f>TIME(0,19,39)</f>
        <v>1.3645833333333331E-2</v>
      </c>
      <c r="J1084" s="899" t="s">
        <v>4706</v>
      </c>
      <c r="K1084" s="167" t="s">
        <v>4891</v>
      </c>
      <c r="L1084" s="162" t="str">
        <f>IF(J1084="Book","n/a","")</f>
        <v/>
      </c>
      <c r="M1084" s="162"/>
      <c r="N1084" s="167"/>
      <c r="O1084" s="167" t="s">
        <v>1929</v>
      </c>
      <c r="P1084" s="168" t="s">
        <v>9131</v>
      </c>
      <c r="Q1084" s="167" t="s">
        <v>3948</v>
      </c>
      <c r="R1084" s="172" t="s">
        <v>2244</v>
      </c>
      <c r="S1084" s="388" t="s">
        <v>53</v>
      </c>
      <c r="T1084" s="168"/>
      <c r="U1084" s="168"/>
      <c r="V1084" s="168"/>
      <c r="W1084" s="312"/>
      <c r="X1084" s="644" t="s">
        <v>15424</v>
      </c>
      <c r="Y1084" s="352"/>
      <c r="Z1084" s="353">
        <v>697</v>
      </c>
      <c r="AA1084" s="353">
        <v>1</v>
      </c>
      <c r="AB1084" s="31">
        <f t="shared" ca="1" si="18"/>
        <v>0.102310123894639</v>
      </c>
      <c r="AC1084" s="810"/>
      <c r="AD1084" s="811"/>
      <c r="AE1084" s="940"/>
      <c r="AF1084" s="920">
        <f>IF(X1084=X1083,AF1083,0)+IF(ISNUMBER(I1084),IF(I1084&lt;1,I1084,I1084*VLOOKUP(J1084,Summary!$H$2:$I$9,2)),VLOOKUP(J1084,Summary!$J$2:$K$9,2)*IF(ISNUMBER(H1084),H1084,1))</f>
        <v>0.83841435185185165</v>
      </c>
      <c r="AG1084" s="287">
        <v>1083</v>
      </c>
      <c r="AH1084" s="94"/>
      <c r="AI1084" s="94"/>
    </row>
    <row r="1085" spans="1:35" s="22" customFormat="1" ht="12" customHeight="1" x14ac:dyDescent="0.2">
      <c r="A1085" s="488" t="s">
        <v>15265</v>
      </c>
      <c r="B1085" s="488">
        <v>4</v>
      </c>
      <c r="C1085" s="488"/>
      <c r="D1085" s="428" t="s">
        <v>7624</v>
      </c>
      <c r="E1085" s="325" t="s">
        <v>2259</v>
      </c>
      <c r="F1085" s="183">
        <v>34578</v>
      </c>
      <c r="G1085" s="184"/>
      <c r="H1085" s="185">
        <v>1</v>
      </c>
      <c r="I1085" s="185">
        <v>8</v>
      </c>
      <c r="J1085" s="901" t="s">
        <v>1796</v>
      </c>
      <c r="K1085" s="158" t="s">
        <v>552</v>
      </c>
      <c r="L1085" s="158" t="s">
        <v>2260</v>
      </c>
      <c r="M1085" s="158"/>
      <c r="N1085" s="163" t="s">
        <v>7626</v>
      </c>
      <c r="O1085" s="158"/>
      <c r="P1085" s="182" t="s">
        <v>7627</v>
      </c>
      <c r="Q1085" s="158" t="s">
        <v>4062</v>
      </c>
      <c r="R1085" s="186" t="s">
        <v>8669</v>
      </c>
      <c r="S1085" s="355" t="s">
        <v>53</v>
      </c>
      <c r="T1085" s="182"/>
      <c r="U1085" s="182"/>
      <c r="V1085" s="182"/>
      <c r="W1085" s="325" t="s">
        <v>2259</v>
      </c>
      <c r="X1085" s="657" t="s">
        <v>15424</v>
      </c>
      <c r="Y1085" s="355" t="s">
        <v>6868</v>
      </c>
      <c r="Z1085" s="362">
        <v>999</v>
      </c>
      <c r="AA1085" s="362"/>
      <c r="AB1085" s="33">
        <f t="shared" ca="1" si="18"/>
        <v>0.481465062778482</v>
      </c>
      <c r="AC1085" s="813"/>
      <c r="AD1085" s="211"/>
      <c r="AE1085" s="949"/>
      <c r="AF1085" s="922">
        <f>IF(X1085=X1084,AF1084,0)+IF(ISNUMBER(I1085),IF(I1085&lt;1,I1085,I1085*VLOOKUP(J1085,Summary!$H$2:$I$9,2)),VLOOKUP(J1085,Summary!$J$2:$K$9,2)*IF(ISNUMBER(H1085),H1085,1))</f>
        <v>0.84119212962962941</v>
      </c>
      <c r="AG1085" s="295">
        <v>1084</v>
      </c>
      <c r="AH1085" s="94"/>
      <c r="AI1085" s="94"/>
    </row>
    <row r="1086" spans="1:35" s="1" customFormat="1" ht="12" customHeight="1" x14ac:dyDescent="0.25">
      <c r="A1086" s="487" t="s">
        <v>15265</v>
      </c>
      <c r="B1086" s="487">
        <v>4</v>
      </c>
      <c r="C1086" s="487">
        <v>87</v>
      </c>
      <c r="D1086" s="424" t="s">
        <v>7301</v>
      </c>
      <c r="E1086" s="319" t="s">
        <v>7302</v>
      </c>
      <c r="F1086" s="198">
        <v>28035</v>
      </c>
      <c r="G1086" s="198">
        <v>28056</v>
      </c>
      <c r="H1086" s="199">
        <v>4</v>
      </c>
      <c r="I1086" s="791">
        <f>TIME(0,24,50)+TIME(0,24,48)+TIME(0,24,22)+TIME(0,25, 0)</f>
        <v>6.8750000000000006E-2</v>
      </c>
      <c r="J1086" s="904" t="s">
        <v>1588</v>
      </c>
      <c r="K1086" s="200" t="s">
        <v>7012</v>
      </c>
      <c r="L1086" s="200" t="s">
        <v>7030</v>
      </c>
      <c r="M1086" s="200"/>
      <c r="N1086" s="200" t="s">
        <v>1093</v>
      </c>
      <c r="O1086" s="200" t="s">
        <v>1717</v>
      </c>
      <c r="P1086" s="197" t="s">
        <v>461</v>
      </c>
      <c r="Q1086" s="200" t="s">
        <v>3946</v>
      </c>
      <c r="R1086" s="201" t="s">
        <v>5280</v>
      </c>
      <c r="S1086" s="390" t="s">
        <v>53</v>
      </c>
      <c r="T1086" s="197"/>
      <c r="U1086" s="197"/>
      <c r="V1086" s="197"/>
      <c r="W1086" s="318" t="s">
        <v>8704</v>
      </c>
      <c r="X1086" s="650" t="s">
        <v>15424</v>
      </c>
      <c r="Y1086" s="358" t="s">
        <v>6141</v>
      </c>
      <c r="Z1086" s="253">
        <v>149</v>
      </c>
      <c r="AA1086" s="253">
        <v>5.5</v>
      </c>
      <c r="AB1086" s="35">
        <f t="shared" ca="1" si="18"/>
        <v>0.77070668385248897</v>
      </c>
      <c r="AC1086" s="820"/>
      <c r="AD1086" s="821"/>
      <c r="AE1086" s="944"/>
      <c r="AF1086" s="925">
        <f>IF(X1086=X1085,AF1085,0)+IF(ISNUMBER(I1086),IF(I1086&lt;1,I1086,I1086*VLOOKUP(J1086,Summary!$H$2:$I$9,2)),VLOOKUP(J1086,Summary!$J$2:$K$9,2)*IF(ISNUMBER(H1086),H1086,1))</f>
        <v>0.90994212962962939</v>
      </c>
      <c r="AG1086" s="293">
        <v>1085</v>
      </c>
      <c r="AH1086" s="94"/>
      <c r="AI1086" s="94"/>
    </row>
    <row r="1087" spans="1:35" s="2" customFormat="1" ht="12" customHeight="1" x14ac:dyDescent="0.25">
      <c r="A1087" s="408"/>
      <c r="B1087" s="408" t="s">
        <v>8364</v>
      </c>
      <c r="C1087" s="497">
        <v>4.01</v>
      </c>
      <c r="D1087" s="176" t="s">
        <v>11652</v>
      </c>
      <c r="E1087" s="313" t="s">
        <v>11680</v>
      </c>
      <c r="F1087" s="175">
        <v>40497</v>
      </c>
      <c r="G1087" s="175"/>
      <c r="H1087" s="176" t="s">
        <v>461</v>
      </c>
      <c r="I1087" s="176"/>
      <c r="J1087" s="900" t="s">
        <v>2755</v>
      </c>
      <c r="K1087" s="164" t="s">
        <v>2310</v>
      </c>
      <c r="L1087" s="164" t="s">
        <v>461</v>
      </c>
      <c r="M1087" s="164"/>
      <c r="N1087" s="164" t="s">
        <v>11610</v>
      </c>
      <c r="O1087" s="164"/>
      <c r="P1087" s="173" t="s">
        <v>11651</v>
      </c>
      <c r="Q1087" s="164" t="s">
        <v>11587</v>
      </c>
      <c r="R1087" s="177" t="s">
        <v>11580</v>
      </c>
      <c r="S1087" s="354"/>
      <c r="T1087" s="173"/>
      <c r="U1087" s="173"/>
      <c r="V1087" s="173" t="s">
        <v>3535</v>
      </c>
      <c r="W1087" s="313" t="s">
        <v>11653</v>
      </c>
      <c r="X1087" s="645" t="s">
        <v>12506</v>
      </c>
      <c r="Y1087" s="354"/>
      <c r="Z1087" s="176"/>
      <c r="AA1087" s="176"/>
      <c r="AB1087" s="32">
        <f t="shared" ca="1" si="18"/>
        <v>0.95942420082188673</v>
      </c>
      <c r="AC1087" s="812"/>
      <c r="AD1087" s="763"/>
      <c r="AE1087" s="807"/>
      <c r="AF1087" s="921">
        <f>IF(X1087=X1086,AF1086,0)+IF(ISNUMBER(I1087),IF(I1087&lt;1,I1087,I1087*VLOOKUP(J1087,Summary!$H$2:$I$9,2)),VLOOKUP(J1087,Summary!$J$2:$K$9,2)*IF(ISNUMBER(H1087),H1087,1))</f>
        <v>1.7361111111111112E-2</v>
      </c>
      <c r="AG1087" s="289">
        <v>1086</v>
      </c>
      <c r="AH1087" s="94"/>
      <c r="AI1087" s="94"/>
    </row>
    <row r="1088" spans="1:35" s="22" customFormat="1" ht="12" customHeight="1" x14ac:dyDescent="0.25">
      <c r="A1088" s="408"/>
      <c r="B1088" s="408" t="s">
        <v>8364</v>
      </c>
      <c r="C1088" s="497">
        <v>4.0199999999999996</v>
      </c>
      <c r="D1088" s="176" t="s">
        <v>11654</v>
      </c>
      <c r="E1088" s="313" t="s">
        <v>11681</v>
      </c>
      <c r="F1088" s="175">
        <v>40497</v>
      </c>
      <c r="G1088" s="175"/>
      <c r="H1088" s="176" t="s">
        <v>461</v>
      </c>
      <c r="I1088" s="176"/>
      <c r="J1088" s="900" t="s">
        <v>2755</v>
      </c>
      <c r="K1088" s="164" t="s">
        <v>10454</v>
      </c>
      <c r="L1088" s="164" t="s">
        <v>461</v>
      </c>
      <c r="M1088" s="164"/>
      <c r="N1088" s="164" t="s">
        <v>11610</v>
      </c>
      <c r="O1088" s="164"/>
      <c r="P1088" s="173" t="s">
        <v>11651</v>
      </c>
      <c r="Q1088" s="164" t="s">
        <v>11587</v>
      </c>
      <c r="R1088" s="177" t="s">
        <v>11580</v>
      </c>
      <c r="S1088" s="354"/>
      <c r="T1088" s="173"/>
      <c r="U1088" s="173"/>
      <c r="V1088" s="173" t="s">
        <v>3535</v>
      </c>
      <c r="W1088" s="313" t="s">
        <v>11655</v>
      </c>
      <c r="X1088" s="645" t="s">
        <v>12506</v>
      </c>
      <c r="Y1088" s="354"/>
      <c r="Z1088" s="176"/>
      <c r="AA1088" s="176"/>
      <c r="AB1088" s="32">
        <f t="shared" ca="1" si="18"/>
        <v>0.55839415164553186</v>
      </c>
      <c r="AC1088" s="812"/>
      <c r="AD1088" s="763"/>
      <c r="AE1088" s="807"/>
      <c r="AF1088" s="921">
        <f>IF(X1088=X1087,AF1087,0)+IF(ISNUMBER(I1088),IF(I1088&lt;1,I1088,I1088*VLOOKUP(J1088,Summary!$H$2:$I$9,2)),VLOOKUP(J1088,Summary!$J$2:$K$9,2)*IF(ISNUMBER(H1088),H1088,1))</f>
        <v>3.4722222222222224E-2</v>
      </c>
      <c r="AG1088" s="289">
        <v>1087</v>
      </c>
      <c r="AH1088" s="94"/>
      <c r="AI1088" s="94"/>
    </row>
    <row r="1089" spans="1:35" s="22" customFormat="1" ht="12" customHeight="1" x14ac:dyDescent="0.25">
      <c r="A1089" s="408"/>
      <c r="B1089" s="408" t="s">
        <v>8364</v>
      </c>
      <c r="C1089" s="497">
        <v>4.03</v>
      </c>
      <c r="D1089" s="176" t="s">
        <v>11656</v>
      </c>
      <c r="E1089" s="313" t="s">
        <v>11682</v>
      </c>
      <c r="F1089" s="175">
        <v>40497</v>
      </c>
      <c r="G1089" s="175"/>
      <c r="H1089" s="176" t="s">
        <v>461</v>
      </c>
      <c r="I1089" s="176"/>
      <c r="J1089" s="900" t="s">
        <v>2755</v>
      </c>
      <c r="K1089" s="164" t="s">
        <v>179</v>
      </c>
      <c r="L1089" s="164" t="s">
        <v>461</v>
      </c>
      <c r="M1089" s="164"/>
      <c r="N1089" s="164" t="s">
        <v>11610</v>
      </c>
      <c r="O1089" s="164"/>
      <c r="P1089" s="173" t="s">
        <v>11651</v>
      </c>
      <c r="Q1089" s="164" t="s">
        <v>11587</v>
      </c>
      <c r="R1089" s="177" t="s">
        <v>11580</v>
      </c>
      <c r="S1089" s="354"/>
      <c r="T1089" s="173"/>
      <c r="U1089" s="173"/>
      <c r="V1089" s="173" t="s">
        <v>3535</v>
      </c>
      <c r="W1089" s="313" t="s">
        <v>11657</v>
      </c>
      <c r="X1089" s="645" t="s">
        <v>12506</v>
      </c>
      <c r="Y1089" s="354"/>
      <c r="Z1089" s="176"/>
      <c r="AA1089" s="176"/>
      <c r="AB1089" s="32">
        <f t="shared" ca="1" si="18"/>
        <v>0.33942311222628541</v>
      </c>
      <c r="AC1089" s="812"/>
      <c r="AD1089" s="763"/>
      <c r="AE1089" s="807"/>
      <c r="AF1089" s="921">
        <f>IF(X1089=X1088,AF1088,0)+IF(ISNUMBER(I1089),IF(I1089&lt;1,I1089,I1089*VLOOKUP(J1089,Summary!$H$2:$I$9,2)),VLOOKUP(J1089,Summary!$J$2:$K$9,2)*IF(ISNUMBER(H1089),H1089,1))</f>
        <v>5.2083333333333336E-2</v>
      </c>
      <c r="AG1089" s="289">
        <v>1088</v>
      </c>
      <c r="AH1089" s="94"/>
      <c r="AI1089" s="94"/>
    </row>
    <row r="1090" spans="1:35" s="22" customFormat="1" ht="12" customHeight="1" x14ac:dyDescent="0.25">
      <c r="A1090" s="408"/>
      <c r="B1090" s="408" t="s">
        <v>8364</v>
      </c>
      <c r="C1090" s="497">
        <v>4.04</v>
      </c>
      <c r="D1090" s="176" t="s">
        <v>11658</v>
      </c>
      <c r="E1090" s="313" t="s">
        <v>11683</v>
      </c>
      <c r="F1090" s="175">
        <v>40497</v>
      </c>
      <c r="G1090" s="175"/>
      <c r="H1090" s="176" t="s">
        <v>461</v>
      </c>
      <c r="I1090" s="176"/>
      <c r="J1090" s="900" t="s">
        <v>2755</v>
      </c>
      <c r="K1090" s="164" t="s">
        <v>3787</v>
      </c>
      <c r="L1090" s="164" t="s">
        <v>461</v>
      </c>
      <c r="M1090" s="164"/>
      <c r="N1090" s="164" t="s">
        <v>11610</v>
      </c>
      <c r="O1090" s="164"/>
      <c r="P1090" s="173" t="s">
        <v>11651</v>
      </c>
      <c r="Q1090" s="164" t="s">
        <v>11587</v>
      </c>
      <c r="R1090" s="177" t="s">
        <v>11580</v>
      </c>
      <c r="S1090" s="354"/>
      <c r="T1090" s="173"/>
      <c r="U1090" s="173"/>
      <c r="V1090" s="173" t="s">
        <v>3535</v>
      </c>
      <c r="W1090" s="313" t="s">
        <v>11659</v>
      </c>
      <c r="X1090" s="645" t="s">
        <v>12506</v>
      </c>
      <c r="Y1090" s="354"/>
      <c r="Z1090" s="176"/>
      <c r="AA1090" s="176"/>
      <c r="AB1090" s="32">
        <f t="shared" ref="AB1090:AB1153" ca="1" si="19">RAND()</f>
        <v>0.96994999821970695</v>
      </c>
      <c r="AC1090" s="812"/>
      <c r="AD1090" s="763"/>
      <c r="AE1090" s="807"/>
      <c r="AF1090" s="921">
        <f>IF(X1090=X1089,AF1089,0)+IF(ISNUMBER(I1090),IF(I1090&lt;1,I1090,I1090*VLOOKUP(J1090,Summary!$H$2:$I$9,2)),VLOOKUP(J1090,Summary!$J$2:$K$9,2)*IF(ISNUMBER(H1090),H1090,1))</f>
        <v>6.9444444444444448E-2</v>
      </c>
      <c r="AG1090" s="289">
        <v>1089</v>
      </c>
      <c r="AH1090" s="94"/>
      <c r="AI1090" s="94"/>
    </row>
    <row r="1091" spans="1:35" s="22" customFormat="1" ht="12" customHeight="1" x14ac:dyDescent="0.25">
      <c r="A1091" s="408"/>
      <c r="B1091" s="408" t="s">
        <v>8364</v>
      </c>
      <c r="C1091" s="497">
        <v>4.05</v>
      </c>
      <c r="D1091" s="176" t="s">
        <v>11660</v>
      </c>
      <c r="E1091" s="313" t="s">
        <v>11684</v>
      </c>
      <c r="F1091" s="175">
        <v>40497</v>
      </c>
      <c r="G1091" s="175"/>
      <c r="H1091" s="176" t="s">
        <v>461</v>
      </c>
      <c r="I1091" s="176"/>
      <c r="J1091" s="900" t="s">
        <v>2755</v>
      </c>
      <c r="K1091" s="164" t="s">
        <v>701</v>
      </c>
      <c r="L1091" s="164" t="s">
        <v>461</v>
      </c>
      <c r="M1091" s="164"/>
      <c r="N1091" s="164" t="s">
        <v>11610</v>
      </c>
      <c r="O1091" s="164"/>
      <c r="P1091" s="173" t="s">
        <v>11651</v>
      </c>
      <c r="Q1091" s="164" t="s">
        <v>11587</v>
      </c>
      <c r="R1091" s="177" t="s">
        <v>11580</v>
      </c>
      <c r="S1091" s="354"/>
      <c r="T1091" s="173"/>
      <c r="U1091" s="173"/>
      <c r="V1091" s="173" t="s">
        <v>3535</v>
      </c>
      <c r="W1091" s="313" t="s">
        <v>11661</v>
      </c>
      <c r="X1091" s="645" t="s">
        <v>12506</v>
      </c>
      <c r="Y1091" s="354"/>
      <c r="Z1091" s="176"/>
      <c r="AA1091" s="176"/>
      <c r="AB1091" s="32">
        <f t="shared" ca="1" si="19"/>
        <v>0.98961838133738167</v>
      </c>
      <c r="AC1091" s="812"/>
      <c r="AD1091" s="763"/>
      <c r="AE1091" s="807"/>
      <c r="AF1091" s="921">
        <f>IF(X1091=X1090,AF1090,0)+IF(ISNUMBER(I1091),IF(I1091&lt;1,I1091,I1091*VLOOKUP(J1091,Summary!$H$2:$I$9,2)),VLOOKUP(J1091,Summary!$J$2:$K$9,2)*IF(ISNUMBER(H1091),H1091,1))</f>
        <v>8.6805555555555552E-2</v>
      </c>
      <c r="AG1091" s="289">
        <v>1090</v>
      </c>
      <c r="AH1091" s="94"/>
      <c r="AI1091" s="94"/>
    </row>
    <row r="1092" spans="1:35" s="22" customFormat="1" ht="12" customHeight="1" x14ac:dyDescent="0.25">
      <c r="A1092" s="408"/>
      <c r="B1092" s="408" t="s">
        <v>8364</v>
      </c>
      <c r="C1092" s="497">
        <v>4.0599999999999996</v>
      </c>
      <c r="D1092" s="176" t="s">
        <v>11662</v>
      </c>
      <c r="E1092" s="313" t="s">
        <v>11685</v>
      </c>
      <c r="F1092" s="175">
        <v>40497</v>
      </c>
      <c r="G1092" s="175"/>
      <c r="H1092" s="176" t="s">
        <v>461</v>
      </c>
      <c r="I1092" s="176"/>
      <c r="J1092" s="900" t="s">
        <v>2755</v>
      </c>
      <c r="K1092" s="164" t="s">
        <v>185</v>
      </c>
      <c r="L1092" s="164" t="s">
        <v>461</v>
      </c>
      <c r="M1092" s="164"/>
      <c r="N1092" s="164" t="s">
        <v>11610</v>
      </c>
      <c r="O1092" s="164"/>
      <c r="P1092" s="173" t="s">
        <v>11651</v>
      </c>
      <c r="Q1092" s="164" t="s">
        <v>11587</v>
      </c>
      <c r="R1092" s="177" t="s">
        <v>11580</v>
      </c>
      <c r="S1092" s="354"/>
      <c r="T1092" s="173"/>
      <c r="U1092" s="173"/>
      <c r="V1092" s="173" t="s">
        <v>3535</v>
      </c>
      <c r="W1092" s="313" t="s">
        <v>11663</v>
      </c>
      <c r="X1092" s="645" t="s">
        <v>12506</v>
      </c>
      <c r="Y1092" s="354"/>
      <c r="Z1092" s="176"/>
      <c r="AA1092" s="176"/>
      <c r="AB1092" s="32">
        <f t="shared" ca="1" si="19"/>
        <v>0.84334903928499172</v>
      </c>
      <c r="AC1092" s="812"/>
      <c r="AD1092" s="763"/>
      <c r="AE1092" s="807"/>
      <c r="AF1092" s="921">
        <f>IF(X1092=X1091,AF1091,0)+IF(ISNUMBER(I1092),IF(I1092&lt;1,I1092,I1092*VLOOKUP(J1092,Summary!$H$2:$I$9,2)),VLOOKUP(J1092,Summary!$J$2:$K$9,2)*IF(ISNUMBER(H1092),H1092,1))</f>
        <v>0.10416666666666666</v>
      </c>
      <c r="AG1092" s="289">
        <v>1091</v>
      </c>
      <c r="AH1092" s="94"/>
      <c r="AI1092" s="94"/>
    </row>
    <row r="1093" spans="1:35" s="22" customFormat="1" ht="12" customHeight="1" x14ac:dyDescent="0.25">
      <c r="A1093" s="408"/>
      <c r="B1093" s="408" t="s">
        <v>8364</v>
      </c>
      <c r="C1093" s="497">
        <v>4.07</v>
      </c>
      <c r="D1093" s="176" t="s">
        <v>11664</v>
      </c>
      <c r="E1093" s="313" t="s">
        <v>11686</v>
      </c>
      <c r="F1093" s="175">
        <v>40497</v>
      </c>
      <c r="G1093" s="175"/>
      <c r="H1093" s="176" t="s">
        <v>461</v>
      </c>
      <c r="I1093" s="176"/>
      <c r="J1093" s="900" t="s">
        <v>2755</v>
      </c>
      <c r="K1093" s="164" t="s">
        <v>11678</v>
      </c>
      <c r="L1093" s="164" t="s">
        <v>461</v>
      </c>
      <c r="M1093" s="164"/>
      <c r="N1093" s="164" t="s">
        <v>11610</v>
      </c>
      <c r="O1093" s="164"/>
      <c r="P1093" s="173" t="s">
        <v>11651</v>
      </c>
      <c r="Q1093" s="164" t="s">
        <v>11587</v>
      </c>
      <c r="R1093" s="177" t="s">
        <v>11580</v>
      </c>
      <c r="S1093" s="354"/>
      <c r="T1093" s="173"/>
      <c r="U1093" s="173"/>
      <c r="V1093" s="173" t="s">
        <v>3535</v>
      </c>
      <c r="W1093" s="313" t="s">
        <v>11665</v>
      </c>
      <c r="X1093" s="645" t="s">
        <v>12506</v>
      </c>
      <c r="Y1093" s="354"/>
      <c r="Z1093" s="176"/>
      <c r="AA1093" s="176"/>
      <c r="AB1093" s="32">
        <f t="shared" ca="1" si="19"/>
        <v>0.35690439352837255</v>
      </c>
      <c r="AC1093" s="812"/>
      <c r="AD1093" s="763"/>
      <c r="AE1093" s="807"/>
      <c r="AF1093" s="921">
        <f>IF(X1093=X1092,AF1092,0)+IF(ISNUMBER(I1093),IF(I1093&lt;1,I1093,I1093*VLOOKUP(J1093,Summary!$H$2:$I$9,2)),VLOOKUP(J1093,Summary!$J$2:$K$9,2)*IF(ISNUMBER(H1093),H1093,1))</f>
        <v>0.12152777777777776</v>
      </c>
      <c r="AG1093" s="289">
        <v>1092</v>
      </c>
      <c r="AH1093" s="94"/>
      <c r="AI1093" s="94"/>
    </row>
    <row r="1094" spans="1:35" s="22" customFormat="1" ht="12" customHeight="1" x14ac:dyDescent="0.25">
      <c r="A1094" s="408"/>
      <c r="B1094" s="408" t="s">
        <v>8364</v>
      </c>
      <c r="C1094" s="497">
        <v>4.08</v>
      </c>
      <c r="D1094" s="176" t="s">
        <v>11666</v>
      </c>
      <c r="E1094" s="313" t="s">
        <v>11687</v>
      </c>
      <c r="F1094" s="175">
        <v>40497</v>
      </c>
      <c r="G1094" s="175"/>
      <c r="H1094" s="176" t="s">
        <v>461</v>
      </c>
      <c r="I1094" s="176"/>
      <c r="J1094" s="900" t="s">
        <v>2755</v>
      </c>
      <c r="K1094" s="164" t="s">
        <v>4738</v>
      </c>
      <c r="L1094" s="164" t="s">
        <v>461</v>
      </c>
      <c r="M1094" s="164"/>
      <c r="N1094" s="164" t="s">
        <v>11610</v>
      </c>
      <c r="O1094" s="164"/>
      <c r="P1094" s="173" t="s">
        <v>11651</v>
      </c>
      <c r="Q1094" s="164" t="s">
        <v>11587</v>
      </c>
      <c r="R1094" s="177" t="s">
        <v>11580</v>
      </c>
      <c r="S1094" s="354"/>
      <c r="T1094" s="173"/>
      <c r="U1094" s="173"/>
      <c r="V1094" s="173" t="s">
        <v>3535</v>
      </c>
      <c r="W1094" s="313" t="s">
        <v>11667</v>
      </c>
      <c r="X1094" s="645" t="s">
        <v>12506</v>
      </c>
      <c r="Y1094" s="354"/>
      <c r="Z1094" s="176"/>
      <c r="AA1094" s="176"/>
      <c r="AB1094" s="32">
        <f t="shared" ca="1" si="19"/>
        <v>0.31653690349147856</v>
      </c>
      <c r="AC1094" s="812"/>
      <c r="AD1094" s="763"/>
      <c r="AE1094" s="807"/>
      <c r="AF1094" s="921">
        <f>IF(X1094=X1093,AF1093,0)+IF(ISNUMBER(I1094),IF(I1094&lt;1,I1094,I1094*VLOOKUP(J1094,Summary!$H$2:$I$9,2)),VLOOKUP(J1094,Summary!$J$2:$K$9,2)*IF(ISNUMBER(H1094),H1094,1))</f>
        <v>0.13888888888888887</v>
      </c>
      <c r="AG1094" s="289">
        <v>1093</v>
      </c>
      <c r="AH1094" s="94"/>
      <c r="AI1094" s="94"/>
    </row>
    <row r="1095" spans="1:35" s="22" customFormat="1" ht="12" customHeight="1" x14ac:dyDescent="0.25">
      <c r="A1095" s="408"/>
      <c r="B1095" s="408" t="s">
        <v>8364</v>
      </c>
      <c r="C1095" s="497">
        <v>4.09</v>
      </c>
      <c r="D1095" s="176" t="s">
        <v>11668</v>
      </c>
      <c r="E1095" s="313" t="s">
        <v>11688</v>
      </c>
      <c r="F1095" s="175">
        <v>40497</v>
      </c>
      <c r="G1095" s="175"/>
      <c r="H1095" s="176" t="s">
        <v>461</v>
      </c>
      <c r="I1095" s="176"/>
      <c r="J1095" s="900" t="s">
        <v>2755</v>
      </c>
      <c r="K1095" s="164" t="s">
        <v>5146</v>
      </c>
      <c r="L1095" s="164" t="s">
        <v>461</v>
      </c>
      <c r="M1095" s="164"/>
      <c r="N1095" s="164" t="s">
        <v>11610</v>
      </c>
      <c r="O1095" s="164"/>
      <c r="P1095" s="173" t="s">
        <v>11651</v>
      </c>
      <c r="Q1095" s="164" t="s">
        <v>11587</v>
      </c>
      <c r="R1095" s="177" t="s">
        <v>11580</v>
      </c>
      <c r="S1095" s="354"/>
      <c r="T1095" s="173"/>
      <c r="U1095" s="173"/>
      <c r="V1095" s="173" t="s">
        <v>3535</v>
      </c>
      <c r="W1095" s="313" t="s">
        <v>11669</v>
      </c>
      <c r="X1095" s="645" t="s">
        <v>12506</v>
      </c>
      <c r="Y1095" s="354"/>
      <c r="Z1095" s="176"/>
      <c r="AA1095" s="176"/>
      <c r="AB1095" s="32">
        <f t="shared" ca="1" si="19"/>
        <v>0.60094662350031713</v>
      </c>
      <c r="AC1095" s="812"/>
      <c r="AD1095" s="763"/>
      <c r="AE1095" s="807"/>
      <c r="AF1095" s="921">
        <f>IF(X1095=X1094,AF1094,0)+IF(ISNUMBER(I1095),IF(I1095&lt;1,I1095,I1095*VLOOKUP(J1095,Summary!$H$2:$I$9,2)),VLOOKUP(J1095,Summary!$J$2:$K$9,2)*IF(ISNUMBER(H1095),H1095,1))</f>
        <v>0.15624999999999997</v>
      </c>
      <c r="AG1095" s="289">
        <v>1094</v>
      </c>
      <c r="AH1095" s="94"/>
      <c r="AI1095" s="94"/>
    </row>
    <row r="1096" spans="1:35" s="22" customFormat="1" ht="12" customHeight="1" x14ac:dyDescent="0.25">
      <c r="A1096" s="408"/>
      <c r="B1096" s="408" t="s">
        <v>8364</v>
      </c>
      <c r="C1096" s="497">
        <v>4.0999999999999996</v>
      </c>
      <c r="D1096" s="176" t="s">
        <v>11670</v>
      </c>
      <c r="E1096" s="313" t="s">
        <v>11689</v>
      </c>
      <c r="F1096" s="175">
        <v>40497</v>
      </c>
      <c r="G1096" s="175"/>
      <c r="H1096" s="176" t="s">
        <v>461</v>
      </c>
      <c r="I1096" s="176"/>
      <c r="J1096" s="900" t="s">
        <v>2755</v>
      </c>
      <c r="K1096" s="164" t="s">
        <v>11610</v>
      </c>
      <c r="L1096" s="164" t="s">
        <v>461</v>
      </c>
      <c r="M1096" s="164"/>
      <c r="N1096" s="164" t="s">
        <v>11610</v>
      </c>
      <c r="O1096" s="164"/>
      <c r="P1096" s="173" t="s">
        <v>11651</v>
      </c>
      <c r="Q1096" s="164" t="s">
        <v>11587</v>
      </c>
      <c r="R1096" s="177" t="s">
        <v>11580</v>
      </c>
      <c r="S1096" s="354"/>
      <c r="T1096" s="173"/>
      <c r="U1096" s="173"/>
      <c r="V1096" s="173" t="s">
        <v>3535</v>
      </c>
      <c r="W1096" s="313" t="s">
        <v>11671</v>
      </c>
      <c r="X1096" s="645" t="s">
        <v>12506</v>
      </c>
      <c r="Y1096" s="354"/>
      <c r="Z1096" s="176"/>
      <c r="AA1096" s="176"/>
      <c r="AB1096" s="32">
        <f t="shared" ca="1" si="19"/>
        <v>7.5030534573611973E-2</v>
      </c>
      <c r="AC1096" s="812"/>
      <c r="AD1096" s="763"/>
      <c r="AE1096" s="807"/>
      <c r="AF1096" s="921">
        <f>IF(X1096=X1095,AF1095,0)+IF(ISNUMBER(I1096),IF(I1096&lt;1,I1096,I1096*VLOOKUP(J1096,Summary!$H$2:$I$9,2)),VLOOKUP(J1096,Summary!$J$2:$K$9,2)*IF(ISNUMBER(H1096),H1096,1))</f>
        <v>0.17361111111111108</v>
      </c>
      <c r="AG1096" s="289">
        <v>1095</v>
      </c>
      <c r="AH1096" s="94"/>
      <c r="AI1096" s="94"/>
    </row>
    <row r="1097" spans="1:35" s="22" customFormat="1" ht="12" customHeight="1" x14ac:dyDescent="0.25">
      <c r="A1097" s="408"/>
      <c r="B1097" s="408" t="s">
        <v>8364</v>
      </c>
      <c r="C1097" s="497">
        <v>4.1100000000000003</v>
      </c>
      <c r="D1097" s="176" t="s">
        <v>11672</v>
      </c>
      <c r="E1097" s="313" t="s">
        <v>11690</v>
      </c>
      <c r="F1097" s="175">
        <v>40497</v>
      </c>
      <c r="G1097" s="175"/>
      <c r="H1097" s="176" t="s">
        <v>461</v>
      </c>
      <c r="I1097" s="176"/>
      <c r="J1097" s="900" t="s">
        <v>2755</v>
      </c>
      <c r="K1097" s="164" t="s">
        <v>11679</v>
      </c>
      <c r="L1097" s="164" t="s">
        <v>461</v>
      </c>
      <c r="M1097" s="164"/>
      <c r="N1097" s="164" t="s">
        <v>11610</v>
      </c>
      <c r="O1097" s="164"/>
      <c r="P1097" s="173" t="s">
        <v>11651</v>
      </c>
      <c r="Q1097" s="164" t="s">
        <v>11587</v>
      </c>
      <c r="R1097" s="177" t="s">
        <v>11580</v>
      </c>
      <c r="S1097" s="354"/>
      <c r="T1097" s="173"/>
      <c r="U1097" s="173"/>
      <c r="V1097" s="173" t="s">
        <v>3535</v>
      </c>
      <c r="W1097" s="313" t="s">
        <v>11673</v>
      </c>
      <c r="X1097" s="645" t="s">
        <v>12506</v>
      </c>
      <c r="Y1097" s="354"/>
      <c r="Z1097" s="176"/>
      <c r="AA1097" s="176"/>
      <c r="AB1097" s="32">
        <f t="shared" ca="1" si="19"/>
        <v>8.6960743860605372E-2</v>
      </c>
      <c r="AC1097" s="812"/>
      <c r="AD1097" s="763"/>
      <c r="AE1097" s="807"/>
      <c r="AF1097" s="921">
        <f>IF(X1097=X1096,AF1096,0)+IF(ISNUMBER(I1097),IF(I1097&lt;1,I1097,I1097*VLOOKUP(J1097,Summary!$H$2:$I$9,2)),VLOOKUP(J1097,Summary!$J$2:$K$9,2)*IF(ISNUMBER(H1097),H1097,1))</f>
        <v>0.19097222222222218</v>
      </c>
      <c r="AG1097" s="289">
        <v>1096</v>
      </c>
      <c r="AH1097" s="94"/>
      <c r="AI1097" s="94"/>
    </row>
    <row r="1098" spans="1:35" s="22" customFormat="1" ht="12" customHeight="1" x14ac:dyDescent="0.25">
      <c r="A1098" s="408"/>
      <c r="B1098" s="408" t="s">
        <v>8364</v>
      </c>
      <c r="C1098" s="497">
        <v>4.12</v>
      </c>
      <c r="D1098" s="176" t="s">
        <v>11674</v>
      </c>
      <c r="E1098" s="313" t="s">
        <v>11691</v>
      </c>
      <c r="F1098" s="175">
        <v>40497</v>
      </c>
      <c r="G1098" s="175"/>
      <c r="H1098" s="176" t="s">
        <v>461</v>
      </c>
      <c r="I1098" s="176"/>
      <c r="J1098" s="900" t="s">
        <v>2755</v>
      </c>
      <c r="K1098" s="164" t="s">
        <v>3786</v>
      </c>
      <c r="L1098" s="164" t="s">
        <v>461</v>
      </c>
      <c r="M1098" s="164"/>
      <c r="N1098" s="164" t="s">
        <v>11610</v>
      </c>
      <c r="O1098" s="164"/>
      <c r="P1098" s="173" t="s">
        <v>11651</v>
      </c>
      <c r="Q1098" s="164" t="s">
        <v>11587</v>
      </c>
      <c r="R1098" s="177" t="s">
        <v>11580</v>
      </c>
      <c r="S1098" s="354"/>
      <c r="T1098" s="173"/>
      <c r="U1098" s="173"/>
      <c r="V1098" s="173" t="s">
        <v>3535</v>
      </c>
      <c r="W1098" s="313" t="s">
        <v>11675</v>
      </c>
      <c r="X1098" s="645" t="s">
        <v>12506</v>
      </c>
      <c r="Y1098" s="354"/>
      <c r="Z1098" s="176"/>
      <c r="AA1098" s="176"/>
      <c r="AB1098" s="32">
        <f t="shared" ca="1" si="19"/>
        <v>0.82751219639986529</v>
      </c>
      <c r="AC1098" s="812"/>
      <c r="AD1098" s="763"/>
      <c r="AE1098" s="807"/>
      <c r="AF1098" s="921">
        <f>IF(X1098=X1097,AF1097,0)+IF(ISNUMBER(I1098),IF(I1098&lt;1,I1098,I1098*VLOOKUP(J1098,Summary!$H$2:$I$9,2)),VLOOKUP(J1098,Summary!$J$2:$K$9,2)*IF(ISNUMBER(H1098),H1098,1))</f>
        <v>0.20833333333333329</v>
      </c>
      <c r="AG1098" s="289">
        <v>1097</v>
      </c>
      <c r="AH1098" s="94"/>
      <c r="AI1098" s="94"/>
    </row>
    <row r="1099" spans="1:35" s="22" customFormat="1" ht="12" customHeight="1" x14ac:dyDescent="0.25">
      <c r="A1099" s="408"/>
      <c r="B1099" s="408" t="s">
        <v>8364</v>
      </c>
      <c r="C1099" s="497">
        <v>4.13</v>
      </c>
      <c r="D1099" s="176" t="s">
        <v>11676</v>
      </c>
      <c r="E1099" s="313" t="s">
        <v>11692</v>
      </c>
      <c r="F1099" s="175">
        <v>40497</v>
      </c>
      <c r="G1099" s="175"/>
      <c r="H1099" s="176" t="s">
        <v>461</v>
      </c>
      <c r="I1099" s="176"/>
      <c r="J1099" s="900" t="s">
        <v>2755</v>
      </c>
      <c r="K1099" s="164" t="s">
        <v>5658</v>
      </c>
      <c r="L1099" s="164" t="s">
        <v>461</v>
      </c>
      <c r="M1099" s="164"/>
      <c r="N1099" s="164" t="s">
        <v>11610</v>
      </c>
      <c r="O1099" s="164"/>
      <c r="P1099" s="173" t="s">
        <v>11651</v>
      </c>
      <c r="Q1099" s="164" t="s">
        <v>11587</v>
      </c>
      <c r="R1099" s="177" t="s">
        <v>11580</v>
      </c>
      <c r="S1099" s="354"/>
      <c r="T1099" s="173"/>
      <c r="U1099" s="173"/>
      <c r="V1099" s="173" t="s">
        <v>3535</v>
      </c>
      <c r="W1099" s="313" t="s">
        <v>11677</v>
      </c>
      <c r="X1099" s="645" t="s">
        <v>12506</v>
      </c>
      <c r="Y1099" s="354"/>
      <c r="Z1099" s="176"/>
      <c r="AA1099" s="176"/>
      <c r="AB1099" s="32">
        <f t="shared" ca="1" si="19"/>
        <v>1.6949981268833514E-2</v>
      </c>
      <c r="AC1099" s="812"/>
      <c r="AD1099" s="763"/>
      <c r="AE1099" s="807"/>
      <c r="AF1099" s="921">
        <f>IF(X1099=X1098,AF1098,0)+IF(ISNUMBER(I1099),IF(I1099&lt;1,I1099,I1099*VLOOKUP(J1099,Summary!$H$2:$I$9,2)),VLOOKUP(J1099,Summary!$J$2:$K$9,2)*IF(ISNUMBER(H1099),H1099,1))</f>
        <v>0.22569444444444439</v>
      </c>
      <c r="AG1099" s="289">
        <v>1098</v>
      </c>
      <c r="AH1099" s="94"/>
      <c r="AI1099" s="94"/>
    </row>
    <row r="1100" spans="1:35" s="22" customFormat="1" ht="12" customHeight="1" x14ac:dyDescent="0.25">
      <c r="A1100" s="458"/>
      <c r="B1100" s="457" t="s">
        <v>8364</v>
      </c>
      <c r="C1100" s="458">
        <v>1</v>
      </c>
      <c r="D1100" s="188" t="s">
        <v>11861</v>
      </c>
      <c r="E1100" s="327" t="s">
        <v>11725</v>
      </c>
      <c r="F1100" s="195">
        <v>40544</v>
      </c>
      <c r="G1100" s="195"/>
      <c r="H1100" s="188" t="s">
        <v>461</v>
      </c>
      <c r="I1100" s="188">
        <v>330</v>
      </c>
      <c r="J1100" s="902" t="s">
        <v>6868</v>
      </c>
      <c r="K1100" s="218" t="s">
        <v>5658</v>
      </c>
      <c r="L1100" s="218" t="s">
        <v>461</v>
      </c>
      <c r="M1100" s="218"/>
      <c r="N1100" s="218"/>
      <c r="O1100" s="218"/>
      <c r="P1100" s="178" t="s">
        <v>11726</v>
      </c>
      <c r="Q1100" s="218" t="s">
        <v>11727</v>
      </c>
      <c r="R1100" s="217" t="s">
        <v>11728</v>
      </c>
      <c r="S1100" s="366"/>
      <c r="T1100" s="178"/>
      <c r="U1100" s="178"/>
      <c r="V1100" s="178" t="s">
        <v>3535</v>
      </c>
      <c r="W1100" s="327" t="s">
        <v>11725</v>
      </c>
      <c r="X1100" s="658" t="s">
        <v>12506</v>
      </c>
      <c r="Y1100" s="366"/>
      <c r="Z1100" s="188"/>
      <c r="AA1100" s="188"/>
      <c r="AB1100" s="34">
        <f t="shared" ca="1" si="19"/>
        <v>6.4883383149200835E-2</v>
      </c>
      <c r="AC1100" s="814"/>
      <c r="AD1100" s="815" t="s">
        <v>16645</v>
      </c>
      <c r="AE1100" s="958" t="s">
        <v>16646</v>
      </c>
      <c r="AF1100" s="923">
        <f>IF(X1100=X1099,AF1099,0)+IF(ISNUMBER(I1100),IF(I1100&lt;1,I1100,I1100*VLOOKUP(J1100,Summary!$H$2:$I$9,2)),VLOOKUP(J1100,Summary!$J$2:$K$9,2)*IF(ISNUMBER(H1100),H1100,1))</f>
        <v>0.45486111111111105</v>
      </c>
      <c r="AG1100" s="297">
        <v>1099</v>
      </c>
      <c r="AH1100" s="94"/>
      <c r="AI1100" s="94"/>
    </row>
    <row r="1101" spans="1:35" s="43" customFormat="1" ht="12" customHeight="1" x14ac:dyDescent="0.25">
      <c r="A1101" s="408"/>
      <c r="B1101" s="408" t="s">
        <v>8364</v>
      </c>
      <c r="C1101" s="497">
        <v>5.01</v>
      </c>
      <c r="D1101" s="176" t="s">
        <v>11694</v>
      </c>
      <c r="E1101" s="313" t="s">
        <v>11808</v>
      </c>
      <c r="F1101" s="175">
        <v>40867</v>
      </c>
      <c r="G1101" s="175"/>
      <c r="H1101" s="176" t="s">
        <v>461</v>
      </c>
      <c r="I1101" s="176"/>
      <c r="J1101" s="900" t="s">
        <v>2755</v>
      </c>
      <c r="K1101" s="164" t="s">
        <v>1932</v>
      </c>
      <c r="L1101" s="164" t="s">
        <v>461</v>
      </c>
      <c r="M1101" s="164"/>
      <c r="N1101" s="164" t="s">
        <v>11610</v>
      </c>
      <c r="O1101" s="164"/>
      <c r="P1101" s="173" t="s">
        <v>11693</v>
      </c>
      <c r="Q1101" s="164" t="s">
        <v>11587</v>
      </c>
      <c r="R1101" s="177" t="s">
        <v>11580</v>
      </c>
      <c r="S1101" s="354"/>
      <c r="T1101" s="173"/>
      <c r="U1101" s="173"/>
      <c r="V1101" s="173" t="s">
        <v>3535</v>
      </c>
      <c r="W1101" s="313" t="s">
        <v>11695</v>
      </c>
      <c r="X1101" s="645" t="s">
        <v>12506</v>
      </c>
      <c r="Y1101" s="354"/>
      <c r="Z1101" s="176"/>
      <c r="AA1101" s="176"/>
      <c r="AB1101" s="32">
        <f t="shared" ca="1" si="19"/>
        <v>0.42487472529350068</v>
      </c>
      <c r="AC1101" s="812"/>
      <c r="AD1101" s="763"/>
      <c r="AE1101" s="807"/>
      <c r="AF1101" s="921">
        <f>IF(X1101=X1100,AF1100,0)+IF(ISNUMBER(I1101),IF(I1101&lt;1,I1101,I1101*VLOOKUP(J1101,Summary!$H$2:$I$9,2)),VLOOKUP(J1101,Summary!$J$2:$K$9,2)*IF(ISNUMBER(H1101),H1101,1))</f>
        <v>0.47222222222222215</v>
      </c>
      <c r="AG1101" s="289">
        <v>1100</v>
      </c>
      <c r="AH1101" s="94"/>
      <c r="AI1101" s="94"/>
    </row>
    <row r="1102" spans="1:35" s="43" customFormat="1" ht="12" customHeight="1" x14ac:dyDescent="0.25">
      <c r="A1102" s="408"/>
      <c r="B1102" s="408" t="s">
        <v>8364</v>
      </c>
      <c r="C1102" s="497">
        <v>5.0199999999999996</v>
      </c>
      <c r="D1102" s="176" t="s">
        <v>11696</v>
      </c>
      <c r="E1102" s="313" t="s">
        <v>11809</v>
      </c>
      <c r="F1102" s="175">
        <v>40867</v>
      </c>
      <c r="G1102" s="175"/>
      <c r="H1102" s="176" t="s">
        <v>461</v>
      </c>
      <c r="I1102" s="176"/>
      <c r="J1102" s="900" t="s">
        <v>2755</v>
      </c>
      <c r="K1102" s="164" t="s">
        <v>11720</v>
      </c>
      <c r="L1102" s="164" t="s">
        <v>461</v>
      </c>
      <c r="M1102" s="164"/>
      <c r="N1102" s="164" t="s">
        <v>11610</v>
      </c>
      <c r="O1102" s="164"/>
      <c r="P1102" s="173" t="s">
        <v>11693</v>
      </c>
      <c r="Q1102" s="164" t="s">
        <v>11587</v>
      </c>
      <c r="R1102" s="177" t="s">
        <v>11580</v>
      </c>
      <c r="S1102" s="354"/>
      <c r="T1102" s="173"/>
      <c r="U1102" s="173"/>
      <c r="V1102" s="173" t="s">
        <v>3535</v>
      </c>
      <c r="W1102" s="313" t="s">
        <v>11697</v>
      </c>
      <c r="X1102" s="645" t="s">
        <v>12506</v>
      </c>
      <c r="Y1102" s="354"/>
      <c r="Z1102" s="176"/>
      <c r="AA1102" s="176"/>
      <c r="AB1102" s="32">
        <f t="shared" ca="1" si="19"/>
        <v>0.67409320358822933</v>
      </c>
      <c r="AC1102" s="812"/>
      <c r="AD1102" s="763"/>
      <c r="AE1102" s="807"/>
      <c r="AF1102" s="921">
        <f>IF(X1102=X1101,AF1101,0)+IF(ISNUMBER(I1102),IF(I1102&lt;1,I1102,I1102*VLOOKUP(J1102,Summary!$H$2:$I$9,2)),VLOOKUP(J1102,Summary!$J$2:$K$9,2)*IF(ISNUMBER(H1102),H1102,1))</f>
        <v>0.48958333333333326</v>
      </c>
      <c r="AG1102" s="289">
        <v>1101</v>
      </c>
      <c r="AH1102" s="94"/>
      <c r="AI1102" s="94"/>
    </row>
    <row r="1103" spans="1:35" s="22" customFormat="1" ht="12" customHeight="1" x14ac:dyDescent="0.25">
      <c r="A1103" s="408"/>
      <c r="B1103" s="408" t="s">
        <v>8364</v>
      </c>
      <c r="C1103" s="497">
        <v>5.03</v>
      </c>
      <c r="D1103" s="176" t="s">
        <v>11698</v>
      </c>
      <c r="E1103" s="313" t="s">
        <v>11810</v>
      </c>
      <c r="F1103" s="175">
        <v>40867</v>
      </c>
      <c r="G1103" s="175"/>
      <c r="H1103" s="176" t="s">
        <v>461</v>
      </c>
      <c r="I1103" s="176"/>
      <c r="J1103" s="900" t="s">
        <v>2755</v>
      </c>
      <c r="K1103" s="164" t="s">
        <v>6234</v>
      </c>
      <c r="L1103" s="164" t="s">
        <v>461</v>
      </c>
      <c r="M1103" s="164"/>
      <c r="N1103" s="164" t="s">
        <v>11610</v>
      </c>
      <c r="O1103" s="164"/>
      <c r="P1103" s="173" t="s">
        <v>11693</v>
      </c>
      <c r="Q1103" s="164" t="s">
        <v>11587</v>
      </c>
      <c r="R1103" s="177" t="s">
        <v>11580</v>
      </c>
      <c r="S1103" s="354"/>
      <c r="T1103" s="173"/>
      <c r="U1103" s="173"/>
      <c r="V1103" s="173" t="s">
        <v>3535</v>
      </c>
      <c r="W1103" s="313" t="s">
        <v>11699</v>
      </c>
      <c r="X1103" s="645" t="s">
        <v>12506</v>
      </c>
      <c r="Y1103" s="354"/>
      <c r="Z1103" s="176"/>
      <c r="AA1103" s="176"/>
      <c r="AB1103" s="32">
        <f t="shared" ca="1" si="19"/>
        <v>0.11166669799182405</v>
      </c>
      <c r="AC1103" s="812"/>
      <c r="AD1103" s="763"/>
      <c r="AE1103" s="807"/>
      <c r="AF1103" s="921">
        <f>IF(X1103=X1102,AF1102,0)+IF(ISNUMBER(I1103),IF(I1103&lt;1,I1103,I1103*VLOOKUP(J1103,Summary!$H$2:$I$9,2)),VLOOKUP(J1103,Summary!$J$2:$K$9,2)*IF(ISNUMBER(H1103),H1103,1))</f>
        <v>0.50694444444444442</v>
      </c>
      <c r="AG1103" s="289">
        <v>1102</v>
      </c>
      <c r="AH1103" s="94"/>
      <c r="AI1103" s="94"/>
    </row>
    <row r="1104" spans="1:35" s="22" customFormat="1" ht="12" customHeight="1" x14ac:dyDescent="0.25">
      <c r="A1104" s="408"/>
      <c r="B1104" s="408" t="s">
        <v>8364</v>
      </c>
      <c r="C1104" s="497">
        <v>5.04</v>
      </c>
      <c r="D1104" s="176" t="s">
        <v>11700</v>
      </c>
      <c r="E1104" s="313" t="s">
        <v>11811</v>
      </c>
      <c r="F1104" s="175">
        <v>40867</v>
      </c>
      <c r="G1104" s="175"/>
      <c r="H1104" s="176" t="s">
        <v>461</v>
      </c>
      <c r="I1104" s="176"/>
      <c r="J1104" s="900" t="s">
        <v>2755</v>
      </c>
      <c r="K1104" s="164" t="s">
        <v>341</v>
      </c>
      <c r="L1104" s="164" t="s">
        <v>461</v>
      </c>
      <c r="M1104" s="164"/>
      <c r="N1104" s="164" t="s">
        <v>11610</v>
      </c>
      <c r="O1104" s="164"/>
      <c r="P1104" s="173" t="s">
        <v>11693</v>
      </c>
      <c r="Q1104" s="164" t="s">
        <v>11587</v>
      </c>
      <c r="R1104" s="177" t="s">
        <v>11580</v>
      </c>
      <c r="S1104" s="354"/>
      <c r="T1104" s="173"/>
      <c r="U1104" s="173"/>
      <c r="V1104" s="173" t="s">
        <v>3535</v>
      </c>
      <c r="W1104" s="313" t="s">
        <v>11701</v>
      </c>
      <c r="X1104" s="645" t="s">
        <v>12506</v>
      </c>
      <c r="Y1104" s="354"/>
      <c r="Z1104" s="176"/>
      <c r="AA1104" s="176"/>
      <c r="AB1104" s="32">
        <f t="shared" ca="1" si="19"/>
        <v>3.0708476788477324E-2</v>
      </c>
      <c r="AC1104" s="812"/>
      <c r="AD1104" s="763"/>
      <c r="AE1104" s="807"/>
      <c r="AF1104" s="921">
        <f>IF(X1104=X1103,AF1103,0)+IF(ISNUMBER(I1104),IF(I1104&lt;1,I1104,I1104*VLOOKUP(J1104,Summary!$H$2:$I$9,2)),VLOOKUP(J1104,Summary!$J$2:$K$9,2)*IF(ISNUMBER(H1104),H1104,1))</f>
        <v>0.52430555555555558</v>
      </c>
      <c r="AG1104" s="289">
        <v>1103</v>
      </c>
      <c r="AH1104" s="94"/>
      <c r="AI1104" s="94"/>
    </row>
    <row r="1105" spans="1:35" s="22" customFormat="1" ht="12" customHeight="1" x14ac:dyDescent="0.25">
      <c r="A1105" s="408"/>
      <c r="B1105" s="408" t="s">
        <v>8364</v>
      </c>
      <c r="C1105" s="497">
        <v>5.05</v>
      </c>
      <c r="D1105" s="176" t="s">
        <v>11702</v>
      </c>
      <c r="E1105" s="313" t="s">
        <v>11812</v>
      </c>
      <c r="F1105" s="175">
        <v>40867</v>
      </c>
      <c r="G1105" s="175"/>
      <c r="H1105" s="176" t="s">
        <v>461</v>
      </c>
      <c r="I1105" s="176"/>
      <c r="J1105" s="900" t="s">
        <v>2755</v>
      </c>
      <c r="K1105" s="164" t="s">
        <v>4738</v>
      </c>
      <c r="L1105" s="164" t="s">
        <v>461</v>
      </c>
      <c r="M1105" s="164"/>
      <c r="N1105" s="164" t="s">
        <v>11610</v>
      </c>
      <c r="O1105" s="164"/>
      <c r="P1105" s="173" t="s">
        <v>11693</v>
      </c>
      <c r="Q1105" s="164" t="s">
        <v>11587</v>
      </c>
      <c r="R1105" s="177" t="s">
        <v>11580</v>
      </c>
      <c r="S1105" s="354"/>
      <c r="T1105" s="173"/>
      <c r="U1105" s="173"/>
      <c r="V1105" s="173" t="s">
        <v>3535</v>
      </c>
      <c r="W1105" s="313" t="s">
        <v>11703</v>
      </c>
      <c r="X1105" s="645" t="s">
        <v>12506</v>
      </c>
      <c r="Y1105" s="354"/>
      <c r="Z1105" s="176"/>
      <c r="AA1105" s="176"/>
      <c r="AB1105" s="32">
        <f t="shared" ca="1" si="19"/>
        <v>0.97338559626286036</v>
      </c>
      <c r="AC1105" s="812"/>
      <c r="AD1105" s="763"/>
      <c r="AE1105" s="807"/>
      <c r="AF1105" s="921">
        <f>IF(X1105=X1104,AF1104,0)+IF(ISNUMBER(I1105),IF(I1105&lt;1,I1105,I1105*VLOOKUP(J1105,Summary!$H$2:$I$9,2)),VLOOKUP(J1105,Summary!$J$2:$K$9,2)*IF(ISNUMBER(H1105),H1105,1))</f>
        <v>0.54166666666666674</v>
      </c>
      <c r="AG1105" s="289">
        <v>1104</v>
      </c>
      <c r="AH1105" s="94"/>
      <c r="AI1105" s="94"/>
    </row>
    <row r="1106" spans="1:35" s="22" customFormat="1" ht="12" customHeight="1" x14ac:dyDescent="0.25">
      <c r="A1106" s="408"/>
      <c r="B1106" s="408" t="s">
        <v>8364</v>
      </c>
      <c r="C1106" s="497">
        <v>5.0599999999999996</v>
      </c>
      <c r="D1106" s="176" t="s">
        <v>11704</v>
      </c>
      <c r="E1106" s="313" t="s">
        <v>11813</v>
      </c>
      <c r="F1106" s="175">
        <v>40867</v>
      </c>
      <c r="G1106" s="175"/>
      <c r="H1106" s="176" t="s">
        <v>461</v>
      </c>
      <c r="I1106" s="176"/>
      <c r="J1106" s="900" t="s">
        <v>2755</v>
      </c>
      <c r="K1106" s="164" t="s">
        <v>11721</v>
      </c>
      <c r="L1106" s="164" t="s">
        <v>461</v>
      </c>
      <c r="M1106" s="164"/>
      <c r="N1106" s="164" t="s">
        <v>11610</v>
      </c>
      <c r="O1106" s="164"/>
      <c r="P1106" s="173" t="s">
        <v>11693</v>
      </c>
      <c r="Q1106" s="164" t="s">
        <v>11587</v>
      </c>
      <c r="R1106" s="177" t="s">
        <v>11580</v>
      </c>
      <c r="S1106" s="354"/>
      <c r="T1106" s="173"/>
      <c r="U1106" s="173"/>
      <c r="V1106" s="173" t="s">
        <v>3535</v>
      </c>
      <c r="W1106" s="313" t="s">
        <v>11705</v>
      </c>
      <c r="X1106" s="645" t="s">
        <v>12506</v>
      </c>
      <c r="Y1106" s="354"/>
      <c r="Z1106" s="176"/>
      <c r="AA1106" s="176"/>
      <c r="AB1106" s="32">
        <f t="shared" ca="1" si="19"/>
        <v>0.57804880423638827</v>
      </c>
      <c r="AC1106" s="812"/>
      <c r="AD1106" s="763"/>
      <c r="AE1106" s="807"/>
      <c r="AF1106" s="921">
        <f>IF(X1106=X1105,AF1105,0)+IF(ISNUMBER(I1106),IF(I1106&lt;1,I1106,I1106*VLOOKUP(J1106,Summary!$H$2:$I$9,2)),VLOOKUP(J1106,Summary!$J$2:$K$9,2)*IF(ISNUMBER(H1106),H1106,1))</f>
        <v>0.5590277777777779</v>
      </c>
      <c r="AG1106" s="289">
        <v>1105</v>
      </c>
      <c r="AH1106" s="94"/>
      <c r="AI1106" s="94"/>
    </row>
    <row r="1107" spans="1:35" s="22" customFormat="1" ht="12" customHeight="1" x14ac:dyDescent="0.25">
      <c r="A1107" s="408"/>
      <c r="B1107" s="408" t="s">
        <v>8364</v>
      </c>
      <c r="C1107" s="497">
        <v>5.07</v>
      </c>
      <c r="D1107" s="176" t="s">
        <v>11706</v>
      </c>
      <c r="E1107" s="313" t="s">
        <v>11814</v>
      </c>
      <c r="F1107" s="175">
        <v>40867</v>
      </c>
      <c r="G1107" s="175"/>
      <c r="H1107" s="176" t="s">
        <v>461</v>
      </c>
      <c r="I1107" s="176"/>
      <c r="J1107" s="900" t="s">
        <v>2755</v>
      </c>
      <c r="K1107" s="164" t="s">
        <v>11722</v>
      </c>
      <c r="L1107" s="164" t="s">
        <v>461</v>
      </c>
      <c r="M1107" s="164"/>
      <c r="N1107" s="164" t="s">
        <v>11610</v>
      </c>
      <c r="O1107" s="164"/>
      <c r="P1107" s="173" t="s">
        <v>11693</v>
      </c>
      <c r="Q1107" s="164" t="s">
        <v>11587</v>
      </c>
      <c r="R1107" s="177" t="s">
        <v>11580</v>
      </c>
      <c r="S1107" s="354"/>
      <c r="T1107" s="173"/>
      <c r="U1107" s="173"/>
      <c r="V1107" s="173" t="s">
        <v>3535</v>
      </c>
      <c r="W1107" s="313" t="s">
        <v>11707</v>
      </c>
      <c r="X1107" s="645" t="s">
        <v>12506</v>
      </c>
      <c r="Y1107" s="354"/>
      <c r="Z1107" s="176"/>
      <c r="AA1107" s="176"/>
      <c r="AB1107" s="32">
        <f t="shared" ca="1" si="19"/>
        <v>0.4695163520911726</v>
      </c>
      <c r="AC1107" s="812"/>
      <c r="AD1107" s="763"/>
      <c r="AE1107" s="807"/>
      <c r="AF1107" s="921">
        <f>IF(X1107=X1106,AF1106,0)+IF(ISNUMBER(I1107),IF(I1107&lt;1,I1107,I1107*VLOOKUP(J1107,Summary!$H$2:$I$9,2)),VLOOKUP(J1107,Summary!$J$2:$K$9,2)*IF(ISNUMBER(H1107),H1107,1))</f>
        <v>0.57638888888888906</v>
      </c>
      <c r="AG1107" s="289">
        <v>1106</v>
      </c>
      <c r="AH1107" s="94"/>
      <c r="AI1107" s="94"/>
    </row>
    <row r="1108" spans="1:35" s="22" customFormat="1" ht="12" customHeight="1" x14ac:dyDescent="0.25">
      <c r="A1108" s="408"/>
      <c r="B1108" s="408" t="s">
        <v>8364</v>
      </c>
      <c r="C1108" s="497">
        <v>5.08</v>
      </c>
      <c r="D1108" s="176" t="s">
        <v>11708</v>
      </c>
      <c r="E1108" s="313" t="s">
        <v>11815</v>
      </c>
      <c r="F1108" s="175">
        <v>40867</v>
      </c>
      <c r="G1108" s="175"/>
      <c r="H1108" s="176" t="s">
        <v>461</v>
      </c>
      <c r="I1108" s="176"/>
      <c r="J1108" s="900" t="s">
        <v>2755</v>
      </c>
      <c r="K1108" s="164" t="s">
        <v>4131</v>
      </c>
      <c r="L1108" s="164" t="s">
        <v>461</v>
      </c>
      <c r="M1108" s="164"/>
      <c r="N1108" s="164" t="s">
        <v>11610</v>
      </c>
      <c r="O1108" s="164"/>
      <c r="P1108" s="173" t="s">
        <v>11693</v>
      </c>
      <c r="Q1108" s="164" t="s">
        <v>11587</v>
      </c>
      <c r="R1108" s="177" t="s">
        <v>11580</v>
      </c>
      <c r="S1108" s="354"/>
      <c r="T1108" s="173"/>
      <c r="U1108" s="173"/>
      <c r="V1108" s="173" t="s">
        <v>3535</v>
      </c>
      <c r="W1108" s="313" t="s">
        <v>11709</v>
      </c>
      <c r="X1108" s="645" t="s">
        <v>12506</v>
      </c>
      <c r="Y1108" s="354"/>
      <c r="Z1108" s="176"/>
      <c r="AA1108" s="176"/>
      <c r="AB1108" s="32">
        <f t="shared" ca="1" si="19"/>
        <v>0.44881564279263697</v>
      </c>
      <c r="AC1108" s="812"/>
      <c r="AD1108" s="763"/>
      <c r="AE1108" s="807"/>
      <c r="AF1108" s="921">
        <f>IF(X1108=X1107,AF1107,0)+IF(ISNUMBER(I1108),IF(I1108&lt;1,I1108,I1108*VLOOKUP(J1108,Summary!$H$2:$I$9,2)),VLOOKUP(J1108,Summary!$J$2:$K$9,2)*IF(ISNUMBER(H1108),H1108,1))</f>
        <v>0.59375000000000022</v>
      </c>
      <c r="AG1108" s="289">
        <v>1107</v>
      </c>
      <c r="AH1108" s="94"/>
      <c r="AI1108" s="94"/>
    </row>
    <row r="1109" spans="1:35" s="22" customFormat="1" ht="12" customHeight="1" x14ac:dyDescent="0.25">
      <c r="A1109" s="408"/>
      <c r="B1109" s="408" t="s">
        <v>8364</v>
      </c>
      <c r="C1109" s="497">
        <v>5.09</v>
      </c>
      <c r="D1109" s="176" t="s">
        <v>11710</v>
      </c>
      <c r="E1109" s="313" t="s">
        <v>11816</v>
      </c>
      <c r="F1109" s="175">
        <v>40867</v>
      </c>
      <c r="G1109" s="175"/>
      <c r="H1109" s="176" t="s">
        <v>461</v>
      </c>
      <c r="I1109" s="176"/>
      <c r="J1109" s="900" t="s">
        <v>2755</v>
      </c>
      <c r="K1109" s="164" t="s">
        <v>185</v>
      </c>
      <c r="L1109" s="164" t="s">
        <v>461</v>
      </c>
      <c r="M1109" s="164"/>
      <c r="N1109" s="164" t="s">
        <v>11610</v>
      </c>
      <c r="O1109" s="164"/>
      <c r="P1109" s="173" t="s">
        <v>11693</v>
      </c>
      <c r="Q1109" s="164" t="s">
        <v>11587</v>
      </c>
      <c r="R1109" s="177" t="s">
        <v>11580</v>
      </c>
      <c r="S1109" s="354"/>
      <c r="T1109" s="173"/>
      <c r="U1109" s="173"/>
      <c r="V1109" s="173" t="s">
        <v>3535</v>
      </c>
      <c r="W1109" s="313" t="s">
        <v>11711</v>
      </c>
      <c r="X1109" s="645" t="s">
        <v>12506</v>
      </c>
      <c r="Y1109" s="354"/>
      <c r="Z1109" s="176"/>
      <c r="AA1109" s="176"/>
      <c r="AB1109" s="32">
        <f t="shared" ca="1" si="19"/>
        <v>0.40370452078923802</v>
      </c>
      <c r="AC1109" s="812"/>
      <c r="AD1109" s="763"/>
      <c r="AE1109" s="807"/>
      <c r="AF1109" s="921">
        <f>IF(X1109=X1108,AF1108,0)+IF(ISNUMBER(I1109),IF(I1109&lt;1,I1109,I1109*VLOOKUP(J1109,Summary!$H$2:$I$9,2)),VLOOKUP(J1109,Summary!$J$2:$K$9,2)*IF(ISNUMBER(H1109),H1109,1))</f>
        <v>0.61111111111111138</v>
      </c>
      <c r="AG1109" s="289">
        <v>1108</v>
      </c>
      <c r="AH1109" s="94"/>
      <c r="AI1109" s="94"/>
    </row>
    <row r="1110" spans="1:35" s="22" customFormat="1" ht="12" customHeight="1" x14ac:dyDescent="0.25">
      <c r="A1110" s="408"/>
      <c r="B1110" s="408" t="s">
        <v>8364</v>
      </c>
      <c r="C1110" s="497">
        <v>5.0999999999999996</v>
      </c>
      <c r="D1110" s="176" t="s">
        <v>11712</v>
      </c>
      <c r="E1110" s="313" t="s">
        <v>11817</v>
      </c>
      <c r="F1110" s="175">
        <v>40867</v>
      </c>
      <c r="G1110" s="175"/>
      <c r="H1110" s="176" t="s">
        <v>461</v>
      </c>
      <c r="I1110" s="176"/>
      <c r="J1110" s="900" t="s">
        <v>2755</v>
      </c>
      <c r="K1110" s="164" t="s">
        <v>4035</v>
      </c>
      <c r="L1110" s="164" t="s">
        <v>461</v>
      </c>
      <c r="M1110" s="164"/>
      <c r="N1110" s="164" t="s">
        <v>11610</v>
      </c>
      <c r="O1110" s="164"/>
      <c r="P1110" s="173" t="s">
        <v>11693</v>
      </c>
      <c r="Q1110" s="164" t="s">
        <v>11587</v>
      </c>
      <c r="R1110" s="177" t="s">
        <v>11580</v>
      </c>
      <c r="S1110" s="354"/>
      <c r="T1110" s="173"/>
      <c r="U1110" s="173"/>
      <c r="V1110" s="173" t="s">
        <v>3535</v>
      </c>
      <c r="W1110" s="313" t="s">
        <v>11713</v>
      </c>
      <c r="X1110" s="645" t="s">
        <v>12506</v>
      </c>
      <c r="Y1110" s="354"/>
      <c r="Z1110" s="176"/>
      <c r="AA1110" s="176"/>
      <c r="AB1110" s="32">
        <f t="shared" ca="1" si="19"/>
        <v>0.9497185449984078</v>
      </c>
      <c r="AC1110" s="812"/>
      <c r="AD1110" s="763"/>
      <c r="AE1110" s="807"/>
      <c r="AF1110" s="921">
        <f>IF(X1110=X1109,AF1109,0)+IF(ISNUMBER(I1110),IF(I1110&lt;1,I1110,I1110*VLOOKUP(J1110,Summary!$H$2:$I$9,2)),VLOOKUP(J1110,Summary!$J$2:$K$9,2)*IF(ISNUMBER(H1110),H1110,1))</f>
        <v>0.62847222222222254</v>
      </c>
      <c r="AG1110" s="289">
        <v>1109</v>
      </c>
      <c r="AH1110" s="94"/>
      <c r="AI1110" s="94"/>
    </row>
    <row r="1111" spans="1:35" s="22" customFormat="1" ht="12" customHeight="1" x14ac:dyDescent="0.25">
      <c r="A1111" s="408"/>
      <c r="B1111" s="408" t="s">
        <v>8364</v>
      </c>
      <c r="C1111" s="497">
        <v>5.1100000000000003</v>
      </c>
      <c r="D1111" s="176" t="s">
        <v>11714</v>
      </c>
      <c r="E1111" s="313" t="s">
        <v>11818</v>
      </c>
      <c r="F1111" s="175">
        <v>40867</v>
      </c>
      <c r="G1111" s="175"/>
      <c r="H1111" s="176" t="s">
        <v>461</v>
      </c>
      <c r="I1111" s="176"/>
      <c r="J1111" s="900" t="s">
        <v>2755</v>
      </c>
      <c r="K1111" s="164" t="s">
        <v>3786</v>
      </c>
      <c r="L1111" s="164" t="s">
        <v>461</v>
      </c>
      <c r="M1111" s="164"/>
      <c r="N1111" s="164" t="s">
        <v>11610</v>
      </c>
      <c r="O1111" s="164"/>
      <c r="P1111" s="173" t="s">
        <v>11693</v>
      </c>
      <c r="Q1111" s="164" t="s">
        <v>11587</v>
      </c>
      <c r="R1111" s="177" t="s">
        <v>11580</v>
      </c>
      <c r="S1111" s="354"/>
      <c r="T1111" s="173"/>
      <c r="U1111" s="173"/>
      <c r="V1111" s="173" t="s">
        <v>3535</v>
      </c>
      <c r="W1111" s="313" t="s">
        <v>11715</v>
      </c>
      <c r="X1111" s="645" t="s">
        <v>12506</v>
      </c>
      <c r="Y1111" s="354"/>
      <c r="Z1111" s="176"/>
      <c r="AA1111" s="176"/>
      <c r="AB1111" s="32">
        <f t="shared" ca="1" si="19"/>
        <v>0.27361501927714205</v>
      </c>
      <c r="AC1111" s="812"/>
      <c r="AD1111" s="763"/>
      <c r="AE1111" s="807"/>
      <c r="AF1111" s="921">
        <f>IF(X1111=X1110,AF1110,0)+IF(ISNUMBER(I1111),IF(I1111&lt;1,I1111,I1111*VLOOKUP(J1111,Summary!$H$2:$I$9,2)),VLOOKUP(J1111,Summary!$J$2:$K$9,2)*IF(ISNUMBER(H1111),H1111,1))</f>
        <v>0.6458333333333337</v>
      </c>
      <c r="AG1111" s="289">
        <v>1110</v>
      </c>
      <c r="AH1111" s="94"/>
      <c r="AI1111" s="94"/>
    </row>
    <row r="1112" spans="1:35" s="22" customFormat="1" ht="12" customHeight="1" x14ac:dyDescent="0.25">
      <c r="A1112" s="408"/>
      <c r="B1112" s="408" t="s">
        <v>8364</v>
      </c>
      <c r="C1112" s="497">
        <v>5.12</v>
      </c>
      <c r="D1112" s="176" t="s">
        <v>11716</v>
      </c>
      <c r="E1112" s="313" t="s">
        <v>11819</v>
      </c>
      <c r="F1112" s="175">
        <v>40867</v>
      </c>
      <c r="G1112" s="175"/>
      <c r="H1112" s="176" t="s">
        <v>461</v>
      </c>
      <c r="I1112" s="176"/>
      <c r="J1112" s="900" t="s">
        <v>2755</v>
      </c>
      <c r="K1112" s="164" t="s">
        <v>11723</v>
      </c>
      <c r="L1112" s="164" t="s">
        <v>461</v>
      </c>
      <c r="M1112" s="164"/>
      <c r="N1112" s="164" t="s">
        <v>11610</v>
      </c>
      <c r="O1112" s="164"/>
      <c r="P1112" s="173" t="s">
        <v>11693</v>
      </c>
      <c r="Q1112" s="164" t="s">
        <v>11587</v>
      </c>
      <c r="R1112" s="177" t="s">
        <v>11580</v>
      </c>
      <c r="S1112" s="354"/>
      <c r="T1112" s="173"/>
      <c r="U1112" s="173"/>
      <c r="V1112" s="173" t="s">
        <v>3535</v>
      </c>
      <c r="W1112" s="313" t="s">
        <v>11717</v>
      </c>
      <c r="X1112" s="645" t="s">
        <v>12506</v>
      </c>
      <c r="Y1112" s="354"/>
      <c r="Z1112" s="176"/>
      <c r="AA1112" s="176"/>
      <c r="AB1112" s="32">
        <f t="shared" ca="1" si="19"/>
        <v>0.24940866289324948</v>
      </c>
      <c r="AC1112" s="812"/>
      <c r="AD1112" s="763"/>
      <c r="AE1112" s="807"/>
      <c r="AF1112" s="921">
        <f>IF(X1112=X1111,AF1111,0)+IF(ISNUMBER(I1112),IF(I1112&lt;1,I1112,I1112*VLOOKUP(J1112,Summary!$H$2:$I$9,2)),VLOOKUP(J1112,Summary!$J$2:$K$9,2)*IF(ISNUMBER(H1112),H1112,1))</f>
        <v>0.66319444444444486</v>
      </c>
      <c r="AG1112" s="289">
        <v>1111</v>
      </c>
      <c r="AH1112" s="94"/>
      <c r="AI1112" s="94"/>
    </row>
    <row r="1113" spans="1:35" s="22" customFormat="1" ht="12" customHeight="1" x14ac:dyDescent="0.25">
      <c r="A1113" s="408"/>
      <c r="B1113" s="408" t="s">
        <v>8364</v>
      </c>
      <c r="C1113" s="497">
        <v>5.13</v>
      </c>
      <c r="D1113" s="176" t="s">
        <v>11718</v>
      </c>
      <c r="E1113" s="313" t="s">
        <v>11820</v>
      </c>
      <c r="F1113" s="175">
        <v>40867</v>
      </c>
      <c r="G1113" s="175"/>
      <c r="H1113" s="176" t="s">
        <v>461</v>
      </c>
      <c r="I1113" s="176"/>
      <c r="J1113" s="900" t="s">
        <v>2755</v>
      </c>
      <c r="K1113" s="164" t="s">
        <v>11724</v>
      </c>
      <c r="L1113" s="164" t="s">
        <v>461</v>
      </c>
      <c r="M1113" s="164"/>
      <c r="N1113" s="164" t="s">
        <v>11610</v>
      </c>
      <c r="O1113" s="164"/>
      <c r="P1113" s="173" t="s">
        <v>11693</v>
      </c>
      <c r="Q1113" s="164" t="s">
        <v>11587</v>
      </c>
      <c r="R1113" s="177" t="s">
        <v>11580</v>
      </c>
      <c r="S1113" s="354"/>
      <c r="T1113" s="173"/>
      <c r="U1113" s="173"/>
      <c r="V1113" s="173" t="s">
        <v>3535</v>
      </c>
      <c r="W1113" s="313" t="s">
        <v>11719</v>
      </c>
      <c r="X1113" s="645" t="s">
        <v>12506</v>
      </c>
      <c r="Y1113" s="354"/>
      <c r="Z1113" s="176"/>
      <c r="AA1113" s="176"/>
      <c r="AB1113" s="32">
        <f t="shared" ca="1" si="19"/>
        <v>0.60638161182092554</v>
      </c>
      <c r="AC1113" s="812"/>
      <c r="AD1113" s="763"/>
      <c r="AE1113" s="807"/>
      <c r="AF1113" s="921">
        <f>IF(X1113=X1112,AF1112,0)+IF(ISNUMBER(I1113),IF(I1113&lt;1,I1113,I1113*VLOOKUP(J1113,Summary!$H$2:$I$9,2)),VLOOKUP(J1113,Summary!$J$2:$K$9,2)*IF(ISNUMBER(H1113),H1113,1))</f>
        <v>0.68055555555555602</v>
      </c>
      <c r="AG1113" s="289">
        <v>1112</v>
      </c>
      <c r="AH1113" s="94"/>
      <c r="AI1113" s="94"/>
    </row>
    <row r="1114" spans="1:35" s="22" customFormat="1" ht="12" customHeight="1" x14ac:dyDescent="0.25">
      <c r="A1114" s="458"/>
      <c r="B1114" s="457" t="s">
        <v>8364</v>
      </c>
      <c r="C1114" s="458">
        <v>2</v>
      </c>
      <c r="D1114" s="188" t="s">
        <v>11862</v>
      </c>
      <c r="E1114" s="327" t="s">
        <v>11729</v>
      </c>
      <c r="F1114" s="195">
        <v>41061</v>
      </c>
      <c r="G1114" s="195"/>
      <c r="H1114" s="188" t="s">
        <v>461</v>
      </c>
      <c r="I1114" s="188">
        <v>431</v>
      </c>
      <c r="J1114" s="902" t="s">
        <v>6868</v>
      </c>
      <c r="K1114" s="218" t="s">
        <v>5658</v>
      </c>
      <c r="L1114" s="218" t="s">
        <v>461</v>
      </c>
      <c r="M1114" s="218"/>
      <c r="N1114" s="218"/>
      <c r="O1114" s="218"/>
      <c r="P1114" s="178" t="s">
        <v>11730</v>
      </c>
      <c r="Q1114" s="218" t="s">
        <v>11727</v>
      </c>
      <c r="R1114" s="217" t="s">
        <v>11728</v>
      </c>
      <c r="S1114" s="366"/>
      <c r="T1114" s="178"/>
      <c r="U1114" s="178"/>
      <c r="V1114" s="178" t="s">
        <v>3535</v>
      </c>
      <c r="W1114" s="327" t="s">
        <v>11729</v>
      </c>
      <c r="X1114" s="658" t="s">
        <v>12506</v>
      </c>
      <c r="Y1114" s="366"/>
      <c r="Z1114" s="188"/>
      <c r="AA1114" s="188"/>
      <c r="AB1114" s="34">
        <f t="shared" ca="1" si="19"/>
        <v>0.90770165918535273</v>
      </c>
      <c r="AC1114" s="814"/>
      <c r="AD1114" s="815"/>
      <c r="AE1114" s="245"/>
      <c r="AF1114" s="923">
        <f>IF(X1114=X1113,AF1113,0)+IF(ISNUMBER(I1114),IF(I1114&lt;1,I1114,I1114*VLOOKUP(J1114,Summary!$H$2:$I$9,2)),VLOOKUP(J1114,Summary!$J$2:$K$9,2)*IF(ISNUMBER(H1114),H1114,1))</f>
        <v>0.97986111111111152</v>
      </c>
      <c r="AG1114" s="297">
        <v>1113</v>
      </c>
      <c r="AH1114" s="94"/>
      <c r="AI1114" s="94"/>
    </row>
    <row r="1115" spans="1:35" s="22" customFormat="1" ht="12" customHeight="1" x14ac:dyDescent="0.2">
      <c r="A1115" s="405"/>
      <c r="B1115" s="406" t="s">
        <v>8364</v>
      </c>
      <c r="C1115" s="405">
        <v>3.1</v>
      </c>
      <c r="D1115" s="407" t="s">
        <v>12041</v>
      </c>
      <c r="E1115" s="315" t="s">
        <v>12038</v>
      </c>
      <c r="F1115" s="196">
        <v>41151</v>
      </c>
      <c r="G1115" s="170"/>
      <c r="H1115" s="170">
        <v>1</v>
      </c>
      <c r="I1115" s="747">
        <f>TIME(0,60,0)</f>
        <v>4.1666666666666664E-2</v>
      </c>
      <c r="J1115" s="899" t="s">
        <v>4706</v>
      </c>
      <c r="K1115" s="167" t="s">
        <v>2479</v>
      </c>
      <c r="L1115" s="167" t="s">
        <v>7375</v>
      </c>
      <c r="M1115" s="167"/>
      <c r="N1115" s="167"/>
      <c r="O1115" s="167"/>
      <c r="P1115" s="168" t="s">
        <v>12044</v>
      </c>
      <c r="Q1115" s="167" t="s">
        <v>3947</v>
      </c>
      <c r="R1115" s="172" t="s">
        <v>11583</v>
      </c>
      <c r="S1115" s="388"/>
      <c r="T1115" s="168"/>
      <c r="U1115" s="168"/>
      <c r="V1115" s="168" t="s">
        <v>3535</v>
      </c>
      <c r="W1115" s="312" t="s">
        <v>12038</v>
      </c>
      <c r="X1115" s="644" t="s">
        <v>12506</v>
      </c>
      <c r="Y1115" s="352" t="s">
        <v>11456</v>
      </c>
      <c r="Z1115" s="353">
        <v>118</v>
      </c>
      <c r="AA1115" s="353">
        <v>7</v>
      </c>
      <c r="AB1115" s="31">
        <f t="shared" ca="1" si="19"/>
        <v>0.47753049491298094</v>
      </c>
      <c r="AC1115" s="810"/>
      <c r="AD1115" s="811"/>
      <c r="AE1115" s="940"/>
      <c r="AF1115" s="920">
        <f>IF(X1115=X1114,AF1114,0)+IF(ISNUMBER(I1115),IF(I1115&lt;1,I1115,I1115*VLOOKUP(J1115,Summary!$H$2:$I$9,2)),VLOOKUP(J1115,Summary!$J$2:$K$9,2)*IF(ISNUMBER(H1115),H1115,1))</f>
        <v>1.0215277777777783</v>
      </c>
      <c r="AG1115" s="287">
        <v>1114</v>
      </c>
      <c r="AH1115" s="94"/>
      <c r="AI1115" s="94"/>
    </row>
    <row r="1116" spans="1:35" s="22" customFormat="1" ht="12" customHeight="1" x14ac:dyDescent="0.2">
      <c r="A1116" s="405"/>
      <c r="B1116" s="406" t="s">
        <v>8364</v>
      </c>
      <c r="C1116" s="405">
        <v>3.2</v>
      </c>
      <c r="D1116" s="407" t="s">
        <v>12042</v>
      </c>
      <c r="E1116" s="315" t="s">
        <v>12039</v>
      </c>
      <c r="F1116" s="196">
        <v>41151</v>
      </c>
      <c r="G1116" s="170"/>
      <c r="H1116" s="170">
        <v>1</v>
      </c>
      <c r="I1116" s="747">
        <f>TIME(0,60,0)</f>
        <v>4.1666666666666664E-2</v>
      </c>
      <c r="J1116" s="899" t="s">
        <v>4706</v>
      </c>
      <c r="K1116" s="167" t="s">
        <v>1826</v>
      </c>
      <c r="L1116" s="167" t="s">
        <v>7375</v>
      </c>
      <c r="M1116" s="167"/>
      <c r="N1116" s="167"/>
      <c r="O1116" s="167"/>
      <c r="P1116" s="168" t="s">
        <v>12044</v>
      </c>
      <c r="Q1116" s="167" t="s">
        <v>3947</v>
      </c>
      <c r="R1116" s="172" t="s">
        <v>11583</v>
      </c>
      <c r="S1116" s="388"/>
      <c r="T1116" s="168"/>
      <c r="U1116" s="168"/>
      <c r="V1116" s="168" t="s">
        <v>3535</v>
      </c>
      <c r="W1116" s="312" t="s">
        <v>12039</v>
      </c>
      <c r="X1116" s="644" t="s">
        <v>12506</v>
      </c>
      <c r="Y1116" s="352" t="s">
        <v>11456</v>
      </c>
      <c r="Z1116" s="353">
        <v>458</v>
      </c>
      <c r="AA1116" s="353">
        <v>4.5</v>
      </c>
      <c r="AB1116" s="31">
        <f t="shared" ca="1" si="19"/>
        <v>0.82668764365179037</v>
      </c>
      <c r="AC1116" s="810"/>
      <c r="AD1116" s="811"/>
      <c r="AE1116" s="940"/>
      <c r="AF1116" s="920">
        <f>IF(X1116=X1115,AF1115,0)+IF(ISNUMBER(I1116),IF(I1116&lt;1,I1116,I1116*VLOOKUP(J1116,Summary!$H$2:$I$9,2)),VLOOKUP(J1116,Summary!$J$2:$K$9,2)*IF(ISNUMBER(H1116),H1116,1))</f>
        <v>1.063194444444445</v>
      </c>
      <c r="AG1116" s="287">
        <v>1115</v>
      </c>
      <c r="AH1116" s="94"/>
      <c r="AI1116" s="94"/>
    </row>
    <row r="1117" spans="1:35" s="22" customFormat="1" ht="12" customHeight="1" x14ac:dyDescent="0.2">
      <c r="A1117" s="405"/>
      <c r="B1117" s="406" t="s">
        <v>8364</v>
      </c>
      <c r="C1117" s="405">
        <v>3.3</v>
      </c>
      <c r="D1117" s="407" t="s">
        <v>12043</v>
      </c>
      <c r="E1117" s="315" t="s">
        <v>12040</v>
      </c>
      <c r="F1117" s="196">
        <v>41151</v>
      </c>
      <c r="G1117" s="170"/>
      <c r="H1117" s="170">
        <v>1</v>
      </c>
      <c r="I1117" s="747">
        <f>TIME(0,60,0)</f>
        <v>4.1666666666666664E-2</v>
      </c>
      <c r="J1117" s="899" t="s">
        <v>4706</v>
      </c>
      <c r="K1117" s="167" t="s">
        <v>2310</v>
      </c>
      <c r="L1117" s="167" t="s">
        <v>7375</v>
      </c>
      <c r="M1117" s="167"/>
      <c r="N1117" s="167"/>
      <c r="O1117" s="167"/>
      <c r="P1117" s="168" t="s">
        <v>12044</v>
      </c>
      <c r="Q1117" s="167" t="s">
        <v>3947</v>
      </c>
      <c r="R1117" s="172" t="s">
        <v>11583</v>
      </c>
      <c r="S1117" s="388"/>
      <c r="T1117" s="168"/>
      <c r="U1117" s="168"/>
      <c r="V1117" s="168" t="s">
        <v>3535</v>
      </c>
      <c r="W1117" s="312" t="s">
        <v>12040</v>
      </c>
      <c r="X1117" s="644" t="s">
        <v>12506</v>
      </c>
      <c r="Y1117" s="352" t="s">
        <v>11456</v>
      </c>
      <c r="Z1117" s="353">
        <v>200</v>
      </c>
      <c r="AA1117" s="353">
        <v>6</v>
      </c>
      <c r="AB1117" s="31">
        <f t="shared" ca="1" si="19"/>
        <v>0.26162218942464865</v>
      </c>
      <c r="AC1117" s="810"/>
      <c r="AD1117" s="811"/>
      <c r="AE1117" s="940"/>
      <c r="AF1117" s="920">
        <f>IF(X1117=X1116,AF1116,0)+IF(ISNUMBER(I1117),IF(I1117&lt;1,I1117,I1117*VLOOKUP(J1117,Summary!$H$2:$I$9,2)),VLOOKUP(J1117,Summary!$J$2:$K$9,2)*IF(ISNUMBER(H1117),H1117,1))</f>
        <v>1.1048611111111117</v>
      </c>
      <c r="AG1117" s="287">
        <v>1116</v>
      </c>
      <c r="AH1117" s="94"/>
      <c r="AI1117" s="94"/>
    </row>
    <row r="1118" spans="1:35" s="22" customFormat="1" ht="12" customHeight="1" x14ac:dyDescent="0.25">
      <c r="A1118" s="408"/>
      <c r="B1118" s="408" t="s">
        <v>8364</v>
      </c>
      <c r="C1118" s="497">
        <v>6.01</v>
      </c>
      <c r="D1118" s="176" t="s">
        <v>11731</v>
      </c>
      <c r="E1118" s="313" t="s">
        <v>11732</v>
      </c>
      <c r="F1118" s="175">
        <v>41190</v>
      </c>
      <c r="G1118" s="175"/>
      <c r="H1118" s="176" t="s">
        <v>461</v>
      </c>
      <c r="I1118" s="176"/>
      <c r="J1118" s="900" t="s">
        <v>2755</v>
      </c>
      <c r="K1118" s="164" t="s">
        <v>11723</v>
      </c>
      <c r="L1118" s="164" t="s">
        <v>461</v>
      </c>
      <c r="M1118" s="164"/>
      <c r="N1118" s="164" t="s">
        <v>11610</v>
      </c>
      <c r="O1118" s="164"/>
      <c r="P1118" s="173"/>
      <c r="Q1118" s="164" t="s">
        <v>11587</v>
      </c>
      <c r="R1118" s="177" t="s">
        <v>11580</v>
      </c>
      <c r="S1118" s="354"/>
      <c r="T1118" s="173"/>
      <c r="U1118" s="173"/>
      <c r="V1118" s="173" t="s">
        <v>3535</v>
      </c>
      <c r="W1118" s="313" t="s">
        <v>11802</v>
      </c>
      <c r="X1118" s="645" t="s">
        <v>12506</v>
      </c>
      <c r="Y1118" s="354" t="s">
        <v>6000</v>
      </c>
      <c r="Z1118" s="176">
        <v>999</v>
      </c>
      <c r="AA1118" s="176"/>
      <c r="AB1118" s="32">
        <f t="shared" ca="1" si="19"/>
        <v>0.92447011889653041</v>
      </c>
      <c r="AC1118" s="812"/>
      <c r="AD1118" s="763"/>
      <c r="AE1118" s="807"/>
      <c r="AF1118" s="921">
        <f>IF(X1118=X1117,AF1117,0)+IF(ISNUMBER(I1118),IF(I1118&lt;1,I1118,I1118*VLOOKUP(J1118,Summary!$H$2:$I$9,2)),VLOOKUP(J1118,Summary!$J$2:$K$9,2)*IF(ISNUMBER(H1118),H1118,1))</f>
        <v>1.1222222222222229</v>
      </c>
      <c r="AG1118" s="289">
        <v>1117</v>
      </c>
      <c r="AH1118" s="94"/>
      <c r="AI1118" s="94"/>
    </row>
    <row r="1119" spans="1:35" s="22" customFormat="1" ht="12" customHeight="1" x14ac:dyDescent="0.25">
      <c r="A1119" s="408"/>
      <c r="B1119" s="408" t="s">
        <v>8364</v>
      </c>
      <c r="C1119" s="497">
        <v>6.02</v>
      </c>
      <c r="D1119" s="176" t="s">
        <v>11733</v>
      </c>
      <c r="E1119" s="313" t="s">
        <v>11734</v>
      </c>
      <c r="F1119" s="175">
        <v>41190</v>
      </c>
      <c r="G1119" s="175"/>
      <c r="H1119" s="176" t="s">
        <v>461</v>
      </c>
      <c r="I1119" s="176"/>
      <c r="J1119" s="900" t="s">
        <v>2755</v>
      </c>
      <c r="K1119" s="164" t="s">
        <v>2310</v>
      </c>
      <c r="L1119" s="164" t="s">
        <v>461</v>
      </c>
      <c r="M1119" s="164"/>
      <c r="N1119" s="164" t="s">
        <v>11610</v>
      </c>
      <c r="O1119" s="164"/>
      <c r="P1119" s="173"/>
      <c r="Q1119" s="164" t="s">
        <v>11587</v>
      </c>
      <c r="R1119" s="177" t="s">
        <v>11580</v>
      </c>
      <c r="S1119" s="354"/>
      <c r="T1119" s="173"/>
      <c r="U1119" s="173"/>
      <c r="V1119" s="173" t="s">
        <v>3535</v>
      </c>
      <c r="W1119" s="313" t="s">
        <v>11803</v>
      </c>
      <c r="X1119" s="645" t="s">
        <v>12506</v>
      </c>
      <c r="Y1119" s="354" t="s">
        <v>6000</v>
      </c>
      <c r="Z1119" s="176">
        <v>999</v>
      </c>
      <c r="AA1119" s="176"/>
      <c r="AB1119" s="32">
        <f t="shared" ca="1" si="19"/>
        <v>4.8449481777662617E-2</v>
      </c>
      <c r="AC1119" s="812"/>
      <c r="AD1119" s="763"/>
      <c r="AE1119" s="807"/>
      <c r="AF1119" s="921">
        <f>IF(X1119=X1118,AF1118,0)+IF(ISNUMBER(I1119),IF(I1119&lt;1,I1119,I1119*VLOOKUP(J1119,Summary!$H$2:$I$9,2)),VLOOKUP(J1119,Summary!$J$2:$K$9,2)*IF(ISNUMBER(H1119),H1119,1))</f>
        <v>1.1395833333333341</v>
      </c>
      <c r="AG1119" s="289">
        <v>1118</v>
      </c>
      <c r="AH1119" s="94"/>
      <c r="AI1119" s="94"/>
    </row>
    <row r="1120" spans="1:35" s="22" customFormat="1" ht="12" customHeight="1" x14ac:dyDescent="0.25">
      <c r="A1120" s="408"/>
      <c r="B1120" s="408" t="s">
        <v>8364</v>
      </c>
      <c r="C1120" s="497">
        <v>6.03</v>
      </c>
      <c r="D1120" s="176" t="s">
        <v>11735</v>
      </c>
      <c r="E1120" s="313" t="s">
        <v>11736</v>
      </c>
      <c r="F1120" s="175">
        <v>41190</v>
      </c>
      <c r="G1120" s="175"/>
      <c r="H1120" s="176" t="s">
        <v>461</v>
      </c>
      <c r="I1120" s="176"/>
      <c r="J1120" s="900" t="s">
        <v>2755</v>
      </c>
      <c r="K1120" s="164" t="s">
        <v>5658</v>
      </c>
      <c r="L1120" s="164" t="s">
        <v>461</v>
      </c>
      <c r="M1120" s="164"/>
      <c r="N1120" s="164" t="s">
        <v>11610</v>
      </c>
      <c r="O1120" s="164"/>
      <c r="P1120" s="173"/>
      <c r="Q1120" s="164" t="s">
        <v>11587</v>
      </c>
      <c r="R1120" s="177" t="s">
        <v>11580</v>
      </c>
      <c r="S1120" s="354"/>
      <c r="T1120" s="173"/>
      <c r="U1120" s="173"/>
      <c r="V1120" s="173" t="s">
        <v>3535</v>
      </c>
      <c r="W1120" s="313" t="s">
        <v>11804</v>
      </c>
      <c r="X1120" s="645" t="s">
        <v>12506</v>
      </c>
      <c r="Y1120" s="354" t="s">
        <v>6000</v>
      </c>
      <c r="Z1120" s="176">
        <v>999</v>
      </c>
      <c r="AA1120" s="176"/>
      <c r="AB1120" s="32">
        <f t="shared" ca="1" si="19"/>
        <v>0.57836653561517759</v>
      </c>
      <c r="AC1120" s="812"/>
      <c r="AD1120" s="763"/>
      <c r="AE1120" s="807"/>
      <c r="AF1120" s="921">
        <f>IF(X1120=X1119,AF1119,0)+IF(ISNUMBER(I1120),IF(I1120&lt;1,I1120,I1120*VLOOKUP(J1120,Summary!$H$2:$I$9,2)),VLOOKUP(J1120,Summary!$J$2:$K$9,2)*IF(ISNUMBER(H1120),H1120,1))</f>
        <v>1.1569444444444452</v>
      </c>
      <c r="AG1120" s="289">
        <v>1119</v>
      </c>
      <c r="AH1120" s="94"/>
      <c r="AI1120" s="94"/>
    </row>
    <row r="1121" spans="1:36" s="22" customFormat="1" ht="12" customHeight="1" x14ac:dyDescent="0.25">
      <c r="A1121" s="408"/>
      <c r="B1121" s="408" t="s">
        <v>8364</v>
      </c>
      <c r="C1121" s="497">
        <v>6.04</v>
      </c>
      <c r="D1121" s="176" t="s">
        <v>11737</v>
      </c>
      <c r="E1121" s="313" t="s">
        <v>11738</v>
      </c>
      <c r="F1121" s="175">
        <v>41190</v>
      </c>
      <c r="G1121" s="175"/>
      <c r="H1121" s="176" t="s">
        <v>461</v>
      </c>
      <c r="I1121" s="176"/>
      <c r="J1121" s="900" t="s">
        <v>2755</v>
      </c>
      <c r="K1121" s="164" t="s">
        <v>11678</v>
      </c>
      <c r="L1121" s="164" t="s">
        <v>461</v>
      </c>
      <c r="M1121" s="164"/>
      <c r="N1121" s="164" t="s">
        <v>11610</v>
      </c>
      <c r="O1121" s="164"/>
      <c r="P1121" s="173"/>
      <c r="Q1121" s="164" t="s">
        <v>11587</v>
      </c>
      <c r="R1121" s="177" t="s">
        <v>11580</v>
      </c>
      <c r="S1121" s="354"/>
      <c r="T1121" s="173"/>
      <c r="U1121" s="173"/>
      <c r="V1121" s="173" t="s">
        <v>3535</v>
      </c>
      <c r="W1121" s="313" t="s">
        <v>11805</v>
      </c>
      <c r="X1121" s="645" t="s">
        <v>12506</v>
      </c>
      <c r="Y1121" s="354" t="s">
        <v>6000</v>
      </c>
      <c r="Z1121" s="176">
        <v>999</v>
      </c>
      <c r="AA1121" s="176"/>
      <c r="AB1121" s="32">
        <f t="shared" ca="1" si="19"/>
        <v>0.48018392048005509</v>
      </c>
      <c r="AC1121" s="812"/>
      <c r="AD1121" s="763"/>
      <c r="AE1121" s="807"/>
      <c r="AF1121" s="921">
        <f>IF(X1121=X1120,AF1120,0)+IF(ISNUMBER(I1121),IF(I1121&lt;1,I1121,I1121*VLOOKUP(J1121,Summary!$H$2:$I$9,2)),VLOOKUP(J1121,Summary!$J$2:$K$9,2)*IF(ISNUMBER(H1121),H1121,1))</f>
        <v>1.1743055555555564</v>
      </c>
      <c r="AG1121" s="289">
        <v>1120</v>
      </c>
      <c r="AH1121" s="94"/>
      <c r="AI1121" s="94"/>
    </row>
    <row r="1122" spans="1:36" s="22" customFormat="1" ht="12" customHeight="1" x14ac:dyDescent="0.25">
      <c r="A1122" s="408"/>
      <c r="B1122" s="408" t="s">
        <v>8364</v>
      </c>
      <c r="C1122" s="497">
        <v>6.05</v>
      </c>
      <c r="D1122" s="176" t="s">
        <v>11739</v>
      </c>
      <c r="E1122" s="313" t="s">
        <v>11740</v>
      </c>
      <c r="F1122" s="175">
        <v>41190</v>
      </c>
      <c r="G1122" s="175"/>
      <c r="H1122" s="176" t="s">
        <v>461</v>
      </c>
      <c r="I1122" s="176"/>
      <c r="J1122" s="900" t="s">
        <v>2755</v>
      </c>
      <c r="K1122" s="164" t="s">
        <v>2312</v>
      </c>
      <c r="L1122" s="164" t="s">
        <v>461</v>
      </c>
      <c r="M1122" s="164"/>
      <c r="N1122" s="164" t="s">
        <v>11610</v>
      </c>
      <c r="O1122" s="164"/>
      <c r="P1122" s="173"/>
      <c r="Q1122" s="164" t="s">
        <v>11587</v>
      </c>
      <c r="R1122" s="177" t="s">
        <v>11580</v>
      </c>
      <c r="S1122" s="354"/>
      <c r="T1122" s="173"/>
      <c r="U1122" s="173"/>
      <c r="V1122" s="173" t="s">
        <v>3535</v>
      </c>
      <c r="W1122" s="313" t="s">
        <v>11806</v>
      </c>
      <c r="X1122" s="645" t="s">
        <v>12506</v>
      </c>
      <c r="Y1122" s="354" t="s">
        <v>6000</v>
      </c>
      <c r="Z1122" s="176">
        <v>999</v>
      </c>
      <c r="AA1122" s="176"/>
      <c r="AB1122" s="32">
        <f t="shared" ca="1" si="19"/>
        <v>0.27031283934411743</v>
      </c>
      <c r="AC1122" s="812"/>
      <c r="AD1122" s="763"/>
      <c r="AE1122" s="807"/>
      <c r="AF1122" s="921">
        <f>IF(X1122=X1121,AF1121,0)+IF(ISNUMBER(I1122),IF(I1122&lt;1,I1122,I1122*VLOOKUP(J1122,Summary!$H$2:$I$9,2)),VLOOKUP(J1122,Summary!$J$2:$K$9,2)*IF(ISNUMBER(H1122),H1122,1))</f>
        <v>1.1916666666666675</v>
      </c>
      <c r="AG1122" s="289">
        <v>1121</v>
      </c>
      <c r="AH1122" s="94"/>
      <c r="AI1122" s="94"/>
    </row>
    <row r="1123" spans="1:36" s="22" customFormat="1" ht="12" customHeight="1" x14ac:dyDescent="0.25">
      <c r="A1123" s="408"/>
      <c r="B1123" s="408" t="s">
        <v>8364</v>
      </c>
      <c r="C1123" s="497">
        <v>6.06</v>
      </c>
      <c r="D1123" s="176" t="s">
        <v>11741</v>
      </c>
      <c r="E1123" s="313" t="s">
        <v>11742</v>
      </c>
      <c r="F1123" s="175">
        <v>41190</v>
      </c>
      <c r="G1123" s="175"/>
      <c r="H1123" s="176" t="s">
        <v>461</v>
      </c>
      <c r="I1123" s="176"/>
      <c r="J1123" s="900" t="s">
        <v>2755</v>
      </c>
      <c r="K1123" s="164" t="s">
        <v>904</v>
      </c>
      <c r="L1123" s="164" t="s">
        <v>461</v>
      </c>
      <c r="M1123" s="164"/>
      <c r="N1123" s="164" t="s">
        <v>11610</v>
      </c>
      <c r="O1123" s="164"/>
      <c r="P1123" s="173"/>
      <c r="Q1123" s="164" t="s">
        <v>11587</v>
      </c>
      <c r="R1123" s="177" t="s">
        <v>11580</v>
      </c>
      <c r="S1123" s="354"/>
      <c r="T1123" s="173"/>
      <c r="U1123" s="173"/>
      <c r="V1123" s="173" t="s">
        <v>3535</v>
      </c>
      <c r="W1123" s="313" t="s">
        <v>11807</v>
      </c>
      <c r="X1123" s="645" t="s">
        <v>12506</v>
      </c>
      <c r="Y1123" s="354" t="s">
        <v>6000</v>
      </c>
      <c r="Z1123" s="176">
        <v>999</v>
      </c>
      <c r="AA1123" s="176"/>
      <c r="AB1123" s="32">
        <f t="shared" ca="1" si="19"/>
        <v>0.63483438445533158</v>
      </c>
      <c r="AC1123" s="812"/>
      <c r="AD1123" s="763"/>
      <c r="AE1123" s="807"/>
      <c r="AF1123" s="921">
        <f>IF(X1123=X1122,AF1122,0)+IF(ISNUMBER(I1123),IF(I1123&lt;1,I1123,I1123*VLOOKUP(J1123,Summary!$H$2:$I$9,2)),VLOOKUP(J1123,Summary!$J$2:$K$9,2)*IF(ISNUMBER(H1123),H1123,1))</f>
        <v>1.2090277777777787</v>
      </c>
      <c r="AG1123" s="289">
        <v>1122</v>
      </c>
      <c r="AH1123" s="94"/>
      <c r="AI1123" s="94"/>
    </row>
    <row r="1124" spans="1:36" s="22" customFormat="1" ht="12" customHeight="1" x14ac:dyDescent="0.2">
      <c r="A1124" s="405"/>
      <c r="B1124" s="406" t="s">
        <v>2650</v>
      </c>
      <c r="C1124" s="405"/>
      <c r="D1124" s="407"/>
      <c r="E1124" s="315" t="s">
        <v>14188</v>
      </c>
      <c r="F1124" s="196">
        <v>41308</v>
      </c>
      <c r="G1124" s="170"/>
      <c r="H1124" s="170">
        <v>1</v>
      </c>
      <c r="I1124" s="746">
        <f>TIME(0,90,0)</f>
        <v>6.25E-2</v>
      </c>
      <c r="J1124" s="899" t="s">
        <v>4706</v>
      </c>
      <c r="K1124" s="167" t="s">
        <v>5658</v>
      </c>
      <c r="L1124" s="167" t="s">
        <v>14189</v>
      </c>
      <c r="M1124" s="167"/>
      <c r="N1124" s="167"/>
      <c r="O1124" s="167" t="s">
        <v>14189</v>
      </c>
      <c r="P1124" s="168"/>
      <c r="Q1124" s="167" t="s">
        <v>14190</v>
      </c>
      <c r="R1124" s="172" t="s">
        <v>11583</v>
      </c>
      <c r="S1124" s="388"/>
      <c r="T1124" s="168"/>
      <c r="U1124" s="168"/>
      <c r="V1124" s="168"/>
      <c r="W1124" s="315" t="s">
        <v>14188</v>
      </c>
      <c r="X1124" s="644" t="s">
        <v>12506</v>
      </c>
      <c r="Y1124" s="352"/>
      <c r="Z1124" s="353"/>
      <c r="AA1124" s="353"/>
      <c r="AB1124" s="31">
        <f t="shared" ca="1" si="19"/>
        <v>0.96018576435398262</v>
      </c>
      <c r="AC1124" s="810"/>
      <c r="AD1124" s="811"/>
      <c r="AE1124" s="940"/>
      <c r="AF1124" s="920">
        <f>IF(X1124=X1123,AF1123,0)+IF(ISNUMBER(I1124),IF(I1124&lt;1,I1124,I1124*VLOOKUP(J1124,Summary!$H$2:$I$9,2)),VLOOKUP(J1124,Summary!$J$2:$K$9,2)*IF(ISNUMBER(H1124),H1124,1))</f>
        <v>1.2715277777777787</v>
      </c>
      <c r="AG1124" s="287">
        <v>1123</v>
      </c>
      <c r="AH1124" s="94"/>
      <c r="AI1124" s="94"/>
    </row>
    <row r="1125" spans="1:36" s="1" customFormat="1" ht="12" customHeight="1" x14ac:dyDescent="0.25">
      <c r="A1125" s="487" t="s">
        <v>15266</v>
      </c>
      <c r="B1125" s="487">
        <v>4</v>
      </c>
      <c r="C1125" s="487">
        <v>88</v>
      </c>
      <c r="D1125" s="424" t="s">
        <v>7303</v>
      </c>
      <c r="E1125" s="319" t="s">
        <v>7304</v>
      </c>
      <c r="F1125" s="198">
        <v>28063</v>
      </c>
      <c r="G1125" s="198">
        <v>28084</v>
      </c>
      <c r="H1125" s="199">
        <v>4</v>
      </c>
      <c r="I1125" s="791">
        <f>TIME(0,21,13)+TIME(0,24,44)+TIME(0,24,20)+TIME(0,24,30)</f>
        <v>6.582175925925926E-2</v>
      </c>
      <c r="J1125" s="904" t="s">
        <v>1588</v>
      </c>
      <c r="K1125" s="200" t="s">
        <v>1093</v>
      </c>
      <c r="L1125" s="200" t="s">
        <v>6125</v>
      </c>
      <c r="M1125" s="200"/>
      <c r="N1125" s="200" t="s">
        <v>1093</v>
      </c>
      <c r="O1125" s="200" t="s">
        <v>1717</v>
      </c>
      <c r="P1125" s="197" t="s">
        <v>461</v>
      </c>
      <c r="Q1125" s="200" t="s">
        <v>3946</v>
      </c>
      <c r="R1125" s="201" t="s">
        <v>5280</v>
      </c>
      <c r="S1125" s="390"/>
      <c r="T1125" s="197"/>
      <c r="U1125" s="197"/>
      <c r="V1125" s="197"/>
      <c r="W1125" s="318" t="s">
        <v>8705</v>
      </c>
      <c r="X1125" s="650" t="s">
        <v>12462</v>
      </c>
      <c r="Y1125" s="358" t="s">
        <v>6141</v>
      </c>
      <c r="Z1125" s="360">
        <v>49</v>
      </c>
      <c r="AA1125" s="253">
        <v>8.5</v>
      </c>
      <c r="AB1125" s="35">
        <f t="shared" ca="1" si="19"/>
        <v>0.73125716264801688</v>
      </c>
      <c r="AC1125" s="820"/>
      <c r="AD1125" s="821"/>
      <c r="AE1125" s="944"/>
      <c r="AF1125" s="925">
        <f>IF(X1125=X1124,AF1124,0)+IF(ISNUMBER(I1125),IF(I1125&lt;1,I1125,I1125*VLOOKUP(J1125,Summary!$H$2:$I$9,2)),VLOOKUP(J1125,Summary!$J$2:$K$9,2)*IF(ISNUMBER(H1125),H1125,1))</f>
        <v>6.582175925925926E-2</v>
      </c>
      <c r="AG1125" s="293">
        <v>1124</v>
      </c>
      <c r="AH1125" s="94"/>
      <c r="AI1125" s="94"/>
    </row>
    <row r="1126" spans="1:36" s="3" customFormat="1" ht="12" customHeight="1" x14ac:dyDescent="0.25">
      <c r="A1126" s="484" t="s">
        <v>15266</v>
      </c>
      <c r="B1126" s="484">
        <v>4</v>
      </c>
      <c r="C1126" s="484">
        <v>2.1</v>
      </c>
      <c r="D1126" s="407" t="s">
        <v>12694</v>
      </c>
      <c r="E1126" s="315" t="s">
        <v>12695</v>
      </c>
      <c r="F1126" s="196">
        <v>42943</v>
      </c>
      <c r="G1126" s="170"/>
      <c r="H1126" s="170">
        <v>1</v>
      </c>
      <c r="I1126" s="747">
        <f>TIME(0,60,0)</f>
        <v>4.1666666666666664E-2</v>
      </c>
      <c r="J1126" s="899" t="s">
        <v>4706</v>
      </c>
      <c r="K1126" s="167" t="s">
        <v>5666</v>
      </c>
      <c r="L1126" s="167" t="s">
        <v>3296</v>
      </c>
      <c r="M1126" s="162"/>
      <c r="N1126" s="167"/>
      <c r="O1126" s="167" t="s">
        <v>3295</v>
      </c>
      <c r="P1126" s="168" t="s">
        <v>12696</v>
      </c>
      <c r="Q1126" s="167" t="s">
        <v>3947</v>
      </c>
      <c r="R1126" s="172" t="s">
        <v>14260</v>
      </c>
      <c r="S1126" s="388"/>
      <c r="T1126" s="168"/>
      <c r="U1126" s="168"/>
      <c r="V1126" s="168"/>
      <c r="W1126" s="312" t="s">
        <v>12695</v>
      </c>
      <c r="X1126" s="644" t="s">
        <v>12462</v>
      </c>
      <c r="Y1126" s="352"/>
      <c r="Z1126" s="353"/>
      <c r="AA1126" s="353"/>
      <c r="AB1126" s="31">
        <f t="shared" ca="1" si="19"/>
        <v>0.32766688203102057</v>
      </c>
      <c r="AC1126" s="810"/>
      <c r="AD1126" s="811"/>
      <c r="AE1126" s="940"/>
      <c r="AF1126" s="920">
        <f>IF(X1126=X1125,AF1125,0)+IF(ISNUMBER(I1126),IF(I1126&lt;1,I1126,I1126*VLOOKUP(J1126,Summary!$H$2:$I$9,2)),VLOOKUP(J1126,Summary!$J$2:$K$9,2)*IF(ISNUMBER(H1126),H1126,1))</f>
        <v>0.10748842592592592</v>
      </c>
      <c r="AG1126" s="287">
        <v>1125</v>
      </c>
      <c r="AH1126" s="94"/>
      <c r="AI1126" s="94"/>
    </row>
    <row r="1127" spans="1:36" s="1" customFormat="1" ht="12" customHeight="1" x14ac:dyDescent="0.25">
      <c r="A1127" s="492" t="s">
        <v>15266</v>
      </c>
      <c r="B1127" s="492">
        <v>4</v>
      </c>
      <c r="C1127" s="492">
        <v>4</v>
      </c>
      <c r="D1127" s="417" t="s">
        <v>7305</v>
      </c>
      <c r="E1127" s="316" t="s">
        <v>7306</v>
      </c>
      <c r="F1127" s="187">
        <v>37469</v>
      </c>
      <c r="G1127" s="188"/>
      <c r="H1127" s="188" t="str">
        <f>IF(J1127="Book","n/a","")</f>
        <v>n/a</v>
      </c>
      <c r="I1127" s="188">
        <v>112</v>
      </c>
      <c r="J1127" s="902" t="s">
        <v>6868</v>
      </c>
      <c r="K1127" s="162" t="s">
        <v>6233</v>
      </c>
      <c r="L1127" s="162" t="str">
        <f>IF(J1127="Book","n/a","")</f>
        <v>n/a</v>
      </c>
      <c r="M1127" s="162"/>
      <c r="N1127" s="162"/>
      <c r="O1127" s="162"/>
      <c r="P1127" s="178" t="s">
        <v>8859</v>
      </c>
      <c r="Q1127" s="162" t="s">
        <v>6055</v>
      </c>
      <c r="R1127" s="189" t="s">
        <v>2718</v>
      </c>
      <c r="S1127" s="366"/>
      <c r="T1127" s="178"/>
      <c r="U1127" s="178"/>
      <c r="V1127" s="178"/>
      <c r="W1127" s="316" t="s">
        <v>7306</v>
      </c>
      <c r="X1127" s="648" t="s">
        <v>12462</v>
      </c>
      <c r="Y1127" s="356"/>
      <c r="Z1127" s="272">
        <v>124</v>
      </c>
      <c r="AA1127" s="272">
        <v>5</v>
      </c>
      <c r="AB1127" s="34">
        <f t="shared" ca="1" si="19"/>
        <v>0.36840785189555181</v>
      </c>
      <c r="AC1127" s="814"/>
      <c r="AD1127" s="815" t="s">
        <v>14944</v>
      </c>
      <c r="AE1127" s="942"/>
      <c r="AF1127" s="923">
        <f>IF(X1127=X1126,AF1126,0)+IF(ISNUMBER(I1127),IF(I1127&lt;1,I1127,I1127*VLOOKUP(J1127,Summary!$H$2:$I$9,2)),VLOOKUP(J1127,Summary!$J$2:$K$9,2)*IF(ISNUMBER(H1127),H1127,1))</f>
        <v>0.1852662037037037</v>
      </c>
      <c r="AG1127" s="291">
        <v>1126</v>
      </c>
      <c r="AH1127" s="94"/>
      <c r="AI1127" s="94"/>
    </row>
    <row r="1128" spans="1:36" s="22" customFormat="1" ht="12" customHeight="1" x14ac:dyDescent="0.25">
      <c r="A1128" s="490" t="s">
        <v>15266</v>
      </c>
      <c r="B1128" s="490">
        <v>4</v>
      </c>
      <c r="C1128" s="490">
        <v>18.12</v>
      </c>
      <c r="D1128" s="176" t="s">
        <v>4248</v>
      </c>
      <c r="E1128" s="313" t="s">
        <v>4249</v>
      </c>
      <c r="F1128" s="174">
        <v>38687</v>
      </c>
      <c r="G1128" s="174"/>
      <c r="H1128" s="176">
        <v>1</v>
      </c>
      <c r="I1128" s="176">
        <v>6</v>
      </c>
      <c r="J1128" s="900" t="s">
        <v>2755</v>
      </c>
      <c r="K1128" s="164" t="s">
        <v>6352</v>
      </c>
      <c r="L1128" s="164" t="s">
        <v>461</v>
      </c>
      <c r="M1128" s="164"/>
      <c r="N1128" s="164" t="s">
        <v>5664</v>
      </c>
      <c r="O1128" s="164"/>
      <c r="P1128" s="173" t="s">
        <v>5000</v>
      </c>
      <c r="Q1128" s="164" t="s">
        <v>3947</v>
      </c>
      <c r="R1128" s="179" t="s">
        <v>2723</v>
      </c>
      <c r="S1128" s="354"/>
      <c r="T1128" s="173"/>
      <c r="U1128" s="173"/>
      <c r="V1128" s="173"/>
      <c r="W1128" s="313" t="s">
        <v>4249</v>
      </c>
      <c r="X1128" s="645" t="s">
        <v>12462</v>
      </c>
      <c r="Y1128" s="354"/>
      <c r="Z1128" s="176"/>
      <c r="AA1128" s="176"/>
      <c r="AB1128" s="32">
        <f t="shared" ca="1" si="19"/>
        <v>0.35540465797889065</v>
      </c>
      <c r="AC1128" s="812"/>
      <c r="AD1128" s="763"/>
      <c r="AE1128" s="951"/>
      <c r="AF1128" s="921">
        <f>IF(X1128=X1127,AF1127,0)+IF(ISNUMBER(I1128),IF(I1128&lt;1,I1128,I1128*VLOOKUP(J1128,Summary!$H$2:$I$9,2)),VLOOKUP(J1128,Summary!$J$2:$K$9,2)*IF(ISNUMBER(H1128),H1128,1))</f>
        <v>0.18943287037037038</v>
      </c>
      <c r="AG1128" s="288">
        <v>1127</v>
      </c>
      <c r="AH1128" s="94"/>
      <c r="AI1128" s="94"/>
    </row>
    <row r="1129" spans="1:36" s="22" customFormat="1" ht="12" customHeight="1" x14ac:dyDescent="0.25">
      <c r="A1129" s="485" t="s">
        <v>15266</v>
      </c>
      <c r="B1129" s="485">
        <v>4</v>
      </c>
      <c r="C1129" s="485">
        <v>1</v>
      </c>
      <c r="D1129" s="176" t="s">
        <v>13110</v>
      </c>
      <c r="E1129" s="313" t="s">
        <v>13115</v>
      </c>
      <c r="F1129" s="175">
        <v>41613</v>
      </c>
      <c r="G1129" s="174"/>
      <c r="H1129" s="176">
        <v>1</v>
      </c>
      <c r="I1129" s="176">
        <v>56</v>
      </c>
      <c r="J1129" s="900" t="s">
        <v>2755</v>
      </c>
      <c r="K1129" s="164" t="s">
        <v>12125</v>
      </c>
      <c r="L1129" s="164" t="s">
        <v>461</v>
      </c>
      <c r="M1129" s="164"/>
      <c r="N1129" s="164"/>
      <c r="O1129" s="164"/>
      <c r="P1129" s="173"/>
      <c r="Q1129" s="164" t="s">
        <v>2173</v>
      </c>
      <c r="R1129" s="177" t="s">
        <v>10233</v>
      </c>
      <c r="S1129" s="354"/>
      <c r="T1129" s="173"/>
      <c r="U1129" s="173"/>
      <c r="V1129" s="173"/>
      <c r="W1129" s="313" t="s">
        <v>13115</v>
      </c>
      <c r="X1129" s="645" t="s">
        <v>12462</v>
      </c>
      <c r="Y1129" s="354"/>
      <c r="Z1129" s="176"/>
      <c r="AA1129" s="176"/>
      <c r="AB1129" s="32">
        <f t="shared" ca="1" si="19"/>
        <v>6.7480852079870091E-2</v>
      </c>
      <c r="AC1129" s="812"/>
      <c r="AD1129" s="763"/>
      <c r="AE1129" s="807"/>
      <c r="AF1129" s="921">
        <f>IF(X1129=X1128,AF1128,0)+IF(ISNUMBER(I1129),IF(I1129&lt;1,I1129,I1129*VLOOKUP(J1129,Summary!$H$2:$I$9,2)),VLOOKUP(J1129,Summary!$J$2:$K$9,2)*IF(ISNUMBER(H1129),H1129,1))</f>
        <v>0.22832175925925927</v>
      </c>
      <c r="AG1129" s="289">
        <v>1128</v>
      </c>
      <c r="AH1129" s="94"/>
      <c r="AI1129" s="94"/>
    </row>
    <row r="1130" spans="1:36" s="22" customFormat="1" ht="12" customHeight="1" x14ac:dyDescent="0.2">
      <c r="A1130" s="405" t="s">
        <v>15266</v>
      </c>
      <c r="B1130" s="406" t="s">
        <v>2650</v>
      </c>
      <c r="C1130" s="405">
        <v>4.0999999999999996</v>
      </c>
      <c r="D1130" s="407" t="s">
        <v>15269</v>
      </c>
      <c r="E1130" s="336" t="s">
        <v>15275</v>
      </c>
      <c r="F1130" s="196">
        <v>43347</v>
      </c>
      <c r="G1130" s="169"/>
      <c r="H1130" s="170">
        <v>1</v>
      </c>
      <c r="I1130" s="747">
        <f>TIME(0,60,0)</f>
        <v>4.1666666666666664E-2</v>
      </c>
      <c r="J1130" s="899" t="s">
        <v>4706</v>
      </c>
      <c r="K1130" s="167" t="s">
        <v>15274</v>
      </c>
      <c r="L1130" s="167" t="s">
        <v>2313</v>
      </c>
      <c r="M1130" s="167"/>
      <c r="N1130" s="167" t="s">
        <v>10670</v>
      </c>
      <c r="O1130" s="167" t="s">
        <v>3295</v>
      </c>
      <c r="P1130" s="168" t="s">
        <v>15271</v>
      </c>
      <c r="Q1130" s="167" t="s">
        <v>3947</v>
      </c>
      <c r="R1130" s="172" t="s">
        <v>10102</v>
      </c>
      <c r="S1130" s="388"/>
      <c r="T1130" s="168"/>
      <c r="U1130" s="168" t="s">
        <v>7344</v>
      </c>
      <c r="V1130" s="168"/>
      <c r="W1130" s="336" t="s">
        <v>15275</v>
      </c>
      <c r="X1130" s="644" t="s">
        <v>12462</v>
      </c>
      <c r="Y1130" s="352"/>
      <c r="Z1130" s="353"/>
      <c r="AA1130" s="353"/>
      <c r="AB1130" s="31">
        <f t="shared" ca="1" si="19"/>
        <v>0.28385547815879908</v>
      </c>
      <c r="AC1130" s="810"/>
      <c r="AD1130" s="811"/>
      <c r="AE1130" s="945"/>
      <c r="AF1130" s="920">
        <f>IF(X1130=X1129,AF1129,0)+IF(ISNUMBER(I1130),IF(I1130&lt;1,I1130,I1130*VLOOKUP(J1130,Summary!$H$2:$I$9,2)),VLOOKUP(J1130,Summary!$J$2:$K$9,2)*IF(ISNUMBER(H1130),H1130,1))</f>
        <v>0.26998842592592592</v>
      </c>
      <c r="AG1130" s="287">
        <v>1129</v>
      </c>
      <c r="AH1130" s="94"/>
      <c r="AI1130" s="94"/>
    </row>
    <row r="1131" spans="1:36" s="132" customFormat="1" ht="12" customHeight="1" x14ac:dyDescent="0.2">
      <c r="A1131" s="405" t="s">
        <v>15266</v>
      </c>
      <c r="B1131" s="406" t="s">
        <v>2650</v>
      </c>
      <c r="C1131" s="405">
        <v>4.2</v>
      </c>
      <c r="D1131" s="407" t="s">
        <v>15270</v>
      </c>
      <c r="E1131" s="336" t="s">
        <v>15276</v>
      </c>
      <c r="F1131" s="196">
        <v>43347</v>
      </c>
      <c r="G1131" s="169"/>
      <c r="H1131" s="170">
        <v>1</v>
      </c>
      <c r="I1131" s="747">
        <f>TIME(0,60,0)</f>
        <v>4.1666666666666664E-2</v>
      </c>
      <c r="J1131" s="899" t="s">
        <v>4706</v>
      </c>
      <c r="K1131" s="167" t="s">
        <v>15171</v>
      </c>
      <c r="L1131" s="167" t="s">
        <v>2313</v>
      </c>
      <c r="M1131" s="167"/>
      <c r="N1131" s="167" t="s">
        <v>10670</v>
      </c>
      <c r="O1131" s="167" t="s">
        <v>3295</v>
      </c>
      <c r="P1131" s="168" t="s">
        <v>15271</v>
      </c>
      <c r="Q1131" s="167" t="s">
        <v>3947</v>
      </c>
      <c r="R1131" s="172" t="s">
        <v>10102</v>
      </c>
      <c r="S1131" s="388"/>
      <c r="T1131" s="168"/>
      <c r="U1131" s="168" t="s">
        <v>7344</v>
      </c>
      <c r="V1131" s="168"/>
      <c r="W1131" s="336" t="s">
        <v>15276</v>
      </c>
      <c r="X1131" s="644" t="s">
        <v>12462</v>
      </c>
      <c r="Y1131" s="352"/>
      <c r="Z1131" s="353"/>
      <c r="AA1131" s="353"/>
      <c r="AB1131" s="31">
        <f t="shared" ca="1" si="19"/>
        <v>0.42353754071381033</v>
      </c>
      <c r="AC1131" s="810"/>
      <c r="AD1131" s="811"/>
      <c r="AE1131" s="945"/>
      <c r="AF1131" s="920">
        <f>IF(X1131=X1130,AF1130,0)+IF(ISNUMBER(I1131),IF(I1131&lt;1,I1131,I1131*VLOOKUP(J1131,Summary!$H$2:$I$9,2)),VLOOKUP(J1131,Summary!$J$2:$K$9,2)*IF(ISNUMBER(H1131),H1131,1))</f>
        <v>0.31165509259259261</v>
      </c>
      <c r="AG1131" s="287">
        <v>1130</v>
      </c>
      <c r="AH1131" s="122"/>
      <c r="AI1131" s="122"/>
    </row>
    <row r="1132" spans="1:36" s="6" customFormat="1" ht="12" customHeight="1" x14ac:dyDescent="0.25">
      <c r="A1132" s="405" t="s">
        <v>15266</v>
      </c>
      <c r="B1132" s="406" t="s">
        <v>2650</v>
      </c>
      <c r="C1132" s="405">
        <v>4.3</v>
      </c>
      <c r="D1132" s="407" t="s">
        <v>15272</v>
      </c>
      <c r="E1132" s="336" t="s">
        <v>10987</v>
      </c>
      <c r="F1132" s="196">
        <v>43347</v>
      </c>
      <c r="G1132" s="169"/>
      <c r="H1132" s="170">
        <v>1</v>
      </c>
      <c r="I1132" s="747">
        <f>TIME(0,60,0)</f>
        <v>4.1666666666666664E-2</v>
      </c>
      <c r="J1132" s="899" t="s">
        <v>4706</v>
      </c>
      <c r="K1132" s="167" t="s">
        <v>6452</v>
      </c>
      <c r="L1132" s="167" t="s">
        <v>2313</v>
      </c>
      <c r="M1132" s="167"/>
      <c r="N1132" s="167" t="s">
        <v>10670</v>
      </c>
      <c r="O1132" s="167" t="s">
        <v>3295</v>
      </c>
      <c r="P1132" s="168" t="s">
        <v>15271</v>
      </c>
      <c r="Q1132" s="167" t="s">
        <v>3947</v>
      </c>
      <c r="R1132" s="172" t="s">
        <v>10102</v>
      </c>
      <c r="S1132" s="388"/>
      <c r="T1132" s="168"/>
      <c r="U1132" s="168" t="s">
        <v>7344</v>
      </c>
      <c r="V1132" s="168"/>
      <c r="W1132" s="336" t="s">
        <v>10987</v>
      </c>
      <c r="X1132" s="644" t="s">
        <v>12462</v>
      </c>
      <c r="Y1132" s="352"/>
      <c r="Z1132" s="353"/>
      <c r="AA1132" s="353"/>
      <c r="AB1132" s="31">
        <f t="shared" ca="1" si="19"/>
        <v>0.4301758956061944</v>
      </c>
      <c r="AC1132" s="810"/>
      <c r="AD1132" s="811"/>
      <c r="AE1132" s="945"/>
      <c r="AF1132" s="920">
        <f>IF(X1132=X1131,AF1131,0)+IF(ISNUMBER(I1132),IF(I1132&lt;1,I1132,I1132*VLOOKUP(J1132,Summary!$H$2:$I$9,2)),VLOOKUP(J1132,Summary!$J$2:$K$9,2)*IF(ISNUMBER(H1132),H1132,1))</f>
        <v>0.35332175925925929</v>
      </c>
      <c r="AG1132" s="287">
        <v>1131</v>
      </c>
      <c r="AH1132" s="94"/>
      <c r="AI1132" s="94"/>
      <c r="AJ1132" s="1"/>
    </row>
    <row r="1133" spans="1:36" s="26" customFormat="1" ht="12" customHeight="1" x14ac:dyDescent="0.2">
      <c r="A1133" s="484" t="s">
        <v>15266</v>
      </c>
      <c r="B1133" s="484">
        <v>4</v>
      </c>
      <c r="C1133" s="484">
        <v>4.4000000000000004</v>
      </c>
      <c r="D1133" s="407" t="s">
        <v>15273</v>
      </c>
      <c r="E1133" s="315" t="s">
        <v>15277</v>
      </c>
      <c r="F1133" s="196">
        <v>43347</v>
      </c>
      <c r="G1133" s="170"/>
      <c r="H1133" s="170">
        <v>1</v>
      </c>
      <c r="I1133" s="747">
        <f>TIME(0,60,0)</f>
        <v>4.1666666666666664E-2</v>
      </c>
      <c r="J1133" s="899" t="s">
        <v>4706</v>
      </c>
      <c r="K1133" s="167" t="s">
        <v>5666</v>
      </c>
      <c r="L1133" s="167" t="s">
        <v>2313</v>
      </c>
      <c r="M1133" s="162"/>
      <c r="N1133" s="167" t="s">
        <v>10670</v>
      </c>
      <c r="O1133" s="167" t="s">
        <v>3295</v>
      </c>
      <c r="P1133" s="168" t="s">
        <v>15271</v>
      </c>
      <c r="Q1133" s="167" t="s">
        <v>3947</v>
      </c>
      <c r="R1133" s="172" t="s">
        <v>10102</v>
      </c>
      <c r="S1133" s="388"/>
      <c r="T1133" s="168"/>
      <c r="U1133" s="168" t="s">
        <v>7344</v>
      </c>
      <c r="V1133" s="168"/>
      <c r="W1133" s="315" t="s">
        <v>15277</v>
      </c>
      <c r="X1133" s="644" t="s">
        <v>12462</v>
      </c>
      <c r="Y1133" s="352"/>
      <c r="Z1133" s="353"/>
      <c r="AA1133" s="353"/>
      <c r="AB1133" s="31">
        <f t="shared" ca="1" si="19"/>
        <v>0.42370669661995275</v>
      </c>
      <c r="AC1133" s="810"/>
      <c r="AD1133" s="811"/>
      <c r="AE1133" s="940"/>
      <c r="AF1133" s="920">
        <f>IF(X1133=X1132,AF1132,0)+IF(ISNUMBER(I1133),IF(I1133&lt;1,I1133,I1133*VLOOKUP(J1133,Summary!$H$2:$I$9,2)),VLOOKUP(J1133,Summary!$J$2:$K$9,2)*IF(ISNUMBER(H1133),H1133,1))</f>
        <v>0.39498842592592598</v>
      </c>
      <c r="AG1133" s="287">
        <v>1132</v>
      </c>
      <c r="AH1133" s="94"/>
      <c r="AI1133" s="94"/>
    </row>
    <row r="1134" spans="1:36" s="26" customFormat="1" ht="12" customHeight="1" x14ac:dyDescent="0.25">
      <c r="A1134" s="492" t="s">
        <v>15266</v>
      </c>
      <c r="B1134" s="492">
        <v>4</v>
      </c>
      <c r="C1134" s="492">
        <v>80</v>
      </c>
      <c r="D1134" s="417" t="s">
        <v>12536</v>
      </c>
      <c r="E1134" s="316" t="s">
        <v>12124</v>
      </c>
      <c r="F1134" s="195">
        <v>42201</v>
      </c>
      <c r="G1134" s="188"/>
      <c r="H1134" s="188" t="str">
        <f>IF(J1134="Book","n/a","")</f>
        <v>n/a</v>
      </c>
      <c r="I1134" s="188">
        <v>368</v>
      </c>
      <c r="J1134" s="902" t="s">
        <v>6868</v>
      </c>
      <c r="K1134" s="162" t="s">
        <v>12125</v>
      </c>
      <c r="L1134" s="162" t="str">
        <f>IF(J1134="Book","n/a","")</f>
        <v>n/a</v>
      </c>
      <c r="M1134" s="162" t="s">
        <v>12126</v>
      </c>
      <c r="N1134" s="162"/>
      <c r="O1134" s="162"/>
      <c r="P1134" s="178" t="s">
        <v>12127</v>
      </c>
      <c r="Q1134" s="162" t="s">
        <v>3953</v>
      </c>
      <c r="R1134" s="189" t="s">
        <v>2717</v>
      </c>
      <c r="S1134" s="366"/>
      <c r="T1134" s="178"/>
      <c r="U1134" s="178"/>
      <c r="V1134" s="178"/>
      <c r="W1134" s="316" t="s">
        <v>12124</v>
      </c>
      <c r="X1134" s="648" t="s">
        <v>12462</v>
      </c>
      <c r="Y1134" s="356"/>
      <c r="Z1134" s="272"/>
      <c r="AA1134" s="272"/>
      <c r="AB1134" s="34">
        <f t="shared" ca="1" si="19"/>
        <v>0.57523727526744473</v>
      </c>
      <c r="AC1134" s="814"/>
      <c r="AD1134" s="815"/>
      <c r="AE1134" s="942"/>
      <c r="AF1134" s="923">
        <f>IF(X1134=X1133,AF1133,0)+IF(ISNUMBER(I1134),IF(I1134&lt;1,I1134,I1134*VLOOKUP(J1134,Summary!$H$2:$I$9,2)),VLOOKUP(J1134,Summary!$J$2:$K$9,2)*IF(ISNUMBER(H1134),H1134,1))</f>
        <v>0.65054398148148151</v>
      </c>
      <c r="AG1134" s="291">
        <v>1133</v>
      </c>
      <c r="AH1134" s="94"/>
      <c r="AI1134" s="94"/>
    </row>
    <row r="1135" spans="1:36" s="22" customFormat="1" ht="12" customHeight="1" x14ac:dyDescent="0.25">
      <c r="A1135" s="490" t="s">
        <v>15266</v>
      </c>
      <c r="B1135" s="490">
        <v>4</v>
      </c>
      <c r="C1135" s="496">
        <v>18.2</v>
      </c>
      <c r="D1135" s="434" t="s">
        <v>6832</v>
      </c>
      <c r="E1135" s="324" t="s">
        <v>3447</v>
      </c>
      <c r="F1135" s="174">
        <v>38687</v>
      </c>
      <c r="G1135" s="174"/>
      <c r="H1135" s="176">
        <v>1</v>
      </c>
      <c r="I1135" s="176">
        <v>6</v>
      </c>
      <c r="J1135" s="900" t="s">
        <v>2755</v>
      </c>
      <c r="K1135" s="164" t="s">
        <v>185</v>
      </c>
      <c r="L1135" s="164" t="s">
        <v>461</v>
      </c>
      <c r="M1135" s="164"/>
      <c r="N1135" s="164" t="s">
        <v>5664</v>
      </c>
      <c r="O1135" s="164"/>
      <c r="P1135" s="173" t="s">
        <v>5000</v>
      </c>
      <c r="Q1135" s="164" t="s">
        <v>3947</v>
      </c>
      <c r="R1135" s="179" t="s">
        <v>2723</v>
      </c>
      <c r="S1135" s="354"/>
      <c r="T1135" s="173"/>
      <c r="U1135" s="173"/>
      <c r="V1135" s="173"/>
      <c r="W1135" s="324" t="s">
        <v>3447</v>
      </c>
      <c r="X1135" s="656" t="s">
        <v>12462</v>
      </c>
      <c r="Y1135" s="354"/>
      <c r="Z1135" s="176"/>
      <c r="AA1135" s="176"/>
      <c r="AB1135" s="32">
        <f t="shared" ca="1" si="19"/>
        <v>0.89655681229182183</v>
      </c>
      <c r="AC1135" s="812"/>
      <c r="AD1135" s="763"/>
      <c r="AE1135" s="951"/>
      <c r="AF1135" s="921">
        <f>IF(X1135=X1134,AF1134,0)+IF(ISNUMBER(I1135),IF(I1135&lt;1,I1135,I1135*VLOOKUP(J1135,Summary!$H$2:$I$9,2)),VLOOKUP(J1135,Summary!$J$2:$K$9,2)*IF(ISNUMBER(H1135),H1135,1))</f>
        <v>0.65471064814814817</v>
      </c>
      <c r="AG1135" s="288">
        <v>1134</v>
      </c>
      <c r="AH1135" s="94"/>
      <c r="AI1135" s="94"/>
    </row>
    <row r="1136" spans="1:36" s="27" customFormat="1" ht="12" customHeight="1" x14ac:dyDescent="0.25">
      <c r="A1136" s="488" t="s">
        <v>15266</v>
      </c>
      <c r="B1136" s="488">
        <v>4</v>
      </c>
      <c r="C1136" s="488">
        <v>123</v>
      </c>
      <c r="D1136" s="428" t="s">
        <v>3437</v>
      </c>
      <c r="E1136" s="325" t="s">
        <v>3433</v>
      </c>
      <c r="F1136" s="184">
        <v>28161</v>
      </c>
      <c r="G1136" s="184">
        <v>28196</v>
      </c>
      <c r="H1136" s="185">
        <v>6</v>
      </c>
      <c r="I1136" s="185"/>
      <c r="J1136" s="901" t="s">
        <v>1796</v>
      </c>
      <c r="K1136" s="158" t="s">
        <v>5784</v>
      </c>
      <c r="L1136" s="158" t="s">
        <v>5174</v>
      </c>
      <c r="M1136" s="158"/>
      <c r="N1136" s="163"/>
      <c r="O1136" s="158"/>
      <c r="P1136" s="182" t="s">
        <v>461</v>
      </c>
      <c r="Q1136" s="158" t="s">
        <v>1797</v>
      </c>
      <c r="R1136" s="207" t="s">
        <v>4601</v>
      </c>
      <c r="S1136" s="355"/>
      <c r="T1136" s="182"/>
      <c r="U1136" s="182"/>
      <c r="V1136" s="182"/>
      <c r="W1136" s="325" t="s">
        <v>3433</v>
      </c>
      <c r="X1136" s="657" t="s">
        <v>12462</v>
      </c>
      <c r="Y1136" s="361"/>
      <c r="Z1136" s="362"/>
      <c r="AA1136" s="362"/>
      <c r="AB1136" s="33">
        <f t="shared" ca="1" si="19"/>
        <v>0.69408607400051192</v>
      </c>
      <c r="AC1136" s="813"/>
      <c r="AD1136" s="211"/>
      <c r="AE1136" s="949"/>
      <c r="AF1136" s="922">
        <f>IF(X1136=X1135,AF1135,0)+IF(ISNUMBER(I1136),IF(I1136&lt;1,I1136,I1136*VLOOKUP(J1136,Summary!$H$2:$I$9,2)),VLOOKUP(J1136,Summary!$J$2:$K$9,2)*IF(ISNUMBER(H1136),H1136,1))</f>
        <v>0.67554398148148154</v>
      </c>
      <c r="AG1136" s="295">
        <v>1135</v>
      </c>
      <c r="AH1136" s="119"/>
      <c r="AI1136" s="119"/>
    </row>
    <row r="1137" spans="1:35" s="22" customFormat="1" ht="12" customHeight="1" x14ac:dyDescent="0.2">
      <c r="A1137" s="488" t="s">
        <v>15266</v>
      </c>
      <c r="B1137" s="488">
        <v>4</v>
      </c>
      <c r="C1137" s="488">
        <v>124</v>
      </c>
      <c r="D1137" s="428" t="s">
        <v>3438</v>
      </c>
      <c r="E1137" s="325" t="s">
        <v>3434</v>
      </c>
      <c r="F1137" s="184">
        <v>28203</v>
      </c>
      <c r="G1137" s="184">
        <v>28252</v>
      </c>
      <c r="H1137" s="185">
        <v>8</v>
      </c>
      <c r="I1137" s="185"/>
      <c r="J1137" s="901" t="s">
        <v>1796</v>
      </c>
      <c r="K1137" s="158" t="s">
        <v>5784</v>
      </c>
      <c r="L1137" s="158" t="s">
        <v>5174</v>
      </c>
      <c r="M1137" s="158"/>
      <c r="N1137" s="163"/>
      <c r="O1137" s="158"/>
      <c r="P1137" s="182" t="s">
        <v>461</v>
      </c>
      <c r="Q1137" s="158" t="s">
        <v>1797</v>
      </c>
      <c r="R1137" s="207" t="s">
        <v>4601</v>
      </c>
      <c r="S1137" s="355"/>
      <c r="T1137" s="182"/>
      <c r="U1137" s="182"/>
      <c r="V1137" s="182"/>
      <c r="W1137" s="325" t="s">
        <v>3434</v>
      </c>
      <c r="X1137" s="657" t="s">
        <v>12462</v>
      </c>
      <c r="Y1137" s="361"/>
      <c r="Z1137" s="362"/>
      <c r="AA1137" s="362"/>
      <c r="AB1137" s="33">
        <f t="shared" ca="1" si="19"/>
        <v>0.46771716780558781</v>
      </c>
      <c r="AC1137" s="813"/>
      <c r="AD1137" s="211"/>
      <c r="AE1137" s="949"/>
      <c r="AF1137" s="922">
        <f>IF(X1137=X1136,AF1136,0)+IF(ISNUMBER(I1137),IF(I1137&lt;1,I1137,I1137*VLOOKUP(J1137,Summary!$H$2:$I$9,2)),VLOOKUP(J1137,Summary!$J$2:$K$9,2)*IF(ISNUMBER(H1137),H1137,1))</f>
        <v>0.70332175925925933</v>
      </c>
      <c r="AG1137" s="295">
        <v>1136</v>
      </c>
      <c r="AH1137" s="94"/>
      <c r="AI1137" s="94"/>
    </row>
    <row r="1138" spans="1:35" s="43" customFormat="1" ht="12" customHeight="1" x14ac:dyDescent="0.25">
      <c r="A1138" s="488" t="s">
        <v>15266</v>
      </c>
      <c r="B1138" s="488">
        <v>4</v>
      </c>
      <c r="C1138" s="488">
        <v>125</v>
      </c>
      <c r="D1138" s="428" t="s">
        <v>3439</v>
      </c>
      <c r="E1138" s="325" t="s">
        <v>3435</v>
      </c>
      <c r="F1138" s="184">
        <v>28259</v>
      </c>
      <c r="G1138" s="184">
        <v>28308</v>
      </c>
      <c r="H1138" s="185">
        <v>8</v>
      </c>
      <c r="I1138" s="185">
        <v>16</v>
      </c>
      <c r="J1138" s="901" t="s">
        <v>1796</v>
      </c>
      <c r="K1138" s="158" t="s">
        <v>5784</v>
      </c>
      <c r="L1138" s="158" t="s">
        <v>5174</v>
      </c>
      <c r="M1138" s="158"/>
      <c r="N1138" s="163"/>
      <c r="O1138" s="158"/>
      <c r="P1138" s="182" t="s">
        <v>461</v>
      </c>
      <c r="Q1138" s="158" t="s">
        <v>1797</v>
      </c>
      <c r="R1138" s="207" t="s">
        <v>4601</v>
      </c>
      <c r="S1138" s="355"/>
      <c r="T1138" s="182"/>
      <c r="U1138" s="182"/>
      <c r="V1138" s="182"/>
      <c r="W1138" s="325" t="s">
        <v>3435</v>
      </c>
      <c r="X1138" s="657" t="s">
        <v>12462</v>
      </c>
      <c r="Y1138" s="361"/>
      <c r="Z1138" s="362"/>
      <c r="AA1138" s="362"/>
      <c r="AB1138" s="33">
        <f t="shared" ca="1" si="19"/>
        <v>0.68079071044910866</v>
      </c>
      <c r="AC1138" s="813"/>
      <c r="AD1138" s="211"/>
      <c r="AE1138" s="949"/>
      <c r="AF1138" s="922">
        <f>IF(X1138=X1137,AF1137,0)+IF(ISNUMBER(I1138),IF(I1138&lt;1,I1138,I1138*VLOOKUP(J1138,Summary!$H$2:$I$9,2)),VLOOKUP(J1138,Summary!$J$2:$K$9,2)*IF(ISNUMBER(H1138),H1138,1))</f>
        <v>0.70887731481481486</v>
      </c>
      <c r="AG1138" s="295">
        <v>1137</v>
      </c>
      <c r="AH1138" s="94"/>
      <c r="AI1138" s="94"/>
    </row>
    <row r="1139" spans="1:35" s="22" customFormat="1" ht="12" customHeight="1" x14ac:dyDescent="0.2">
      <c r="A1139" s="488" t="s">
        <v>15266</v>
      </c>
      <c r="B1139" s="488">
        <v>4</v>
      </c>
      <c r="C1139" s="488">
        <v>126</v>
      </c>
      <c r="D1139" s="428" t="s">
        <v>3440</v>
      </c>
      <c r="E1139" s="325" t="s">
        <v>3436</v>
      </c>
      <c r="F1139" s="183">
        <v>28277</v>
      </c>
      <c r="G1139" s="184"/>
      <c r="H1139" s="185">
        <v>1</v>
      </c>
      <c r="I1139" s="185">
        <v>3</v>
      </c>
      <c r="J1139" s="901" t="s">
        <v>1796</v>
      </c>
      <c r="K1139" s="158" t="s">
        <v>2255</v>
      </c>
      <c r="L1139" s="158" t="s">
        <v>5174</v>
      </c>
      <c r="M1139" s="158"/>
      <c r="N1139" s="163"/>
      <c r="O1139" s="158"/>
      <c r="P1139" s="182" t="s">
        <v>461</v>
      </c>
      <c r="Q1139" s="158" t="s">
        <v>1797</v>
      </c>
      <c r="R1139" s="207" t="s">
        <v>4601</v>
      </c>
      <c r="S1139" s="355"/>
      <c r="T1139" s="182"/>
      <c r="U1139" s="182"/>
      <c r="V1139" s="182"/>
      <c r="W1139" s="325" t="s">
        <v>3436</v>
      </c>
      <c r="X1139" s="657" t="s">
        <v>12462</v>
      </c>
      <c r="Y1139" s="361"/>
      <c r="Z1139" s="362"/>
      <c r="AA1139" s="362"/>
      <c r="AB1139" s="33">
        <f t="shared" ca="1" si="19"/>
        <v>0.32840207659742648</v>
      </c>
      <c r="AC1139" s="813"/>
      <c r="AD1139" s="211"/>
      <c r="AE1139" s="949"/>
      <c r="AF1139" s="922">
        <f>IF(X1139=X1138,AF1138,0)+IF(ISNUMBER(I1139),IF(I1139&lt;1,I1139,I1139*VLOOKUP(J1139,Summary!$H$2:$I$9,2)),VLOOKUP(J1139,Summary!$J$2:$K$9,2)*IF(ISNUMBER(H1139),H1139,1))</f>
        <v>0.70991898148148158</v>
      </c>
      <c r="AG1139" s="295">
        <v>1138</v>
      </c>
      <c r="AH1139" s="94"/>
      <c r="AI1139" s="94"/>
    </row>
    <row r="1140" spans="1:35" s="1" customFormat="1" ht="12" customHeight="1" x14ac:dyDescent="0.25">
      <c r="A1140" s="490" t="s">
        <v>15266</v>
      </c>
      <c r="B1140" s="490">
        <v>4</v>
      </c>
      <c r="C1140" s="496"/>
      <c r="D1140" s="434"/>
      <c r="E1140" s="324" t="s">
        <v>12121</v>
      </c>
      <c r="F1140" s="175">
        <v>28125</v>
      </c>
      <c r="G1140" s="174"/>
      <c r="H1140" s="176" t="s">
        <v>461</v>
      </c>
      <c r="I1140" s="176"/>
      <c r="J1140" s="900" t="s">
        <v>2755</v>
      </c>
      <c r="K1140" s="164" t="s">
        <v>1088</v>
      </c>
      <c r="L1140" s="164" t="s">
        <v>461</v>
      </c>
      <c r="M1140" s="164"/>
      <c r="N1140" s="164"/>
      <c r="O1140" s="164"/>
      <c r="P1140" s="173" t="s">
        <v>461</v>
      </c>
      <c r="Q1140" s="164" t="s">
        <v>12122</v>
      </c>
      <c r="R1140" s="179" t="s">
        <v>12123</v>
      </c>
      <c r="S1140" s="354"/>
      <c r="T1140" s="173"/>
      <c r="U1140" s="173"/>
      <c r="V1140" s="173"/>
      <c r="W1140" s="324" t="s">
        <v>12121</v>
      </c>
      <c r="X1140" s="656" t="s">
        <v>12462</v>
      </c>
      <c r="Y1140" s="354"/>
      <c r="Z1140" s="176"/>
      <c r="AA1140" s="176"/>
      <c r="AB1140" s="32">
        <f t="shared" ca="1" si="19"/>
        <v>0.28911928299242851</v>
      </c>
      <c r="AC1140" s="812"/>
      <c r="AD1140" s="763"/>
      <c r="AE1140" s="951"/>
      <c r="AF1140" s="921">
        <f>IF(X1140=X1139,AF1139,0)+IF(ISNUMBER(I1140),IF(I1140&lt;1,I1140,I1140*VLOOKUP(J1140,Summary!$H$2:$I$9,2)),VLOOKUP(J1140,Summary!$J$2:$K$9,2)*IF(ISNUMBER(H1140),H1140,1))</f>
        <v>0.72728009259259274</v>
      </c>
      <c r="AG1140" s="288">
        <v>1139</v>
      </c>
      <c r="AH1140" s="94"/>
      <c r="AI1140" s="94"/>
    </row>
    <row r="1141" spans="1:35" s="22" customFormat="1" ht="12" customHeight="1" x14ac:dyDescent="0.25">
      <c r="A1141" s="490" t="s">
        <v>15266</v>
      </c>
      <c r="B1141" s="490">
        <v>4</v>
      </c>
      <c r="C1141" s="490">
        <v>23</v>
      </c>
      <c r="D1141" s="176" t="s">
        <v>3600</v>
      </c>
      <c r="E1141" s="313" t="s">
        <v>3601</v>
      </c>
      <c r="F1141" s="175">
        <v>34017</v>
      </c>
      <c r="G1141" s="174"/>
      <c r="H1141" s="176">
        <v>1</v>
      </c>
      <c r="I1141" s="176">
        <v>1</v>
      </c>
      <c r="J1141" s="900" t="s">
        <v>2755</v>
      </c>
      <c r="K1141" s="164" t="s">
        <v>3602</v>
      </c>
      <c r="L1141" s="164" t="s">
        <v>3589</v>
      </c>
      <c r="M1141" s="164"/>
      <c r="N1141" s="164" t="s">
        <v>7375</v>
      </c>
      <c r="O1141" s="164"/>
      <c r="P1141" s="173" t="s">
        <v>461</v>
      </c>
      <c r="Q1141" s="164" t="s">
        <v>4062</v>
      </c>
      <c r="R1141" s="177" t="s">
        <v>4599</v>
      </c>
      <c r="S1141" s="354"/>
      <c r="T1141" s="173"/>
      <c r="U1141" s="173"/>
      <c r="V1141" s="173"/>
      <c r="W1141" s="313" t="s">
        <v>3601</v>
      </c>
      <c r="X1141" s="645" t="s">
        <v>12462</v>
      </c>
      <c r="Y1141" s="354"/>
      <c r="Z1141" s="176"/>
      <c r="AA1141" s="176"/>
      <c r="AB1141" s="32">
        <f t="shared" ca="1" si="19"/>
        <v>0.97767018494210278</v>
      </c>
      <c r="AC1141" s="812"/>
      <c r="AD1141" s="837"/>
      <c r="AE1141" s="807"/>
      <c r="AF1141" s="921">
        <f>IF(X1141=X1140,AF1140,0)+IF(ISNUMBER(I1141),IF(I1141&lt;1,I1141,I1141*VLOOKUP(J1141,Summary!$H$2:$I$9,2)),VLOOKUP(J1141,Summary!$J$2:$K$9,2)*IF(ISNUMBER(H1141),H1141,1))</f>
        <v>0.72797453703703718</v>
      </c>
      <c r="AG1141" s="289">
        <v>1140</v>
      </c>
      <c r="AH1141" s="94"/>
      <c r="AI1141" s="94"/>
    </row>
    <row r="1142" spans="1:35" s="22" customFormat="1" ht="12" customHeight="1" x14ac:dyDescent="0.25">
      <c r="A1142" s="490" t="s">
        <v>15266</v>
      </c>
      <c r="B1142" s="490">
        <v>4</v>
      </c>
      <c r="C1142" s="490">
        <v>30</v>
      </c>
      <c r="D1142" s="176" t="s">
        <v>3470</v>
      </c>
      <c r="E1142" s="313" t="s">
        <v>4199</v>
      </c>
      <c r="F1142" s="175">
        <v>34409</v>
      </c>
      <c r="G1142" s="174"/>
      <c r="H1142" s="176">
        <v>1</v>
      </c>
      <c r="I1142" s="176">
        <v>1</v>
      </c>
      <c r="J1142" s="900" t="s">
        <v>2755</v>
      </c>
      <c r="K1142" s="164" t="s">
        <v>3471</v>
      </c>
      <c r="L1142" s="164"/>
      <c r="M1142" s="164"/>
      <c r="N1142" s="164" t="s">
        <v>7375</v>
      </c>
      <c r="O1142" s="164"/>
      <c r="P1142" s="173" t="s">
        <v>461</v>
      </c>
      <c r="Q1142" s="164" t="s">
        <v>4062</v>
      </c>
      <c r="R1142" s="177" t="s">
        <v>4599</v>
      </c>
      <c r="S1142" s="354" t="s">
        <v>5811</v>
      </c>
      <c r="T1142" s="173"/>
      <c r="U1142" s="173"/>
      <c r="V1142" s="173"/>
      <c r="W1142" s="313" t="s">
        <v>4199</v>
      </c>
      <c r="X1142" s="645" t="s">
        <v>12462</v>
      </c>
      <c r="Y1142" s="354"/>
      <c r="Z1142" s="176"/>
      <c r="AA1142" s="176"/>
      <c r="AB1142" s="32">
        <f t="shared" ca="1" si="19"/>
        <v>0.35919849881593247</v>
      </c>
      <c r="AC1142" s="812"/>
      <c r="AD1142" s="763"/>
      <c r="AE1142" s="807"/>
      <c r="AF1142" s="921">
        <f>IF(X1142=X1141,AF1141,0)+IF(ISNUMBER(I1142),IF(I1142&lt;1,I1142,I1142*VLOOKUP(J1142,Summary!$H$2:$I$9,2)),VLOOKUP(J1142,Summary!$J$2:$K$9,2)*IF(ISNUMBER(H1142),H1142,1))</f>
        <v>0.72866898148148163</v>
      </c>
      <c r="AG1142" s="289">
        <v>1141</v>
      </c>
      <c r="AH1142" s="94"/>
      <c r="AI1142" s="94"/>
    </row>
    <row r="1143" spans="1:35" s="22" customFormat="1" ht="12" customHeight="1" x14ac:dyDescent="0.25">
      <c r="A1143" s="492" t="s">
        <v>15266</v>
      </c>
      <c r="B1143" s="492">
        <v>4</v>
      </c>
      <c r="C1143" s="492">
        <v>22</v>
      </c>
      <c r="D1143" s="417" t="s">
        <v>7307</v>
      </c>
      <c r="E1143" s="316" t="s">
        <v>7308</v>
      </c>
      <c r="F1143" s="187">
        <v>36281</v>
      </c>
      <c r="G1143" s="188"/>
      <c r="H1143" s="188" t="str">
        <f>IF(J1143="Book","n/a","")</f>
        <v>n/a</v>
      </c>
      <c r="I1143" s="188">
        <v>288</v>
      </c>
      <c r="J1143" s="902" t="s">
        <v>6868</v>
      </c>
      <c r="K1143" s="162" t="s">
        <v>543</v>
      </c>
      <c r="L1143" s="162" t="str">
        <f>IF(J1143="Book","n/a","")</f>
        <v>n/a</v>
      </c>
      <c r="M1143" s="162"/>
      <c r="N1143" s="162"/>
      <c r="O1143" s="162"/>
      <c r="P1143" s="178" t="s">
        <v>8947</v>
      </c>
      <c r="Q1143" s="162" t="s">
        <v>3953</v>
      </c>
      <c r="R1143" s="189" t="s">
        <v>2717</v>
      </c>
      <c r="S1143" s="366"/>
      <c r="T1143" s="178" t="s">
        <v>2606</v>
      </c>
      <c r="U1143" s="178"/>
      <c r="V1143" s="178"/>
      <c r="W1143" s="316" t="s">
        <v>7308</v>
      </c>
      <c r="X1143" s="648" t="s">
        <v>12462</v>
      </c>
      <c r="Y1143" s="356"/>
      <c r="Z1143" s="272"/>
      <c r="AA1143" s="272"/>
      <c r="AB1143" s="34">
        <f t="shared" ca="1" si="19"/>
        <v>0.83370201625554441</v>
      </c>
      <c r="AC1143" s="814"/>
      <c r="AD1143" s="815" t="s">
        <v>16067</v>
      </c>
      <c r="AE1143" s="942"/>
      <c r="AF1143" s="923">
        <f>IF(X1143=X1142,AF1142,0)+IF(ISNUMBER(I1143),IF(I1143&lt;1,I1143,I1143*VLOOKUP(J1143,Summary!$H$2:$I$9,2)),VLOOKUP(J1143,Summary!$J$2:$K$9,2)*IF(ISNUMBER(H1143),H1143,1))</f>
        <v>0.92866898148148169</v>
      </c>
      <c r="AG1143" s="291">
        <v>1142</v>
      </c>
      <c r="AH1143" s="94"/>
      <c r="AI1143" s="94"/>
    </row>
    <row r="1144" spans="1:35" s="22" customFormat="1" ht="12" customHeight="1" x14ac:dyDescent="0.25">
      <c r="A1144" s="490" t="s">
        <v>15266</v>
      </c>
      <c r="B1144" s="490">
        <v>4</v>
      </c>
      <c r="C1144" s="490">
        <v>3.05</v>
      </c>
      <c r="D1144" s="176" t="s">
        <v>3442</v>
      </c>
      <c r="E1144" s="313" t="s">
        <v>3441</v>
      </c>
      <c r="F1144" s="176">
        <v>1996</v>
      </c>
      <c r="G1144" s="176"/>
      <c r="H1144" s="176" t="s">
        <v>461</v>
      </c>
      <c r="I1144" s="176"/>
      <c r="J1144" s="900" t="s">
        <v>2755</v>
      </c>
      <c r="K1144" s="164" t="s">
        <v>7621</v>
      </c>
      <c r="L1144" s="164" t="s">
        <v>461</v>
      </c>
      <c r="M1144" s="164"/>
      <c r="N1144" s="164" t="s">
        <v>333</v>
      </c>
      <c r="O1144" s="164"/>
      <c r="P1144" s="173" t="s">
        <v>3523</v>
      </c>
      <c r="Q1144" s="164" t="s">
        <v>6548</v>
      </c>
      <c r="R1144" s="179" t="s">
        <v>4598</v>
      </c>
      <c r="S1144" s="354"/>
      <c r="T1144" s="173"/>
      <c r="U1144" s="173" t="s">
        <v>2597</v>
      </c>
      <c r="V1144" s="173"/>
      <c r="W1144" s="313" t="s">
        <v>3441</v>
      </c>
      <c r="X1144" s="645" t="s">
        <v>12462</v>
      </c>
      <c r="Y1144" s="354" t="s">
        <v>6868</v>
      </c>
      <c r="Z1144" s="176">
        <v>54</v>
      </c>
      <c r="AA1144" s="176">
        <v>3</v>
      </c>
      <c r="AB1144" s="32">
        <f t="shared" ca="1" si="19"/>
        <v>0.46774373783641077</v>
      </c>
      <c r="AC1144" s="812"/>
      <c r="AD1144" s="763"/>
      <c r="AE1144" s="951"/>
      <c r="AF1144" s="921">
        <f>IF(X1144=X1143,AF1143,0)+IF(ISNUMBER(I1144),IF(I1144&lt;1,I1144,I1144*VLOOKUP(J1144,Summary!$H$2:$I$9,2)),VLOOKUP(J1144,Summary!$J$2:$K$9,2)*IF(ISNUMBER(H1144),H1144,1))</f>
        <v>0.94603009259259285</v>
      </c>
      <c r="AG1144" s="288">
        <v>1143</v>
      </c>
      <c r="AH1144" s="94"/>
      <c r="AI1144" s="94"/>
    </row>
    <row r="1145" spans="1:35" s="22" customFormat="1" ht="12" customHeight="1" x14ac:dyDescent="0.25">
      <c r="A1145" s="492" t="s">
        <v>15266</v>
      </c>
      <c r="B1145" s="492">
        <v>4</v>
      </c>
      <c r="C1145" s="492">
        <v>42</v>
      </c>
      <c r="D1145" s="417" t="s">
        <v>5745</v>
      </c>
      <c r="E1145" s="316" t="s">
        <v>5746</v>
      </c>
      <c r="F1145" s="187">
        <v>37012</v>
      </c>
      <c r="G1145" s="188"/>
      <c r="H1145" s="188" t="str">
        <f>IF(J1145="Book","n/a","")</f>
        <v>n/a</v>
      </c>
      <c r="I1145" s="188">
        <v>254</v>
      </c>
      <c r="J1145" s="902" t="s">
        <v>6868</v>
      </c>
      <c r="K1145" s="162" t="s">
        <v>1930</v>
      </c>
      <c r="L1145" s="162" t="str">
        <f>IF(J1145="Book","n/a","")</f>
        <v>n/a</v>
      </c>
      <c r="M1145" s="162"/>
      <c r="N1145" s="162"/>
      <c r="O1145" s="162"/>
      <c r="P1145" s="178" t="s">
        <v>8967</v>
      </c>
      <c r="Q1145" s="162" t="s">
        <v>3953</v>
      </c>
      <c r="R1145" s="189" t="s">
        <v>2717</v>
      </c>
      <c r="S1145" s="366" t="s">
        <v>2607</v>
      </c>
      <c r="T1145" s="178"/>
      <c r="U1145" s="178"/>
      <c r="V1145" s="178"/>
      <c r="W1145" s="316" t="s">
        <v>5746</v>
      </c>
      <c r="X1145" s="648" t="s">
        <v>12462</v>
      </c>
      <c r="Y1145" s="356" t="s">
        <v>6868</v>
      </c>
      <c r="Z1145" s="272"/>
      <c r="AA1145" s="272"/>
      <c r="AB1145" s="34">
        <f t="shared" ca="1" si="19"/>
        <v>0.41688745411085582</v>
      </c>
      <c r="AC1145" s="814"/>
      <c r="AD1145" s="815" t="s">
        <v>16364</v>
      </c>
      <c r="AE1145" s="942"/>
      <c r="AF1145" s="923">
        <f>IF(X1145=X1144,AF1144,0)+IF(ISNUMBER(I1145),IF(I1145&lt;1,I1145,I1145*VLOOKUP(J1145,Summary!$H$2:$I$9,2)),VLOOKUP(J1145,Summary!$J$2:$K$9,2)*IF(ISNUMBER(H1145),H1145,1))</f>
        <v>1.1224189814814818</v>
      </c>
      <c r="AG1145" s="291">
        <v>1144</v>
      </c>
      <c r="AH1145" s="94"/>
      <c r="AI1145" s="94"/>
    </row>
    <row r="1146" spans="1:35" s="22" customFormat="1" ht="12" customHeight="1" x14ac:dyDescent="0.25">
      <c r="A1146" s="490" t="s">
        <v>15266</v>
      </c>
      <c r="B1146" s="490">
        <v>4</v>
      </c>
      <c r="C1146" s="490">
        <v>10.029999999999999</v>
      </c>
      <c r="D1146" s="434" t="s">
        <v>6830</v>
      </c>
      <c r="E1146" s="324" t="s">
        <v>3444</v>
      </c>
      <c r="F1146" s="174">
        <v>38139</v>
      </c>
      <c r="G1146" s="174"/>
      <c r="H1146" s="176">
        <v>1</v>
      </c>
      <c r="I1146" s="176">
        <v>16</v>
      </c>
      <c r="J1146" s="900" t="s">
        <v>2755</v>
      </c>
      <c r="K1146" s="164" t="s">
        <v>3443</v>
      </c>
      <c r="L1146" s="164" t="s">
        <v>461</v>
      </c>
      <c r="M1146" s="164"/>
      <c r="N1146" s="164" t="s">
        <v>4996</v>
      </c>
      <c r="O1146" s="164"/>
      <c r="P1146" s="173" t="s">
        <v>5669</v>
      </c>
      <c r="Q1146" s="164" t="s">
        <v>3947</v>
      </c>
      <c r="R1146" s="179" t="s">
        <v>2723</v>
      </c>
      <c r="S1146" s="354"/>
      <c r="T1146" s="173"/>
      <c r="U1146" s="173"/>
      <c r="V1146" s="173"/>
      <c r="W1146" s="324" t="s">
        <v>3444</v>
      </c>
      <c r="X1146" s="656" t="s">
        <v>12462</v>
      </c>
      <c r="Y1146" s="354"/>
      <c r="Z1146" s="176">
        <v>999</v>
      </c>
      <c r="AA1146" s="176"/>
      <c r="AB1146" s="32">
        <f t="shared" ca="1" si="19"/>
        <v>0.68371242171821345</v>
      </c>
      <c r="AC1146" s="812"/>
      <c r="AD1146" s="763"/>
      <c r="AE1146" s="951"/>
      <c r="AF1146" s="921">
        <f>IF(X1146=X1145,AF1145,0)+IF(ISNUMBER(I1146),IF(I1146&lt;1,I1146,I1146*VLOOKUP(J1146,Summary!$H$2:$I$9,2)),VLOOKUP(J1146,Summary!$J$2:$K$9,2)*IF(ISNUMBER(H1146),H1146,1))</f>
        <v>1.1335300925925929</v>
      </c>
      <c r="AG1146" s="288">
        <v>1145</v>
      </c>
      <c r="AH1146" s="94"/>
      <c r="AI1146" s="94"/>
    </row>
    <row r="1147" spans="1:35" s="22" customFormat="1" ht="12" customHeight="1" x14ac:dyDescent="0.25">
      <c r="A1147" s="490" t="s">
        <v>15266</v>
      </c>
      <c r="B1147" s="490">
        <v>4</v>
      </c>
      <c r="C1147" s="490">
        <v>13.09</v>
      </c>
      <c r="D1147" s="434" t="s">
        <v>6829</v>
      </c>
      <c r="E1147" s="324" t="s">
        <v>3445</v>
      </c>
      <c r="F1147" s="174">
        <v>38261</v>
      </c>
      <c r="G1147" s="174"/>
      <c r="H1147" s="176">
        <v>1</v>
      </c>
      <c r="I1147" s="176">
        <v>30</v>
      </c>
      <c r="J1147" s="900" t="s">
        <v>2755</v>
      </c>
      <c r="K1147" s="164" t="s">
        <v>4839</v>
      </c>
      <c r="L1147" s="164" t="s">
        <v>461</v>
      </c>
      <c r="M1147" s="164"/>
      <c r="N1147" s="164" t="s">
        <v>4996</v>
      </c>
      <c r="O1147" s="164"/>
      <c r="P1147" s="173" t="s">
        <v>1945</v>
      </c>
      <c r="Q1147" s="164" t="s">
        <v>3947</v>
      </c>
      <c r="R1147" s="179" t="s">
        <v>2723</v>
      </c>
      <c r="S1147" s="354"/>
      <c r="T1147" s="173"/>
      <c r="U1147" s="173"/>
      <c r="V1147" s="173"/>
      <c r="W1147" s="324" t="s">
        <v>3445</v>
      </c>
      <c r="X1147" s="656" t="s">
        <v>12462</v>
      </c>
      <c r="Y1147" s="354"/>
      <c r="Z1147" s="176"/>
      <c r="AA1147" s="176"/>
      <c r="AB1147" s="32">
        <f t="shared" ca="1" si="19"/>
        <v>0.85194614380607281</v>
      </c>
      <c r="AC1147" s="812"/>
      <c r="AD1147" s="763"/>
      <c r="AE1147" s="951"/>
      <c r="AF1147" s="921">
        <f>IF(X1147=X1146,AF1146,0)+IF(ISNUMBER(I1147),IF(I1147&lt;1,I1147,I1147*VLOOKUP(J1147,Summary!$H$2:$I$9,2)),VLOOKUP(J1147,Summary!$J$2:$K$9,2)*IF(ISNUMBER(H1147),H1147,1))</f>
        <v>1.1543634259259261</v>
      </c>
      <c r="AG1147" s="288">
        <v>1146</v>
      </c>
      <c r="AH1147" s="94"/>
      <c r="AI1147" s="94"/>
    </row>
    <row r="1148" spans="1:35" s="22" customFormat="1" ht="12" customHeight="1" x14ac:dyDescent="0.25">
      <c r="A1148" s="490" t="s">
        <v>15266</v>
      </c>
      <c r="B1148" s="490">
        <v>4</v>
      </c>
      <c r="C1148" s="490">
        <v>17.03</v>
      </c>
      <c r="D1148" s="434" t="s">
        <v>6831</v>
      </c>
      <c r="E1148" s="324" t="s">
        <v>3446</v>
      </c>
      <c r="F1148" s="174">
        <v>38596</v>
      </c>
      <c r="G1148" s="174"/>
      <c r="H1148" s="176">
        <v>1</v>
      </c>
      <c r="I1148" s="176">
        <v>39</v>
      </c>
      <c r="J1148" s="900" t="s">
        <v>2755</v>
      </c>
      <c r="K1148" s="164" t="s">
        <v>1932</v>
      </c>
      <c r="L1148" s="164" t="s">
        <v>461</v>
      </c>
      <c r="M1148" s="164"/>
      <c r="N1148" s="164" t="s">
        <v>7375</v>
      </c>
      <c r="O1148" s="164"/>
      <c r="P1148" s="173" t="s">
        <v>2568</v>
      </c>
      <c r="Q1148" s="164" t="s">
        <v>3947</v>
      </c>
      <c r="R1148" s="179" t="s">
        <v>2723</v>
      </c>
      <c r="S1148" s="354"/>
      <c r="T1148" s="173"/>
      <c r="U1148" s="173"/>
      <c r="V1148" s="173"/>
      <c r="W1148" s="324" t="s">
        <v>3446</v>
      </c>
      <c r="X1148" s="656" t="s">
        <v>12462</v>
      </c>
      <c r="Y1148" s="354"/>
      <c r="Z1148" s="176"/>
      <c r="AA1148" s="176"/>
      <c r="AB1148" s="32">
        <f t="shared" ca="1" si="19"/>
        <v>0.66434525631098218</v>
      </c>
      <c r="AC1148" s="812"/>
      <c r="AD1148" s="763"/>
      <c r="AE1148" s="951"/>
      <c r="AF1148" s="921">
        <f>IF(X1148=X1147,AF1147,0)+IF(ISNUMBER(I1148),IF(I1148&lt;1,I1148,I1148*VLOOKUP(J1148,Summary!$H$2:$I$9,2)),VLOOKUP(J1148,Summary!$J$2:$K$9,2)*IF(ISNUMBER(H1148),H1148,1))</f>
        <v>1.1814467592592595</v>
      </c>
      <c r="AG1148" s="288">
        <v>1147</v>
      </c>
      <c r="AH1148" s="94"/>
      <c r="AI1148" s="94"/>
    </row>
    <row r="1149" spans="1:35" s="57" customFormat="1" ht="12" customHeight="1" x14ac:dyDescent="0.25">
      <c r="A1149" s="490" t="s">
        <v>15266</v>
      </c>
      <c r="B1149" s="490">
        <v>4</v>
      </c>
      <c r="C1149" s="490">
        <v>24.11</v>
      </c>
      <c r="D1149" s="434" t="s">
        <v>6837</v>
      </c>
      <c r="E1149" s="324" t="s">
        <v>3450</v>
      </c>
      <c r="F1149" s="174">
        <v>39264</v>
      </c>
      <c r="G1149" s="174"/>
      <c r="H1149" s="176">
        <v>1</v>
      </c>
      <c r="I1149" s="176">
        <v>7</v>
      </c>
      <c r="J1149" s="900" t="s">
        <v>2755</v>
      </c>
      <c r="K1149" s="164" t="s">
        <v>7381</v>
      </c>
      <c r="L1149" s="164" t="s">
        <v>461</v>
      </c>
      <c r="M1149" s="164"/>
      <c r="N1149" s="164" t="s">
        <v>4425</v>
      </c>
      <c r="O1149" s="164"/>
      <c r="P1149" s="173" t="s">
        <v>5601</v>
      </c>
      <c r="Q1149" s="164" t="s">
        <v>3947</v>
      </c>
      <c r="R1149" s="179" t="s">
        <v>2723</v>
      </c>
      <c r="S1149" s="354"/>
      <c r="T1149" s="173"/>
      <c r="U1149" s="173"/>
      <c r="V1149" s="173"/>
      <c r="W1149" s="324" t="s">
        <v>3450</v>
      </c>
      <c r="X1149" s="656" t="s">
        <v>12462</v>
      </c>
      <c r="Y1149" s="354"/>
      <c r="Z1149" s="176"/>
      <c r="AA1149" s="176"/>
      <c r="AB1149" s="32">
        <f t="shared" ca="1" si="19"/>
        <v>2.0972837530496058E-2</v>
      </c>
      <c r="AC1149" s="812"/>
      <c r="AD1149" s="763"/>
      <c r="AE1149" s="951"/>
      <c r="AF1149" s="921">
        <f>IF(X1149=X1148,AF1148,0)+IF(ISNUMBER(I1149),IF(I1149&lt;1,I1149,I1149*VLOOKUP(J1149,Summary!$H$2:$I$9,2)),VLOOKUP(J1149,Summary!$J$2:$K$9,2)*IF(ISNUMBER(H1149),H1149,1))</f>
        <v>1.1863078703703707</v>
      </c>
      <c r="AG1149" s="288">
        <v>1148</v>
      </c>
      <c r="AH1149" s="94"/>
      <c r="AI1149" s="94"/>
    </row>
    <row r="1150" spans="1:35" s="22" customFormat="1" ht="12" customHeight="1" x14ac:dyDescent="0.25">
      <c r="A1150" s="490" t="s">
        <v>15266</v>
      </c>
      <c r="B1150" s="490">
        <v>4</v>
      </c>
      <c r="C1150" s="490">
        <v>25.07</v>
      </c>
      <c r="D1150" s="434" t="s">
        <v>6838</v>
      </c>
      <c r="E1150" s="324" t="s">
        <v>6504</v>
      </c>
      <c r="F1150" s="174">
        <v>39417</v>
      </c>
      <c r="G1150" s="174"/>
      <c r="H1150" s="176">
        <v>1</v>
      </c>
      <c r="I1150" s="176">
        <v>8</v>
      </c>
      <c r="J1150" s="900" t="s">
        <v>2755</v>
      </c>
      <c r="K1150" s="164" t="s">
        <v>6352</v>
      </c>
      <c r="L1150" s="164" t="s">
        <v>461</v>
      </c>
      <c r="M1150" s="164"/>
      <c r="N1150" s="164" t="s">
        <v>5146</v>
      </c>
      <c r="O1150" s="164"/>
      <c r="P1150" s="173" t="s">
        <v>6701</v>
      </c>
      <c r="Q1150" s="164" t="s">
        <v>3947</v>
      </c>
      <c r="R1150" s="179" t="s">
        <v>2723</v>
      </c>
      <c r="S1150" s="354"/>
      <c r="T1150" s="173"/>
      <c r="U1150" s="173"/>
      <c r="V1150" s="173"/>
      <c r="W1150" s="324" t="s">
        <v>6504</v>
      </c>
      <c r="X1150" s="656" t="s">
        <v>12462</v>
      </c>
      <c r="Y1150" s="354"/>
      <c r="Z1150" s="176"/>
      <c r="AA1150" s="176"/>
      <c r="AB1150" s="32">
        <f t="shared" ca="1" si="19"/>
        <v>0.68617497906805924</v>
      </c>
      <c r="AC1150" s="812"/>
      <c r="AD1150" s="763"/>
      <c r="AE1150" s="951"/>
      <c r="AF1150" s="921">
        <f>IF(X1150=X1149,AF1149,0)+IF(ISNUMBER(I1150),IF(I1150&lt;1,I1150,I1150*VLOOKUP(J1150,Summary!$H$2:$I$9,2)),VLOOKUP(J1150,Summary!$J$2:$K$9,2)*IF(ISNUMBER(H1150),H1150,1))</f>
        <v>1.1918634259259262</v>
      </c>
      <c r="AG1150" s="288">
        <v>1149</v>
      </c>
      <c r="AH1150" s="94"/>
      <c r="AI1150" s="94"/>
    </row>
    <row r="1151" spans="1:35" s="22" customFormat="1" ht="12" customHeight="1" x14ac:dyDescent="0.25">
      <c r="A1151" s="490" t="s">
        <v>15266</v>
      </c>
      <c r="B1151" s="490">
        <v>4</v>
      </c>
      <c r="C1151" s="490">
        <v>26.07</v>
      </c>
      <c r="D1151" s="434" t="s">
        <v>1465</v>
      </c>
      <c r="E1151" s="324" t="s">
        <v>6505</v>
      </c>
      <c r="F1151" s="174">
        <v>39508</v>
      </c>
      <c r="G1151" s="174"/>
      <c r="H1151" s="176">
        <v>1</v>
      </c>
      <c r="I1151" s="176">
        <v>4</v>
      </c>
      <c r="J1151" s="900" t="s">
        <v>2755</v>
      </c>
      <c r="K1151" s="164" t="s">
        <v>7877</v>
      </c>
      <c r="L1151" s="164" t="s">
        <v>461</v>
      </c>
      <c r="M1151" s="164"/>
      <c r="N1151" s="164" t="s">
        <v>7381</v>
      </c>
      <c r="O1151" s="164"/>
      <c r="P1151" s="173" t="s">
        <v>6706</v>
      </c>
      <c r="Q1151" s="164" t="s">
        <v>3947</v>
      </c>
      <c r="R1151" s="179" t="s">
        <v>2723</v>
      </c>
      <c r="S1151" s="354"/>
      <c r="T1151" s="173" t="s">
        <v>2606</v>
      </c>
      <c r="U1151" s="173"/>
      <c r="V1151" s="173"/>
      <c r="W1151" s="324" t="s">
        <v>6505</v>
      </c>
      <c r="X1151" s="656" t="s">
        <v>12462</v>
      </c>
      <c r="Y1151" s="354"/>
      <c r="Z1151" s="176"/>
      <c r="AA1151" s="176"/>
      <c r="AB1151" s="32">
        <f t="shared" ca="1" si="19"/>
        <v>0.34811851674959493</v>
      </c>
      <c r="AC1151" s="812"/>
      <c r="AD1151" s="763"/>
      <c r="AE1151" s="951"/>
      <c r="AF1151" s="921">
        <f>IF(X1151=X1150,AF1150,0)+IF(ISNUMBER(I1151),IF(I1151&lt;1,I1151,I1151*VLOOKUP(J1151,Summary!$H$2:$I$9,2)),VLOOKUP(J1151,Summary!$J$2:$K$9,2)*IF(ISNUMBER(H1151),H1151,1))</f>
        <v>1.194641203703704</v>
      </c>
      <c r="AG1151" s="288">
        <v>1150</v>
      </c>
      <c r="AH1151" s="94"/>
      <c r="AI1151" s="94"/>
    </row>
    <row r="1152" spans="1:35" s="22" customFormat="1" ht="12" customHeight="1" x14ac:dyDescent="0.25">
      <c r="A1152" s="490" t="s">
        <v>15266</v>
      </c>
      <c r="B1152" s="490">
        <v>4</v>
      </c>
      <c r="C1152" s="490">
        <v>30.08</v>
      </c>
      <c r="D1152" s="176" t="s">
        <v>5363</v>
      </c>
      <c r="E1152" s="313" t="s">
        <v>3312</v>
      </c>
      <c r="F1152" s="174">
        <v>39783</v>
      </c>
      <c r="G1152" s="174"/>
      <c r="H1152" s="176" t="s">
        <v>461</v>
      </c>
      <c r="I1152" s="176">
        <v>14</v>
      </c>
      <c r="J1152" s="900" t="s">
        <v>2755</v>
      </c>
      <c r="K1152" s="164" t="s">
        <v>3313</v>
      </c>
      <c r="L1152" s="164" t="s">
        <v>461</v>
      </c>
      <c r="M1152" s="164"/>
      <c r="N1152" s="164" t="s">
        <v>4944</v>
      </c>
      <c r="O1152" s="164"/>
      <c r="P1152" s="173" t="s">
        <v>6702</v>
      </c>
      <c r="Q1152" s="164" t="s">
        <v>3947</v>
      </c>
      <c r="R1152" s="177" t="s">
        <v>2723</v>
      </c>
      <c r="S1152" s="354"/>
      <c r="T1152" s="173"/>
      <c r="U1152" s="173"/>
      <c r="V1152" s="173"/>
      <c r="W1152" s="313" t="s">
        <v>3312</v>
      </c>
      <c r="X1152" s="645" t="s">
        <v>12462</v>
      </c>
      <c r="Y1152" s="354"/>
      <c r="Z1152" s="176"/>
      <c r="AA1152" s="176"/>
      <c r="AB1152" s="32">
        <f t="shared" ca="1" si="19"/>
        <v>0.3881538368948888</v>
      </c>
      <c r="AC1152" s="812"/>
      <c r="AD1152" s="763"/>
      <c r="AE1152" s="807"/>
      <c r="AF1152" s="921">
        <f>IF(X1152=X1151,AF1151,0)+IF(ISNUMBER(I1152),IF(I1152&lt;1,I1152,I1152*VLOOKUP(J1152,Summary!$H$2:$I$9,2)),VLOOKUP(J1152,Summary!$J$2:$K$9,2)*IF(ISNUMBER(H1152),H1152,1))</f>
        <v>1.2043634259259262</v>
      </c>
      <c r="AG1152" s="289">
        <v>1151</v>
      </c>
      <c r="AH1152" s="94"/>
      <c r="AI1152" s="94"/>
    </row>
    <row r="1153" spans="1:35" s="3" customFormat="1" ht="12" customHeight="1" x14ac:dyDescent="0.25">
      <c r="A1153" s="422"/>
      <c r="B1153" s="422" t="s">
        <v>2650</v>
      </c>
      <c r="C1153" s="422">
        <v>5.03</v>
      </c>
      <c r="D1153" s="176" t="s">
        <v>2230</v>
      </c>
      <c r="E1153" s="313" t="s">
        <v>6889</v>
      </c>
      <c r="F1153" s="174">
        <v>37681</v>
      </c>
      <c r="G1153" s="174"/>
      <c r="H1153" s="176">
        <v>1</v>
      </c>
      <c r="I1153" s="176">
        <v>15</v>
      </c>
      <c r="J1153" s="900" t="s">
        <v>2755</v>
      </c>
      <c r="K1153" s="164" t="s">
        <v>1482</v>
      </c>
      <c r="L1153" s="164" t="s">
        <v>461</v>
      </c>
      <c r="M1153" s="164"/>
      <c r="N1153" s="164" t="s">
        <v>4552</v>
      </c>
      <c r="O1153" s="164"/>
      <c r="P1153" s="173" t="s">
        <v>6556</v>
      </c>
      <c r="Q1153" s="164" t="s">
        <v>3947</v>
      </c>
      <c r="R1153" s="177" t="s">
        <v>2723</v>
      </c>
      <c r="S1153" s="354"/>
      <c r="T1153" s="173" t="s">
        <v>2606</v>
      </c>
      <c r="U1153" s="173"/>
      <c r="V1153" s="173"/>
      <c r="W1153" s="313" t="s">
        <v>6889</v>
      </c>
      <c r="X1153" s="645" t="s">
        <v>12462</v>
      </c>
      <c r="Y1153" s="354"/>
      <c r="Z1153" s="176"/>
      <c r="AA1153" s="176"/>
      <c r="AB1153" s="32">
        <f t="shared" ca="1" si="19"/>
        <v>0.39657564530315903</v>
      </c>
      <c r="AC1153" s="812"/>
      <c r="AD1153" s="763"/>
      <c r="AE1153" s="807"/>
      <c r="AF1153" s="921">
        <f>IF(X1153=X1152,AF1152,0)+IF(ISNUMBER(I1153),IF(I1153&lt;1,I1153,I1153*VLOOKUP(J1153,Summary!$H$2:$I$9,2)),VLOOKUP(J1153,Summary!$J$2:$K$9,2)*IF(ISNUMBER(H1153),H1153,1))</f>
        <v>1.2147800925925929</v>
      </c>
      <c r="AG1153" s="289">
        <v>1152</v>
      </c>
      <c r="AH1153" s="94"/>
      <c r="AI1153" s="94"/>
    </row>
    <row r="1154" spans="1:35" s="1" customFormat="1" ht="12" customHeight="1" x14ac:dyDescent="0.25">
      <c r="A1154" s="487" t="s">
        <v>15266</v>
      </c>
      <c r="B1154" s="487">
        <v>4</v>
      </c>
      <c r="C1154" s="487">
        <v>89</v>
      </c>
      <c r="D1154" s="424" t="s">
        <v>5747</v>
      </c>
      <c r="E1154" s="319" t="s">
        <v>5748</v>
      </c>
      <c r="F1154" s="198">
        <v>28126</v>
      </c>
      <c r="G1154" s="198">
        <v>28147</v>
      </c>
      <c r="H1154" s="199">
        <v>4</v>
      </c>
      <c r="I1154" s="791">
        <f>TIME(0,24,58)+TIME(0,24,58)+TIME(0,24,40)+TIME(0,24,46)</f>
        <v>6.9004629629629624E-2</v>
      </c>
      <c r="J1154" s="904" t="s">
        <v>1588</v>
      </c>
      <c r="K1154" s="200" t="s">
        <v>5749</v>
      </c>
      <c r="L1154" s="200" t="s">
        <v>5750</v>
      </c>
      <c r="M1154" s="200"/>
      <c r="N1154" s="200" t="s">
        <v>1093</v>
      </c>
      <c r="O1154" s="200" t="s">
        <v>1717</v>
      </c>
      <c r="P1154" s="197" t="s">
        <v>461</v>
      </c>
      <c r="Q1154" s="200" t="s">
        <v>3946</v>
      </c>
      <c r="R1154" s="201" t="s">
        <v>5280</v>
      </c>
      <c r="S1154" s="390" t="s">
        <v>2608</v>
      </c>
      <c r="T1154" s="197"/>
      <c r="U1154" s="197"/>
      <c r="V1154" s="197"/>
      <c r="W1154" s="318" t="s">
        <v>8706</v>
      </c>
      <c r="X1154" s="650" t="s">
        <v>15936</v>
      </c>
      <c r="Y1154" s="358" t="s">
        <v>6141</v>
      </c>
      <c r="Z1154" s="253">
        <v>175</v>
      </c>
      <c r="AA1154" s="253">
        <v>5</v>
      </c>
      <c r="AB1154" s="35">
        <f t="shared" ref="AB1154:AB1217" ca="1" si="20">RAND()</f>
        <v>0.2766062622262474</v>
      </c>
      <c r="AC1154" s="820"/>
      <c r="AD1154" s="821"/>
      <c r="AE1154" s="944"/>
      <c r="AF1154" s="925">
        <f>IF(X1154=X1153,AF1153,0)+IF(ISNUMBER(I1154),IF(I1154&lt;1,I1154,I1154*VLOOKUP(J1154,Summary!$H$2:$I$9,2)),VLOOKUP(J1154,Summary!$J$2:$K$9,2)*IF(ISNUMBER(H1154),H1154,1))</f>
        <v>6.9004629629629624E-2</v>
      </c>
      <c r="AG1154" s="293">
        <v>1153</v>
      </c>
      <c r="AH1154" s="94"/>
      <c r="AI1154" s="94"/>
    </row>
    <row r="1155" spans="1:35" s="2" customFormat="1" ht="12" customHeight="1" x14ac:dyDescent="0.25">
      <c r="A1155" s="487" t="s">
        <v>15266</v>
      </c>
      <c r="B1155" s="487">
        <v>4</v>
      </c>
      <c r="C1155" s="487">
        <v>90</v>
      </c>
      <c r="D1155" s="424" t="s">
        <v>5751</v>
      </c>
      <c r="E1155" s="319" t="s">
        <v>5752</v>
      </c>
      <c r="F1155" s="198">
        <v>28154</v>
      </c>
      <c r="G1155" s="198">
        <v>28175</v>
      </c>
      <c r="H1155" s="199">
        <v>4</v>
      </c>
      <c r="I1155" s="791">
        <f>TIME(0,24, 6)+TIME(0,24,15)+TIME(0,23,51)+TIME(0,23,42)</f>
        <v>6.6597222222222224E-2</v>
      </c>
      <c r="J1155" s="904" t="s">
        <v>1588</v>
      </c>
      <c r="K1155" s="200" t="s">
        <v>5749</v>
      </c>
      <c r="L1155" s="200" t="s">
        <v>7015</v>
      </c>
      <c r="M1155" s="200"/>
      <c r="N1155" s="200" t="s">
        <v>1093</v>
      </c>
      <c r="O1155" s="200" t="s">
        <v>1717</v>
      </c>
      <c r="P1155" s="197" t="s">
        <v>461</v>
      </c>
      <c r="Q1155" s="200" t="s">
        <v>3946</v>
      </c>
      <c r="R1155" s="201" t="s">
        <v>5280</v>
      </c>
      <c r="S1155" s="390" t="s">
        <v>2608</v>
      </c>
      <c r="T1155" s="197"/>
      <c r="U1155" s="197"/>
      <c r="V1155" s="197"/>
      <c r="W1155" s="318" t="s">
        <v>8707</v>
      </c>
      <c r="X1155" s="650" t="s">
        <v>15936</v>
      </c>
      <c r="Y1155" s="358" t="s">
        <v>6141</v>
      </c>
      <c r="Z1155" s="253">
        <v>10</v>
      </c>
      <c r="AA1155" s="253">
        <v>10</v>
      </c>
      <c r="AB1155" s="35">
        <f t="shared" ca="1" si="20"/>
        <v>0.36345825777419882</v>
      </c>
      <c r="AC1155" s="820"/>
      <c r="AD1155" s="821" t="s">
        <v>16319</v>
      </c>
      <c r="AE1155" s="944" t="s">
        <v>3365</v>
      </c>
      <c r="AF1155" s="925">
        <f>IF(X1155=X1154,AF1154,0)+IF(ISNUMBER(I1155),IF(I1155&lt;1,I1155,I1155*VLOOKUP(J1155,Summary!$H$2:$I$9,2)),VLOOKUP(J1155,Summary!$J$2:$K$9,2)*IF(ISNUMBER(H1155),H1155,1))</f>
        <v>0.13560185185185186</v>
      </c>
      <c r="AG1155" s="293">
        <v>1154</v>
      </c>
      <c r="AH1155" s="94"/>
      <c r="AI1155" s="94"/>
    </row>
    <row r="1156" spans="1:35" s="1" customFormat="1" ht="12" customHeight="1" x14ac:dyDescent="0.25">
      <c r="A1156" s="411"/>
      <c r="B1156" s="411" t="s">
        <v>2650</v>
      </c>
      <c r="C1156" s="411">
        <v>19</v>
      </c>
      <c r="D1156" s="185" t="s">
        <v>9969</v>
      </c>
      <c r="E1156" s="314" t="s">
        <v>9951</v>
      </c>
      <c r="F1156" s="183">
        <v>29646</v>
      </c>
      <c r="G1156" s="184"/>
      <c r="H1156" s="185">
        <v>1</v>
      </c>
      <c r="I1156" s="185">
        <v>4</v>
      </c>
      <c r="J1156" s="901" t="s">
        <v>1796</v>
      </c>
      <c r="K1156" s="163" t="s">
        <v>6031</v>
      </c>
      <c r="L1156" s="163" t="s">
        <v>9982</v>
      </c>
      <c r="M1156" s="163"/>
      <c r="N1156" s="163" t="s">
        <v>6026</v>
      </c>
      <c r="O1156" s="163"/>
      <c r="P1156" s="182" t="s">
        <v>461</v>
      </c>
      <c r="Q1156" s="163" t="s">
        <v>4062</v>
      </c>
      <c r="R1156" s="186" t="s">
        <v>9922</v>
      </c>
      <c r="S1156" s="355"/>
      <c r="T1156" s="182"/>
      <c r="U1156" s="182"/>
      <c r="V1156" s="182"/>
      <c r="W1156" s="314" t="s">
        <v>9951</v>
      </c>
      <c r="X1156" s="646" t="s">
        <v>15936</v>
      </c>
      <c r="Y1156" s="355"/>
      <c r="Z1156" s="158"/>
      <c r="AA1156" s="185"/>
      <c r="AB1156" s="33">
        <f t="shared" ca="1" si="20"/>
        <v>0.17219076289080182</v>
      </c>
      <c r="AC1156" s="813"/>
      <c r="AD1156" s="211" t="s">
        <v>16320</v>
      </c>
      <c r="AE1156" s="941" t="s">
        <v>3365</v>
      </c>
      <c r="AF1156" s="922">
        <f>IF(X1156=X1155,AF1155,0)+IF(ISNUMBER(I1156),IF(I1156&lt;1,I1156,I1156*VLOOKUP(J1156,Summary!$H$2:$I$9,2)),VLOOKUP(J1156,Summary!$J$2:$K$9,2)*IF(ISNUMBER(H1156),H1156,1))</f>
        <v>0.13699074074074075</v>
      </c>
      <c r="AG1156" s="290">
        <v>1155</v>
      </c>
      <c r="AH1156" s="94"/>
      <c r="AI1156" s="94"/>
    </row>
    <row r="1157" spans="1:35" s="1" customFormat="1" ht="12" customHeight="1" x14ac:dyDescent="0.25">
      <c r="A1157" s="494" t="s">
        <v>15266</v>
      </c>
      <c r="B1157" s="494">
        <v>4</v>
      </c>
      <c r="C1157" s="495">
        <v>9.01</v>
      </c>
      <c r="D1157" s="192" t="s">
        <v>15973</v>
      </c>
      <c r="E1157" s="317" t="s">
        <v>15974</v>
      </c>
      <c r="F1157" s="209">
        <v>43496</v>
      </c>
      <c r="G1157" s="191"/>
      <c r="H1157" s="192">
        <v>1</v>
      </c>
      <c r="I1157" s="796">
        <f>TIME(0,43,0)</f>
        <v>2.9861111111111113E-2</v>
      </c>
      <c r="J1157" s="903" t="s">
        <v>2755</v>
      </c>
      <c r="K1157" s="194" t="s">
        <v>13688</v>
      </c>
      <c r="L1157" s="194" t="s">
        <v>5662</v>
      </c>
      <c r="M1157" s="194" t="s">
        <v>7408</v>
      </c>
      <c r="N1157" s="194" t="s">
        <v>15912</v>
      </c>
      <c r="O1157" s="194" t="s">
        <v>15912</v>
      </c>
      <c r="P1157" s="190" t="s">
        <v>15975</v>
      </c>
      <c r="Q1157" s="194" t="s">
        <v>3947</v>
      </c>
      <c r="R1157" s="193" t="s">
        <v>2722</v>
      </c>
      <c r="S1157" s="357" t="s">
        <v>2608</v>
      </c>
      <c r="T1157" s="190"/>
      <c r="U1157" s="190" t="s">
        <v>2597</v>
      </c>
      <c r="V1157" s="190"/>
      <c r="W1157" s="317" t="s">
        <v>15974</v>
      </c>
      <c r="X1157" s="649" t="s">
        <v>15936</v>
      </c>
      <c r="Y1157" s="357"/>
      <c r="Z1157" s="192"/>
      <c r="AA1157" s="192"/>
      <c r="AB1157" s="37">
        <f t="shared" ca="1" si="20"/>
        <v>0.37690309431582303</v>
      </c>
      <c r="AC1157" s="816"/>
      <c r="AD1157" s="817"/>
      <c r="AE1157" s="943"/>
      <c r="AF1157" s="924">
        <f>IF(X1157=X1156,AF1156,0)+IF(ISNUMBER(I1157),IF(I1157&lt;1,I1157,I1157*VLOOKUP(J1157,Summary!$H$2:$I$9,2)),VLOOKUP(J1157,Summary!$J$2:$K$9,2)*IF(ISNUMBER(H1157),H1157,1))</f>
        <v>0.16685185185185186</v>
      </c>
      <c r="AG1157" s="292">
        <v>1156</v>
      </c>
      <c r="AH1157" s="94"/>
      <c r="AI1157" s="94"/>
    </row>
    <row r="1158" spans="1:35" s="1" customFormat="1" ht="12" customHeight="1" x14ac:dyDescent="0.25">
      <c r="A1158" s="494" t="s">
        <v>15266</v>
      </c>
      <c r="B1158" s="494">
        <v>4</v>
      </c>
      <c r="C1158" s="495">
        <v>1.04</v>
      </c>
      <c r="D1158" s="192" t="s">
        <v>3849</v>
      </c>
      <c r="E1158" s="317" t="s">
        <v>2700</v>
      </c>
      <c r="F1158" s="191">
        <v>40483</v>
      </c>
      <c r="G1158" s="191"/>
      <c r="H1158" s="192">
        <v>1</v>
      </c>
      <c r="I1158" s="753">
        <f>TIME(0,10,19)</f>
        <v>7.1643518518518514E-3</v>
      </c>
      <c r="J1158" s="903" t="s">
        <v>2755</v>
      </c>
      <c r="K1158" s="194" t="s">
        <v>1988</v>
      </c>
      <c r="L1158" s="194" t="s">
        <v>3426</v>
      </c>
      <c r="M1158" s="194" t="s">
        <v>7408</v>
      </c>
      <c r="N1158" s="194"/>
      <c r="O1158" s="194"/>
      <c r="P1158" s="190" t="s">
        <v>5599</v>
      </c>
      <c r="Q1158" s="194" t="s">
        <v>3947</v>
      </c>
      <c r="R1158" s="193" t="s">
        <v>2722</v>
      </c>
      <c r="S1158" s="357" t="s">
        <v>2608</v>
      </c>
      <c r="T1158" s="190"/>
      <c r="U1158" s="190"/>
      <c r="V1158" s="190"/>
      <c r="W1158" s="317" t="s">
        <v>2700</v>
      </c>
      <c r="X1158" s="649" t="s">
        <v>15936</v>
      </c>
      <c r="Y1158" s="357" t="s">
        <v>5643</v>
      </c>
      <c r="Z1158" s="192">
        <v>999</v>
      </c>
      <c r="AA1158" s="192"/>
      <c r="AB1158" s="37">
        <f t="shared" ca="1" si="20"/>
        <v>0.78533957794660603</v>
      </c>
      <c r="AC1158" s="816"/>
      <c r="AD1158" s="817"/>
      <c r="AE1158" s="943"/>
      <c r="AF1158" s="924">
        <f>IF(X1158=X1157,AF1157,0)+IF(ISNUMBER(I1158),IF(I1158&lt;1,I1158,I1158*VLOOKUP(J1158,Summary!$H$2:$I$9,2)),VLOOKUP(J1158,Summary!$J$2:$K$9,2)*IF(ISNUMBER(H1158),H1158,1))</f>
        <v>0.17401620370370371</v>
      </c>
      <c r="AG1158" s="292">
        <v>1157</v>
      </c>
      <c r="AH1158" s="94"/>
      <c r="AI1158" s="94"/>
    </row>
    <row r="1159" spans="1:35" s="22" customFormat="1" ht="12" customHeight="1" x14ac:dyDescent="0.25">
      <c r="A1159" s="492" t="s">
        <v>15266</v>
      </c>
      <c r="B1159" s="492">
        <v>4</v>
      </c>
      <c r="C1159" s="492">
        <v>15</v>
      </c>
      <c r="D1159" s="417" t="s">
        <v>5753</v>
      </c>
      <c r="E1159" s="316" t="s">
        <v>1606</v>
      </c>
      <c r="F1159" s="195">
        <v>36045</v>
      </c>
      <c r="G1159" s="188"/>
      <c r="H1159" s="188" t="str">
        <f>IF(J1159="Book","n/a","")</f>
        <v>n/a</v>
      </c>
      <c r="I1159" s="188">
        <v>288</v>
      </c>
      <c r="J1159" s="902" t="s">
        <v>6868</v>
      </c>
      <c r="K1159" s="162" t="s">
        <v>5749</v>
      </c>
      <c r="L1159" s="162" t="str">
        <f>IF(J1159="Book","n/a","")</f>
        <v>n/a</v>
      </c>
      <c r="M1159" s="162"/>
      <c r="N1159" s="162"/>
      <c r="O1159" s="162"/>
      <c r="P1159" s="178" t="s">
        <v>8940</v>
      </c>
      <c r="Q1159" s="162" t="s">
        <v>3953</v>
      </c>
      <c r="R1159" s="189" t="s">
        <v>2717</v>
      </c>
      <c r="S1159" s="366" t="s">
        <v>2608</v>
      </c>
      <c r="T1159" s="178"/>
      <c r="U1159" s="178"/>
      <c r="V1159" s="178"/>
      <c r="W1159" s="316" t="s">
        <v>1606</v>
      </c>
      <c r="X1159" s="648" t="s">
        <v>15936</v>
      </c>
      <c r="Y1159" s="356"/>
      <c r="Z1159" s="272"/>
      <c r="AA1159" s="272"/>
      <c r="AB1159" s="34">
        <f t="shared" ca="1" si="20"/>
        <v>0.9828341818765316</v>
      </c>
      <c r="AC1159" s="814"/>
      <c r="AD1159" s="815"/>
      <c r="AE1159" s="942"/>
      <c r="AF1159" s="923">
        <f>IF(X1159=X1158,AF1158,0)+IF(ISNUMBER(I1159),IF(I1159&lt;1,I1159,I1159*VLOOKUP(J1159,Summary!$H$2:$I$9,2)),VLOOKUP(J1159,Summary!$J$2:$K$9,2)*IF(ISNUMBER(H1159),H1159,1))</f>
        <v>0.3740162037037037</v>
      </c>
      <c r="AG1159" s="291">
        <v>1158</v>
      </c>
      <c r="AH1159" s="94"/>
      <c r="AI1159" s="94"/>
    </row>
    <row r="1160" spans="1:35" s="43" customFormat="1" ht="12" customHeight="1" x14ac:dyDescent="0.25">
      <c r="A1160" s="492" t="s">
        <v>15266</v>
      </c>
      <c r="B1160" s="492">
        <v>4</v>
      </c>
      <c r="C1160" s="492">
        <v>27</v>
      </c>
      <c r="D1160" s="417" t="s">
        <v>1607</v>
      </c>
      <c r="E1160" s="316" t="s">
        <v>1608</v>
      </c>
      <c r="F1160" s="187">
        <v>36465</v>
      </c>
      <c r="G1160" s="188"/>
      <c r="H1160" s="188" t="str">
        <f>IF(J1160="Book","n/a","")</f>
        <v>n/a</v>
      </c>
      <c r="I1160" s="188">
        <v>284</v>
      </c>
      <c r="J1160" s="902" t="s">
        <v>6868</v>
      </c>
      <c r="K1160" s="162" t="s">
        <v>5749</v>
      </c>
      <c r="L1160" s="162" t="str">
        <f>IF(J1160="Book","n/a","")</f>
        <v>n/a</v>
      </c>
      <c r="M1160" s="162"/>
      <c r="N1160" s="162"/>
      <c r="O1160" s="162"/>
      <c r="P1160" s="178" t="s">
        <v>8952</v>
      </c>
      <c r="Q1160" s="162" t="s">
        <v>3953</v>
      </c>
      <c r="R1160" s="189" t="s">
        <v>2717</v>
      </c>
      <c r="S1160" s="366" t="s">
        <v>2608</v>
      </c>
      <c r="T1160" s="178"/>
      <c r="U1160" s="178"/>
      <c r="V1160" s="178"/>
      <c r="W1160" s="316" t="s">
        <v>1608</v>
      </c>
      <c r="X1160" s="648" t="s">
        <v>15936</v>
      </c>
      <c r="Y1160" s="356"/>
      <c r="Z1160" s="272"/>
      <c r="AA1160" s="272"/>
      <c r="AB1160" s="34">
        <f t="shared" ca="1" si="20"/>
        <v>0.14116499072483979</v>
      </c>
      <c r="AC1160" s="814"/>
      <c r="AD1160" s="815" t="s">
        <v>16321</v>
      </c>
      <c r="AE1160" s="942" t="s">
        <v>15062</v>
      </c>
      <c r="AF1160" s="923">
        <f>IF(X1160=X1159,AF1159,0)+IF(ISNUMBER(I1160),IF(I1160&lt;1,I1160,I1160*VLOOKUP(J1160,Summary!$H$2:$I$9,2)),VLOOKUP(J1160,Summary!$J$2:$K$9,2)*IF(ISNUMBER(H1160),H1160,1))</f>
        <v>0.571238425925926</v>
      </c>
      <c r="AG1160" s="291">
        <v>1159</v>
      </c>
      <c r="AH1160" s="94"/>
      <c r="AI1160" s="94"/>
    </row>
    <row r="1161" spans="1:35" s="43" customFormat="1" ht="12" customHeight="1" x14ac:dyDescent="0.25">
      <c r="A1161" s="405" t="s">
        <v>11289</v>
      </c>
      <c r="B1161" s="406" t="s">
        <v>2650</v>
      </c>
      <c r="C1161" s="405">
        <v>1</v>
      </c>
      <c r="D1161" s="407" t="s">
        <v>11271</v>
      </c>
      <c r="E1161" s="315" t="s">
        <v>11265</v>
      </c>
      <c r="F1161" s="169">
        <v>37135</v>
      </c>
      <c r="G1161" s="170"/>
      <c r="H1161" s="170">
        <v>1</v>
      </c>
      <c r="I1161" s="747">
        <f>TIME(0,60,0)</f>
        <v>4.1666666666666664E-2</v>
      </c>
      <c r="J1161" s="899" t="s">
        <v>4706</v>
      </c>
      <c r="K1161" s="167" t="s">
        <v>11266</v>
      </c>
      <c r="L1161" s="167" t="s">
        <v>11267</v>
      </c>
      <c r="M1161" s="167"/>
      <c r="N1161" s="167"/>
      <c r="O1161" s="167" t="s">
        <v>11268</v>
      </c>
      <c r="P1161" s="168"/>
      <c r="Q1161" s="167" t="s">
        <v>11269</v>
      </c>
      <c r="R1161" s="172" t="s">
        <v>11270</v>
      </c>
      <c r="S1161" s="388"/>
      <c r="T1161" s="168"/>
      <c r="U1161" s="168"/>
      <c r="V1161" s="168"/>
      <c r="W1161" s="312" t="s">
        <v>11265</v>
      </c>
      <c r="X1161" s="644" t="s">
        <v>15936</v>
      </c>
      <c r="Y1161" s="352"/>
      <c r="Z1161" s="353"/>
      <c r="AA1161" s="353"/>
      <c r="AB1161" s="31">
        <f t="shared" ca="1" si="20"/>
        <v>7.4996133969657541E-2</v>
      </c>
      <c r="AC1161" s="810"/>
      <c r="AD1161" s="811" t="s">
        <v>16322</v>
      </c>
      <c r="AE1161" s="940" t="s">
        <v>15062</v>
      </c>
      <c r="AF1161" s="920">
        <f>IF(X1161=X1160,AF1160,0)+IF(ISNUMBER(I1161),IF(I1161&lt;1,I1161,I1161*VLOOKUP(J1161,Summary!$H$2:$I$9,2)),VLOOKUP(J1161,Summary!$J$2:$K$9,2)*IF(ISNUMBER(H1161),H1161,1))</f>
        <v>0.61290509259259263</v>
      </c>
      <c r="AG1161" s="287">
        <v>1160</v>
      </c>
      <c r="AH1161" s="94"/>
      <c r="AI1161" s="94"/>
    </row>
    <row r="1162" spans="1:35" s="8" customFormat="1" ht="12" customHeight="1" x14ac:dyDescent="0.25">
      <c r="A1162" s="498" t="s">
        <v>11289</v>
      </c>
      <c r="B1162" s="499" t="s">
        <v>2650</v>
      </c>
      <c r="C1162" s="498">
        <v>7.1</v>
      </c>
      <c r="D1162" s="500" t="s">
        <v>11276</v>
      </c>
      <c r="E1162" s="501" t="s">
        <v>11272</v>
      </c>
      <c r="F1162" s="236">
        <v>41091</v>
      </c>
      <c r="G1162" s="237"/>
      <c r="H1162" s="237">
        <v>1</v>
      </c>
      <c r="I1162" s="748">
        <f>TIME(0,15,0)</f>
        <v>1.0416666666666666E-2</v>
      </c>
      <c r="J1162" s="910" t="s">
        <v>4706</v>
      </c>
      <c r="K1162" s="238" t="s">
        <v>11277</v>
      </c>
      <c r="L1162" s="238" t="s">
        <v>11267</v>
      </c>
      <c r="M1162" s="238"/>
      <c r="N1162" s="238"/>
      <c r="O1162" s="238" t="s">
        <v>11268</v>
      </c>
      <c r="P1162" s="235"/>
      <c r="Q1162" s="238" t="s">
        <v>11269</v>
      </c>
      <c r="R1162" s="239" t="s">
        <v>11270</v>
      </c>
      <c r="S1162" s="394"/>
      <c r="T1162" s="235"/>
      <c r="U1162" s="235"/>
      <c r="V1162" s="235"/>
      <c r="W1162" s="334" t="s">
        <v>11272</v>
      </c>
      <c r="X1162" s="666" t="s">
        <v>15936</v>
      </c>
      <c r="Y1162" s="373"/>
      <c r="Z1162" s="374"/>
      <c r="AA1162" s="374"/>
      <c r="AB1162" s="131">
        <f t="shared" ca="1" si="20"/>
        <v>0.66373779443602998</v>
      </c>
      <c r="AC1162" s="838"/>
      <c r="AD1162" s="839"/>
      <c r="AE1162" s="959"/>
      <c r="AF1162" s="931">
        <f>IF(X1162=X1161,AF1161,0)+IF(ISNUMBER(I1162),IF(I1162&lt;1,I1162,I1162*VLOOKUP(J1162,Summary!$H$2:$I$9,2)),VLOOKUP(J1162,Summary!$J$2:$K$9,2)*IF(ISNUMBER(H1162),H1162,1))</f>
        <v>0.62332175925925926</v>
      </c>
      <c r="AG1162" s="301">
        <v>1161</v>
      </c>
      <c r="AH1162" s="94"/>
      <c r="AI1162" s="94"/>
    </row>
    <row r="1163" spans="1:35" s="43" customFormat="1" ht="12" customHeight="1" x14ac:dyDescent="0.25">
      <c r="A1163" s="422" t="s">
        <v>11289</v>
      </c>
      <c r="B1163" s="422" t="s">
        <v>2650</v>
      </c>
      <c r="C1163" s="422"/>
      <c r="D1163" s="176" t="s">
        <v>11288</v>
      </c>
      <c r="E1163" s="313" t="s">
        <v>11273</v>
      </c>
      <c r="F1163" s="224">
        <v>39814</v>
      </c>
      <c r="G1163" s="174"/>
      <c r="H1163" s="176" t="s">
        <v>461</v>
      </c>
      <c r="I1163" s="176"/>
      <c r="J1163" s="900" t="s">
        <v>2755</v>
      </c>
      <c r="K1163" s="164" t="s">
        <v>11277</v>
      </c>
      <c r="L1163" s="164" t="s">
        <v>11267</v>
      </c>
      <c r="M1163" s="164"/>
      <c r="N1163" s="164"/>
      <c r="O1163" s="164" t="s">
        <v>11268</v>
      </c>
      <c r="P1163" s="173"/>
      <c r="Q1163" s="164" t="s">
        <v>11269</v>
      </c>
      <c r="R1163" s="177" t="s">
        <v>11270</v>
      </c>
      <c r="S1163" s="354"/>
      <c r="T1163" s="173"/>
      <c r="U1163" s="173"/>
      <c r="V1163" s="173"/>
      <c r="W1163" s="313" t="s">
        <v>11273</v>
      </c>
      <c r="X1163" s="645" t="s">
        <v>15936</v>
      </c>
      <c r="Y1163" s="354"/>
      <c r="Z1163" s="176"/>
      <c r="AA1163" s="176"/>
      <c r="AB1163" s="32">
        <f t="shared" ca="1" si="20"/>
        <v>0.64261140654324878</v>
      </c>
      <c r="AC1163" s="812"/>
      <c r="AD1163" s="763"/>
      <c r="AE1163" s="807"/>
      <c r="AF1163" s="921">
        <f>IF(X1163=X1162,AF1162,0)+IF(ISNUMBER(I1163),IF(I1163&lt;1,I1163,I1163*VLOOKUP(J1163,Summary!$H$2:$I$9,2)),VLOOKUP(J1163,Summary!$J$2:$K$9,2)*IF(ISNUMBER(H1163),H1163,1))</f>
        <v>0.64068287037037042</v>
      </c>
      <c r="AG1163" s="289">
        <v>1162</v>
      </c>
      <c r="AH1163" s="94"/>
      <c r="AI1163" s="94"/>
    </row>
    <row r="1164" spans="1:35" s="29" customFormat="1" ht="12" customHeight="1" x14ac:dyDescent="0.25">
      <c r="A1164" s="405" t="s">
        <v>11289</v>
      </c>
      <c r="B1164" s="406" t="s">
        <v>2650</v>
      </c>
      <c r="C1164" s="405">
        <v>2</v>
      </c>
      <c r="D1164" s="407" t="s">
        <v>11275</v>
      </c>
      <c r="E1164" s="315" t="s">
        <v>11274</v>
      </c>
      <c r="F1164" s="169">
        <v>37347</v>
      </c>
      <c r="G1164" s="170"/>
      <c r="H1164" s="170">
        <v>1</v>
      </c>
      <c r="I1164" s="747">
        <f>TIME(0,60,0)</f>
        <v>4.1666666666666664E-2</v>
      </c>
      <c r="J1164" s="899" t="s">
        <v>4706</v>
      </c>
      <c r="K1164" s="167" t="s">
        <v>5749</v>
      </c>
      <c r="L1164" s="167" t="s">
        <v>11267</v>
      </c>
      <c r="M1164" s="167"/>
      <c r="N1164" s="167"/>
      <c r="O1164" s="167" t="s">
        <v>11268</v>
      </c>
      <c r="P1164" s="168"/>
      <c r="Q1164" s="167" t="s">
        <v>11269</v>
      </c>
      <c r="R1164" s="172" t="s">
        <v>11270</v>
      </c>
      <c r="S1164" s="388"/>
      <c r="T1164" s="168"/>
      <c r="U1164" s="168"/>
      <c r="V1164" s="168"/>
      <c r="W1164" s="312" t="s">
        <v>11274</v>
      </c>
      <c r="X1164" s="644" t="s">
        <v>15936</v>
      </c>
      <c r="Y1164" s="352"/>
      <c r="Z1164" s="353"/>
      <c r="AA1164" s="353"/>
      <c r="AB1164" s="31">
        <f t="shared" ca="1" si="20"/>
        <v>0.42801916542217655</v>
      </c>
      <c r="AC1164" s="810"/>
      <c r="AD1164" s="811" t="s">
        <v>16322</v>
      </c>
      <c r="AE1164" s="940" t="s">
        <v>15062</v>
      </c>
      <c r="AF1164" s="920">
        <f>IF(X1164=X1163,AF1163,0)+IF(ISNUMBER(I1164),IF(I1164&lt;1,I1164,I1164*VLOOKUP(J1164,Summary!$H$2:$I$9,2)),VLOOKUP(J1164,Summary!$J$2:$K$9,2)*IF(ISNUMBER(H1164),H1164,1))</f>
        <v>0.68234953703703705</v>
      </c>
      <c r="AG1164" s="287">
        <v>1163</v>
      </c>
      <c r="AH1164" s="94"/>
      <c r="AI1164" s="94"/>
    </row>
    <row r="1165" spans="1:35" s="29" customFormat="1" ht="12" customHeight="1" x14ac:dyDescent="0.25">
      <c r="A1165" s="405" t="s">
        <v>11289</v>
      </c>
      <c r="B1165" s="406" t="s">
        <v>2650</v>
      </c>
      <c r="C1165" s="405">
        <v>3</v>
      </c>
      <c r="D1165" s="407" t="s">
        <v>11284</v>
      </c>
      <c r="E1165" s="315" t="s">
        <v>11281</v>
      </c>
      <c r="F1165" s="169">
        <v>37561</v>
      </c>
      <c r="G1165" s="170"/>
      <c r="H1165" s="170">
        <v>1</v>
      </c>
      <c r="I1165" s="747">
        <f>TIME(0,60,0)</f>
        <v>4.1666666666666664E-2</v>
      </c>
      <c r="J1165" s="899" t="s">
        <v>4706</v>
      </c>
      <c r="K1165" s="167" t="s">
        <v>11283</v>
      </c>
      <c r="L1165" s="167" t="s">
        <v>11267</v>
      </c>
      <c r="M1165" s="167"/>
      <c r="N1165" s="167"/>
      <c r="O1165" s="167" t="s">
        <v>11268</v>
      </c>
      <c r="P1165" s="168"/>
      <c r="Q1165" s="167" t="s">
        <v>11269</v>
      </c>
      <c r="R1165" s="172" t="s">
        <v>11270</v>
      </c>
      <c r="S1165" s="388"/>
      <c r="T1165" s="168"/>
      <c r="U1165" s="168"/>
      <c r="V1165" s="168"/>
      <c r="W1165" s="312" t="s">
        <v>11281</v>
      </c>
      <c r="X1165" s="644" t="s">
        <v>15936</v>
      </c>
      <c r="Y1165" s="352"/>
      <c r="Z1165" s="353"/>
      <c r="AA1165" s="353"/>
      <c r="AB1165" s="31">
        <f t="shared" ca="1" si="20"/>
        <v>0.51016758962330855</v>
      </c>
      <c r="AC1165" s="810"/>
      <c r="AD1165" s="811" t="s">
        <v>16323</v>
      </c>
      <c r="AE1165" s="940" t="s">
        <v>15062</v>
      </c>
      <c r="AF1165" s="920">
        <f>IF(X1165=X1164,AF1164,0)+IF(ISNUMBER(I1165),IF(I1165&lt;1,I1165,I1165*VLOOKUP(J1165,Summary!$H$2:$I$9,2)),VLOOKUP(J1165,Summary!$J$2:$K$9,2)*IF(ISNUMBER(H1165),H1165,1))</f>
        <v>0.72401620370370368</v>
      </c>
      <c r="AG1165" s="287">
        <v>1164</v>
      </c>
      <c r="AH1165" s="94"/>
      <c r="AI1165" s="94"/>
    </row>
    <row r="1166" spans="1:35" s="29" customFormat="1" ht="12" customHeight="1" x14ac:dyDescent="0.25">
      <c r="A1166" s="405" t="s">
        <v>11289</v>
      </c>
      <c r="B1166" s="406" t="s">
        <v>2650</v>
      </c>
      <c r="C1166" s="405">
        <v>4</v>
      </c>
      <c r="D1166" s="407" t="s">
        <v>11285</v>
      </c>
      <c r="E1166" s="315" t="s">
        <v>11282</v>
      </c>
      <c r="F1166" s="169">
        <v>37681</v>
      </c>
      <c r="G1166" s="170"/>
      <c r="H1166" s="170">
        <v>1</v>
      </c>
      <c r="I1166" s="747">
        <f>TIME(0,60,0)</f>
        <v>4.1666666666666664E-2</v>
      </c>
      <c r="J1166" s="899" t="s">
        <v>4706</v>
      </c>
      <c r="K1166" s="167" t="s">
        <v>11268</v>
      </c>
      <c r="L1166" s="167" t="s">
        <v>11268</v>
      </c>
      <c r="M1166" s="167"/>
      <c r="N1166" s="167"/>
      <c r="O1166" s="167" t="s">
        <v>11268</v>
      </c>
      <c r="P1166" s="168"/>
      <c r="Q1166" s="167" t="s">
        <v>11269</v>
      </c>
      <c r="R1166" s="172" t="s">
        <v>11270</v>
      </c>
      <c r="S1166" s="388"/>
      <c r="T1166" s="168"/>
      <c r="U1166" s="168"/>
      <c r="V1166" s="168"/>
      <c r="W1166" s="312" t="s">
        <v>11282</v>
      </c>
      <c r="X1166" s="644" t="s">
        <v>15936</v>
      </c>
      <c r="Y1166" s="352"/>
      <c r="Z1166" s="353"/>
      <c r="AA1166" s="353"/>
      <c r="AB1166" s="31">
        <f t="shared" ca="1" si="20"/>
        <v>0.74271974680318786</v>
      </c>
      <c r="AC1166" s="810"/>
      <c r="AD1166" s="811" t="s">
        <v>16323</v>
      </c>
      <c r="AE1166" s="940" t="s">
        <v>15062</v>
      </c>
      <c r="AF1166" s="920">
        <f>IF(X1166=X1165,AF1165,0)+IF(ISNUMBER(I1166),IF(I1166&lt;1,I1166,I1166*VLOOKUP(J1166,Summary!$H$2:$I$9,2)),VLOOKUP(J1166,Summary!$J$2:$K$9,2)*IF(ISNUMBER(H1166),H1166,1))</f>
        <v>0.76568287037037031</v>
      </c>
      <c r="AG1166" s="287">
        <v>1165</v>
      </c>
      <c r="AH1166" s="94"/>
      <c r="AI1166" s="94"/>
    </row>
    <row r="1167" spans="1:35" s="29" customFormat="1" ht="12" customHeight="1" x14ac:dyDescent="0.25">
      <c r="A1167" s="405" t="s">
        <v>11289</v>
      </c>
      <c r="B1167" s="406" t="s">
        <v>2650</v>
      </c>
      <c r="C1167" s="405">
        <v>5</v>
      </c>
      <c r="D1167" s="407" t="s">
        <v>11286</v>
      </c>
      <c r="E1167" s="315" t="s">
        <v>11279</v>
      </c>
      <c r="F1167" s="169">
        <v>37865</v>
      </c>
      <c r="G1167" s="170"/>
      <c r="H1167" s="170">
        <v>1</v>
      </c>
      <c r="I1167" s="747">
        <f>TIME(0,60,0)</f>
        <v>4.1666666666666664E-2</v>
      </c>
      <c r="J1167" s="899" t="s">
        <v>4706</v>
      </c>
      <c r="K1167" s="167" t="s">
        <v>11268</v>
      </c>
      <c r="L1167" s="167" t="s">
        <v>1427</v>
      </c>
      <c r="M1167" s="167"/>
      <c r="N1167" s="167"/>
      <c r="O1167" s="167" t="s">
        <v>11268</v>
      </c>
      <c r="P1167" s="168"/>
      <c r="Q1167" s="167" t="s">
        <v>11269</v>
      </c>
      <c r="R1167" s="172" t="s">
        <v>11270</v>
      </c>
      <c r="S1167" s="388"/>
      <c r="T1167" s="168"/>
      <c r="U1167" s="168"/>
      <c r="V1167" s="168"/>
      <c r="W1167" s="312" t="s">
        <v>11279</v>
      </c>
      <c r="X1167" s="644" t="s">
        <v>15936</v>
      </c>
      <c r="Y1167" s="352"/>
      <c r="Z1167" s="353"/>
      <c r="AA1167" s="353"/>
      <c r="AB1167" s="31">
        <f t="shared" ca="1" si="20"/>
        <v>0.19850497534352018</v>
      </c>
      <c r="AC1167" s="810"/>
      <c r="AD1167" s="811" t="s">
        <v>16323</v>
      </c>
      <c r="AE1167" s="940" t="s">
        <v>15062</v>
      </c>
      <c r="AF1167" s="920">
        <f>IF(X1167=X1166,AF1166,0)+IF(ISNUMBER(I1167),IF(I1167&lt;1,I1167,I1167*VLOOKUP(J1167,Summary!$H$2:$I$9,2)),VLOOKUP(J1167,Summary!$J$2:$K$9,2)*IF(ISNUMBER(H1167),H1167,1))</f>
        <v>0.80734953703703694</v>
      </c>
      <c r="AG1167" s="287">
        <v>1166</v>
      </c>
      <c r="AH1167" s="94"/>
      <c r="AI1167" s="94"/>
    </row>
    <row r="1168" spans="1:35" s="29" customFormat="1" ht="12" customHeight="1" x14ac:dyDescent="0.25">
      <c r="A1168" s="498" t="s">
        <v>11289</v>
      </c>
      <c r="B1168" s="499" t="s">
        <v>2650</v>
      </c>
      <c r="C1168" s="498"/>
      <c r="D1168" s="500"/>
      <c r="E1168" s="501" t="s">
        <v>11280</v>
      </c>
      <c r="F1168" s="240">
        <v>37987</v>
      </c>
      <c r="G1168" s="237"/>
      <c r="H1168" s="237">
        <v>1</v>
      </c>
      <c r="I1168" s="748">
        <f>TIME(0,20,0)</f>
        <v>1.3888888888888888E-2</v>
      </c>
      <c r="J1168" s="910" t="s">
        <v>4706</v>
      </c>
      <c r="K1168" s="238" t="s">
        <v>11277</v>
      </c>
      <c r="L1168" s="238" t="s">
        <v>11267</v>
      </c>
      <c r="M1168" s="238"/>
      <c r="N1168" s="238"/>
      <c r="O1168" s="238" t="s">
        <v>4553</v>
      </c>
      <c r="P1168" s="235"/>
      <c r="Q1168" s="238" t="s">
        <v>11269</v>
      </c>
      <c r="R1168" s="239" t="s">
        <v>11270</v>
      </c>
      <c r="S1168" s="394"/>
      <c r="T1168" s="235"/>
      <c r="U1168" s="235"/>
      <c r="V1168" s="235"/>
      <c r="W1168" s="334" t="s">
        <v>11280</v>
      </c>
      <c r="X1168" s="666" t="s">
        <v>15936</v>
      </c>
      <c r="Y1168" s="373"/>
      <c r="Z1168" s="374"/>
      <c r="AA1168" s="374"/>
      <c r="AB1168" s="131">
        <f t="shared" ca="1" si="20"/>
        <v>0.87210442356676132</v>
      </c>
      <c r="AC1168" s="838"/>
      <c r="AD1168" s="839"/>
      <c r="AE1168" s="959"/>
      <c r="AF1168" s="931">
        <f>IF(X1168=X1167,AF1167,0)+IF(ISNUMBER(I1168),IF(I1168&lt;1,I1168,I1168*VLOOKUP(J1168,Summary!$H$2:$I$9,2)),VLOOKUP(J1168,Summary!$J$2:$K$9,2)*IF(ISNUMBER(H1168),H1168,1))</f>
        <v>0.82123842592592577</v>
      </c>
      <c r="AG1168" s="301">
        <v>1167</v>
      </c>
      <c r="AH1168" s="94"/>
      <c r="AI1168" s="94"/>
    </row>
    <row r="1169" spans="1:35" s="29" customFormat="1" ht="12" customHeight="1" x14ac:dyDescent="0.25">
      <c r="A1169" s="405" t="s">
        <v>11289</v>
      </c>
      <c r="B1169" s="406" t="s">
        <v>2650</v>
      </c>
      <c r="C1169" s="405">
        <v>6</v>
      </c>
      <c r="D1169" s="407" t="s">
        <v>11287</v>
      </c>
      <c r="E1169" s="315" t="s">
        <v>11278</v>
      </c>
      <c r="F1169" s="169">
        <v>38322</v>
      </c>
      <c r="G1169" s="170"/>
      <c r="H1169" s="170">
        <v>1</v>
      </c>
      <c r="I1169" s="747">
        <f>TIME(0,60,0)</f>
        <v>4.1666666666666664E-2</v>
      </c>
      <c r="J1169" s="899" t="s">
        <v>4706</v>
      </c>
      <c r="K1169" s="167" t="s">
        <v>6236</v>
      </c>
      <c r="L1169" s="167" t="s">
        <v>11267</v>
      </c>
      <c r="M1169" s="167"/>
      <c r="N1169" s="167"/>
      <c r="O1169" s="167" t="s">
        <v>11268</v>
      </c>
      <c r="P1169" s="168"/>
      <c r="Q1169" s="167" t="s">
        <v>11269</v>
      </c>
      <c r="R1169" s="172" t="s">
        <v>11270</v>
      </c>
      <c r="S1169" s="388"/>
      <c r="T1169" s="168"/>
      <c r="U1169" s="168"/>
      <c r="V1169" s="168"/>
      <c r="W1169" s="312" t="s">
        <v>11278</v>
      </c>
      <c r="X1169" s="644" t="s">
        <v>15936</v>
      </c>
      <c r="Y1169" s="352"/>
      <c r="Z1169" s="353"/>
      <c r="AA1169" s="353"/>
      <c r="AB1169" s="31">
        <f t="shared" ca="1" si="20"/>
        <v>0.16163753254920921</v>
      </c>
      <c r="AC1169" s="810"/>
      <c r="AD1169" s="811"/>
      <c r="AE1169" s="940"/>
      <c r="AF1169" s="920">
        <f>IF(X1169=X1168,AF1168,0)+IF(ISNUMBER(I1169),IF(I1169&lt;1,I1169,I1169*VLOOKUP(J1169,Summary!$H$2:$I$9,2)),VLOOKUP(J1169,Summary!$J$2:$K$9,2)*IF(ISNUMBER(H1169),H1169,1))</f>
        <v>0.8629050925925924</v>
      </c>
      <c r="AG1169" s="287">
        <v>1168</v>
      </c>
      <c r="AH1169" s="94"/>
      <c r="AI1169" s="94"/>
    </row>
    <row r="1170" spans="1:35" s="29" customFormat="1" ht="12" customHeight="1" x14ac:dyDescent="0.25">
      <c r="A1170" s="490" t="s">
        <v>15266</v>
      </c>
      <c r="B1170" s="490">
        <v>4</v>
      </c>
      <c r="C1170" s="490">
        <v>11.08</v>
      </c>
      <c r="D1170" s="434" t="s">
        <v>1474</v>
      </c>
      <c r="E1170" s="324" t="s">
        <v>1473</v>
      </c>
      <c r="F1170" s="174">
        <v>38200</v>
      </c>
      <c r="G1170" s="175"/>
      <c r="H1170" s="176">
        <v>1</v>
      </c>
      <c r="I1170" s="176">
        <v>12</v>
      </c>
      <c r="J1170" s="900" t="s">
        <v>2755</v>
      </c>
      <c r="K1170" s="157" t="s">
        <v>5528</v>
      </c>
      <c r="L1170" s="157" t="s">
        <v>461</v>
      </c>
      <c r="M1170" s="157"/>
      <c r="N1170" s="157" t="s">
        <v>7375</v>
      </c>
      <c r="O1170" s="157"/>
      <c r="P1170" s="173" t="s">
        <v>2559</v>
      </c>
      <c r="Q1170" s="157" t="s">
        <v>3947</v>
      </c>
      <c r="R1170" s="179" t="s">
        <v>2723</v>
      </c>
      <c r="S1170" s="354" t="s">
        <v>2608</v>
      </c>
      <c r="T1170" s="173"/>
      <c r="U1170" s="173"/>
      <c r="V1170" s="173"/>
      <c r="W1170" s="324" t="s">
        <v>1473</v>
      </c>
      <c r="X1170" s="656" t="s">
        <v>15936</v>
      </c>
      <c r="Y1170" s="363"/>
      <c r="Z1170" s="364">
        <v>999</v>
      </c>
      <c r="AA1170" s="364"/>
      <c r="AB1170" s="32">
        <f t="shared" ca="1" si="20"/>
        <v>0.93310171694912791</v>
      </c>
      <c r="AC1170" s="812"/>
      <c r="AD1170" s="763"/>
      <c r="AE1170" s="951"/>
      <c r="AF1170" s="921">
        <f>IF(X1170=X1169,AF1169,0)+IF(ISNUMBER(I1170),IF(I1170&lt;1,I1170,I1170*VLOOKUP(J1170,Summary!$H$2:$I$9,2)),VLOOKUP(J1170,Summary!$J$2:$K$9,2)*IF(ISNUMBER(H1170),H1170,1))</f>
        <v>0.87123842592592571</v>
      </c>
      <c r="AG1170" s="288">
        <v>1169</v>
      </c>
      <c r="AH1170" s="94"/>
      <c r="AI1170" s="94"/>
    </row>
    <row r="1171" spans="1:35" s="132" customFormat="1" ht="12" customHeight="1" x14ac:dyDescent="0.25">
      <c r="A1171" s="492" t="s">
        <v>15266</v>
      </c>
      <c r="B1171" s="492">
        <v>4</v>
      </c>
      <c r="C1171" s="492">
        <v>46</v>
      </c>
      <c r="D1171" s="417" t="s">
        <v>1609</v>
      </c>
      <c r="E1171" s="316" t="s">
        <v>1610</v>
      </c>
      <c r="F1171" s="187">
        <v>37135</v>
      </c>
      <c r="G1171" s="188"/>
      <c r="H1171" s="188" t="str">
        <f>IF(J1171="Book","n/a","")</f>
        <v>n/a</v>
      </c>
      <c r="I1171" s="188">
        <v>288</v>
      </c>
      <c r="J1171" s="902" t="s">
        <v>6868</v>
      </c>
      <c r="K1171" s="162" t="s">
        <v>5749</v>
      </c>
      <c r="L1171" s="162" t="str">
        <f>IF(J1171="Book","n/a","")</f>
        <v>n/a</v>
      </c>
      <c r="M1171" s="162"/>
      <c r="N1171" s="162"/>
      <c r="O1171" s="162"/>
      <c r="P1171" s="178" t="s">
        <v>8970</v>
      </c>
      <c r="Q1171" s="162" t="s">
        <v>3953</v>
      </c>
      <c r="R1171" s="189" t="s">
        <v>2717</v>
      </c>
      <c r="S1171" s="366" t="s">
        <v>2608</v>
      </c>
      <c r="T1171" s="178"/>
      <c r="U1171" s="178"/>
      <c r="V1171" s="178"/>
      <c r="W1171" s="316" t="s">
        <v>1610</v>
      </c>
      <c r="X1171" s="648" t="s">
        <v>15936</v>
      </c>
      <c r="Y1171" s="356"/>
      <c r="Z1171" s="272">
        <v>34</v>
      </c>
      <c r="AA1171" s="272">
        <v>8</v>
      </c>
      <c r="AB1171" s="34">
        <f t="shared" ca="1" si="20"/>
        <v>0.36252706588707428</v>
      </c>
      <c r="AC1171" s="814"/>
      <c r="AD1171" s="815" t="s">
        <v>15838</v>
      </c>
      <c r="AE1171" s="942" t="s">
        <v>15840</v>
      </c>
      <c r="AF1171" s="923">
        <f>IF(X1171=X1170,AF1170,0)+IF(ISNUMBER(I1171),IF(I1171&lt;1,I1171,I1171*VLOOKUP(J1171,Summary!$H$2:$I$9,2)),VLOOKUP(J1171,Summary!$J$2:$K$9,2)*IF(ISNUMBER(H1171),H1171,1))</f>
        <v>1.0712384259259258</v>
      </c>
      <c r="AG1171" s="291">
        <v>1170</v>
      </c>
      <c r="AH1171" s="122"/>
      <c r="AI1171" s="122"/>
    </row>
    <row r="1172" spans="1:35" s="22" customFormat="1" ht="12" customHeight="1" x14ac:dyDescent="0.25">
      <c r="A1172" s="492" t="s">
        <v>15266</v>
      </c>
      <c r="B1172" s="492">
        <v>4</v>
      </c>
      <c r="C1172" s="492">
        <v>70</v>
      </c>
      <c r="D1172" s="417" t="s">
        <v>1611</v>
      </c>
      <c r="E1172" s="316" t="s">
        <v>1612</v>
      </c>
      <c r="F1172" s="187">
        <v>38353</v>
      </c>
      <c r="G1172" s="188"/>
      <c r="H1172" s="188" t="str">
        <f>IF(J1172="Book","n/a","")</f>
        <v>n/a</v>
      </c>
      <c r="I1172" s="188">
        <v>277</v>
      </c>
      <c r="J1172" s="902" t="s">
        <v>6868</v>
      </c>
      <c r="K1172" s="162" t="s">
        <v>5749</v>
      </c>
      <c r="L1172" s="162" t="str">
        <f>IF(J1172="Book","n/a","")</f>
        <v>n/a</v>
      </c>
      <c r="M1172" s="162"/>
      <c r="N1172" s="162"/>
      <c r="O1172" s="162"/>
      <c r="P1172" s="178" t="s">
        <v>8993</v>
      </c>
      <c r="Q1172" s="162" t="s">
        <v>3953</v>
      </c>
      <c r="R1172" s="189" t="s">
        <v>2717</v>
      </c>
      <c r="S1172" s="366" t="s">
        <v>2608</v>
      </c>
      <c r="T1172" s="178"/>
      <c r="U1172" s="178"/>
      <c r="V1172" s="178"/>
      <c r="W1172" s="316" t="s">
        <v>1612</v>
      </c>
      <c r="X1172" s="648" t="s">
        <v>15936</v>
      </c>
      <c r="Y1172" s="356"/>
      <c r="Z1172" s="272"/>
      <c r="AA1172" s="272"/>
      <c r="AB1172" s="34">
        <f t="shared" ca="1" si="20"/>
        <v>0.3854907696642661</v>
      </c>
      <c r="AC1172" s="814"/>
      <c r="AD1172" s="815"/>
      <c r="AE1172" s="942"/>
      <c r="AF1172" s="923">
        <f>IF(X1172=X1171,AF1171,0)+IF(ISNUMBER(I1172),IF(I1172&lt;1,I1172,I1172*VLOOKUP(J1172,Summary!$H$2:$I$9,2)),VLOOKUP(J1172,Summary!$J$2:$K$9,2)*IF(ISNUMBER(H1172),H1172,1))</f>
        <v>1.263599537037037</v>
      </c>
      <c r="AG1172" s="291">
        <v>1171</v>
      </c>
      <c r="AH1172" s="94"/>
      <c r="AI1172" s="94"/>
    </row>
    <row r="1173" spans="1:35" s="22" customFormat="1" ht="12" customHeight="1" x14ac:dyDescent="0.25">
      <c r="A1173" s="494" t="s">
        <v>15266</v>
      </c>
      <c r="B1173" s="494">
        <v>4</v>
      </c>
      <c r="C1173" s="495">
        <v>5.04</v>
      </c>
      <c r="D1173" s="192" t="s">
        <v>9429</v>
      </c>
      <c r="E1173" s="317" t="s">
        <v>9430</v>
      </c>
      <c r="F1173" s="191">
        <v>42095</v>
      </c>
      <c r="G1173" s="209"/>
      <c r="H1173" s="192">
        <v>1</v>
      </c>
      <c r="I1173" s="753">
        <f>TIME(0,35,42)</f>
        <v>2.479166666666667E-2</v>
      </c>
      <c r="J1173" s="903" t="s">
        <v>2755</v>
      </c>
      <c r="K1173" s="194" t="s">
        <v>338</v>
      </c>
      <c r="L1173" s="194" t="s">
        <v>5662</v>
      </c>
      <c r="M1173" s="194" t="s">
        <v>7408</v>
      </c>
      <c r="N1173" s="194"/>
      <c r="O1173" s="194"/>
      <c r="P1173" s="190" t="s">
        <v>9431</v>
      </c>
      <c r="Q1173" s="194" t="s">
        <v>3947</v>
      </c>
      <c r="R1173" s="193" t="s">
        <v>2722</v>
      </c>
      <c r="S1173" s="357" t="s">
        <v>2608</v>
      </c>
      <c r="T1173" s="190"/>
      <c r="U1173" s="190"/>
      <c r="V1173" s="190"/>
      <c r="W1173" s="317" t="s">
        <v>9430</v>
      </c>
      <c r="X1173" s="649" t="s">
        <v>15936</v>
      </c>
      <c r="Y1173" s="357" t="s">
        <v>5643</v>
      </c>
      <c r="Z1173" s="192">
        <v>47</v>
      </c>
      <c r="AA1173" s="192">
        <v>4</v>
      </c>
      <c r="AB1173" s="37">
        <f t="shared" ca="1" si="20"/>
        <v>0.113156869732986</v>
      </c>
      <c r="AC1173" s="816"/>
      <c r="AD1173" s="817"/>
      <c r="AE1173" s="943"/>
      <c r="AF1173" s="924">
        <f>IF(X1173=X1172,AF1172,0)+IF(ISNUMBER(I1173),IF(I1173&lt;1,I1173,I1173*VLOOKUP(J1173,Summary!$H$2:$I$9,2)),VLOOKUP(J1173,Summary!$J$2:$K$9,2)*IF(ISNUMBER(H1173),H1173,1))</f>
        <v>1.2883912037037037</v>
      </c>
      <c r="AG1173" s="292">
        <v>1172</v>
      </c>
      <c r="AH1173" s="94"/>
      <c r="AI1173" s="94"/>
    </row>
    <row r="1174" spans="1:35" s="22" customFormat="1" ht="12" customHeight="1" x14ac:dyDescent="0.25">
      <c r="A1174" s="490" t="s">
        <v>15266</v>
      </c>
      <c r="B1174" s="490">
        <v>4</v>
      </c>
      <c r="C1174" s="496">
        <v>18.100000000000001</v>
      </c>
      <c r="D1174" s="434" t="s">
        <v>1480</v>
      </c>
      <c r="E1174" s="324" t="s">
        <v>1479</v>
      </c>
      <c r="F1174" s="174">
        <v>38687</v>
      </c>
      <c r="G1174" s="174"/>
      <c r="H1174" s="176">
        <v>1</v>
      </c>
      <c r="I1174" s="176">
        <v>6</v>
      </c>
      <c r="J1174" s="900" t="s">
        <v>2755</v>
      </c>
      <c r="K1174" s="164" t="s">
        <v>2554</v>
      </c>
      <c r="L1174" s="164" t="s">
        <v>461</v>
      </c>
      <c r="M1174" s="164"/>
      <c r="N1174" s="164" t="s">
        <v>5664</v>
      </c>
      <c r="O1174" s="164"/>
      <c r="P1174" s="173" t="s">
        <v>5000</v>
      </c>
      <c r="Q1174" s="164" t="s">
        <v>3947</v>
      </c>
      <c r="R1174" s="179" t="s">
        <v>2723</v>
      </c>
      <c r="S1174" s="354" t="s">
        <v>2608</v>
      </c>
      <c r="T1174" s="173"/>
      <c r="U1174" s="173"/>
      <c r="V1174" s="173"/>
      <c r="W1174" s="324" t="s">
        <v>1479</v>
      </c>
      <c r="X1174" s="656" t="s">
        <v>15936</v>
      </c>
      <c r="Y1174" s="354"/>
      <c r="Z1174" s="176"/>
      <c r="AA1174" s="176"/>
      <c r="AB1174" s="32">
        <f t="shared" ca="1" si="20"/>
        <v>0.64336986751531866</v>
      </c>
      <c r="AC1174" s="812"/>
      <c r="AD1174" s="763"/>
      <c r="AE1174" s="951"/>
      <c r="AF1174" s="921">
        <f>IF(X1174=X1173,AF1173,0)+IF(ISNUMBER(I1174),IF(I1174&lt;1,I1174,I1174*VLOOKUP(J1174,Summary!$H$2:$I$9,2)),VLOOKUP(J1174,Summary!$J$2:$K$9,2)*IF(ISNUMBER(H1174),H1174,1))</f>
        <v>1.2925578703703704</v>
      </c>
      <c r="AG1174" s="288">
        <v>1173</v>
      </c>
      <c r="AH1174" s="94"/>
      <c r="AI1174" s="94"/>
    </row>
    <row r="1175" spans="1:35" s="22" customFormat="1" ht="12" customHeight="1" x14ac:dyDescent="0.25">
      <c r="A1175" s="494" t="s">
        <v>15266</v>
      </c>
      <c r="B1175" s="494">
        <v>4</v>
      </c>
      <c r="C1175" s="495">
        <v>5.12</v>
      </c>
      <c r="D1175" s="192" t="s">
        <v>10239</v>
      </c>
      <c r="E1175" s="317" t="s">
        <v>10240</v>
      </c>
      <c r="F1175" s="209">
        <v>42361</v>
      </c>
      <c r="G1175" s="191"/>
      <c r="H1175" s="192">
        <v>1</v>
      </c>
      <c r="I1175" s="753">
        <f>TIME(0,34,45)</f>
        <v>2.4131944444444445E-2</v>
      </c>
      <c r="J1175" s="903" t="s">
        <v>2755</v>
      </c>
      <c r="K1175" s="194" t="s">
        <v>4131</v>
      </c>
      <c r="L1175" s="194" t="s">
        <v>5662</v>
      </c>
      <c r="M1175" s="194" t="s">
        <v>7408</v>
      </c>
      <c r="N1175" s="194"/>
      <c r="O1175" s="194"/>
      <c r="P1175" s="190" t="s">
        <v>10241</v>
      </c>
      <c r="Q1175" s="194" t="s">
        <v>3947</v>
      </c>
      <c r="R1175" s="193" t="s">
        <v>2722</v>
      </c>
      <c r="S1175" s="357" t="s">
        <v>2608</v>
      </c>
      <c r="T1175" s="190"/>
      <c r="U1175" s="190"/>
      <c r="V1175" s="190"/>
      <c r="W1175" s="317" t="s">
        <v>10240</v>
      </c>
      <c r="X1175" s="649" t="s">
        <v>15936</v>
      </c>
      <c r="Y1175" s="357" t="s">
        <v>5643</v>
      </c>
      <c r="Z1175" s="192">
        <v>999</v>
      </c>
      <c r="AA1175" s="192"/>
      <c r="AB1175" s="37">
        <f t="shared" ca="1" si="20"/>
        <v>0.60625959267142626</v>
      </c>
      <c r="AC1175" s="816"/>
      <c r="AD1175" s="817"/>
      <c r="AE1175" s="943"/>
      <c r="AF1175" s="924">
        <f>IF(X1175=X1174,AF1174,0)+IF(ISNUMBER(I1175),IF(I1175&lt;1,I1175,I1175*VLOOKUP(J1175,Summary!$H$2:$I$9,2)),VLOOKUP(J1175,Summary!$J$2:$K$9,2)*IF(ISNUMBER(H1175),H1175,1))</f>
        <v>1.316689814814815</v>
      </c>
      <c r="AG1175" s="292">
        <v>1174</v>
      </c>
      <c r="AH1175" s="94"/>
      <c r="AI1175" s="94"/>
    </row>
    <row r="1176" spans="1:35" s="58" customFormat="1" ht="12" customHeight="1" x14ac:dyDescent="0.2">
      <c r="A1176" s="405" t="s">
        <v>12181</v>
      </c>
      <c r="B1176" s="406" t="s">
        <v>12181</v>
      </c>
      <c r="C1176" s="637">
        <v>0</v>
      </c>
      <c r="D1176" s="407" t="s">
        <v>12292</v>
      </c>
      <c r="E1176" s="315" t="s">
        <v>12182</v>
      </c>
      <c r="F1176" s="169">
        <v>41487</v>
      </c>
      <c r="G1176" s="170"/>
      <c r="H1176" s="170">
        <v>2</v>
      </c>
      <c r="I1176" s="747">
        <f>TIME(3,0,0)</f>
        <v>0.125</v>
      </c>
      <c r="J1176" s="899" t="s">
        <v>4706</v>
      </c>
      <c r="K1176" s="167" t="s">
        <v>12183</v>
      </c>
      <c r="L1176" s="167" t="s">
        <v>179</v>
      </c>
      <c r="M1176" s="167"/>
      <c r="N1176" s="167"/>
      <c r="O1176" s="167" t="s">
        <v>179</v>
      </c>
      <c r="P1176" s="168" t="s">
        <v>12291</v>
      </c>
      <c r="Q1176" s="167" t="s">
        <v>3947</v>
      </c>
      <c r="R1176" s="172" t="s">
        <v>12184</v>
      </c>
      <c r="S1176" s="388"/>
      <c r="T1176" s="168"/>
      <c r="U1176" s="168" t="s">
        <v>12185</v>
      </c>
      <c r="V1176" s="168"/>
      <c r="W1176" s="315"/>
      <c r="X1176" s="647" t="s">
        <v>15176</v>
      </c>
      <c r="Y1176" s="352" t="s">
        <v>11456</v>
      </c>
      <c r="Z1176" s="353">
        <v>9999</v>
      </c>
      <c r="AA1176" s="353"/>
      <c r="AB1176" s="31">
        <f t="shared" ca="1" si="20"/>
        <v>0.36539980731484623</v>
      </c>
      <c r="AC1176" s="810"/>
      <c r="AD1176" s="811">
        <v>1872</v>
      </c>
      <c r="AE1176" s="940"/>
      <c r="AF1176" s="920">
        <f>IF(X1176=X1175,AF1175,0)+IF(ISNUMBER(I1176),IF(I1176&lt;1,I1176,I1176*VLOOKUP(J1176,Summary!$H$2:$I$9,2)),VLOOKUP(J1176,Summary!$J$2:$K$9,2)*IF(ISNUMBER(H1176),H1176,1))</f>
        <v>0.125</v>
      </c>
      <c r="AG1176" s="287">
        <v>1175</v>
      </c>
      <c r="AH1176" s="94"/>
      <c r="AI1176" s="94"/>
    </row>
    <row r="1177" spans="1:35" s="22" customFormat="1" ht="12" customHeight="1" x14ac:dyDescent="0.2">
      <c r="A1177" s="405" t="s">
        <v>12181</v>
      </c>
      <c r="B1177" s="406" t="s">
        <v>12181</v>
      </c>
      <c r="C1177" s="565">
        <v>2.0499999999999998</v>
      </c>
      <c r="D1177" s="407" t="s">
        <v>12186</v>
      </c>
      <c r="E1177" s="315" t="s">
        <v>12187</v>
      </c>
      <c r="F1177" s="169">
        <v>41487</v>
      </c>
      <c r="G1177" s="170"/>
      <c r="H1177" s="170">
        <v>1</v>
      </c>
      <c r="I1177" s="752">
        <f>TIME(0,30,0)</f>
        <v>2.0833333333333332E-2</v>
      </c>
      <c r="J1177" s="899" t="s">
        <v>4706</v>
      </c>
      <c r="K1177" s="167" t="s">
        <v>12188</v>
      </c>
      <c r="L1177" s="167" t="s">
        <v>179</v>
      </c>
      <c r="M1177" s="167"/>
      <c r="N1177" s="167"/>
      <c r="O1177" s="167" t="s">
        <v>179</v>
      </c>
      <c r="P1177" s="168" t="s">
        <v>12293</v>
      </c>
      <c r="Q1177" s="167" t="s">
        <v>3947</v>
      </c>
      <c r="R1177" s="172" t="s">
        <v>12184</v>
      </c>
      <c r="S1177" s="388"/>
      <c r="T1177" s="168"/>
      <c r="U1177" s="168" t="s">
        <v>12185</v>
      </c>
      <c r="V1177" s="168"/>
      <c r="W1177" s="315" t="s">
        <v>12187</v>
      </c>
      <c r="X1177" s="647" t="s">
        <v>15176</v>
      </c>
      <c r="Y1177" s="352" t="s">
        <v>11456</v>
      </c>
      <c r="Z1177" s="353"/>
      <c r="AA1177" s="353"/>
      <c r="AB1177" s="31">
        <f t="shared" ca="1" si="20"/>
        <v>0.30377408958182539</v>
      </c>
      <c r="AC1177" s="810"/>
      <c r="AD1177" s="811">
        <v>1879</v>
      </c>
      <c r="AE1177" s="940"/>
      <c r="AF1177" s="920">
        <f>IF(X1177=X1176,AF1176,0)+IF(ISNUMBER(I1177),IF(I1177&lt;1,I1177,I1177*VLOOKUP(J1177,Summary!$H$2:$I$9,2)),VLOOKUP(J1177,Summary!$J$2:$K$9,2)*IF(ISNUMBER(H1177),H1177,1))</f>
        <v>0.14583333333333334</v>
      </c>
      <c r="AG1177" s="287">
        <v>1176</v>
      </c>
      <c r="AH1177" s="94"/>
      <c r="AI1177" s="94"/>
    </row>
    <row r="1178" spans="1:35" s="1" customFormat="1" ht="12" customHeight="1" x14ac:dyDescent="0.25">
      <c r="A1178" s="691" t="s">
        <v>12279</v>
      </c>
      <c r="B1178" s="692" t="s">
        <v>12279</v>
      </c>
      <c r="C1178" s="708">
        <v>2.0499999999999989</v>
      </c>
      <c r="D1178" s="693" t="s">
        <v>14657</v>
      </c>
      <c r="E1178" s="694" t="s">
        <v>14613</v>
      </c>
      <c r="F1178" s="707" t="s">
        <v>14687</v>
      </c>
      <c r="G1178" s="695"/>
      <c r="H1178" s="695" t="s">
        <v>461</v>
      </c>
      <c r="I1178" s="695"/>
      <c r="J1178" s="911" t="s">
        <v>2755</v>
      </c>
      <c r="K1178" s="697" t="s">
        <v>14605</v>
      </c>
      <c r="L1178" s="697" t="s">
        <v>14607</v>
      </c>
      <c r="M1178" s="697"/>
      <c r="N1178" s="697"/>
      <c r="O1178" s="697"/>
      <c r="P1178" s="696"/>
      <c r="Q1178" s="697" t="s">
        <v>14608</v>
      </c>
      <c r="R1178" s="698" t="s">
        <v>14633</v>
      </c>
      <c r="S1178" s="699"/>
      <c r="T1178" s="696"/>
      <c r="U1178" s="696"/>
      <c r="V1178" s="696" t="s">
        <v>12280</v>
      </c>
      <c r="W1178" s="694" t="s">
        <v>14613</v>
      </c>
      <c r="X1178" s="700" t="s">
        <v>15176</v>
      </c>
      <c r="Y1178" s="701" t="s">
        <v>6868</v>
      </c>
      <c r="Z1178" s="702"/>
      <c r="AA1178" s="702"/>
      <c r="AB1178" s="703">
        <f t="shared" ca="1" si="20"/>
        <v>0.66052711751701865</v>
      </c>
      <c r="AC1178" s="855"/>
      <c r="AD1178" s="856" t="s">
        <v>14773</v>
      </c>
      <c r="AE1178" s="960"/>
      <c r="AF1178" s="932">
        <f>IF(X1178=X1177,AF1177,0)+IF(ISNUMBER(I1178),IF(I1178&lt;1,I1178,I1178*VLOOKUP(J1178,Summary!$H$2:$I$9,2)),VLOOKUP(J1178,Summary!$J$2:$K$9,2)*IF(ISNUMBER(H1178),H1178,1))</f>
        <v>0.16319444444444445</v>
      </c>
      <c r="AG1178" s="704">
        <v>1177</v>
      </c>
      <c r="AH1178" s="94"/>
      <c r="AI1178" s="94"/>
    </row>
    <row r="1179" spans="1:35" s="1" customFormat="1" ht="12" customHeight="1" x14ac:dyDescent="0.25">
      <c r="A1179" s="405" t="s">
        <v>12279</v>
      </c>
      <c r="B1179" s="406" t="s">
        <v>12279</v>
      </c>
      <c r="C1179" s="565">
        <v>3.01</v>
      </c>
      <c r="D1179" s="407" t="s">
        <v>14854</v>
      </c>
      <c r="E1179" s="315" t="s">
        <v>14859</v>
      </c>
      <c r="F1179" s="169">
        <v>41000</v>
      </c>
      <c r="G1179" s="170"/>
      <c r="H1179" s="170">
        <v>1</v>
      </c>
      <c r="I1179" s="747">
        <f>TIME(0,60,0)</f>
        <v>4.1666666666666664E-2</v>
      </c>
      <c r="J1179" s="899" t="s">
        <v>4706</v>
      </c>
      <c r="K1179" s="167" t="s">
        <v>8131</v>
      </c>
      <c r="L1179" s="167" t="s">
        <v>2313</v>
      </c>
      <c r="M1179" s="167"/>
      <c r="N1179" s="167"/>
      <c r="O1179" s="167"/>
      <c r="P1179" s="168" t="s">
        <v>14855</v>
      </c>
      <c r="Q1179" s="167" t="s">
        <v>3947</v>
      </c>
      <c r="R1179" s="172" t="s">
        <v>14834</v>
      </c>
      <c r="S1179" s="388"/>
      <c r="T1179" s="168"/>
      <c r="U1179" s="168" t="s">
        <v>12185</v>
      </c>
      <c r="V1179" s="168"/>
      <c r="W1179" s="315"/>
      <c r="X1179" s="647" t="s">
        <v>15176</v>
      </c>
      <c r="Y1179" s="352"/>
      <c r="Z1179" s="353"/>
      <c r="AA1179" s="353"/>
      <c r="AB1179" s="31">
        <f t="shared" ca="1" si="20"/>
        <v>0.62666062823351409</v>
      </c>
      <c r="AC1179" s="810"/>
      <c r="AD1179" s="825" t="s">
        <v>14863</v>
      </c>
      <c r="AE1179" s="940"/>
      <c r="AF1179" s="920">
        <f>IF(X1179=X1178,AF1178,0)+IF(ISNUMBER(I1179),IF(I1179&lt;1,I1179,I1179*VLOOKUP(J1179,Summary!$H$2:$I$9,2)),VLOOKUP(J1179,Summary!$J$2:$K$9,2)*IF(ISNUMBER(H1179),H1179,1))</f>
        <v>0.2048611111111111</v>
      </c>
      <c r="AG1179" s="287">
        <v>1178</v>
      </c>
      <c r="AH1179" s="94"/>
      <c r="AI1179" s="94"/>
    </row>
    <row r="1180" spans="1:35" s="117" customFormat="1" ht="12" customHeight="1" x14ac:dyDescent="0.25">
      <c r="A1180" s="691" t="s">
        <v>12279</v>
      </c>
      <c r="B1180" s="692" t="s">
        <v>12279</v>
      </c>
      <c r="C1180" s="708">
        <v>2.0599999999999987</v>
      </c>
      <c r="D1180" s="693" t="s">
        <v>14658</v>
      </c>
      <c r="E1180" s="694" t="s">
        <v>14614</v>
      </c>
      <c r="F1180" s="707" t="s">
        <v>14688</v>
      </c>
      <c r="G1180" s="695"/>
      <c r="H1180" s="695" t="s">
        <v>461</v>
      </c>
      <c r="I1180" s="695"/>
      <c r="J1180" s="911" t="s">
        <v>2755</v>
      </c>
      <c r="K1180" s="697" t="s">
        <v>14605</v>
      </c>
      <c r="L1180" s="697" t="s">
        <v>14607</v>
      </c>
      <c r="M1180" s="697"/>
      <c r="N1180" s="697"/>
      <c r="O1180" s="697"/>
      <c r="P1180" s="696"/>
      <c r="Q1180" s="697" t="s">
        <v>14608</v>
      </c>
      <c r="R1180" s="698" t="s">
        <v>14633</v>
      </c>
      <c r="S1180" s="699"/>
      <c r="T1180" s="696"/>
      <c r="U1180" s="696"/>
      <c r="V1180" s="696" t="s">
        <v>12280</v>
      </c>
      <c r="W1180" s="694" t="s">
        <v>14614</v>
      </c>
      <c r="X1180" s="700" t="s">
        <v>15176</v>
      </c>
      <c r="Y1180" s="701" t="s">
        <v>6868</v>
      </c>
      <c r="Z1180" s="702"/>
      <c r="AA1180" s="702"/>
      <c r="AB1180" s="703">
        <f t="shared" ca="1" si="20"/>
        <v>0.33209196013130859</v>
      </c>
      <c r="AC1180" s="855"/>
      <c r="AD1180" s="856" t="s">
        <v>14774</v>
      </c>
      <c r="AE1180" s="960"/>
      <c r="AF1180" s="932">
        <f>IF(X1180=X1179,AF1179,0)+IF(ISNUMBER(I1180),IF(I1180&lt;1,I1180,I1180*VLOOKUP(J1180,Summary!$H$2:$I$9,2)),VLOOKUP(J1180,Summary!$J$2:$K$9,2)*IF(ISNUMBER(H1180),H1180,1))</f>
        <v>0.22222222222222221</v>
      </c>
      <c r="AG1180" s="704">
        <v>1179</v>
      </c>
      <c r="AH1180" s="94"/>
      <c r="AI1180" s="94"/>
    </row>
    <row r="1181" spans="1:35" s="22" customFormat="1" ht="12" customHeight="1" x14ac:dyDescent="0.25">
      <c r="A1181" s="691" t="s">
        <v>12279</v>
      </c>
      <c r="B1181" s="692" t="s">
        <v>12279</v>
      </c>
      <c r="C1181" s="708">
        <v>1.08</v>
      </c>
      <c r="D1181" s="693" t="s">
        <v>14648</v>
      </c>
      <c r="E1181" s="694" t="s">
        <v>14628</v>
      </c>
      <c r="F1181" s="707" t="s">
        <v>14678</v>
      </c>
      <c r="G1181" s="695"/>
      <c r="H1181" s="695" t="s">
        <v>461</v>
      </c>
      <c r="I1181" s="695"/>
      <c r="J1181" s="911" t="s">
        <v>2755</v>
      </c>
      <c r="K1181" s="697" t="s">
        <v>14605</v>
      </c>
      <c r="L1181" s="697" t="s">
        <v>14607</v>
      </c>
      <c r="M1181" s="697"/>
      <c r="N1181" s="697"/>
      <c r="O1181" s="697"/>
      <c r="P1181" s="696" t="s">
        <v>14843</v>
      </c>
      <c r="Q1181" s="697" t="s">
        <v>14608</v>
      </c>
      <c r="R1181" s="698" t="s">
        <v>14633</v>
      </c>
      <c r="S1181" s="699"/>
      <c r="T1181" s="696"/>
      <c r="U1181" s="696"/>
      <c r="V1181" s="696" t="s">
        <v>12280</v>
      </c>
      <c r="W1181" s="694" t="s">
        <v>14628</v>
      </c>
      <c r="X1181" s="700" t="s">
        <v>15176</v>
      </c>
      <c r="Y1181" s="701" t="s">
        <v>575</v>
      </c>
      <c r="Z1181" s="702"/>
      <c r="AA1181" s="702"/>
      <c r="AB1181" s="703">
        <f t="shared" ca="1" si="20"/>
        <v>0.86917959788903532</v>
      </c>
      <c r="AC1181" s="855"/>
      <c r="AD1181" s="856" t="s">
        <v>14775</v>
      </c>
      <c r="AE1181" s="960"/>
      <c r="AF1181" s="932">
        <f>IF(X1181=X1180,AF1180,0)+IF(ISNUMBER(I1181),IF(I1181&lt;1,I1181,I1181*VLOOKUP(J1181,Summary!$H$2:$I$9,2)),VLOOKUP(J1181,Summary!$J$2:$K$9,2)*IF(ISNUMBER(H1181),H1181,1))</f>
        <v>0.23958333333333331</v>
      </c>
      <c r="AG1181" s="704">
        <v>1180</v>
      </c>
      <c r="AH1181" s="94"/>
      <c r="AI1181" s="94"/>
    </row>
    <row r="1182" spans="1:35" s="22" customFormat="1" ht="12" customHeight="1" x14ac:dyDescent="0.25">
      <c r="A1182" s="715" t="s">
        <v>12279</v>
      </c>
      <c r="B1182" s="716" t="s">
        <v>12279</v>
      </c>
      <c r="C1182" s="717">
        <v>1</v>
      </c>
      <c r="D1182" s="486" t="s">
        <v>14639</v>
      </c>
      <c r="E1182" s="332" t="s">
        <v>14634</v>
      </c>
      <c r="F1182" s="714" t="s">
        <v>14669</v>
      </c>
      <c r="G1182" s="214"/>
      <c r="H1182" s="214" t="s">
        <v>461</v>
      </c>
      <c r="I1182" s="214"/>
      <c r="J1182" s="906" t="s">
        <v>6868</v>
      </c>
      <c r="K1182" s="161" t="s">
        <v>14605</v>
      </c>
      <c r="L1182" s="161" t="s">
        <v>14772</v>
      </c>
      <c r="M1182" s="161"/>
      <c r="N1182" s="161"/>
      <c r="O1182" s="161"/>
      <c r="P1182" s="212"/>
      <c r="Q1182" s="161" t="s">
        <v>14635</v>
      </c>
      <c r="R1182" s="231" t="s">
        <v>14636</v>
      </c>
      <c r="S1182" s="365"/>
      <c r="T1182" s="212"/>
      <c r="U1182" s="212"/>
      <c r="V1182" s="212" t="s">
        <v>12280</v>
      </c>
      <c r="W1182" s="332" t="s">
        <v>14634</v>
      </c>
      <c r="X1182" s="664" t="s">
        <v>15176</v>
      </c>
      <c r="Y1182" s="370" t="s">
        <v>6868</v>
      </c>
      <c r="Z1182" s="371"/>
      <c r="AA1182" s="371"/>
      <c r="AB1182" s="39">
        <f t="shared" ca="1" si="20"/>
        <v>0.23336665037752968</v>
      </c>
      <c r="AC1182" s="828"/>
      <c r="AD1182" s="829" t="s">
        <v>14776</v>
      </c>
      <c r="AE1182" s="952"/>
      <c r="AF1182" s="927">
        <f>IF(X1182=X1181,AF1181,0)+IF(ISNUMBER(I1182),IF(I1182&lt;1,I1182,I1182*VLOOKUP(J1182,Summary!$H$2:$I$9,2)),VLOOKUP(J1182,Summary!$J$2:$K$9,2)*IF(ISNUMBER(H1182),H1182,1))</f>
        <v>0.36458333333333331</v>
      </c>
      <c r="AG1182" s="299">
        <v>1181</v>
      </c>
      <c r="AH1182" s="94"/>
      <c r="AI1182" s="94"/>
    </row>
    <row r="1183" spans="1:35" s="22" customFormat="1" ht="12" customHeight="1" x14ac:dyDescent="0.25">
      <c r="A1183" s="691" t="s">
        <v>12279</v>
      </c>
      <c r="B1183" s="692" t="s">
        <v>12279</v>
      </c>
      <c r="C1183" s="708">
        <v>2.0299999999999994</v>
      </c>
      <c r="D1183" s="693" t="s">
        <v>14655</v>
      </c>
      <c r="E1183" s="694" t="s">
        <v>14611</v>
      </c>
      <c r="F1183" s="707" t="s">
        <v>14685</v>
      </c>
      <c r="G1183" s="695"/>
      <c r="H1183" s="695" t="s">
        <v>461</v>
      </c>
      <c r="I1183" s="695"/>
      <c r="J1183" s="911" t="s">
        <v>2755</v>
      </c>
      <c r="K1183" s="697" t="s">
        <v>14605</v>
      </c>
      <c r="L1183" s="697" t="s">
        <v>14607</v>
      </c>
      <c r="M1183" s="697"/>
      <c r="N1183" s="697"/>
      <c r="O1183" s="697"/>
      <c r="P1183" s="696"/>
      <c r="Q1183" s="697" t="s">
        <v>14608</v>
      </c>
      <c r="R1183" s="698" t="s">
        <v>14633</v>
      </c>
      <c r="S1183" s="699"/>
      <c r="T1183" s="696"/>
      <c r="U1183" s="696"/>
      <c r="V1183" s="696" t="s">
        <v>12280</v>
      </c>
      <c r="W1183" s="694" t="s">
        <v>14611</v>
      </c>
      <c r="X1183" s="700" t="s">
        <v>15176</v>
      </c>
      <c r="Y1183" s="701" t="s">
        <v>6868</v>
      </c>
      <c r="Z1183" s="702"/>
      <c r="AA1183" s="702"/>
      <c r="AB1183" s="703">
        <f t="shared" ca="1" si="20"/>
        <v>0.74298046974839715</v>
      </c>
      <c r="AC1183" s="855"/>
      <c r="AD1183" s="892" t="s">
        <v>14780</v>
      </c>
      <c r="AE1183" s="960"/>
      <c r="AF1183" s="932">
        <f>IF(X1183=X1182,AF1182,0)+IF(ISNUMBER(I1183),IF(I1183&lt;1,I1183,I1183*VLOOKUP(J1183,Summary!$H$2:$I$9,2)),VLOOKUP(J1183,Summary!$J$2:$K$9,2)*IF(ISNUMBER(H1183),H1183,1))</f>
        <v>0.38194444444444442</v>
      </c>
      <c r="AG1183" s="704">
        <v>1182</v>
      </c>
      <c r="AH1183" s="94"/>
      <c r="AI1183" s="94"/>
    </row>
    <row r="1184" spans="1:35" s="22" customFormat="1" ht="12" customHeight="1" x14ac:dyDescent="0.25">
      <c r="A1184" s="691" t="s">
        <v>12279</v>
      </c>
      <c r="B1184" s="692" t="s">
        <v>12279</v>
      </c>
      <c r="C1184" s="708">
        <v>4.0199999999999996</v>
      </c>
      <c r="D1184" s="693" t="s">
        <v>14734</v>
      </c>
      <c r="E1184" s="694" t="s">
        <v>14725</v>
      </c>
      <c r="F1184" s="720">
        <v>4078</v>
      </c>
      <c r="G1184" s="720">
        <v>4109</v>
      </c>
      <c r="H1184" s="695" t="s">
        <v>461</v>
      </c>
      <c r="I1184" s="695"/>
      <c r="J1184" s="911" t="s">
        <v>2755</v>
      </c>
      <c r="K1184" s="697" t="s">
        <v>14605</v>
      </c>
      <c r="L1184" s="697" t="s">
        <v>14765</v>
      </c>
      <c r="M1184" s="697"/>
      <c r="N1184" s="697"/>
      <c r="O1184" s="697"/>
      <c r="P1184" s="696"/>
      <c r="Q1184" s="697" t="s">
        <v>14608</v>
      </c>
      <c r="R1184" s="698" t="s">
        <v>14633</v>
      </c>
      <c r="S1184" s="699"/>
      <c r="T1184" s="696"/>
      <c r="U1184" s="696"/>
      <c r="V1184" s="696" t="s">
        <v>12280</v>
      </c>
      <c r="W1184" s="694" t="s">
        <v>14725</v>
      </c>
      <c r="X1184" s="700" t="s">
        <v>15176</v>
      </c>
      <c r="Y1184" s="701" t="s">
        <v>6868</v>
      </c>
      <c r="Z1184" s="702"/>
      <c r="AA1184" s="702"/>
      <c r="AB1184" s="703">
        <f t="shared" ca="1" si="20"/>
        <v>0.30457247930893139</v>
      </c>
      <c r="AC1184" s="855"/>
      <c r="AD1184" s="892" t="s">
        <v>14781</v>
      </c>
      <c r="AE1184" s="960"/>
      <c r="AF1184" s="932">
        <f>IF(X1184=X1183,AF1183,0)+IF(ISNUMBER(I1184),IF(I1184&lt;1,I1184,I1184*VLOOKUP(J1184,Summary!$H$2:$I$9,2)),VLOOKUP(J1184,Summary!$J$2:$K$9,2)*IF(ISNUMBER(H1184),H1184,1))</f>
        <v>0.39930555555555552</v>
      </c>
      <c r="AG1184" s="704">
        <v>1183</v>
      </c>
      <c r="AH1184" s="94"/>
      <c r="AI1184" s="94"/>
    </row>
    <row r="1185" spans="1:35" s="22" customFormat="1" ht="12" customHeight="1" x14ac:dyDescent="0.25">
      <c r="A1185" s="691" t="s">
        <v>12279</v>
      </c>
      <c r="B1185" s="692" t="s">
        <v>12279</v>
      </c>
      <c r="C1185" s="708">
        <v>1.1100000000000001</v>
      </c>
      <c r="D1185" s="693" t="s">
        <v>14651</v>
      </c>
      <c r="E1185" s="694" t="s">
        <v>14631</v>
      </c>
      <c r="F1185" s="707" t="s">
        <v>14681</v>
      </c>
      <c r="G1185" s="695"/>
      <c r="H1185" s="695" t="s">
        <v>461</v>
      </c>
      <c r="I1185" s="695"/>
      <c r="J1185" s="911" t="s">
        <v>2755</v>
      </c>
      <c r="K1185" s="697" t="s">
        <v>14605</v>
      </c>
      <c r="L1185" s="697" t="s">
        <v>14607</v>
      </c>
      <c r="M1185" s="697"/>
      <c r="N1185" s="697"/>
      <c r="O1185" s="697"/>
      <c r="P1185" s="696"/>
      <c r="Q1185" s="697" t="s">
        <v>14608</v>
      </c>
      <c r="R1185" s="698" t="s">
        <v>14633</v>
      </c>
      <c r="S1185" s="699"/>
      <c r="T1185" s="696"/>
      <c r="U1185" s="696"/>
      <c r="V1185" s="696" t="s">
        <v>12280</v>
      </c>
      <c r="W1185" s="694" t="s">
        <v>14631</v>
      </c>
      <c r="X1185" s="700" t="s">
        <v>15176</v>
      </c>
      <c r="Y1185" s="701" t="s">
        <v>6868</v>
      </c>
      <c r="Z1185" s="702"/>
      <c r="AA1185" s="702"/>
      <c r="AB1185" s="703">
        <f t="shared" ca="1" si="20"/>
        <v>0.85530993031751124</v>
      </c>
      <c r="AC1185" s="855"/>
      <c r="AD1185" s="856" t="s">
        <v>14782</v>
      </c>
      <c r="AE1185" s="960"/>
      <c r="AF1185" s="932">
        <f>IF(X1185=X1184,AF1184,0)+IF(ISNUMBER(I1185),IF(I1185&lt;1,I1185,I1185*VLOOKUP(J1185,Summary!$H$2:$I$9,2)),VLOOKUP(J1185,Summary!$J$2:$K$9,2)*IF(ISNUMBER(H1185),H1185,1))</f>
        <v>0.41666666666666663</v>
      </c>
      <c r="AG1185" s="704">
        <v>1184</v>
      </c>
      <c r="AH1185" s="94"/>
      <c r="AI1185" s="94"/>
    </row>
    <row r="1186" spans="1:35" s="22" customFormat="1" ht="12" customHeight="1" x14ac:dyDescent="0.25">
      <c r="A1186" s="691" t="s">
        <v>12279</v>
      </c>
      <c r="B1186" s="692" t="s">
        <v>12279</v>
      </c>
      <c r="C1186" s="708">
        <v>2.0899999999999981</v>
      </c>
      <c r="D1186" s="693" t="s">
        <v>14661</v>
      </c>
      <c r="E1186" s="694" t="s">
        <v>14617</v>
      </c>
      <c r="F1186" s="707" t="s">
        <v>14691</v>
      </c>
      <c r="G1186" s="695"/>
      <c r="H1186" s="695" t="s">
        <v>461</v>
      </c>
      <c r="I1186" s="695"/>
      <c r="J1186" s="911" t="s">
        <v>2755</v>
      </c>
      <c r="K1186" s="697" t="s">
        <v>14605</v>
      </c>
      <c r="L1186" s="697" t="s">
        <v>14607</v>
      </c>
      <c r="M1186" s="697"/>
      <c r="N1186" s="697"/>
      <c r="O1186" s="697"/>
      <c r="P1186" s="696"/>
      <c r="Q1186" s="697" t="s">
        <v>14608</v>
      </c>
      <c r="R1186" s="698" t="s">
        <v>14633</v>
      </c>
      <c r="S1186" s="699"/>
      <c r="T1186" s="696"/>
      <c r="U1186" s="696"/>
      <c r="V1186" s="696" t="s">
        <v>12280</v>
      </c>
      <c r="W1186" s="694" t="s">
        <v>14617</v>
      </c>
      <c r="X1186" s="700" t="s">
        <v>15176</v>
      </c>
      <c r="Y1186" s="701" t="s">
        <v>6868</v>
      </c>
      <c r="Z1186" s="702"/>
      <c r="AA1186" s="702"/>
      <c r="AB1186" s="703">
        <f t="shared" ca="1" si="20"/>
        <v>0.79211516873450682</v>
      </c>
      <c r="AC1186" s="855"/>
      <c r="AD1186" s="892" t="s">
        <v>14783</v>
      </c>
      <c r="AE1186" s="960"/>
      <c r="AF1186" s="932">
        <f>IF(X1186=X1185,AF1185,0)+IF(ISNUMBER(I1186),IF(I1186&lt;1,I1186,I1186*VLOOKUP(J1186,Summary!$H$2:$I$9,2)),VLOOKUP(J1186,Summary!$J$2:$K$9,2)*IF(ISNUMBER(H1186),H1186,1))</f>
        <v>0.43402777777777773</v>
      </c>
      <c r="AG1186" s="704">
        <v>1185</v>
      </c>
      <c r="AH1186" s="94"/>
      <c r="AI1186" s="94"/>
    </row>
    <row r="1187" spans="1:35" s="22" customFormat="1" ht="12" customHeight="1" x14ac:dyDescent="0.25">
      <c r="A1187" s="691" t="s">
        <v>12279</v>
      </c>
      <c r="B1187" s="692" t="s">
        <v>12279</v>
      </c>
      <c r="C1187" s="708">
        <v>2.0699999999999985</v>
      </c>
      <c r="D1187" s="693" t="s">
        <v>14659</v>
      </c>
      <c r="E1187" s="694" t="s">
        <v>14615</v>
      </c>
      <c r="F1187" s="707" t="s">
        <v>14689</v>
      </c>
      <c r="G1187" s="695"/>
      <c r="H1187" s="695" t="s">
        <v>461</v>
      </c>
      <c r="I1187" s="695"/>
      <c r="J1187" s="911" t="s">
        <v>2755</v>
      </c>
      <c r="K1187" s="697" t="s">
        <v>14605</v>
      </c>
      <c r="L1187" s="697" t="s">
        <v>14607</v>
      </c>
      <c r="M1187" s="697"/>
      <c r="N1187" s="697"/>
      <c r="O1187" s="697"/>
      <c r="P1187" s="696"/>
      <c r="Q1187" s="697" t="s">
        <v>14608</v>
      </c>
      <c r="R1187" s="698" t="s">
        <v>14633</v>
      </c>
      <c r="S1187" s="699"/>
      <c r="T1187" s="696"/>
      <c r="U1187" s="696"/>
      <c r="V1187" s="696" t="s">
        <v>12280</v>
      </c>
      <c r="W1187" s="694" t="s">
        <v>14615</v>
      </c>
      <c r="X1187" s="700" t="s">
        <v>15176</v>
      </c>
      <c r="Y1187" s="701" t="s">
        <v>6868</v>
      </c>
      <c r="Z1187" s="702"/>
      <c r="AA1187" s="702"/>
      <c r="AB1187" s="703">
        <f t="shared" ca="1" si="20"/>
        <v>0.59668177921827636</v>
      </c>
      <c r="AC1187" s="855"/>
      <c r="AD1187" s="856" t="s">
        <v>14784</v>
      </c>
      <c r="AE1187" s="960"/>
      <c r="AF1187" s="932">
        <f>IF(X1187=X1186,AF1186,0)+IF(ISNUMBER(I1187),IF(I1187&lt;1,I1187,I1187*VLOOKUP(J1187,Summary!$H$2:$I$9,2)),VLOOKUP(J1187,Summary!$J$2:$K$9,2)*IF(ISNUMBER(H1187),H1187,1))</f>
        <v>0.45138888888888884</v>
      </c>
      <c r="AG1187" s="704">
        <v>1186</v>
      </c>
      <c r="AH1187" s="94"/>
      <c r="AI1187" s="94"/>
    </row>
    <row r="1188" spans="1:35" s="22" customFormat="1" ht="12" customHeight="1" x14ac:dyDescent="0.25">
      <c r="A1188" s="691" t="s">
        <v>12279</v>
      </c>
      <c r="B1188" s="692" t="s">
        <v>12279</v>
      </c>
      <c r="C1188" s="708">
        <v>3.13</v>
      </c>
      <c r="D1188" s="693" t="s">
        <v>14721</v>
      </c>
      <c r="E1188" s="694" t="s">
        <v>14708</v>
      </c>
      <c r="F1188" s="720">
        <v>1797</v>
      </c>
      <c r="G1188" s="695"/>
      <c r="H1188" s="695" t="s">
        <v>461</v>
      </c>
      <c r="I1188" s="695"/>
      <c r="J1188" s="911" t="s">
        <v>2755</v>
      </c>
      <c r="K1188" s="697" t="s">
        <v>14605</v>
      </c>
      <c r="L1188" s="697" t="s">
        <v>14607</v>
      </c>
      <c r="M1188" s="697"/>
      <c r="N1188" s="697"/>
      <c r="O1188" s="697"/>
      <c r="P1188" s="696"/>
      <c r="Q1188" s="697" t="s">
        <v>14608</v>
      </c>
      <c r="R1188" s="698" t="s">
        <v>14633</v>
      </c>
      <c r="S1188" s="699"/>
      <c r="T1188" s="696"/>
      <c r="U1188" s="696"/>
      <c r="V1188" s="696" t="s">
        <v>12280</v>
      </c>
      <c r="W1188" s="694" t="s">
        <v>14708</v>
      </c>
      <c r="X1188" s="700" t="s">
        <v>15176</v>
      </c>
      <c r="Y1188" s="701" t="s">
        <v>6868</v>
      </c>
      <c r="Z1188" s="702"/>
      <c r="AA1188" s="702"/>
      <c r="AB1188" s="703">
        <f t="shared" ca="1" si="20"/>
        <v>4.2689089347109133E-2</v>
      </c>
      <c r="AC1188" s="855"/>
      <c r="AD1188" s="856" t="s">
        <v>14785</v>
      </c>
      <c r="AE1188" s="960"/>
      <c r="AF1188" s="932">
        <f>IF(X1188=X1187,AF1187,0)+IF(ISNUMBER(I1188),IF(I1188&lt;1,I1188,I1188*VLOOKUP(J1188,Summary!$H$2:$I$9,2)),VLOOKUP(J1188,Summary!$J$2:$K$9,2)*IF(ISNUMBER(H1188),H1188,1))</f>
        <v>0.46874999999999994</v>
      </c>
      <c r="AG1188" s="704">
        <v>1187</v>
      </c>
      <c r="AH1188" s="94"/>
      <c r="AI1188" s="94"/>
    </row>
    <row r="1189" spans="1:35" s="706" customFormat="1" ht="12" customHeight="1" x14ac:dyDescent="0.25">
      <c r="A1189" s="691" t="s">
        <v>12279</v>
      </c>
      <c r="B1189" s="692" t="s">
        <v>12279</v>
      </c>
      <c r="C1189" s="708">
        <v>2.1099999999999977</v>
      </c>
      <c r="D1189" s="693" t="s">
        <v>14663</v>
      </c>
      <c r="E1189" s="694" t="s">
        <v>14619</v>
      </c>
      <c r="F1189" s="707" t="s">
        <v>14693</v>
      </c>
      <c r="G1189" s="695" t="s">
        <v>14668</v>
      </c>
      <c r="H1189" s="695" t="s">
        <v>461</v>
      </c>
      <c r="I1189" s="695"/>
      <c r="J1189" s="911" t="s">
        <v>2755</v>
      </c>
      <c r="K1189" s="697" t="s">
        <v>14605</v>
      </c>
      <c r="L1189" s="697" t="s">
        <v>14607</v>
      </c>
      <c r="M1189" s="697"/>
      <c r="N1189" s="697"/>
      <c r="O1189" s="697"/>
      <c r="P1189" s="696"/>
      <c r="Q1189" s="697" t="s">
        <v>14608</v>
      </c>
      <c r="R1189" s="698" t="s">
        <v>14633</v>
      </c>
      <c r="S1189" s="699"/>
      <c r="T1189" s="696"/>
      <c r="U1189" s="696"/>
      <c r="V1189" s="696" t="s">
        <v>12280</v>
      </c>
      <c r="W1189" s="694" t="s">
        <v>14619</v>
      </c>
      <c r="X1189" s="700" t="s">
        <v>15176</v>
      </c>
      <c r="Y1189" s="701" t="s">
        <v>6868</v>
      </c>
      <c r="Z1189" s="702"/>
      <c r="AA1189" s="702"/>
      <c r="AB1189" s="703">
        <f t="shared" ca="1" si="20"/>
        <v>0.63664803168838413</v>
      </c>
      <c r="AC1189" s="855"/>
      <c r="AD1189" s="892" t="s">
        <v>14786</v>
      </c>
      <c r="AE1189" s="960"/>
      <c r="AF1189" s="932">
        <f>IF(X1189=X1188,AF1188,0)+IF(ISNUMBER(I1189),IF(I1189&lt;1,I1189,I1189*VLOOKUP(J1189,Summary!$H$2:$I$9,2)),VLOOKUP(J1189,Summary!$J$2:$K$9,2)*IF(ISNUMBER(H1189),H1189,1))</f>
        <v>0.48611111111111105</v>
      </c>
      <c r="AG1189" s="704">
        <v>1188</v>
      </c>
      <c r="AH1189" s="705"/>
      <c r="AI1189" s="705"/>
    </row>
    <row r="1190" spans="1:35" s="22" customFormat="1" ht="12" customHeight="1" x14ac:dyDescent="0.25">
      <c r="A1190" s="691" t="s">
        <v>12279</v>
      </c>
      <c r="B1190" s="692" t="s">
        <v>12279</v>
      </c>
      <c r="C1190" s="708">
        <v>2.0799999999999983</v>
      </c>
      <c r="D1190" s="693" t="s">
        <v>14660</v>
      </c>
      <c r="E1190" s="694" t="s">
        <v>14616</v>
      </c>
      <c r="F1190" s="707" t="s">
        <v>14690</v>
      </c>
      <c r="G1190" s="695"/>
      <c r="H1190" s="695" t="s">
        <v>461</v>
      </c>
      <c r="I1190" s="695"/>
      <c r="J1190" s="911" t="s">
        <v>2755</v>
      </c>
      <c r="K1190" s="697" t="s">
        <v>14605</v>
      </c>
      <c r="L1190" s="697" t="s">
        <v>14607</v>
      </c>
      <c r="M1190" s="697"/>
      <c r="N1190" s="697"/>
      <c r="O1190" s="697"/>
      <c r="P1190" s="696"/>
      <c r="Q1190" s="697" t="s">
        <v>14608</v>
      </c>
      <c r="R1190" s="698" t="s">
        <v>14633</v>
      </c>
      <c r="S1190" s="699"/>
      <c r="T1190" s="696"/>
      <c r="U1190" s="696"/>
      <c r="V1190" s="696" t="s">
        <v>12280</v>
      </c>
      <c r="W1190" s="694" t="s">
        <v>14616</v>
      </c>
      <c r="X1190" s="700" t="s">
        <v>15176</v>
      </c>
      <c r="Y1190" s="701" t="s">
        <v>6868</v>
      </c>
      <c r="Z1190" s="702"/>
      <c r="AA1190" s="702"/>
      <c r="AB1190" s="703">
        <f t="shared" ca="1" si="20"/>
        <v>0.93374916814904985</v>
      </c>
      <c r="AC1190" s="855"/>
      <c r="AD1190" s="892" t="s">
        <v>14787</v>
      </c>
      <c r="AE1190" s="960"/>
      <c r="AF1190" s="932">
        <f>IF(X1190=X1189,AF1189,0)+IF(ISNUMBER(I1190),IF(I1190&lt;1,I1190,I1190*VLOOKUP(J1190,Summary!$H$2:$I$9,2)),VLOOKUP(J1190,Summary!$J$2:$K$9,2)*IF(ISNUMBER(H1190),H1190,1))</f>
        <v>0.50347222222222221</v>
      </c>
      <c r="AG1190" s="704">
        <v>1189</v>
      </c>
      <c r="AH1190" s="94"/>
      <c r="AI1190" s="94"/>
    </row>
    <row r="1191" spans="1:35" s="713" customFormat="1" ht="12" customHeight="1" x14ac:dyDescent="0.25">
      <c r="A1191" s="691" t="s">
        <v>12279</v>
      </c>
      <c r="B1191" s="692" t="s">
        <v>12279</v>
      </c>
      <c r="C1191" s="708">
        <v>1.05</v>
      </c>
      <c r="D1191" s="693" t="s">
        <v>14645</v>
      </c>
      <c r="E1191" s="694" t="s">
        <v>14625</v>
      </c>
      <c r="F1191" s="707" t="s">
        <v>14675</v>
      </c>
      <c r="G1191" s="695"/>
      <c r="H1191" s="695" t="s">
        <v>461</v>
      </c>
      <c r="I1191" s="695"/>
      <c r="J1191" s="911" t="s">
        <v>2755</v>
      </c>
      <c r="K1191" s="697" t="s">
        <v>14605</v>
      </c>
      <c r="L1191" s="697" t="s">
        <v>14607</v>
      </c>
      <c r="M1191" s="697"/>
      <c r="N1191" s="697"/>
      <c r="O1191" s="697"/>
      <c r="P1191" s="696"/>
      <c r="Q1191" s="697" t="s">
        <v>14608</v>
      </c>
      <c r="R1191" s="698" t="s">
        <v>14633</v>
      </c>
      <c r="S1191" s="699"/>
      <c r="T1191" s="696"/>
      <c r="U1191" s="696"/>
      <c r="V1191" s="696" t="s">
        <v>12280</v>
      </c>
      <c r="W1191" s="694" t="s">
        <v>14625</v>
      </c>
      <c r="X1191" s="700" t="s">
        <v>15176</v>
      </c>
      <c r="Y1191" s="701" t="s">
        <v>6868</v>
      </c>
      <c r="Z1191" s="702"/>
      <c r="AA1191" s="702"/>
      <c r="AB1191" s="703">
        <f t="shared" ca="1" si="20"/>
        <v>0.22151104861289661</v>
      </c>
      <c r="AC1191" s="855"/>
      <c r="AD1191" s="892" t="s">
        <v>14788</v>
      </c>
      <c r="AE1191" s="960"/>
      <c r="AF1191" s="932">
        <f>IF(X1191=X1190,AF1190,0)+IF(ISNUMBER(I1191),IF(I1191&lt;1,I1191,I1191*VLOOKUP(J1191,Summary!$H$2:$I$9,2)),VLOOKUP(J1191,Summary!$J$2:$K$9,2)*IF(ISNUMBER(H1191),H1191,1))</f>
        <v>0.52083333333333337</v>
      </c>
      <c r="AG1191" s="704">
        <v>1190</v>
      </c>
      <c r="AH1191" s="712"/>
      <c r="AI1191" s="712"/>
    </row>
    <row r="1192" spans="1:35" s="706" customFormat="1" ht="12" customHeight="1" x14ac:dyDescent="0.25">
      <c r="A1192" s="691" t="s">
        <v>12279</v>
      </c>
      <c r="B1192" s="692" t="s">
        <v>12279</v>
      </c>
      <c r="C1192" s="708">
        <v>1.1000000000000001</v>
      </c>
      <c r="D1192" s="709" t="s">
        <v>14650</v>
      </c>
      <c r="E1192" s="694" t="s">
        <v>14630</v>
      </c>
      <c r="F1192" s="707" t="s">
        <v>14680</v>
      </c>
      <c r="G1192" s="695"/>
      <c r="H1192" s="695" t="s">
        <v>461</v>
      </c>
      <c r="I1192" s="695"/>
      <c r="J1192" s="911" t="s">
        <v>2755</v>
      </c>
      <c r="K1192" s="697" t="s">
        <v>14605</v>
      </c>
      <c r="L1192" s="697" t="s">
        <v>14607</v>
      </c>
      <c r="M1192" s="697"/>
      <c r="N1192" s="697"/>
      <c r="O1192" s="697"/>
      <c r="P1192" s="696"/>
      <c r="Q1192" s="697" t="s">
        <v>14608</v>
      </c>
      <c r="R1192" s="698" t="s">
        <v>14633</v>
      </c>
      <c r="S1192" s="699"/>
      <c r="T1192" s="696"/>
      <c r="U1192" s="696"/>
      <c r="V1192" s="696" t="s">
        <v>12280</v>
      </c>
      <c r="W1192" s="694" t="s">
        <v>14630</v>
      </c>
      <c r="X1192" s="700" t="s">
        <v>15176</v>
      </c>
      <c r="Y1192" s="701" t="s">
        <v>6868</v>
      </c>
      <c r="Z1192" s="702"/>
      <c r="AA1192" s="702"/>
      <c r="AB1192" s="703">
        <f t="shared" ca="1" si="20"/>
        <v>0.60460981707260819</v>
      </c>
      <c r="AC1192" s="855"/>
      <c r="AD1192" s="892" t="s">
        <v>14789</v>
      </c>
      <c r="AE1192" s="960"/>
      <c r="AF1192" s="932">
        <f>IF(X1192=X1191,AF1191,0)+IF(ISNUMBER(I1192),IF(I1192&lt;1,I1192,I1192*VLOOKUP(J1192,Summary!$H$2:$I$9,2)),VLOOKUP(J1192,Summary!$J$2:$K$9,2)*IF(ISNUMBER(H1192),H1192,1))</f>
        <v>0.53819444444444453</v>
      </c>
      <c r="AG1192" s="704">
        <v>1191</v>
      </c>
      <c r="AH1192" s="705"/>
      <c r="AI1192" s="705"/>
    </row>
    <row r="1193" spans="1:35" s="706" customFormat="1" ht="12" customHeight="1" x14ac:dyDescent="0.25">
      <c r="A1193" s="715" t="s">
        <v>12279</v>
      </c>
      <c r="B1193" s="716" t="s">
        <v>12279</v>
      </c>
      <c r="C1193" s="717">
        <v>4</v>
      </c>
      <c r="D1193" s="486" t="s">
        <v>14695</v>
      </c>
      <c r="E1193" s="332" t="s">
        <v>14667</v>
      </c>
      <c r="F1193" s="718">
        <v>5358</v>
      </c>
      <c r="G1193" s="719">
        <v>5600</v>
      </c>
      <c r="H1193" s="214" t="s">
        <v>461</v>
      </c>
      <c r="I1193" s="214"/>
      <c r="J1193" s="906" t="s">
        <v>6868</v>
      </c>
      <c r="K1193" s="161" t="s">
        <v>14605</v>
      </c>
      <c r="L1193" s="161" t="s">
        <v>14769</v>
      </c>
      <c r="M1193" s="161"/>
      <c r="N1193" s="161"/>
      <c r="O1193" s="161"/>
      <c r="P1193" s="212"/>
      <c r="Q1193" s="161" t="s">
        <v>14608</v>
      </c>
      <c r="R1193" s="231" t="s">
        <v>14636</v>
      </c>
      <c r="S1193" s="365"/>
      <c r="T1193" s="212"/>
      <c r="U1193" s="212"/>
      <c r="V1193" s="212" t="s">
        <v>12280</v>
      </c>
      <c r="W1193" s="332" t="s">
        <v>14667</v>
      </c>
      <c r="X1193" s="664" t="s">
        <v>15176</v>
      </c>
      <c r="Y1193" s="370" t="s">
        <v>6868</v>
      </c>
      <c r="Z1193" s="371"/>
      <c r="AA1193" s="371"/>
      <c r="AB1193" s="39">
        <f t="shared" ca="1" si="20"/>
        <v>0.14709508324199161</v>
      </c>
      <c r="AC1193" s="828"/>
      <c r="AD1193" s="895" t="s">
        <v>14790</v>
      </c>
      <c r="AE1193" s="952"/>
      <c r="AF1193" s="927">
        <f>IF(X1193=X1192,AF1192,0)+IF(ISNUMBER(I1193),IF(I1193&lt;1,I1193,I1193*VLOOKUP(J1193,Summary!$H$2:$I$9,2)),VLOOKUP(J1193,Summary!$J$2:$K$9,2)*IF(ISNUMBER(H1193),H1193,1))</f>
        <v>0.66319444444444453</v>
      </c>
      <c r="AG1193" s="299">
        <v>1192</v>
      </c>
      <c r="AH1193" s="705"/>
      <c r="AI1193" s="705"/>
    </row>
    <row r="1194" spans="1:35" s="706" customFormat="1" ht="12" customHeight="1" x14ac:dyDescent="0.25">
      <c r="A1194" s="691" t="s">
        <v>12279</v>
      </c>
      <c r="B1194" s="692" t="s">
        <v>12279</v>
      </c>
      <c r="C1194" s="708">
        <v>1.01</v>
      </c>
      <c r="D1194" s="693" t="s">
        <v>14641</v>
      </c>
      <c r="E1194" s="694" t="s">
        <v>14621</v>
      </c>
      <c r="F1194" s="707" t="s">
        <v>14671</v>
      </c>
      <c r="G1194" s="695"/>
      <c r="H1194" s="695" t="s">
        <v>461</v>
      </c>
      <c r="I1194" s="695"/>
      <c r="J1194" s="911" t="s">
        <v>2755</v>
      </c>
      <c r="K1194" s="697" t="s">
        <v>14605</v>
      </c>
      <c r="L1194" s="697" t="s">
        <v>14607</v>
      </c>
      <c r="M1194" s="697"/>
      <c r="N1194" s="697"/>
      <c r="O1194" s="697"/>
      <c r="P1194" s="696"/>
      <c r="Q1194" s="697" t="s">
        <v>14608</v>
      </c>
      <c r="R1194" s="698" t="s">
        <v>14633</v>
      </c>
      <c r="S1194" s="699"/>
      <c r="T1194" s="696"/>
      <c r="U1194" s="696"/>
      <c r="V1194" s="696" t="s">
        <v>12280</v>
      </c>
      <c r="W1194" s="694" t="s">
        <v>14621</v>
      </c>
      <c r="X1194" s="700" t="s">
        <v>15176</v>
      </c>
      <c r="Y1194" s="701" t="s">
        <v>6868</v>
      </c>
      <c r="Z1194" s="702"/>
      <c r="AA1194" s="702"/>
      <c r="AB1194" s="703">
        <f t="shared" ca="1" si="20"/>
        <v>0.10404677259836226</v>
      </c>
      <c r="AC1194" s="855"/>
      <c r="AD1194" s="892" t="s">
        <v>14778</v>
      </c>
      <c r="AE1194" s="960"/>
      <c r="AF1194" s="932">
        <f>IF(X1194=X1193,AF1193,0)+IF(ISNUMBER(I1194),IF(I1194&lt;1,I1194,I1194*VLOOKUP(J1194,Summary!$H$2:$I$9,2)),VLOOKUP(J1194,Summary!$J$2:$K$9,2)*IF(ISNUMBER(H1194),H1194,1))</f>
        <v>0.68055555555555569</v>
      </c>
      <c r="AG1194" s="704">
        <v>1193</v>
      </c>
      <c r="AH1194" s="705"/>
      <c r="AI1194" s="705"/>
    </row>
    <row r="1195" spans="1:35" s="706" customFormat="1" ht="12" customHeight="1" x14ac:dyDescent="0.25">
      <c r="A1195" s="691" t="s">
        <v>12279</v>
      </c>
      <c r="B1195" s="692" t="s">
        <v>12279</v>
      </c>
      <c r="C1195" s="708">
        <v>1.03</v>
      </c>
      <c r="D1195" s="693" t="s">
        <v>14643</v>
      </c>
      <c r="E1195" s="694" t="s">
        <v>14623</v>
      </c>
      <c r="F1195" s="707" t="s">
        <v>14673</v>
      </c>
      <c r="G1195" s="695"/>
      <c r="H1195" s="695" t="s">
        <v>461</v>
      </c>
      <c r="I1195" s="695"/>
      <c r="J1195" s="911" t="s">
        <v>2755</v>
      </c>
      <c r="K1195" s="697" t="s">
        <v>14605</v>
      </c>
      <c r="L1195" s="697" t="s">
        <v>14607</v>
      </c>
      <c r="M1195" s="697"/>
      <c r="N1195" s="697"/>
      <c r="O1195" s="697"/>
      <c r="P1195" s="696"/>
      <c r="Q1195" s="697" t="s">
        <v>14608</v>
      </c>
      <c r="R1195" s="698" t="s">
        <v>14633</v>
      </c>
      <c r="S1195" s="699"/>
      <c r="T1195" s="696"/>
      <c r="U1195" s="696"/>
      <c r="V1195" s="696" t="s">
        <v>12280</v>
      </c>
      <c r="W1195" s="694" t="s">
        <v>14623</v>
      </c>
      <c r="X1195" s="700" t="s">
        <v>15176</v>
      </c>
      <c r="Y1195" s="701" t="s">
        <v>6868</v>
      </c>
      <c r="Z1195" s="702"/>
      <c r="AA1195" s="702"/>
      <c r="AB1195" s="703">
        <f t="shared" ca="1" si="20"/>
        <v>0.59504356326412911</v>
      </c>
      <c r="AC1195" s="855"/>
      <c r="AD1195" s="892" t="s">
        <v>14779</v>
      </c>
      <c r="AE1195" s="960"/>
      <c r="AF1195" s="932">
        <f>IF(X1195=X1194,AF1194,0)+IF(ISNUMBER(I1195),IF(I1195&lt;1,I1195,I1195*VLOOKUP(J1195,Summary!$H$2:$I$9,2)),VLOOKUP(J1195,Summary!$J$2:$K$9,2)*IF(ISNUMBER(H1195),H1195,1))</f>
        <v>0.69791666666666685</v>
      </c>
      <c r="AG1195" s="704">
        <v>1194</v>
      </c>
      <c r="AH1195" s="705"/>
      <c r="AI1195" s="705"/>
    </row>
    <row r="1196" spans="1:35" s="706" customFormat="1" ht="12" customHeight="1" x14ac:dyDescent="0.25">
      <c r="A1196" s="691" t="s">
        <v>12279</v>
      </c>
      <c r="B1196" s="692" t="s">
        <v>12279</v>
      </c>
      <c r="C1196" s="708">
        <v>2.0999999999999979</v>
      </c>
      <c r="D1196" s="709" t="s">
        <v>14662</v>
      </c>
      <c r="E1196" s="694" t="s">
        <v>14618</v>
      </c>
      <c r="F1196" s="707" t="s">
        <v>14692</v>
      </c>
      <c r="G1196" s="695"/>
      <c r="H1196" s="695" t="s">
        <v>461</v>
      </c>
      <c r="I1196" s="695"/>
      <c r="J1196" s="911" t="s">
        <v>2755</v>
      </c>
      <c r="K1196" s="697" t="s">
        <v>14605</v>
      </c>
      <c r="L1196" s="697" t="s">
        <v>14607</v>
      </c>
      <c r="M1196" s="697"/>
      <c r="N1196" s="697"/>
      <c r="O1196" s="697"/>
      <c r="P1196" s="696"/>
      <c r="Q1196" s="697" t="s">
        <v>14608</v>
      </c>
      <c r="R1196" s="698" t="s">
        <v>14633</v>
      </c>
      <c r="S1196" s="699"/>
      <c r="T1196" s="696"/>
      <c r="U1196" s="696"/>
      <c r="V1196" s="696" t="s">
        <v>12280</v>
      </c>
      <c r="W1196" s="694" t="s">
        <v>14618</v>
      </c>
      <c r="X1196" s="700" t="s">
        <v>15176</v>
      </c>
      <c r="Y1196" s="701" t="s">
        <v>6868</v>
      </c>
      <c r="Z1196" s="702"/>
      <c r="AA1196" s="702"/>
      <c r="AB1196" s="703">
        <f t="shared" ca="1" si="20"/>
        <v>0.50091868878090895</v>
      </c>
      <c r="AC1196" s="855"/>
      <c r="AD1196" s="892" t="s">
        <v>14791</v>
      </c>
      <c r="AE1196" s="960"/>
      <c r="AF1196" s="932">
        <f>IF(X1196=X1195,AF1195,0)+IF(ISNUMBER(I1196),IF(I1196&lt;1,I1196,I1196*VLOOKUP(J1196,Summary!$H$2:$I$9,2)),VLOOKUP(J1196,Summary!$J$2:$K$9,2)*IF(ISNUMBER(H1196),H1196,1))</f>
        <v>0.71527777777777801</v>
      </c>
      <c r="AG1196" s="704">
        <v>1195</v>
      </c>
      <c r="AH1196" s="705"/>
      <c r="AI1196" s="705"/>
    </row>
    <row r="1197" spans="1:35" s="706" customFormat="1" ht="12" customHeight="1" x14ac:dyDescent="0.25">
      <c r="A1197" s="715" t="s">
        <v>12279</v>
      </c>
      <c r="B1197" s="716" t="s">
        <v>12279</v>
      </c>
      <c r="C1197" s="717">
        <v>2</v>
      </c>
      <c r="D1197" s="486" t="s">
        <v>14640</v>
      </c>
      <c r="E1197" s="332" t="s">
        <v>14637</v>
      </c>
      <c r="F1197" s="714" t="s">
        <v>14670</v>
      </c>
      <c r="G1197" s="214"/>
      <c r="H1197" s="214" t="s">
        <v>461</v>
      </c>
      <c r="I1197" s="214"/>
      <c r="J1197" s="906" t="s">
        <v>6868</v>
      </c>
      <c r="K1197" s="161" t="s">
        <v>14605</v>
      </c>
      <c r="L1197" s="161" t="s">
        <v>3365</v>
      </c>
      <c r="M1197" s="161"/>
      <c r="N1197" s="161"/>
      <c r="O1197" s="161"/>
      <c r="P1197" s="212"/>
      <c r="Q1197" s="161" t="s">
        <v>14638</v>
      </c>
      <c r="R1197" s="231" t="s">
        <v>14636</v>
      </c>
      <c r="S1197" s="365"/>
      <c r="T1197" s="212"/>
      <c r="U1197" s="212"/>
      <c r="V1197" s="212" t="s">
        <v>12280</v>
      </c>
      <c r="W1197" s="332" t="s">
        <v>14637</v>
      </c>
      <c r="X1197" s="664" t="s">
        <v>15176</v>
      </c>
      <c r="Y1197" s="370" t="s">
        <v>6868</v>
      </c>
      <c r="Z1197" s="371"/>
      <c r="AA1197" s="371"/>
      <c r="AB1197" s="39">
        <f t="shared" ca="1" si="20"/>
        <v>0.23608493711282785</v>
      </c>
      <c r="AC1197" s="828"/>
      <c r="AD1197" s="895" t="s">
        <v>14777</v>
      </c>
      <c r="AE1197" s="952"/>
      <c r="AF1197" s="927">
        <f>IF(X1197=X1196,AF1196,0)+IF(ISNUMBER(I1197),IF(I1197&lt;1,I1197,I1197*VLOOKUP(J1197,Summary!$H$2:$I$9,2)),VLOOKUP(J1197,Summary!$J$2:$K$9,2)*IF(ISNUMBER(H1197),H1197,1))</f>
        <v>0.84027777777777801</v>
      </c>
      <c r="AG1197" s="299">
        <v>1196</v>
      </c>
      <c r="AH1197" s="705"/>
      <c r="AI1197" s="705"/>
    </row>
    <row r="1198" spans="1:35" s="706" customFormat="1" ht="12" customHeight="1" x14ac:dyDescent="0.25">
      <c r="A1198" s="405" t="s">
        <v>12181</v>
      </c>
      <c r="B1198" s="406" t="s">
        <v>12181</v>
      </c>
      <c r="C1198" s="565">
        <v>5.01</v>
      </c>
      <c r="D1198" s="407" t="s">
        <v>12189</v>
      </c>
      <c r="E1198" s="315" t="s">
        <v>12190</v>
      </c>
      <c r="F1198" s="169">
        <v>42644</v>
      </c>
      <c r="G1198" s="170"/>
      <c r="H1198" s="170">
        <v>1</v>
      </c>
      <c r="I1198" s="747">
        <f>TIME(0,60,0)</f>
        <v>4.1666666666666664E-2</v>
      </c>
      <c r="J1198" s="899" t="s">
        <v>4706</v>
      </c>
      <c r="K1198" s="167" t="s">
        <v>12191</v>
      </c>
      <c r="L1198" s="167" t="s">
        <v>179</v>
      </c>
      <c r="M1198" s="167"/>
      <c r="N1198" s="167"/>
      <c r="O1198" s="167" t="s">
        <v>179</v>
      </c>
      <c r="P1198" s="168" t="s">
        <v>12281</v>
      </c>
      <c r="Q1198" s="167" t="s">
        <v>3947</v>
      </c>
      <c r="R1198" s="172" t="s">
        <v>12184</v>
      </c>
      <c r="S1198" s="388"/>
      <c r="T1198" s="168"/>
      <c r="U1198" s="168" t="s">
        <v>12185</v>
      </c>
      <c r="V1198" s="168"/>
      <c r="W1198" s="315" t="s">
        <v>12190</v>
      </c>
      <c r="X1198" s="647" t="s">
        <v>15176</v>
      </c>
      <c r="Y1198" s="352"/>
      <c r="Z1198" s="353"/>
      <c r="AA1198" s="353"/>
      <c r="AB1198" s="31">
        <f t="shared" ca="1" si="20"/>
        <v>9.8381897903145443E-2</v>
      </c>
      <c r="AC1198" s="810"/>
      <c r="AD1198" s="846">
        <v>1888</v>
      </c>
      <c r="AE1198" s="940"/>
      <c r="AF1198" s="920">
        <f>IF(X1198=X1197,AF1197,0)+IF(ISNUMBER(I1198),IF(I1198&lt;1,I1198,I1198*VLOOKUP(J1198,Summary!$H$2:$I$9,2)),VLOOKUP(J1198,Summary!$J$2:$K$9,2)*IF(ISNUMBER(H1198),H1198,1))</f>
        <v>0.88194444444444464</v>
      </c>
      <c r="AG1198" s="287">
        <v>1197</v>
      </c>
      <c r="AH1198" s="705"/>
      <c r="AI1198" s="705"/>
    </row>
    <row r="1199" spans="1:35" s="706" customFormat="1" ht="12" customHeight="1" x14ac:dyDescent="0.25">
      <c r="A1199" s="405" t="s">
        <v>12279</v>
      </c>
      <c r="B1199" s="406" t="s">
        <v>12279</v>
      </c>
      <c r="C1199" s="565">
        <v>2.04</v>
      </c>
      <c r="D1199" s="407"/>
      <c r="E1199" s="315" t="s">
        <v>14848</v>
      </c>
      <c r="F1199" s="169">
        <v>40909</v>
      </c>
      <c r="G1199" s="170"/>
      <c r="H1199" s="170">
        <v>2</v>
      </c>
      <c r="I1199" s="747">
        <f>TIME(2,0,0)</f>
        <v>8.3333333333333329E-2</v>
      </c>
      <c r="J1199" s="899" t="s">
        <v>4706</v>
      </c>
      <c r="K1199" s="167" t="s">
        <v>14849</v>
      </c>
      <c r="L1199" s="167" t="s">
        <v>3426</v>
      </c>
      <c r="M1199" s="167"/>
      <c r="N1199" s="167"/>
      <c r="O1199" s="167"/>
      <c r="P1199" s="168" t="s">
        <v>14850</v>
      </c>
      <c r="Q1199" s="167" t="s">
        <v>3947</v>
      </c>
      <c r="R1199" s="172" t="s">
        <v>14834</v>
      </c>
      <c r="S1199" s="388"/>
      <c r="T1199" s="168"/>
      <c r="U1199" s="168" t="s">
        <v>12185</v>
      </c>
      <c r="V1199" s="168"/>
      <c r="W1199" s="315"/>
      <c r="X1199" s="647" t="s">
        <v>15176</v>
      </c>
      <c r="Y1199" s="352" t="s">
        <v>5643</v>
      </c>
      <c r="Z1199" s="353">
        <v>9999</v>
      </c>
      <c r="AA1199" s="353"/>
      <c r="AB1199" s="31">
        <f t="shared" ca="1" si="20"/>
        <v>0.74840649329499642</v>
      </c>
      <c r="AC1199" s="810"/>
      <c r="AD1199" s="849" t="s">
        <v>14868</v>
      </c>
      <c r="AE1199" s="940"/>
      <c r="AF1199" s="920">
        <f>IF(X1199=X1198,AF1198,0)+IF(ISNUMBER(I1199),IF(I1199&lt;1,I1199,I1199*VLOOKUP(J1199,Summary!$H$2:$I$9,2)),VLOOKUP(J1199,Summary!$J$2:$K$9,2)*IF(ISNUMBER(H1199),H1199,1))</f>
        <v>0.96527777777777801</v>
      </c>
      <c r="AG1199" s="287">
        <v>1198</v>
      </c>
      <c r="AH1199" s="705"/>
      <c r="AI1199" s="705"/>
    </row>
    <row r="1200" spans="1:35" s="706" customFormat="1" ht="12" customHeight="1" x14ac:dyDescent="0.25">
      <c r="A1200" s="691" t="s">
        <v>12279</v>
      </c>
      <c r="B1200" s="692" t="s">
        <v>12279</v>
      </c>
      <c r="C1200" s="708">
        <v>2.0099999999999998</v>
      </c>
      <c r="D1200" s="693" t="s">
        <v>14653</v>
      </c>
      <c r="E1200" s="694" t="s">
        <v>14609</v>
      </c>
      <c r="F1200" s="707" t="s">
        <v>14683</v>
      </c>
      <c r="G1200" s="695"/>
      <c r="H1200" s="695" t="s">
        <v>461</v>
      </c>
      <c r="I1200" s="695"/>
      <c r="J1200" s="911" t="s">
        <v>2755</v>
      </c>
      <c r="K1200" s="697" t="s">
        <v>14605</v>
      </c>
      <c r="L1200" s="697" t="s">
        <v>14607</v>
      </c>
      <c r="M1200" s="697"/>
      <c r="N1200" s="697"/>
      <c r="O1200" s="697"/>
      <c r="P1200" s="696"/>
      <c r="Q1200" s="697" t="s">
        <v>14608</v>
      </c>
      <c r="R1200" s="698" t="s">
        <v>14633</v>
      </c>
      <c r="S1200" s="699"/>
      <c r="T1200" s="696"/>
      <c r="U1200" s="696"/>
      <c r="V1200" s="696" t="s">
        <v>12280</v>
      </c>
      <c r="W1200" s="694" t="s">
        <v>14609</v>
      </c>
      <c r="X1200" s="700" t="s">
        <v>15176</v>
      </c>
      <c r="Y1200" s="701" t="s">
        <v>6868</v>
      </c>
      <c r="Z1200" s="702"/>
      <c r="AA1200" s="702"/>
      <c r="AB1200" s="703">
        <f t="shared" ca="1" si="20"/>
        <v>0.42531153798072951</v>
      </c>
      <c r="AC1200" s="855"/>
      <c r="AD1200" s="892" t="s">
        <v>14792</v>
      </c>
      <c r="AE1200" s="960"/>
      <c r="AF1200" s="932">
        <f>IF(X1200=X1199,AF1199,0)+IF(ISNUMBER(I1200),IF(I1200&lt;1,I1200,I1200*VLOOKUP(J1200,Summary!$H$2:$I$9,2)),VLOOKUP(J1200,Summary!$J$2:$K$9,2)*IF(ISNUMBER(H1200),H1200,1))</f>
        <v>0.98263888888888917</v>
      </c>
      <c r="AG1200" s="704">
        <v>1199</v>
      </c>
      <c r="AH1200" s="705"/>
      <c r="AI1200" s="705"/>
    </row>
    <row r="1201" spans="1:35" s="706" customFormat="1" ht="12" customHeight="1" x14ac:dyDescent="0.25">
      <c r="A1201" s="405" t="s">
        <v>12279</v>
      </c>
      <c r="B1201" s="406" t="s">
        <v>12279</v>
      </c>
      <c r="C1201" s="565">
        <v>1.03</v>
      </c>
      <c r="D1201" s="407"/>
      <c r="E1201" s="315" t="s">
        <v>14840</v>
      </c>
      <c r="F1201" s="169">
        <v>40269</v>
      </c>
      <c r="G1201" s="170"/>
      <c r="H1201" s="170">
        <v>2</v>
      </c>
      <c r="I1201" s="747">
        <f>TIME(2,0,0)</f>
        <v>8.3333333333333329E-2</v>
      </c>
      <c r="J1201" s="899" t="s">
        <v>4706</v>
      </c>
      <c r="K1201" s="167" t="s">
        <v>14841</v>
      </c>
      <c r="L1201" s="167" t="s">
        <v>4549</v>
      </c>
      <c r="M1201" s="167"/>
      <c r="N1201" s="167"/>
      <c r="O1201" s="167"/>
      <c r="P1201" s="168" t="s">
        <v>14842</v>
      </c>
      <c r="Q1201" s="167" t="s">
        <v>3947</v>
      </c>
      <c r="R1201" s="172" t="s">
        <v>14834</v>
      </c>
      <c r="S1201" s="388"/>
      <c r="T1201" s="168"/>
      <c r="U1201" s="168" t="s">
        <v>12185</v>
      </c>
      <c r="V1201" s="168"/>
      <c r="W1201" s="315"/>
      <c r="X1201" s="647" t="s">
        <v>15176</v>
      </c>
      <c r="Y1201" s="352"/>
      <c r="Z1201" s="353"/>
      <c r="AA1201" s="353"/>
      <c r="AB1201" s="31">
        <f t="shared" ca="1" si="20"/>
        <v>0.89809578293500125</v>
      </c>
      <c r="AC1201" s="810"/>
      <c r="AD1201" s="849">
        <v>1888</v>
      </c>
      <c r="AE1201" s="940"/>
      <c r="AF1201" s="920">
        <f>IF(X1201=X1200,AF1200,0)+IF(ISNUMBER(I1201),IF(I1201&lt;1,I1201,I1201*VLOOKUP(J1201,Summary!$H$2:$I$9,2)),VLOOKUP(J1201,Summary!$J$2:$K$9,2)*IF(ISNUMBER(H1201),H1201,1))</f>
        <v>1.0659722222222225</v>
      </c>
      <c r="AG1201" s="287">
        <v>1200</v>
      </c>
      <c r="AH1201" s="705"/>
      <c r="AI1201" s="705"/>
    </row>
    <row r="1202" spans="1:35" s="690" customFormat="1" ht="12" customHeight="1" x14ac:dyDescent="0.25">
      <c r="A1202" s="691" t="s">
        <v>12279</v>
      </c>
      <c r="B1202" s="692" t="s">
        <v>12279</v>
      </c>
      <c r="C1202" s="708">
        <v>2.0399999999999991</v>
      </c>
      <c r="D1202" s="693" t="s">
        <v>14656</v>
      </c>
      <c r="E1202" s="694" t="s">
        <v>14612</v>
      </c>
      <c r="F1202" s="707" t="s">
        <v>14686</v>
      </c>
      <c r="G1202" s="695"/>
      <c r="H1202" s="695" t="s">
        <v>461</v>
      </c>
      <c r="I1202" s="695"/>
      <c r="J1202" s="911" t="s">
        <v>2755</v>
      </c>
      <c r="K1202" s="697" t="s">
        <v>14605</v>
      </c>
      <c r="L1202" s="697" t="s">
        <v>14607</v>
      </c>
      <c r="M1202" s="697"/>
      <c r="N1202" s="697"/>
      <c r="O1202" s="697"/>
      <c r="P1202" s="696"/>
      <c r="Q1202" s="697" t="s">
        <v>14608</v>
      </c>
      <c r="R1202" s="698" t="s">
        <v>14633</v>
      </c>
      <c r="S1202" s="699"/>
      <c r="T1202" s="696"/>
      <c r="U1202" s="696"/>
      <c r="V1202" s="696" t="s">
        <v>12280</v>
      </c>
      <c r="W1202" s="694" t="s">
        <v>14612</v>
      </c>
      <c r="X1202" s="700" t="s">
        <v>15176</v>
      </c>
      <c r="Y1202" s="701" t="s">
        <v>6868</v>
      </c>
      <c r="Z1202" s="702"/>
      <c r="AA1202" s="702"/>
      <c r="AB1202" s="703">
        <f t="shared" ca="1" si="20"/>
        <v>0.45915197876168634</v>
      </c>
      <c r="AC1202" s="855"/>
      <c r="AD1202" s="892" t="s">
        <v>14793</v>
      </c>
      <c r="AE1202" s="960"/>
      <c r="AF1202" s="932">
        <f>IF(X1202=X1201,AF1201,0)+IF(ISNUMBER(I1202),IF(I1202&lt;1,I1202,I1202*VLOOKUP(J1202,Summary!$H$2:$I$9,2)),VLOOKUP(J1202,Summary!$J$2:$K$9,2)*IF(ISNUMBER(H1202),H1202,1))</f>
        <v>1.0833333333333337</v>
      </c>
      <c r="AG1202" s="704">
        <v>1201</v>
      </c>
      <c r="AH1202" s="689"/>
      <c r="AI1202" s="689"/>
    </row>
    <row r="1203" spans="1:35" s="706" customFormat="1" ht="12" customHeight="1" x14ac:dyDescent="0.25">
      <c r="A1203" s="691" t="s">
        <v>12279</v>
      </c>
      <c r="B1203" s="692" t="s">
        <v>12279</v>
      </c>
      <c r="C1203" s="708">
        <v>1.04</v>
      </c>
      <c r="D1203" s="693" t="s">
        <v>14644</v>
      </c>
      <c r="E1203" s="694" t="s">
        <v>14624</v>
      </c>
      <c r="F1203" s="707" t="s">
        <v>14674</v>
      </c>
      <c r="G1203" s="695"/>
      <c r="H1203" s="695" t="s">
        <v>461</v>
      </c>
      <c r="I1203" s="695"/>
      <c r="J1203" s="911" t="s">
        <v>2755</v>
      </c>
      <c r="K1203" s="697" t="s">
        <v>14605</v>
      </c>
      <c r="L1203" s="697" t="s">
        <v>14607</v>
      </c>
      <c r="M1203" s="697"/>
      <c r="N1203" s="697"/>
      <c r="O1203" s="697"/>
      <c r="P1203" s="696"/>
      <c r="Q1203" s="697" t="s">
        <v>14608</v>
      </c>
      <c r="R1203" s="698" t="s">
        <v>14633</v>
      </c>
      <c r="S1203" s="699"/>
      <c r="T1203" s="696"/>
      <c r="U1203" s="696"/>
      <c r="V1203" s="696" t="s">
        <v>12280</v>
      </c>
      <c r="W1203" s="694" t="s">
        <v>14624</v>
      </c>
      <c r="X1203" s="700" t="s">
        <v>15176</v>
      </c>
      <c r="Y1203" s="701" t="s">
        <v>6868</v>
      </c>
      <c r="Z1203" s="702"/>
      <c r="AA1203" s="702"/>
      <c r="AB1203" s="703">
        <f t="shared" ca="1" si="20"/>
        <v>9.8524448913384854E-2</v>
      </c>
      <c r="AC1203" s="855"/>
      <c r="AD1203" s="892" t="s">
        <v>14794</v>
      </c>
      <c r="AE1203" s="960"/>
      <c r="AF1203" s="932">
        <f>IF(X1203=X1202,AF1202,0)+IF(ISNUMBER(I1203),IF(I1203&lt;1,I1203,I1203*VLOOKUP(J1203,Summary!$H$2:$I$9,2)),VLOOKUP(J1203,Summary!$J$2:$K$9,2)*IF(ISNUMBER(H1203),H1203,1))</f>
        <v>1.1006944444444449</v>
      </c>
      <c r="AG1203" s="704">
        <v>1202</v>
      </c>
      <c r="AH1203" s="705"/>
      <c r="AI1203" s="705"/>
    </row>
    <row r="1204" spans="1:35" s="706" customFormat="1" ht="12" customHeight="1" x14ac:dyDescent="0.25">
      <c r="A1204" s="691" t="s">
        <v>12279</v>
      </c>
      <c r="B1204" s="692" t="s">
        <v>12279</v>
      </c>
      <c r="C1204" s="708">
        <v>1.06</v>
      </c>
      <c r="D1204" s="693" t="s">
        <v>14646</v>
      </c>
      <c r="E1204" s="694" t="s">
        <v>14626</v>
      </c>
      <c r="F1204" s="707" t="s">
        <v>14676</v>
      </c>
      <c r="G1204" s="695"/>
      <c r="H1204" s="695" t="s">
        <v>461</v>
      </c>
      <c r="I1204" s="695"/>
      <c r="J1204" s="911" t="s">
        <v>2755</v>
      </c>
      <c r="K1204" s="697" t="s">
        <v>14605</v>
      </c>
      <c r="L1204" s="697" t="s">
        <v>14607</v>
      </c>
      <c r="M1204" s="697"/>
      <c r="N1204" s="697"/>
      <c r="O1204" s="697"/>
      <c r="P1204" s="696"/>
      <c r="Q1204" s="697" t="s">
        <v>14608</v>
      </c>
      <c r="R1204" s="698" t="s">
        <v>14633</v>
      </c>
      <c r="S1204" s="699"/>
      <c r="T1204" s="696"/>
      <c r="U1204" s="696"/>
      <c r="V1204" s="696" t="s">
        <v>12280</v>
      </c>
      <c r="W1204" s="694" t="s">
        <v>14626</v>
      </c>
      <c r="X1204" s="700" t="s">
        <v>15176</v>
      </c>
      <c r="Y1204" s="701" t="s">
        <v>6868</v>
      </c>
      <c r="Z1204" s="702"/>
      <c r="AA1204" s="702"/>
      <c r="AB1204" s="703">
        <f t="shared" ca="1" si="20"/>
        <v>0.5616438713466404</v>
      </c>
      <c r="AC1204" s="855"/>
      <c r="AD1204" s="892" t="s">
        <v>14795</v>
      </c>
      <c r="AE1204" s="960"/>
      <c r="AF1204" s="932">
        <f>IF(X1204=X1203,AF1203,0)+IF(ISNUMBER(I1204),IF(I1204&lt;1,I1204,I1204*VLOOKUP(J1204,Summary!$H$2:$I$9,2)),VLOOKUP(J1204,Summary!$J$2:$K$9,2)*IF(ISNUMBER(H1204),H1204,1))</f>
        <v>1.118055555555556</v>
      </c>
      <c r="AG1204" s="704">
        <v>1203</v>
      </c>
      <c r="AH1204" s="705"/>
      <c r="AI1204" s="705"/>
    </row>
    <row r="1205" spans="1:35" s="706" customFormat="1" ht="12" customHeight="1" x14ac:dyDescent="0.25">
      <c r="A1205" s="691" t="s">
        <v>12279</v>
      </c>
      <c r="B1205" s="692" t="s">
        <v>12279</v>
      </c>
      <c r="C1205" s="708">
        <v>1.0900000000000001</v>
      </c>
      <c r="D1205" s="693" t="s">
        <v>14649</v>
      </c>
      <c r="E1205" s="694" t="s">
        <v>14629</v>
      </c>
      <c r="F1205" s="707" t="s">
        <v>14679</v>
      </c>
      <c r="G1205" s="695"/>
      <c r="H1205" s="695" t="s">
        <v>461</v>
      </c>
      <c r="I1205" s="695"/>
      <c r="J1205" s="911" t="s">
        <v>2755</v>
      </c>
      <c r="K1205" s="697" t="s">
        <v>14605</v>
      </c>
      <c r="L1205" s="697" t="s">
        <v>14607</v>
      </c>
      <c r="M1205" s="697"/>
      <c r="N1205" s="697"/>
      <c r="O1205" s="697"/>
      <c r="P1205" s="696"/>
      <c r="Q1205" s="697" t="s">
        <v>14608</v>
      </c>
      <c r="R1205" s="698" t="s">
        <v>14633</v>
      </c>
      <c r="S1205" s="699"/>
      <c r="T1205" s="696"/>
      <c r="U1205" s="696"/>
      <c r="V1205" s="696" t="s">
        <v>12280</v>
      </c>
      <c r="W1205" s="694" t="s">
        <v>14629</v>
      </c>
      <c r="X1205" s="700" t="s">
        <v>15176</v>
      </c>
      <c r="Y1205" s="701" t="s">
        <v>6868</v>
      </c>
      <c r="Z1205" s="702"/>
      <c r="AA1205" s="702"/>
      <c r="AB1205" s="703">
        <f t="shared" ca="1" si="20"/>
        <v>0.37409924158954211</v>
      </c>
      <c r="AC1205" s="855"/>
      <c r="AD1205" s="892" t="s">
        <v>14796</v>
      </c>
      <c r="AE1205" s="960"/>
      <c r="AF1205" s="932">
        <f>IF(X1205=X1204,AF1204,0)+IF(ISNUMBER(I1205),IF(I1205&lt;1,I1205,I1205*VLOOKUP(J1205,Summary!$H$2:$I$9,2)),VLOOKUP(J1205,Summary!$J$2:$K$9,2)*IF(ISNUMBER(H1205),H1205,1))</f>
        <v>1.1354166666666672</v>
      </c>
      <c r="AG1205" s="704">
        <v>1204</v>
      </c>
      <c r="AH1205" s="705"/>
      <c r="AI1205" s="705"/>
    </row>
    <row r="1206" spans="1:35" s="706" customFormat="1" ht="12" customHeight="1" x14ac:dyDescent="0.25">
      <c r="A1206" s="578" t="s">
        <v>12279</v>
      </c>
      <c r="B1206" s="579" t="s">
        <v>12279</v>
      </c>
      <c r="C1206" s="710">
        <v>2.0199999999999996</v>
      </c>
      <c r="D1206" s="580" t="s">
        <v>14654</v>
      </c>
      <c r="E1206" s="341" t="s">
        <v>14610</v>
      </c>
      <c r="F1206" s="711" t="s">
        <v>14684</v>
      </c>
      <c r="G1206" s="258"/>
      <c r="H1206" s="258" t="s">
        <v>461</v>
      </c>
      <c r="I1206" s="258"/>
      <c r="J1206" s="912" t="s">
        <v>2755</v>
      </c>
      <c r="K1206" s="259" t="s">
        <v>14605</v>
      </c>
      <c r="L1206" s="259" t="s">
        <v>14607</v>
      </c>
      <c r="M1206" s="259"/>
      <c r="N1206" s="259"/>
      <c r="O1206" s="259"/>
      <c r="P1206" s="255"/>
      <c r="Q1206" s="259" t="s">
        <v>14608</v>
      </c>
      <c r="R1206" s="260" t="s">
        <v>14633</v>
      </c>
      <c r="S1206" s="401"/>
      <c r="T1206" s="255"/>
      <c r="U1206" s="255"/>
      <c r="V1206" s="255" t="s">
        <v>12280</v>
      </c>
      <c r="W1206" s="341" t="s">
        <v>14610</v>
      </c>
      <c r="X1206" s="676" t="s">
        <v>15176</v>
      </c>
      <c r="Y1206" s="381" t="s">
        <v>6868</v>
      </c>
      <c r="Z1206" s="382"/>
      <c r="AA1206" s="382"/>
      <c r="AB1206" s="145">
        <f t="shared" ca="1" si="20"/>
        <v>0.6540507550152389</v>
      </c>
      <c r="AC1206" s="840"/>
      <c r="AD1206" s="891" t="s">
        <v>14797</v>
      </c>
      <c r="AE1206" s="961"/>
      <c r="AF1206" s="933">
        <f>IF(X1206=X1205,AF1205,0)+IF(ISNUMBER(I1206),IF(I1206&lt;1,I1206,I1206*VLOOKUP(J1206,Summary!$H$2:$I$9,2)),VLOOKUP(J1206,Summary!$J$2:$K$9,2)*IF(ISNUMBER(H1206),H1206,1))</f>
        <v>1.1527777777777783</v>
      </c>
      <c r="AG1206" s="305">
        <v>1205</v>
      </c>
      <c r="AH1206" s="705"/>
      <c r="AI1206" s="705"/>
    </row>
    <row r="1207" spans="1:35" s="706" customFormat="1" ht="12" customHeight="1" x14ac:dyDescent="0.25">
      <c r="A1207" s="715" t="s">
        <v>12279</v>
      </c>
      <c r="B1207" s="716" t="s">
        <v>12279</v>
      </c>
      <c r="C1207" s="717">
        <v>3</v>
      </c>
      <c r="D1207" s="486" t="s">
        <v>14665</v>
      </c>
      <c r="E1207" s="332" t="s">
        <v>14666</v>
      </c>
      <c r="F1207" s="718">
        <v>579</v>
      </c>
      <c r="G1207" s="719">
        <v>822</v>
      </c>
      <c r="H1207" s="214" t="s">
        <v>461</v>
      </c>
      <c r="I1207" s="214"/>
      <c r="J1207" s="906" t="s">
        <v>6868</v>
      </c>
      <c r="K1207" s="161" t="s">
        <v>14605</v>
      </c>
      <c r="L1207" s="161" t="s">
        <v>14607</v>
      </c>
      <c r="M1207" s="161"/>
      <c r="N1207" s="161"/>
      <c r="O1207" s="161"/>
      <c r="P1207" s="212" t="s">
        <v>14846</v>
      </c>
      <c r="Q1207" s="161" t="s">
        <v>14608</v>
      </c>
      <c r="R1207" s="231" t="s">
        <v>14636</v>
      </c>
      <c r="S1207" s="365"/>
      <c r="T1207" s="212"/>
      <c r="U1207" s="212"/>
      <c r="V1207" s="212" t="s">
        <v>12280</v>
      </c>
      <c r="W1207" s="332" t="s">
        <v>14666</v>
      </c>
      <c r="X1207" s="664" t="s">
        <v>15176</v>
      </c>
      <c r="Y1207" s="370" t="s">
        <v>6868</v>
      </c>
      <c r="Z1207" s="371"/>
      <c r="AA1207" s="371"/>
      <c r="AB1207" s="39">
        <f t="shared" ca="1" si="20"/>
        <v>0.9661800197918412</v>
      </c>
      <c r="AC1207" s="828"/>
      <c r="AD1207" s="895" t="s">
        <v>14798</v>
      </c>
      <c r="AE1207" s="952"/>
      <c r="AF1207" s="927">
        <f>IF(X1207=X1206,AF1206,0)+IF(ISNUMBER(I1207),IF(I1207&lt;1,I1207,I1207*VLOOKUP(J1207,Summary!$H$2:$I$9,2)),VLOOKUP(J1207,Summary!$J$2:$K$9,2)*IF(ISNUMBER(H1207),H1207,1))</f>
        <v>1.2777777777777783</v>
      </c>
      <c r="AG1207" s="299">
        <v>1206</v>
      </c>
      <c r="AH1207" s="705"/>
      <c r="AI1207" s="705"/>
    </row>
    <row r="1208" spans="1:35" s="706" customFormat="1" ht="12" customHeight="1" x14ac:dyDescent="0.25">
      <c r="A1208" s="691" t="s">
        <v>12279</v>
      </c>
      <c r="B1208" s="692" t="s">
        <v>12279</v>
      </c>
      <c r="C1208" s="708">
        <v>1.07</v>
      </c>
      <c r="D1208" s="693" t="s">
        <v>14647</v>
      </c>
      <c r="E1208" s="694" t="s">
        <v>14627</v>
      </c>
      <c r="F1208" s="707" t="s">
        <v>14677</v>
      </c>
      <c r="G1208" s="695"/>
      <c r="H1208" s="695" t="s">
        <v>461</v>
      </c>
      <c r="I1208" s="695"/>
      <c r="J1208" s="911" t="s">
        <v>2755</v>
      </c>
      <c r="K1208" s="697" t="s">
        <v>14605</v>
      </c>
      <c r="L1208" s="697" t="s">
        <v>14607</v>
      </c>
      <c r="M1208" s="697"/>
      <c r="N1208" s="697"/>
      <c r="O1208" s="697"/>
      <c r="P1208" s="696"/>
      <c r="Q1208" s="697" t="s">
        <v>14608</v>
      </c>
      <c r="R1208" s="698" t="s">
        <v>14633</v>
      </c>
      <c r="S1208" s="699"/>
      <c r="T1208" s="696"/>
      <c r="U1208" s="696"/>
      <c r="V1208" s="696" t="s">
        <v>12280</v>
      </c>
      <c r="W1208" s="694" t="s">
        <v>14627</v>
      </c>
      <c r="X1208" s="700" t="s">
        <v>15176</v>
      </c>
      <c r="Y1208" s="701" t="s">
        <v>6868</v>
      </c>
      <c r="Z1208" s="702"/>
      <c r="AA1208" s="702"/>
      <c r="AB1208" s="703">
        <f t="shared" ca="1" si="20"/>
        <v>7.6230427246612331E-2</v>
      </c>
      <c r="AC1208" s="855"/>
      <c r="AD1208" s="892" t="s">
        <v>14799</v>
      </c>
      <c r="AE1208" s="960"/>
      <c r="AF1208" s="932">
        <f>IF(X1208=X1207,AF1207,0)+IF(ISNUMBER(I1208),IF(I1208&lt;1,I1208,I1208*VLOOKUP(J1208,Summary!$H$2:$I$9,2)),VLOOKUP(J1208,Summary!$J$2:$K$9,2)*IF(ISNUMBER(H1208),H1208,1))</f>
        <v>1.2951388888888895</v>
      </c>
      <c r="AG1208" s="704">
        <v>1207</v>
      </c>
      <c r="AH1208" s="705"/>
      <c r="AI1208" s="705"/>
    </row>
    <row r="1209" spans="1:35" s="22" customFormat="1" ht="12" customHeight="1" x14ac:dyDescent="0.25">
      <c r="A1209" s="691" t="s">
        <v>12279</v>
      </c>
      <c r="B1209" s="692" t="s">
        <v>12279</v>
      </c>
      <c r="C1209" s="708">
        <v>1.1200000000000001</v>
      </c>
      <c r="D1209" s="693" t="s">
        <v>14652</v>
      </c>
      <c r="E1209" s="694" t="s">
        <v>14632</v>
      </c>
      <c r="F1209" s="707" t="s">
        <v>14682</v>
      </c>
      <c r="G1209" s="695"/>
      <c r="H1209" s="695" t="s">
        <v>461</v>
      </c>
      <c r="I1209" s="695"/>
      <c r="J1209" s="911" t="s">
        <v>2755</v>
      </c>
      <c r="K1209" s="697" t="s">
        <v>14605</v>
      </c>
      <c r="L1209" s="697" t="s">
        <v>14607</v>
      </c>
      <c r="M1209" s="697"/>
      <c r="N1209" s="697"/>
      <c r="O1209" s="697"/>
      <c r="P1209" s="696"/>
      <c r="Q1209" s="697" t="s">
        <v>14608</v>
      </c>
      <c r="R1209" s="698" t="s">
        <v>14633</v>
      </c>
      <c r="S1209" s="699"/>
      <c r="T1209" s="696"/>
      <c r="U1209" s="696"/>
      <c r="V1209" s="696" t="s">
        <v>12280</v>
      </c>
      <c r="W1209" s="694" t="s">
        <v>14632</v>
      </c>
      <c r="X1209" s="700" t="s">
        <v>15176</v>
      </c>
      <c r="Y1209" s="701" t="s">
        <v>6868</v>
      </c>
      <c r="Z1209" s="702"/>
      <c r="AA1209" s="702"/>
      <c r="AB1209" s="703">
        <f t="shared" ca="1" si="20"/>
        <v>0.62320312046303827</v>
      </c>
      <c r="AC1209" s="855"/>
      <c r="AD1209" s="856" t="s">
        <v>14800</v>
      </c>
      <c r="AE1209" s="960"/>
      <c r="AF1209" s="932">
        <f>IF(X1209=X1208,AF1208,0)+IF(ISNUMBER(I1209),IF(I1209&lt;1,I1209,I1209*VLOOKUP(J1209,Summary!$H$2:$I$9,2)),VLOOKUP(J1209,Summary!$J$2:$K$9,2)*IF(ISNUMBER(H1209),H1209,1))</f>
        <v>1.3125000000000007</v>
      </c>
      <c r="AG1209" s="704">
        <v>1208</v>
      </c>
      <c r="AH1209" s="94"/>
      <c r="AI1209" s="94"/>
    </row>
    <row r="1210" spans="1:35" s="22" customFormat="1" ht="12" customHeight="1" x14ac:dyDescent="0.25">
      <c r="A1210" s="691" t="s">
        <v>12279</v>
      </c>
      <c r="B1210" s="692" t="s">
        <v>12279</v>
      </c>
      <c r="C1210" s="708">
        <v>1.02</v>
      </c>
      <c r="D1210" s="693" t="s">
        <v>14642</v>
      </c>
      <c r="E1210" s="694" t="s">
        <v>14622</v>
      </c>
      <c r="F1210" s="707" t="s">
        <v>14672</v>
      </c>
      <c r="G1210" s="695"/>
      <c r="H1210" s="695" t="s">
        <v>461</v>
      </c>
      <c r="I1210" s="695"/>
      <c r="J1210" s="911" t="s">
        <v>2755</v>
      </c>
      <c r="K1210" s="697" t="s">
        <v>14605</v>
      </c>
      <c r="L1210" s="697" t="s">
        <v>14607</v>
      </c>
      <c r="M1210" s="697"/>
      <c r="N1210" s="697"/>
      <c r="O1210" s="697"/>
      <c r="P1210" s="696"/>
      <c r="Q1210" s="697" t="s">
        <v>14608</v>
      </c>
      <c r="R1210" s="698" t="s">
        <v>14633</v>
      </c>
      <c r="S1210" s="699"/>
      <c r="T1210" s="696"/>
      <c r="U1210" s="696"/>
      <c r="V1210" s="696" t="s">
        <v>12280</v>
      </c>
      <c r="W1210" s="694" t="s">
        <v>14622</v>
      </c>
      <c r="X1210" s="700" t="s">
        <v>15176</v>
      </c>
      <c r="Y1210" s="701" t="s">
        <v>6868</v>
      </c>
      <c r="Z1210" s="702"/>
      <c r="AA1210" s="702"/>
      <c r="AB1210" s="703">
        <f t="shared" ca="1" si="20"/>
        <v>0.17601756210579578</v>
      </c>
      <c r="AC1210" s="855"/>
      <c r="AD1210" s="892" t="s">
        <v>14801</v>
      </c>
      <c r="AE1210" s="960"/>
      <c r="AF1210" s="932">
        <f>IF(X1210=X1209,AF1209,0)+IF(ISNUMBER(I1210),IF(I1210&lt;1,I1210,I1210*VLOOKUP(J1210,Summary!$H$2:$I$9,2)),VLOOKUP(J1210,Summary!$J$2:$K$9,2)*IF(ISNUMBER(H1210),H1210,1))</f>
        <v>1.3298611111111118</v>
      </c>
      <c r="AG1210" s="704">
        <v>1209</v>
      </c>
      <c r="AH1210" s="94"/>
      <c r="AI1210" s="94"/>
    </row>
    <row r="1211" spans="1:35" s="706" customFormat="1" ht="12" customHeight="1" x14ac:dyDescent="0.25">
      <c r="A1211" s="691" t="s">
        <v>12279</v>
      </c>
      <c r="B1211" s="692" t="s">
        <v>12279</v>
      </c>
      <c r="C1211" s="708">
        <v>3.07</v>
      </c>
      <c r="D1211" s="693" t="s">
        <v>14715</v>
      </c>
      <c r="E1211" s="694" t="s">
        <v>14702</v>
      </c>
      <c r="F1211" s="720">
        <v>1522</v>
      </c>
      <c r="G1211" s="695"/>
      <c r="H1211" s="695" t="s">
        <v>461</v>
      </c>
      <c r="I1211" s="695"/>
      <c r="J1211" s="911" t="s">
        <v>2755</v>
      </c>
      <c r="K1211" s="697" t="s">
        <v>14605</v>
      </c>
      <c r="L1211" s="697" t="s">
        <v>14607</v>
      </c>
      <c r="M1211" s="697"/>
      <c r="N1211" s="697"/>
      <c r="O1211" s="697"/>
      <c r="P1211" s="696"/>
      <c r="Q1211" s="697" t="s">
        <v>14722</v>
      </c>
      <c r="R1211" s="698" t="s">
        <v>14633</v>
      </c>
      <c r="S1211" s="699"/>
      <c r="T1211" s="696"/>
      <c r="U1211" s="696"/>
      <c r="V1211" s="696" t="s">
        <v>12280</v>
      </c>
      <c r="W1211" s="694" t="s">
        <v>14702</v>
      </c>
      <c r="X1211" s="700" t="s">
        <v>15176</v>
      </c>
      <c r="Y1211" s="701" t="s">
        <v>6868</v>
      </c>
      <c r="Z1211" s="702"/>
      <c r="AA1211" s="702"/>
      <c r="AB1211" s="703">
        <f t="shared" ca="1" si="20"/>
        <v>0.7974758278895322</v>
      </c>
      <c r="AC1211" s="855"/>
      <c r="AD1211" s="892" t="s">
        <v>14802</v>
      </c>
      <c r="AE1211" s="960"/>
      <c r="AF1211" s="932">
        <f>IF(X1211=X1210,AF1210,0)+IF(ISNUMBER(I1211),IF(I1211&lt;1,I1211,I1211*VLOOKUP(J1211,Summary!$H$2:$I$9,2)),VLOOKUP(J1211,Summary!$J$2:$K$9,2)*IF(ISNUMBER(H1211),H1211,1))</f>
        <v>1.347222222222223</v>
      </c>
      <c r="AG1211" s="704">
        <v>1210</v>
      </c>
      <c r="AH1211" s="705"/>
      <c r="AI1211" s="705"/>
    </row>
    <row r="1212" spans="1:35" s="22" customFormat="1" ht="12" customHeight="1" x14ac:dyDescent="0.25">
      <c r="A1212" s="691" t="s">
        <v>12279</v>
      </c>
      <c r="B1212" s="692" t="s">
        <v>12279</v>
      </c>
      <c r="C1212" s="708">
        <v>2.1199999999999974</v>
      </c>
      <c r="D1212" s="693" t="s">
        <v>14664</v>
      </c>
      <c r="E1212" s="694" t="s">
        <v>14620</v>
      </c>
      <c r="F1212" s="707" t="s">
        <v>14694</v>
      </c>
      <c r="G1212" s="695"/>
      <c r="H1212" s="695" t="s">
        <v>461</v>
      </c>
      <c r="I1212" s="695"/>
      <c r="J1212" s="911" t="s">
        <v>2755</v>
      </c>
      <c r="K1212" s="697" t="s">
        <v>14605</v>
      </c>
      <c r="L1212" s="697" t="s">
        <v>14607</v>
      </c>
      <c r="M1212" s="697"/>
      <c r="N1212" s="697"/>
      <c r="O1212" s="697"/>
      <c r="P1212" s="696" t="s">
        <v>14847</v>
      </c>
      <c r="Q1212" s="697" t="s">
        <v>14608</v>
      </c>
      <c r="R1212" s="698" t="s">
        <v>14633</v>
      </c>
      <c r="S1212" s="699"/>
      <c r="T1212" s="696"/>
      <c r="U1212" s="696"/>
      <c r="V1212" s="696" t="s">
        <v>12280</v>
      </c>
      <c r="W1212" s="694" t="s">
        <v>14620</v>
      </c>
      <c r="X1212" s="700" t="s">
        <v>15176</v>
      </c>
      <c r="Y1212" s="701" t="s">
        <v>6868</v>
      </c>
      <c r="Z1212" s="702"/>
      <c r="AA1212" s="702"/>
      <c r="AB1212" s="703">
        <f t="shared" ca="1" si="20"/>
        <v>0.35502507816834972</v>
      </c>
      <c r="AC1212" s="855"/>
      <c r="AD1212" s="892" t="s">
        <v>14803</v>
      </c>
      <c r="AE1212" s="960"/>
      <c r="AF1212" s="932">
        <f>IF(X1212=X1211,AF1211,0)+IF(ISNUMBER(I1212),IF(I1212&lt;1,I1212,I1212*VLOOKUP(J1212,Summary!$H$2:$I$9,2)),VLOOKUP(J1212,Summary!$J$2:$K$9,2)*IF(ISNUMBER(H1212),H1212,1))</f>
        <v>1.3645833333333341</v>
      </c>
      <c r="AG1212" s="704">
        <v>1211</v>
      </c>
      <c r="AH1212" s="94"/>
      <c r="AI1212" s="94"/>
    </row>
    <row r="1213" spans="1:35" s="22" customFormat="1" ht="12" customHeight="1" x14ac:dyDescent="0.2">
      <c r="A1213" s="405" t="s">
        <v>15267</v>
      </c>
      <c r="B1213" s="406" t="s">
        <v>2650</v>
      </c>
      <c r="C1213" s="405">
        <v>6.4</v>
      </c>
      <c r="D1213" s="407" t="s">
        <v>15774</v>
      </c>
      <c r="E1213" s="336" t="s">
        <v>15782</v>
      </c>
      <c r="F1213" s="196" t="s">
        <v>11072</v>
      </c>
      <c r="G1213" s="169"/>
      <c r="H1213" s="170">
        <v>1</v>
      </c>
      <c r="I1213" s="747">
        <f>TIME(0,60,0)</f>
        <v>4.1666666666666664E-2</v>
      </c>
      <c r="J1213" s="899" t="s">
        <v>4706</v>
      </c>
      <c r="K1213" s="167" t="s">
        <v>10797</v>
      </c>
      <c r="L1213" s="167" t="s">
        <v>2313</v>
      </c>
      <c r="M1213" s="167"/>
      <c r="N1213" s="167" t="s">
        <v>6452</v>
      </c>
      <c r="O1213" s="167" t="s">
        <v>3295</v>
      </c>
      <c r="P1213" s="168" t="s">
        <v>15777</v>
      </c>
      <c r="Q1213" s="167" t="s">
        <v>3947</v>
      </c>
      <c r="R1213" s="172" t="s">
        <v>10102</v>
      </c>
      <c r="S1213" s="388"/>
      <c r="T1213" s="168"/>
      <c r="U1213" s="168" t="s">
        <v>7344</v>
      </c>
      <c r="V1213" s="168"/>
      <c r="W1213" s="336" t="s">
        <v>15782</v>
      </c>
      <c r="X1213" s="644" t="s">
        <v>12327</v>
      </c>
      <c r="Y1213" s="352"/>
      <c r="Z1213" s="353"/>
      <c r="AA1213" s="353"/>
      <c r="AB1213" s="31">
        <f t="shared" ca="1" si="20"/>
        <v>0.77956183426755432</v>
      </c>
      <c r="AC1213" s="810"/>
      <c r="AD1213" s="811"/>
      <c r="AE1213" s="945"/>
      <c r="AF1213" s="920">
        <f>IF(X1213=X1212,AF1212,0)+IF(ISNUMBER(I1213),IF(I1213&lt;1,I1213,I1213*VLOOKUP(J1213,Summary!$H$2:$I$9,2)),VLOOKUP(J1213,Summary!$J$2:$K$9,2)*IF(ISNUMBER(H1213),H1213,1))</f>
        <v>4.1666666666666664E-2</v>
      </c>
      <c r="AG1213" s="287">
        <v>1212</v>
      </c>
      <c r="AH1213" s="94"/>
      <c r="AI1213" s="94"/>
    </row>
    <row r="1214" spans="1:35" s="22" customFormat="1" ht="12" customHeight="1" x14ac:dyDescent="0.25">
      <c r="A1214" s="487" t="s">
        <v>15267</v>
      </c>
      <c r="B1214" s="487">
        <v>4</v>
      </c>
      <c r="C1214" s="487">
        <v>91</v>
      </c>
      <c r="D1214" s="424" t="s">
        <v>1613</v>
      </c>
      <c r="E1214" s="319" t="s">
        <v>1614</v>
      </c>
      <c r="F1214" s="198">
        <v>28182</v>
      </c>
      <c r="G1214" s="198">
        <v>28217</v>
      </c>
      <c r="H1214" s="199">
        <v>6</v>
      </c>
      <c r="I1214" s="791">
        <f>TIME(0,24,44)+TIME(0,24,26)+TIME(0,21,56)+TIME(0,24,30)+TIME(0,24,49)+TIME(0,23,26)</f>
        <v>9.9895833333333323E-2</v>
      </c>
      <c r="J1214" s="904" t="s">
        <v>1588</v>
      </c>
      <c r="K1214" s="200" t="s">
        <v>1615</v>
      </c>
      <c r="L1214" s="200" t="s">
        <v>6125</v>
      </c>
      <c r="M1214" s="200"/>
      <c r="N1214" s="200" t="s">
        <v>1093</v>
      </c>
      <c r="O1214" s="200" t="s">
        <v>1717</v>
      </c>
      <c r="P1214" s="197" t="s">
        <v>461</v>
      </c>
      <c r="Q1214" s="200" t="s">
        <v>3946</v>
      </c>
      <c r="R1214" s="201" t="s">
        <v>5280</v>
      </c>
      <c r="S1214" s="390" t="s">
        <v>2608</v>
      </c>
      <c r="T1214" s="157"/>
      <c r="U1214" s="197" t="s">
        <v>5287</v>
      </c>
      <c r="V1214" s="197" t="s">
        <v>5288</v>
      </c>
      <c r="W1214" s="318" t="s">
        <v>8708</v>
      </c>
      <c r="X1214" s="650" t="s">
        <v>12327</v>
      </c>
      <c r="Y1214" s="358" t="s">
        <v>6141</v>
      </c>
      <c r="Z1214" s="253">
        <v>53</v>
      </c>
      <c r="AA1214" s="253">
        <v>8</v>
      </c>
      <c r="AB1214" s="35">
        <f t="shared" ca="1" si="20"/>
        <v>0.74813949241447919</v>
      </c>
      <c r="AC1214" s="820"/>
      <c r="AD1214" s="824" t="s">
        <v>16635</v>
      </c>
      <c r="AE1214" s="944" t="s">
        <v>12543</v>
      </c>
      <c r="AF1214" s="925">
        <f>IF(X1214=X1213,AF1213,0)+IF(ISNUMBER(I1214),IF(I1214&lt;1,I1214,I1214*VLOOKUP(J1214,Summary!$H$2:$I$9,2)),VLOOKUP(J1214,Summary!$J$2:$K$9,2)*IF(ISNUMBER(H1214),H1214,1))</f>
        <v>0.14156249999999998</v>
      </c>
      <c r="AG1214" s="293">
        <v>1213</v>
      </c>
      <c r="AH1214" s="94"/>
      <c r="AI1214" s="94"/>
    </row>
    <row r="1215" spans="1:35" s="27" customFormat="1" ht="12" customHeight="1" x14ac:dyDescent="0.25">
      <c r="A1215" s="484" t="s">
        <v>15267</v>
      </c>
      <c r="B1215" s="484">
        <v>4</v>
      </c>
      <c r="C1215" s="502">
        <v>1.1000000000000001</v>
      </c>
      <c r="D1215" s="407" t="s">
        <v>7169</v>
      </c>
      <c r="E1215" s="315" t="s">
        <v>7163</v>
      </c>
      <c r="F1215" s="169">
        <v>40909</v>
      </c>
      <c r="G1215" s="170"/>
      <c r="H1215" s="170">
        <v>2</v>
      </c>
      <c r="I1215" s="747">
        <f>TIME(0,60,0)</f>
        <v>4.1666666666666664E-2</v>
      </c>
      <c r="J1215" s="899" t="s">
        <v>4706</v>
      </c>
      <c r="K1215" s="167" t="s">
        <v>4549</v>
      </c>
      <c r="L1215" s="167" t="s">
        <v>4549</v>
      </c>
      <c r="M1215" s="167"/>
      <c r="N1215" s="167"/>
      <c r="O1215" s="167" t="s">
        <v>4549</v>
      </c>
      <c r="P1215" s="168" t="s">
        <v>8580</v>
      </c>
      <c r="Q1215" s="167" t="s">
        <v>3947</v>
      </c>
      <c r="R1215" s="172" t="s">
        <v>7162</v>
      </c>
      <c r="S1215" s="388" t="s">
        <v>2608</v>
      </c>
      <c r="T1215" s="168"/>
      <c r="U1215" s="168"/>
      <c r="V1215" s="168"/>
      <c r="W1215" s="312" t="s">
        <v>8510</v>
      </c>
      <c r="X1215" s="644" t="s">
        <v>12327</v>
      </c>
      <c r="Y1215" s="352" t="s">
        <v>5643</v>
      </c>
      <c r="Z1215" s="353">
        <v>537</v>
      </c>
      <c r="AA1215" s="353">
        <v>4</v>
      </c>
      <c r="AB1215" s="31">
        <f t="shared" ca="1" si="20"/>
        <v>0.55604828090709357</v>
      </c>
      <c r="AC1215" s="810"/>
      <c r="AD1215" s="811"/>
      <c r="AE1215" s="940"/>
      <c r="AF1215" s="920">
        <f>IF(X1215=X1214,AF1214,0)+IF(ISNUMBER(I1215),IF(I1215&lt;1,I1215,I1215*VLOOKUP(J1215,Summary!$H$2:$I$9,2)),VLOOKUP(J1215,Summary!$J$2:$K$9,2)*IF(ISNUMBER(H1215),H1215,1))</f>
        <v>0.18322916666666664</v>
      </c>
      <c r="AG1215" s="287">
        <v>1214</v>
      </c>
      <c r="AH1215" s="119"/>
      <c r="AI1215" s="119"/>
    </row>
    <row r="1216" spans="1:35" s="22" customFormat="1" ht="12" customHeight="1" x14ac:dyDescent="0.25">
      <c r="A1216" s="494" t="s">
        <v>15267</v>
      </c>
      <c r="B1216" s="494">
        <v>4</v>
      </c>
      <c r="C1216" s="495">
        <v>0.06</v>
      </c>
      <c r="D1216" s="192" t="s">
        <v>13130</v>
      </c>
      <c r="E1216" s="317" t="s">
        <v>10242</v>
      </c>
      <c r="F1216" s="209">
        <v>41995</v>
      </c>
      <c r="G1216" s="191"/>
      <c r="H1216" s="192" t="s">
        <v>461</v>
      </c>
      <c r="I1216" s="753">
        <f>TIME(0,34,39)</f>
        <v>2.4062500000000001E-2</v>
      </c>
      <c r="J1216" s="903" t="s">
        <v>2755</v>
      </c>
      <c r="K1216" s="194" t="s">
        <v>10208</v>
      </c>
      <c r="L1216" s="194" t="s">
        <v>3365</v>
      </c>
      <c r="M1216" s="194" t="s">
        <v>9290</v>
      </c>
      <c r="N1216" s="194"/>
      <c r="O1216" s="194"/>
      <c r="P1216" s="190" t="s">
        <v>461</v>
      </c>
      <c r="Q1216" s="194" t="s">
        <v>3947</v>
      </c>
      <c r="R1216" s="193" t="s">
        <v>2722</v>
      </c>
      <c r="S1216" s="357" t="s">
        <v>2608</v>
      </c>
      <c r="T1216" s="190"/>
      <c r="U1216" s="190"/>
      <c r="V1216" s="190"/>
      <c r="W1216" s="317" t="s">
        <v>10242</v>
      </c>
      <c r="X1216" s="649" t="s">
        <v>12327</v>
      </c>
      <c r="Y1216" s="357" t="s">
        <v>5643</v>
      </c>
      <c r="Z1216" s="192">
        <v>999</v>
      </c>
      <c r="AA1216" s="192"/>
      <c r="AB1216" s="37">
        <f t="shared" ca="1" si="20"/>
        <v>0.74650935732712231</v>
      </c>
      <c r="AC1216" s="816"/>
      <c r="AD1216" s="817"/>
      <c r="AE1216" s="943"/>
      <c r="AF1216" s="924">
        <f>IF(X1216=X1215,AF1215,0)+IF(ISNUMBER(I1216),IF(I1216&lt;1,I1216,I1216*VLOOKUP(J1216,Summary!$H$2:$I$9,2)),VLOOKUP(J1216,Summary!$J$2:$K$9,2)*IF(ISNUMBER(H1216),H1216,1))</f>
        <v>0.20729166666666665</v>
      </c>
      <c r="AG1216" s="292">
        <v>1215</v>
      </c>
      <c r="AH1216" s="94"/>
      <c r="AI1216" s="94"/>
    </row>
    <row r="1217" spans="1:35" s="8" customFormat="1" ht="12" customHeight="1" x14ac:dyDescent="0.25">
      <c r="A1217" s="488" t="s">
        <v>15267</v>
      </c>
      <c r="B1217" s="488">
        <v>4</v>
      </c>
      <c r="C1217" s="488">
        <v>127</v>
      </c>
      <c r="D1217" s="428" t="s">
        <v>1497</v>
      </c>
      <c r="E1217" s="325" t="s">
        <v>1495</v>
      </c>
      <c r="F1217" s="184">
        <v>28315</v>
      </c>
      <c r="G1217" s="184">
        <v>28357</v>
      </c>
      <c r="H1217" s="185">
        <v>7</v>
      </c>
      <c r="I1217" s="185"/>
      <c r="J1217" s="901" t="s">
        <v>1796</v>
      </c>
      <c r="K1217" s="158" t="s">
        <v>5784</v>
      </c>
      <c r="L1217" s="158" t="s">
        <v>5174</v>
      </c>
      <c r="M1217" s="158"/>
      <c r="N1217" s="163"/>
      <c r="O1217" s="158"/>
      <c r="P1217" s="182" t="s">
        <v>461</v>
      </c>
      <c r="Q1217" s="158" t="s">
        <v>1797</v>
      </c>
      <c r="R1217" s="207" t="s">
        <v>4601</v>
      </c>
      <c r="S1217" s="355" t="s">
        <v>2608</v>
      </c>
      <c r="T1217" s="182"/>
      <c r="U1217" s="182"/>
      <c r="V1217" s="182"/>
      <c r="W1217" s="321"/>
      <c r="X1217" s="653" t="s">
        <v>12327</v>
      </c>
      <c r="Y1217" s="361"/>
      <c r="Z1217" s="362"/>
      <c r="AA1217" s="362"/>
      <c r="AB1217" s="33">
        <f t="shared" ca="1" si="20"/>
        <v>0.48734614544050014</v>
      </c>
      <c r="AC1217" s="813"/>
      <c r="AD1217" s="211"/>
      <c r="AE1217" s="949"/>
      <c r="AF1217" s="922">
        <f>IF(X1217=X1216,AF1216,0)+IF(ISNUMBER(I1217),IF(I1217&lt;1,I1217,I1217*VLOOKUP(J1217,Summary!$H$2:$I$9,2)),VLOOKUP(J1217,Summary!$J$2:$K$9,2)*IF(ISNUMBER(H1217),H1217,1))</f>
        <v>0.2315972222222222</v>
      </c>
      <c r="AG1217" s="295">
        <v>1216</v>
      </c>
      <c r="AH1217" s="94"/>
      <c r="AI1217" s="94"/>
    </row>
    <row r="1218" spans="1:35" s="8" customFormat="1" ht="12" customHeight="1" x14ac:dyDescent="0.25">
      <c r="A1218" s="488" t="s">
        <v>15267</v>
      </c>
      <c r="B1218" s="488">
        <v>4</v>
      </c>
      <c r="C1218" s="488">
        <v>128</v>
      </c>
      <c r="D1218" s="428" t="s">
        <v>1498</v>
      </c>
      <c r="E1218" s="325" t="s">
        <v>7035</v>
      </c>
      <c r="F1218" s="184">
        <v>28364</v>
      </c>
      <c r="G1218" s="184">
        <v>28406</v>
      </c>
      <c r="H1218" s="185">
        <v>7</v>
      </c>
      <c r="I1218" s="185"/>
      <c r="J1218" s="901" t="s">
        <v>1796</v>
      </c>
      <c r="K1218" s="158" t="s">
        <v>5784</v>
      </c>
      <c r="L1218" s="158" t="s">
        <v>5174</v>
      </c>
      <c r="M1218" s="158"/>
      <c r="N1218" s="163"/>
      <c r="O1218" s="158"/>
      <c r="P1218" s="182" t="s">
        <v>461</v>
      </c>
      <c r="Q1218" s="158" t="s">
        <v>1797</v>
      </c>
      <c r="R1218" s="207" t="s">
        <v>4601</v>
      </c>
      <c r="S1218" s="355" t="s">
        <v>2608</v>
      </c>
      <c r="T1218" s="182"/>
      <c r="U1218" s="182"/>
      <c r="V1218" s="182"/>
      <c r="W1218" s="321"/>
      <c r="X1218" s="653" t="s">
        <v>12327</v>
      </c>
      <c r="Y1218" s="361"/>
      <c r="Z1218" s="362"/>
      <c r="AA1218" s="362"/>
      <c r="AB1218" s="33">
        <f t="shared" ref="AB1218:AB1281" ca="1" si="21">RAND()</f>
        <v>0.54919596510423707</v>
      </c>
      <c r="AC1218" s="813"/>
      <c r="AD1218" s="211"/>
      <c r="AE1218" s="949"/>
      <c r="AF1218" s="922">
        <f>IF(X1218=X1217,AF1217,0)+IF(ISNUMBER(I1218),IF(I1218&lt;1,I1218,I1218*VLOOKUP(J1218,Summary!$H$2:$I$9,2)),VLOOKUP(J1218,Summary!$J$2:$K$9,2)*IF(ISNUMBER(H1218),H1218,1))</f>
        <v>0.25590277777777776</v>
      </c>
      <c r="AG1218" s="295">
        <v>1217</v>
      </c>
      <c r="AH1218" s="94"/>
      <c r="AI1218" s="94"/>
    </row>
    <row r="1219" spans="1:35" s="3" customFormat="1" ht="12" customHeight="1" x14ac:dyDescent="0.25">
      <c r="A1219" s="488" t="s">
        <v>15267</v>
      </c>
      <c r="B1219" s="488">
        <v>4</v>
      </c>
      <c r="C1219" s="488">
        <v>129</v>
      </c>
      <c r="D1219" s="428" t="s">
        <v>1500</v>
      </c>
      <c r="E1219" s="325" t="s">
        <v>1499</v>
      </c>
      <c r="F1219" s="184">
        <v>28413</v>
      </c>
      <c r="G1219" s="184">
        <v>28441</v>
      </c>
      <c r="H1219" s="185">
        <v>5</v>
      </c>
      <c r="I1219" s="185"/>
      <c r="J1219" s="901" t="s">
        <v>1796</v>
      </c>
      <c r="K1219" s="158" t="s">
        <v>5784</v>
      </c>
      <c r="L1219" s="158" t="s">
        <v>5174</v>
      </c>
      <c r="M1219" s="158"/>
      <c r="N1219" s="163"/>
      <c r="O1219" s="158"/>
      <c r="P1219" s="182" t="s">
        <v>461</v>
      </c>
      <c r="Q1219" s="158" t="s">
        <v>1797</v>
      </c>
      <c r="R1219" s="207" t="s">
        <v>4601</v>
      </c>
      <c r="S1219" s="355" t="s">
        <v>2608</v>
      </c>
      <c r="T1219" s="182"/>
      <c r="U1219" s="182"/>
      <c r="V1219" s="182"/>
      <c r="W1219" s="321"/>
      <c r="X1219" s="653" t="s">
        <v>12327</v>
      </c>
      <c r="Y1219" s="361"/>
      <c r="Z1219" s="362"/>
      <c r="AA1219" s="362"/>
      <c r="AB1219" s="33">
        <f t="shared" ca="1" si="21"/>
        <v>0.90613420608373052</v>
      </c>
      <c r="AC1219" s="813"/>
      <c r="AD1219" s="211"/>
      <c r="AE1219" s="949"/>
      <c r="AF1219" s="922">
        <f>IF(X1219=X1218,AF1218,0)+IF(ISNUMBER(I1219),IF(I1219&lt;1,I1219,I1219*VLOOKUP(J1219,Summary!$H$2:$I$9,2)),VLOOKUP(J1219,Summary!$J$2:$K$9,2)*IF(ISNUMBER(H1219),H1219,1))</f>
        <v>0.27326388888888886</v>
      </c>
      <c r="AG1219" s="295">
        <v>1218</v>
      </c>
      <c r="AH1219" s="94"/>
      <c r="AI1219" s="94"/>
    </row>
    <row r="1220" spans="1:35" s="1" customFormat="1" ht="12" customHeight="1" x14ac:dyDescent="0.25">
      <c r="A1220" s="488" t="s">
        <v>15267</v>
      </c>
      <c r="B1220" s="488">
        <v>4</v>
      </c>
      <c r="C1220" s="488">
        <v>130</v>
      </c>
      <c r="D1220" s="428" t="s">
        <v>1501</v>
      </c>
      <c r="E1220" s="325" t="s">
        <v>1496</v>
      </c>
      <c r="F1220" s="184">
        <v>28448</v>
      </c>
      <c r="G1220" s="184">
        <v>28497</v>
      </c>
      <c r="H1220" s="185">
        <v>8</v>
      </c>
      <c r="I1220" s="185"/>
      <c r="J1220" s="901" t="s">
        <v>1796</v>
      </c>
      <c r="K1220" s="158" t="s">
        <v>2255</v>
      </c>
      <c r="L1220" s="158" t="s">
        <v>5174</v>
      </c>
      <c r="M1220" s="158"/>
      <c r="N1220" s="163"/>
      <c r="O1220" s="158"/>
      <c r="P1220" s="182" t="s">
        <v>461</v>
      </c>
      <c r="Q1220" s="158" t="s">
        <v>1797</v>
      </c>
      <c r="R1220" s="207" t="s">
        <v>4601</v>
      </c>
      <c r="S1220" s="355" t="s">
        <v>2608</v>
      </c>
      <c r="T1220" s="182"/>
      <c r="U1220" s="182"/>
      <c r="V1220" s="182"/>
      <c r="W1220" s="321"/>
      <c r="X1220" s="653" t="s">
        <v>12327</v>
      </c>
      <c r="Y1220" s="361"/>
      <c r="Z1220" s="362"/>
      <c r="AA1220" s="362"/>
      <c r="AB1220" s="33">
        <f t="shared" ca="1" si="21"/>
        <v>0.96463657674811332</v>
      </c>
      <c r="AC1220" s="813"/>
      <c r="AD1220" s="211"/>
      <c r="AE1220" s="949"/>
      <c r="AF1220" s="922">
        <f>IF(X1220=X1219,AF1219,0)+IF(ISNUMBER(I1220),IF(I1220&lt;1,I1220,I1220*VLOOKUP(J1220,Summary!$H$2:$I$9,2)),VLOOKUP(J1220,Summary!$J$2:$K$9,2)*IF(ISNUMBER(H1220),H1220,1))</f>
        <v>0.30104166666666665</v>
      </c>
      <c r="AG1220" s="295">
        <v>1219</v>
      </c>
      <c r="AH1220" s="94"/>
      <c r="AI1220" s="94"/>
    </row>
    <row r="1221" spans="1:35" s="22" customFormat="1" ht="12" customHeight="1" x14ac:dyDescent="0.25">
      <c r="A1221" s="490" t="s">
        <v>15267</v>
      </c>
      <c r="B1221" s="490">
        <v>4</v>
      </c>
      <c r="C1221" s="490">
        <v>3</v>
      </c>
      <c r="D1221" s="176" t="s">
        <v>15538</v>
      </c>
      <c r="E1221" s="313" t="s">
        <v>15539</v>
      </c>
      <c r="F1221" s="175">
        <v>43384</v>
      </c>
      <c r="G1221" s="174"/>
      <c r="H1221" s="176">
        <v>1</v>
      </c>
      <c r="I1221" s="176"/>
      <c r="J1221" s="900" t="s">
        <v>2755</v>
      </c>
      <c r="K1221" s="164" t="s">
        <v>15498</v>
      </c>
      <c r="L1221" s="164" t="s">
        <v>461</v>
      </c>
      <c r="M1221" s="164"/>
      <c r="N1221" s="164"/>
      <c r="O1221" s="164"/>
      <c r="P1221" s="173" t="s">
        <v>15499</v>
      </c>
      <c r="Q1221" s="164" t="s">
        <v>3953</v>
      </c>
      <c r="R1221" s="179" t="s">
        <v>15500</v>
      </c>
      <c r="S1221" s="354" t="s">
        <v>2608</v>
      </c>
      <c r="T1221" s="173"/>
      <c r="U1221" s="173"/>
      <c r="V1221" s="173"/>
      <c r="W1221" s="313" t="s">
        <v>15539</v>
      </c>
      <c r="X1221" s="645" t="s">
        <v>12327</v>
      </c>
      <c r="Y1221" s="354"/>
      <c r="Z1221" s="176"/>
      <c r="AA1221" s="176"/>
      <c r="AB1221" s="32">
        <f t="shared" ca="1" si="21"/>
        <v>0.4363665762511556</v>
      </c>
      <c r="AC1221" s="812"/>
      <c r="AD1221" s="763"/>
      <c r="AE1221" s="807"/>
      <c r="AF1221" s="921">
        <f>IF(X1221=X1220,AF1220,0)+IF(ISNUMBER(I1221),IF(I1221&lt;1,I1221,I1221*VLOOKUP(J1221,Summary!$H$2:$I$9,2)),VLOOKUP(J1221,Summary!$J$2:$K$9,2)*IF(ISNUMBER(H1221),H1221,1))</f>
        <v>0.31840277777777776</v>
      </c>
      <c r="AG1221" s="288">
        <v>1220</v>
      </c>
      <c r="AH1221" s="94"/>
      <c r="AI1221" s="94"/>
    </row>
    <row r="1222" spans="1:35" s="43" customFormat="1" ht="12" customHeight="1" x14ac:dyDescent="0.25">
      <c r="A1222" s="484" t="s">
        <v>15267</v>
      </c>
      <c r="B1222" s="484">
        <v>4</v>
      </c>
      <c r="C1222" s="502">
        <v>1.2</v>
      </c>
      <c r="D1222" s="407" t="s">
        <v>7170</v>
      </c>
      <c r="E1222" s="315" t="s">
        <v>7164</v>
      </c>
      <c r="F1222" s="169">
        <v>40940</v>
      </c>
      <c r="G1222" s="170"/>
      <c r="H1222" s="170">
        <v>2</v>
      </c>
      <c r="I1222" s="747">
        <f>TIME(0,60,0)</f>
        <v>4.1666666666666664E-2</v>
      </c>
      <c r="J1222" s="899" t="s">
        <v>4706</v>
      </c>
      <c r="K1222" s="167" t="s">
        <v>543</v>
      </c>
      <c r="L1222" s="167" t="s">
        <v>2313</v>
      </c>
      <c r="M1222" s="167"/>
      <c r="N1222" s="167"/>
      <c r="O1222" s="167" t="s">
        <v>4549</v>
      </c>
      <c r="P1222" s="168" t="s">
        <v>8583</v>
      </c>
      <c r="Q1222" s="167" t="s">
        <v>3947</v>
      </c>
      <c r="R1222" s="172" t="s">
        <v>7162</v>
      </c>
      <c r="S1222" s="388" t="s">
        <v>2608</v>
      </c>
      <c r="T1222" s="168"/>
      <c r="U1222" s="168"/>
      <c r="V1222" s="168"/>
      <c r="W1222" s="312" t="s">
        <v>8506</v>
      </c>
      <c r="X1222" s="644" t="s">
        <v>12327</v>
      </c>
      <c r="Y1222" s="352" t="s">
        <v>5643</v>
      </c>
      <c r="Z1222" s="353">
        <v>232</v>
      </c>
      <c r="AA1222" s="353">
        <v>6</v>
      </c>
      <c r="AB1222" s="31">
        <f t="shared" ca="1" si="21"/>
        <v>0.13739268154112327</v>
      </c>
      <c r="AC1222" s="810"/>
      <c r="AD1222" s="811"/>
      <c r="AE1222" s="940"/>
      <c r="AF1222" s="920">
        <f>IF(X1222=X1221,AF1221,0)+IF(ISNUMBER(I1222),IF(I1222&lt;1,I1222,I1222*VLOOKUP(J1222,Summary!$H$2:$I$9,2)),VLOOKUP(J1222,Summary!$J$2:$K$9,2)*IF(ISNUMBER(H1222),H1222,1))</f>
        <v>0.36006944444444444</v>
      </c>
      <c r="AG1222" s="287">
        <v>1221</v>
      </c>
      <c r="AH1222" s="94"/>
      <c r="AI1222" s="94"/>
    </row>
    <row r="1223" spans="1:35" s="29" customFormat="1" ht="12" customHeight="1" x14ac:dyDescent="0.25">
      <c r="A1223" s="484" t="s">
        <v>15267</v>
      </c>
      <c r="B1223" s="484">
        <v>4</v>
      </c>
      <c r="C1223" s="502">
        <v>1.3</v>
      </c>
      <c r="D1223" s="407" t="s">
        <v>7171</v>
      </c>
      <c r="E1223" s="315" t="s">
        <v>7165</v>
      </c>
      <c r="F1223" s="169">
        <v>40969</v>
      </c>
      <c r="G1223" s="170"/>
      <c r="H1223" s="170">
        <v>2</v>
      </c>
      <c r="I1223" s="747">
        <f>TIME(0,60,0)</f>
        <v>4.1666666666666664E-2</v>
      </c>
      <c r="J1223" s="899" t="s">
        <v>4706</v>
      </c>
      <c r="K1223" s="167" t="s">
        <v>5666</v>
      </c>
      <c r="L1223" s="167" t="s">
        <v>2313</v>
      </c>
      <c r="M1223" s="167"/>
      <c r="N1223" s="167"/>
      <c r="O1223" s="167" t="s">
        <v>4549</v>
      </c>
      <c r="P1223" s="168" t="s">
        <v>8581</v>
      </c>
      <c r="Q1223" s="167" t="s">
        <v>3947</v>
      </c>
      <c r="R1223" s="172" t="s">
        <v>7162</v>
      </c>
      <c r="S1223" s="388" t="s">
        <v>2608</v>
      </c>
      <c r="T1223" s="168"/>
      <c r="U1223" s="168"/>
      <c r="V1223" s="168"/>
      <c r="W1223" s="312" t="s">
        <v>8507</v>
      </c>
      <c r="X1223" s="644" t="s">
        <v>12327</v>
      </c>
      <c r="Y1223" s="352" t="s">
        <v>5643</v>
      </c>
      <c r="Z1223" s="353">
        <v>30</v>
      </c>
      <c r="AA1223" s="353">
        <v>9</v>
      </c>
      <c r="AB1223" s="31">
        <f t="shared" ca="1" si="21"/>
        <v>0.85366169808425862</v>
      </c>
      <c r="AC1223" s="810"/>
      <c r="AD1223" s="811"/>
      <c r="AE1223" s="940"/>
      <c r="AF1223" s="920">
        <f>IF(X1223=X1222,AF1222,0)+IF(ISNUMBER(I1223),IF(I1223&lt;1,I1223,I1223*VLOOKUP(J1223,Summary!$H$2:$I$9,2)),VLOOKUP(J1223,Summary!$J$2:$K$9,2)*IF(ISNUMBER(H1223),H1223,1))</f>
        <v>0.40173611111111113</v>
      </c>
      <c r="AG1223" s="287">
        <v>1222</v>
      </c>
      <c r="AH1223" s="94"/>
      <c r="AI1223" s="94"/>
    </row>
    <row r="1224" spans="1:35" s="22" customFormat="1" ht="12" customHeight="1" x14ac:dyDescent="0.2">
      <c r="A1224" s="484" t="s">
        <v>15267</v>
      </c>
      <c r="B1224" s="484">
        <v>4</v>
      </c>
      <c r="C1224" s="502">
        <v>1.4</v>
      </c>
      <c r="D1224" s="407" t="s">
        <v>7172</v>
      </c>
      <c r="E1224" s="315" t="s">
        <v>7166</v>
      </c>
      <c r="F1224" s="169">
        <v>41000</v>
      </c>
      <c r="G1224" s="170"/>
      <c r="H1224" s="170">
        <v>2</v>
      </c>
      <c r="I1224" s="747">
        <f>TIME(0,60,0)</f>
        <v>4.1666666666666664E-2</v>
      </c>
      <c r="J1224" s="899" t="s">
        <v>4706</v>
      </c>
      <c r="K1224" s="167" t="s">
        <v>4549</v>
      </c>
      <c r="L1224" s="167" t="s">
        <v>4549</v>
      </c>
      <c r="M1224" s="167"/>
      <c r="N1224" s="167"/>
      <c r="O1224" s="167" t="s">
        <v>4549</v>
      </c>
      <c r="P1224" s="168" t="s">
        <v>8582</v>
      </c>
      <c r="Q1224" s="167" t="s">
        <v>3947</v>
      </c>
      <c r="R1224" s="172" t="s">
        <v>7162</v>
      </c>
      <c r="S1224" s="388" t="s">
        <v>2608</v>
      </c>
      <c r="T1224" s="168"/>
      <c r="U1224" s="168"/>
      <c r="V1224" s="168"/>
      <c r="W1224" s="312" t="s">
        <v>8508</v>
      </c>
      <c r="X1224" s="644" t="s">
        <v>12327</v>
      </c>
      <c r="Y1224" s="352" t="s">
        <v>5643</v>
      </c>
      <c r="Z1224" s="353">
        <v>483</v>
      </c>
      <c r="AA1224" s="353">
        <v>4</v>
      </c>
      <c r="AB1224" s="31">
        <f t="shared" ca="1" si="21"/>
        <v>0.21700308887063258</v>
      </c>
      <c r="AC1224" s="810"/>
      <c r="AD1224" s="811"/>
      <c r="AE1224" s="940"/>
      <c r="AF1224" s="920">
        <f>IF(X1224=X1223,AF1223,0)+IF(ISNUMBER(I1224),IF(I1224&lt;1,I1224,I1224*VLOOKUP(J1224,Summary!$H$2:$I$9,2)),VLOOKUP(J1224,Summary!$J$2:$K$9,2)*IF(ISNUMBER(H1224),H1224,1))</f>
        <v>0.44340277777777781</v>
      </c>
      <c r="AG1224" s="287">
        <v>1223</v>
      </c>
      <c r="AH1224" s="94"/>
      <c r="AI1224" s="94"/>
    </row>
    <row r="1225" spans="1:35" s="3" customFormat="1" ht="12" customHeight="1" x14ac:dyDescent="0.25">
      <c r="A1225" s="492" t="s">
        <v>15267</v>
      </c>
      <c r="B1225" s="492">
        <v>4</v>
      </c>
      <c r="C1225" s="492">
        <v>8</v>
      </c>
      <c r="D1225" s="417" t="s">
        <v>1617</v>
      </c>
      <c r="E1225" s="316" t="s">
        <v>1618</v>
      </c>
      <c r="F1225" s="195">
        <v>35828</v>
      </c>
      <c r="G1225" s="188"/>
      <c r="H1225" s="188" t="str">
        <f>IF(J1225="Book","n/a","")</f>
        <v>n/a</v>
      </c>
      <c r="I1225" s="188">
        <v>277</v>
      </c>
      <c r="J1225" s="902" t="s">
        <v>6868</v>
      </c>
      <c r="K1225" s="162" t="s">
        <v>1932</v>
      </c>
      <c r="L1225" s="162" t="str">
        <f>IF(J1225="Book","n/a","")</f>
        <v>n/a</v>
      </c>
      <c r="M1225" s="162"/>
      <c r="N1225" s="162"/>
      <c r="O1225" s="162"/>
      <c r="P1225" s="178" t="s">
        <v>8933</v>
      </c>
      <c r="Q1225" s="162" t="s">
        <v>3953</v>
      </c>
      <c r="R1225" s="189" t="s">
        <v>2717</v>
      </c>
      <c r="S1225" s="366" t="s">
        <v>2608</v>
      </c>
      <c r="T1225" s="178"/>
      <c r="U1225" s="178"/>
      <c r="V1225" s="178"/>
      <c r="W1225" s="316" t="s">
        <v>1618</v>
      </c>
      <c r="X1225" s="648" t="s">
        <v>12327</v>
      </c>
      <c r="Y1225" s="356" t="s">
        <v>6868</v>
      </c>
      <c r="Z1225" s="272"/>
      <c r="AA1225" s="272"/>
      <c r="AB1225" s="34">
        <f t="shared" ca="1" si="21"/>
        <v>0.68069783371942527</v>
      </c>
      <c r="AC1225" s="814"/>
      <c r="AD1225" s="815" t="s">
        <v>16615</v>
      </c>
      <c r="AE1225" s="942"/>
      <c r="AF1225" s="923">
        <f>IF(X1225=X1224,AF1224,0)+IF(ISNUMBER(I1225),IF(I1225&lt;1,I1225,I1225*VLOOKUP(J1225,Summary!$H$2:$I$9,2)),VLOOKUP(J1225,Summary!$J$2:$K$9,2)*IF(ISNUMBER(H1225),H1225,1))</f>
        <v>0.63576388888888891</v>
      </c>
      <c r="AG1225" s="291">
        <v>1224</v>
      </c>
      <c r="AH1225" s="94"/>
      <c r="AI1225" s="94"/>
    </row>
    <row r="1226" spans="1:35" s="1" customFormat="1" ht="12" customHeight="1" x14ac:dyDescent="0.25">
      <c r="A1226" s="490" t="s">
        <v>15267</v>
      </c>
      <c r="B1226" s="490">
        <v>4</v>
      </c>
      <c r="C1226" s="490">
        <v>31.06</v>
      </c>
      <c r="D1226" s="176" t="s">
        <v>616</v>
      </c>
      <c r="E1226" s="313" t="s">
        <v>626</v>
      </c>
      <c r="F1226" s="174">
        <v>39873</v>
      </c>
      <c r="G1226" s="174"/>
      <c r="H1226" s="176" t="s">
        <v>461</v>
      </c>
      <c r="I1226" s="176">
        <v>12</v>
      </c>
      <c r="J1226" s="900" t="s">
        <v>2755</v>
      </c>
      <c r="K1226" s="164" t="s">
        <v>176</v>
      </c>
      <c r="L1226" s="164" t="s">
        <v>461</v>
      </c>
      <c r="M1226" s="164"/>
      <c r="N1226" s="164" t="s">
        <v>1805</v>
      </c>
      <c r="O1226" s="164"/>
      <c r="P1226" s="173" t="s">
        <v>6699</v>
      </c>
      <c r="Q1226" s="164" t="s">
        <v>3947</v>
      </c>
      <c r="R1226" s="177" t="s">
        <v>2723</v>
      </c>
      <c r="S1226" s="354" t="s">
        <v>2608</v>
      </c>
      <c r="T1226" s="173"/>
      <c r="U1226" s="173"/>
      <c r="V1226" s="173"/>
      <c r="W1226" s="313" t="s">
        <v>626</v>
      </c>
      <c r="X1226" s="645" t="s">
        <v>12327</v>
      </c>
      <c r="Y1226" s="354"/>
      <c r="Z1226" s="176"/>
      <c r="AA1226" s="176"/>
      <c r="AB1226" s="32">
        <f t="shared" ca="1" si="21"/>
        <v>0.31214897494381821</v>
      </c>
      <c r="AC1226" s="812"/>
      <c r="AD1226" s="763"/>
      <c r="AE1226" s="807"/>
      <c r="AF1226" s="921">
        <f>IF(X1226=X1225,AF1225,0)+IF(ISNUMBER(I1226),IF(I1226&lt;1,I1226,I1226*VLOOKUP(J1226,Summary!$H$2:$I$9,2)),VLOOKUP(J1226,Summary!$J$2:$K$9,2)*IF(ISNUMBER(H1226),H1226,1))</f>
        <v>0.64409722222222221</v>
      </c>
      <c r="AG1226" s="289">
        <v>1225</v>
      </c>
      <c r="AH1226" s="94"/>
      <c r="AI1226" s="94"/>
    </row>
    <row r="1227" spans="1:35" s="7" customFormat="1" ht="12" customHeight="1" x14ac:dyDescent="0.25">
      <c r="A1227" s="484" t="s">
        <v>15267</v>
      </c>
      <c r="B1227" s="484">
        <v>4</v>
      </c>
      <c r="C1227" s="502">
        <v>1.5</v>
      </c>
      <c r="D1227" s="407" t="s">
        <v>7173</v>
      </c>
      <c r="E1227" s="315" t="s">
        <v>7167</v>
      </c>
      <c r="F1227" s="169">
        <v>41030</v>
      </c>
      <c r="G1227" s="170"/>
      <c r="H1227" s="170">
        <v>2</v>
      </c>
      <c r="I1227" s="747">
        <f>TIME(0,60,0)</f>
        <v>4.1666666666666664E-2</v>
      </c>
      <c r="J1227" s="899" t="s">
        <v>4706</v>
      </c>
      <c r="K1227" s="167" t="s">
        <v>7374</v>
      </c>
      <c r="L1227" s="167" t="s">
        <v>2313</v>
      </c>
      <c r="M1227" s="167"/>
      <c r="N1227" s="167"/>
      <c r="O1227" s="167" t="s">
        <v>4549</v>
      </c>
      <c r="P1227" s="168" t="s">
        <v>8584</v>
      </c>
      <c r="Q1227" s="167" t="s">
        <v>3947</v>
      </c>
      <c r="R1227" s="172" t="s">
        <v>7162</v>
      </c>
      <c r="S1227" s="388" t="s">
        <v>2608</v>
      </c>
      <c r="T1227" s="168"/>
      <c r="U1227" s="168"/>
      <c r="V1227" s="168"/>
      <c r="W1227" s="312" t="s">
        <v>8509</v>
      </c>
      <c r="X1227" s="644" t="s">
        <v>12327</v>
      </c>
      <c r="Y1227" s="352" t="s">
        <v>5398</v>
      </c>
      <c r="Z1227" s="353">
        <v>288</v>
      </c>
      <c r="AA1227" s="353">
        <v>5.5</v>
      </c>
      <c r="AB1227" s="31">
        <f t="shared" ca="1" si="21"/>
        <v>2.8380101710245631E-2</v>
      </c>
      <c r="AC1227" s="810"/>
      <c r="AD1227" s="811"/>
      <c r="AE1227" s="940"/>
      <c r="AF1227" s="920">
        <f>IF(X1227=X1226,AF1226,0)+IF(ISNUMBER(I1227),IF(I1227&lt;1,I1227,I1227*VLOOKUP(J1227,Summary!$H$2:$I$9,2)),VLOOKUP(J1227,Summary!$J$2:$K$9,2)*IF(ISNUMBER(H1227),H1227,1))</f>
        <v>0.68576388888888884</v>
      </c>
      <c r="AG1227" s="287">
        <v>1226</v>
      </c>
      <c r="AH1227" s="94"/>
      <c r="AI1227" s="94"/>
    </row>
    <row r="1228" spans="1:35" s="43" customFormat="1" ht="12" customHeight="1" x14ac:dyDescent="0.25">
      <c r="A1228" s="484" t="s">
        <v>15267</v>
      </c>
      <c r="B1228" s="484">
        <v>4</v>
      </c>
      <c r="C1228" s="502">
        <v>1.6</v>
      </c>
      <c r="D1228" s="407" t="s">
        <v>7174</v>
      </c>
      <c r="E1228" s="315" t="s">
        <v>7168</v>
      </c>
      <c r="F1228" s="169">
        <v>41061</v>
      </c>
      <c r="G1228" s="170"/>
      <c r="H1228" s="170">
        <v>2</v>
      </c>
      <c r="I1228" s="747">
        <f>TIME(0,60,0)</f>
        <v>4.1666666666666664E-2</v>
      </c>
      <c r="J1228" s="899" t="s">
        <v>4706</v>
      </c>
      <c r="K1228" s="167" t="s">
        <v>7374</v>
      </c>
      <c r="L1228" s="167" t="s">
        <v>2313</v>
      </c>
      <c r="M1228" s="167"/>
      <c r="N1228" s="167"/>
      <c r="O1228" s="167" t="s">
        <v>4549</v>
      </c>
      <c r="P1228" s="168" t="s">
        <v>8585</v>
      </c>
      <c r="Q1228" s="167" t="s">
        <v>3947</v>
      </c>
      <c r="R1228" s="172" t="s">
        <v>7162</v>
      </c>
      <c r="S1228" s="388" t="s">
        <v>2608</v>
      </c>
      <c r="T1228" s="168"/>
      <c r="U1228" s="168"/>
      <c r="V1228" s="168"/>
      <c r="W1228" s="312" t="s">
        <v>8511</v>
      </c>
      <c r="X1228" s="644" t="s">
        <v>12327</v>
      </c>
      <c r="Y1228" s="352" t="s">
        <v>5643</v>
      </c>
      <c r="Z1228" s="353">
        <v>441</v>
      </c>
      <c r="AA1228" s="353">
        <v>4.5</v>
      </c>
      <c r="AB1228" s="31">
        <f t="shared" ca="1" si="21"/>
        <v>0.97635266243751795</v>
      </c>
      <c r="AC1228" s="810"/>
      <c r="AD1228" s="811"/>
      <c r="AE1228" s="940"/>
      <c r="AF1228" s="920">
        <f>IF(X1228=X1227,AF1227,0)+IF(ISNUMBER(I1228),IF(I1228&lt;1,I1228,I1228*VLOOKUP(J1228,Summary!$H$2:$I$9,2)),VLOOKUP(J1228,Summary!$J$2:$K$9,2)*IF(ISNUMBER(H1228),H1228,1))</f>
        <v>0.72743055555555547</v>
      </c>
      <c r="AG1228" s="287">
        <v>1227</v>
      </c>
      <c r="AH1228" s="94"/>
      <c r="AI1228" s="94"/>
    </row>
    <row r="1229" spans="1:35" s="1" customFormat="1" ht="12" customHeight="1" x14ac:dyDescent="0.25">
      <c r="A1229" s="484" t="s">
        <v>15267</v>
      </c>
      <c r="B1229" s="484">
        <v>4</v>
      </c>
      <c r="C1229" s="503">
        <v>11</v>
      </c>
      <c r="D1229" s="407" t="s">
        <v>11117</v>
      </c>
      <c r="E1229" s="315" t="s">
        <v>6635</v>
      </c>
      <c r="F1229" s="169">
        <v>41244</v>
      </c>
      <c r="G1229" s="170"/>
      <c r="H1229" s="170">
        <v>2</v>
      </c>
      <c r="I1229" s="746">
        <f>TIME(0,64,35)</f>
        <v>4.4849537037037035E-2</v>
      </c>
      <c r="J1229" s="899" t="s">
        <v>4706</v>
      </c>
      <c r="K1229" s="167" t="s">
        <v>941</v>
      </c>
      <c r="L1229" s="167" t="s">
        <v>4549</v>
      </c>
      <c r="M1229" s="167"/>
      <c r="N1229" s="167"/>
      <c r="O1229" s="167"/>
      <c r="P1229" s="168" t="s">
        <v>6636</v>
      </c>
      <c r="Q1229" s="167" t="s">
        <v>3947</v>
      </c>
      <c r="R1229" s="172" t="s">
        <v>576</v>
      </c>
      <c r="S1229" s="388" t="s">
        <v>2608</v>
      </c>
      <c r="T1229" s="168"/>
      <c r="U1229" s="168"/>
      <c r="V1229" s="168"/>
      <c r="W1229" s="312" t="s">
        <v>10345</v>
      </c>
      <c r="X1229" s="644" t="s">
        <v>12327</v>
      </c>
      <c r="Y1229" s="352" t="s">
        <v>5643</v>
      </c>
      <c r="Z1229" s="353">
        <v>246</v>
      </c>
      <c r="AA1229" s="353">
        <v>5.5</v>
      </c>
      <c r="AB1229" s="31">
        <f t="shared" ca="1" si="21"/>
        <v>0.37723960393539169</v>
      </c>
      <c r="AC1229" s="810"/>
      <c r="AD1229" s="811"/>
      <c r="AE1229" s="940"/>
      <c r="AF1229" s="920">
        <f>IF(X1229=X1228,AF1228,0)+IF(ISNUMBER(I1229),IF(I1229&lt;1,I1229,I1229*VLOOKUP(J1229,Summary!$H$2:$I$9,2)),VLOOKUP(J1229,Summary!$J$2:$K$9,2)*IF(ISNUMBER(H1229),H1229,1))</f>
        <v>0.77228009259259256</v>
      </c>
      <c r="AG1229" s="287">
        <v>1228</v>
      </c>
      <c r="AH1229" s="94"/>
      <c r="AI1229" s="94"/>
    </row>
    <row r="1230" spans="1:35" s="1" customFormat="1" ht="12" customHeight="1" x14ac:dyDescent="0.25">
      <c r="A1230" s="490" t="s">
        <v>15267</v>
      </c>
      <c r="B1230" s="490">
        <v>4</v>
      </c>
      <c r="C1230" s="490"/>
      <c r="D1230" s="434" t="s">
        <v>1487</v>
      </c>
      <c r="E1230" s="324" t="s">
        <v>1488</v>
      </c>
      <c r="F1230" s="174">
        <v>28734</v>
      </c>
      <c r="G1230" s="175"/>
      <c r="H1230" s="176" t="s">
        <v>461</v>
      </c>
      <c r="I1230" s="176">
        <v>7</v>
      </c>
      <c r="J1230" s="900" t="s">
        <v>2755</v>
      </c>
      <c r="K1230" s="157" t="s">
        <v>5784</v>
      </c>
      <c r="L1230" s="157" t="s">
        <v>461</v>
      </c>
      <c r="M1230" s="157"/>
      <c r="N1230" s="164"/>
      <c r="O1230" s="157"/>
      <c r="P1230" s="173" t="s">
        <v>2246</v>
      </c>
      <c r="Q1230" s="157" t="s">
        <v>4705</v>
      </c>
      <c r="R1230" s="179" t="s">
        <v>4600</v>
      </c>
      <c r="S1230" s="354" t="s">
        <v>2608</v>
      </c>
      <c r="T1230" s="173"/>
      <c r="U1230" s="173"/>
      <c r="V1230" s="173"/>
      <c r="W1230" s="324" t="s">
        <v>1488</v>
      </c>
      <c r="X1230" s="656" t="s">
        <v>12327</v>
      </c>
      <c r="Y1230" s="363" t="s">
        <v>6000</v>
      </c>
      <c r="Z1230" s="176">
        <v>999</v>
      </c>
      <c r="AA1230" s="364"/>
      <c r="AB1230" s="32">
        <f t="shared" ca="1" si="21"/>
        <v>0.93849640935875378</v>
      </c>
      <c r="AC1230" s="812"/>
      <c r="AD1230" s="763"/>
      <c r="AE1230" s="951"/>
      <c r="AF1230" s="921">
        <f>IF(X1230=X1229,AF1229,0)+IF(ISNUMBER(I1230),IF(I1230&lt;1,I1230,I1230*VLOOKUP(J1230,Summary!$H$2:$I$9,2)),VLOOKUP(J1230,Summary!$J$2:$K$9,2)*IF(ISNUMBER(H1230),H1230,1))</f>
        <v>0.77714120370370365</v>
      </c>
      <c r="AG1230" s="288">
        <v>1229</v>
      </c>
      <c r="AH1230" s="94"/>
      <c r="AI1230" s="94"/>
    </row>
    <row r="1231" spans="1:35" s="43" customFormat="1" ht="12" customHeight="1" x14ac:dyDescent="0.25">
      <c r="A1231" s="490" t="s">
        <v>15267</v>
      </c>
      <c r="B1231" s="490">
        <v>4</v>
      </c>
      <c r="C1231" s="490"/>
      <c r="D1231" s="434" t="s">
        <v>1487</v>
      </c>
      <c r="E1231" s="324" t="s">
        <v>1489</v>
      </c>
      <c r="F1231" s="174">
        <v>28734</v>
      </c>
      <c r="G1231" s="175"/>
      <c r="H1231" s="176" t="s">
        <v>461</v>
      </c>
      <c r="I1231" s="176">
        <v>8</v>
      </c>
      <c r="J1231" s="900" t="s">
        <v>2755</v>
      </c>
      <c r="K1231" s="157" t="s">
        <v>5784</v>
      </c>
      <c r="L1231" s="157" t="s">
        <v>461</v>
      </c>
      <c r="M1231" s="157"/>
      <c r="N1231" s="164"/>
      <c r="O1231" s="157"/>
      <c r="P1231" s="173" t="s">
        <v>2246</v>
      </c>
      <c r="Q1231" s="157" t="s">
        <v>4705</v>
      </c>
      <c r="R1231" s="179" t="s">
        <v>4600</v>
      </c>
      <c r="S1231" s="354" t="s">
        <v>2608</v>
      </c>
      <c r="T1231" s="173"/>
      <c r="U1231" s="173"/>
      <c r="V1231" s="173"/>
      <c r="W1231" s="324" t="s">
        <v>1489</v>
      </c>
      <c r="X1231" s="656" t="s">
        <v>12327</v>
      </c>
      <c r="Y1231" s="363" t="s">
        <v>6000</v>
      </c>
      <c r="Z1231" s="176">
        <v>999</v>
      </c>
      <c r="AA1231" s="364"/>
      <c r="AB1231" s="32">
        <f t="shared" ca="1" si="21"/>
        <v>0.54361960960258293</v>
      </c>
      <c r="AC1231" s="812"/>
      <c r="AD1231" s="763"/>
      <c r="AE1231" s="951"/>
      <c r="AF1231" s="921">
        <f>IF(X1231=X1230,AF1230,0)+IF(ISNUMBER(I1231),IF(I1231&lt;1,I1231,I1231*VLOOKUP(J1231,Summary!$H$2:$I$9,2)),VLOOKUP(J1231,Summary!$J$2:$K$9,2)*IF(ISNUMBER(H1231),H1231,1))</f>
        <v>0.78269675925925919</v>
      </c>
      <c r="AG1231" s="288">
        <v>1230</v>
      </c>
      <c r="AH1231" s="94"/>
      <c r="AI1231" s="94"/>
    </row>
    <row r="1232" spans="1:35" s="43" customFormat="1" ht="12" customHeight="1" x14ac:dyDescent="0.25">
      <c r="A1232" s="490" t="s">
        <v>15267</v>
      </c>
      <c r="B1232" s="490">
        <v>4</v>
      </c>
      <c r="C1232" s="490"/>
      <c r="D1232" s="434" t="s">
        <v>1487</v>
      </c>
      <c r="E1232" s="324" t="s">
        <v>1490</v>
      </c>
      <c r="F1232" s="174">
        <v>28734</v>
      </c>
      <c r="G1232" s="175"/>
      <c r="H1232" s="176" t="s">
        <v>461</v>
      </c>
      <c r="I1232" s="176">
        <v>8</v>
      </c>
      <c r="J1232" s="900" t="s">
        <v>2755</v>
      </c>
      <c r="K1232" s="157" t="s">
        <v>5784</v>
      </c>
      <c r="L1232" s="157" t="s">
        <v>461</v>
      </c>
      <c r="M1232" s="157"/>
      <c r="N1232" s="164"/>
      <c r="O1232" s="157"/>
      <c r="P1232" s="173" t="s">
        <v>2246</v>
      </c>
      <c r="Q1232" s="157" t="s">
        <v>4705</v>
      </c>
      <c r="R1232" s="179" t="s">
        <v>4600</v>
      </c>
      <c r="S1232" s="354" t="s">
        <v>2608</v>
      </c>
      <c r="T1232" s="173"/>
      <c r="U1232" s="173"/>
      <c r="V1232" s="173"/>
      <c r="W1232" s="324" t="s">
        <v>1490</v>
      </c>
      <c r="X1232" s="656" t="s">
        <v>12327</v>
      </c>
      <c r="Y1232" s="363" t="s">
        <v>6000</v>
      </c>
      <c r="Z1232" s="176">
        <v>999</v>
      </c>
      <c r="AA1232" s="364"/>
      <c r="AB1232" s="32">
        <f t="shared" ca="1" si="21"/>
        <v>0.74534175245913648</v>
      </c>
      <c r="AC1232" s="812"/>
      <c r="AD1232" s="763"/>
      <c r="AE1232" s="951"/>
      <c r="AF1232" s="921">
        <f>IF(X1232=X1231,AF1231,0)+IF(ISNUMBER(I1232),IF(I1232&lt;1,I1232,I1232*VLOOKUP(J1232,Summary!$H$2:$I$9,2)),VLOOKUP(J1232,Summary!$J$2:$K$9,2)*IF(ISNUMBER(H1232),H1232,1))</f>
        <v>0.78825231481481473</v>
      </c>
      <c r="AG1232" s="288">
        <v>1231</v>
      </c>
      <c r="AH1232" s="94"/>
      <c r="AI1232" s="94"/>
    </row>
    <row r="1233" spans="1:35" s="43" customFormat="1" ht="12" customHeight="1" x14ac:dyDescent="0.25">
      <c r="A1233" s="488" t="s">
        <v>15267</v>
      </c>
      <c r="B1233" s="488">
        <v>4</v>
      </c>
      <c r="C1233" s="488"/>
      <c r="D1233" s="428" t="s">
        <v>1487</v>
      </c>
      <c r="E1233" s="325" t="s">
        <v>1491</v>
      </c>
      <c r="F1233" s="183">
        <v>28734</v>
      </c>
      <c r="G1233" s="184"/>
      <c r="H1233" s="185" t="s">
        <v>461</v>
      </c>
      <c r="I1233" s="185">
        <v>6</v>
      </c>
      <c r="J1233" s="901" t="s">
        <v>1796</v>
      </c>
      <c r="K1233" s="158" t="s">
        <v>5784</v>
      </c>
      <c r="L1233" s="158" t="s">
        <v>5784</v>
      </c>
      <c r="M1233" s="158"/>
      <c r="N1233" s="163"/>
      <c r="O1233" s="158"/>
      <c r="P1233" s="182" t="s">
        <v>2246</v>
      </c>
      <c r="Q1233" s="158" t="s">
        <v>4705</v>
      </c>
      <c r="R1233" s="207" t="s">
        <v>4600</v>
      </c>
      <c r="S1233" s="355" t="s">
        <v>2608</v>
      </c>
      <c r="T1233" s="182"/>
      <c r="U1233" s="182"/>
      <c r="V1233" s="182"/>
      <c r="W1233" s="325" t="s">
        <v>1491</v>
      </c>
      <c r="X1233" s="657" t="s">
        <v>12327</v>
      </c>
      <c r="Y1233" s="361" t="s">
        <v>6000</v>
      </c>
      <c r="Z1233" s="362"/>
      <c r="AA1233" s="362"/>
      <c r="AB1233" s="33">
        <f t="shared" ca="1" si="21"/>
        <v>4.7983999386007059E-2</v>
      </c>
      <c r="AC1233" s="813"/>
      <c r="AD1233" s="211"/>
      <c r="AE1233" s="949"/>
      <c r="AF1233" s="922">
        <f>IF(X1233=X1232,AF1232,0)+IF(ISNUMBER(I1233),IF(I1233&lt;1,I1233,I1233*VLOOKUP(J1233,Summary!$H$2:$I$9,2)),VLOOKUP(J1233,Summary!$J$2:$K$9,2)*IF(ISNUMBER(H1233),H1233,1))</f>
        <v>0.79033564814814805</v>
      </c>
      <c r="AG1233" s="295">
        <v>1232</v>
      </c>
      <c r="AH1233" s="94"/>
      <c r="AI1233" s="94"/>
    </row>
    <row r="1234" spans="1:35" s="43" customFormat="1" ht="12" customHeight="1" x14ac:dyDescent="0.25">
      <c r="A1234" s="490" t="s">
        <v>15267</v>
      </c>
      <c r="B1234" s="490">
        <v>4</v>
      </c>
      <c r="C1234" s="490"/>
      <c r="D1234" s="434" t="s">
        <v>1487</v>
      </c>
      <c r="E1234" s="324" t="s">
        <v>1492</v>
      </c>
      <c r="F1234" s="174">
        <v>28734</v>
      </c>
      <c r="G1234" s="175"/>
      <c r="H1234" s="176" t="s">
        <v>461</v>
      </c>
      <c r="I1234" s="176">
        <v>6</v>
      </c>
      <c r="J1234" s="900" t="s">
        <v>2755</v>
      </c>
      <c r="K1234" s="157" t="s">
        <v>5784</v>
      </c>
      <c r="L1234" s="157" t="s">
        <v>461</v>
      </c>
      <c r="M1234" s="157"/>
      <c r="N1234" s="164"/>
      <c r="O1234" s="157"/>
      <c r="P1234" s="173" t="s">
        <v>2246</v>
      </c>
      <c r="Q1234" s="157" t="s">
        <v>4705</v>
      </c>
      <c r="R1234" s="179" t="s">
        <v>4600</v>
      </c>
      <c r="S1234" s="354" t="s">
        <v>2608</v>
      </c>
      <c r="T1234" s="173"/>
      <c r="U1234" s="173"/>
      <c r="V1234" s="173"/>
      <c r="W1234" s="324" t="s">
        <v>1492</v>
      </c>
      <c r="X1234" s="656" t="s">
        <v>12327</v>
      </c>
      <c r="Y1234" s="363" t="s">
        <v>6000</v>
      </c>
      <c r="Z1234" s="176">
        <v>999</v>
      </c>
      <c r="AA1234" s="364"/>
      <c r="AB1234" s="32">
        <f t="shared" ca="1" si="21"/>
        <v>3.8819594415685499E-3</v>
      </c>
      <c r="AC1234" s="812"/>
      <c r="AD1234" s="763"/>
      <c r="AE1234" s="951"/>
      <c r="AF1234" s="921">
        <f>IF(X1234=X1233,AF1233,0)+IF(ISNUMBER(I1234),IF(I1234&lt;1,I1234,I1234*VLOOKUP(J1234,Summary!$H$2:$I$9,2)),VLOOKUP(J1234,Summary!$J$2:$K$9,2)*IF(ISNUMBER(H1234),H1234,1))</f>
        <v>0.7945023148148147</v>
      </c>
      <c r="AG1234" s="288">
        <v>1233</v>
      </c>
      <c r="AH1234" s="94"/>
      <c r="AI1234" s="94"/>
    </row>
    <row r="1235" spans="1:35" s="43" customFormat="1" ht="12" customHeight="1" x14ac:dyDescent="0.25">
      <c r="A1235" s="488" t="s">
        <v>15267</v>
      </c>
      <c r="B1235" s="488">
        <v>4</v>
      </c>
      <c r="C1235" s="488"/>
      <c r="D1235" s="428" t="s">
        <v>1487</v>
      </c>
      <c r="E1235" s="325" t="s">
        <v>1493</v>
      </c>
      <c r="F1235" s="183">
        <v>28734</v>
      </c>
      <c r="G1235" s="184"/>
      <c r="H1235" s="185" t="s">
        <v>461</v>
      </c>
      <c r="I1235" s="185">
        <v>6</v>
      </c>
      <c r="J1235" s="901" t="s">
        <v>1796</v>
      </c>
      <c r="K1235" s="158" t="s">
        <v>5784</v>
      </c>
      <c r="L1235" s="158" t="s">
        <v>5784</v>
      </c>
      <c r="M1235" s="158"/>
      <c r="N1235" s="163"/>
      <c r="O1235" s="158"/>
      <c r="P1235" s="182" t="s">
        <v>2246</v>
      </c>
      <c r="Q1235" s="158" t="s">
        <v>4705</v>
      </c>
      <c r="R1235" s="207" t="s">
        <v>4600</v>
      </c>
      <c r="S1235" s="355" t="s">
        <v>2608</v>
      </c>
      <c r="T1235" s="182"/>
      <c r="U1235" s="182"/>
      <c r="V1235" s="182"/>
      <c r="W1235" s="325" t="s">
        <v>1493</v>
      </c>
      <c r="X1235" s="657" t="s">
        <v>12327</v>
      </c>
      <c r="Y1235" s="361" t="s">
        <v>6000</v>
      </c>
      <c r="Z1235" s="362"/>
      <c r="AA1235" s="362"/>
      <c r="AB1235" s="33">
        <f t="shared" ca="1" si="21"/>
        <v>0.99078002495214168</v>
      </c>
      <c r="AC1235" s="813"/>
      <c r="AD1235" s="211"/>
      <c r="AE1235" s="949"/>
      <c r="AF1235" s="922">
        <f>IF(X1235=X1234,AF1234,0)+IF(ISNUMBER(I1235),IF(I1235&lt;1,I1235,I1235*VLOOKUP(J1235,Summary!$H$2:$I$9,2)),VLOOKUP(J1235,Summary!$J$2:$K$9,2)*IF(ISNUMBER(H1235),H1235,1))</f>
        <v>0.79658564814814803</v>
      </c>
      <c r="AG1235" s="295">
        <v>1234</v>
      </c>
      <c r="AH1235" s="94"/>
      <c r="AI1235" s="94"/>
    </row>
    <row r="1236" spans="1:35" s="3" customFormat="1" ht="12" customHeight="1" x14ac:dyDescent="0.25">
      <c r="A1236" s="490" t="s">
        <v>15267</v>
      </c>
      <c r="B1236" s="490">
        <v>4</v>
      </c>
      <c r="C1236" s="490"/>
      <c r="D1236" s="434" t="s">
        <v>1487</v>
      </c>
      <c r="E1236" s="324" t="s">
        <v>1494</v>
      </c>
      <c r="F1236" s="174">
        <v>28734</v>
      </c>
      <c r="G1236" s="175"/>
      <c r="H1236" s="176" t="s">
        <v>461</v>
      </c>
      <c r="I1236" s="176">
        <v>8</v>
      </c>
      <c r="J1236" s="900" t="s">
        <v>2755</v>
      </c>
      <c r="K1236" s="157" t="s">
        <v>5784</v>
      </c>
      <c r="L1236" s="157" t="s">
        <v>461</v>
      </c>
      <c r="M1236" s="157"/>
      <c r="N1236" s="164"/>
      <c r="O1236" s="157"/>
      <c r="P1236" s="173" t="s">
        <v>2246</v>
      </c>
      <c r="Q1236" s="157" t="s">
        <v>4705</v>
      </c>
      <c r="R1236" s="179" t="s">
        <v>4600</v>
      </c>
      <c r="S1236" s="354" t="s">
        <v>2608</v>
      </c>
      <c r="T1236" s="173"/>
      <c r="U1236" s="173"/>
      <c r="V1236" s="173"/>
      <c r="W1236" s="324" t="s">
        <v>1494</v>
      </c>
      <c r="X1236" s="656" t="s">
        <v>12327</v>
      </c>
      <c r="Y1236" s="363" t="s">
        <v>6000</v>
      </c>
      <c r="Z1236" s="176">
        <v>999</v>
      </c>
      <c r="AA1236" s="364"/>
      <c r="AB1236" s="32">
        <f t="shared" ca="1" si="21"/>
        <v>0.99290526500338627</v>
      </c>
      <c r="AC1236" s="812"/>
      <c r="AD1236" s="763"/>
      <c r="AE1236" s="951"/>
      <c r="AF1236" s="921">
        <f>IF(X1236=X1235,AF1235,0)+IF(ISNUMBER(I1236),IF(I1236&lt;1,I1236,I1236*VLOOKUP(J1236,Summary!$H$2:$I$9,2)),VLOOKUP(J1236,Summary!$J$2:$K$9,2)*IF(ISNUMBER(H1236),H1236,1))</f>
        <v>0.80214120370370356</v>
      </c>
      <c r="AG1236" s="288">
        <v>1235</v>
      </c>
      <c r="AH1236" s="94"/>
      <c r="AI1236" s="94"/>
    </row>
    <row r="1237" spans="1:35" s="29" customFormat="1" ht="12" customHeight="1" x14ac:dyDescent="0.25">
      <c r="A1237" s="494" t="s">
        <v>15267</v>
      </c>
      <c r="B1237" s="494">
        <v>4</v>
      </c>
      <c r="C1237" s="495">
        <v>0.36</v>
      </c>
      <c r="D1237" s="192" t="s">
        <v>15410</v>
      </c>
      <c r="E1237" s="317" t="s">
        <v>15411</v>
      </c>
      <c r="F1237" s="209">
        <v>43354</v>
      </c>
      <c r="G1237" s="209"/>
      <c r="H1237" s="192" t="s">
        <v>461</v>
      </c>
      <c r="I1237" s="753"/>
      <c r="J1237" s="903" t="s">
        <v>2755</v>
      </c>
      <c r="K1237" s="194" t="s">
        <v>15412</v>
      </c>
      <c r="L1237" s="194" t="s">
        <v>3365</v>
      </c>
      <c r="M1237" s="194" t="s">
        <v>9290</v>
      </c>
      <c r="N1237" s="194"/>
      <c r="O1237" s="194"/>
      <c r="P1237" s="190" t="s">
        <v>461</v>
      </c>
      <c r="Q1237" s="194" t="s">
        <v>3947</v>
      </c>
      <c r="R1237" s="193" t="s">
        <v>2722</v>
      </c>
      <c r="S1237" s="357" t="s">
        <v>2608</v>
      </c>
      <c r="T1237" s="190"/>
      <c r="U1237" s="190"/>
      <c r="V1237" s="190"/>
      <c r="W1237" s="317" t="s">
        <v>15411</v>
      </c>
      <c r="X1237" s="649" t="s">
        <v>12327</v>
      </c>
      <c r="Y1237" s="357"/>
      <c r="Z1237" s="176"/>
      <c r="AA1237" s="192"/>
      <c r="AB1237" s="37">
        <f t="shared" ca="1" si="21"/>
        <v>6.9721410602925915E-2</v>
      </c>
      <c r="AC1237" s="816"/>
      <c r="AD1237" s="817"/>
      <c r="AE1237" s="943"/>
      <c r="AF1237" s="924">
        <f>IF(X1237=X1236,AF1236,0)+IF(ISNUMBER(I1237),IF(I1237&lt;1,I1237,I1237*VLOOKUP(J1237,Summary!$H$2:$I$9,2)),VLOOKUP(J1237,Summary!$J$2:$K$9,2)*IF(ISNUMBER(H1237),H1237,1))</f>
        <v>0.81950231481481473</v>
      </c>
      <c r="AG1237" s="292">
        <v>1236</v>
      </c>
      <c r="AH1237" s="94"/>
      <c r="AI1237" s="94"/>
    </row>
    <row r="1238" spans="1:35" s="27" customFormat="1" ht="12" customHeight="1" x14ac:dyDescent="0.25">
      <c r="A1238" s="484" t="s">
        <v>15267</v>
      </c>
      <c r="B1238" s="484">
        <v>4</v>
      </c>
      <c r="C1238" s="504">
        <v>7.06</v>
      </c>
      <c r="D1238" s="407" t="s">
        <v>2593</v>
      </c>
      <c r="E1238" s="315" t="s">
        <v>2594</v>
      </c>
      <c r="F1238" s="169">
        <v>41244</v>
      </c>
      <c r="G1238" s="170"/>
      <c r="H1238" s="170">
        <v>2</v>
      </c>
      <c r="I1238" s="746">
        <f>TIME(1,9,32)</f>
        <v>4.8287037037037038E-2</v>
      </c>
      <c r="J1238" s="899" t="s">
        <v>4706</v>
      </c>
      <c r="K1238" s="167" t="s">
        <v>7757</v>
      </c>
      <c r="L1238" s="167" t="s">
        <v>7757</v>
      </c>
      <c r="M1238" s="167" t="s">
        <v>1209</v>
      </c>
      <c r="N1238" s="167"/>
      <c r="O1238" s="167"/>
      <c r="P1238" s="168" t="s">
        <v>1208</v>
      </c>
      <c r="Q1238" s="167" t="s">
        <v>3947</v>
      </c>
      <c r="R1238" s="172" t="s">
        <v>3153</v>
      </c>
      <c r="S1238" s="388" t="s">
        <v>2608</v>
      </c>
      <c r="T1238" s="168"/>
      <c r="U1238" s="168"/>
      <c r="V1238" s="168"/>
      <c r="W1238" s="312" t="s">
        <v>8495</v>
      </c>
      <c r="X1238" s="644" t="s">
        <v>12327</v>
      </c>
      <c r="Y1238" s="352" t="s">
        <v>5643</v>
      </c>
      <c r="Z1238" s="353">
        <v>639</v>
      </c>
      <c r="AA1238" s="353">
        <v>3</v>
      </c>
      <c r="AB1238" s="31">
        <f t="shared" ca="1" si="21"/>
        <v>0.61734884858371997</v>
      </c>
      <c r="AC1238" s="810"/>
      <c r="AD1238" s="811"/>
      <c r="AE1238" s="940"/>
      <c r="AF1238" s="920">
        <f>IF(X1238=X1237,AF1237,0)+IF(ISNUMBER(I1238),IF(I1238&lt;1,I1238,I1238*VLOOKUP(J1238,Summary!$H$2:$I$9,2)),VLOOKUP(J1238,Summary!$J$2:$K$9,2)*IF(ISNUMBER(H1238),H1238,1))</f>
        <v>0.8677893518518518</v>
      </c>
      <c r="AG1238" s="287">
        <v>1237</v>
      </c>
      <c r="AH1238" s="119"/>
      <c r="AI1238" s="119"/>
    </row>
    <row r="1239" spans="1:35" s="2" customFormat="1" ht="12" customHeight="1" x14ac:dyDescent="0.25">
      <c r="A1239" s="490" t="s">
        <v>15267</v>
      </c>
      <c r="B1239" s="490">
        <v>4</v>
      </c>
      <c r="C1239" s="490">
        <v>14.25</v>
      </c>
      <c r="D1239" s="434" t="s">
        <v>1475</v>
      </c>
      <c r="E1239" s="324" t="s">
        <v>1476</v>
      </c>
      <c r="F1239" s="174">
        <v>38322</v>
      </c>
      <c r="G1239" s="174"/>
      <c r="H1239" s="176">
        <v>1</v>
      </c>
      <c r="I1239" s="176">
        <v>8</v>
      </c>
      <c r="J1239" s="900" t="s">
        <v>2755</v>
      </c>
      <c r="K1239" s="164" t="s">
        <v>6235</v>
      </c>
      <c r="L1239" s="164" t="s">
        <v>461</v>
      </c>
      <c r="M1239" s="164"/>
      <c r="N1239" s="164" t="s">
        <v>3807</v>
      </c>
      <c r="O1239" s="164"/>
      <c r="P1239" s="173" t="s">
        <v>6565</v>
      </c>
      <c r="Q1239" s="164" t="s">
        <v>3947</v>
      </c>
      <c r="R1239" s="179" t="s">
        <v>2723</v>
      </c>
      <c r="S1239" s="354" t="s">
        <v>2608</v>
      </c>
      <c r="T1239" s="173"/>
      <c r="U1239" s="173"/>
      <c r="V1239" s="173"/>
      <c r="W1239" s="324" t="s">
        <v>1476</v>
      </c>
      <c r="X1239" s="656" t="s">
        <v>12327</v>
      </c>
      <c r="Y1239" s="354"/>
      <c r="Z1239" s="176"/>
      <c r="AA1239" s="176"/>
      <c r="AB1239" s="32">
        <f t="shared" ca="1" si="21"/>
        <v>0.26198576312801047</v>
      </c>
      <c r="AC1239" s="812"/>
      <c r="AD1239" s="763"/>
      <c r="AE1239" s="951"/>
      <c r="AF1239" s="921">
        <f>IF(X1239=X1238,AF1238,0)+IF(ISNUMBER(I1239),IF(I1239&lt;1,I1239,I1239*VLOOKUP(J1239,Summary!$H$2:$I$9,2)),VLOOKUP(J1239,Summary!$J$2:$K$9,2)*IF(ISNUMBER(H1239),H1239,1))</f>
        <v>0.87334490740740733</v>
      </c>
      <c r="AG1239" s="288">
        <v>1238</v>
      </c>
      <c r="AH1239" s="94"/>
      <c r="AI1239" s="94"/>
    </row>
    <row r="1240" spans="1:35" s="1" customFormat="1" ht="12" customHeight="1" x14ac:dyDescent="0.25">
      <c r="A1240" s="490" t="s">
        <v>15267</v>
      </c>
      <c r="B1240" s="490">
        <v>4</v>
      </c>
      <c r="C1240" s="490">
        <v>16.05</v>
      </c>
      <c r="D1240" s="434" t="s">
        <v>1477</v>
      </c>
      <c r="E1240" s="324" t="s">
        <v>1478</v>
      </c>
      <c r="F1240" s="174">
        <v>38473</v>
      </c>
      <c r="G1240" s="174"/>
      <c r="H1240" s="176">
        <v>1</v>
      </c>
      <c r="I1240" s="176">
        <v>12</v>
      </c>
      <c r="J1240" s="900" t="s">
        <v>2755</v>
      </c>
      <c r="K1240" s="164" t="s">
        <v>7381</v>
      </c>
      <c r="L1240" s="164" t="s">
        <v>461</v>
      </c>
      <c r="M1240" s="164"/>
      <c r="N1240" s="164" t="s">
        <v>7381</v>
      </c>
      <c r="O1240" s="164"/>
      <c r="P1240" s="173" t="s">
        <v>1652</v>
      </c>
      <c r="Q1240" s="164" t="s">
        <v>3947</v>
      </c>
      <c r="R1240" s="179" t="s">
        <v>2723</v>
      </c>
      <c r="S1240" s="354" t="s">
        <v>2608</v>
      </c>
      <c r="T1240" s="173"/>
      <c r="U1240" s="173"/>
      <c r="V1240" s="173"/>
      <c r="W1240" s="324" t="s">
        <v>1478</v>
      </c>
      <c r="X1240" s="656" t="s">
        <v>12327</v>
      </c>
      <c r="Y1240" s="354"/>
      <c r="Z1240" s="176"/>
      <c r="AA1240" s="176"/>
      <c r="AB1240" s="32">
        <f t="shared" ca="1" si="21"/>
        <v>0.17975067698161884</v>
      </c>
      <c r="AC1240" s="812"/>
      <c r="AD1240" s="763"/>
      <c r="AE1240" s="951"/>
      <c r="AF1240" s="921">
        <f>IF(X1240=X1239,AF1239,0)+IF(ISNUMBER(I1240),IF(I1240&lt;1,I1240,I1240*VLOOKUP(J1240,Summary!$H$2:$I$9,2)),VLOOKUP(J1240,Summary!$J$2:$K$9,2)*IF(ISNUMBER(H1240),H1240,1))</f>
        <v>0.88167824074074064</v>
      </c>
      <c r="AG1240" s="288">
        <v>1239</v>
      </c>
      <c r="AH1240" s="94"/>
      <c r="AI1240" s="94"/>
    </row>
    <row r="1241" spans="1:35" s="43" customFormat="1" ht="12" customHeight="1" x14ac:dyDescent="0.25">
      <c r="A1241" s="484" t="s">
        <v>15268</v>
      </c>
      <c r="B1241" s="484">
        <v>4</v>
      </c>
      <c r="C1241" s="502">
        <v>7.1</v>
      </c>
      <c r="D1241" s="407" t="s">
        <v>8550</v>
      </c>
      <c r="E1241" s="315" t="s">
        <v>8552</v>
      </c>
      <c r="F1241" s="196">
        <v>41887</v>
      </c>
      <c r="G1241" s="170"/>
      <c r="H1241" s="170">
        <v>6</v>
      </c>
      <c r="I1241" s="746">
        <f>TIME(2,52,35)</f>
        <v>0.11984953703703705</v>
      </c>
      <c r="J1241" s="899" t="s">
        <v>4706</v>
      </c>
      <c r="K1241" s="167" t="s">
        <v>8549</v>
      </c>
      <c r="L1241" s="167" t="s">
        <v>2313</v>
      </c>
      <c r="M1241" s="167"/>
      <c r="N1241" s="167"/>
      <c r="O1241" s="167" t="s">
        <v>3295</v>
      </c>
      <c r="P1241" s="168" t="s">
        <v>12135</v>
      </c>
      <c r="Q1241" s="167" t="s">
        <v>3947</v>
      </c>
      <c r="R1241" s="172" t="s">
        <v>3147</v>
      </c>
      <c r="S1241" s="388" t="s">
        <v>2608</v>
      </c>
      <c r="T1241" s="168"/>
      <c r="U1241" s="168"/>
      <c r="V1241" s="168"/>
      <c r="W1241" s="312" t="s">
        <v>12563</v>
      </c>
      <c r="X1241" s="644" t="s">
        <v>12509</v>
      </c>
      <c r="Y1241" s="352" t="s">
        <v>5643</v>
      </c>
      <c r="Z1241" s="353">
        <v>382</v>
      </c>
      <c r="AA1241" s="353">
        <v>5</v>
      </c>
      <c r="AB1241" s="31">
        <f t="shared" ca="1" si="21"/>
        <v>0.16403761925377658</v>
      </c>
      <c r="AC1241" s="810"/>
      <c r="AD1241" s="811"/>
      <c r="AE1241" s="940"/>
      <c r="AF1241" s="920">
        <f>IF(X1241=X1240,AF1240,0)+IF(ISNUMBER(I1241),IF(I1241&lt;1,I1241,I1241*VLOOKUP(J1241,Summary!$H$2:$I$9,2)),VLOOKUP(J1241,Summary!$J$2:$K$9,2)*IF(ISNUMBER(H1241),H1241,1))</f>
        <v>0.11984953703703705</v>
      </c>
      <c r="AG1241" s="287">
        <v>1240</v>
      </c>
      <c r="AH1241" s="94"/>
      <c r="AI1241" s="94"/>
    </row>
    <row r="1242" spans="1:35" s="1" customFormat="1" ht="12" customHeight="1" x14ac:dyDescent="0.25">
      <c r="A1242" s="484" t="s">
        <v>15268</v>
      </c>
      <c r="B1242" s="484">
        <v>4</v>
      </c>
      <c r="C1242" s="502">
        <v>7.2</v>
      </c>
      <c r="D1242" s="407" t="s">
        <v>8551</v>
      </c>
      <c r="E1242" s="315" t="s">
        <v>8553</v>
      </c>
      <c r="F1242" s="196">
        <v>41887</v>
      </c>
      <c r="G1242" s="170"/>
      <c r="H1242" s="170">
        <v>4</v>
      </c>
      <c r="I1242" s="746">
        <f>TIME(1,58,4)</f>
        <v>8.1990740740740739E-2</v>
      </c>
      <c r="J1242" s="899" t="s">
        <v>4706</v>
      </c>
      <c r="K1242" s="167" t="s">
        <v>8549</v>
      </c>
      <c r="L1242" s="167" t="s">
        <v>2313</v>
      </c>
      <c r="M1242" s="167"/>
      <c r="N1242" s="167"/>
      <c r="O1242" s="167" t="s">
        <v>3295</v>
      </c>
      <c r="P1242" s="168" t="s">
        <v>12135</v>
      </c>
      <c r="Q1242" s="167" t="s">
        <v>3947</v>
      </c>
      <c r="R1242" s="172" t="s">
        <v>3147</v>
      </c>
      <c r="S1242" s="388" t="s">
        <v>2608</v>
      </c>
      <c r="T1242" s="168"/>
      <c r="U1242" s="168"/>
      <c r="V1242" s="168"/>
      <c r="W1242" s="312" t="s">
        <v>14268</v>
      </c>
      <c r="X1242" s="644" t="s">
        <v>12509</v>
      </c>
      <c r="Y1242" s="352" t="s">
        <v>5643</v>
      </c>
      <c r="Z1242" s="353">
        <v>525</v>
      </c>
      <c r="AA1242" s="353">
        <v>4</v>
      </c>
      <c r="AB1242" s="31">
        <f t="shared" ca="1" si="21"/>
        <v>1.4144883383406359E-2</v>
      </c>
      <c r="AC1242" s="810"/>
      <c r="AD1242" s="811"/>
      <c r="AE1242" s="940"/>
      <c r="AF1242" s="920">
        <f>IF(X1242=X1241,AF1241,0)+IF(ISNUMBER(I1242),IF(I1242&lt;1,I1242,I1242*VLOOKUP(J1242,Summary!$H$2:$I$9,2)),VLOOKUP(J1242,Summary!$J$2:$K$9,2)*IF(ISNUMBER(H1242),H1242,1))</f>
        <v>0.2018402777777778</v>
      </c>
      <c r="AG1242" s="287">
        <v>1241</v>
      </c>
      <c r="AH1242" s="94"/>
      <c r="AI1242" s="94"/>
    </row>
    <row r="1243" spans="1:35" s="43" customFormat="1" ht="12" customHeight="1" x14ac:dyDescent="0.25">
      <c r="A1243" s="484" t="s">
        <v>15268</v>
      </c>
      <c r="B1243" s="484">
        <v>4</v>
      </c>
      <c r="C1243" s="504">
        <v>8</v>
      </c>
      <c r="D1243" s="407" t="s">
        <v>12136</v>
      </c>
      <c r="E1243" s="315" t="s">
        <v>12128</v>
      </c>
      <c r="F1243" s="196">
        <v>42619</v>
      </c>
      <c r="G1243" s="170"/>
      <c r="H1243" s="170">
        <v>6</v>
      </c>
      <c r="I1243" s="747">
        <f>TIME(3,0,0)</f>
        <v>0.125</v>
      </c>
      <c r="J1243" s="899" t="s">
        <v>4706</v>
      </c>
      <c r="K1243" s="167" t="s">
        <v>8549</v>
      </c>
      <c r="L1243" s="167" t="s">
        <v>2313</v>
      </c>
      <c r="M1243" s="167"/>
      <c r="N1243" s="167"/>
      <c r="O1243" s="167" t="s">
        <v>3295</v>
      </c>
      <c r="P1243" s="168" t="s">
        <v>12130</v>
      </c>
      <c r="Q1243" s="167" t="s">
        <v>3947</v>
      </c>
      <c r="R1243" s="172" t="s">
        <v>3147</v>
      </c>
      <c r="S1243" s="388" t="s">
        <v>2608</v>
      </c>
      <c r="T1243" s="168"/>
      <c r="U1243" s="168"/>
      <c r="V1243" s="168"/>
      <c r="W1243" s="312"/>
      <c r="X1243" s="644" t="s">
        <v>12509</v>
      </c>
      <c r="Y1243" s="352"/>
      <c r="Z1243" s="353"/>
      <c r="AA1243" s="353"/>
      <c r="AB1243" s="31">
        <f t="shared" ca="1" si="21"/>
        <v>0.55803149532612917</v>
      </c>
      <c r="AC1243" s="810"/>
      <c r="AD1243" s="811"/>
      <c r="AE1243" s="940"/>
      <c r="AF1243" s="920">
        <f>IF(X1243=X1242,AF1242,0)+IF(ISNUMBER(I1243),IF(I1243&lt;1,I1243,I1243*VLOOKUP(J1243,Summary!$H$2:$I$9,2)),VLOOKUP(J1243,Summary!$J$2:$K$9,2)*IF(ISNUMBER(H1243),H1243,1))</f>
        <v>0.3268402777777778</v>
      </c>
      <c r="AG1243" s="287">
        <v>1242</v>
      </c>
      <c r="AH1243" s="94"/>
      <c r="AI1243" s="94"/>
    </row>
    <row r="1244" spans="1:35" s="1" customFormat="1" ht="12" customHeight="1" x14ac:dyDescent="0.25">
      <c r="A1244" s="484" t="s">
        <v>15268</v>
      </c>
      <c r="B1244" s="484">
        <v>4</v>
      </c>
      <c r="C1244" s="504">
        <v>9</v>
      </c>
      <c r="D1244" s="407" t="s">
        <v>12137</v>
      </c>
      <c r="E1244" s="315" t="s">
        <v>12129</v>
      </c>
      <c r="F1244" s="196">
        <v>42836</v>
      </c>
      <c r="G1244" s="170"/>
      <c r="H1244" s="170">
        <v>4</v>
      </c>
      <c r="I1244" s="747">
        <f>TIME(0,120,0)</f>
        <v>8.3333333333333329E-2</v>
      </c>
      <c r="J1244" s="899" t="s">
        <v>4706</v>
      </c>
      <c r="K1244" s="167" t="s">
        <v>8549</v>
      </c>
      <c r="L1244" s="167" t="s">
        <v>2313</v>
      </c>
      <c r="M1244" s="167"/>
      <c r="N1244" s="167"/>
      <c r="O1244" s="167" t="s">
        <v>3295</v>
      </c>
      <c r="P1244" s="168" t="s">
        <v>12131</v>
      </c>
      <c r="Q1244" s="167" t="s">
        <v>3947</v>
      </c>
      <c r="R1244" s="172" t="s">
        <v>3147</v>
      </c>
      <c r="S1244" s="388" t="s">
        <v>2608</v>
      </c>
      <c r="T1244" s="168"/>
      <c r="U1244" s="168"/>
      <c r="V1244" s="168"/>
      <c r="W1244" s="312"/>
      <c r="X1244" s="644" t="s">
        <v>12509</v>
      </c>
      <c r="Y1244" s="352"/>
      <c r="Z1244" s="353"/>
      <c r="AA1244" s="353"/>
      <c r="AB1244" s="31">
        <f t="shared" ca="1" si="21"/>
        <v>0.98434299977473527</v>
      </c>
      <c r="AC1244" s="810"/>
      <c r="AD1244" s="811"/>
      <c r="AE1244" s="940"/>
      <c r="AF1244" s="920">
        <f>IF(X1244=X1243,AF1243,0)+IF(ISNUMBER(I1244),IF(I1244&lt;1,I1244,I1244*VLOOKUP(J1244,Summary!$H$2:$I$9,2)),VLOOKUP(J1244,Summary!$J$2:$K$9,2)*IF(ISNUMBER(H1244),H1244,1))</f>
        <v>0.41017361111111111</v>
      </c>
      <c r="AG1244" s="287">
        <v>1243</v>
      </c>
      <c r="AH1244" s="94"/>
      <c r="AI1244" s="94"/>
    </row>
    <row r="1245" spans="1:35" s="26" customFormat="1" ht="12" customHeight="1" x14ac:dyDescent="0.2">
      <c r="A1245" s="484" t="s">
        <v>15268</v>
      </c>
      <c r="B1245" s="484">
        <v>4</v>
      </c>
      <c r="C1245" s="505">
        <v>3.01</v>
      </c>
      <c r="D1245" s="407" t="s">
        <v>7175</v>
      </c>
      <c r="E1245" s="315" t="s">
        <v>7176</v>
      </c>
      <c r="F1245" s="169">
        <v>40909</v>
      </c>
      <c r="G1245" s="170"/>
      <c r="H1245" s="170">
        <v>6</v>
      </c>
      <c r="I1245" s="747">
        <f>TIME(3,0,0)</f>
        <v>0.125</v>
      </c>
      <c r="J1245" s="899" t="s">
        <v>4706</v>
      </c>
      <c r="K1245" s="167" t="s">
        <v>6801</v>
      </c>
      <c r="L1245" s="167" t="s">
        <v>2313</v>
      </c>
      <c r="M1245" s="167"/>
      <c r="N1245" s="167"/>
      <c r="O1245" s="167" t="s">
        <v>2500</v>
      </c>
      <c r="P1245" s="168" t="s">
        <v>5603</v>
      </c>
      <c r="Q1245" s="167" t="s">
        <v>3947</v>
      </c>
      <c r="R1245" s="172" t="s">
        <v>6992</v>
      </c>
      <c r="S1245" s="388" t="s">
        <v>2608</v>
      </c>
      <c r="T1245" s="168"/>
      <c r="U1245" s="168"/>
      <c r="V1245" s="168"/>
      <c r="W1245" s="312" t="s">
        <v>10341</v>
      </c>
      <c r="X1245" s="644" t="s">
        <v>12509</v>
      </c>
      <c r="Y1245" s="352" t="s">
        <v>11456</v>
      </c>
      <c r="Z1245" s="353">
        <v>423</v>
      </c>
      <c r="AA1245" s="353">
        <v>4.5</v>
      </c>
      <c r="AB1245" s="31">
        <f t="shared" ca="1" si="21"/>
        <v>0.46234911438569848</v>
      </c>
      <c r="AC1245" s="810"/>
      <c r="AD1245" s="811"/>
      <c r="AE1245" s="940"/>
      <c r="AF1245" s="920">
        <f>IF(X1245=X1244,AF1244,0)+IF(ISNUMBER(I1245),IF(I1245&lt;1,I1245,I1245*VLOOKUP(J1245,Summary!$H$2:$I$9,2)),VLOOKUP(J1245,Summary!$J$2:$K$9,2)*IF(ISNUMBER(H1245),H1245,1))</f>
        <v>0.53517361111111117</v>
      </c>
      <c r="AG1245" s="287">
        <v>1244</v>
      </c>
      <c r="AH1245" s="94"/>
      <c r="AI1245" s="94"/>
    </row>
    <row r="1246" spans="1:35" s="9" customFormat="1" ht="12" customHeight="1" x14ac:dyDescent="0.25">
      <c r="A1246" s="492" t="s">
        <v>15268</v>
      </c>
      <c r="B1246" s="492">
        <v>4</v>
      </c>
      <c r="C1246" s="492">
        <v>50</v>
      </c>
      <c r="D1246" s="417" t="s">
        <v>1933</v>
      </c>
      <c r="E1246" s="316" t="s">
        <v>1931</v>
      </c>
      <c r="F1246" s="187">
        <v>37288</v>
      </c>
      <c r="G1246" s="188"/>
      <c r="H1246" s="188" t="str">
        <f>IF(J1246="Book","n/a","")</f>
        <v>n/a</v>
      </c>
      <c r="I1246" s="188">
        <v>288</v>
      </c>
      <c r="J1246" s="902" t="s">
        <v>6868</v>
      </c>
      <c r="K1246" s="162" t="s">
        <v>2308</v>
      </c>
      <c r="L1246" s="162" t="str">
        <f>IF(J1246="Book","n/a","")</f>
        <v>n/a</v>
      </c>
      <c r="M1246" s="162"/>
      <c r="N1246" s="162"/>
      <c r="O1246" s="162"/>
      <c r="P1246" s="178" t="s">
        <v>8974</v>
      </c>
      <c r="Q1246" s="162" t="s">
        <v>3953</v>
      </c>
      <c r="R1246" s="189" t="s">
        <v>2717</v>
      </c>
      <c r="S1246" s="366" t="s">
        <v>2608</v>
      </c>
      <c r="T1246" s="178"/>
      <c r="U1246" s="178"/>
      <c r="V1246" s="178"/>
      <c r="W1246" s="316" t="s">
        <v>1931</v>
      </c>
      <c r="X1246" s="648" t="s">
        <v>12509</v>
      </c>
      <c r="Y1246" s="356"/>
      <c r="Z1246" s="272"/>
      <c r="AA1246" s="272"/>
      <c r="AB1246" s="34">
        <f t="shared" ca="1" si="21"/>
        <v>0.74709648206400281</v>
      </c>
      <c r="AC1246" s="814"/>
      <c r="AD1246" s="815" t="s">
        <v>15829</v>
      </c>
      <c r="AE1246" s="942" t="s">
        <v>12543</v>
      </c>
      <c r="AF1246" s="923">
        <f>IF(X1246=X1245,AF1245,0)+IF(ISNUMBER(I1246),IF(I1246&lt;1,I1246,I1246*VLOOKUP(J1246,Summary!$H$2:$I$9,2)),VLOOKUP(J1246,Summary!$J$2:$K$9,2)*IF(ISNUMBER(H1246),H1246,1))</f>
        <v>0.73517361111111112</v>
      </c>
      <c r="AG1246" s="291">
        <v>1245</v>
      </c>
      <c r="AH1246" s="94"/>
      <c r="AI1246" s="94"/>
    </row>
    <row r="1247" spans="1:35" s="1" customFormat="1" ht="12" customHeight="1" x14ac:dyDescent="0.25">
      <c r="A1247" s="490" t="s">
        <v>15268</v>
      </c>
      <c r="B1247" s="490">
        <v>4</v>
      </c>
      <c r="C1247" s="490"/>
      <c r="D1247" s="176" t="s">
        <v>12138</v>
      </c>
      <c r="E1247" s="313" t="s">
        <v>12139</v>
      </c>
      <c r="F1247" s="174">
        <v>28369</v>
      </c>
      <c r="G1247" s="175"/>
      <c r="H1247" s="176" t="s">
        <v>461</v>
      </c>
      <c r="I1247" s="176"/>
      <c r="J1247" s="900" t="s">
        <v>2755</v>
      </c>
      <c r="K1247" s="164" t="s">
        <v>5784</v>
      </c>
      <c r="L1247" s="164"/>
      <c r="M1247" s="164"/>
      <c r="N1247" s="164"/>
      <c r="O1247" s="164"/>
      <c r="P1247" s="173" t="s">
        <v>461</v>
      </c>
      <c r="Q1247" s="164" t="s">
        <v>3546</v>
      </c>
      <c r="R1247" s="177" t="s">
        <v>5267</v>
      </c>
      <c r="S1247" s="354" t="s">
        <v>2608</v>
      </c>
      <c r="T1247" s="173"/>
      <c r="U1247" s="173"/>
      <c r="V1247" s="173"/>
      <c r="W1247" s="313" t="s">
        <v>12139</v>
      </c>
      <c r="X1247" s="645" t="s">
        <v>12509</v>
      </c>
      <c r="Y1247" s="354"/>
      <c r="Z1247" s="176"/>
      <c r="AA1247" s="176"/>
      <c r="AB1247" s="32">
        <f t="shared" ca="1" si="21"/>
        <v>0.11503063268569591</v>
      </c>
      <c r="AC1247" s="812"/>
      <c r="AD1247" s="763"/>
      <c r="AE1247" s="878"/>
      <c r="AF1247" s="921">
        <f>IF(X1247=X1246,AF1246,0)+IF(ISNUMBER(I1247),IF(I1247&lt;1,I1247,I1247*VLOOKUP(J1247,Summary!$H$2:$I$9,2)),VLOOKUP(J1247,Summary!$J$2:$K$9,2)*IF(ISNUMBER(H1247),H1247,1))</f>
        <v>0.75253472222222229</v>
      </c>
      <c r="AG1247" s="289">
        <v>1246</v>
      </c>
      <c r="AH1247" s="94"/>
      <c r="AI1247" s="94"/>
    </row>
    <row r="1248" spans="1:35" s="22" customFormat="1" ht="12" customHeight="1" x14ac:dyDescent="0.25">
      <c r="A1248" s="494" t="s">
        <v>15268</v>
      </c>
      <c r="B1248" s="494">
        <v>4</v>
      </c>
      <c r="C1248" s="495">
        <v>0.22</v>
      </c>
      <c r="D1248" s="192" t="s">
        <v>13135</v>
      </c>
      <c r="E1248" s="317" t="s">
        <v>10243</v>
      </c>
      <c r="F1248" s="191">
        <v>42036</v>
      </c>
      <c r="G1248" s="191"/>
      <c r="H1248" s="192" t="s">
        <v>461</v>
      </c>
      <c r="I1248" s="753"/>
      <c r="J1248" s="903" t="s">
        <v>2755</v>
      </c>
      <c r="K1248" s="194" t="s">
        <v>10244</v>
      </c>
      <c r="L1248" s="194" t="s">
        <v>3365</v>
      </c>
      <c r="M1248" s="194" t="s">
        <v>9290</v>
      </c>
      <c r="N1248" s="194"/>
      <c r="O1248" s="194"/>
      <c r="P1248" s="190" t="s">
        <v>461</v>
      </c>
      <c r="Q1248" s="194" t="s">
        <v>3947</v>
      </c>
      <c r="R1248" s="193" t="s">
        <v>2722</v>
      </c>
      <c r="S1248" s="357" t="s">
        <v>2608</v>
      </c>
      <c r="T1248" s="190"/>
      <c r="U1248" s="190"/>
      <c r="V1248" s="190"/>
      <c r="W1248" s="317" t="s">
        <v>10243</v>
      </c>
      <c r="X1248" s="649" t="s">
        <v>12509</v>
      </c>
      <c r="Y1248" s="357"/>
      <c r="Z1248" s="192"/>
      <c r="AA1248" s="192"/>
      <c r="AB1248" s="37">
        <f t="shared" ca="1" si="21"/>
        <v>0.11576770727916885</v>
      </c>
      <c r="AC1248" s="816"/>
      <c r="AD1248" s="817"/>
      <c r="AE1248" s="943"/>
      <c r="AF1248" s="924">
        <f>IF(X1248=X1247,AF1247,0)+IF(ISNUMBER(I1248),IF(I1248&lt;1,I1248,I1248*VLOOKUP(J1248,Summary!$H$2:$I$9,2)),VLOOKUP(J1248,Summary!$J$2:$K$9,2)*IF(ISNUMBER(H1248),H1248,1))</f>
        <v>0.76989583333333345</v>
      </c>
      <c r="AG1248" s="292">
        <v>1247</v>
      </c>
      <c r="AH1248" s="94"/>
      <c r="AI1248" s="94"/>
    </row>
    <row r="1249" spans="1:35" s="8" customFormat="1" ht="12" customHeight="1" x14ac:dyDescent="0.25">
      <c r="A1249" s="478"/>
      <c r="B1249" s="478" t="s">
        <v>2650</v>
      </c>
      <c r="C1249" s="478">
        <v>5</v>
      </c>
      <c r="D1249" s="192" t="s">
        <v>13418</v>
      </c>
      <c r="E1249" s="317" t="s">
        <v>13419</v>
      </c>
      <c r="F1249" s="209">
        <v>42278</v>
      </c>
      <c r="G1249" s="209"/>
      <c r="H1249" s="192">
        <v>1</v>
      </c>
      <c r="I1249" s="192"/>
      <c r="J1249" s="903" t="s">
        <v>2755</v>
      </c>
      <c r="K1249" s="194" t="s">
        <v>543</v>
      </c>
      <c r="L1249" s="194" t="s">
        <v>13401</v>
      </c>
      <c r="M1249" s="194" t="s">
        <v>9748</v>
      </c>
      <c r="N1249" s="194"/>
      <c r="O1249" s="194"/>
      <c r="P1249" s="190" t="s">
        <v>13331</v>
      </c>
      <c r="Q1249" s="194" t="s">
        <v>3953</v>
      </c>
      <c r="R1249" s="193" t="s">
        <v>11447</v>
      </c>
      <c r="S1249" s="357"/>
      <c r="T1249" s="190"/>
      <c r="U1249" s="190"/>
      <c r="V1249" s="190"/>
      <c r="W1249" s="317" t="s">
        <v>13419</v>
      </c>
      <c r="X1249" s="649" t="s">
        <v>12509</v>
      </c>
      <c r="Y1249" s="357"/>
      <c r="Z1249" s="192"/>
      <c r="AA1249" s="192"/>
      <c r="AB1249" s="37">
        <f t="shared" ca="1" si="21"/>
        <v>2.6748892606312857E-2</v>
      </c>
      <c r="AC1249" s="816"/>
      <c r="AD1249" s="817"/>
      <c r="AE1249" s="943"/>
      <c r="AF1249" s="924">
        <f>IF(X1249=X1248,AF1248,0)+IF(ISNUMBER(I1249),IF(I1249&lt;1,I1249,I1249*VLOOKUP(J1249,Summary!$H$2:$I$9,2)),VLOOKUP(J1249,Summary!$J$2:$K$9,2)*IF(ISNUMBER(H1249),H1249,1))</f>
        <v>0.78725694444444461</v>
      </c>
      <c r="AG1249" s="292">
        <v>1248</v>
      </c>
      <c r="AH1249" s="94"/>
      <c r="AI1249" s="94"/>
    </row>
    <row r="1250" spans="1:35" s="3" customFormat="1" ht="12" customHeight="1" x14ac:dyDescent="0.25">
      <c r="A1250" s="484" t="s">
        <v>15268</v>
      </c>
      <c r="B1250" s="484">
        <v>4</v>
      </c>
      <c r="C1250" s="502">
        <v>3.1</v>
      </c>
      <c r="D1250" s="407" t="s">
        <v>8082</v>
      </c>
      <c r="E1250" s="315" t="s">
        <v>8101</v>
      </c>
      <c r="F1250" s="169">
        <v>41640</v>
      </c>
      <c r="G1250" s="170"/>
      <c r="H1250" s="170">
        <v>2</v>
      </c>
      <c r="I1250" s="747">
        <f t="shared" ref="I1250:I1257" si="22">TIME(0,60,0)</f>
        <v>4.1666666666666664E-2</v>
      </c>
      <c r="J1250" s="899" t="s">
        <v>4706</v>
      </c>
      <c r="K1250" s="167" t="s">
        <v>5666</v>
      </c>
      <c r="L1250" s="167" t="s">
        <v>4549</v>
      </c>
      <c r="M1250" s="167"/>
      <c r="N1250" s="167"/>
      <c r="O1250" s="167"/>
      <c r="P1250" s="168" t="s">
        <v>8113</v>
      </c>
      <c r="Q1250" s="167" t="s">
        <v>3947</v>
      </c>
      <c r="R1250" s="172" t="s">
        <v>7162</v>
      </c>
      <c r="S1250" s="388" t="s">
        <v>2608</v>
      </c>
      <c r="T1250" s="168"/>
      <c r="U1250" s="168"/>
      <c r="V1250" s="168"/>
      <c r="W1250" s="312" t="s">
        <v>12408</v>
      </c>
      <c r="X1250" s="644" t="s">
        <v>12509</v>
      </c>
      <c r="Y1250" s="352" t="s">
        <v>5643</v>
      </c>
      <c r="Z1250" s="353">
        <v>128</v>
      </c>
      <c r="AA1250" s="353">
        <v>7</v>
      </c>
      <c r="AB1250" s="31">
        <f t="shared" ca="1" si="21"/>
        <v>0.35288638185339372</v>
      </c>
      <c r="AC1250" s="810"/>
      <c r="AD1250" s="811"/>
      <c r="AE1250" s="940"/>
      <c r="AF1250" s="920">
        <f>IF(X1250=X1249,AF1249,0)+IF(ISNUMBER(I1250),IF(I1250&lt;1,I1250,I1250*VLOOKUP(J1250,Summary!$H$2:$I$9,2)),VLOOKUP(J1250,Summary!$J$2:$K$9,2)*IF(ISNUMBER(H1250),H1250,1))</f>
        <v>0.82892361111111124</v>
      </c>
      <c r="AG1250" s="287">
        <v>1249</v>
      </c>
      <c r="AH1250" s="94"/>
      <c r="AI1250" s="94"/>
    </row>
    <row r="1251" spans="1:35" s="43" customFormat="1" ht="12" customHeight="1" x14ac:dyDescent="0.25">
      <c r="A1251" s="484" t="s">
        <v>15268</v>
      </c>
      <c r="B1251" s="484">
        <v>4</v>
      </c>
      <c r="C1251" s="502">
        <v>3.2</v>
      </c>
      <c r="D1251" s="407" t="s">
        <v>8083</v>
      </c>
      <c r="E1251" s="315" t="s">
        <v>8102</v>
      </c>
      <c r="F1251" s="196">
        <v>41684</v>
      </c>
      <c r="G1251" s="170"/>
      <c r="H1251" s="170">
        <v>2</v>
      </c>
      <c r="I1251" s="747">
        <f t="shared" si="22"/>
        <v>4.1666666666666664E-2</v>
      </c>
      <c r="J1251" s="899" t="s">
        <v>4706</v>
      </c>
      <c r="K1251" s="167" t="s">
        <v>7374</v>
      </c>
      <c r="L1251" s="167" t="s">
        <v>4549</v>
      </c>
      <c r="M1251" s="167"/>
      <c r="N1251" s="167"/>
      <c r="O1251" s="167"/>
      <c r="P1251" s="168" t="s">
        <v>8114</v>
      </c>
      <c r="Q1251" s="167" t="s">
        <v>3947</v>
      </c>
      <c r="R1251" s="172" t="s">
        <v>7162</v>
      </c>
      <c r="S1251" s="388" t="s">
        <v>2608</v>
      </c>
      <c r="T1251" s="168"/>
      <c r="U1251" s="168"/>
      <c r="V1251" s="168"/>
      <c r="W1251" s="312" t="s">
        <v>12409</v>
      </c>
      <c r="X1251" s="644" t="s">
        <v>12509</v>
      </c>
      <c r="Y1251" s="352" t="s">
        <v>5643</v>
      </c>
      <c r="Z1251" s="353">
        <v>556</v>
      </c>
      <c r="AA1251" s="353">
        <v>3.5</v>
      </c>
      <c r="AB1251" s="31">
        <f t="shared" ca="1" si="21"/>
        <v>0.36427797738179113</v>
      </c>
      <c r="AC1251" s="810"/>
      <c r="AD1251" s="811"/>
      <c r="AE1251" s="940"/>
      <c r="AF1251" s="920">
        <f>IF(X1251=X1250,AF1250,0)+IF(ISNUMBER(I1251),IF(I1251&lt;1,I1251,I1251*VLOOKUP(J1251,Summary!$H$2:$I$9,2)),VLOOKUP(J1251,Summary!$J$2:$K$9,2)*IF(ISNUMBER(H1251),H1251,1))</f>
        <v>0.87059027777777787</v>
      </c>
      <c r="AG1251" s="287">
        <v>1250</v>
      </c>
      <c r="AH1251" s="94"/>
      <c r="AI1251" s="94"/>
    </row>
    <row r="1252" spans="1:35" s="3" customFormat="1" ht="12" customHeight="1" x14ac:dyDescent="0.25">
      <c r="A1252" s="484" t="s">
        <v>15268</v>
      </c>
      <c r="B1252" s="484">
        <v>4</v>
      </c>
      <c r="C1252" s="502">
        <v>3.3</v>
      </c>
      <c r="D1252" s="407" t="s">
        <v>8084</v>
      </c>
      <c r="E1252" s="315" t="s">
        <v>8103</v>
      </c>
      <c r="F1252" s="169">
        <v>41699</v>
      </c>
      <c r="G1252" s="170"/>
      <c r="H1252" s="170">
        <v>2</v>
      </c>
      <c r="I1252" s="747">
        <f t="shared" si="22"/>
        <v>4.1666666666666664E-2</v>
      </c>
      <c r="J1252" s="899" t="s">
        <v>4706</v>
      </c>
      <c r="K1252" s="167" t="s">
        <v>5666</v>
      </c>
      <c r="L1252" s="167" t="s">
        <v>4549</v>
      </c>
      <c r="M1252" s="167"/>
      <c r="N1252" s="167"/>
      <c r="O1252" s="167"/>
      <c r="P1252" s="168" t="s">
        <v>8115</v>
      </c>
      <c r="Q1252" s="167" t="s">
        <v>3947</v>
      </c>
      <c r="R1252" s="172" t="s">
        <v>7162</v>
      </c>
      <c r="S1252" s="388" t="s">
        <v>2608</v>
      </c>
      <c r="T1252" s="168"/>
      <c r="U1252" s="168"/>
      <c r="V1252" s="168"/>
      <c r="W1252" s="312" t="s">
        <v>12540</v>
      </c>
      <c r="X1252" s="644" t="s">
        <v>12509</v>
      </c>
      <c r="Y1252" s="352" t="s">
        <v>5643</v>
      </c>
      <c r="Z1252" s="353">
        <v>425</v>
      </c>
      <c r="AA1252" s="353">
        <v>4.5</v>
      </c>
      <c r="AB1252" s="31">
        <f t="shared" ca="1" si="21"/>
        <v>1.0813678682868422E-2</v>
      </c>
      <c r="AC1252" s="810"/>
      <c r="AD1252" s="811"/>
      <c r="AE1252" s="940"/>
      <c r="AF1252" s="920">
        <f>IF(X1252=X1251,AF1251,0)+IF(ISNUMBER(I1252),IF(I1252&lt;1,I1252,I1252*VLOOKUP(J1252,Summary!$H$2:$I$9,2)),VLOOKUP(J1252,Summary!$J$2:$K$9,2)*IF(ISNUMBER(H1252),H1252,1))</f>
        <v>0.9122569444444445</v>
      </c>
      <c r="AG1252" s="287">
        <v>1251</v>
      </c>
      <c r="AH1252" s="94"/>
      <c r="AI1252" s="94"/>
    </row>
    <row r="1253" spans="1:35" s="142" customFormat="1" ht="12" customHeight="1" x14ac:dyDescent="0.25">
      <c r="A1253" s="484" t="s">
        <v>15268</v>
      </c>
      <c r="B1253" s="484">
        <v>4</v>
      </c>
      <c r="C1253" s="502">
        <v>3.4</v>
      </c>
      <c r="D1253" s="407" t="s">
        <v>8085</v>
      </c>
      <c r="E1253" s="315" t="s">
        <v>8104</v>
      </c>
      <c r="F1253" s="196">
        <v>41740</v>
      </c>
      <c r="G1253" s="170"/>
      <c r="H1253" s="170">
        <v>2</v>
      </c>
      <c r="I1253" s="747">
        <f t="shared" si="22"/>
        <v>4.1666666666666664E-2</v>
      </c>
      <c r="J1253" s="899" t="s">
        <v>4706</v>
      </c>
      <c r="K1253" s="167" t="s">
        <v>4549</v>
      </c>
      <c r="L1253" s="167" t="s">
        <v>4549</v>
      </c>
      <c r="M1253" s="167"/>
      <c r="N1253" s="167"/>
      <c r="O1253" s="167"/>
      <c r="P1253" s="168" t="s">
        <v>8116</v>
      </c>
      <c r="Q1253" s="167" t="s">
        <v>3947</v>
      </c>
      <c r="R1253" s="172" t="s">
        <v>7162</v>
      </c>
      <c r="S1253" s="388" t="s">
        <v>2608</v>
      </c>
      <c r="T1253" s="168"/>
      <c r="U1253" s="168"/>
      <c r="V1253" s="168"/>
      <c r="W1253" s="312" t="s">
        <v>12529</v>
      </c>
      <c r="X1253" s="644" t="s">
        <v>12509</v>
      </c>
      <c r="Y1253" s="352" t="s">
        <v>5643</v>
      </c>
      <c r="Z1253" s="353">
        <v>507</v>
      </c>
      <c r="AA1253" s="353">
        <v>4</v>
      </c>
      <c r="AB1253" s="31">
        <f t="shared" ca="1" si="21"/>
        <v>0.39969975782885914</v>
      </c>
      <c r="AC1253" s="810"/>
      <c r="AD1253" s="811"/>
      <c r="AE1253" s="940"/>
      <c r="AF1253" s="920">
        <f>IF(X1253=X1252,AF1252,0)+IF(ISNUMBER(I1253),IF(I1253&lt;1,I1253,I1253*VLOOKUP(J1253,Summary!$H$2:$I$9,2)),VLOOKUP(J1253,Summary!$J$2:$K$9,2)*IF(ISNUMBER(H1253),H1253,1))</f>
        <v>0.95392361111111112</v>
      </c>
      <c r="AG1253" s="287">
        <v>1252</v>
      </c>
      <c r="AH1253" s="94"/>
      <c r="AI1253" s="94"/>
    </row>
    <row r="1254" spans="1:35" s="43" customFormat="1" ht="12" customHeight="1" x14ac:dyDescent="0.25">
      <c r="A1254" s="484" t="s">
        <v>15268</v>
      </c>
      <c r="B1254" s="484">
        <v>4</v>
      </c>
      <c r="C1254" s="502">
        <v>3.5</v>
      </c>
      <c r="D1254" s="407" t="s">
        <v>8086</v>
      </c>
      <c r="E1254" s="315" t="s">
        <v>8105</v>
      </c>
      <c r="F1254" s="196">
        <v>41773</v>
      </c>
      <c r="G1254" s="170"/>
      <c r="H1254" s="170">
        <v>2</v>
      </c>
      <c r="I1254" s="747">
        <f t="shared" si="22"/>
        <v>4.1666666666666664E-2</v>
      </c>
      <c r="J1254" s="899" t="s">
        <v>4706</v>
      </c>
      <c r="K1254" s="167" t="s">
        <v>177</v>
      </c>
      <c r="L1254" s="167" t="s">
        <v>4549</v>
      </c>
      <c r="M1254" s="167"/>
      <c r="N1254" s="167"/>
      <c r="O1254" s="167"/>
      <c r="P1254" s="168" t="s">
        <v>8117</v>
      </c>
      <c r="Q1254" s="167" t="s">
        <v>3947</v>
      </c>
      <c r="R1254" s="172" t="s">
        <v>7162</v>
      </c>
      <c r="S1254" s="388" t="s">
        <v>2608</v>
      </c>
      <c r="T1254" s="168"/>
      <c r="U1254" s="168"/>
      <c r="V1254" s="168"/>
      <c r="W1254" s="312" t="s">
        <v>12530</v>
      </c>
      <c r="X1254" s="644" t="s">
        <v>12509</v>
      </c>
      <c r="Y1254" s="352" t="s">
        <v>5643</v>
      </c>
      <c r="Z1254" s="353">
        <v>568</v>
      </c>
      <c r="AA1254" s="353">
        <v>3.5</v>
      </c>
      <c r="AB1254" s="31">
        <f t="shared" ca="1" si="21"/>
        <v>0.93226027317143079</v>
      </c>
      <c r="AC1254" s="810"/>
      <c r="AD1254" s="811"/>
      <c r="AE1254" s="940"/>
      <c r="AF1254" s="920">
        <f>IF(X1254=X1253,AF1253,0)+IF(ISNUMBER(I1254),IF(I1254&lt;1,I1254,I1254*VLOOKUP(J1254,Summary!$H$2:$I$9,2)),VLOOKUP(J1254,Summary!$J$2:$K$9,2)*IF(ISNUMBER(H1254),H1254,1))</f>
        <v>0.99559027777777775</v>
      </c>
      <c r="AG1254" s="287">
        <v>1253</v>
      </c>
      <c r="AH1254" s="94"/>
      <c r="AI1254" s="94"/>
    </row>
    <row r="1255" spans="1:35" s="43" customFormat="1" ht="12" customHeight="1" x14ac:dyDescent="0.25">
      <c r="A1255" s="484" t="s">
        <v>15268</v>
      </c>
      <c r="B1255" s="484">
        <v>4</v>
      </c>
      <c r="C1255" s="502">
        <v>3.6</v>
      </c>
      <c r="D1255" s="407" t="s">
        <v>8540</v>
      </c>
      <c r="E1255" s="315" t="s">
        <v>8543</v>
      </c>
      <c r="F1255" s="196">
        <v>41809</v>
      </c>
      <c r="G1255" s="170"/>
      <c r="H1255" s="170">
        <v>2</v>
      </c>
      <c r="I1255" s="747">
        <f t="shared" si="22"/>
        <v>4.1666666666666664E-2</v>
      </c>
      <c r="J1255" s="899" t="s">
        <v>4706</v>
      </c>
      <c r="K1255" s="167" t="s">
        <v>4549</v>
      </c>
      <c r="L1255" s="167" t="s">
        <v>4549</v>
      </c>
      <c r="M1255" s="167"/>
      <c r="N1255" s="167"/>
      <c r="O1255" s="167"/>
      <c r="P1255" s="168" t="s">
        <v>8546</v>
      </c>
      <c r="Q1255" s="167" t="s">
        <v>3947</v>
      </c>
      <c r="R1255" s="172" t="s">
        <v>7162</v>
      </c>
      <c r="S1255" s="388" t="s">
        <v>2608</v>
      </c>
      <c r="T1255" s="168"/>
      <c r="U1255" s="168"/>
      <c r="V1255" s="168"/>
      <c r="W1255" s="312" t="s">
        <v>12531</v>
      </c>
      <c r="X1255" s="644" t="s">
        <v>12509</v>
      </c>
      <c r="Y1255" s="352" t="s">
        <v>5643</v>
      </c>
      <c r="Z1255" s="353">
        <v>428</v>
      </c>
      <c r="AA1255" s="353">
        <v>4.5</v>
      </c>
      <c r="AB1255" s="31">
        <f t="shared" ca="1" si="21"/>
        <v>7.8190105765003959E-2</v>
      </c>
      <c r="AC1255" s="810"/>
      <c r="AD1255" s="811"/>
      <c r="AE1255" s="940"/>
      <c r="AF1255" s="920">
        <f>IF(X1255=X1254,AF1254,0)+IF(ISNUMBER(I1255),IF(I1255&lt;1,I1255,I1255*VLOOKUP(J1255,Summary!$H$2:$I$9,2)),VLOOKUP(J1255,Summary!$J$2:$K$9,2)*IF(ISNUMBER(H1255),H1255,1))</f>
        <v>1.0372569444444444</v>
      </c>
      <c r="AG1255" s="287">
        <v>1254</v>
      </c>
      <c r="AH1255" s="94"/>
      <c r="AI1255" s="94"/>
    </row>
    <row r="1256" spans="1:35" s="43" customFormat="1" ht="12" customHeight="1" x14ac:dyDescent="0.25">
      <c r="A1256" s="484" t="s">
        <v>15268</v>
      </c>
      <c r="B1256" s="484">
        <v>4</v>
      </c>
      <c r="C1256" s="502">
        <v>3.7</v>
      </c>
      <c r="D1256" s="407" t="s">
        <v>8541</v>
      </c>
      <c r="E1256" s="315" t="s">
        <v>8544</v>
      </c>
      <c r="F1256" s="196">
        <v>41831</v>
      </c>
      <c r="G1256" s="170"/>
      <c r="H1256" s="170">
        <v>2</v>
      </c>
      <c r="I1256" s="747">
        <f t="shared" si="22"/>
        <v>4.1666666666666664E-2</v>
      </c>
      <c r="J1256" s="899" t="s">
        <v>4706</v>
      </c>
      <c r="K1256" s="167" t="s">
        <v>8548</v>
      </c>
      <c r="L1256" s="167" t="s">
        <v>4549</v>
      </c>
      <c r="M1256" s="167"/>
      <c r="N1256" s="167"/>
      <c r="O1256" s="167"/>
      <c r="P1256" s="168" t="s">
        <v>8547</v>
      </c>
      <c r="Q1256" s="167" t="s">
        <v>3947</v>
      </c>
      <c r="R1256" s="172" t="s">
        <v>7162</v>
      </c>
      <c r="S1256" s="388" t="s">
        <v>2608</v>
      </c>
      <c r="T1256" s="168"/>
      <c r="U1256" s="168"/>
      <c r="V1256" s="168"/>
      <c r="W1256" s="312" t="s">
        <v>12534</v>
      </c>
      <c r="X1256" s="644" t="s">
        <v>12509</v>
      </c>
      <c r="Y1256" s="352" t="s">
        <v>5643</v>
      </c>
      <c r="Z1256" s="353">
        <v>443</v>
      </c>
      <c r="AA1256" s="353">
        <v>4.5</v>
      </c>
      <c r="AB1256" s="31">
        <f t="shared" ca="1" si="21"/>
        <v>0.60601560676177713</v>
      </c>
      <c r="AC1256" s="810"/>
      <c r="AD1256" s="811"/>
      <c r="AE1256" s="940"/>
      <c r="AF1256" s="920">
        <f>IF(X1256=X1255,AF1255,0)+IF(ISNUMBER(I1256),IF(I1256&lt;1,I1256,I1256*VLOOKUP(J1256,Summary!$H$2:$I$9,2)),VLOOKUP(J1256,Summary!$J$2:$K$9,2)*IF(ISNUMBER(H1256),H1256,1))</f>
        <v>1.0789236111111111</v>
      </c>
      <c r="AG1256" s="287">
        <v>1255</v>
      </c>
      <c r="AH1256" s="94"/>
      <c r="AI1256" s="94"/>
    </row>
    <row r="1257" spans="1:35" s="2" customFormat="1" ht="12" customHeight="1" x14ac:dyDescent="0.25">
      <c r="A1257" s="484" t="s">
        <v>15268</v>
      </c>
      <c r="B1257" s="484">
        <v>4</v>
      </c>
      <c r="C1257" s="502">
        <v>3.8</v>
      </c>
      <c r="D1257" s="407" t="s">
        <v>8542</v>
      </c>
      <c r="E1257" s="315" t="s">
        <v>8545</v>
      </c>
      <c r="F1257" s="196">
        <v>41866</v>
      </c>
      <c r="G1257" s="170"/>
      <c r="H1257" s="170">
        <v>2</v>
      </c>
      <c r="I1257" s="747">
        <f t="shared" si="22"/>
        <v>4.1666666666666664E-2</v>
      </c>
      <c r="J1257" s="899" t="s">
        <v>4706</v>
      </c>
      <c r="K1257" s="167" t="s">
        <v>4549</v>
      </c>
      <c r="L1257" s="167" t="s">
        <v>4549</v>
      </c>
      <c r="M1257" s="167"/>
      <c r="N1257" s="167"/>
      <c r="O1257" s="167"/>
      <c r="P1257" s="168" t="s">
        <v>12132</v>
      </c>
      <c r="Q1257" s="167" t="s">
        <v>3947</v>
      </c>
      <c r="R1257" s="172" t="s">
        <v>7162</v>
      </c>
      <c r="S1257" s="388" t="s">
        <v>2608</v>
      </c>
      <c r="T1257" s="168"/>
      <c r="U1257" s="168"/>
      <c r="V1257" s="168"/>
      <c r="W1257" s="312" t="s">
        <v>12539</v>
      </c>
      <c r="X1257" s="644" t="s">
        <v>12509</v>
      </c>
      <c r="Y1257" s="352" t="s">
        <v>5643</v>
      </c>
      <c r="Z1257" s="353">
        <v>363</v>
      </c>
      <c r="AA1257" s="353">
        <v>5</v>
      </c>
      <c r="AB1257" s="31">
        <f t="shared" ca="1" si="21"/>
        <v>0.66477965631132097</v>
      </c>
      <c r="AC1257" s="810"/>
      <c r="AD1257" s="811"/>
      <c r="AE1257" s="940"/>
      <c r="AF1257" s="920">
        <f>IF(X1257=X1256,AF1256,0)+IF(ISNUMBER(I1257),IF(I1257&lt;1,I1257,I1257*VLOOKUP(J1257,Summary!$H$2:$I$9,2)),VLOOKUP(J1257,Summary!$J$2:$K$9,2)*IF(ISNUMBER(H1257),H1257,1))</f>
        <v>1.1205902777777779</v>
      </c>
      <c r="AG1257" s="287">
        <v>1256</v>
      </c>
      <c r="AH1257" s="94"/>
      <c r="AI1257" s="94"/>
    </row>
    <row r="1258" spans="1:35" s="2" customFormat="1" ht="12" customHeight="1" x14ac:dyDescent="0.25">
      <c r="A1258" s="490" t="s">
        <v>15268</v>
      </c>
      <c r="B1258" s="490">
        <v>4</v>
      </c>
      <c r="C1258" s="490">
        <v>7.02</v>
      </c>
      <c r="D1258" s="434" t="s">
        <v>1011</v>
      </c>
      <c r="E1258" s="324" t="s">
        <v>1010</v>
      </c>
      <c r="F1258" s="174">
        <v>37865</v>
      </c>
      <c r="G1258" s="174"/>
      <c r="H1258" s="176">
        <v>1</v>
      </c>
      <c r="I1258" s="176">
        <v>17</v>
      </c>
      <c r="J1258" s="900" t="s">
        <v>2755</v>
      </c>
      <c r="K1258" s="164" t="s">
        <v>3451</v>
      </c>
      <c r="L1258" s="164" t="s">
        <v>461</v>
      </c>
      <c r="M1258" s="164"/>
      <c r="N1258" s="164" t="s">
        <v>4552</v>
      </c>
      <c r="O1258" s="164"/>
      <c r="P1258" s="173" t="s">
        <v>6281</v>
      </c>
      <c r="Q1258" s="164" t="s">
        <v>3947</v>
      </c>
      <c r="R1258" s="179" t="s">
        <v>2723</v>
      </c>
      <c r="S1258" s="354" t="s">
        <v>2608</v>
      </c>
      <c r="T1258" s="173" t="s">
        <v>6335</v>
      </c>
      <c r="U1258" s="173"/>
      <c r="V1258" s="173"/>
      <c r="W1258" s="324" t="s">
        <v>1010</v>
      </c>
      <c r="X1258" s="656" t="s">
        <v>12509</v>
      </c>
      <c r="Y1258" s="354"/>
      <c r="Z1258" s="176"/>
      <c r="AA1258" s="176"/>
      <c r="AB1258" s="32">
        <f t="shared" ca="1" si="21"/>
        <v>0.81967357696984244</v>
      </c>
      <c r="AC1258" s="812"/>
      <c r="AD1258" s="763"/>
      <c r="AE1258" s="951"/>
      <c r="AF1258" s="921">
        <f>IF(X1258=X1257,AF1257,0)+IF(ISNUMBER(I1258),IF(I1258&lt;1,I1258,I1258*VLOOKUP(J1258,Summary!$H$2:$I$9,2)),VLOOKUP(J1258,Summary!$J$2:$K$9,2)*IF(ISNUMBER(H1258),H1258,1))</f>
        <v>1.1323958333333335</v>
      </c>
      <c r="AG1258" s="288">
        <v>1257</v>
      </c>
      <c r="AH1258" s="94"/>
      <c r="AI1258" s="94"/>
    </row>
    <row r="1259" spans="1:35" s="3" customFormat="1" ht="12" customHeight="1" x14ac:dyDescent="0.25">
      <c r="A1259" s="490" t="s">
        <v>15268</v>
      </c>
      <c r="B1259" s="490">
        <v>4</v>
      </c>
      <c r="C1259" s="490">
        <v>10.09</v>
      </c>
      <c r="D1259" s="434" t="s">
        <v>1012</v>
      </c>
      <c r="E1259" s="324" t="s">
        <v>547</v>
      </c>
      <c r="F1259" s="174">
        <v>38139</v>
      </c>
      <c r="G1259" s="174"/>
      <c r="H1259" s="176">
        <v>1</v>
      </c>
      <c r="I1259" s="176">
        <v>12</v>
      </c>
      <c r="J1259" s="900" t="s">
        <v>2755</v>
      </c>
      <c r="K1259" s="164" t="s">
        <v>176</v>
      </c>
      <c r="L1259" s="164" t="s">
        <v>461</v>
      </c>
      <c r="M1259" s="164"/>
      <c r="N1259" s="164" t="s">
        <v>4996</v>
      </c>
      <c r="O1259" s="164"/>
      <c r="P1259" s="173" t="s">
        <v>5669</v>
      </c>
      <c r="Q1259" s="164" t="s">
        <v>3947</v>
      </c>
      <c r="R1259" s="179" t="s">
        <v>2723</v>
      </c>
      <c r="S1259" s="354" t="s">
        <v>2608</v>
      </c>
      <c r="T1259" s="173" t="s">
        <v>6335</v>
      </c>
      <c r="U1259" s="173"/>
      <c r="V1259" s="173"/>
      <c r="W1259" s="324" t="s">
        <v>547</v>
      </c>
      <c r="X1259" s="656" t="s">
        <v>12509</v>
      </c>
      <c r="Y1259" s="354"/>
      <c r="Z1259" s="176">
        <v>999</v>
      </c>
      <c r="AA1259" s="176"/>
      <c r="AB1259" s="32">
        <f t="shared" ca="1" si="21"/>
        <v>0.63543699147798871</v>
      </c>
      <c r="AC1259" s="812"/>
      <c r="AD1259" s="763"/>
      <c r="AE1259" s="951"/>
      <c r="AF1259" s="921">
        <f>IF(X1259=X1258,AF1258,0)+IF(ISNUMBER(I1259),IF(I1259&lt;1,I1259,I1259*VLOOKUP(J1259,Summary!$H$2:$I$9,2)),VLOOKUP(J1259,Summary!$J$2:$K$9,2)*IF(ISNUMBER(H1259),H1259,1))</f>
        <v>1.1407291666666668</v>
      </c>
      <c r="AG1259" s="288">
        <v>1258</v>
      </c>
      <c r="AH1259" s="94"/>
      <c r="AI1259" s="94"/>
    </row>
    <row r="1260" spans="1:35" s="3" customFormat="1" ht="12" customHeight="1" x14ac:dyDescent="0.25">
      <c r="A1260" s="490" t="s">
        <v>15268</v>
      </c>
      <c r="B1260" s="490">
        <v>4</v>
      </c>
      <c r="C1260" s="490">
        <v>19.05</v>
      </c>
      <c r="D1260" s="434" t="s">
        <v>1485</v>
      </c>
      <c r="E1260" s="324" t="s">
        <v>1481</v>
      </c>
      <c r="F1260" s="174">
        <v>38808</v>
      </c>
      <c r="G1260" s="175"/>
      <c r="H1260" s="176">
        <v>1</v>
      </c>
      <c r="I1260" s="176">
        <v>15</v>
      </c>
      <c r="J1260" s="900" t="s">
        <v>2755</v>
      </c>
      <c r="K1260" s="157" t="s">
        <v>1482</v>
      </c>
      <c r="L1260" s="164" t="s">
        <v>461</v>
      </c>
      <c r="M1260" s="157"/>
      <c r="N1260" s="164" t="s">
        <v>4552</v>
      </c>
      <c r="O1260" s="157"/>
      <c r="P1260" s="173" t="s">
        <v>5020</v>
      </c>
      <c r="Q1260" s="157" t="s">
        <v>3947</v>
      </c>
      <c r="R1260" s="179" t="s">
        <v>2723</v>
      </c>
      <c r="S1260" s="354" t="s">
        <v>2608</v>
      </c>
      <c r="T1260" s="173"/>
      <c r="U1260" s="173"/>
      <c r="V1260" s="173"/>
      <c r="W1260" s="324" t="s">
        <v>1481</v>
      </c>
      <c r="X1260" s="656" t="s">
        <v>12509</v>
      </c>
      <c r="Y1260" s="363"/>
      <c r="Z1260" s="364"/>
      <c r="AA1260" s="364"/>
      <c r="AB1260" s="32">
        <f t="shared" ca="1" si="21"/>
        <v>0.29067470126148531</v>
      </c>
      <c r="AC1260" s="812"/>
      <c r="AD1260" s="763"/>
      <c r="AE1260" s="951"/>
      <c r="AF1260" s="921">
        <f>IF(X1260=X1259,AF1259,0)+IF(ISNUMBER(I1260),IF(I1260&lt;1,I1260,I1260*VLOOKUP(J1260,Summary!$H$2:$I$9,2)),VLOOKUP(J1260,Summary!$J$2:$K$9,2)*IF(ISNUMBER(H1260),H1260,1))</f>
        <v>1.1511458333333335</v>
      </c>
      <c r="AG1260" s="288">
        <v>1259</v>
      </c>
      <c r="AH1260" s="94"/>
      <c r="AI1260" s="94"/>
    </row>
    <row r="1261" spans="1:35" s="43" customFormat="1" ht="12" customHeight="1" x14ac:dyDescent="0.25">
      <c r="A1261" s="488" t="s">
        <v>15268</v>
      </c>
      <c r="B1261" s="488">
        <v>4</v>
      </c>
      <c r="C1261" s="488"/>
      <c r="D1261" s="185" t="s">
        <v>558</v>
      </c>
      <c r="E1261" s="314" t="s">
        <v>1470</v>
      </c>
      <c r="F1261" s="183">
        <v>34213</v>
      </c>
      <c r="G1261" s="184"/>
      <c r="H1261" s="185">
        <v>1</v>
      </c>
      <c r="I1261" s="185">
        <v>8</v>
      </c>
      <c r="J1261" s="901" t="s">
        <v>1796</v>
      </c>
      <c r="K1261" s="163" t="s">
        <v>552</v>
      </c>
      <c r="L1261" s="163" t="s">
        <v>2260</v>
      </c>
      <c r="M1261" s="163" t="s">
        <v>1486</v>
      </c>
      <c r="N1261" s="163" t="s">
        <v>561</v>
      </c>
      <c r="O1261" s="163"/>
      <c r="P1261" s="182" t="s">
        <v>2413</v>
      </c>
      <c r="Q1261" s="163" t="s">
        <v>4062</v>
      </c>
      <c r="R1261" s="186" t="s">
        <v>8669</v>
      </c>
      <c r="S1261" s="355" t="s">
        <v>2608</v>
      </c>
      <c r="T1261" s="182"/>
      <c r="U1261" s="182"/>
      <c r="V1261" s="182"/>
      <c r="W1261" s="314" t="s">
        <v>1470</v>
      </c>
      <c r="X1261" s="646" t="s">
        <v>12509</v>
      </c>
      <c r="Y1261" s="355"/>
      <c r="Z1261" s="185"/>
      <c r="AA1261" s="185"/>
      <c r="AB1261" s="33">
        <f t="shared" ca="1" si="21"/>
        <v>0.94657342749477824</v>
      </c>
      <c r="AC1261" s="813"/>
      <c r="AD1261" s="211"/>
      <c r="AE1261" s="949"/>
      <c r="AF1261" s="922">
        <f>IF(X1261=X1260,AF1260,0)+IF(ISNUMBER(I1261),IF(I1261&lt;1,I1261,I1261*VLOOKUP(J1261,Summary!$H$2:$I$9,2)),VLOOKUP(J1261,Summary!$J$2:$K$9,2)*IF(ISNUMBER(H1261),H1261,1))</f>
        <v>1.1539236111111113</v>
      </c>
      <c r="AG1261" s="295">
        <v>1260</v>
      </c>
      <c r="AH1261" s="94"/>
      <c r="AI1261" s="94"/>
    </row>
    <row r="1262" spans="1:35" s="3" customFormat="1" ht="12" customHeight="1" x14ac:dyDescent="0.25">
      <c r="A1262" s="484" t="s">
        <v>15268</v>
      </c>
      <c r="B1262" s="484">
        <v>4</v>
      </c>
      <c r="C1262" s="505">
        <v>2.04</v>
      </c>
      <c r="D1262" s="407" t="s">
        <v>644</v>
      </c>
      <c r="E1262" s="315" t="s">
        <v>1619</v>
      </c>
      <c r="F1262" s="169">
        <v>39448</v>
      </c>
      <c r="G1262" s="170"/>
      <c r="H1262" s="170">
        <v>2</v>
      </c>
      <c r="I1262" s="746">
        <f>TIME(1,13,35)</f>
        <v>5.1099537037037041E-2</v>
      </c>
      <c r="J1262" s="899" t="s">
        <v>4706</v>
      </c>
      <c r="K1262" s="167" t="s">
        <v>7757</v>
      </c>
      <c r="L1262" s="167" t="s">
        <v>7757</v>
      </c>
      <c r="M1262" s="167" t="s">
        <v>8028</v>
      </c>
      <c r="N1262" s="167"/>
      <c r="O1262" s="167"/>
      <c r="P1262" s="168" t="s">
        <v>9163</v>
      </c>
      <c r="Q1262" s="167" t="s">
        <v>3947</v>
      </c>
      <c r="R1262" s="172" t="s">
        <v>3153</v>
      </c>
      <c r="S1262" s="388" t="s">
        <v>2608</v>
      </c>
      <c r="T1262" s="168"/>
      <c r="U1262" s="168"/>
      <c r="V1262" s="168"/>
      <c r="W1262" s="312" t="s">
        <v>10342</v>
      </c>
      <c r="X1262" s="644" t="s">
        <v>12509</v>
      </c>
      <c r="Y1262" s="352" t="s">
        <v>4262</v>
      </c>
      <c r="Z1262" s="353">
        <v>332</v>
      </c>
      <c r="AA1262" s="353">
        <v>5</v>
      </c>
      <c r="AB1262" s="31">
        <f t="shared" ca="1" si="21"/>
        <v>0.503916715927343</v>
      </c>
      <c r="AC1262" s="810"/>
      <c r="AD1262" s="811" t="s">
        <v>16667</v>
      </c>
      <c r="AE1262" s="940" t="s">
        <v>16126</v>
      </c>
      <c r="AF1262" s="920">
        <f>IF(X1262=X1261,AF1261,0)+IF(ISNUMBER(I1262),IF(I1262&lt;1,I1262,I1262*VLOOKUP(J1262,Summary!$H$2:$I$9,2)),VLOOKUP(J1262,Summary!$J$2:$K$9,2)*IF(ISNUMBER(H1262),H1262,1))</f>
        <v>1.2050231481481484</v>
      </c>
      <c r="AG1262" s="287">
        <v>1261</v>
      </c>
      <c r="AH1262" s="94"/>
      <c r="AI1262" s="94"/>
    </row>
    <row r="1263" spans="1:35" s="3" customFormat="1" ht="12" customHeight="1" x14ac:dyDescent="0.25">
      <c r="A1263" s="484" t="s">
        <v>15268</v>
      </c>
      <c r="B1263" s="484">
        <v>4</v>
      </c>
      <c r="C1263" s="505">
        <v>3.04</v>
      </c>
      <c r="D1263" s="407" t="s">
        <v>3139</v>
      </c>
      <c r="E1263" s="315" t="s">
        <v>1620</v>
      </c>
      <c r="F1263" s="169">
        <v>39722</v>
      </c>
      <c r="G1263" s="170"/>
      <c r="H1263" s="170">
        <v>2</v>
      </c>
      <c r="I1263" s="746">
        <f>TIME(1,5,11)</f>
        <v>4.5266203703703704E-2</v>
      </c>
      <c r="J1263" s="899" t="s">
        <v>4706</v>
      </c>
      <c r="K1263" s="167" t="s">
        <v>7757</v>
      </c>
      <c r="L1263" s="167" t="s">
        <v>7757</v>
      </c>
      <c r="M1263" s="167" t="s">
        <v>8037</v>
      </c>
      <c r="N1263" s="167"/>
      <c r="O1263" s="167"/>
      <c r="P1263" s="168" t="s">
        <v>9167</v>
      </c>
      <c r="Q1263" s="167" t="s">
        <v>3947</v>
      </c>
      <c r="R1263" s="172" t="s">
        <v>3153</v>
      </c>
      <c r="S1263" s="388" t="s">
        <v>2608</v>
      </c>
      <c r="T1263" s="168"/>
      <c r="U1263" s="168"/>
      <c r="V1263" s="168"/>
      <c r="W1263" s="312" t="s">
        <v>10343</v>
      </c>
      <c r="X1263" s="644" t="s">
        <v>12509</v>
      </c>
      <c r="Y1263" s="352" t="s">
        <v>5643</v>
      </c>
      <c r="Z1263" s="353">
        <v>566</v>
      </c>
      <c r="AA1263" s="353">
        <v>3.5</v>
      </c>
      <c r="AB1263" s="31">
        <f t="shared" ca="1" si="21"/>
        <v>0.26536057409069025</v>
      </c>
      <c r="AC1263" s="810"/>
      <c r="AD1263" s="811" t="s">
        <v>16464</v>
      </c>
      <c r="AE1263" s="940" t="s">
        <v>16118</v>
      </c>
      <c r="AF1263" s="920">
        <f>IF(X1263=X1262,AF1262,0)+IF(ISNUMBER(I1263),IF(I1263&lt;1,I1263,I1263*VLOOKUP(J1263,Summary!$H$2:$I$9,2)),VLOOKUP(J1263,Summary!$J$2:$K$9,2)*IF(ISNUMBER(H1263),H1263,1))</f>
        <v>1.2502893518518521</v>
      </c>
      <c r="AG1263" s="287">
        <v>1262</v>
      </c>
      <c r="AH1263" s="94"/>
      <c r="AI1263" s="94"/>
    </row>
    <row r="1264" spans="1:35" s="43" customFormat="1" ht="12" customHeight="1" x14ac:dyDescent="0.25">
      <c r="A1264" s="487" t="s">
        <v>1621</v>
      </c>
      <c r="B1264" s="487">
        <v>4</v>
      </c>
      <c r="C1264" s="487">
        <v>92</v>
      </c>
      <c r="D1264" s="424" t="s">
        <v>1622</v>
      </c>
      <c r="E1264" s="319" t="s">
        <v>1623</v>
      </c>
      <c r="F1264" s="198">
        <v>28371</v>
      </c>
      <c r="G1264" s="198">
        <v>28392</v>
      </c>
      <c r="H1264" s="199">
        <v>4</v>
      </c>
      <c r="I1264" s="791">
        <f>TIME(0,24,10)+TIME(0,24,10)+TIME(0,23,12)+TIME(0,23,49)</f>
        <v>6.6215277777777776E-2</v>
      </c>
      <c r="J1264" s="904" t="s">
        <v>1588</v>
      </c>
      <c r="K1264" s="200" t="s">
        <v>1088</v>
      </c>
      <c r="L1264" s="200" t="s">
        <v>5404</v>
      </c>
      <c r="M1264" s="200"/>
      <c r="N1264" s="200" t="s">
        <v>1093</v>
      </c>
      <c r="O1264" s="200" t="s">
        <v>1624</v>
      </c>
      <c r="P1264" s="197" t="s">
        <v>461</v>
      </c>
      <c r="Q1264" s="200" t="s">
        <v>3946</v>
      </c>
      <c r="R1264" s="201" t="s">
        <v>5280</v>
      </c>
      <c r="S1264" s="390" t="s">
        <v>2608</v>
      </c>
      <c r="T1264" s="197"/>
      <c r="U1264" s="197"/>
      <c r="V1264" s="197"/>
      <c r="W1264" s="318" t="s">
        <v>8709</v>
      </c>
      <c r="X1264" s="650" t="s">
        <v>12328</v>
      </c>
      <c r="Y1264" s="358" t="s">
        <v>6141</v>
      </c>
      <c r="Z1264" s="253">
        <v>14</v>
      </c>
      <c r="AA1264" s="253">
        <v>9.5</v>
      </c>
      <c r="AB1264" s="35">
        <f t="shared" ca="1" si="21"/>
        <v>0.5775546341544785</v>
      </c>
      <c r="AC1264" s="820"/>
      <c r="AD1264" s="821" t="s">
        <v>14975</v>
      </c>
      <c r="AE1264" s="944" t="s">
        <v>12543</v>
      </c>
      <c r="AF1264" s="925">
        <f>IF(X1264=X1263,AF1263,0)+IF(ISNUMBER(I1264),IF(I1264&lt;1,I1264,I1264*VLOOKUP(J1264,Summary!$H$2:$I$9,2)),VLOOKUP(J1264,Summary!$J$2:$K$9,2)*IF(ISNUMBER(H1264),H1264,1))</f>
        <v>6.6215277777777776E-2</v>
      </c>
      <c r="AG1264" s="293">
        <v>1263</v>
      </c>
      <c r="AH1264" s="94"/>
      <c r="AI1264" s="94"/>
    </row>
    <row r="1265" spans="1:35" s="1" customFormat="1" ht="12" customHeight="1" x14ac:dyDescent="0.25">
      <c r="A1265" s="490">
        <v>15</v>
      </c>
      <c r="B1265" s="490">
        <v>4</v>
      </c>
      <c r="C1265" s="490">
        <v>25.11</v>
      </c>
      <c r="D1265" s="434" t="s">
        <v>1003</v>
      </c>
      <c r="E1265" s="324" t="s">
        <v>1002</v>
      </c>
      <c r="F1265" s="174">
        <v>39417</v>
      </c>
      <c r="G1265" s="174"/>
      <c r="H1265" s="176">
        <v>1</v>
      </c>
      <c r="I1265" s="176">
        <v>11</v>
      </c>
      <c r="J1265" s="900" t="s">
        <v>2755</v>
      </c>
      <c r="K1265" s="164" t="s">
        <v>1805</v>
      </c>
      <c r="L1265" s="164" t="s">
        <v>461</v>
      </c>
      <c r="M1265" s="164"/>
      <c r="N1265" s="164" t="s">
        <v>5146</v>
      </c>
      <c r="O1265" s="164"/>
      <c r="P1265" s="173" t="s">
        <v>6701</v>
      </c>
      <c r="Q1265" s="164" t="s">
        <v>3947</v>
      </c>
      <c r="R1265" s="179" t="s">
        <v>2723</v>
      </c>
      <c r="S1265" s="354" t="s">
        <v>2608</v>
      </c>
      <c r="T1265" s="173"/>
      <c r="U1265" s="173"/>
      <c r="V1265" s="173"/>
      <c r="W1265" s="324" t="s">
        <v>1002</v>
      </c>
      <c r="X1265" s="656" t="s">
        <v>12328</v>
      </c>
      <c r="Y1265" s="354"/>
      <c r="Z1265" s="176"/>
      <c r="AA1265" s="176"/>
      <c r="AB1265" s="32">
        <f t="shared" ca="1" si="21"/>
        <v>0.31284222566541897</v>
      </c>
      <c r="AC1265" s="812"/>
      <c r="AD1265" s="763"/>
      <c r="AE1265" s="951"/>
      <c r="AF1265" s="921">
        <f>IF(X1265=X1264,AF1264,0)+IF(ISNUMBER(I1265),IF(I1265&lt;1,I1265,I1265*VLOOKUP(J1265,Summary!$H$2:$I$9,2)),VLOOKUP(J1265,Summary!$J$2:$K$9,2)*IF(ISNUMBER(H1265),H1265,1))</f>
        <v>7.3854166666666665E-2</v>
      </c>
      <c r="AG1265" s="288">
        <v>1264</v>
      </c>
      <c r="AH1265" s="94"/>
      <c r="AI1265" s="94"/>
    </row>
    <row r="1266" spans="1:35" s="29" customFormat="1" ht="12" customHeight="1" x14ac:dyDescent="0.25">
      <c r="A1266" s="490">
        <v>15</v>
      </c>
      <c r="B1266" s="490">
        <v>4</v>
      </c>
      <c r="C1266" s="490">
        <v>26.16</v>
      </c>
      <c r="D1266" s="434" t="s">
        <v>1483</v>
      </c>
      <c r="E1266" s="324" t="s">
        <v>1484</v>
      </c>
      <c r="F1266" s="174">
        <v>39508</v>
      </c>
      <c r="G1266" s="174"/>
      <c r="H1266" s="176">
        <v>1</v>
      </c>
      <c r="I1266" s="176">
        <v>18</v>
      </c>
      <c r="J1266" s="900" t="s">
        <v>2755</v>
      </c>
      <c r="K1266" s="164" t="s">
        <v>5960</v>
      </c>
      <c r="L1266" s="164" t="s">
        <v>461</v>
      </c>
      <c r="M1266" s="164"/>
      <c r="N1266" s="164" t="s">
        <v>7381</v>
      </c>
      <c r="O1266" s="164"/>
      <c r="P1266" s="173" t="s">
        <v>6706</v>
      </c>
      <c r="Q1266" s="164" t="s">
        <v>3947</v>
      </c>
      <c r="R1266" s="179" t="s">
        <v>2723</v>
      </c>
      <c r="S1266" s="354" t="s">
        <v>2608</v>
      </c>
      <c r="T1266" s="173"/>
      <c r="U1266" s="173"/>
      <c r="V1266" s="173"/>
      <c r="W1266" s="324" t="s">
        <v>1484</v>
      </c>
      <c r="X1266" s="656" t="s">
        <v>12328</v>
      </c>
      <c r="Y1266" s="354"/>
      <c r="Z1266" s="176"/>
      <c r="AA1266" s="176"/>
      <c r="AB1266" s="32">
        <f t="shared" ca="1" si="21"/>
        <v>0.94552628205729472</v>
      </c>
      <c r="AC1266" s="812"/>
      <c r="AD1266" s="763"/>
      <c r="AE1266" s="951"/>
      <c r="AF1266" s="921">
        <f>IF(X1266=X1265,AF1265,0)+IF(ISNUMBER(I1266),IF(I1266&lt;1,I1266,I1266*VLOOKUP(J1266,Summary!$H$2:$I$9,2)),VLOOKUP(J1266,Summary!$J$2:$K$9,2)*IF(ISNUMBER(H1266),H1266,1))</f>
        <v>8.6354166666666662E-2</v>
      </c>
      <c r="AG1266" s="288">
        <v>1265</v>
      </c>
      <c r="AH1266" s="94"/>
      <c r="AI1266" s="94"/>
    </row>
    <row r="1267" spans="1:35" s="43" customFormat="1" ht="12" customHeight="1" x14ac:dyDescent="0.25">
      <c r="A1267" s="484">
        <v>15</v>
      </c>
      <c r="B1267" s="484">
        <v>4</v>
      </c>
      <c r="C1267" s="505">
        <v>3.02</v>
      </c>
      <c r="D1267" s="407" t="s">
        <v>6802</v>
      </c>
      <c r="E1267" s="315" t="s">
        <v>6803</v>
      </c>
      <c r="F1267" s="169">
        <v>40909</v>
      </c>
      <c r="G1267" s="170"/>
      <c r="H1267" s="170">
        <v>4</v>
      </c>
      <c r="I1267" s="747">
        <f>TIME(2,0,0)</f>
        <v>8.3333333333333329E-2</v>
      </c>
      <c r="J1267" s="899" t="s">
        <v>4706</v>
      </c>
      <c r="K1267" s="167" t="s">
        <v>6804</v>
      </c>
      <c r="L1267" s="167" t="s">
        <v>2313</v>
      </c>
      <c r="M1267" s="167"/>
      <c r="N1267" s="167"/>
      <c r="O1267" s="167" t="s">
        <v>2500</v>
      </c>
      <c r="P1267" s="168" t="s">
        <v>5603</v>
      </c>
      <c r="Q1267" s="167" t="s">
        <v>3947</v>
      </c>
      <c r="R1267" s="172" t="s">
        <v>6992</v>
      </c>
      <c r="S1267" s="388" t="s">
        <v>2608</v>
      </c>
      <c r="T1267" s="351"/>
      <c r="U1267" s="168"/>
      <c r="V1267" s="168"/>
      <c r="W1267" s="312" t="s">
        <v>10340</v>
      </c>
      <c r="X1267" s="644" t="s">
        <v>12328</v>
      </c>
      <c r="Y1267" s="352" t="s">
        <v>11456</v>
      </c>
      <c r="Z1267" s="353">
        <v>336</v>
      </c>
      <c r="AA1267" s="353">
        <v>5</v>
      </c>
      <c r="AB1267" s="31">
        <f t="shared" ca="1" si="21"/>
        <v>0.76454522121391688</v>
      </c>
      <c r="AC1267" s="810"/>
      <c r="AD1267" s="811"/>
      <c r="AE1267" s="940"/>
      <c r="AF1267" s="920">
        <f>IF(X1267=X1266,AF1266,0)+IF(ISNUMBER(I1267),IF(I1267&lt;1,I1267,I1267*VLOOKUP(J1267,Summary!$H$2:$I$9,2)),VLOOKUP(J1267,Summary!$J$2:$K$9,2)*IF(ISNUMBER(H1267),H1267,1))</f>
        <v>0.16968749999999999</v>
      </c>
      <c r="AG1267" s="287">
        <v>1266</v>
      </c>
      <c r="AH1267" s="94"/>
      <c r="AI1267" s="94"/>
    </row>
    <row r="1268" spans="1:35" s="3" customFormat="1" ht="12" customHeight="1" x14ac:dyDescent="0.25">
      <c r="A1268" s="490">
        <v>15</v>
      </c>
      <c r="B1268" s="490">
        <v>4</v>
      </c>
      <c r="C1268" s="490">
        <v>50</v>
      </c>
      <c r="D1268" s="176" t="s">
        <v>558</v>
      </c>
      <c r="E1268" s="313" t="s">
        <v>3485</v>
      </c>
      <c r="F1268" s="174">
        <v>34213</v>
      </c>
      <c r="G1268" s="174"/>
      <c r="H1268" s="176">
        <v>1</v>
      </c>
      <c r="I1268" s="176">
        <v>5</v>
      </c>
      <c r="J1268" s="900" t="s">
        <v>2755</v>
      </c>
      <c r="K1268" s="164" t="s">
        <v>3451</v>
      </c>
      <c r="L1268" s="164" t="s">
        <v>461</v>
      </c>
      <c r="M1268" s="164"/>
      <c r="N1268" s="164"/>
      <c r="O1268" s="164"/>
      <c r="P1268" s="173" t="s">
        <v>2413</v>
      </c>
      <c r="Q1268" s="164" t="s">
        <v>4062</v>
      </c>
      <c r="R1268" s="177" t="s">
        <v>4599</v>
      </c>
      <c r="S1268" s="354" t="s">
        <v>2608</v>
      </c>
      <c r="T1268" s="173"/>
      <c r="U1268" s="173"/>
      <c r="V1268" s="173"/>
      <c r="W1268" s="313" t="s">
        <v>3485</v>
      </c>
      <c r="X1268" s="645" t="s">
        <v>12328</v>
      </c>
      <c r="Y1268" s="354"/>
      <c r="Z1268" s="176"/>
      <c r="AA1268" s="176"/>
      <c r="AB1268" s="32">
        <f t="shared" ca="1" si="21"/>
        <v>0.24402742895407303</v>
      </c>
      <c r="AC1268" s="812"/>
      <c r="AD1268" s="763"/>
      <c r="AE1268" s="807"/>
      <c r="AF1268" s="921">
        <f>IF(X1268=X1267,AF1267,0)+IF(ISNUMBER(I1268),IF(I1268&lt;1,I1268,I1268*VLOOKUP(J1268,Summary!$H$2:$I$9,2)),VLOOKUP(J1268,Summary!$J$2:$K$9,2)*IF(ISNUMBER(H1268),H1268,1))</f>
        <v>0.1731597222222222</v>
      </c>
      <c r="AG1268" s="289">
        <v>1267</v>
      </c>
      <c r="AH1268" s="94"/>
      <c r="AI1268" s="94"/>
    </row>
    <row r="1269" spans="1:35" s="43" customFormat="1" ht="12" customHeight="1" x14ac:dyDescent="0.25">
      <c r="A1269" s="490" t="s">
        <v>7297</v>
      </c>
      <c r="B1269" s="490">
        <v>4</v>
      </c>
      <c r="C1269" s="490">
        <v>2.0499999999999998</v>
      </c>
      <c r="D1269" s="434" t="s">
        <v>1472</v>
      </c>
      <c r="E1269" s="324" t="s">
        <v>1471</v>
      </c>
      <c r="F1269" s="174">
        <v>36220</v>
      </c>
      <c r="G1269" s="174"/>
      <c r="H1269" s="176">
        <v>1</v>
      </c>
      <c r="I1269" s="176">
        <v>22</v>
      </c>
      <c r="J1269" s="900" t="s">
        <v>2755</v>
      </c>
      <c r="K1269" s="164" t="s">
        <v>2308</v>
      </c>
      <c r="L1269" s="164" t="s">
        <v>461</v>
      </c>
      <c r="M1269" s="164"/>
      <c r="N1269" s="164" t="s">
        <v>6237</v>
      </c>
      <c r="O1269" s="164"/>
      <c r="P1269" s="173" t="s">
        <v>6561</v>
      </c>
      <c r="Q1269" s="164" t="s">
        <v>3953</v>
      </c>
      <c r="R1269" s="179" t="s">
        <v>2723</v>
      </c>
      <c r="S1269" s="354" t="s">
        <v>2608</v>
      </c>
      <c r="T1269" s="173"/>
      <c r="U1269" s="173"/>
      <c r="V1269" s="173"/>
      <c r="W1269" s="324" t="s">
        <v>1471</v>
      </c>
      <c r="X1269" s="656" t="s">
        <v>12328</v>
      </c>
      <c r="Y1269" s="354" t="s">
        <v>6868</v>
      </c>
      <c r="Z1269" s="176">
        <v>999</v>
      </c>
      <c r="AA1269" s="176"/>
      <c r="AB1269" s="32">
        <f t="shared" ca="1" si="21"/>
        <v>0.85163211876482292</v>
      </c>
      <c r="AC1269" s="812"/>
      <c r="AD1269" s="763"/>
      <c r="AE1269" s="951"/>
      <c r="AF1269" s="921">
        <f>IF(X1269=X1268,AF1268,0)+IF(ISNUMBER(I1269),IF(I1269&lt;1,I1269,I1269*VLOOKUP(J1269,Summary!$H$2:$I$9,2)),VLOOKUP(J1269,Summary!$J$2:$K$9,2)*IF(ISNUMBER(H1269),H1269,1))</f>
        <v>0.18843749999999998</v>
      </c>
      <c r="AG1269" s="288">
        <v>1268</v>
      </c>
      <c r="AH1269" s="94"/>
      <c r="AI1269" s="94"/>
    </row>
    <row r="1270" spans="1:35" s="43" customFormat="1" ht="12" customHeight="1" x14ac:dyDescent="0.25">
      <c r="A1270" s="422"/>
      <c r="B1270" s="437" t="s">
        <v>4457</v>
      </c>
      <c r="C1270" s="422">
        <v>21</v>
      </c>
      <c r="D1270" s="176" t="s">
        <v>3594</v>
      </c>
      <c r="E1270" s="313" t="s">
        <v>3595</v>
      </c>
      <c r="F1270" s="175">
        <v>33961</v>
      </c>
      <c r="G1270" s="174"/>
      <c r="H1270" s="176">
        <v>1</v>
      </c>
      <c r="I1270" s="176">
        <v>1</v>
      </c>
      <c r="J1270" s="900" t="s">
        <v>2755</v>
      </c>
      <c r="K1270" s="164" t="s">
        <v>3596</v>
      </c>
      <c r="L1270" s="164" t="s">
        <v>3597</v>
      </c>
      <c r="M1270" s="164"/>
      <c r="N1270" s="164" t="s">
        <v>7375</v>
      </c>
      <c r="O1270" s="164"/>
      <c r="P1270" s="173" t="s">
        <v>461</v>
      </c>
      <c r="Q1270" s="164" t="s">
        <v>4062</v>
      </c>
      <c r="R1270" s="177" t="s">
        <v>4599</v>
      </c>
      <c r="S1270" s="354"/>
      <c r="T1270" s="173" t="s">
        <v>6335</v>
      </c>
      <c r="U1270" s="173"/>
      <c r="V1270" s="173"/>
      <c r="W1270" s="313" t="s">
        <v>3595</v>
      </c>
      <c r="X1270" s="645" t="s">
        <v>12328</v>
      </c>
      <c r="Y1270" s="354"/>
      <c r="Z1270" s="176"/>
      <c r="AA1270" s="176"/>
      <c r="AB1270" s="32">
        <f t="shared" ca="1" si="21"/>
        <v>0.78582289429102026</v>
      </c>
      <c r="AC1270" s="812"/>
      <c r="AD1270" s="763"/>
      <c r="AE1270" s="807"/>
      <c r="AF1270" s="921">
        <f>IF(X1270=X1269,AF1269,0)+IF(ISNUMBER(I1270),IF(I1270&lt;1,I1270,I1270*VLOOKUP(J1270,Summary!$H$2:$I$9,2)),VLOOKUP(J1270,Summary!$J$2:$K$9,2)*IF(ISNUMBER(H1270),H1270,1))</f>
        <v>0.18913194444444442</v>
      </c>
      <c r="AG1270" s="289">
        <v>1269</v>
      </c>
      <c r="AH1270" s="94"/>
      <c r="AI1270" s="94"/>
    </row>
    <row r="1271" spans="1:35" s="29" customFormat="1" ht="12" customHeight="1" x14ac:dyDescent="0.25">
      <c r="A1271" s="487" t="s">
        <v>1621</v>
      </c>
      <c r="B1271" s="487">
        <v>4</v>
      </c>
      <c r="C1271" s="487">
        <v>93</v>
      </c>
      <c r="D1271" s="424" t="s">
        <v>1625</v>
      </c>
      <c r="E1271" s="319" t="s">
        <v>1626</v>
      </c>
      <c r="F1271" s="198">
        <v>28399</v>
      </c>
      <c r="G1271" s="198">
        <v>28420</v>
      </c>
      <c r="H1271" s="199">
        <v>4</v>
      </c>
      <c r="I1271" s="791">
        <f>TIME(0,23, 9)+TIME(0,25,13)+TIME(0,23,28)+TIME(0,21,22)</f>
        <v>6.4722222222222209E-2</v>
      </c>
      <c r="J1271" s="904" t="s">
        <v>1588</v>
      </c>
      <c r="K1271" s="200" t="s">
        <v>7012</v>
      </c>
      <c r="L1271" s="200" t="s">
        <v>1627</v>
      </c>
      <c r="M1271" s="200"/>
      <c r="N1271" s="200" t="s">
        <v>1093</v>
      </c>
      <c r="O1271" s="200" t="s">
        <v>1624</v>
      </c>
      <c r="P1271" s="197" t="s">
        <v>461</v>
      </c>
      <c r="Q1271" s="200" t="s">
        <v>3946</v>
      </c>
      <c r="R1271" s="201" t="s">
        <v>5280</v>
      </c>
      <c r="S1271" s="390" t="s">
        <v>2608</v>
      </c>
      <c r="T1271" s="197" t="s">
        <v>6335</v>
      </c>
      <c r="U1271" s="197"/>
      <c r="V1271" s="197"/>
      <c r="W1271" s="318" t="s">
        <v>9667</v>
      </c>
      <c r="X1271" s="650" t="s">
        <v>12328</v>
      </c>
      <c r="Y1271" s="358" t="s">
        <v>6141</v>
      </c>
      <c r="Z1271" s="253">
        <v>300</v>
      </c>
      <c r="AA1271" s="253">
        <v>1.5</v>
      </c>
      <c r="AB1271" s="35">
        <f t="shared" ca="1" si="21"/>
        <v>0.43686881262565391</v>
      </c>
      <c r="AC1271" s="820"/>
      <c r="AD1271" s="821" t="s">
        <v>16423</v>
      </c>
      <c r="AE1271" s="944"/>
      <c r="AF1271" s="925">
        <f>IF(X1271=X1270,AF1270,0)+IF(ISNUMBER(I1271),IF(I1271&lt;1,I1271,I1271*VLOOKUP(J1271,Summary!$H$2:$I$9,2)),VLOOKUP(J1271,Summary!$J$2:$K$9,2)*IF(ISNUMBER(H1271),H1271,1))</f>
        <v>0.2538541666666666</v>
      </c>
      <c r="AG1271" s="293">
        <v>1270</v>
      </c>
      <c r="AH1271" s="94"/>
      <c r="AI1271" s="94"/>
    </row>
    <row r="1272" spans="1:35" s="1" customFormat="1" ht="12" customHeight="1" x14ac:dyDescent="0.25">
      <c r="A1272" s="487" t="s">
        <v>1621</v>
      </c>
      <c r="B1272" s="487">
        <v>4</v>
      </c>
      <c r="C1272" s="487">
        <v>94</v>
      </c>
      <c r="D1272" s="424" t="s">
        <v>1628</v>
      </c>
      <c r="E1272" s="319" t="s">
        <v>1629</v>
      </c>
      <c r="F1272" s="198">
        <v>28427</v>
      </c>
      <c r="G1272" s="198">
        <v>28448</v>
      </c>
      <c r="H1272" s="199">
        <v>4</v>
      </c>
      <c r="I1272" s="791">
        <f>TIME(0,24,38)+TIME(0,24,44)+TIME(0,24,22)+TIME(0,20,32)</f>
        <v>6.5462962962962973E-2</v>
      </c>
      <c r="J1272" s="904" t="s">
        <v>1588</v>
      </c>
      <c r="K1272" s="200" t="s">
        <v>5749</v>
      </c>
      <c r="L1272" s="200" t="s">
        <v>1630</v>
      </c>
      <c r="M1272" s="200"/>
      <c r="N1272" s="200" t="s">
        <v>1093</v>
      </c>
      <c r="O1272" s="200" t="s">
        <v>1624</v>
      </c>
      <c r="P1272" s="197" t="s">
        <v>461</v>
      </c>
      <c r="Q1272" s="200" t="s">
        <v>3946</v>
      </c>
      <c r="R1272" s="201" t="s">
        <v>5280</v>
      </c>
      <c r="S1272" s="390" t="s">
        <v>2608</v>
      </c>
      <c r="T1272" s="197"/>
      <c r="U1272" s="197"/>
      <c r="V1272" s="197"/>
      <c r="W1272" s="318" t="s">
        <v>8710</v>
      </c>
      <c r="X1272" s="650" t="s">
        <v>12328</v>
      </c>
      <c r="Y1272" s="358" t="s">
        <v>6141</v>
      </c>
      <c r="Z1272" s="253">
        <v>203</v>
      </c>
      <c r="AA1272" s="253">
        <v>4.5</v>
      </c>
      <c r="AB1272" s="35">
        <f t="shared" ca="1" si="21"/>
        <v>0.71856225339733315</v>
      </c>
      <c r="AC1272" s="820"/>
      <c r="AD1272" s="821" t="s">
        <v>15995</v>
      </c>
      <c r="AE1272" s="944"/>
      <c r="AF1272" s="925">
        <f>IF(X1272=X1271,AF1271,0)+IF(ISNUMBER(I1272),IF(I1272&lt;1,I1272,I1272*VLOOKUP(J1272,Summary!$H$2:$I$9,2)),VLOOKUP(J1272,Summary!$J$2:$K$9,2)*IF(ISNUMBER(H1272),H1272,1))</f>
        <v>0.31931712962962955</v>
      </c>
      <c r="AG1272" s="293">
        <v>1271</v>
      </c>
      <c r="AH1272" s="94"/>
      <c r="AI1272" s="94"/>
    </row>
    <row r="1273" spans="1:35" s="2" customFormat="1" ht="12" customHeight="1" x14ac:dyDescent="0.25">
      <c r="A1273" s="490">
        <v>15</v>
      </c>
      <c r="B1273" s="490">
        <v>4</v>
      </c>
      <c r="C1273" s="490">
        <v>20</v>
      </c>
      <c r="D1273" s="176" t="s">
        <v>9831</v>
      </c>
      <c r="E1273" s="313" t="s">
        <v>9832</v>
      </c>
      <c r="F1273" s="175">
        <v>41802</v>
      </c>
      <c r="G1273" s="174"/>
      <c r="H1273" s="176">
        <v>1</v>
      </c>
      <c r="I1273" s="176">
        <v>7</v>
      </c>
      <c r="J1273" s="900" t="s">
        <v>2755</v>
      </c>
      <c r="K1273" s="164" t="s">
        <v>9281</v>
      </c>
      <c r="L1273" s="164" t="s">
        <v>461</v>
      </c>
      <c r="M1273" s="164"/>
      <c r="N1273" s="164" t="s">
        <v>543</v>
      </c>
      <c r="O1273" s="164"/>
      <c r="P1273" s="173" t="s">
        <v>9278</v>
      </c>
      <c r="Q1273" s="164" t="s">
        <v>3953</v>
      </c>
      <c r="R1273" s="177" t="s">
        <v>9279</v>
      </c>
      <c r="S1273" s="354"/>
      <c r="T1273" s="173"/>
      <c r="U1273" s="173"/>
      <c r="V1273" s="173"/>
      <c r="W1273" s="313" t="s">
        <v>9832</v>
      </c>
      <c r="X1273" s="645" t="s">
        <v>12328</v>
      </c>
      <c r="Y1273" s="354" t="s">
        <v>6868</v>
      </c>
      <c r="Z1273" s="176"/>
      <c r="AA1273" s="176"/>
      <c r="AB1273" s="32">
        <f t="shared" ca="1" si="21"/>
        <v>0.90089222073386799</v>
      </c>
      <c r="AC1273" s="812"/>
      <c r="AD1273" s="763"/>
      <c r="AE1273" s="807"/>
      <c r="AF1273" s="921">
        <f>IF(X1273=X1272,AF1272,0)+IF(ISNUMBER(I1273),IF(I1273&lt;1,I1273,I1273*VLOOKUP(J1273,Summary!$H$2:$I$9,2)),VLOOKUP(J1273,Summary!$J$2:$K$9,2)*IF(ISNUMBER(H1273),H1273,1))</f>
        <v>0.32417824074074064</v>
      </c>
      <c r="AG1273" s="289">
        <v>1272</v>
      </c>
      <c r="AH1273" s="94"/>
      <c r="AI1273" s="94"/>
    </row>
    <row r="1274" spans="1:35" s="1" customFormat="1" ht="12" customHeight="1" x14ac:dyDescent="0.25">
      <c r="A1274" s="490">
        <v>15</v>
      </c>
      <c r="B1274" s="490">
        <v>4</v>
      </c>
      <c r="C1274" s="490">
        <v>30.05</v>
      </c>
      <c r="D1274" s="176" t="s">
        <v>5361</v>
      </c>
      <c r="E1274" s="313" t="s">
        <v>5379</v>
      </c>
      <c r="F1274" s="174">
        <v>39783</v>
      </c>
      <c r="G1274" s="174"/>
      <c r="H1274" s="176" t="s">
        <v>461</v>
      </c>
      <c r="I1274" s="176">
        <v>14</v>
      </c>
      <c r="J1274" s="900" t="s">
        <v>2755</v>
      </c>
      <c r="K1274" s="164" t="s">
        <v>1033</v>
      </c>
      <c r="L1274" s="164" t="s">
        <v>461</v>
      </c>
      <c r="M1274" s="164"/>
      <c r="N1274" s="164" t="s">
        <v>4944</v>
      </c>
      <c r="O1274" s="164"/>
      <c r="P1274" s="173" t="s">
        <v>6702</v>
      </c>
      <c r="Q1274" s="164" t="s">
        <v>3947</v>
      </c>
      <c r="R1274" s="177" t="s">
        <v>2723</v>
      </c>
      <c r="S1274" s="354" t="s">
        <v>2608</v>
      </c>
      <c r="T1274" s="173"/>
      <c r="U1274" s="173"/>
      <c r="V1274" s="173"/>
      <c r="W1274" s="313" t="s">
        <v>5379</v>
      </c>
      <c r="X1274" s="645" t="s">
        <v>12328</v>
      </c>
      <c r="Y1274" s="354"/>
      <c r="Z1274" s="176"/>
      <c r="AA1274" s="176"/>
      <c r="AB1274" s="32">
        <f t="shared" ca="1" si="21"/>
        <v>0.72625397133869818</v>
      </c>
      <c r="AC1274" s="812"/>
      <c r="AD1274" s="763"/>
      <c r="AE1274" s="807"/>
      <c r="AF1274" s="921">
        <f>IF(X1274=X1273,AF1273,0)+IF(ISNUMBER(I1274),IF(I1274&lt;1,I1274,I1274*VLOOKUP(J1274,Summary!$H$2:$I$9,2)),VLOOKUP(J1274,Summary!$J$2:$K$9,2)*IF(ISNUMBER(H1274),H1274,1))</f>
        <v>0.33390046296296289</v>
      </c>
      <c r="AG1274" s="289">
        <v>1273</v>
      </c>
      <c r="AH1274" s="94"/>
      <c r="AI1274" s="94"/>
    </row>
    <row r="1275" spans="1:35" s="1" customFormat="1" ht="12" customHeight="1" x14ac:dyDescent="0.25">
      <c r="A1275" s="490">
        <v>15</v>
      </c>
      <c r="B1275" s="490">
        <v>4</v>
      </c>
      <c r="C1275" s="490">
        <v>23.07</v>
      </c>
      <c r="D1275" s="434" t="s">
        <v>1013</v>
      </c>
      <c r="E1275" s="324" t="s">
        <v>1009</v>
      </c>
      <c r="F1275" s="174">
        <v>39234</v>
      </c>
      <c r="G1275" s="174"/>
      <c r="H1275" s="176">
        <v>1</v>
      </c>
      <c r="I1275" s="176">
        <v>7</v>
      </c>
      <c r="J1275" s="900" t="s">
        <v>2755</v>
      </c>
      <c r="K1275" s="164" t="s">
        <v>1014</v>
      </c>
      <c r="L1275" s="164" t="s">
        <v>461</v>
      </c>
      <c r="M1275" s="164"/>
      <c r="N1275" s="164" t="s">
        <v>804</v>
      </c>
      <c r="O1275" s="164"/>
      <c r="P1275" s="173" t="s">
        <v>6700</v>
      </c>
      <c r="Q1275" s="164" t="s">
        <v>3947</v>
      </c>
      <c r="R1275" s="179" t="s">
        <v>2723</v>
      </c>
      <c r="S1275" s="354" t="s">
        <v>2608</v>
      </c>
      <c r="T1275" s="173" t="s">
        <v>6335</v>
      </c>
      <c r="U1275" s="173"/>
      <c r="V1275" s="173"/>
      <c r="W1275" s="324" t="s">
        <v>1009</v>
      </c>
      <c r="X1275" s="656" t="s">
        <v>12328</v>
      </c>
      <c r="Y1275" s="354"/>
      <c r="Z1275" s="176"/>
      <c r="AA1275" s="176"/>
      <c r="AB1275" s="32">
        <f t="shared" ca="1" si="21"/>
        <v>0.57115621049489651</v>
      </c>
      <c r="AC1275" s="812"/>
      <c r="AD1275" s="763"/>
      <c r="AE1275" s="951"/>
      <c r="AF1275" s="921">
        <f>IF(X1275=X1274,AF1274,0)+IF(ISNUMBER(I1275),IF(I1275&lt;1,I1275,I1275*VLOOKUP(J1275,Summary!$H$2:$I$9,2)),VLOOKUP(J1275,Summary!$J$2:$K$9,2)*IF(ISNUMBER(H1275),H1275,1))</f>
        <v>0.33876157407407398</v>
      </c>
      <c r="AG1275" s="288">
        <v>1274</v>
      </c>
      <c r="AH1275" s="94"/>
      <c r="AI1275" s="94"/>
    </row>
    <row r="1276" spans="1:35" s="29" customFormat="1" ht="12" customHeight="1" x14ac:dyDescent="0.25">
      <c r="A1276" s="488">
        <v>15</v>
      </c>
      <c r="B1276" s="488">
        <v>4</v>
      </c>
      <c r="C1276" s="488">
        <v>4</v>
      </c>
      <c r="D1276" s="185" t="s">
        <v>8351</v>
      </c>
      <c r="E1276" s="314" t="s">
        <v>8354</v>
      </c>
      <c r="F1276" s="184">
        <v>41381</v>
      </c>
      <c r="G1276" s="184"/>
      <c r="H1276" s="185">
        <v>1</v>
      </c>
      <c r="I1276" s="185">
        <v>22</v>
      </c>
      <c r="J1276" s="901" t="s">
        <v>1796</v>
      </c>
      <c r="K1276" s="163" t="s">
        <v>8333</v>
      </c>
      <c r="L1276" s="163" t="s">
        <v>4169</v>
      </c>
      <c r="M1276" s="163"/>
      <c r="N1276" s="163" t="s">
        <v>6573</v>
      </c>
      <c r="O1276" s="163"/>
      <c r="P1276" s="182" t="s">
        <v>461</v>
      </c>
      <c r="Q1276" s="163" t="s">
        <v>5719</v>
      </c>
      <c r="R1276" s="186" t="s">
        <v>5718</v>
      </c>
      <c r="S1276" s="355" t="s">
        <v>2608</v>
      </c>
      <c r="T1276" s="182"/>
      <c r="U1276" s="182"/>
      <c r="V1276" s="182"/>
      <c r="W1276" s="314" t="s">
        <v>10148</v>
      </c>
      <c r="X1276" s="646" t="s">
        <v>12328</v>
      </c>
      <c r="Y1276" s="355" t="s">
        <v>6000</v>
      </c>
      <c r="Z1276" s="185">
        <v>999</v>
      </c>
      <c r="AA1276" s="185"/>
      <c r="AB1276" s="33">
        <f t="shared" ca="1" si="21"/>
        <v>0.45958372434238126</v>
      </c>
      <c r="AC1276" s="813"/>
      <c r="AD1276" s="211"/>
      <c r="AE1276" s="949"/>
      <c r="AF1276" s="922">
        <f>IF(X1276=X1275,AF1275,0)+IF(ISNUMBER(I1276),IF(I1276&lt;1,I1276,I1276*VLOOKUP(J1276,Summary!$H$2:$I$9,2)),VLOOKUP(J1276,Summary!$J$2:$K$9,2)*IF(ISNUMBER(H1276),H1276,1))</f>
        <v>0.3464004629629629</v>
      </c>
      <c r="AG1276" s="295">
        <v>1275</v>
      </c>
      <c r="AH1276" s="94"/>
      <c r="AI1276" s="94"/>
    </row>
    <row r="1277" spans="1:35" s="7" customFormat="1" ht="12" customHeight="1" x14ac:dyDescent="0.25">
      <c r="A1277" s="487" t="s">
        <v>1621</v>
      </c>
      <c r="B1277" s="487">
        <v>4</v>
      </c>
      <c r="C1277" s="487">
        <v>95</v>
      </c>
      <c r="D1277" s="424" t="s">
        <v>1631</v>
      </c>
      <c r="E1277" s="319" t="s">
        <v>1632</v>
      </c>
      <c r="F1277" s="198">
        <v>28455</v>
      </c>
      <c r="G1277" s="198">
        <v>28476</v>
      </c>
      <c r="H1277" s="199">
        <v>4</v>
      </c>
      <c r="I1277" s="791">
        <f>TIME(0,24,59)+TIME(0,24,57)+TIME(0,24,57)+TIME(0,24,57)</f>
        <v>6.9328703703703712E-2</v>
      </c>
      <c r="J1277" s="904" t="s">
        <v>1588</v>
      </c>
      <c r="K1277" s="200" t="s">
        <v>1093</v>
      </c>
      <c r="L1277" s="200" t="s">
        <v>5750</v>
      </c>
      <c r="M1277" s="200"/>
      <c r="N1277" s="200" t="s">
        <v>345</v>
      </c>
      <c r="O1277" s="200" t="s">
        <v>1624</v>
      </c>
      <c r="P1277" s="197" t="s">
        <v>461</v>
      </c>
      <c r="Q1277" s="200" t="s">
        <v>3946</v>
      </c>
      <c r="R1277" s="201" t="s">
        <v>5280</v>
      </c>
      <c r="S1277" s="390" t="s">
        <v>2608</v>
      </c>
      <c r="T1277" s="197" t="s">
        <v>6335</v>
      </c>
      <c r="U1277" s="197"/>
      <c r="V1277" s="197"/>
      <c r="W1277" s="318" t="s">
        <v>9671</v>
      </c>
      <c r="X1277" s="650" t="s">
        <v>12328</v>
      </c>
      <c r="Y1277" s="358" t="s">
        <v>6141</v>
      </c>
      <c r="Z1277" s="253">
        <v>159</v>
      </c>
      <c r="AA1277" s="253">
        <v>5</v>
      </c>
      <c r="AB1277" s="35">
        <f t="shared" ca="1" si="21"/>
        <v>0.58296047604216472</v>
      </c>
      <c r="AC1277" s="820"/>
      <c r="AD1277" s="821" t="s">
        <v>16513</v>
      </c>
      <c r="AE1277" s="944" t="s">
        <v>12543</v>
      </c>
      <c r="AF1277" s="925">
        <f>IF(X1277=X1276,AF1276,0)+IF(ISNUMBER(I1277),IF(I1277&lt;1,I1277,I1277*VLOOKUP(J1277,Summary!$H$2:$I$9,2)),VLOOKUP(J1277,Summary!$J$2:$K$9,2)*IF(ISNUMBER(H1277),H1277,1))</f>
        <v>0.41572916666666659</v>
      </c>
      <c r="AG1277" s="293">
        <v>1276</v>
      </c>
      <c r="AH1277" s="94"/>
      <c r="AI1277" s="94"/>
    </row>
    <row r="1278" spans="1:35" s="29" customFormat="1" ht="12" customHeight="1" x14ac:dyDescent="0.25">
      <c r="A1278" s="490">
        <v>15</v>
      </c>
      <c r="B1278" s="490">
        <v>4</v>
      </c>
      <c r="C1278" s="490">
        <v>1.04</v>
      </c>
      <c r="D1278" s="434" t="s">
        <v>9244</v>
      </c>
      <c r="E1278" s="324" t="s">
        <v>9245</v>
      </c>
      <c r="F1278" s="175">
        <v>41387</v>
      </c>
      <c r="G1278" s="174"/>
      <c r="H1278" s="176">
        <v>1</v>
      </c>
      <c r="I1278" s="176">
        <v>38</v>
      </c>
      <c r="J1278" s="900" t="s">
        <v>2755</v>
      </c>
      <c r="K1278" s="164" t="s">
        <v>9246</v>
      </c>
      <c r="L1278" s="164" t="s">
        <v>461</v>
      </c>
      <c r="M1278" s="164"/>
      <c r="N1278" s="164"/>
      <c r="O1278" s="164"/>
      <c r="P1278" s="173" t="s">
        <v>9237</v>
      </c>
      <c r="Q1278" s="164" t="s">
        <v>9235</v>
      </c>
      <c r="R1278" s="179" t="s">
        <v>9236</v>
      </c>
      <c r="S1278" s="354" t="s">
        <v>2608</v>
      </c>
      <c r="T1278" s="173" t="s">
        <v>6335</v>
      </c>
      <c r="U1278" s="173"/>
      <c r="V1278" s="173"/>
      <c r="W1278" s="324" t="s">
        <v>9245</v>
      </c>
      <c r="X1278" s="656" t="s">
        <v>12328</v>
      </c>
      <c r="Y1278" s="354" t="s">
        <v>6868</v>
      </c>
      <c r="Z1278" s="176"/>
      <c r="AA1278" s="176"/>
      <c r="AB1278" s="32">
        <f t="shared" ca="1" si="21"/>
        <v>0.9271346566764983</v>
      </c>
      <c r="AC1278" s="812"/>
      <c r="AD1278" s="763"/>
      <c r="AE1278" s="951"/>
      <c r="AF1278" s="921">
        <f>IF(X1278=X1277,AF1277,0)+IF(ISNUMBER(I1278),IF(I1278&lt;1,I1278,I1278*VLOOKUP(J1278,Summary!$H$2:$I$9,2)),VLOOKUP(J1278,Summary!$J$2:$K$9,2)*IF(ISNUMBER(H1278),H1278,1))</f>
        <v>0.4421180555555555</v>
      </c>
      <c r="AG1278" s="288">
        <v>1277</v>
      </c>
      <c r="AH1278" s="94"/>
      <c r="AI1278" s="94"/>
    </row>
    <row r="1279" spans="1:35" s="7" customFormat="1" ht="12" customHeight="1" x14ac:dyDescent="0.25">
      <c r="A1279" s="484">
        <v>15</v>
      </c>
      <c r="B1279" s="484">
        <v>4</v>
      </c>
      <c r="C1279" s="502">
        <v>4.0999999999999996</v>
      </c>
      <c r="D1279" s="407" t="s">
        <v>9990</v>
      </c>
      <c r="E1279" s="315" t="s">
        <v>9998</v>
      </c>
      <c r="F1279" s="196">
        <v>42019</v>
      </c>
      <c r="G1279" s="170"/>
      <c r="H1279" s="170">
        <v>2</v>
      </c>
      <c r="I1279" s="747">
        <f t="shared" ref="I1279:I1286" si="23">TIME(0,60,0)</f>
        <v>4.1666666666666664E-2</v>
      </c>
      <c r="J1279" s="899" t="s">
        <v>4706</v>
      </c>
      <c r="K1279" s="167" t="s">
        <v>4549</v>
      </c>
      <c r="L1279" s="167" t="s">
        <v>4549</v>
      </c>
      <c r="M1279" s="167"/>
      <c r="N1279" s="167"/>
      <c r="O1279" s="167"/>
      <c r="P1279" s="168" t="s">
        <v>12132</v>
      </c>
      <c r="Q1279" s="167" t="s">
        <v>3947</v>
      </c>
      <c r="R1279" s="172" t="s">
        <v>7162</v>
      </c>
      <c r="S1279" s="388" t="s">
        <v>2608</v>
      </c>
      <c r="T1279" s="168" t="s">
        <v>6335</v>
      </c>
      <c r="U1279" s="168"/>
      <c r="V1279" s="168"/>
      <c r="W1279" s="312" t="s">
        <v>12569</v>
      </c>
      <c r="X1279" s="644" t="s">
        <v>12328</v>
      </c>
      <c r="Y1279" s="352" t="s">
        <v>5643</v>
      </c>
      <c r="Z1279" s="353">
        <v>627</v>
      </c>
      <c r="AA1279" s="353">
        <v>3</v>
      </c>
      <c r="AB1279" s="31">
        <f t="shared" ca="1" si="21"/>
        <v>0.4348302816610734</v>
      </c>
      <c r="AC1279" s="810"/>
      <c r="AD1279" s="811"/>
      <c r="AE1279" s="940"/>
      <c r="AF1279" s="920">
        <f>IF(X1279=X1278,AF1278,0)+IF(ISNUMBER(I1279),IF(I1279&lt;1,I1279,I1279*VLOOKUP(J1279,Summary!$H$2:$I$9,2)),VLOOKUP(J1279,Summary!$J$2:$K$9,2)*IF(ISNUMBER(H1279),H1279,1))</f>
        <v>0.48378472222222219</v>
      </c>
      <c r="AG1279" s="287">
        <v>1278</v>
      </c>
      <c r="AH1279" s="94"/>
      <c r="AI1279" s="94"/>
    </row>
    <row r="1280" spans="1:35" s="43" customFormat="1" ht="12" customHeight="1" x14ac:dyDescent="0.25">
      <c r="A1280" s="484">
        <v>15</v>
      </c>
      <c r="B1280" s="484">
        <v>4</v>
      </c>
      <c r="C1280" s="502">
        <v>4.2</v>
      </c>
      <c r="D1280" s="407" t="s">
        <v>9991</v>
      </c>
      <c r="E1280" s="315" t="s">
        <v>9999</v>
      </c>
      <c r="F1280" s="196">
        <v>42047</v>
      </c>
      <c r="G1280" s="170"/>
      <c r="H1280" s="170">
        <v>2</v>
      </c>
      <c r="I1280" s="747">
        <f t="shared" si="23"/>
        <v>4.1666666666666664E-2</v>
      </c>
      <c r="J1280" s="899" t="s">
        <v>4706</v>
      </c>
      <c r="K1280" s="167" t="s">
        <v>543</v>
      </c>
      <c r="L1280" s="167" t="s">
        <v>4549</v>
      </c>
      <c r="M1280" s="167"/>
      <c r="N1280" s="167"/>
      <c r="O1280" s="167"/>
      <c r="P1280" s="168" t="s">
        <v>10006</v>
      </c>
      <c r="Q1280" s="167" t="s">
        <v>3947</v>
      </c>
      <c r="R1280" s="172" t="s">
        <v>7162</v>
      </c>
      <c r="S1280" s="388" t="s">
        <v>2608</v>
      </c>
      <c r="T1280" s="168"/>
      <c r="U1280" s="168"/>
      <c r="V1280" s="168"/>
      <c r="W1280" s="312" t="s">
        <v>12556</v>
      </c>
      <c r="X1280" s="644" t="s">
        <v>12328</v>
      </c>
      <c r="Y1280" s="352" t="s">
        <v>5643</v>
      </c>
      <c r="Z1280" s="353">
        <v>387</v>
      </c>
      <c r="AA1280" s="353">
        <v>5</v>
      </c>
      <c r="AB1280" s="31">
        <f t="shared" ca="1" si="21"/>
        <v>0.79623506364108487</v>
      </c>
      <c r="AC1280" s="810"/>
      <c r="AD1280" s="811"/>
      <c r="AE1280" s="940"/>
      <c r="AF1280" s="920">
        <f>IF(X1280=X1279,AF1279,0)+IF(ISNUMBER(I1280),IF(I1280&lt;1,I1280,I1280*VLOOKUP(J1280,Summary!$H$2:$I$9,2)),VLOOKUP(J1280,Summary!$J$2:$K$9,2)*IF(ISNUMBER(H1280),H1280,1))</f>
        <v>0.52545138888888887</v>
      </c>
      <c r="AG1280" s="287">
        <v>1279</v>
      </c>
      <c r="AH1280" s="94"/>
      <c r="AI1280" s="94"/>
    </row>
    <row r="1281" spans="1:35" s="29" customFormat="1" ht="12" customHeight="1" x14ac:dyDescent="0.25">
      <c r="A1281" s="484">
        <v>15</v>
      </c>
      <c r="B1281" s="484">
        <v>4</v>
      </c>
      <c r="C1281" s="502">
        <v>4.3</v>
      </c>
      <c r="D1281" s="407" t="s">
        <v>9992</v>
      </c>
      <c r="E1281" s="315" t="s">
        <v>10000</v>
      </c>
      <c r="F1281" s="196">
        <v>42076</v>
      </c>
      <c r="G1281" s="170"/>
      <c r="H1281" s="170">
        <v>2</v>
      </c>
      <c r="I1281" s="747">
        <f t="shared" si="23"/>
        <v>4.1666666666666664E-2</v>
      </c>
      <c r="J1281" s="899" t="s">
        <v>4706</v>
      </c>
      <c r="K1281" s="167" t="s">
        <v>5666</v>
      </c>
      <c r="L1281" s="167" t="s">
        <v>4549</v>
      </c>
      <c r="M1281" s="167"/>
      <c r="N1281" s="167"/>
      <c r="O1281" s="167"/>
      <c r="P1281" s="168" t="s">
        <v>10007</v>
      </c>
      <c r="Q1281" s="167" t="s">
        <v>3947</v>
      </c>
      <c r="R1281" s="172" t="s">
        <v>7162</v>
      </c>
      <c r="S1281" s="388" t="s">
        <v>2608</v>
      </c>
      <c r="T1281" s="168" t="s">
        <v>6335</v>
      </c>
      <c r="U1281" s="168"/>
      <c r="V1281" s="168"/>
      <c r="W1281" s="312" t="s">
        <v>12567</v>
      </c>
      <c r="X1281" s="644" t="s">
        <v>12328</v>
      </c>
      <c r="Y1281" s="352" t="s">
        <v>5643</v>
      </c>
      <c r="Z1281" s="353">
        <v>433</v>
      </c>
      <c r="AA1281" s="353">
        <v>4.5</v>
      </c>
      <c r="AB1281" s="31">
        <f t="shared" ca="1" si="21"/>
        <v>0.64405307190820604</v>
      </c>
      <c r="AC1281" s="810"/>
      <c r="AD1281" s="811"/>
      <c r="AE1281" s="940"/>
      <c r="AF1281" s="920">
        <f>IF(X1281=X1280,AF1280,0)+IF(ISNUMBER(I1281),IF(I1281&lt;1,I1281,I1281*VLOOKUP(J1281,Summary!$H$2:$I$9,2)),VLOOKUP(J1281,Summary!$J$2:$K$9,2)*IF(ISNUMBER(H1281),H1281,1))</f>
        <v>0.5671180555555555</v>
      </c>
      <c r="AG1281" s="287">
        <v>1280</v>
      </c>
      <c r="AH1281" s="94"/>
      <c r="AI1281" s="94"/>
    </row>
    <row r="1282" spans="1:35" s="29" customFormat="1" ht="12" customHeight="1" x14ac:dyDescent="0.25">
      <c r="A1282" s="484">
        <v>15</v>
      </c>
      <c r="B1282" s="484">
        <v>4</v>
      </c>
      <c r="C1282" s="502">
        <v>4.4000000000000004</v>
      </c>
      <c r="D1282" s="407" t="s">
        <v>9993</v>
      </c>
      <c r="E1282" s="315" t="s">
        <v>10001</v>
      </c>
      <c r="F1282" s="196">
        <v>42110</v>
      </c>
      <c r="G1282" s="170"/>
      <c r="H1282" s="170">
        <v>2</v>
      </c>
      <c r="I1282" s="747">
        <f t="shared" si="23"/>
        <v>4.1666666666666664E-2</v>
      </c>
      <c r="J1282" s="899" t="s">
        <v>4706</v>
      </c>
      <c r="K1282" s="167" t="s">
        <v>6452</v>
      </c>
      <c r="L1282" s="167" t="s">
        <v>4549</v>
      </c>
      <c r="M1282" s="167"/>
      <c r="N1282" s="167"/>
      <c r="O1282" s="167"/>
      <c r="P1282" s="168" t="s">
        <v>10008</v>
      </c>
      <c r="Q1282" s="167" t="s">
        <v>3947</v>
      </c>
      <c r="R1282" s="172" t="s">
        <v>7162</v>
      </c>
      <c r="S1282" s="388" t="s">
        <v>2608</v>
      </c>
      <c r="T1282" s="168" t="s">
        <v>6335</v>
      </c>
      <c r="U1282" s="168"/>
      <c r="V1282" s="168"/>
      <c r="W1282" s="312" t="s">
        <v>12564</v>
      </c>
      <c r="X1282" s="644" t="s">
        <v>12328</v>
      </c>
      <c r="Y1282" s="352" t="s">
        <v>5643</v>
      </c>
      <c r="Z1282" s="353">
        <v>668</v>
      </c>
      <c r="AA1282" s="353">
        <v>2.5</v>
      </c>
      <c r="AB1282" s="31">
        <f t="shared" ref="AB1282:AB1345" ca="1" si="24">RAND()</f>
        <v>0.73446967829563392</v>
      </c>
      <c r="AC1282" s="810"/>
      <c r="AD1282" s="811"/>
      <c r="AE1282" s="940"/>
      <c r="AF1282" s="920">
        <f>IF(X1282=X1281,AF1281,0)+IF(ISNUMBER(I1282),IF(I1282&lt;1,I1282,I1282*VLOOKUP(J1282,Summary!$H$2:$I$9,2)),VLOOKUP(J1282,Summary!$J$2:$K$9,2)*IF(ISNUMBER(H1282),H1282,1))</f>
        <v>0.60878472222222213</v>
      </c>
      <c r="AG1282" s="287">
        <v>1281</v>
      </c>
      <c r="AH1282" s="94"/>
      <c r="AI1282" s="94"/>
    </row>
    <row r="1283" spans="1:35" s="29" customFormat="1" ht="12" customHeight="1" x14ac:dyDescent="0.25">
      <c r="A1283" s="484">
        <v>15</v>
      </c>
      <c r="B1283" s="484">
        <v>4</v>
      </c>
      <c r="C1283" s="502">
        <v>4.5</v>
      </c>
      <c r="D1283" s="407" t="s">
        <v>9994</v>
      </c>
      <c r="E1283" s="315" t="s">
        <v>10002</v>
      </c>
      <c r="F1283" s="196">
        <v>42145</v>
      </c>
      <c r="G1283" s="170"/>
      <c r="H1283" s="170">
        <v>2</v>
      </c>
      <c r="I1283" s="747">
        <f t="shared" si="23"/>
        <v>4.1666666666666664E-2</v>
      </c>
      <c r="J1283" s="899" t="s">
        <v>4706</v>
      </c>
      <c r="K1283" s="167" t="s">
        <v>7374</v>
      </c>
      <c r="L1283" s="167" t="s">
        <v>4549</v>
      </c>
      <c r="M1283" s="167"/>
      <c r="N1283" s="167"/>
      <c r="O1283" s="167"/>
      <c r="P1283" s="168" t="s">
        <v>10009</v>
      </c>
      <c r="Q1283" s="167" t="s">
        <v>3947</v>
      </c>
      <c r="R1283" s="172" t="s">
        <v>7162</v>
      </c>
      <c r="S1283" s="388" t="s">
        <v>2608</v>
      </c>
      <c r="T1283" s="168"/>
      <c r="U1283" s="168"/>
      <c r="V1283" s="168"/>
      <c r="W1283" s="312" t="s">
        <v>12565</v>
      </c>
      <c r="X1283" s="644" t="s">
        <v>12328</v>
      </c>
      <c r="Y1283" s="352" t="s">
        <v>5643</v>
      </c>
      <c r="Z1283" s="353">
        <v>199</v>
      </c>
      <c r="AA1283" s="353">
        <v>6</v>
      </c>
      <c r="AB1283" s="31">
        <f t="shared" ca="1" si="24"/>
        <v>0.85550038810440654</v>
      </c>
      <c r="AC1283" s="810"/>
      <c r="AD1283" s="811"/>
      <c r="AE1283" s="940"/>
      <c r="AF1283" s="920">
        <f>IF(X1283=X1282,AF1282,0)+IF(ISNUMBER(I1283),IF(I1283&lt;1,I1283,I1283*VLOOKUP(J1283,Summary!$H$2:$I$9,2)),VLOOKUP(J1283,Summary!$J$2:$K$9,2)*IF(ISNUMBER(H1283),H1283,1))</f>
        <v>0.65045138888888876</v>
      </c>
      <c r="AG1283" s="287">
        <v>1282</v>
      </c>
      <c r="AH1283" s="94"/>
      <c r="AI1283" s="94"/>
    </row>
    <row r="1284" spans="1:35" s="29" customFormat="1" ht="12" customHeight="1" x14ac:dyDescent="0.25">
      <c r="A1284" s="484">
        <v>15</v>
      </c>
      <c r="B1284" s="484">
        <v>4</v>
      </c>
      <c r="C1284" s="502">
        <v>4.5999999999999996</v>
      </c>
      <c r="D1284" s="407" t="s">
        <v>9995</v>
      </c>
      <c r="E1284" s="315" t="s">
        <v>10003</v>
      </c>
      <c r="F1284" s="196">
        <v>42159</v>
      </c>
      <c r="G1284" s="170"/>
      <c r="H1284" s="170">
        <v>2</v>
      </c>
      <c r="I1284" s="747">
        <f t="shared" si="23"/>
        <v>4.1666666666666664E-2</v>
      </c>
      <c r="J1284" s="899" t="s">
        <v>4706</v>
      </c>
      <c r="K1284" s="167" t="s">
        <v>177</v>
      </c>
      <c r="L1284" s="167" t="s">
        <v>4549</v>
      </c>
      <c r="M1284" s="167"/>
      <c r="N1284" s="167"/>
      <c r="O1284" s="167"/>
      <c r="P1284" s="168" t="s">
        <v>10010</v>
      </c>
      <c r="Q1284" s="167" t="s">
        <v>3947</v>
      </c>
      <c r="R1284" s="172" t="s">
        <v>7162</v>
      </c>
      <c r="S1284" s="388" t="s">
        <v>2608</v>
      </c>
      <c r="T1284" s="168"/>
      <c r="U1284" s="168"/>
      <c r="V1284" s="168"/>
      <c r="W1284" s="312" t="s">
        <v>12566</v>
      </c>
      <c r="X1284" s="644" t="s">
        <v>12328</v>
      </c>
      <c r="Y1284" s="352" t="s">
        <v>5643</v>
      </c>
      <c r="Z1284" s="353">
        <v>447</v>
      </c>
      <c r="AA1284" s="353">
        <v>4.5</v>
      </c>
      <c r="AB1284" s="31">
        <f t="shared" ca="1" si="24"/>
        <v>0.13644800181830086</v>
      </c>
      <c r="AC1284" s="810"/>
      <c r="AD1284" s="811"/>
      <c r="AE1284" s="940"/>
      <c r="AF1284" s="920">
        <f>IF(X1284=X1283,AF1283,0)+IF(ISNUMBER(I1284),IF(I1284&lt;1,I1284,I1284*VLOOKUP(J1284,Summary!$H$2:$I$9,2)),VLOOKUP(J1284,Summary!$J$2:$K$9,2)*IF(ISNUMBER(H1284),H1284,1))</f>
        <v>0.69211805555555539</v>
      </c>
      <c r="AG1284" s="287">
        <v>1283</v>
      </c>
      <c r="AH1284" s="94"/>
      <c r="AI1284" s="94"/>
    </row>
    <row r="1285" spans="1:35" s="22" customFormat="1" ht="12" customHeight="1" x14ac:dyDescent="0.2">
      <c r="A1285" s="484">
        <v>15</v>
      </c>
      <c r="B1285" s="484">
        <v>4</v>
      </c>
      <c r="C1285" s="502">
        <v>4.7</v>
      </c>
      <c r="D1285" s="407" t="s">
        <v>9996</v>
      </c>
      <c r="E1285" s="315" t="s">
        <v>10004</v>
      </c>
      <c r="F1285" s="196">
        <v>42193</v>
      </c>
      <c r="G1285" s="170"/>
      <c r="H1285" s="170">
        <v>2</v>
      </c>
      <c r="I1285" s="747">
        <f t="shared" si="23"/>
        <v>4.1666666666666664E-2</v>
      </c>
      <c r="J1285" s="899" t="s">
        <v>4706</v>
      </c>
      <c r="K1285" s="167" t="s">
        <v>4549</v>
      </c>
      <c r="L1285" s="167" t="s">
        <v>4549</v>
      </c>
      <c r="M1285" s="167"/>
      <c r="N1285" s="167"/>
      <c r="O1285" s="167"/>
      <c r="P1285" s="168" t="s">
        <v>10011</v>
      </c>
      <c r="Q1285" s="167" t="s">
        <v>3947</v>
      </c>
      <c r="R1285" s="172" t="s">
        <v>7162</v>
      </c>
      <c r="S1285" s="388" t="s">
        <v>2608</v>
      </c>
      <c r="T1285" s="168" t="s">
        <v>6335</v>
      </c>
      <c r="U1285" s="168"/>
      <c r="V1285" s="168"/>
      <c r="W1285" s="312" t="s">
        <v>12570</v>
      </c>
      <c r="X1285" s="644" t="s">
        <v>12328</v>
      </c>
      <c r="Y1285" s="352" t="s">
        <v>5643</v>
      </c>
      <c r="Z1285" s="353">
        <v>475</v>
      </c>
      <c r="AA1285" s="353">
        <v>4</v>
      </c>
      <c r="AB1285" s="31">
        <f t="shared" ca="1" si="24"/>
        <v>0.17925608920384695</v>
      </c>
      <c r="AC1285" s="810"/>
      <c r="AD1285" s="811"/>
      <c r="AE1285" s="940"/>
      <c r="AF1285" s="920">
        <f>IF(X1285=X1284,AF1284,0)+IF(ISNUMBER(I1285),IF(I1285&lt;1,I1285,I1285*VLOOKUP(J1285,Summary!$H$2:$I$9,2)),VLOOKUP(J1285,Summary!$J$2:$K$9,2)*IF(ISNUMBER(H1285),H1285,1))</f>
        <v>0.73378472222222202</v>
      </c>
      <c r="AG1285" s="287">
        <v>1284</v>
      </c>
      <c r="AH1285" s="94"/>
      <c r="AI1285" s="94"/>
    </row>
    <row r="1286" spans="1:35" s="22" customFormat="1" ht="12" customHeight="1" x14ac:dyDescent="0.2">
      <c r="A1286" s="484">
        <v>15</v>
      </c>
      <c r="B1286" s="484">
        <v>4</v>
      </c>
      <c r="C1286" s="502">
        <v>4.8</v>
      </c>
      <c r="D1286" s="407" t="s">
        <v>9997</v>
      </c>
      <c r="E1286" s="315" t="s">
        <v>10005</v>
      </c>
      <c r="F1286" s="196">
        <v>42227</v>
      </c>
      <c r="G1286" s="170"/>
      <c r="H1286" s="170">
        <v>2</v>
      </c>
      <c r="I1286" s="747">
        <f t="shared" si="23"/>
        <v>4.1666666666666664E-2</v>
      </c>
      <c r="J1286" s="899" t="s">
        <v>4706</v>
      </c>
      <c r="K1286" s="167" t="s">
        <v>4549</v>
      </c>
      <c r="L1286" s="167" t="s">
        <v>4549</v>
      </c>
      <c r="M1286" s="167"/>
      <c r="N1286" s="167"/>
      <c r="O1286" s="167"/>
      <c r="P1286" s="168" t="s">
        <v>10012</v>
      </c>
      <c r="Q1286" s="167" t="s">
        <v>3947</v>
      </c>
      <c r="R1286" s="172" t="s">
        <v>7162</v>
      </c>
      <c r="S1286" s="388" t="s">
        <v>2608</v>
      </c>
      <c r="T1286" s="168" t="s">
        <v>6335</v>
      </c>
      <c r="U1286" s="168" t="s">
        <v>2596</v>
      </c>
      <c r="V1286" s="168">
        <v>2</v>
      </c>
      <c r="W1286" s="312" t="s">
        <v>12571</v>
      </c>
      <c r="X1286" s="644" t="s">
        <v>12328</v>
      </c>
      <c r="Y1286" s="352" t="s">
        <v>5643</v>
      </c>
      <c r="Z1286" s="353">
        <v>626</v>
      </c>
      <c r="AA1286" s="353">
        <v>3</v>
      </c>
      <c r="AB1286" s="31">
        <f t="shared" ca="1" si="24"/>
        <v>0.71263740741938475</v>
      </c>
      <c r="AC1286" s="810"/>
      <c r="AD1286" s="811"/>
      <c r="AE1286" s="940"/>
      <c r="AF1286" s="920">
        <f>IF(X1286=X1285,AF1285,0)+IF(ISNUMBER(I1286),IF(I1286&lt;1,I1286,I1286*VLOOKUP(J1286,Summary!$H$2:$I$9,2)),VLOOKUP(J1286,Summary!$J$2:$K$9,2)*IF(ISNUMBER(H1286),H1286,1))</f>
        <v>0.77545138888888865</v>
      </c>
      <c r="AG1286" s="287">
        <v>1285</v>
      </c>
      <c r="AH1286" s="94"/>
      <c r="AI1286" s="94"/>
    </row>
    <row r="1287" spans="1:35" s="29" customFormat="1" ht="12" customHeight="1" x14ac:dyDescent="0.25">
      <c r="A1287" s="487" t="s">
        <v>1621</v>
      </c>
      <c r="B1287" s="487">
        <v>4</v>
      </c>
      <c r="C1287" s="487">
        <v>96</v>
      </c>
      <c r="D1287" s="424" t="s">
        <v>346</v>
      </c>
      <c r="E1287" s="319" t="s">
        <v>347</v>
      </c>
      <c r="F1287" s="198">
        <v>28497</v>
      </c>
      <c r="G1287" s="198">
        <v>28518</v>
      </c>
      <c r="H1287" s="199">
        <v>4</v>
      </c>
      <c r="I1287" s="791">
        <f>TIME(0,22,36)+TIME(0,21,27)+TIME(0,22,21)+TIME(0,22,53)</f>
        <v>6.2002314814814816E-2</v>
      </c>
      <c r="J1287" s="904" t="s">
        <v>1588</v>
      </c>
      <c r="K1287" s="200" t="s">
        <v>7012</v>
      </c>
      <c r="L1287" s="200" t="s">
        <v>348</v>
      </c>
      <c r="M1287" s="200"/>
      <c r="N1287" s="200" t="s">
        <v>349</v>
      </c>
      <c r="O1287" s="200" t="s">
        <v>1624</v>
      </c>
      <c r="P1287" s="197" t="s">
        <v>461</v>
      </c>
      <c r="Q1287" s="200" t="s">
        <v>3946</v>
      </c>
      <c r="R1287" s="201" t="s">
        <v>5280</v>
      </c>
      <c r="S1287" s="390" t="s">
        <v>2608</v>
      </c>
      <c r="T1287" s="197" t="s">
        <v>6335</v>
      </c>
      <c r="U1287" s="197"/>
      <c r="V1287" s="197"/>
      <c r="W1287" s="318" t="s">
        <v>14265</v>
      </c>
      <c r="X1287" s="650" t="s">
        <v>12328</v>
      </c>
      <c r="Y1287" s="358" t="s">
        <v>6141</v>
      </c>
      <c r="Z1287" s="253"/>
      <c r="AA1287" s="253"/>
      <c r="AB1287" s="35">
        <f t="shared" ca="1" si="24"/>
        <v>0.14777549323953387</v>
      </c>
      <c r="AC1287" s="820"/>
      <c r="AD1287" s="821"/>
      <c r="AE1287" s="944"/>
      <c r="AF1287" s="925">
        <f>IF(X1287=X1286,AF1286,0)+IF(ISNUMBER(I1287),IF(I1287&lt;1,I1287,I1287*VLOOKUP(J1287,Summary!$H$2:$I$9,2)),VLOOKUP(J1287,Summary!$J$2:$K$9,2)*IF(ISNUMBER(H1287),H1287,1))</f>
        <v>0.83745370370370342</v>
      </c>
      <c r="AG1287" s="293">
        <v>1286</v>
      </c>
      <c r="AH1287" s="94"/>
      <c r="AI1287" s="94"/>
    </row>
    <row r="1288" spans="1:35" s="1" customFormat="1" ht="12" customHeight="1" x14ac:dyDescent="0.25">
      <c r="A1288" s="490">
        <v>15</v>
      </c>
      <c r="B1288" s="490">
        <v>4</v>
      </c>
      <c r="C1288" s="490">
        <v>2.08</v>
      </c>
      <c r="D1288" s="434" t="s">
        <v>1007</v>
      </c>
      <c r="E1288" s="324" t="s">
        <v>1008</v>
      </c>
      <c r="F1288" s="176">
        <v>1995</v>
      </c>
      <c r="G1288" s="175"/>
      <c r="H1288" s="176" t="s">
        <v>461</v>
      </c>
      <c r="I1288" s="176">
        <v>35</v>
      </c>
      <c r="J1288" s="900" t="s">
        <v>2755</v>
      </c>
      <c r="K1288" s="157" t="s">
        <v>1006</v>
      </c>
      <c r="L1288" s="164" t="s">
        <v>461</v>
      </c>
      <c r="M1288" s="157"/>
      <c r="N1288" s="164" t="s">
        <v>7001</v>
      </c>
      <c r="O1288" s="157"/>
      <c r="P1288" s="173" t="s">
        <v>6554</v>
      </c>
      <c r="Q1288" s="164" t="s">
        <v>6548</v>
      </c>
      <c r="R1288" s="179" t="s">
        <v>4598</v>
      </c>
      <c r="S1288" s="354" t="s">
        <v>2608</v>
      </c>
      <c r="T1288" s="173" t="s">
        <v>6335</v>
      </c>
      <c r="U1288" s="173"/>
      <c r="V1288" s="173"/>
      <c r="W1288" s="324" t="s">
        <v>1008</v>
      </c>
      <c r="X1288" s="656" t="s">
        <v>12328</v>
      </c>
      <c r="Y1288" s="354" t="s">
        <v>6868</v>
      </c>
      <c r="Z1288" s="176">
        <v>10</v>
      </c>
      <c r="AA1288" s="364">
        <v>7.5</v>
      </c>
      <c r="AB1288" s="32">
        <f t="shared" ca="1" si="24"/>
        <v>0.6860294238207103</v>
      </c>
      <c r="AC1288" s="812"/>
      <c r="AD1288" s="763"/>
      <c r="AE1288" s="951"/>
      <c r="AF1288" s="921">
        <f>IF(X1288=X1287,AF1287,0)+IF(ISNUMBER(I1288),IF(I1288&lt;1,I1288,I1288*VLOOKUP(J1288,Summary!$H$2:$I$9,2)),VLOOKUP(J1288,Summary!$J$2:$K$9,2)*IF(ISNUMBER(H1288),H1288,1))</f>
        <v>0.861759259259259</v>
      </c>
      <c r="AG1288" s="288">
        <v>1287</v>
      </c>
      <c r="AH1288" s="94"/>
      <c r="AI1288" s="94"/>
    </row>
    <row r="1289" spans="1:35" s="2" customFormat="1" ht="12" customHeight="1" x14ac:dyDescent="0.25">
      <c r="A1289" s="484">
        <v>15</v>
      </c>
      <c r="B1289" s="484">
        <v>4</v>
      </c>
      <c r="C1289" s="502">
        <v>7.1</v>
      </c>
      <c r="D1289" s="407" t="s">
        <v>14329</v>
      </c>
      <c r="E1289" s="315" t="s">
        <v>14330</v>
      </c>
      <c r="F1289" s="196">
        <v>43118</v>
      </c>
      <c r="G1289" s="170"/>
      <c r="H1289" s="170">
        <v>2</v>
      </c>
      <c r="I1289" s="747">
        <f t="shared" ref="I1289:I1296" si="25">TIME(0,60,0)</f>
        <v>4.1666666666666664E-2</v>
      </c>
      <c r="J1289" s="899" t="s">
        <v>4706</v>
      </c>
      <c r="K1289" s="167" t="s">
        <v>6970</v>
      </c>
      <c r="L1289" s="167" t="s">
        <v>4549</v>
      </c>
      <c r="M1289" s="167"/>
      <c r="N1289" s="167"/>
      <c r="O1289" s="167"/>
      <c r="P1289" s="168" t="s">
        <v>14331</v>
      </c>
      <c r="Q1289" s="167" t="s">
        <v>3947</v>
      </c>
      <c r="R1289" s="172" t="s">
        <v>7162</v>
      </c>
      <c r="S1289" s="388" t="s">
        <v>2608</v>
      </c>
      <c r="T1289" s="168"/>
      <c r="U1289" s="168"/>
      <c r="V1289" s="168"/>
      <c r="W1289" s="312"/>
      <c r="X1289" s="644" t="s">
        <v>12328</v>
      </c>
      <c r="Y1289" s="352"/>
      <c r="Z1289" s="353"/>
      <c r="AA1289" s="353"/>
      <c r="AB1289" s="31">
        <f t="shared" ca="1" si="24"/>
        <v>0.21408620126654576</v>
      </c>
      <c r="AC1289" s="810"/>
      <c r="AD1289" s="811"/>
      <c r="AE1289" s="940"/>
      <c r="AF1289" s="920">
        <f>IF(X1289=X1288,AF1288,0)+IF(ISNUMBER(I1289),IF(I1289&lt;1,I1289,I1289*VLOOKUP(J1289,Summary!$H$2:$I$9,2)),VLOOKUP(J1289,Summary!$J$2:$K$9,2)*IF(ISNUMBER(H1289),H1289,1))</f>
        <v>0.90342592592592563</v>
      </c>
      <c r="AG1289" s="287">
        <v>1288</v>
      </c>
      <c r="AH1289" s="94"/>
      <c r="AI1289" s="94"/>
    </row>
    <row r="1290" spans="1:35" s="29" customFormat="1" ht="12" customHeight="1" x14ac:dyDescent="0.25">
      <c r="A1290" s="484">
        <v>15</v>
      </c>
      <c r="B1290" s="484">
        <v>4</v>
      </c>
      <c r="C1290" s="502">
        <v>7.2</v>
      </c>
      <c r="D1290" s="407" t="s">
        <v>14332</v>
      </c>
      <c r="E1290" s="315" t="s">
        <v>14333</v>
      </c>
      <c r="F1290" s="196">
        <v>43118</v>
      </c>
      <c r="G1290" s="170"/>
      <c r="H1290" s="170">
        <v>2</v>
      </c>
      <c r="I1290" s="747">
        <f t="shared" si="25"/>
        <v>4.1666666666666664E-2</v>
      </c>
      <c r="J1290" s="899" t="s">
        <v>4706</v>
      </c>
      <c r="K1290" s="167" t="s">
        <v>4146</v>
      </c>
      <c r="L1290" s="167" t="s">
        <v>4549</v>
      </c>
      <c r="M1290" s="167"/>
      <c r="N1290" s="167"/>
      <c r="O1290" s="167"/>
      <c r="P1290" s="168" t="s">
        <v>14334</v>
      </c>
      <c r="Q1290" s="167" t="s">
        <v>3947</v>
      </c>
      <c r="R1290" s="172" t="s">
        <v>7162</v>
      </c>
      <c r="S1290" s="388" t="s">
        <v>2608</v>
      </c>
      <c r="T1290" s="168"/>
      <c r="U1290" s="168"/>
      <c r="V1290" s="168"/>
      <c r="W1290" s="312"/>
      <c r="X1290" s="644" t="s">
        <v>12328</v>
      </c>
      <c r="Y1290" s="352"/>
      <c r="Z1290" s="353"/>
      <c r="AA1290" s="353"/>
      <c r="AB1290" s="31">
        <f t="shared" ca="1" si="24"/>
        <v>0.38673022938795731</v>
      </c>
      <c r="AC1290" s="810"/>
      <c r="AD1290" s="811"/>
      <c r="AE1290" s="940"/>
      <c r="AF1290" s="920">
        <f>IF(X1290=X1289,AF1289,0)+IF(ISNUMBER(I1290),IF(I1290&lt;1,I1290,I1290*VLOOKUP(J1290,Summary!$H$2:$I$9,2)),VLOOKUP(J1290,Summary!$J$2:$K$9,2)*IF(ISNUMBER(H1290),H1290,1))</f>
        <v>0.94509259259259226</v>
      </c>
      <c r="AG1290" s="287">
        <v>1289</v>
      </c>
      <c r="AH1290" s="94"/>
      <c r="AI1290" s="94"/>
    </row>
    <row r="1291" spans="1:35" s="43" customFormat="1" ht="12" customHeight="1" x14ac:dyDescent="0.25">
      <c r="A1291" s="484">
        <v>15</v>
      </c>
      <c r="B1291" s="484">
        <v>4</v>
      </c>
      <c r="C1291" s="502">
        <v>7.3</v>
      </c>
      <c r="D1291" s="407" t="s">
        <v>14335</v>
      </c>
      <c r="E1291" s="315" t="s">
        <v>14336</v>
      </c>
      <c r="F1291" s="196">
        <v>43118</v>
      </c>
      <c r="G1291" s="170"/>
      <c r="H1291" s="170">
        <v>2</v>
      </c>
      <c r="I1291" s="747">
        <f t="shared" si="25"/>
        <v>4.1666666666666664E-2</v>
      </c>
      <c r="J1291" s="899" t="s">
        <v>4706</v>
      </c>
      <c r="K1291" s="167" t="s">
        <v>5666</v>
      </c>
      <c r="L1291" s="167" t="s">
        <v>4549</v>
      </c>
      <c r="M1291" s="167"/>
      <c r="N1291" s="167"/>
      <c r="O1291" s="167"/>
      <c r="P1291" s="168" t="s">
        <v>14337</v>
      </c>
      <c r="Q1291" s="167" t="s">
        <v>3947</v>
      </c>
      <c r="R1291" s="172" t="s">
        <v>7162</v>
      </c>
      <c r="S1291" s="388" t="s">
        <v>2608</v>
      </c>
      <c r="T1291" s="168" t="s">
        <v>6335</v>
      </c>
      <c r="U1291" s="168"/>
      <c r="V1291" s="168"/>
      <c r="W1291" s="312"/>
      <c r="X1291" s="644" t="s">
        <v>12328</v>
      </c>
      <c r="Y1291" s="352"/>
      <c r="Z1291" s="353"/>
      <c r="AA1291" s="353"/>
      <c r="AB1291" s="31">
        <f t="shared" ca="1" si="24"/>
        <v>0.59570627382994323</v>
      </c>
      <c r="AC1291" s="810"/>
      <c r="AD1291" s="811"/>
      <c r="AE1291" s="940"/>
      <c r="AF1291" s="920">
        <f>IF(X1291=X1290,AF1290,0)+IF(ISNUMBER(I1291),IF(I1291&lt;1,I1291,I1291*VLOOKUP(J1291,Summary!$H$2:$I$9,2)),VLOOKUP(J1291,Summary!$J$2:$K$9,2)*IF(ISNUMBER(H1291),H1291,1))</f>
        <v>0.98675925925925889</v>
      </c>
      <c r="AG1291" s="287">
        <v>1290</v>
      </c>
      <c r="AH1291" s="94"/>
      <c r="AI1291" s="94"/>
    </row>
    <row r="1292" spans="1:35" s="29" customFormat="1" ht="12" customHeight="1" x14ac:dyDescent="0.25">
      <c r="A1292" s="484">
        <v>15</v>
      </c>
      <c r="B1292" s="484">
        <v>4</v>
      </c>
      <c r="C1292" s="502">
        <v>7.4</v>
      </c>
      <c r="D1292" s="407" t="s">
        <v>14338</v>
      </c>
      <c r="E1292" s="315" t="s">
        <v>14339</v>
      </c>
      <c r="F1292" s="196">
        <v>43118</v>
      </c>
      <c r="G1292" s="170"/>
      <c r="H1292" s="170">
        <v>2</v>
      </c>
      <c r="I1292" s="747">
        <f t="shared" si="25"/>
        <v>4.1666666666666664E-2</v>
      </c>
      <c r="J1292" s="899" t="s">
        <v>4706</v>
      </c>
      <c r="K1292" s="167" t="s">
        <v>5666</v>
      </c>
      <c r="L1292" s="167" t="s">
        <v>4549</v>
      </c>
      <c r="M1292" s="167"/>
      <c r="N1292" s="167"/>
      <c r="O1292" s="167"/>
      <c r="P1292" s="168" t="s">
        <v>14340</v>
      </c>
      <c r="Q1292" s="167" t="s">
        <v>3947</v>
      </c>
      <c r="R1292" s="172" t="s">
        <v>7162</v>
      </c>
      <c r="S1292" s="388" t="s">
        <v>2608</v>
      </c>
      <c r="T1292" s="168" t="s">
        <v>6335</v>
      </c>
      <c r="U1292" s="168"/>
      <c r="V1292" s="168"/>
      <c r="W1292" s="312"/>
      <c r="X1292" s="644" t="s">
        <v>12328</v>
      </c>
      <c r="Y1292" s="352"/>
      <c r="Z1292" s="353"/>
      <c r="AA1292" s="353"/>
      <c r="AB1292" s="31">
        <f t="shared" ca="1" si="24"/>
        <v>0.76801954783739457</v>
      </c>
      <c r="AC1292" s="810"/>
      <c r="AD1292" s="811"/>
      <c r="AE1292" s="940"/>
      <c r="AF1292" s="920">
        <f>IF(X1292=X1291,AF1291,0)+IF(ISNUMBER(I1292),IF(I1292&lt;1,I1292,I1292*VLOOKUP(J1292,Summary!$H$2:$I$9,2)),VLOOKUP(J1292,Summary!$J$2:$K$9,2)*IF(ISNUMBER(H1292),H1292,1))</f>
        <v>1.0284259259259256</v>
      </c>
      <c r="AG1292" s="287">
        <v>1291</v>
      </c>
      <c r="AH1292" s="94"/>
      <c r="AI1292" s="94"/>
    </row>
    <row r="1293" spans="1:35" s="29" customFormat="1" ht="12" customHeight="1" x14ac:dyDescent="0.25">
      <c r="A1293" s="484">
        <v>15</v>
      </c>
      <c r="B1293" s="484">
        <v>4</v>
      </c>
      <c r="C1293" s="502">
        <v>7.5</v>
      </c>
      <c r="D1293" s="407" t="s">
        <v>14365</v>
      </c>
      <c r="E1293" s="315" t="s">
        <v>14369</v>
      </c>
      <c r="F1293" s="196">
        <v>43236</v>
      </c>
      <c r="G1293" s="170"/>
      <c r="H1293" s="170">
        <v>2</v>
      </c>
      <c r="I1293" s="747">
        <f t="shared" si="25"/>
        <v>4.1666666666666664E-2</v>
      </c>
      <c r="J1293" s="899" t="s">
        <v>4706</v>
      </c>
      <c r="K1293" s="167" t="s">
        <v>543</v>
      </c>
      <c r="L1293" s="167" t="s">
        <v>2313</v>
      </c>
      <c r="M1293" s="167"/>
      <c r="N1293" s="167"/>
      <c r="O1293" s="167"/>
      <c r="P1293" s="168" t="s">
        <v>14364</v>
      </c>
      <c r="Q1293" s="167" t="s">
        <v>3947</v>
      </c>
      <c r="R1293" s="172" t="s">
        <v>7162</v>
      </c>
      <c r="S1293" s="388" t="s">
        <v>2608</v>
      </c>
      <c r="T1293" s="168"/>
      <c r="U1293" s="168"/>
      <c r="V1293" s="168"/>
      <c r="W1293" s="312"/>
      <c r="X1293" s="644" t="s">
        <v>12328</v>
      </c>
      <c r="Y1293" s="352"/>
      <c r="Z1293" s="353"/>
      <c r="AA1293" s="353"/>
      <c r="AB1293" s="31">
        <f t="shared" ca="1" si="24"/>
        <v>0.19069325585031061</v>
      </c>
      <c r="AC1293" s="810"/>
      <c r="AD1293" s="811"/>
      <c r="AE1293" s="940"/>
      <c r="AF1293" s="920">
        <f>IF(X1293=X1292,AF1292,0)+IF(ISNUMBER(I1293),IF(I1293&lt;1,I1293,I1293*VLOOKUP(J1293,Summary!$H$2:$I$9,2)),VLOOKUP(J1293,Summary!$J$2:$K$9,2)*IF(ISNUMBER(H1293),H1293,1))</f>
        <v>1.0700925925925924</v>
      </c>
      <c r="AG1293" s="287">
        <v>1292</v>
      </c>
      <c r="AH1293" s="94"/>
      <c r="AI1293" s="94"/>
    </row>
    <row r="1294" spans="1:35" s="29" customFormat="1" ht="12" customHeight="1" x14ac:dyDescent="0.25">
      <c r="A1294" s="484">
        <v>15</v>
      </c>
      <c r="B1294" s="484">
        <v>4</v>
      </c>
      <c r="C1294" s="502">
        <v>7.6</v>
      </c>
      <c r="D1294" s="407" t="s">
        <v>14366</v>
      </c>
      <c r="E1294" s="315" t="s">
        <v>14370</v>
      </c>
      <c r="F1294" s="196">
        <v>43236</v>
      </c>
      <c r="G1294" s="170"/>
      <c r="H1294" s="170">
        <v>2</v>
      </c>
      <c r="I1294" s="747">
        <f t="shared" si="25"/>
        <v>4.1666666666666664E-2</v>
      </c>
      <c r="J1294" s="899" t="s">
        <v>4706</v>
      </c>
      <c r="K1294" s="167" t="s">
        <v>9748</v>
      </c>
      <c r="L1294" s="167" t="s">
        <v>4549</v>
      </c>
      <c r="M1294" s="167"/>
      <c r="N1294" s="167"/>
      <c r="O1294" s="167"/>
      <c r="P1294" s="168" t="s">
        <v>14373</v>
      </c>
      <c r="Q1294" s="167" t="s">
        <v>3947</v>
      </c>
      <c r="R1294" s="172" t="s">
        <v>7162</v>
      </c>
      <c r="S1294" s="388" t="s">
        <v>2608</v>
      </c>
      <c r="T1294" s="168"/>
      <c r="U1294" s="168"/>
      <c r="V1294" s="168"/>
      <c r="W1294" s="312"/>
      <c r="X1294" s="644" t="s">
        <v>12328</v>
      </c>
      <c r="Y1294" s="352"/>
      <c r="Z1294" s="353"/>
      <c r="AA1294" s="353"/>
      <c r="AB1294" s="31">
        <f t="shared" ca="1" si="24"/>
        <v>0.92251541320047303</v>
      </c>
      <c r="AC1294" s="810"/>
      <c r="AD1294" s="811"/>
      <c r="AE1294" s="940"/>
      <c r="AF1294" s="920">
        <f>IF(X1294=X1293,AF1293,0)+IF(ISNUMBER(I1294),IF(I1294&lt;1,I1294,I1294*VLOOKUP(J1294,Summary!$H$2:$I$9,2)),VLOOKUP(J1294,Summary!$J$2:$K$9,2)*IF(ISNUMBER(H1294),H1294,1))</f>
        <v>1.1117592592592591</v>
      </c>
      <c r="AG1294" s="287">
        <v>1293</v>
      </c>
      <c r="AH1294" s="94"/>
      <c r="AI1294" s="94"/>
    </row>
    <row r="1295" spans="1:35" s="29" customFormat="1" ht="12" customHeight="1" x14ac:dyDescent="0.25">
      <c r="A1295" s="484">
        <v>15</v>
      </c>
      <c r="B1295" s="484">
        <v>4</v>
      </c>
      <c r="C1295" s="502">
        <v>7.7</v>
      </c>
      <c r="D1295" s="407" t="s">
        <v>14367</v>
      </c>
      <c r="E1295" s="315" t="s">
        <v>14371</v>
      </c>
      <c r="F1295" s="196">
        <v>43236</v>
      </c>
      <c r="G1295" s="170"/>
      <c r="H1295" s="170">
        <v>2</v>
      </c>
      <c r="I1295" s="747">
        <f t="shared" si="25"/>
        <v>4.1666666666666664E-2</v>
      </c>
      <c r="J1295" s="899" t="s">
        <v>4706</v>
      </c>
      <c r="K1295" s="167" t="s">
        <v>1826</v>
      </c>
      <c r="L1295" s="167" t="s">
        <v>4549</v>
      </c>
      <c r="M1295" s="167"/>
      <c r="N1295" s="167"/>
      <c r="O1295" s="167"/>
      <c r="P1295" s="168" t="s">
        <v>14374</v>
      </c>
      <c r="Q1295" s="167" t="s">
        <v>3947</v>
      </c>
      <c r="R1295" s="172" t="s">
        <v>7162</v>
      </c>
      <c r="S1295" s="388" t="s">
        <v>2608</v>
      </c>
      <c r="T1295" s="168"/>
      <c r="U1295" s="168"/>
      <c r="V1295" s="168"/>
      <c r="W1295" s="312"/>
      <c r="X1295" s="644" t="s">
        <v>12328</v>
      </c>
      <c r="Y1295" s="352"/>
      <c r="Z1295" s="353"/>
      <c r="AA1295" s="353"/>
      <c r="AB1295" s="31">
        <f t="shared" ca="1" si="24"/>
        <v>0.72318983832571992</v>
      </c>
      <c r="AC1295" s="810"/>
      <c r="AD1295" s="811"/>
      <c r="AE1295" s="940"/>
      <c r="AF1295" s="920">
        <f>IF(X1295=X1294,AF1294,0)+IF(ISNUMBER(I1295),IF(I1295&lt;1,I1295,I1295*VLOOKUP(J1295,Summary!$H$2:$I$9,2)),VLOOKUP(J1295,Summary!$J$2:$K$9,2)*IF(ISNUMBER(H1295),H1295,1))</f>
        <v>1.1534259259259259</v>
      </c>
      <c r="AG1295" s="287">
        <v>1294</v>
      </c>
      <c r="AH1295" s="94"/>
      <c r="AI1295" s="94"/>
    </row>
    <row r="1296" spans="1:35" s="29" customFormat="1" ht="12" customHeight="1" x14ac:dyDescent="0.25">
      <c r="A1296" s="484">
        <v>15</v>
      </c>
      <c r="B1296" s="484">
        <v>4</v>
      </c>
      <c r="C1296" s="502">
        <v>7.8</v>
      </c>
      <c r="D1296" s="407" t="s">
        <v>14368</v>
      </c>
      <c r="E1296" s="315" t="s">
        <v>14372</v>
      </c>
      <c r="F1296" s="196">
        <v>43236</v>
      </c>
      <c r="G1296" s="170"/>
      <c r="H1296" s="170">
        <v>2</v>
      </c>
      <c r="I1296" s="747">
        <f t="shared" si="25"/>
        <v>4.1666666666666664E-2</v>
      </c>
      <c r="J1296" s="899" t="s">
        <v>4706</v>
      </c>
      <c r="K1296" s="167" t="s">
        <v>1826</v>
      </c>
      <c r="L1296" s="167" t="s">
        <v>4549</v>
      </c>
      <c r="M1296" s="167"/>
      <c r="N1296" s="167"/>
      <c r="O1296" s="167"/>
      <c r="P1296" s="168" t="s">
        <v>14375</v>
      </c>
      <c r="Q1296" s="167" t="s">
        <v>3947</v>
      </c>
      <c r="R1296" s="172" t="s">
        <v>7162</v>
      </c>
      <c r="S1296" s="388" t="s">
        <v>2608</v>
      </c>
      <c r="T1296" s="168"/>
      <c r="U1296" s="168"/>
      <c r="V1296" s="168"/>
      <c r="W1296" s="312"/>
      <c r="X1296" s="644" t="s">
        <v>12328</v>
      </c>
      <c r="Y1296" s="352"/>
      <c r="Z1296" s="353"/>
      <c r="AA1296" s="353"/>
      <c r="AB1296" s="31">
        <f t="shared" ca="1" si="24"/>
        <v>0.79446194302986484</v>
      </c>
      <c r="AC1296" s="810"/>
      <c r="AD1296" s="811"/>
      <c r="AE1296" s="940"/>
      <c r="AF1296" s="920">
        <f>IF(X1296=X1295,AF1295,0)+IF(ISNUMBER(I1296),IF(I1296&lt;1,I1296,I1296*VLOOKUP(J1296,Summary!$H$2:$I$9,2)),VLOOKUP(J1296,Summary!$J$2:$K$9,2)*IF(ISNUMBER(H1296),H1296,1))</f>
        <v>1.1950925925925926</v>
      </c>
      <c r="AG1296" s="287">
        <v>1295</v>
      </c>
      <c r="AH1296" s="94"/>
      <c r="AI1296" s="94"/>
    </row>
    <row r="1297" spans="1:35" s="29" customFormat="1" ht="12" customHeight="1" x14ac:dyDescent="0.25">
      <c r="A1297" s="490">
        <v>15</v>
      </c>
      <c r="B1297" s="490">
        <v>4</v>
      </c>
      <c r="C1297" s="490">
        <v>2.02</v>
      </c>
      <c r="D1297" s="434" t="s">
        <v>1004</v>
      </c>
      <c r="E1297" s="324" t="s">
        <v>1005</v>
      </c>
      <c r="F1297" s="176">
        <v>1995</v>
      </c>
      <c r="G1297" s="176"/>
      <c r="H1297" s="176" t="s">
        <v>461</v>
      </c>
      <c r="I1297" s="176">
        <v>36</v>
      </c>
      <c r="J1297" s="900" t="s">
        <v>2755</v>
      </c>
      <c r="K1297" s="164" t="s">
        <v>312</v>
      </c>
      <c r="L1297" s="164" t="s">
        <v>461</v>
      </c>
      <c r="M1297" s="164"/>
      <c r="N1297" s="164" t="s">
        <v>7001</v>
      </c>
      <c r="O1297" s="164"/>
      <c r="P1297" s="173" t="s">
        <v>6554</v>
      </c>
      <c r="Q1297" s="164" t="s">
        <v>6548</v>
      </c>
      <c r="R1297" s="179" t="s">
        <v>4598</v>
      </c>
      <c r="S1297" s="354" t="s">
        <v>2608</v>
      </c>
      <c r="T1297" s="173" t="s">
        <v>6335</v>
      </c>
      <c r="U1297" s="173"/>
      <c r="V1297" s="173"/>
      <c r="W1297" s="324" t="s">
        <v>1005</v>
      </c>
      <c r="X1297" s="656" t="s">
        <v>12328</v>
      </c>
      <c r="Y1297" s="354" t="s">
        <v>6868</v>
      </c>
      <c r="Z1297" s="176">
        <v>56</v>
      </c>
      <c r="AA1297" s="176">
        <v>2.5</v>
      </c>
      <c r="AB1297" s="32">
        <f t="shared" ca="1" si="24"/>
        <v>0.85540502140146724</v>
      </c>
      <c r="AC1297" s="812"/>
      <c r="AD1297" s="763"/>
      <c r="AE1297" s="951"/>
      <c r="AF1297" s="921">
        <f>IF(X1297=X1296,AF1296,0)+IF(ISNUMBER(I1297),IF(I1297&lt;1,I1297,I1297*VLOOKUP(J1297,Summary!$H$2:$I$9,2)),VLOOKUP(J1297,Summary!$J$2:$K$9,2)*IF(ISNUMBER(H1297),H1297,1))</f>
        <v>1.2200925925925925</v>
      </c>
      <c r="AG1297" s="288">
        <v>1296</v>
      </c>
      <c r="AH1297" s="94"/>
      <c r="AI1297" s="94"/>
    </row>
    <row r="1298" spans="1:35" s="29" customFormat="1" ht="12" customHeight="1" x14ac:dyDescent="0.25">
      <c r="A1298" s="484">
        <v>15</v>
      </c>
      <c r="B1298" s="484">
        <v>4</v>
      </c>
      <c r="C1298" s="506">
        <v>4.0999999999999996</v>
      </c>
      <c r="D1298" s="407" t="s">
        <v>139</v>
      </c>
      <c r="E1298" s="315" t="s">
        <v>7758</v>
      </c>
      <c r="F1298" s="169">
        <v>40664</v>
      </c>
      <c r="G1298" s="170"/>
      <c r="H1298" s="170">
        <v>2</v>
      </c>
      <c r="I1298" s="746">
        <f>TIME(1,12,32)</f>
        <v>5.0370370370370371E-2</v>
      </c>
      <c r="J1298" s="899" t="s">
        <v>4706</v>
      </c>
      <c r="K1298" s="167" t="s">
        <v>7757</v>
      </c>
      <c r="L1298" s="167" t="s">
        <v>7757</v>
      </c>
      <c r="M1298" s="167" t="s">
        <v>8051</v>
      </c>
      <c r="N1298" s="167"/>
      <c r="O1298" s="167"/>
      <c r="P1298" s="168" t="s">
        <v>9187</v>
      </c>
      <c r="Q1298" s="167" t="s">
        <v>3947</v>
      </c>
      <c r="R1298" s="172" t="s">
        <v>3153</v>
      </c>
      <c r="S1298" s="388" t="s">
        <v>2608</v>
      </c>
      <c r="T1298" s="168" t="s">
        <v>6335</v>
      </c>
      <c r="U1298" s="168"/>
      <c r="V1298" s="168"/>
      <c r="W1298" s="312" t="s">
        <v>10344</v>
      </c>
      <c r="X1298" s="644" t="s">
        <v>12328</v>
      </c>
      <c r="Y1298" s="352" t="s">
        <v>5398</v>
      </c>
      <c r="Z1298" s="353">
        <v>412</v>
      </c>
      <c r="AA1298" s="353">
        <v>4.5</v>
      </c>
      <c r="AB1298" s="31">
        <f t="shared" ca="1" si="24"/>
        <v>0.21011969844500566</v>
      </c>
      <c r="AC1298" s="810"/>
      <c r="AD1298" s="811" t="s">
        <v>16463</v>
      </c>
      <c r="AE1298" s="940" t="s">
        <v>16572</v>
      </c>
      <c r="AF1298" s="920">
        <f>IF(X1298=X1297,AF1297,0)+IF(ISNUMBER(I1298),IF(I1298&lt;1,I1298,I1298*VLOOKUP(J1298,Summary!$H$2:$I$9,2)),VLOOKUP(J1298,Summary!$J$2:$K$9,2)*IF(ISNUMBER(H1298),H1298,1))</f>
        <v>1.2704629629629629</v>
      </c>
      <c r="AG1298" s="287">
        <v>1297</v>
      </c>
      <c r="AH1298" s="94"/>
      <c r="AI1298" s="94"/>
    </row>
    <row r="1299" spans="1:35" s="29" customFormat="1" ht="12" customHeight="1" x14ac:dyDescent="0.25">
      <c r="A1299" s="487" t="s">
        <v>1621</v>
      </c>
      <c r="B1299" s="487">
        <v>4</v>
      </c>
      <c r="C1299" s="487">
        <v>97</v>
      </c>
      <c r="D1299" s="424" t="s">
        <v>350</v>
      </c>
      <c r="E1299" s="319" t="s">
        <v>351</v>
      </c>
      <c r="F1299" s="198">
        <v>28525</v>
      </c>
      <c r="G1299" s="198">
        <v>28560</v>
      </c>
      <c r="H1299" s="199">
        <v>6</v>
      </c>
      <c r="I1299" s="791">
        <f>TIME(0,25, 0)+TIME(0,25, 0)+TIME(0,25, 0)+TIME(0,23,31)+TIME(0,25, 0)+TIME(0,25,44)</f>
        <v>0.10364583333333333</v>
      </c>
      <c r="J1299" s="904" t="s">
        <v>1588</v>
      </c>
      <c r="K1299" s="200" t="s">
        <v>352</v>
      </c>
      <c r="L1299" s="200" t="s">
        <v>124</v>
      </c>
      <c r="M1299" s="200"/>
      <c r="N1299" s="200" t="s">
        <v>349</v>
      </c>
      <c r="O1299" s="200" t="s">
        <v>1624</v>
      </c>
      <c r="P1299" s="197" t="s">
        <v>461</v>
      </c>
      <c r="Q1299" s="200" t="s">
        <v>3946</v>
      </c>
      <c r="R1299" s="201" t="s">
        <v>5280</v>
      </c>
      <c r="S1299" s="390" t="s">
        <v>2608</v>
      </c>
      <c r="T1299" s="197" t="s">
        <v>6335</v>
      </c>
      <c r="U1299" s="197"/>
      <c r="V1299" s="197"/>
      <c r="W1299" s="318" t="s">
        <v>9658</v>
      </c>
      <c r="X1299" s="650" t="s">
        <v>12328</v>
      </c>
      <c r="Y1299" s="358" t="s">
        <v>6141</v>
      </c>
      <c r="Z1299" s="253">
        <v>316</v>
      </c>
      <c r="AA1299" s="253">
        <v>1</v>
      </c>
      <c r="AB1299" s="35">
        <f t="shared" ca="1" si="24"/>
        <v>0.79404273650242085</v>
      </c>
      <c r="AC1299" s="820"/>
      <c r="AD1299" s="821"/>
      <c r="AE1299" s="944"/>
      <c r="AF1299" s="925">
        <f>IF(X1299=X1298,AF1298,0)+IF(ISNUMBER(I1299),IF(I1299&lt;1,I1299,I1299*VLOOKUP(J1299,Summary!$H$2:$I$9,2)),VLOOKUP(J1299,Summary!$J$2:$K$9,2)*IF(ISNUMBER(H1299),H1299,1))</f>
        <v>1.3741087962962961</v>
      </c>
      <c r="AG1299" s="293">
        <v>1298</v>
      </c>
      <c r="AH1299" s="94"/>
      <c r="AI1299" s="94"/>
    </row>
    <row r="1300" spans="1:35" s="2" customFormat="1" ht="12" customHeight="1" x14ac:dyDescent="0.25">
      <c r="A1300" s="478"/>
      <c r="B1300" s="478" t="s">
        <v>2650</v>
      </c>
      <c r="C1300" s="478">
        <v>4</v>
      </c>
      <c r="D1300" s="192" t="s">
        <v>13415</v>
      </c>
      <c r="E1300" s="317" t="s">
        <v>13416</v>
      </c>
      <c r="F1300" s="209">
        <v>42278</v>
      </c>
      <c r="G1300" s="209"/>
      <c r="H1300" s="192">
        <v>1</v>
      </c>
      <c r="I1300" s="192"/>
      <c r="J1300" s="903" t="s">
        <v>2755</v>
      </c>
      <c r="K1300" s="194" t="s">
        <v>543</v>
      </c>
      <c r="L1300" s="194" t="s">
        <v>13401</v>
      </c>
      <c r="M1300" s="194" t="s">
        <v>13417</v>
      </c>
      <c r="N1300" s="194"/>
      <c r="O1300" s="194"/>
      <c r="P1300" s="190" t="s">
        <v>13331</v>
      </c>
      <c r="Q1300" s="194" t="s">
        <v>3953</v>
      </c>
      <c r="R1300" s="193" t="s">
        <v>11447</v>
      </c>
      <c r="S1300" s="357"/>
      <c r="T1300" s="190"/>
      <c r="U1300" s="190"/>
      <c r="V1300" s="190"/>
      <c r="W1300" s="317" t="s">
        <v>13416</v>
      </c>
      <c r="X1300" s="662" t="s">
        <v>12328</v>
      </c>
      <c r="Y1300" s="357"/>
      <c r="Z1300" s="192"/>
      <c r="AA1300" s="192"/>
      <c r="AB1300" s="37">
        <f t="shared" ca="1" si="24"/>
        <v>0.94739022798969275</v>
      </c>
      <c r="AC1300" s="816"/>
      <c r="AD1300" s="817"/>
      <c r="AE1300" s="943"/>
      <c r="AF1300" s="924">
        <f>IF(X1300=X1299,AF1299,0)+IF(ISNUMBER(I1300),IF(I1300&lt;1,I1300,I1300*VLOOKUP(J1300,Summary!$H$2:$I$9,2)),VLOOKUP(J1300,Summary!$J$2:$K$9,2)*IF(ISNUMBER(H1300),H1300,1))</f>
        <v>1.3914699074074073</v>
      </c>
      <c r="AG1300" s="292">
        <v>1299</v>
      </c>
      <c r="AH1300" s="94"/>
      <c r="AI1300" s="94"/>
    </row>
    <row r="1301" spans="1:35" s="29" customFormat="1" ht="12" customHeight="1" x14ac:dyDescent="0.25">
      <c r="A1301" s="789"/>
      <c r="B1301" s="789" t="s">
        <v>4457</v>
      </c>
      <c r="C1301" s="789">
        <v>1</v>
      </c>
      <c r="D1301" s="580" t="s">
        <v>4433</v>
      </c>
      <c r="E1301" s="341" t="s">
        <v>4437</v>
      </c>
      <c r="F1301" s="258">
        <v>1980</v>
      </c>
      <c r="G1301" s="258"/>
      <c r="H1301" s="258" t="s">
        <v>461</v>
      </c>
      <c r="I1301" s="258">
        <v>32</v>
      </c>
      <c r="J1301" s="912" t="s">
        <v>2755</v>
      </c>
      <c r="K1301" s="259" t="s">
        <v>4439</v>
      </c>
      <c r="L1301" s="259" t="s">
        <v>4440</v>
      </c>
      <c r="M1301" s="259"/>
      <c r="N1301" s="259"/>
      <c r="O1301" s="259"/>
      <c r="P1301" s="255" t="s">
        <v>7812</v>
      </c>
      <c r="Q1301" s="259" t="s">
        <v>7810</v>
      </c>
      <c r="R1301" s="260" t="s">
        <v>7811</v>
      </c>
      <c r="S1301" s="401"/>
      <c r="T1301" s="255" t="s">
        <v>6335</v>
      </c>
      <c r="U1301" s="255"/>
      <c r="V1301" s="255"/>
      <c r="W1301" s="341" t="s">
        <v>4437</v>
      </c>
      <c r="X1301" s="676" t="s">
        <v>12328</v>
      </c>
      <c r="Y1301" s="381" t="s">
        <v>6000</v>
      </c>
      <c r="Z1301" s="382">
        <v>3999</v>
      </c>
      <c r="AA1301" s="382"/>
      <c r="AB1301" s="145">
        <f t="shared" ca="1" si="24"/>
        <v>0.73175795248769404</v>
      </c>
      <c r="AC1301" s="840"/>
      <c r="AD1301" s="841"/>
      <c r="AE1301" s="961"/>
      <c r="AF1301" s="933">
        <f>IF(X1301=X1300,AF1300,0)+IF(ISNUMBER(I1301),IF(I1301&lt;1,I1301,I1301*VLOOKUP(J1301,Summary!$H$2:$I$9,2)),VLOOKUP(J1301,Summary!$J$2:$K$9,2)*IF(ISNUMBER(H1301),H1301,1))</f>
        <v>1.4136921296296294</v>
      </c>
      <c r="AG1301" s="305">
        <v>1300</v>
      </c>
      <c r="AH1301" s="94"/>
      <c r="AI1301" s="94"/>
    </row>
    <row r="1302" spans="1:35" s="1" customFormat="1" ht="12" customHeight="1" x14ac:dyDescent="0.25">
      <c r="A1302" s="789"/>
      <c r="B1302" s="790" t="s">
        <v>4457</v>
      </c>
      <c r="C1302" s="789">
        <v>2</v>
      </c>
      <c r="D1302" s="580" t="s">
        <v>4434</v>
      </c>
      <c r="E1302" s="341" t="s">
        <v>4438</v>
      </c>
      <c r="F1302" s="258">
        <v>1980</v>
      </c>
      <c r="G1302" s="258"/>
      <c r="H1302" s="258" t="s">
        <v>461</v>
      </c>
      <c r="I1302" s="258">
        <v>32</v>
      </c>
      <c r="J1302" s="912" t="s">
        <v>2755</v>
      </c>
      <c r="K1302" s="259" t="s">
        <v>4439</v>
      </c>
      <c r="L1302" s="259" t="s">
        <v>4440</v>
      </c>
      <c r="M1302" s="259"/>
      <c r="N1302" s="259"/>
      <c r="O1302" s="259"/>
      <c r="P1302" s="255" t="s">
        <v>4441</v>
      </c>
      <c r="Q1302" s="259" t="s">
        <v>7810</v>
      </c>
      <c r="R1302" s="260" t="s">
        <v>7811</v>
      </c>
      <c r="S1302" s="401"/>
      <c r="T1302" s="255" t="s">
        <v>6335</v>
      </c>
      <c r="U1302" s="255"/>
      <c r="V1302" s="255"/>
      <c r="W1302" s="341" t="s">
        <v>4438</v>
      </c>
      <c r="X1302" s="676" t="s">
        <v>12328</v>
      </c>
      <c r="Y1302" s="381" t="s">
        <v>6000</v>
      </c>
      <c r="Z1302" s="382">
        <v>3999</v>
      </c>
      <c r="AA1302" s="382"/>
      <c r="AB1302" s="145">
        <f t="shared" ca="1" si="24"/>
        <v>7.5953176292907876E-2</v>
      </c>
      <c r="AC1302" s="840"/>
      <c r="AD1302" s="841" t="s">
        <v>16423</v>
      </c>
      <c r="AE1302" s="961" t="s">
        <v>3365</v>
      </c>
      <c r="AF1302" s="933">
        <f>IF(X1302=X1301,AF1301,0)+IF(ISNUMBER(I1302),IF(I1302&lt;1,I1302,I1302*VLOOKUP(J1302,Summary!$H$2:$I$9,2)),VLOOKUP(J1302,Summary!$J$2:$K$9,2)*IF(ISNUMBER(H1302),H1302,1))</f>
        <v>1.4359143518518516</v>
      </c>
      <c r="AG1302" s="305">
        <v>1301</v>
      </c>
      <c r="AH1302" s="94"/>
      <c r="AI1302" s="94"/>
    </row>
    <row r="1303" spans="1:35" s="29" customFormat="1" ht="12" customHeight="1" x14ac:dyDescent="0.25">
      <c r="A1303" s="789"/>
      <c r="B1303" s="790" t="s">
        <v>4457</v>
      </c>
      <c r="C1303" s="789">
        <v>3</v>
      </c>
      <c r="D1303" s="580" t="s">
        <v>4435</v>
      </c>
      <c r="E1303" s="341" t="s">
        <v>7838</v>
      </c>
      <c r="F1303" s="258">
        <v>1980</v>
      </c>
      <c r="G1303" s="258"/>
      <c r="H1303" s="258" t="s">
        <v>461</v>
      </c>
      <c r="I1303" s="258">
        <v>32</v>
      </c>
      <c r="J1303" s="912" t="s">
        <v>2755</v>
      </c>
      <c r="K1303" s="259" t="s">
        <v>4439</v>
      </c>
      <c r="L1303" s="259" t="s">
        <v>4440</v>
      </c>
      <c r="M1303" s="259"/>
      <c r="N1303" s="259"/>
      <c r="O1303" s="259"/>
      <c r="P1303" s="255" t="s">
        <v>7813</v>
      </c>
      <c r="Q1303" s="259" t="s">
        <v>7810</v>
      </c>
      <c r="R1303" s="260" t="s">
        <v>7811</v>
      </c>
      <c r="S1303" s="401"/>
      <c r="T1303" s="255" t="s">
        <v>6335</v>
      </c>
      <c r="U1303" s="255"/>
      <c r="V1303" s="255"/>
      <c r="W1303" s="341" t="s">
        <v>7838</v>
      </c>
      <c r="X1303" s="676" t="s">
        <v>12328</v>
      </c>
      <c r="Y1303" s="381" t="s">
        <v>6000</v>
      </c>
      <c r="Z1303" s="382">
        <v>3999</v>
      </c>
      <c r="AA1303" s="382"/>
      <c r="AB1303" s="145">
        <f t="shared" ca="1" si="24"/>
        <v>0.42852184655822789</v>
      </c>
      <c r="AC1303" s="840"/>
      <c r="AD1303" s="841"/>
      <c r="AE1303" s="961"/>
      <c r="AF1303" s="933">
        <f>IF(X1303=X1302,AF1302,0)+IF(ISNUMBER(I1303),IF(I1303&lt;1,I1303,I1303*VLOOKUP(J1303,Summary!$H$2:$I$9,2)),VLOOKUP(J1303,Summary!$J$2:$K$9,2)*IF(ISNUMBER(H1303),H1303,1))</f>
        <v>1.4581365740740737</v>
      </c>
      <c r="AG1303" s="305">
        <v>1302</v>
      </c>
      <c r="AH1303" s="94"/>
      <c r="AI1303" s="94"/>
    </row>
    <row r="1304" spans="1:35" s="142" customFormat="1" ht="12" customHeight="1" x14ac:dyDescent="0.25">
      <c r="A1304" s="789"/>
      <c r="B1304" s="790" t="s">
        <v>4457</v>
      </c>
      <c r="C1304" s="789">
        <v>4</v>
      </c>
      <c r="D1304" s="580" t="s">
        <v>4436</v>
      </c>
      <c r="E1304" s="341" t="s">
        <v>7839</v>
      </c>
      <c r="F1304" s="258">
        <v>1980</v>
      </c>
      <c r="G1304" s="258"/>
      <c r="H1304" s="258" t="s">
        <v>461</v>
      </c>
      <c r="I1304" s="258">
        <v>32</v>
      </c>
      <c r="J1304" s="912" t="s">
        <v>2755</v>
      </c>
      <c r="K1304" s="259" t="s">
        <v>4439</v>
      </c>
      <c r="L1304" s="259" t="s">
        <v>4440</v>
      </c>
      <c r="M1304" s="259"/>
      <c r="N1304" s="259"/>
      <c r="O1304" s="259"/>
      <c r="P1304" s="255" t="s">
        <v>7840</v>
      </c>
      <c r="Q1304" s="259" t="s">
        <v>7810</v>
      </c>
      <c r="R1304" s="260" t="s">
        <v>7811</v>
      </c>
      <c r="S1304" s="401"/>
      <c r="T1304" s="255" t="s">
        <v>6335</v>
      </c>
      <c r="U1304" s="255"/>
      <c r="V1304" s="255"/>
      <c r="W1304" s="341" t="s">
        <v>7839</v>
      </c>
      <c r="X1304" s="676" t="s">
        <v>12328</v>
      </c>
      <c r="Y1304" s="381" t="s">
        <v>6000</v>
      </c>
      <c r="Z1304" s="382">
        <v>3999</v>
      </c>
      <c r="AA1304" s="382"/>
      <c r="AB1304" s="145">
        <f t="shared" ca="1" si="24"/>
        <v>3.1677750804758098E-2</v>
      </c>
      <c r="AC1304" s="840"/>
      <c r="AD1304" s="841" t="s">
        <v>16510</v>
      </c>
      <c r="AE1304" s="961" t="s">
        <v>3365</v>
      </c>
      <c r="AF1304" s="933">
        <f>IF(X1304=X1303,AF1303,0)+IF(ISNUMBER(I1304),IF(I1304&lt;1,I1304,I1304*VLOOKUP(J1304,Summary!$H$2:$I$9,2)),VLOOKUP(J1304,Summary!$J$2:$K$9,2)*IF(ISNUMBER(H1304),H1304,1))</f>
        <v>1.4803587962962959</v>
      </c>
      <c r="AG1304" s="305">
        <v>1303</v>
      </c>
      <c r="AH1304" s="94"/>
      <c r="AI1304" s="94"/>
    </row>
    <row r="1305" spans="1:35" s="2" customFormat="1" ht="12" customHeight="1" x14ac:dyDescent="0.25">
      <c r="A1305" s="484">
        <v>15</v>
      </c>
      <c r="B1305" s="484">
        <v>4</v>
      </c>
      <c r="C1305" s="502">
        <v>8.1</v>
      </c>
      <c r="D1305" s="407" t="s">
        <v>15741</v>
      </c>
      <c r="E1305" s="315" t="s">
        <v>15749</v>
      </c>
      <c r="F1305" s="196">
        <v>43481</v>
      </c>
      <c r="G1305" s="170"/>
      <c r="H1305" s="170">
        <v>2</v>
      </c>
      <c r="I1305" s="747">
        <f t="shared" ref="I1305:I1310" si="26">TIME(0,60,0)</f>
        <v>4.1666666666666664E-2</v>
      </c>
      <c r="J1305" s="899" t="s">
        <v>4706</v>
      </c>
      <c r="K1305" s="167" t="s">
        <v>6970</v>
      </c>
      <c r="L1305" s="167" t="s">
        <v>4549</v>
      </c>
      <c r="M1305" s="167"/>
      <c r="N1305" s="167" t="s">
        <v>5666</v>
      </c>
      <c r="O1305" s="167" t="s">
        <v>3295</v>
      </c>
      <c r="P1305" s="168" t="s">
        <v>15753</v>
      </c>
      <c r="Q1305" s="167" t="s">
        <v>3947</v>
      </c>
      <c r="R1305" s="172" t="s">
        <v>7162</v>
      </c>
      <c r="S1305" s="388"/>
      <c r="T1305" s="168" t="s">
        <v>6335</v>
      </c>
      <c r="U1305" s="168" t="s">
        <v>15759</v>
      </c>
      <c r="V1305" s="168"/>
      <c r="W1305" s="315"/>
      <c r="X1305" s="644" t="s">
        <v>15748</v>
      </c>
      <c r="Y1305" s="352"/>
      <c r="Z1305" s="353"/>
      <c r="AA1305" s="353"/>
      <c r="AB1305" s="31">
        <f t="shared" ca="1" si="24"/>
        <v>0.42726099754454461</v>
      </c>
      <c r="AC1305" s="810"/>
      <c r="AD1305" s="811"/>
      <c r="AE1305" s="940"/>
      <c r="AF1305" s="920">
        <f>IF(X1305=X1304,AF1304,0)+IF(ISNUMBER(I1305),IF(I1305&lt;1,I1305,I1305*VLOOKUP(J1305,Summary!$H$2:$I$9,2)),VLOOKUP(J1305,Summary!$J$2:$K$9,2)*IF(ISNUMBER(H1305),H1305,1))</f>
        <v>4.1666666666666664E-2</v>
      </c>
      <c r="AG1305" s="287">
        <v>1304</v>
      </c>
      <c r="AH1305" s="94"/>
      <c r="AI1305" s="94"/>
    </row>
    <row r="1306" spans="1:35" s="29" customFormat="1" ht="12" customHeight="1" x14ac:dyDescent="0.25">
      <c r="A1306" s="484">
        <v>15</v>
      </c>
      <c r="B1306" s="484">
        <v>4</v>
      </c>
      <c r="C1306" s="502">
        <v>8.1999999999999993</v>
      </c>
      <c r="D1306" s="407" t="s">
        <v>15742</v>
      </c>
      <c r="E1306" s="315" t="s">
        <v>15750</v>
      </c>
      <c r="F1306" s="196">
        <v>43481</v>
      </c>
      <c r="G1306" s="170"/>
      <c r="H1306" s="170">
        <v>2</v>
      </c>
      <c r="I1306" s="747">
        <f t="shared" si="26"/>
        <v>4.1666666666666664E-2</v>
      </c>
      <c r="J1306" s="899" t="s">
        <v>4706</v>
      </c>
      <c r="K1306" s="167" t="s">
        <v>10079</v>
      </c>
      <c r="L1306" s="167" t="s">
        <v>4549</v>
      </c>
      <c r="M1306" s="167"/>
      <c r="N1306" s="167" t="s">
        <v>5666</v>
      </c>
      <c r="O1306" s="167" t="s">
        <v>3295</v>
      </c>
      <c r="P1306" s="168" t="s">
        <v>15753</v>
      </c>
      <c r="Q1306" s="167" t="s">
        <v>3947</v>
      </c>
      <c r="R1306" s="172" t="s">
        <v>7162</v>
      </c>
      <c r="S1306" s="388"/>
      <c r="T1306" s="168" t="s">
        <v>6335</v>
      </c>
      <c r="U1306" s="168" t="s">
        <v>15759</v>
      </c>
      <c r="V1306" s="168"/>
      <c r="W1306" s="315"/>
      <c r="X1306" s="644" t="s">
        <v>15748</v>
      </c>
      <c r="Y1306" s="352"/>
      <c r="Z1306" s="353"/>
      <c r="AA1306" s="353"/>
      <c r="AB1306" s="31">
        <f t="shared" ca="1" si="24"/>
        <v>0.2069289132003983</v>
      </c>
      <c r="AC1306" s="810"/>
      <c r="AD1306" s="811"/>
      <c r="AE1306" s="940"/>
      <c r="AF1306" s="920">
        <f>IF(X1306=X1305,AF1305,0)+IF(ISNUMBER(I1306),IF(I1306&lt;1,I1306,I1306*VLOOKUP(J1306,Summary!$H$2:$I$9,2)),VLOOKUP(J1306,Summary!$J$2:$K$9,2)*IF(ISNUMBER(H1306),H1306,1))</f>
        <v>8.3333333333333329E-2</v>
      </c>
      <c r="AG1306" s="287">
        <v>1305</v>
      </c>
      <c r="AH1306" s="94"/>
      <c r="AI1306" s="94"/>
    </row>
    <row r="1307" spans="1:35" s="43" customFormat="1" ht="12" customHeight="1" x14ac:dyDescent="0.25">
      <c r="A1307" s="484">
        <v>15</v>
      </c>
      <c r="B1307" s="484">
        <v>4</v>
      </c>
      <c r="C1307" s="502">
        <v>8.2999999999999989</v>
      </c>
      <c r="D1307" s="407" t="s">
        <v>15743</v>
      </c>
      <c r="E1307" s="315" t="s">
        <v>15751</v>
      </c>
      <c r="F1307" s="196">
        <v>43481</v>
      </c>
      <c r="G1307" s="170"/>
      <c r="H1307" s="170">
        <v>2</v>
      </c>
      <c r="I1307" s="747">
        <f t="shared" si="26"/>
        <v>4.1666666666666664E-2</v>
      </c>
      <c r="J1307" s="899" t="s">
        <v>4706</v>
      </c>
      <c r="K1307" s="167" t="s">
        <v>2983</v>
      </c>
      <c r="L1307" s="167" t="s">
        <v>4549</v>
      </c>
      <c r="M1307" s="167"/>
      <c r="N1307" s="167" t="s">
        <v>5666</v>
      </c>
      <c r="O1307" s="167" t="s">
        <v>3295</v>
      </c>
      <c r="P1307" s="168" t="s">
        <v>15753</v>
      </c>
      <c r="Q1307" s="167" t="s">
        <v>3947</v>
      </c>
      <c r="R1307" s="172" t="s">
        <v>7162</v>
      </c>
      <c r="S1307" s="388"/>
      <c r="T1307" s="168" t="s">
        <v>6335</v>
      </c>
      <c r="U1307" s="168" t="s">
        <v>15759</v>
      </c>
      <c r="V1307" s="168"/>
      <c r="W1307" s="315"/>
      <c r="X1307" s="644" t="s">
        <v>15748</v>
      </c>
      <c r="Y1307" s="352"/>
      <c r="Z1307" s="353"/>
      <c r="AA1307" s="353"/>
      <c r="AB1307" s="31">
        <f t="shared" ca="1" si="24"/>
        <v>0.29259182639287629</v>
      </c>
      <c r="AC1307" s="810"/>
      <c r="AD1307" s="811"/>
      <c r="AE1307" s="940"/>
      <c r="AF1307" s="920">
        <f>IF(X1307=X1306,AF1306,0)+IF(ISNUMBER(I1307),IF(I1307&lt;1,I1307,I1307*VLOOKUP(J1307,Summary!$H$2:$I$9,2)),VLOOKUP(J1307,Summary!$J$2:$K$9,2)*IF(ISNUMBER(H1307),H1307,1))</f>
        <v>0.125</v>
      </c>
      <c r="AG1307" s="287">
        <v>1306</v>
      </c>
      <c r="AH1307" s="94"/>
      <c r="AI1307" s="94"/>
    </row>
    <row r="1308" spans="1:35" s="29" customFormat="1" ht="12" customHeight="1" x14ac:dyDescent="0.25">
      <c r="A1308" s="484">
        <v>15</v>
      </c>
      <c r="B1308" s="484">
        <v>4</v>
      </c>
      <c r="C1308" s="502">
        <v>8.3999999999999986</v>
      </c>
      <c r="D1308" s="407" t="s">
        <v>15744</v>
      </c>
      <c r="E1308" s="315" t="s">
        <v>15752</v>
      </c>
      <c r="F1308" s="196">
        <v>43481</v>
      </c>
      <c r="G1308" s="170"/>
      <c r="H1308" s="170">
        <v>2</v>
      </c>
      <c r="I1308" s="747">
        <f t="shared" si="26"/>
        <v>4.1666666666666664E-2</v>
      </c>
      <c r="J1308" s="899" t="s">
        <v>4706</v>
      </c>
      <c r="K1308" s="167" t="s">
        <v>1826</v>
      </c>
      <c r="L1308" s="167" t="s">
        <v>4549</v>
      </c>
      <c r="M1308" s="167"/>
      <c r="N1308" s="167" t="s">
        <v>5666</v>
      </c>
      <c r="O1308" s="167" t="s">
        <v>3295</v>
      </c>
      <c r="P1308" s="168" t="s">
        <v>15753</v>
      </c>
      <c r="Q1308" s="167" t="s">
        <v>3947</v>
      </c>
      <c r="R1308" s="172" t="s">
        <v>7162</v>
      </c>
      <c r="S1308" s="388"/>
      <c r="T1308" s="168" t="s">
        <v>6335</v>
      </c>
      <c r="U1308" s="168" t="s">
        <v>15759</v>
      </c>
      <c r="V1308" s="168"/>
      <c r="W1308" s="315"/>
      <c r="X1308" s="644" t="s">
        <v>15748</v>
      </c>
      <c r="Y1308" s="352"/>
      <c r="Z1308" s="353"/>
      <c r="AA1308" s="353"/>
      <c r="AB1308" s="31">
        <f t="shared" ca="1" si="24"/>
        <v>0.8598572424049773</v>
      </c>
      <c r="AC1308" s="810"/>
      <c r="AD1308" s="811"/>
      <c r="AE1308" s="940"/>
      <c r="AF1308" s="920">
        <f>IF(X1308=X1307,AF1307,0)+IF(ISNUMBER(I1308),IF(I1308&lt;1,I1308,I1308*VLOOKUP(J1308,Summary!$H$2:$I$9,2)),VLOOKUP(J1308,Summary!$J$2:$K$9,2)*IF(ISNUMBER(H1308),H1308,1))</f>
        <v>0.16666666666666666</v>
      </c>
      <c r="AG1308" s="287">
        <v>1307</v>
      </c>
      <c r="AH1308" s="94"/>
      <c r="AI1308" s="94"/>
    </row>
    <row r="1309" spans="1:35" s="29" customFormat="1" ht="12" customHeight="1" x14ac:dyDescent="0.25">
      <c r="A1309" s="484">
        <v>15</v>
      </c>
      <c r="B1309" s="484">
        <v>4</v>
      </c>
      <c r="C1309" s="502">
        <v>8.4999999999999982</v>
      </c>
      <c r="D1309" s="407" t="s">
        <v>15745</v>
      </c>
      <c r="E1309" s="315" t="s">
        <v>15754</v>
      </c>
      <c r="F1309" s="196">
        <v>43509</v>
      </c>
      <c r="G1309" s="170"/>
      <c r="H1309" s="170">
        <v>2</v>
      </c>
      <c r="I1309" s="747">
        <f t="shared" si="26"/>
        <v>4.1666666666666664E-2</v>
      </c>
      <c r="J1309" s="899" t="s">
        <v>4706</v>
      </c>
      <c r="K1309" s="167" t="s">
        <v>1826</v>
      </c>
      <c r="L1309" s="167" t="s">
        <v>4549</v>
      </c>
      <c r="M1309" s="167"/>
      <c r="N1309" s="167" t="s">
        <v>15757</v>
      </c>
      <c r="O1309" s="167" t="s">
        <v>3295</v>
      </c>
      <c r="P1309" s="168" t="s">
        <v>15758</v>
      </c>
      <c r="Q1309" s="167" t="s">
        <v>3947</v>
      </c>
      <c r="R1309" s="172" t="s">
        <v>7162</v>
      </c>
      <c r="S1309" s="388"/>
      <c r="T1309" s="168" t="s">
        <v>6335</v>
      </c>
      <c r="U1309" s="168" t="s">
        <v>15759</v>
      </c>
      <c r="V1309" s="168"/>
      <c r="W1309" s="315"/>
      <c r="X1309" s="644" t="s">
        <v>15748</v>
      </c>
      <c r="Y1309" s="352"/>
      <c r="Z1309" s="353"/>
      <c r="AA1309" s="353"/>
      <c r="AB1309" s="31">
        <f t="shared" ca="1" si="24"/>
        <v>0.71744529711724692</v>
      </c>
      <c r="AC1309" s="810"/>
      <c r="AD1309" s="811"/>
      <c r="AE1309" s="940"/>
      <c r="AF1309" s="920">
        <f>IF(X1309=X1308,AF1308,0)+IF(ISNUMBER(I1309),IF(I1309&lt;1,I1309,I1309*VLOOKUP(J1309,Summary!$H$2:$I$9,2)),VLOOKUP(J1309,Summary!$J$2:$K$9,2)*IF(ISNUMBER(H1309),H1309,1))</f>
        <v>0.20833333333333331</v>
      </c>
      <c r="AG1309" s="287">
        <v>1308</v>
      </c>
      <c r="AH1309" s="94"/>
      <c r="AI1309" s="94"/>
    </row>
    <row r="1310" spans="1:35" s="29" customFormat="1" ht="12" customHeight="1" x14ac:dyDescent="0.25">
      <c r="A1310" s="484">
        <v>15</v>
      </c>
      <c r="B1310" s="484">
        <v>4</v>
      </c>
      <c r="C1310" s="502">
        <v>8.5999999999999979</v>
      </c>
      <c r="D1310" s="407" t="s">
        <v>15746</v>
      </c>
      <c r="E1310" s="315" t="s">
        <v>15755</v>
      </c>
      <c r="F1310" s="196">
        <v>43509</v>
      </c>
      <c r="G1310" s="170"/>
      <c r="H1310" s="170">
        <v>2</v>
      </c>
      <c r="I1310" s="747">
        <f t="shared" si="26"/>
        <v>4.1666666666666664E-2</v>
      </c>
      <c r="J1310" s="899" t="s">
        <v>4706</v>
      </c>
      <c r="K1310" s="167" t="s">
        <v>8131</v>
      </c>
      <c r="L1310" s="167" t="s">
        <v>4549</v>
      </c>
      <c r="M1310" s="167"/>
      <c r="N1310" s="167" t="s">
        <v>15757</v>
      </c>
      <c r="O1310" s="167" t="s">
        <v>3295</v>
      </c>
      <c r="P1310" s="168" t="s">
        <v>15758</v>
      </c>
      <c r="Q1310" s="167" t="s">
        <v>3947</v>
      </c>
      <c r="R1310" s="172" t="s">
        <v>7162</v>
      </c>
      <c r="S1310" s="388"/>
      <c r="T1310" s="168" t="s">
        <v>6335</v>
      </c>
      <c r="U1310" s="168" t="s">
        <v>15759</v>
      </c>
      <c r="V1310" s="168"/>
      <c r="W1310" s="315"/>
      <c r="X1310" s="644" t="s">
        <v>15748</v>
      </c>
      <c r="Y1310" s="352"/>
      <c r="Z1310" s="353"/>
      <c r="AA1310" s="353"/>
      <c r="AB1310" s="31">
        <f t="shared" ca="1" si="24"/>
        <v>0.10680267585124048</v>
      </c>
      <c r="AC1310" s="810"/>
      <c r="AD1310" s="811"/>
      <c r="AE1310" s="940"/>
      <c r="AF1310" s="920">
        <f>IF(X1310=X1309,AF1309,0)+IF(ISNUMBER(I1310),IF(I1310&lt;1,I1310,I1310*VLOOKUP(J1310,Summary!$H$2:$I$9,2)),VLOOKUP(J1310,Summary!$J$2:$K$9,2)*IF(ISNUMBER(H1310),H1310,1))</f>
        <v>0.24999999999999997</v>
      </c>
      <c r="AG1310" s="287">
        <v>1309</v>
      </c>
      <c r="AH1310" s="94"/>
      <c r="AI1310" s="94"/>
    </row>
    <row r="1311" spans="1:35" s="29" customFormat="1" ht="12" customHeight="1" x14ac:dyDescent="0.25">
      <c r="A1311" s="484">
        <v>15</v>
      </c>
      <c r="B1311" s="484">
        <v>4</v>
      </c>
      <c r="C1311" s="502" t="s">
        <v>15740</v>
      </c>
      <c r="D1311" s="407" t="s">
        <v>15747</v>
      </c>
      <c r="E1311" s="315" t="s">
        <v>15756</v>
      </c>
      <c r="F1311" s="196">
        <v>43509</v>
      </c>
      <c r="G1311" s="170"/>
      <c r="H1311" s="170">
        <v>4</v>
      </c>
      <c r="I1311" s="747">
        <f>TIME(0,120,0)</f>
        <v>8.3333333333333329E-2</v>
      </c>
      <c r="J1311" s="899" t="s">
        <v>4706</v>
      </c>
      <c r="K1311" s="167" t="s">
        <v>5666</v>
      </c>
      <c r="L1311" s="167" t="s">
        <v>4549</v>
      </c>
      <c r="M1311" s="167"/>
      <c r="N1311" s="167" t="s">
        <v>15757</v>
      </c>
      <c r="O1311" s="167" t="s">
        <v>3295</v>
      </c>
      <c r="P1311" s="168" t="s">
        <v>15758</v>
      </c>
      <c r="Q1311" s="167" t="s">
        <v>3947</v>
      </c>
      <c r="R1311" s="172" t="s">
        <v>7162</v>
      </c>
      <c r="S1311" s="388"/>
      <c r="T1311" s="168" t="s">
        <v>6335</v>
      </c>
      <c r="U1311" s="168" t="s">
        <v>15759</v>
      </c>
      <c r="V1311" s="168"/>
      <c r="W1311" s="315"/>
      <c r="X1311" s="644" t="s">
        <v>15748</v>
      </c>
      <c r="Y1311" s="352"/>
      <c r="Z1311" s="353"/>
      <c r="AA1311" s="353"/>
      <c r="AB1311" s="31">
        <f t="shared" ca="1" si="24"/>
        <v>0.32002825835408699</v>
      </c>
      <c r="AC1311" s="810"/>
      <c r="AD1311" s="811"/>
      <c r="AE1311" s="940"/>
      <c r="AF1311" s="920">
        <f>IF(X1311=X1310,AF1310,0)+IF(ISNUMBER(I1311),IF(I1311&lt;1,I1311,I1311*VLOOKUP(J1311,Summary!$H$2:$I$9,2)),VLOOKUP(J1311,Summary!$J$2:$K$9,2)*IF(ISNUMBER(H1311),H1311,1))</f>
        <v>0.33333333333333331</v>
      </c>
      <c r="AG1311" s="287">
        <v>1310</v>
      </c>
      <c r="AH1311" s="94"/>
      <c r="AI1311" s="94"/>
    </row>
    <row r="1312" spans="1:35" s="22" customFormat="1" ht="12" customHeight="1" x14ac:dyDescent="0.2">
      <c r="A1312" s="411"/>
      <c r="B1312" s="411" t="s">
        <v>2650</v>
      </c>
      <c r="C1312" s="411">
        <v>8</v>
      </c>
      <c r="D1312" s="185" t="s">
        <v>9939</v>
      </c>
      <c r="E1312" s="314" t="s">
        <v>9938</v>
      </c>
      <c r="F1312" s="184">
        <v>29257</v>
      </c>
      <c r="G1312" s="184">
        <v>29278</v>
      </c>
      <c r="H1312" s="185">
        <v>4</v>
      </c>
      <c r="I1312" s="185">
        <v>16</v>
      </c>
      <c r="J1312" s="901" t="s">
        <v>1796</v>
      </c>
      <c r="K1312" s="163" t="s">
        <v>6031</v>
      </c>
      <c r="L1312" s="163" t="s">
        <v>2431</v>
      </c>
      <c r="M1312" s="163"/>
      <c r="N1312" s="163" t="s">
        <v>6026</v>
      </c>
      <c r="O1312" s="163"/>
      <c r="P1312" s="182" t="s">
        <v>461</v>
      </c>
      <c r="Q1312" s="163" t="s">
        <v>4062</v>
      </c>
      <c r="R1312" s="186" t="s">
        <v>9922</v>
      </c>
      <c r="S1312" s="355"/>
      <c r="T1312" s="182"/>
      <c r="U1312" s="182"/>
      <c r="V1312" s="182"/>
      <c r="W1312" s="314"/>
      <c r="X1312" s="646" t="s">
        <v>15748</v>
      </c>
      <c r="Y1312" s="355"/>
      <c r="Z1312" s="158"/>
      <c r="AA1312" s="185"/>
      <c r="AB1312" s="33">
        <f t="shared" ca="1" si="24"/>
        <v>0.16930469676015081</v>
      </c>
      <c r="AC1312" s="813"/>
      <c r="AD1312" s="211" t="s">
        <v>16243</v>
      </c>
      <c r="AE1312" s="941" t="s">
        <v>12543</v>
      </c>
      <c r="AF1312" s="922">
        <f>IF(X1312=X1311,AF1311,0)+IF(ISNUMBER(I1312),IF(I1312&lt;1,I1312,I1312*VLOOKUP(J1312,Summary!$H$2:$I$9,2)),VLOOKUP(J1312,Summary!$J$2:$K$9,2)*IF(ISNUMBER(H1312),H1312,1))</f>
        <v>0.33888888888888885</v>
      </c>
      <c r="AG1312" s="290">
        <v>1311</v>
      </c>
      <c r="AH1312" s="94"/>
      <c r="AI1312" s="94"/>
    </row>
    <row r="1313" spans="1:35" s="7" customFormat="1" ht="12" customHeight="1" x14ac:dyDescent="0.25">
      <c r="A1313" s="411"/>
      <c r="B1313" s="411" t="s">
        <v>2650</v>
      </c>
      <c r="C1313" s="411">
        <v>12</v>
      </c>
      <c r="D1313" s="185" t="s">
        <v>9979</v>
      </c>
      <c r="E1313" s="314" t="s">
        <v>9944</v>
      </c>
      <c r="F1313" s="184">
        <v>29327</v>
      </c>
      <c r="G1313" s="184">
        <v>29526</v>
      </c>
      <c r="H1313" s="185">
        <v>7</v>
      </c>
      <c r="I1313" s="185">
        <v>16</v>
      </c>
      <c r="J1313" s="901" t="s">
        <v>1796</v>
      </c>
      <c r="K1313" s="163" t="s">
        <v>6031</v>
      </c>
      <c r="L1313" s="163" t="s">
        <v>9978</v>
      </c>
      <c r="M1313" s="163"/>
      <c r="N1313" s="163" t="s">
        <v>6026</v>
      </c>
      <c r="O1313" s="163"/>
      <c r="P1313" s="182" t="s">
        <v>461</v>
      </c>
      <c r="Q1313" s="163" t="s">
        <v>4062</v>
      </c>
      <c r="R1313" s="186" t="s">
        <v>9922</v>
      </c>
      <c r="S1313" s="355"/>
      <c r="T1313" s="182"/>
      <c r="U1313" s="182"/>
      <c r="V1313" s="182"/>
      <c r="W1313" s="314"/>
      <c r="X1313" s="646" t="s">
        <v>15748</v>
      </c>
      <c r="Y1313" s="355"/>
      <c r="Z1313" s="158"/>
      <c r="AA1313" s="185"/>
      <c r="AB1313" s="33">
        <f t="shared" ca="1" si="24"/>
        <v>0.96407285427579692</v>
      </c>
      <c r="AC1313" s="813"/>
      <c r="AD1313" s="211" t="s">
        <v>16243</v>
      </c>
      <c r="AE1313" s="941" t="s">
        <v>12543</v>
      </c>
      <c r="AF1313" s="922">
        <f>IF(X1313=X1312,AF1312,0)+IF(ISNUMBER(I1313),IF(I1313&lt;1,I1313,I1313*VLOOKUP(J1313,Summary!$H$2:$I$9,2)),VLOOKUP(J1313,Summary!$J$2:$K$9,2)*IF(ISNUMBER(H1313),H1313,1))</f>
        <v>0.34444444444444439</v>
      </c>
      <c r="AG1313" s="290">
        <v>1312</v>
      </c>
      <c r="AH1313" s="94"/>
      <c r="AI1313" s="94"/>
    </row>
    <row r="1314" spans="1:35" s="2" customFormat="1" ht="12" customHeight="1" x14ac:dyDescent="0.25">
      <c r="A1314" s="490">
        <v>15</v>
      </c>
      <c r="B1314" s="490">
        <v>4</v>
      </c>
      <c r="C1314" s="490">
        <v>29.19</v>
      </c>
      <c r="D1314" s="176" t="s">
        <v>2780</v>
      </c>
      <c r="E1314" s="313" t="s">
        <v>5345</v>
      </c>
      <c r="F1314" s="174">
        <v>39692</v>
      </c>
      <c r="G1314" s="174"/>
      <c r="H1314" s="176" t="s">
        <v>461</v>
      </c>
      <c r="I1314" s="176">
        <v>8</v>
      </c>
      <c r="J1314" s="900" t="s">
        <v>2755</v>
      </c>
      <c r="K1314" s="164" t="s">
        <v>5346</v>
      </c>
      <c r="L1314" s="164" t="s">
        <v>461</v>
      </c>
      <c r="M1314" s="164"/>
      <c r="N1314" s="164" t="s">
        <v>5664</v>
      </c>
      <c r="O1314" s="164"/>
      <c r="P1314" s="173" t="s">
        <v>6707</v>
      </c>
      <c r="Q1314" s="164" t="s">
        <v>3947</v>
      </c>
      <c r="R1314" s="177" t="s">
        <v>2723</v>
      </c>
      <c r="S1314" s="354"/>
      <c r="T1314" s="173" t="s">
        <v>6335</v>
      </c>
      <c r="U1314" s="173"/>
      <c r="V1314" s="173"/>
      <c r="W1314" s="313" t="s">
        <v>5345</v>
      </c>
      <c r="X1314" s="645" t="s">
        <v>15748</v>
      </c>
      <c r="Y1314" s="354"/>
      <c r="Z1314" s="176"/>
      <c r="AA1314" s="176"/>
      <c r="AB1314" s="32">
        <f t="shared" ca="1" si="24"/>
        <v>0.22993733996237442</v>
      </c>
      <c r="AC1314" s="812"/>
      <c r="AD1314" s="763"/>
      <c r="AE1314" s="807"/>
      <c r="AF1314" s="921">
        <f>IF(X1314=X1313,AF1313,0)+IF(ISNUMBER(I1314),IF(I1314&lt;1,I1314,I1314*VLOOKUP(J1314,Summary!$H$2:$I$9,2)),VLOOKUP(J1314,Summary!$J$2:$K$9,2)*IF(ISNUMBER(H1314),H1314,1))</f>
        <v>0.34999999999999992</v>
      </c>
      <c r="AG1314" s="289">
        <v>1313</v>
      </c>
      <c r="AH1314" s="94"/>
      <c r="AI1314" s="94"/>
    </row>
    <row r="1315" spans="1:35" s="29" customFormat="1" ht="12" customHeight="1" x14ac:dyDescent="0.25">
      <c r="A1315" s="488">
        <v>15</v>
      </c>
      <c r="B1315" s="488">
        <v>4</v>
      </c>
      <c r="C1315" s="488">
        <v>131</v>
      </c>
      <c r="D1315" s="428" t="s">
        <v>1020</v>
      </c>
      <c r="E1315" s="325" t="s">
        <v>1015</v>
      </c>
      <c r="F1315" s="184">
        <v>28504</v>
      </c>
      <c r="G1315" s="184">
        <v>28532</v>
      </c>
      <c r="H1315" s="185">
        <v>5</v>
      </c>
      <c r="I1315" s="185"/>
      <c r="J1315" s="901" t="s">
        <v>1796</v>
      </c>
      <c r="K1315" s="158" t="s">
        <v>5784</v>
      </c>
      <c r="L1315" s="158" t="s">
        <v>5174</v>
      </c>
      <c r="M1315" s="158"/>
      <c r="N1315" s="163"/>
      <c r="O1315" s="158"/>
      <c r="P1315" s="182" t="s">
        <v>461</v>
      </c>
      <c r="Q1315" s="158" t="s">
        <v>1797</v>
      </c>
      <c r="R1315" s="207" t="s">
        <v>4601</v>
      </c>
      <c r="S1315" s="355"/>
      <c r="T1315" s="182"/>
      <c r="U1315" s="182"/>
      <c r="V1315" s="182"/>
      <c r="W1315" s="321"/>
      <c r="X1315" s="653" t="s">
        <v>15748</v>
      </c>
      <c r="Y1315" s="361"/>
      <c r="Z1315" s="362"/>
      <c r="AA1315" s="362"/>
      <c r="AB1315" s="33">
        <f t="shared" ca="1" si="24"/>
        <v>5.014470090523071E-2</v>
      </c>
      <c r="AC1315" s="813"/>
      <c r="AD1315" s="211"/>
      <c r="AE1315" s="949"/>
      <c r="AF1315" s="922">
        <f>IF(X1315=X1314,AF1314,0)+IF(ISNUMBER(I1315),IF(I1315&lt;1,I1315,I1315*VLOOKUP(J1315,Summary!$H$2:$I$9,2)),VLOOKUP(J1315,Summary!$J$2:$K$9,2)*IF(ISNUMBER(H1315),H1315,1))</f>
        <v>0.36736111111111103</v>
      </c>
      <c r="AG1315" s="295">
        <v>1314</v>
      </c>
      <c r="AH1315" s="94"/>
      <c r="AI1315" s="94"/>
    </row>
    <row r="1316" spans="1:35" s="43" customFormat="1" ht="12" customHeight="1" x14ac:dyDescent="0.25">
      <c r="A1316" s="488">
        <v>15</v>
      </c>
      <c r="B1316" s="488">
        <v>4</v>
      </c>
      <c r="C1316" s="488">
        <v>132</v>
      </c>
      <c r="D1316" s="428" t="s">
        <v>1021</v>
      </c>
      <c r="E1316" s="325" t="s">
        <v>1016</v>
      </c>
      <c r="F1316" s="184">
        <v>28539</v>
      </c>
      <c r="G1316" s="184">
        <v>28567</v>
      </c>
      <c r="H1316" s="185">
        <v>5</v>
      </c>
      <c r="I1316" s="185"/>
      <c r="J1316" s="901" t="s">
        <v>1796</v>
      </c>
      <c r="K1316" s="158" t="s">
        <v>5784</v>
      </c>
      <c r="L1316" s="158" t="s">
        <v>5174</v>
      </c>
      <c r="M1316" s="158"/>
      <c r="N1316" s="163"/>
      <c r="O1316" s="158"/>
      <c r="P1316" s="182" t="s">
        <v>461</v>
      </c>
      <c r="Q1316" s="158" t="s">
        <v>1797</v>
      </c>
      <c r="R1316" s="207" t="s">
        <v>4601</v>
      </c>
      <c r="S1316" s="355"/>
      <c r="T1316" s="182"/>
      <c r="U1316" s="182"/>
      <c r="V1316" s="182"/>
      <c r="W1316" s="321"/>
      <c r="X1316" s="653" t="s">
        <v>15748</v>
      </c>
      <c r="Y1316" s="361"/>
      <c r="Z1316" s="362"/>
      <c r="AA1316" s="362"/>
      <c r="AB1316" s="33">
        <f t="shared" ca="1" si="24"/>
        <v>0.88472224789775777</v>
      </c>
      <c r="AC1316" s="813"/>
      <c r="AD1316" s="211"/>
      <c r="AE1316" s="949"/>
      <c r="AF1316" s="922">
        <f>IF(X1316=X1315,AF1315,0)+IF(ISNUMBER(I1316),IF(I1316&lt;1,I1316,I1316*VLOOKUP(J1316,Summary!$H$2:$I$9,2)),VLOOKUP(J1316,Summary!$J$2:$K$9,2)*IF(ISNUMBER(H1316),H1316,1))</f>
        <v>0.38472222222222213</v>
      </c>
      <c r="AG1316" s="295">
        <v>1315</v>
      </c>
      <c r="AH1316" s="94"/>
      <c r="AI1316" s="94"/>
    </row>
    <row r="1317" spans="1:35" s="2" customFormat="1" ht="12" customHeight="1" x14ac:dyDescent="0.25">
      <c r="A1317" s="488">
        <v>15</v>
      </c>
      <c r="B1317" s="488">
        <v>4</v>
      </c>
      <c r="C1317" s="488">
        <v>133</v>
      </c>
      <c r="D1317" s="428" t="s">
        <v>1022</v>
      </c>
      <c r="E1317" s="325" t="s">
        <v>1017</v>
      </c>
      <c r="F1317" s="184">
        <v>28574</v>
      </c>
      <c r="G1317" s="184">
        <v>28581</v>
      </c>
      <c r="H1317" s="185">
        <v>2</v>
      </c>
      <c r="I1317" s="185"/>
      <c r="J1317" s="901" t="s">
        <v>1796</v>
      </c>
      <c r="K1317" s="158" t="s">
        <v>5784</v>
      </c>
      <c r="L1317" s="158" t="s">
        <v>5174</v>
      </c>
      <c r="M1317" s="158"/>
      <c r="N1317" s="163"/>
      <c r="O1317" s="158"/>
      <c r="P1317" s="182" t="s">
        <v>461</v>
      </c>
      <c r="Q1317" s="158" t="s">
        <v>1797</v>
      </c>
      <c r="R1317" s="207" t="s">
        <v>4601</v>
      </c>
      <c r="S1317" s="355"/>
      <c r="T1317" s="182"/>
      <c r="U1317" s="182"/>
      <c r="V1317" s="182"/>
      <c r="W1317" s="321"/>
      <c r="X1317" s="653" t="s">
        <v>15748</v>
      </c>
      <c r="Y1317" s="361"/>
      <c r="Z1317" s="362"/>
      <c r="AA1317" s="362"/>
      <c r="AB1317" s="33">
        <f t="shared" ca="1" si="24"/>
        <v>0.36046608609955277</v>
      </c>
      <c r="AC1317" s="813"/>
      <c r="AD1317" s="211"/>
      <c r="AE1317" s="949"/>
      <c r="AF1317" s="922">
        <f>IF(X1317=X1316,AF1316,0)+IF(ISNUMBER(I1317),IF(I1317&lt;1,I1317,I1317*VLOOKUP(J1317,Summary!$H$2:$I$9,2)),VLOOKUP(J1317,Summary!$J$2:$K$9,2)*IF(ISNUMBER(H1317),H1317,1))</f>
        <v>0.39166666666666655</v>
      </c>
      <c r="AG1317" s="295">
        <v>1316</v>
      </c>
      <c r="AH1317" s="94"/>
      <c r="AI1317" s="94"/>
    </row>
    <row r="1318" spans="1:35" s="29" customFormat="1" ht="12" customHeight="1" x14ac:dyDescent="0.25">
      <c r="A1318" s="488">
        <v>15</v>
      </c>
      <c r="B1318" s="488">
        <v>4</v>
      </c>
      <c r="C1318" s="488">
        <v>134</v>
      </c>
      <c r="D1318" s="428" t="s">
        <v>1023</v>
      </c>
      <c r="E1318" s="325" t="s">
        <v>1018</v>
      </c>
      <c r="F1318" s="184">
        <v>28588</v>
      </c>
      <c r="G1318" s="184">
        <v>28629</v>
      </c>
      <c r="H1318" s="185">
        <v>7</v>
      </c>
      <c r="I1318" s="185"/>
      <c r="J1318" s="901" t="s">
        <v>1796</v>
      </c>
      <c r="K1318" s="158" t="s">
        <v>5784</v>
      </c>
      <c r="L1318" s="158" t="s">
        <v>5174</v>
      </c>
      <c r="M1318" s="158"/>
      <c r="N1318" s="163"/>
      <c r="O1318" s="158"/>
      <c r="P1318" s="182" t="s">
        <v>461</v>
      </c>
      <c r="Q1318" s="158" t="s">
        <v>1797</v>
      </c>
      <c r="R1318" s="207" t="s">
        <v>4601</v>
      </c>
      <c r="S1318" s="355"/>
      <c r="T1318" s="182"/>
      <c r="U1318" s="182"/>
      <c r="V1318" s="182"/>
      <c r="W1318" s="321"/>
      <c r="X1318" s="653" t="s">
        <v>15748</v>
      </c>
      <c r="Y1318" s="361"/>
      <c r="Z1318" s="362"/>
      <c r="AA1318" s="362"/>
      <c r="AB1318" s="33">
        <f t="shared" ca="1" si="24"/>
        <v>0.25012636635937224</v>
      </c>
      <c r="AC1318" s="813"/>
      <c r="AD1318" s="211"/>
      <c r="AE1318" s="949"/>
      <c r="AF1318" s="922">
        <f>IF(X1318=X1317,AF1317,0)+IF(ISNUMBER(I1318),IF(I1318&lt;1,I1318,I1318*VLOOKUP(J1318,Summary!$H$2:$I$9,2)),VLOOKUP(J1318,Summary!$J$2:$K$9,2)*IF(ISNUMBER(H1318),H1318,1))</f>
        <v>0.41597222222222208</v>
      </c>
      <c r="AG1318" s="295">
        <v>1317</v>
      </c>
      <c r="AH1318" s="94"/>
      <c r="AI1318" s="94"/>
    </row>
    <row r="1319" spans="1:35" s="29" customFormat="1" ht="12" customHeight="1" x14ac:dyDescent="0.25">
      <c r="A1319" s="488">
        <v>15</v>
      </c>
      <c r="B1319" s="488">
        <v>4</v>
      </c>
      <c r="C1319" s="488">
        <v>135</v>
      </c>
      <c r="D1319" s="428" t="s">
        <v>1024</v>
      </c>
      <c r="E1319" s="325" t="s">
        <v>1019</v>
      </c>
      <c r="F1319" s="184">
        <v>28636</v>
      </c>
      <c r="G1319" s="184">
        <v>28671</v>
      </c>
      <c r="H1319" s="185">
        <v>6</v>
      </c>
      <c r="I1319" s="185"/>
      <c r="J1319" s="901" t="s">
        <v>1796</v>
      </c>
      <c r="K1319" s="158" t="s">
        <v>5784</v>
      </c>
      <c r="L1319" s="158" t="s">
        <v>5174</v>
      </c>
      <c r="M1319" s="158"/>
      <c r="N1319" s="163"/>
      <c r="O1319" s="158"/>
      <c r="P1319" s="182" t="s">
        <v>461</v>
      </c>
      <c r="Q1319" s="158" t="s">
        <v>1797</v>
      </c>
      <c r="R1319" s="207" t="s">
        <v>4601</v>
      </c>
      <c r="S1319" s="355"/>
      <c r="T1319" s="182"/>
      <c r="U1319" s="182"/>
      <c r="V1319" s="182"/>
      <c r="W1319" s="321"/>
      <c r="X1319" s="653" t="s">
        <v>15748</v>
      </c>
      <c r="Y1319" s="361"/>
      <c r="Z1319" s="362"/>
      <c r="AA1319" s="362"/>
      <c r="AB1319" s="33">
        <f t="shared" ca="1" si="24"/>
        <v>0.92850848543125364</v>
      </c>
      <c r="AC1319" s="813"/>
      <c r="AD1319" s="211"/>
      <c r="AE1319" s="949"/>
      <c r="AF1319" s="922">
        <f>IF(X1319=X1318,AF1318,0)+IF(ISNUMBER(I1319),IF(I1319&lt;1,I1319,I1319*VLOOKUP(J1319,Summary!$H$2:$I$9,2)),VLOOKUP(J1319,Summary!$J$2:$K$9,2)*IF(ISNUMBER(H1319),H1319,1))</f>
        <v>0.43680555555555539</v>
      </c>
      <c r="AG1319" s="295">
        <v>1318</v>
      </c>
      <c r="AH1319" s="94"/>
      <c r="AI1319" s="94"/>
    </row>
    <row r="1320" spans="1:35" s="43" customFormat="1" ht="12" customHeight="1" x14ac:dyDescent="0.25">
      <c r="A1320" s="488">
        <v>15</v>
      </c>
      <c r="B1320" s="488">
        <v>4</v>
      </c>
      <c r="C1320" s="488"/>
      <c r="D1320" s="185" t="s">
        <v>10245</v>
      </c>
      <c r="E1320" s="314" t="s">
        <v>10246</v>
      </c>
      <c r="F1320" s="208">
        <v>29160</v>
      </c>
      <c r="G1320" s="184"/>
      <c r="H1320" s="185">
        <v>1</v>
      </c>
      <c r="I1320" s="185"/>
      <c r="J1320" s="901" t="s">
        <v>1796</v>
      </c>
      <c r="K1320" s="163" t="s">
        <v>5784</v>
      </c>
      <c r="L1320" s="163" t="s">
        <v>5784</v>
      </c>
      <c r="M1320" s="163"/>
      <c r="N1320" s="163"/>
      <c r="O1320" s="163"/>
      <c r="P1320" s="182" t="s">
        <v>461</v>
      </c>
      <c r="Q1320" s="163" t="s">
        <v>1797</v>
      </c>
      <c r="R1320" s="186" t="s">
        <v>4601</v>
      </c>
      <c r="S1320" s="355"/>
      <c r="T1320" s="182"/>
      <c r="U1320" s="182"/>
      <c r="V1320" s="182"/>
      <c r="W1320" s="314" t="s">
        <v>10246</v>
      </c>
      <c r="X1320" s="646" t="s">
        <v>15748</v>
      </c>
      <c r="Y1320" s="355"/>
      <c r="Z1320" s="185"/>
      <c r="AA1320" s="185"/>
      <c r="AB1320" s="33">
        <f t="shared" ca="1" si="24"/>
        <v>0.56948008130245942</v>
      </c>
      <c r="AC1320" s="813"/>
      <c r="AD1320" s="211"/>
      <c r="AE1320" s="949"/>
      <c r="AF1320" s="922">
        <f>IF(X1320=X1319,AF1319,0)+IF(ISNUMBER(I1320),IF(I1320&lt;1,I1320,I1320*VLOOKUP(J1320,Summary!$H$2:$I$9,2)),VLOOKUP(J1320,Summary!$J$2:$K$9,2)*IF(ISNUMBER(H1320),H1320,1))</f>
        <v>0.4402777777777776</v>
      </c>
      <c r="AG1320" s="295">
        <v>1319</v>
      </c>
      <c r="AH1320" s="94"/>
      <c r="AI1320" s="94"/>
    </row>
    <row r="1321" spans="1:35" s="29" customFormat="1" ht="12" customHeight="1" x14ac:dyDescent="0.25">
      <c r="A1321" s="490">
        <v>15</v>
      </c>
      <c r="B1321" s="490">
        <v>4</v>
      </c>
      <c r="C1321" s="490"/>
      <c r="D1321" s="176" t="s">
        <v>10245</v>
      </c>
      <c r="E1321" s="313" t="s">
        <v>10247</v>
      </c>
      <c r="F1321" s="224">
        <v>29160</v>
      </c>
      <c r="G1321" s="175"/>
      <c r="H1321" s="176">
        <v>1</v>
      </c>
      <c r="I1321" s="176"/>
      <c r="J1321" s="900" t="s">
        <v>2755</v>
      </c>
      <c r="K1321" s="164" t="s">
        <v>5784</v>
      </c>
      <c r="L1321" s="164" t="s">
        <v>5784</v>
      </c>
      <c r="M1321" s="164"/>
      <c r="N1321" s="164"/>
      <c r="O1321" s="164"/>
      <c r="P1321" s="173" t="s">
        <v>461</v>
      </c>
      <c r="Q1321" s="164" t="s">
        <v>1797</v>
      </c>
      <c r="R1321" s="177" t="s">
        <v>4601</v>
      </c>
      <c r="S1321" s="354"/>
      <c r="T1321" s="173"/>
      <c r="U1321" s="173"/>
      <c r="V1321" s="173"/>
      <c r="W1321" s="313" t="s">
        <v>10247</v>
      </c>
      <c r="X1321" s="645" t="s">
        <v>15748</v>
      </c>
      <c r="Y1321" s="354"/>
      <c r="Z1321" s="176"/>
      <c r="AA1321" s="176"/>
      <c r="AB1321" s="32">
        <f t="shared" ca="1" si="24"/>
        <v>0.91876197326936226</v>
      </c>
      <c r="AC1321" s="812"/>
      <c r="AD1321" s="763"/>
      <c r="AE1321" s="878"/>
      <c r="AF1321" s="921">
        <f>IF(X1321=X1320,AF1320,0)+IF(ISNUMBER(I1321),IF(I1321&lt;1,I1321,I1321*VLOOKUP(J1321,Summary!$H$2:$I$9,2)),VLOOKUP(J1321,Summary!$J$2:$K$9,2)*IF(ISNUMBER(H1321),H1321,1))</f>
        <v>0.45763888888888871</v>
      </c>
      <c r="AG1321" s="289">
        <v>1320</v>
      </c>
      <c r="AH1321" s="94"/>
      <c r="AI1321" s="94"/>
    </row>
    <row r="1322" spans="1:35" s="29" customFormat="1" ht="12" customHeight="1" x14ac:dyDescent="0.25">
      <c r="A1322" s="484" t="s">
        <v>15656</v>
      </c>
      <c r="B1322" s="484">
        <v>4</v>
      </c>
      <c r="C1322" s="484">
        <v>1</v>
      </c>
      <c r="D1322" s="407" t="s">
        <v>1103</v>
      </c>
      <c r="E1322" s="315" t="s">
        <v>1113</v>
      </c>
      <c r="F1322" s="196">
        <v>40059</v>
      </c>
      <c r="G1322" s="196"/>
      <c r="H1322" s="170">
        <v>1</v>
      </c>
      <c r="I1322" s="746">
        <f>TIME(0,70,0)</f>
        <v>4.8611111111111112E-2</v>
      </c>
      <c r="J1322" s="899" t="s">
        <v>4706</v>
      </c>
      <c r="K1322" s="167" t="s">
        <v>5658</v>
      </c>
      <c r="L1322" s="167" t="s">
        <v>5659</v>
      </c>
      <c r="M1322" s="167"/>
      <c r="N1322" s="167" t="s">
        <v>5660</v>
      </c>
      <c r="O1322" s="167" t="s">
        <v>5659</v>
      </c>
      <c r="P1322" s="168" t="s">
        <v>8883</v>
      </c>
      <c r="Q1322" s="167" t="s">
        <v>3950</v>
      </c>
      <c r="R1322" s="172" t="s">
        <v>2238</v>
      </c>
      <c r="S1322" s="388" t="s">
        <v>12704</v>
      </c>
      <c r="T1322" s="168"/>
      <c r="U1322" s="168" t="s">
        <v>2601</v>
      </c>
      <c r="V1322" s="168"/>
      <c r="W1322" s="312" t="s">
        <v>1113</v>
      </c>
      <c r="X1322" s="644" t="s">
        <v>12510</v>
      </c>
      <c r="Y1322" s="352" t="s">
        <v>1650</v>
      </c>
      <c r="Z1322" s="353">
        <v>999</v>
      </c>
      <c r="AA1322" s="353"/>
      <c r="AB1322" s="31">
        <f t="shared" ca="1" si="24"/>
        <v>0.12611628117723184</v>
      </c>
      <c r="AC1322" s="810"/>
      <c r="AD1322" s="811" t="s">
        <v>14585</v>
      </c>
      <c r="AE1322" s="940" t="s">
        <v>12543</v>
      </c>
      <c r="AF1322" s="920">
        <f>IF(X1322=X1321,AF1321,0)+IF(ISNUMBER(I1322),IF(I1322&lt;1,I1322,I1322*VLOOKUP(J1322,Summary!$H$2:$I$9,2)),VLOOKUP(J1322,Summary!$J$2:$K$9,2)*IF(ISNUMBER(H1322),H1322,1))</f>
        <v>4.8611111111111112E-2</v>
      </c>
      <c r="AG1322" s="287">
        <v>1321</v>
      </c>
      <c r="AH1322" s="94"/>
      <c r="AI1322" s="94"/>
    </row>
    <row r="1323" spans="1:35" s="29" customFormat="1" ht="12" customHeight="1" x14ac:dyDescent="0.25">
      <c r="A1323" s="484" t="s">
        <v>15656</v>
      </c>
      <c r="B1323" s="484">
        <v>4</v>
      </c>
      <c r="C1323" s="484">
        <v>2</v>
      </c>
      <c r="D1323" s="407" t="s">
        <v>1102</v>
      </c>
      <c r="E1323" s="315" t="s">
        <v>1114</v>
      </c>
      <c r="F1323" s="196">
        <v>40094</v>
      </c>
      <c r="G1323" s="196"/>
      <c r="H1323" s="170">
        <v>1</v>
      </c>
      <c r="I1323" s="746">
        <f>TIME(0,70,0)</f>
        <v>4.8611111111111112E-2</v>
      </c>
      <c r="J1323" s="899" t="s">
        <v>4706</v>
      </c>
      <c r="K1323" s="167" t="s">
        <v>5658</v>
      </c>
      <c r="L1323" s="167" t="s">
        <v>5659</v>
      </c>
      <c r="M1323" s="167"/>
      <c r="N1323" s="167" t="s">
        <v>5660</v>
      </c>
      <c r="O1323" s="167" t="s">
        <v>5659</v>
      </c>
      <c r="P1323" s="168" t="s">
        <v>8884</v>
      </c>
      <c r="Q1323" s="167" t="s">
        <v>3950</v>
      </c>
      <c r="R1323" s="172" t="s">
        <v>2238</v>
      </c>
      <c r="S1323" s="388" t="s">
        <v>12704</v>
      </c>
      <c r="T1323" s="168"/>
      <c r="U1323" s="168" t="s">
        <v>2601</v>
      </c>
      <c r="V1323" s="168"/>
      <c r="W1323" s="315" t="s">
        <v>1114</v>
      </c>
      <c r="X1323" s="647" t="s">
        <v>12510</v>
      </c>
      <c r="Y1323" s="352" t="s">
        <v>1650</v>
      </c>
      <c r="Z1323" s="353">
        <v>999</v>
      </c>
      <c r="AA1323" s="353"/>
      <c r="AB1323" s="31">
        <f t="shared" ca="1" si="24"/>
        <v>0.98471825361915688</v>
      </c>
      <c r="AC1323" s="810"/>
      <c r="AD1323" s="811" t="s">
        <v>16707</v>
      </c>
      <c r="AE1323" s="940"/>
      <c r="AF1323" s="920">
        <f>IF(X1323=X1322,AF1322,0)+IF(ISNUMBER(I1323),IF(I1323&lt;1,I1323,I1323*VLOOKUP(J1323,Summary!$H$2:$I$9,2)),VLOOKUP(J1323,Summary!$J$2:$K$9,2)*IF(ISNUMBER(H1323),H1323,1))</f>
        <v>9.7222222222222224E-2</v>
      </c>
      <c r="AG1323" s="287">
        <v>1322</v>
      </c>
      <c r="AH1323" s="94"/>
      <c r="AI1323" s="94"/>
    </row>
    <row r="1324" spans="1:35" s="1" customFormat="1" ht="12" customHeight="1" x14ac:dyDescent="0.25">
      <c r="A1324" s="484" t="s">
        <v>15656</v>
      </c>
      <c r="B1324" s="484">
        <v>4</v>
      </c>
      <c r="C1324" s="484">
        <v>3</v>
      </c>
      <c r="D1324" s="407" t="s">
        <v>1104</v>
      </c>
      <c r="E1324" s="315" t="s">
        <v>1115</v>
      </c>
      <c r="F1324" s="196">
        <v>40128</v>
      </c>
      <c r="G1324" s="196"/>
      <c r="H1324" s="170">
        <v>1</v>
      </c>
      <c r="I1324" s="746">
        <f>TIME(0,70,0)</f>
        <v>4.8611111111111112E-2</v>
      </c>
      <c r="J1324" s="899" t="s">
        <v>4706</v>
      </c>
      <c r="K1324" s="167" t="s">
        <v>5658</v>
      </c>
      <c r="L1324" s="167" t="s">
        <v>5659</v>
      </c>
      <c r="M1324" s="167"/>
      <c r="N1324" s="167" t="s">
        <v>5660</v>
      </c>
      <c r="O1324" s="167" t="s">
        <v>5659</v>
      </c>
      <c r="P1324" s="168" t="s">
        <v>8885</v>
      </c>
      <c r="Q1324" s="167" t="s">
        <v>3950</v>
      </c>
      <c r="R1324" s="172" t="s">
        <v>2238</v>
      </c>
      <c r="S1324" s="388" t="s">
        <v>12704</v>
      </c>
      <c r="T1324" s="168"/>
      <c r="U1324" s="168" t="s">
        <v>2601</v>
      </c>
      <c r="V1324" s="168"/>
      <c r="W1324" s="315" t="s">
        <v>1115</v>
      </c>
      <c r="X1324" s="647" t="s">
        <v>12510</v>
      </c>
      <c r="Y1324" s="352" t="s">
        <v>1650</v>
      </c>
      <c r="Z1324" s="353">
        <v>999</v>
      </c>
      <c r="AA1324" s="353"/>
      <c r="AB1324" s="31">
        <f t="shared" ca="1" si="24"/>
        <v>0.31955887548080864</v>
      </c>
      <c r="AC1324" s="810"/>
      <c r="AD1324" s="811" t="s">
        <v>16575</v>
      </c>
      <c r="AE1324" s="940"/>
      <c r="AF1324" s="920">
        <f>IF(X1324=X1323,AF1323,0)+IF(ISNUMBER(I1324),IF(I1324&lt;1,I1324,I1324*VLOOKUP(J1324,Summary!$H$2:$I$9,2)),VLOOKUP(J1324,Summary!$J$2:$K$9,2)*IF(ISNUMBER(H1324),H1324,1))</f>
        <v>0.14583333333333334</v>
      </c>
      <c r="AG1324" s="287">
        <v>1323</v>
      </c>
      <c r="AH1324" s="94"/>
      <c r="AI1324" s="94"/>
    </row>
    <row r="1325" spans="1:35" s="2" customFormat="1" ht="12" customHeight="1" x14ac:dyDescent="0.25">
      <c r="A1325" s="484" t="s">
        <v>15656</v>
      </c>
      <c r="B1325" s="484">
        <v>4</v>
      </c>
      <c r="C1325" s="484">
        <v>4</v>
      </c>
      <c r="D1325" s="407" t="s">
        <v>1105</v>
      </c>
      <c r="E1325" s="315" t="s">
        <v>1116</v>
      </c>
      <c r="F1325" s="196">
        <v>40149</v>
      </c>
      <c r="G1325" s="196"/>
      <c r="H1325" s="170">
        <v>1</v>
      </c>
      <c r="I1325" s="746">
        <f>TIME(0,70,0)</f>
        <v>4.8611111111111112E-2</v>
      </c>
      <c r="J1325" s="899" t="s">
        <v>4706</v>
      </c>
      <c r="K1325" s="167" t="s">
        <v>5658</v>
      </c>
      <c r="L1325" s="167" t="s">
        <v>5659</v>
      </c>
      <c r="M1325" s="167"/>
      <c r="N1325" s="167" t="s">
        <v>5660</v>
      </c>
      <c r="O1325" s="167" t="s">
        <v>5659</v>
      </c>
      <c r="P1325" s="168" t="s">
        <v>8886</v>
      </c>
      <c r="Q1325" s="167" t="s">
        <v>3950</v>
      </c>
      <c r="R1325" s="172" t="s">
        <v>2238</v>
      </c>
      <c r="S1325" s="388" t="s">
        <v>12704</v>
      </c>
      <c r="T1325" s="168"/>
      <c r="U1325" s="168" t="s">
        <v>2601</v>
      </c>
      <c r="V1325" s="168"/>
      <c r="W1325" s="315" t="s">
        <v>1116</v>
      </c>
      <c r="X1325" s="647" t="s">
        <v>12510</v>
      </c>
      <c r="Y1325" s="352" t="s">
        <v>1650</v>
      </c>
      <c r="Z1325" s="353">
        <v>999</v>
      </c>
      <c r="AA1325" s="353"/>
      <c r="AB1325" s="31">
        <f t="shared" ca="1" si="24"/>
        <v>0.42090953422761324</v>
      </c>
      <c r="AC1325" s="810"/>
      <c r="AD1325" s="811" t="s">
        <v>16537</v>
      </c>
      <c r="AE1325" s="940"/>
      <c r="AF1325" s="920">
        <f>IF(X1325=X1324,AF1324,0)+IF(ISNUMBER(I1325),IF(I1325&lt;1,I1325,I1325*VLOOKUP(J1325,Summary!$H$2:$I$9,2)),VLOOKUP(J1325,Summary!$J$2:$K$9,2)*IF(ISNUMBER(H1325),H1325,1))</f>
        <v>0.19444444444444445</v>
      </c>
      <c r="AG1325" s="287">
        <v>1324</v>
      </c>
      <c r="AH1325" s="94"/>
      <c r="AI1325" s="94"/>
    </row>
    <row r="1326" spans="1:35" s="1" customFormat="1" ht="12" customHeight="1" x14ac:dyDescent="0.25">
      <c r="A1326" s="484" t="s">
        <v>15656</v>
      </c>
      <c r="B1326" s="484">
        <v>4</v>
      </c>
      <c r="C1326" s="484">
        <v>5</v>
      </c>
      <c r="D1326" s="407" t="s">
        <v>1106</v>
      </c>
      <c r="E1326" s="315" t="s">
        <v>1117</v>
      </c>
      <c r="F1326" s="196">
        <v>40149</v>
      </c>
      <c r="G1326" s="196"/>
      <c r="H1326" s="170">
        <v>1</v>
      </c>
      <c r="I1326" s="746">
        <f>TIME(0,70,0)</f>
        <v>4.8611111111111112E-2</v>
      </c>
      <c r="J1326" s="899" t="s">
        <v>4706</v>
      </c>
      <c r="K1326" s="167" t="s">
        <v>5658</v>
      </c>
      <c r="L1326" s="167" t="s">
        <v>5659</v>
      </c>
      <c r="M1326" s="167"/>
      <c r="N1326" s="167" t="s">
        <v>5660</v>
      </c>
      <c r="O1326" s="167" t="s">
        <v>5659</v>
      </c>
      <c r="P1326" s="168" t="s">
        <v>8887</v>
      </c>
      <c r="Q1326" s="167" t="s">
        <v>3950</v>
      </c>
      <c r="R1326" s="172" t="s">
        <v>2238</v>
      </c>
      <c r="S1326" s="388" t="s">
        <v>12704</v>
      </c>
      <c r="T1326" s="168"/>
      <c r="U1326" s="168" t="s">
        <v>2601</v>
      </c>
      <c r="V1326" s="168"/>
      <c r="W1326" s="315" t="s">
        <v>1117</v>
      </c>
      <c r="X1326" s="647" t="s">
        <v>12510</v>
      </c>
      <c r="Y1326" s="352" t="s">
        <v>1650</v>
      </c>
      <c r="Z1326" s="353">
        <v>999</v>
      </c>
      <c r="AA1326" s="353"/>
      <c r="AB1326" s="31">
        <f t="shared" ca="1" si="24"/>
        <v>0.81174048768354623</v>
      </c>
      <c r="AC1326" s="810"/>
      <c r="AD1326" s="811" t="s">
        <v>15873</v>
      </c>
      <c r="AE1326" s="940"/>
      <c r="AF1326" s="920">
        <f>IF(X1326=X1325,AF1325,0)+IF(ISNUMBER(I1326),IF(I1326&lt;1,I1326,I1326*VLOOKUP(J1326,Summary!$H$2:$I$9,2)),VLOOKUP(J1326,Summary!$J$2:$K$9,2)*IF(ISNUMBER(H1326),H1326,1))</f>
        <v>0.24305555555555555</v>
      </c>
      <c r="AG1326" s="287">
        <v>1325</v>
      </c>
      <c r="AH1326" s="94"/>
      <c r="AI1326" s="94"/>
    </row>
    <row r="1327" spans="1:35" s="2" customFormat="1" ht="12" customHeight="1" x14ac:dyDescent="0.25">
      <c r="A1327" s="488" t="s">
        <v>15656</v>
      </c>
      <c r="B1327" s="488">
        <v>4</v>
      </c>
      <c r="C1327" s="488">
        <v>1</v>
      </c>
      <c r="D1327" s="428" t="s">
        <v>6027</v>
      </c>
      <c r="E1327" s="325" t="s">
        <v>4375</v>
      </c>
      <c r="F1327" s="184">
        <v>29145</v>
      </c>
      <c r="G1327" s="184">
        <v>29194</v>
      </c>
      <c r="H1327" s="185">
        <v>8</v>
      </c>
      <c r="I1327" s="185">
        <v>34</v>
      </c>
      <c r="J1327" s="901" t="s">
        <v>1796</v>
      </c>
      <c r="K1327" s="163" t="s">
        <v>6024</v>
      </c>
      <c r="L1327" s="163" t="s">
        <v>6025</v>
      </c>
      <c r="M1327" s="163"/>
      <c r="N1327" s="163" t="s">
        <v>6026</v>
      </c>
      <c r="O1327" s="163"/>
      <c r="P1327" s="182" t="s">
        <v>461</v>
      </c>
      <c r="Q1327" s="163" t="s">
        <v>4062</v>
      </c>
      <c r="R1327" s="207" t="s">
        <v>5266</v>
      </c>
      <c r="S1327" s="355"/>
      <c r="T1327" s="182"/>
      <c r="U1327" s="182"/>
      <c r="V1327" s="182"/>
      <c r="W1327" s="321"/>
      <c r="X1327" s="653" t="s">
        <v>12510</v>
      </c>
      <c r="Y1327" s="355" t="s">
        <v>5464</v>
      </c>
      <c r="Z1327" s="185">
        <v>999</v>
      </c>
      <c r="AA1327" s="185"/>
      <c r="AB1327" s="33">
        <f t="shared" ca="1" si="24"/>
        <v>0.38193751797322273</v>
      </c>
      <c r="AC1327" s="813"/>
      <c r="AD1327" s="211" t="s">
        <v>15991</v>
      </c>
      <c r="AE1327" s="949" t="s">
        <v>12543</v>
      </c>
      <c r="AF1327" s="922">
        <f>IF(X1327=X1326,AF1326,0)+IF(ISNUMBER(I1327),IF(I1327&lt;1,I1327,I1327*VLOOKUP(J1327,Summary!$H$2:$I$9,2)),VLOOKUP(J1327,Summary!$J$2:$K$9,2)*IF(ISNUMBER(H1327),H1327,1))</f>
        <v>0.25486111111111109</v>
      </c>
      <c r="AG1327" s="295">
        <v>1326</v>
      </c>
      <c r="AH1327" s="94"/>
      <c r="AI1327" s="94"/>
    </row>
    <row r="1328" spans="1:35" s="29" customFormat="1" ht="12" customHeight="1" x14ac:dyDescent="0.25">
      <c r="A1328" s="488" t="s">
        <v>15656</v>
      </c>
      <c r="B1328" s="488">
        <v>4</v>
      </c>
      <c r="C1328" s="488">
        <v>2</v>
      </c>
      <c r="D1328" s="428" t="s">
        <v>6029</v>
      </c>
      <c r="E1328" s="325" t="s">
        <v>4376</v>
      </c>
      <c r="F1328" s="184">
        <v>29201</v>
      </c>
      <c r="G1328" s="184">
        <v>29250</v>
      </c>
      <c r="H1328" s="185">
        <v>8</v>
      </c>
      <c r="I1328" s="185">
        <v>34</v>
      </c>
      <c r="J1328" s="901" t="s">
        <v>1796</v>
      </c>
      <c r="K1328" s="163" t="s">
        <v>6034</v>
      </c>
      <c r="L1328" s="163" t="s">
        <v>6025</v>
      </c>
      <c r="M1328" s="163"/>
      <c r="N1328" s="163" t="s">
        <v>6026</v>
      </c>
      <c r="O1328" s="163"/>
      <c r="P1328" s="182" t="s">
        <v>461</v>
      </c>
      <c r="Q1328" s="163" t="s">
        <v>4062</v>
      </c>
      <c r="R1328" s="207" t="s">
        <v>5266</v>
      </c>
      <c r="S1328" s="355"/>
      <c r="T1328" s="182"/>
      <c r="U1328" s="182"/>
      <c r="V1328" s="182"/>
      <c r="W1328" s="321"/>
      <c r="X1328" s="653" t="s">
        <v>12510</v>
      </c>
      <c r="Y1328" s="355"/>
      <c r="Z1328" s="185"/>
      <c r="AA1328" s="185"/>
      <c r="AB1328" s="33">
        <f t="shared" ca="1" si="24"/>
        <v>0.83692313328870183</v>
      </c>
      <c r="AC1328" s="813"/>
      <c r="AD1328" s="211"/>
      <c r="AE1328" s="949"/>
      <c r="AF1328" s="922">
        <f>IF(X1328=X1327,AF1327,0)+IF(ISNUMBER(I1328),IF(I1328&lt;1,I1328,I1328*VLOOKUP(J1328,Summary!$H$2:$I$9,2)),VLOOKUP(J1328,Summary!$J$2:$K$9,2)*IF(ISNUMBER(H1328),H1328,1))</f>
        <v>0.26666666666666666</v>
      </c>
      <c r="AG1328" s="295">
        <v>1327</v>
      </c>
      <c r="AH1328" s="94"/>
      <c r="AI1328" s="94"/>
    </row>
    <row r="1329" spans="1:35" s="2" customFormat="1" ht="12" customHeight="1" x14ac:dyDescent="0.25">
      <c r="A1329" s="490" t="s">
        <v>15656</v>
      </c>
      <c r="B1329" s="490">
        <v>4</v>
      </c>
      <c r="C1329" s="490">
        <v>4</v>
      </c>
      <c r="D1329" s="176" t="s">
        <v>13276</v>
      </c>
      <c r="E1329" s="313" t="s">
        <v>13277</v>
      </c>
      <c r="F1329" s="175">
        <v>42649</v>
      </c>
      <c r="G1329" s="174"/>
      <c r="H1329" s="176" t="s">
        <v>461</v>
      </c>
      <c r="I1329" s="176"/>
      <c r="J1329" s="900" t="s">
        <v>2755</v>
      </c>
      <c r="K1329" s="164" t="s">
        <v>7798</v>
      </c>
      <c r="L1329" s="164" t="s">
        <v>13278</v>
      </c>
      <c r="M1329" s="164"/>
      <c r="N1329" s="164"/>
      <c r="O1329" s="164"/>
      <c r="P1329" s="173" t="s">
        <v>12400</v>
      </c>
      <c r="Q1329" s="164" t="s">
        <v>3953</v>
      </c>
      <c r="R1329" s="177" t="s">
        <v>13260</v>
      </c>
      <c r="S1329" s="354"/>
      <c r="T1329" s="173"/>
      <c r="U1329" s="173"/>
      <c r="V1329" s="173"/>
      <c r="W1329" s="313" t="s">
        <v>13277</v>
      </c>
      <c r="X1329" s="656" t="s">
        <v>12510</v>
      </c>
      <c r="Y1329" s="354"/>
      <c r="Z1329" s="176"/>
      <c r="AA1329" s="176"/>
      <c r="AB1329" s="32">
        <f t="shared" ca="1" si="24"/>
        <v>0.54239025768742388</v>
      </c>
      <c r="AC1329" s="812"/>
      <c r="AD1329" s="763"/>
      <c r="AE1329" s="807"/>
      <c r="AF1329" s="921">
        <f>IF(X1329=X1328,AF1328,0)+IF(ISNUMBER(I1329),IF(I1329&lt;1,I1329,I1329*VLOOKUP(J1329,Summary!$H$2:$I$9,2)),VLOOKUP(J1329,Summary!$J$2:$K$9,2)*IF(ISNUMBER(H1329),H1329,1))</f>
        <v>0.28402777777777777</v>
      </c>
      <c r="AG1329" s="289">
        <v>1328</v>
      </c>
      <c r="AH1329" s="94"/>
      <c r="AI1329" s="94"/>
    </row>
    <row r="1330" spans="1:35" s="2" customFormat="1" ht="12" customHeight="1" x14ac:dyDescent="0.25">
      <c r="A1330" s="490" t="s">
        <v>15656</v>
      </c>
      <c r="B1330" s="490">
        <v>4</v>
      </c>
      <c r="C1330" s="490">
        <v>24.06</v>
      </c>
      <c r="D1330" s="434" t="s">
        <v>5884</v>
      </c>
      <c r="E1330" s="324" t="s">
        <v>1025</v>
      </c>
      <c r="F1330" s="174">
        <v>39264</v>
      </c>
      <c r="G1330" s="174"/>
      <c r="H1330" s="176">
        <v>1</v>
      </c>
      <c r="I1330" s="176">
        <v>8</v>
      </c>
      <c r="J1330" s="900" t="s">
        <v>2755</v>
      </c>
      <c r="K1330" s="164" t="s">
        <v>179</v>
      </c>
      <c r="L1330" s="164" t="s">
        <v>461</v>
      </c>
      <c r="M1330" s="164"/>
      <c r="N1330" s="164" t="s">
        <v>4425</v>
      </c>
      <c r="O1330" s="164"/>
      <c r="P1330" s="173" t="s">
        <v>5601</v>
      </c>
      <c r="Q1330" s="164" t="s">
        <v>3947</v>
      </c>
      <c r="R1330" s="179" t="s">
        <v>2723</v>
      </c>
      <c r="S1330" s="354" t="s">
        <v>2603</v>
      </c>
      <c r="T1330" s="173"/>
      <c r="U1330" s="173"/>
      <c r="V1330" s="173"/>
      <c r="W1330" s="324" t="s">
        <v>1025</v>
      </c>
      <c r="X1330" s="656" t="s">
        <v>12510</v>
      </c>
      <c r="Y1330" s="354"/>
      <c r="Z1330" s="176"/>
      <c r="AA1330" s="176"/>
      <c r="AB1330" s="32">
        <f t="shared" ca="1" si="24"/>
        <v>0.87878505033072507</v>
      </c>
      <c r="AC1330" s="812"/>
      <c r="AD1330" s="763"/>
      <c r="AE1330" s="951"/>
      <c r="AF1330" s="921">
        <f>IF(X1330=X1329,AF1329,0)+IF(ISNUMBER(I1330),IF(I1330&lt;1,I1330,I1330*VLOOKUP(J1330,Summary!$H$2:$I$9,2)),VLOOKUP(J1330,Summary!$J$2:$K$9,2)*IF(ISNUMBER(H1330),H1330,1))</f>
        <v>0.2895833333333333</v>
      </c>
      <c r="AG1330" s="288">
        <v>1329</v>
      </c>
      <c r="AH1330" s="94"/>
      <c r="AI1330" s="94"/>
    </row>
    <row r="1331" spans="1:35" s="1" customFormat="1" ht="12" customHeight="1" x14ac:dyDescent="0.25">
      <c r="A1331" s="490" t="s">
        <v>15656</v>
      </c>
      <c r="B1331" s="490">
        <v>4</v>
      </c>
      <c r="C1331" s="490">
        <v>24.09</v>
      </c>
      <c r="D1331" s="434" t="s">
        <v>5886</v>
      </c>
      <c r="E1331" s="324" t="s">
        <v>1026</v>
      </c>
      <c r="F1331" s="174">
        <v>39264</v>
      </c>
      <c r="G1331" s="174"/>
      <c r="H1331" s="176">
        <v>1</v>
      </c>
      <c r="I1331" s="176">
        <v>17</v>
      </c>
      <c r="J1331" s="900" t="s">
        <v>2755</v>
      </c>
      <c r="K1331" s="164" t="s">
        <v>2293</v>
      </c>
      <c r="L1331" s="164" t="s">
        <v>461</v>
      </c>
      <c r="M1331" s="164"/>
      <c r="N1331" s="164" t="s">
        <v>4425</v>
      </c>
      <c r="O1331" s="164"/>
      <c r="P1331" s="173" t="s">
        <v>5601</v>
      </c>
      <c r="Q1331" s="164" t="s">
        <v>3947</v>
      </c>
      <c r="R1331" s="179" t="s">
        <v>2723</v>
      </c>
      <c r="S1331" s="354" t="s">
        <v>2603</v>
      </c>
      <c r="T1331" s="173"/>
      <c r="U1331" s="173"/>
      <c r="V1331" s="173"/>
      <c r="W1331" s="324" t="s">
        <v>1026</v>
      </c>
      <c r="X1331" s="656" t="s">
        <v>12510</v>
      </c>
      <c r="Y1331" s="354"/>
      <c r="Z1331" s="176"/>
      <c r="AA1331" s="176"/>
      <c r="AB1331" s="32">
        <f t="shared" ca="1" si="24"/>
        <v>1.3367369267051177E-2</v>
      </c>
      <c r="AC1331" s="812"/>
      <c r="AD1331" s="763"/>
      <c r="AE1331" s="951"/>
      <c r="AF1331" s="921">
        <f>IF(X1331=X1330,AF1330,0)+IF(ISNUMBER(I1331),IF(I1331&lt;1,I1331,I1331*VLOOKUP(J1331,Summary!$H$2:$I$9,2)),VLOOKUP(J1331,Summary!$J$2:$K$9,2)*IF(ISNUMBER(H1331),H1331,1))</f>
        <v>0.30138888888888887</v>
      </c>
      <c r="AG1331" s="288">
        <v>1330</v>
      </c>
      <c r="AH1331" s="94"/>
      <c r="AI1331" s="94"/>
    </row>
    <row r="1332" spans="1:35" s="29" customFormat="1" ht="12" customHeight="1" x14ac:dyDescent="0.25">
      <c r="A1332" s="490" t="s">
        <v>15656</v>
      </c>
      <c r="B1332" s="490">
        <v>4</v>
      </c>
      <c r="C1332" s="490">
        <v>24.12</v>
      </c>
      <c r="D1332" s="434" t="s">
        <v>5885</v>
      </c>
      <c r="E1332" s="324" t="s">
        <v>1027</v>
      </c>
      <c r="F1332" s="174">
        <v>39264</v>
      </c>
      <c r="G1332" s="174"/>
      <c r="H1332" s="176">
        <v>1</v>
      </c>
      <c r="I1332" s="176">
        <v>11</v>
      </c>
      <c r="J1332" s="900" t="s">
        <v>2755</v>
      </c>
      <c r="K1332" s="164" t="s">
        <v>5883</v>
      </c>
      <c r="L1332" s="164" t="s">
        <v>461</v>
      </c>
      <c r="M1332" s="164"/>
      <c r="N1332" s="164" t="s">
        <v>4425</v>
      </c>
      <c r="O1332" s="164"/>
      <c r="P1332" s="173" t="s">
        <v>5601</v>
      </c>
      <c r="Q1332" s="164" t="s">
        <v>3947</v>
      </c>
      <c r="R1332" s="179" t="s">
        <v>2723</v>
      </c>
      <c r="S1332" s="354" t="s">
        <v>2603</v>
      </c>
      <c r="T1332" s="173"/>
      <c r="U1332" s="173"/>
      <c r="V1332" s="173"/>
      <c r="W1332" s="324" t="s">
        <v>1027</v>
      </c>
      <c r="X1332" s="656" t="s">
        <v>12510</v>
      </c>
      <c r="Y1332" s="354"/>
      <c r="Z1332" s="176"/>
      <c r="AA1332" s="176"/>
      <c r="AB1332" s="32">
        <f t="shared" ca="1" si="24"/>
        <v>0.90404396352220606</v>
      </c>
      <c r="AC1332" s="812"/>
      <c r="AD1332" s="763"/>
      <c r="AE1332" s="951"/>
      <c r="AF1332" s="921">
        <f>IF(X1332=X1331,AF1331,0)+IF(ISNUMBER(I1332),IF(I1332&lt;1,I1332,I1332*VLOOKUP(J1332,Summary!$H$2:$I$9,2)),VLOOKUP(J1332,Summary!$J$2:$K$9,2)*IF(ISNUMBER(H1332),H1332,1))</f>
        <v>0.30902777777777779</v>
      </c>
      <c r="AG1332" s="288">
        <v>1331</v>
      </c>
      <c r="AH1332" s="94"/>
      <c r="AI1332" s="94"/>
    </row>
    <row r="1333" spans="1:35" s="22" customFormat="1" ht="12" customHeight="1" x14ac:dyDescent="0.2">
      <c r="A1333" s="484" t="s">
        <v>15656</v>
      </c>
      <c r="B1333" s="484">
        <v>4</v>
      </c>
      <c r="C1333" s="484">
        <v>1</v>
      </c>
      <c r="D1333" s="407" t="s">
        <v>1107</v>
      </c>
      <c r="E1333" s="315" t="s">
        <v>1118</v>
      </c>
      <c r="F1333" s="196">
        <v>40423</v>
      </c>
      <c r="G1333" s="196"/>
      <c r="H1333" s="170">
        <v>1</v>
      </c>
      <c r="I1333" s="747">
        <f t="shared" ref="I1333:I1340" si="27">TIME(0,60,0)</f>
        <v>4.1666666666666664E-2</v>
      </c>
      <c r="J1333" s="899" t="s">
        <v>4706</v>
      </c>
      <c r="K1333" s="167" t="s">
        <v>5658</v>
      </c>
      <c r="L1333" s="167" t="s">
        <v>5659</v>
      </c>
      <c r="M1333" s="167"/>
      <c r="N1333" s="167"/>
      <c r="O1333" s="167" t="s">
        <v>5659</v>
      </c>
      <c r="P1333" s="168" t="s">
        <v>8888</v>
      </c>
      <c r="Q1333" s="167" t="s">
        <v>3950</v>
      </c>
      <c r="R1333" s="172" t="s">
        <v>2241</v>
      </c>
      <c r="S1333" s="388" t="s">
        <v>12704</v>
      </c>
      <c r="T1333" s="168"/>
      <c r="U1333" s="168" t="s">
        <v>2601</v>
      </c>
      <c r="V1333" s="168"/>
      <c r="W1333" s="315" t="s">
        <v>1118</v>
      </c>
      <c r="X1333" s="647" t="s">
        <v>12510</v>
      </c>
      <c r="Y1333" s="352"/>
      <c r="Z1333" s="353"/>
      <c r="AA1333" s="353"/>
      <c r="AB1333" s="31">
        <f t="shared" ca="1" si="24"/>
        <v>0.69892212781180907</v>
      </c>
      <c r="AC1333" s="810"/>
      <c r="AD1333" s="825" t="s">
        <v>15885</v>
      </c>
      <c r="AE1333" s="940"/>
      <c r="AF1333" s="920">
        <f>IF(X1333=X1332,AF1332,0)+IF(ISNUMBER(I1333),IF(I1333&lt;1,I1333,I1333*VLOOKUP(J1333,Summary!$H$2:$I$9,2)),VLOOKUP(J1333,Summary!$J$2:$K$9,2)*IF(ISNUMBER(H1333),H1333,1))</f>
        <v>0.35069444444444448</v>
      </c>
      <c r="AG1333" s="287">
        <v>1332</v>
      </c>
      <c r="AH1333" s="94"/>
      <c r="AI1333" s="94"/>
    </row>
    <row r="1334" spans="1:35" s="3" customFormat="1" ht="12" customHeight="1" x14ac:dyDescent="0.25">
      <c r="A1334" s="484" t="s">
        <v>15656</v>
      </c>
      <c r="B1334" s="484">
        <v>4</v>
      </c>
      <c r="C1334" s="484">
        <v>2</v>
      </c>
      <c r="D1334" s="407" t="s">
        <v>1108</v>
      </c>
      <c r="E1334" s="315" t="s">
        <v>1119</v>
      </c>
      <c r="F1334" s="196">
        <v>40458</v>
      </c>
      <c r="G1334" s="196"/>
      <c r="H1334" s="170">
        <v>1</v>
      </c>
      <c r="I1334" s="747">
        <f t="shared" si="27"/>
        <v>4.1666666666666664E-2</v>
      </c>
      <c r="J1334" s="899" t="s">
        <v>4706</v>
      </c>
      <c r="K1334" s="167" t="s">
        <v>5658</v>
      </c>
      <c r="L1334" s="167" t="s">
        <v>5659</v>
      </c>
      <c r="M1334" s="167"/>
      <c r="N1334" s="167"/>
      <c r="O1334" s="167" t="s">
        <v>5659</v>
      </c>
      <c r="P1334" s="168" t="s">
        <v>8889</v>
      </c>
      <c r="Q1334" s="167" t="s">
        <v>3950</v>
      </c>
      <c r="R1334" s="172" t="s">
        <v>2241</v>
      </c>
      <c r="S1334" s="388" t="s">
        <v>12704</v>
      </c>
      <c r="T1334" s="168"/>
      <c r="U1334" s="168" t="s">
        <v>2601</v>
      </c>
      <c r="V1334" s="168"/>
      <c r="W1334" s="315" t="s">
        <v>1119</v>
      </c>
      <c r="X1334" s="647" t="s">
        <v>12510</v>
      </c>
      <c r="Y1334" s="352"/>
      <c r="Z1334" s="353"/>
      <c r="AA1334" s="353"/>
      <c r="AB1334" s="31">
        <f t="shared" ca="1" si="24"/>
        <v>0.16541235866082238</v>
      </c>
      <c r="AC1334" s="810"/>
      <c r="AD1334" s="811" t="s">
        <v>16644</v>
      </c>
      <c r="AE1334" s="940"/>
      <c r="AF1334" s="920">
        <f>IF(X1334=X1333,AF1333,0)+IF(ISNUMBER(I1334),IF(I1334&lt;1,I1334,I1334*VLOOKUP(J1334,Summary!$H$2:$I$9,2)),VLOOKUP(J1334,Summary!$J$2:$K$9,2)*IF(ISNUMBER(H1334),H1334,1))</f>
        <v>0.39236111111111116</v>
      </c>
      <c r="AG1334" s="287">
        <v>1333</v>
      </c>
      <c r="AH1334" s="94"/>
      <c r="AI1334" s="94"/>
    </row>
    <row r="1335" spans="1:35" s="22" customFormat="1" ht="12" customHeight="1" x14ac:dyDescent="0.2">
      <c r="A1335" s="484" t="s">
        <v>15656</v>
      </c>
      <c r="B1335" s="484">
        <v>4</v>
      </c>
      <c r="C1335" s="484">
        <v>3</v>
      </c>
      <c r="D1335" s="407" t="s">
        <v>1109</v>
      </c>
      <c r="E1335" s="315" t="s">
        <v>1120</v>
      </c>
      <c r="F1335" s="196">
        <v>40486</v>
      </c>
      <c r="G1335" s="196"/>
      <c r="H1335" s="170">
        <v>1</v>
      </c>
      <c r="I1335" s="747">
        <f t="shared" si="27"/>
        <v>4.1666666666666664E-2</v>
      </c>
      <c r="J1335" s="899" t="s">
        <v>4706</v>
      </c>
      <c r="K1335" s="167" t="s">
        <v>5658</v>
      </c>
      <c r="L1335" s="167" t="s">
        <v>5659</v>
      </c>
      <c r="M1335" s="167"/>
      <c r="N1335" s="167"/>
      <c r="O1335" s="167" t="s">
        <v>5659</v>
      </c>
      <c r="P1335" s="168" t="s">
        <v>8890</v>
      </c>
      <c r="Q1335" s="167" t="s">
        <v>3950</v>
      </c>
      <c r="R1335" s="172" t="s">
        <v>2241</v>
      </c>
      <c r="S1335" s="388" t="s">
        <v>12704</v>
      </c>
      <c r="T1335" s="168"/>
      <c r="U1335" s="168" t="s">
        <v>2601</v>
      </c>
      <c r="V1335" s="168"/>
      <c r="W1335" s="315" t="s">
        <v>1120</v>
      </c>
      <c r="X1335" s="647" t="s">
        <v>12510</v>
      </c>
      <c r="Y1335" s="352"/>
      <c r="Z1335" s="353"/>
      <c r="AA1335" s="353"/>
      <c r="AB1335" s="31">
        <f t="shared" ca="1" si="24"/>
        <v>0.32786084737733878</v>
      </c>
      <c r="AC1335" s="810"/>
      <c r="AD1335" s="811" t="s">
        <v>16580</v>
      </c>
      <c r="AE1335" s="940"/>
      <c r="AF1335" s="920">
        <f>IF(X1335=X1334,AF1334,0)+IF(ISNUMBER(I1335),IF(I1335&lt;1,I1335,I1335*VLOOKUP(J1335,Summary!$H$2:$I$9,2)),VLOOKUP(J1335,Summary!$J$2:$K$9,2)*IF(ISNUMBER(H1335),H1335,1))</f>
        <v>0.43402777777777785</v>
      </c>
      <c r="AG1335" s="287">
        <v>1334</v>
      </c>
      <c r="AH1335" s="94"/>
      <c r="AI1335" s="94"/>
    </row>
    <row r="1336" spans="1:35" s="29" customFormat="1" ht="12" customHeight="1" x14ac:dyDescent="0.25">
      <c r="A1336" s="484" t="s">
        <v>15656</v>
      </c>
      <c r="B1336" s="484">
        <v>4</v>
      </c>
      <c r="C1336" s="484">
        <v>4</v>
      </c>
      <c r="D1336" s="407" t="s">
        <v>1110</v>
      </c>
      <c r="E1336" s="315" t="s">
        <v>1121</v>
      </c>
      <c r="F1336" s="196">
        <v>40514</v>
      </c>
      <c r="G1336" s="196"/>
      <c r="H1336" s="170">
        <v>1</v>
      </c>
      <c r="I1336" s="747">
        <f t="shared" si="27"/>
        <v>4.1666666666666664E-2</v>
      </c>
      <c r="J1336" s="899" t="s">
        <v>4706</v>
      </c>
      <c r="K1336" s="167" t="s">
        <v>5658</v>
      </c>
      <c r="L1336" s="167" t="s">
        <v>5659</v>
      </c>
      <c r="M1336" s="167"/>
      <c r="N1336" s="167"/>
      <c r="O1336" s="167" t="s">
        <v>5659</v>
      </c>
      <c r="P1336" s="168" t="s">
        <v>8891</v>
      </c>
      <c r="Q1336" s="167" t="s">
        <v>3950</v>
      </c>
      <c r="R1336" s="172" t="s">
        <v>2241</v>
      </c>
      <c r="S1336" s="388" t="s">
        <v>12704</v>
      </c>
      <c r="T1336" s="168"/>
      <c r="U1336" s="168" t="s">
        <v>2601</v>
      </c>
      <c r="V1336" s="168"/>
      <c r="W1336" s="315" t="s">
        <v>1121</v>
      </c>
      <c r="X1336" s="647" t="s">
        <v>12510</v>
      </c>
      <c r="Y1336" s="352"/>
      <c r="Z1336" s="353"/>
      <c r="AA1336" s="353"/>
      <c r="AB1336" s="31">
        <f t="shared" ca="1" si="24"/>
        <v>0.81838928334321892</v>
      </c>
      <c r="AC1336" s="810"/>
      <c r="AD1336" s="811" t="s">
        <v>15997</v>
      </c>
      <c r="AE1336" s="940"/>
      <c r="AF1336" s="920">
        <f>IF(X1336=X1335,AF1335,0)+IF(ISNUMBER(I1336),IF(I1336&lt;1,I1336,I1336*VLOOKUP(J1336,Summary!$H$2:$I$9,2)),VLOOKUP(J1336,Summary!$J$2:$K$9,2)*IF(ISNUMBER(H1336),H1336,1))</f>
        <v>0.47569444444444453</v>
      </c>
      <c r="AG1336" s="287">
        <v>1335</v>
      </c>
      <c r="AH1336" s="94"/>
      <c r="AI1336" s="94"/>
    </row>
    <row r="1337" spans="1:35" s="43" customFormat="1" ht="12" customHeight="1" x14ac:dyDescent="0.25">
      <c r="A1337" s="484" t="s">
        <v>15656</v>
      </c>
      <c r="B1337" s="484">
        <v>4</v>
      </c>
      <c r="C1337" s="484">
        <v>5</v>
      </c>
      <c r="D1337" s="407" t="s">
        <v>1111</v>
      </c>
      <c r="E1337" s="315" t="s">
        <v>1122</v>
      </c>
      <c r="F1337" s="196">
        <v>40514</v>
      </c>
      <c r="G1337" s="196"/>
      <c r="H1337" s="170">
        <v>1</v>
      </c>
      <c r="I1337" s="747">
        <f t="shared" si="27"/>
        <v>4.1666666666666664E-2</v>
      </c>
      <c r="J1337" s="899" t="s">
        <v>4706</v>
      </c>
      <c r="K1337" s="167" t="s">
        <v>5658</v>
      </c>
      <c r="L1337" s="167" t="s">
        <v>5659</v>
      </c>
      <c r="M1337" s="167"/>
      <c r="N1337" s="167"/>
      <c r="O1337" s="167" t="s">
        <v>5659</v>
      </c>
      <c r="P1337" s="168" t="s">
        <v>8892</v>
      </c>
      <c r="Q1337" s="167" t="s">
        <v>3950</v>
      </c>
      <c r="R1337" s="172" t="s">
        <v>2241</v>
      </c>
      <c r="S1337" s="388" t="s">
        <v>12704</v>
      </c>
      <c r="T1337" s="168"/>
      <c r="U1337" s="168" t="s">
        <v>2601</v>
      </c>
      <c r="V1337" s="168"/>
      <c r="W1337" s="315" t="s">
        <v>1122</v>
      </c>
      <c r="X1337" s="647" t="s">
        <v>12510</v>
      </c>
      <c r="Y1337" s="352"/>
      <c r="Z1337" s="353"/>
      <c r="AA1337" s="353"/>
      <c r="AB1337" s="31">
        <f t="shared" ca="1" si="24"/>
        <v>0.93169746802335673</v>
      </c>
      <c r="AC1337" s="810"/>
      <c r="AD1337" s="811" t="s">
        <v>15886</v>
      </c>
      <c r="AE1337" s="940"/>
      <c r="AF1337" s="920">
        <f>IF(X1337=X1336,AF1336,0)+IF(ISNUMBER(I1337),IF(I1337&lt;1,I1337,I1337*VLOOKUP(J1337,Summary!$H$2:$I$9,2)),VLOOKUP(J1337,Summary!$J$2:$K$9,2)*IF(ISNUMBER(H1337),H1337,1))</f>
        <v>0.51736111111111116</v>
      </c>
      <c r="AG1337" s="287">
        <v>1336</v>
      </c>
      <c r="AH1337" s="94"/>
      <c r="AI1337" s="94"/>
    </row>
    <row r="1338" spans="1:35" s="3" customFormat="1" ht="12" customHeight="1" x14ac:dyDescent="0.25">
      <c r="A1338" s="484" t="s">
        <v>15656</v>
      </c>
      <c r="B1338" s="484">
        <v>4</v>
      </c>
      <c r="C1338" s="484">
        <v>1</v>
      </c>
      <c r="D1338" s="407" t="s">
        <v>1112</v>
      </c>
      <c r="E1338" s="315" t="s">
        <v>1127</v>
      </c>
      <c r="F1338" s="196">
        <v>40794</v>
      </c>
      <c r="G1338" s="196"/>
      <c r="H1338" s="170">
        <v>1</v>
      </c>
      <c r="I1338" s="747">
        <f t="shared" si="27"/>
        <v>4.1666666666666664E-2</v>
      </c>
      <c r="J1338" s="899" t="s">
        <v>4706</v>
      </c>
      <c r="K1338" s="167" t="s">
        <v>5658</v>
      </c>
      <c r="L1338" s="167" t="s">
        <v>5659</v>
      </c>
      <c r="M1338" s="167"/>
      <c r="N1338" s="167"/>
      <c r="O1338" s="167" t="s">
        <v>5659</v>
      </c>
      <c r="P1338" s="168" t="s">
        <v>8893</v>
      </c>
      <c r="Q1338" s="167" t="s">
        <v>3950</v>
      </c>
      <c r="R1338" s="172" t="s">
        <v>3155</v>
      </c>
      <c r="S1338" s="388" t="s">
        <v>12704</v>
      </c>
      <c r="T1338" s="168"/>
      <c r="U1338" s="168" t="s">
        <v>2601</v>
      </c>
      <c r="V1338" s="168"/>
      <c r="W1338" s="315" t="s">
        <v>1127</v>
      </c>
      <c r="X1338" s="647" t="s">
        <v>12510</v>
      </c>
      <c r="Y1338" s="352"/>
      <c r="Z1338" s="353"/>
      <c r="AA1338" s="353"/>
      <c r="AB1338" s="31">
        <f t="shared" ca="1" si="24"/>
        <v>0.85582878487644076</v>
      </c>
      <c r="AC1338" s="810"/>
      <c r="AD1338" s="811" t="s">
        <v>16494</v>
      </c>
      <c r="AE1338" s="940"/>
      <c r="AF1338" s="920">
        <f>IF(X1338=X1337,AF1337,0)+IF(ISNUMBER(I1338),IF(I1338&lt;1,I1338,I1338*VLOOKUP(J1338,Summary!$H$2:$I$9,2)),VLOOKUP(J1338,Summary!$J$2:$K$9,2)*IF(ISNUMBER(H1338),H1338,1))</f>
        <v>0.55902777777777779</v>
      </c>
      <c r="AG1338" s="287">
        <v>1337</v>
      </c>
      <c r="AH1338" s="94"/>
      <c r="AI1338" s="94"/>
    </row>
    <row r="1339" spans="1:35" s="26" customFormat="1" ht="12" customHeight="1" x14ac:dyDescent="0.2">
      <c r="A1339" s="484" t="s">
        <v>15656</v>
      </c>
      <c r="B1339" s="484">
        <v>4</v>
      </c>
      <c r="C1339" s="484">
        <v>2</v>
      </c>
      <c r="D1339" s="407" t="s">
        <v>1123</v>
      </c>
      <c r="E1339" s="315" t="s">
        <v>1128</v>
      </c>
      <c r="F1339" s="196">
        <v>40822</v>
      </c>
      <c r="G1339" s="196"/>
      <c r="H1339" s="170">
        <v>1</v>
      </c>
      <c r="I1339" s="747">
        <f t="shared" si="27"/>
        <v>4.1666666666666664E-2</v>
      </c>
      <c r="J1339" s="899" t="s">
        <v>4706</v>
      </c>
      <c r="K1339" s="167" t="s">
        <v>5658</v>
      </c>
      <c r="L1339" s="167" t="s">
        <v>5659</v>
      </c>
      <c r="M1339" s="167"/>
      <c r="N1339" s="167"/>
      <c r="O1339" s="167" t="s">
        <v>5659</v>
      </c>
      <c r="P1339" s="168" t="s">
        <v>8894</v>
      </c>
      <c r="Q1339" s="167" t="s">
        <v>3950</v>
      </c>
      <c r="R1339" s="172" t="s">
        <v>3155</v>
      </c>
      <c r="S1339" s="388" t="s">
        <v>12704</v>
      </c>
      <c r="T1339" s="168"/>
      <c r="U1339" s="168" t="s">
        <v>2601</v>
      </c>
      <c r="V1339" s="168"/>
      <c r="W1339" s="315" t="s">
        <v>1128</v>
      </c>
      <c r="X1339" s="647" t="s">
        <v>12510</v>
      </c>
      <c r="Y1339" s="352"/>
      <c r="Z1339" s="353"/>
      <c r="AA1339" s="353"/>
      <c r="AB1339" s="31">
        <f t="shared" ca="1" si="24"/>
        <v>0.6928519820984399</v>
      </c>
      <c r="AC1339" s="810"/>
      <c r="AD1339" s="811" t="s">
        <v>16596</v>
      </c>
      <c r="AE1339" s="940"/>
      <c r="AF1339" s="920">
        <f>IF(X1339=X1338,AF1338,0)+IF(ISNUMBER(I1339),IF(I1339&lt;1,I1339,I1339*VLOOKUP(J1339,Summary!$H$2:$I$9,2)),VLOOKUP(J1339,Summary!$J$2:$K$9,2)*IF(ISNUMBER(H1339),H1339,1))</f>
        <v>0.60069444444444442</v>
      </c>
      <c r="AG1339" s="287">
        <v>1338</v>
      </c>
      <c r="AH1339" s="94"/>
      <c r="AI1339" s="94"/>
    </row>
    <row r="1340" spans="1:35" s="2" customFormat="1" ht="12" customHeight="1" x14ac:dyDescent="0.25">
      <c r="A1340" s="484" t="s">
        <v>15656</v>
      </c>
      <c r="B1340" s="484">
        <v>4</v>
      </c>
      <c r="C1340" s="484">
        <v>3</v>
      </c>
      <c r="D1340" s="407" t="s">
        <v>1124</v>
      </c>
      <c r="E1340" s="315" t="s">
        <v>1129</v>
      </c>
      <c r="F1340" s="196">
        <v>40850</v>
      </c>
      <c r="G1340" s="196"/>
      <c r="H1340" s="170">
        <v>1</v>
      </c>
      <c r="I1340" s="747">
        <f t="shared" si="27"/>
        <v>4.1666666666666664E-2</v>
      </c>
      <c r="J1340" s="899" t="s">
        <v>4706</v>
      </c>
      <c r="K1340" s="167" t="s">
        <v>5658</v>
      </c>
      <c r="L1340" s="167" t="s">
        <v>5659</v>
      </c>
      <c r="M1340" s="167"/>
      <c r="N1340" s="167"/>
      <c r="O1340" s="167" t="s">
        <v>5659</v>
      </c>
      <c r="P1340" s="168" t="s">
        <v>8895</v>
      </c>
      <c r="Q1340" s="167" t="s">
        <v>3950</v>
      </c>
      <c r="R1340" s="172" t="s">
        <v>3155</v>
      </c>
      <c r="S1340" s="388" t="s">
        <v>12704</v>
      </c>
      <c r="T1340" s="168"/>
      <c r="U1340" s="168" t="s">
        <v>2601</v>
      </c>
      <c r="V1340" s="168"/>
      <c r="W1340" s="315" t="s">
        <v>1129</v>
      </c>
      <c r="X1340" s="647" t="s">
        <v>12510</v>
      </c>
      <c r="Y1340" s="352"/>
      <c r="Z1340" s="353"/>
      <c r="AA1340" s="353"/>
      <c r="AB1340" s="31">
        <f t="shared" ca="1" si="24"/>
        <v>0.28631891451867209</v>
      </c>
      <c r="AC1340" s="810"/>
      <c r="AD1340" s="811" t="s">
        <v>16595</v>
      </c>
      <c r="AE1340" s="940"/>
      <c r="AF1340" s="920">
        <f>IF(X1340=X1339,AF1339,0)+IF(ISNUMBER(I1340),IF(I1340&lt;1,I1340,I1340*VLOOKUP(J1340,Summary!$H$2:$I$9,2)),VLOOKUP(J1340,Summary!$J$2:$K$9,2)*IF(ISNUMBER(H1340),H1340,1))</f>
        <v>0.64236111111111105</v>
      </c>
      <c r="AG1340" s="287">
        <v>1339</v>
      </c>
      <c r="AH1340" s="94"/>
      <c r="AI1340" s="94"/>
    </row>
    <row r="1341" spans="1:35" s="146" customFormat="1" ht="12" customHeight="1" x14ac:dyDescent="0.25">
      <c r="A1341" s="490" t="s">
        <v>15656</v>
      </c>
      <c r="B1341" s="490">
        <v>4</v>
      </c>
      <c r="C1341" s="490">
        <v>26.01</v>
      </c>
      <c r="D1341" s="434" t="s">
        <v>5892</v>
      </c>
      <c r="E1341" s="324" t="s">
        <v>2292</v>
      </c>
      <c r="F1341" s="174">
        <v>39508</v>
      </c>
      <c r="G1341" s="174"/>
      <c r="H1341" s="176">
        <v>1</v>
      </c>
      <c r="I1341" s="176">
        <v>7</v>
      </c>
      <c r="J1341" s="900" t="s">
        <v>2755</v>
      </c>
      <c r="K1341" s="164" t="s">
        <v>5891</v>
      </c>
      <c r="L1341" s="164" t="s">
        <v>461</v>
      </c>
      <c r="M1341" s="164"/>
      <c r="N1341" s="164" t="s">
        <v>7381</v>
      </c>
      <c r="O1341" s="164"/>
      <c r="P1341" s="173" t="s">
        <v>6706</v>
      </c>
      <c r="Q1341" s="164" t="s">
        <v>3947</v>
      </c>
      <c r="R1341" s="179" t="s">
        <v>2723</v>
      </c>
      <c r="S1341" s="354"/>
      <c r="T1341" s="173"/>
      <c r="U1341" s="173"/>
      <c r="V1341" s="173"/>
      <c r="W1341" s="324" t="s">
        <v>2292</v>
      </c>
      <c r="X1341" s="656" t="s">
        <v>12510</v>
      </c>
      <c r="Y1341" s="354"/>
      <c r="Z1341" s="176"/>
      <c r="AA1341" s="176"/>
      <c r="AB1341" s="32">
        <f t="shared" ca="1" si="24"/>
        <v>0.55926069347291352</v>
      </c>
      <c r="AC1341" s="812"/>
      <c r="AD1341" s="763"/>
      <c r="AE1341" s="951"/>
      <c r="AF1341" s="921">
        <f>IF(X1341=X1340,AF1340,0)+IF(ISNUMBER(I1341),IF(I1341&lt;1,I1341,I1341*VLOOKUP(J1341,Summary!$H$2:$I$9,2)),VLOOKUP(J1341,Summary!$J$2:$K$9,2)*IF(ISNUMBER(H1341),H1341,1))</f>
        <v>0.64722222222222214</v>
      </c>
      <c r="AG1341" s="288">
        <v>1340</v>
      </c>
      <c r="AH1341" s="122"/>
      <c r="AI1341" s="122"/>
    </row>
    <row r="1342" spans="1:35" s="146" customFormat="1" ht="12" customHeight="1" x14ac:dyDescent="0.25">
      <c r="A1342" s="484" t="s">
        <v>15656</v>
      </c>
      <c r="B1342" s="484">
        <v>4</v>
      </c>
      <c r="C1342" s="484">
        <v>4</v>
      </c>
      <c r="D1342" s="407" t="s">
        <v>1125</v>
      </c>
      <c r="E1342" s="315" t="s">
        <v>1130</v>
      </c>
      <c r="F1342" s="169">
        <v>40878</v>
      </c>
      <c r="G1342" s="196"/>
      <c r="H1342" s="170">
        <v>1</v>
      </c>
      <c r="I1342" s="747">
        <f>TIME(0,60,0)</f>
        <v>4.1666666666666664E-2</v>
      </c>
      <c r="J1342" s="899" t="s">
        <v>4706</v>
      </c>
      <c r="K1342" s="167" t="s">
        <v>5658</v>
      </c>
      <c r="L1342" s="167" t="s">
        <v>5659</v>
      </c>
      <c r="M1342" s="167"/>
      <c r="N1342" s="167"/>
      <c r="O1342" s="167" t="s">
        <v>5659</v>
      </c>
      <c r="P1342" s="168" t="s">
        <v>8896</v>
      </c>
      <c r="Q1342" s="167" t="s">
        <v>3950</v>
      </c>
      <c r="R1342" s="172" t="s">
        <v>3155</v>
      </c>
      <c r="S1342" s="388" t="s">
        <v>12704</v>
      </c>
      <c r="T1342" s="168"/>
      <c r="U1342" s="168" t="s">
        <v>2601</v>
      </c>
      <c r="V1342" s="168"/>
      <c r="W1342" s="315" t="s">
        <v>1130</v>
      </c>
      <c r="X1342" s="647" t="s">
        <v>12510</v>
      </c>
      <c r="Y1342" s="352"/>
      <c r="Z1342" s="353"/>
      <c r="AA1342" s="353"/>
      <c r="AB1342" s="31">
        <f t="shared" ca="1" si="24"/>
        <v>6.6387781775931742E-3</v>
      </c>
      <c r="AC1342" s="810"/>
      <c r="AD1342" s="811" t="s">
        <v>15895</v>
      </c>
      <c r="AE1342" s="940"/>
      <c r="AF1342" s="920">
        <f>IF(X1342=X1341,AF1341,0)+IF(ISNUMBER(I1342),IF(I1342&lt;1,I1342,I1342*VLOOKUP(J1342,Summary!$H$2:$I$9,2)),VLOOKUP(J1342,Summary!$J$2:$K$9,2)*IF(ISNUMBER(H1342),H1342,1))</f>
        <v>0.68888888888888877</v>
      </c>
      <c r="AG1342" s="287">
        <v>1341</v>
      </c>
      <c r="AH1342" s="122"/>
      <c r="AI1342" s="122"/>
    </row>
    <row r="1343" spans="1:35" s="123" customFormat="1" ht="12" customHeight="1" x14ac:dyDescent="0.25">
      <c r="A1343" s="484" t="s">
        <v>15656</v>
      </c>
      <c r="B1343" s="484">
        <v>4</v>
      </c>
      <c r="C1343" s="484">
        <v>5</v>
      </c>
      <c r="D1343" s="407" t="s">
        <v>1126</v>
      </c>
      <c r="E1343" s="315" t="s">
        <v>7562</v>
      </c>
      <c r="F1343" s="169">
        <v>40878</v>
      </c>
      <c r="G1343" s="196"/>
      <c r="H1343" s="170">
        <v>1</v>
      </c>
      <c r="I1343" s="747">
        <f>TIME(0,60,0)</f>
        <v>4.1666666666666664E-2</v>
      </c>
      <c r="J1343" s="899" t="s">
        <v>4706</v>
      </c>
      <c r="K1343" s="167" t="s">
        <v>5658</v>
      </c>
      <c r="L1343" s="167" t="s">
        <v>5659</v>
      </c>
      <c r="M1343" s="167"/>
      <c r="N1343" s="167"/>
      <c r="O1343" s="167" t="s">
        <v>5659</v>
      </c>
      <c r="P1343" s="168" t="s">
        <v>8897</v>
      </c>
      <c r="Q1343" s="167" t="s">
        <v>3950</v>
      </c>
      <c r="R1343" s="172" t="s">
        <v>3155</v>
      </c>
      <c r="S1343" s="388" t="s">
        <v>12704</v>
      </c>
      <c r="T1343" s="168"/>
      <c r="U1343" s="168" t="s">
        <v>2601</v>
      </c>
      <c r="V1343" s="168"/>
      <c r="W1343" s="315" t="s">
        <v>7562</v>
      </c>
      <c r="X1343" s="647" t="s">
        <v>12510</v>
      </c>
      <c r="Y1343" s="352"/>
      <c r="Z1343" s="353"/>
      <c r="AA1343" s="353"/>
      <c r="AB1343" s="31">
        <f t="shared" ca="1" si="24"/>
        <v>0.91517237001672114</v>
      </c>
      <c r="AC1343" s="810"/>
      <c r="AD1343" s="811" t="s">
        <v>16495</v>
      </c>
      <c r="AE1343" s="940" t="s">
        <v>12543</v>
      </c>
      <c r="AF1343" s="920">
        <f>IF(X1343=X1342,AF1342,0)+IF(ISNUMBER(I1343),IF(I1343&lt;1,I1343,I1343*VLOOKUP(J1343,Summary!$H$2:$I$9,2)),VLOOKUP(J1343,Summary!$J$2:$K$9,2)*IF(ISNUMBER(H1343),H1343,1))</f>
        <v>0.7305555555555554</v>
      </c>
      <c r="AG1343" s="287">
        <v>1342</v>
      </c>
      <c r="AH1343" s="122"/>
      <c r="AI1343" s="122"/>
    </row>
    <row r="1344" spans="1:35" s="146" customFormat="1" ht="12" customHeight="1" x14ac:dyDescent="0.25">
      <c r="A1344" s="490" t="s">
        <v>15656</v>
      </c>
      <c r="B1344" s="490">
        <v>4</v>
      </c>
      <c r="C1344" s="490">
        <v>22</v>
      </c>
      <c r="D1344" s="176" t="s">
        <v>9837</v>
      </c>
      <c r="E1344" s="313" t="s">
        <v>9838</v>
      </c>
      <c r="F1344" s="175">
        <v>41802</v>
      </c>
      <c r="G1344" s="174"/>
      <c r="H1344" s="176">
        <v>1</v>
      </c>
      <c r="I1344" s="176">
        <v>2</v>
      </c>
      <c r="J1344" s="900" t="s">
        <v>2755</v>
      </c>
      <c r="K1344" s="164" t="s">
        <v>9281</v>
      </c>
      <c r="L1344" s="164" t="s">
        <v>461</v>
      </c>
      <c r="M1344" s="164"/>
      <c r="N1344" s="164" t="s">
        <v>543</v>
      </c>
      <c r="O1344" s="164"/>
      <c r="P1344" s="173" t="s">
        <v>9278</v>
      </c>
      <c r="Q1344" s="164" t="s">
        <v>3953</v>
      </c>
      <c r="R1344" s="177" t="s">
        <v>9279</v>
      </c>
      <c r="S1344" s="354"/>
      <c r="T1344" s="173"/>
      <c r="U1344" s="173"/>
      <c r="V1344" s="173"/>
      <c r="W1344" s="313" t="s">
        <v>9838</v>
      </c>
      <c r="X1344" s="645" t="s">
        <v>12510</v>
      </c>
      <c r="Y1344" s="354" t="s">
        <v>6868</v>
      </c>
      <c r="Z1344" s="176"/>
      <c r="AA1344" s="176"/>
      <c r="AB1344" s="32">
        <f t="shared" ca="1" si="24"/>
        <v>0.37602279449962295</v>
      </c>
      <c r="AC1344" s="812"/>
      <c r="AD1344" s="763"/>
      <c r="AE1344" s="807"/>
      <c r="AF1344" s="921">
        <f>IF(X1344=X1343,AF1343,0)+IF(ISNUMBER(I1344),IF(I1344&lt;1,I1344,I1344*VLOOKUP(J1344,Summary!$H$2:$I$9,2)),VLOOKUP(J1344,Summary!$J$2:$K$9,2)*IF(ISNUMBER(H1344),H1344,1))</f>
        <v>0.73194444444444429</v>
      </c>
      <c r="AG1344" s="289">
        <v>1343</v>
      </c>
      <c r="AH1344" s="122"/>
      <c r="AI1344" s="122"/>
    </row>
    <row r="1345" spans="1:35" s="2" customFormat="1" ht="12" customHeight="1" x14ac:dyDescent="0.25">
      <c r="A1345" s="490" t="s">
        <v>15656</v>
      </c>
      <c r="B1345" s="490">
        <v>4</v>
      </c>
      <c r="C1345" s="490">
        <v>1</v>
      </c>
      <c r="D1345" s="176" t="s">
        <v>12837</v>
      </c>
      <c r="E1345" s="313" t="s">
        <v>12838</v>
      </c>
      <c r="F1345" s="175">
        <v>29145</v>
      </c>
      <c r="G1345" s="174"/>
      <c r="H1345" s="176">
        <v>1</v>
      </c>
      <c r="I1345" s="176">
        <v>1</v>
      </c>
      <c r="J1345" s="900" t="s">
        <v>2755</v>
      </c>
      <c r="K1345" s="164" t="s">
        <v>3365</v>
      </c>
      <c r="L1345" s="164" t="s">
        <v>3365</v>
      </c>
      <c r="M1345" s="164"/>
      <c r="N1345" s="164" t="s">
        <v>6026</v>
      </c>
      <c r="O1345" s="164"/>
      <c r="P1345" s="173" t="s">
        <v>461</v>
      </c>
      <c r="Q1345" s="164" t="s">
        <v>4062</v>
      </c>
      <c r="R1345" s="177" t="s">
        <v>10250</v>
      </c>
      <c r="S1345" s="354"/>
      <c r="T1345" s="173"/>
      <c r="U1345" s="173"/>
      <c r="V1345" s="173"/>
      <c r="W1345" s="313" t="s">
        <v>12838</v>
      </c>
      <c r="X1345" s="645" t="s">
        <v>12510</v>
      </c>
      <c r="Y1345" s="354"/>
      <c r="Z1345" s="176"/>
      <c r="AA1345" s="176"/>
      <c r="AB1345" s="32">
        <f t="shared" ca="1" si="24"/>
        <v>0.92951949964413294</v>
      </c>
      <c r="AC1345" s="812"/>
      <c r="AD1345" s="763"/>
      <c r="AE1345" s="807"/>
      <c r="AF1345" s="921">
        <f>IF(X1345=X1344,AF1344,0)+IF(ISNUMBER(I1345),IF(I1345&lt;1,I1345,I1345*VLOOKUP(J1345,Summary!$H$2:$I$9,2)),VLOOKUP(J1345,Summary!$J$2:$K$9,2)*IF(ISNUMBER(H1345),H1345,1))</f>
        <v>0.73263888888888873</v>
      </c>
      <c r="AG1345" s="289">
        <v>1344</v>
      </c>
      <c r="AH1345" s="94"/>
      <c r="AI1345" s="94"/>
    </row>
    <row r="1346" spans="1:35" s="43" customFormat="1" ht="12" customHeight="1" x14ac:dyDescent="0.25">
      <c r="A1346" s="490" t="s">
        <v>15656</v>
      </c>
      <c r="B1346" s="490">
        <v>4</v>
      </c>
      <c r="C1346" s="490">
        <v>2</v>
      </c>
      <c r="D1346" s="176" t="s">
        <v>12837</v>
      </c>
      <c r="E1346" s="313" t="s">
        <v>12839</v>
      </c>
      <c r="F1346" s="175">
        <v>29145</v>
      </c>
      <c r="G1346" s="174"/>
      <c r="H1346" s="176">
        <v>1</v>
      </c>
      <c r="I1346" s="176">
        <v>1</v>
      </c>
      <c r="J1346" s="900" t="s">
        <v>2755</v>
      </c>
      <c r="K1346" s="164" t="s">
        <v>3365</v>
      </c>
      <c r="L1346" s="164" t="s">
        <v>3365</v>
      </c>
      <c r="M1346" s="164"/>
      <c r="N1346" s="164" t="s">
        <v>6026</v>
      </c>
      <c r="O1346" s="164"/>
      <c r="P1346" s="173" t="s">
        <v>461</v>
      </c>
      <c r="Q1346" s="164" t="s">
        <v>4062</v>
      </c>
      <c r="R1346" s="177" t="s">
        <v>10250</v>
      </c>
      <c r="S1346" s="354"/>
      <c r="T1346" s="173"/>
      <c r="U1346" s="173"/>
      <c r="V1346" s="173"/>
      <c r="W1346" s="313" t="s">
        <v>12839</v>
      </c>
      <c r="X1346" s="645" t="s">
        <v>12510</v>
      </c>
      <c r="Y1346" s="354"/>
      <c r="Z1346" s="176"/>
      <c r="AA1346" s="176"/>
      <c r="AB1346" s="32">
        <f t="shared" ref="AB1346:AB1409" ca="1" si="28">RAND()</f>
        <v>0.29084298285905574</v>
      </c>
      <c r="AC1346" s="812"/>
      <c r="AD1346" s="763"/>
      <c r="AE1346" s="807"/>
      <c r="AF1346" s="921">
        <f>IF(X1346=X1345,AF1345,0)+IF(ISNUMBER(I1346),IF(I1346&lt;1,I1346,I1346*VLOOKUP(J1346,Summary!$H$2:$I$9,2)),VLOOKUP(J1346,Summary!$J$2:$K$9,2)*IF(ISNUMBER(H1346),H1346,1))</f>
        <v>0.73333333333333317</v>
      </c>
      <c r="AG1346" s="289">
        <v>1345</v>
      </c>
      <c r="AH1346" s="94"/>
      <c r="AI1346" s="94"/>
    </row>
    <row r="1347" spans="1:35" s="43" customFormat="1" ht="12" customHeight="1" x14ac:dyDescent="0.25">
      <c r="A1347" s="490" t="s">
        <v>15656</v>
      </c>
      <c r="B1347" s="490">
        <v>4</v>
      </c>
      <c r="C1347" s="490">
        <v>29.16</v>
      </c>
      <c r="D1347" s="176" t="s">
        <v>2777</v>
      </c>
      <c r="E1347" s="313" t="s">
        <v>5339</v>
      </c>
      <c r="F1347" s="174">
        <v>39692</v>
      </c>
      <c r="G1347" s="174"/>
      <c r="H1347" s="176" t="s">
        <v>461</v>
      </c>
      <c r="I1347" s="176">
        <v>8</v>
      </c>
      <c r="J1347" s="900" t="s">
        <v>2755</v>
      </c>
      <c r="K1347" s="164" t="s">
        <v>5340</v>
      </c>
      <c r="L1347" s="164" t="s">
        <v>461</v>
      </c>
      <c r="M1347" s="164"/>
      <c r="N1347" s="164" t="s">
        <v>5664</v>
      </c>
      <c r="O1347" s="164"/>
      <c r="P1347" s="173" t="s">
        <v>6707</v>
      </c>
      <c r="Q1347" s="164" t="s">
        <v>3947</v>
      </c>
      <c r="R1347" s="177" t="s">
        <v>2723</v>
      </c>
      <c r="S1347" s="354"/>
      <c r="T1347" s="173" t="s">
        <v>6335</v>
      </c>
      <c r="U1347" s="173"/>
      <c r="V1347" s="173"/>
      <c r="W1347" s="313" t="s">
        <v>5339</v>
      </c>
      <c r="X1347" s="645" t="s">
        <v>12510</v>
      </c>
      <c r="Y1347" s="354"/>
      <c r="Z1347" s="176"/>
      <c r="AA1347" s="176"/>
      <c r="AB1347" s="32">
        <f t="shared" ca="1" si="28"/>
        <v>0.50270889557406551</v>
      </c>
      <c r="AC1347" s="812"/>
      <c r="AD1347" s="763"/>
      <c r="AE1347" s="807"/>
      <c r="AF1347" s="921">
        <f>IF(X1347=X1346,AF1346,0)+IF(ISNUMBER(I1347),IF(I1347&lt;1,I1347,I1347*VLOOKUP(J1347,Summary!$H$2:$I$9,2)),VLOOKUP(J1347,Summary!$J$2:$K$9,2)*IF(ISNUMBER(H1347),H1347,1))</f>
        <v>0.73888888888888871</v>
      </c>
      <c r="AG1347" s="289">
        <v>1346</v>
      </c>
      <c r="AH1347" s="94"/>
      <c r="AI1347" s="94"/>
    </row>
    <row r="1348" spans="1:35" s="2" customFormat="1" ht="12" customHeight="1" x14ac:dyDescent="0.25">
      <c r="A1348" s="490" t="s">
        <v>15656</v>
      </c>
      <c r="B1348" s="490">
        <v>4</v>
      </c>
      <c r="C1348" s="490">
        <v>3.09</v>
      </c>
      <c r="D1348" s="434" t="s">
        <v>5888</v>
      </c>
      <c r="E1348" s="324" t="s">
        <v>1028</v>
      </c>
      <c r="F1348" s="176">
        <v>1996</v>
      </c>
      <c r="G1348" s="176"/>
      <c r="H1348" s="176" t="s">
        <v>461</v>
      </c>
      <c r="I1348" s="176"/>
      <c r="J1348" s="900" t="s">
        <v>2755</v>
      </c>
      <c r="K1348" s="164" t="s">
        <v>5887</v>
      </c>
      <c r="L1348" s="164" t="s">
        <v>461</v>
      </c>
      <c r="M1348" s="164"/>
      <c r="N1348" s="164" t="s">
        <v>333</v>
      </c>
      <c r="O1348" s="164"/>
      <c r="P1348" s="173" t="s">
        <v>3523</v>
      </c>
      <c r="Q1348" s="164" t="s">
        <v>6548</v>
      </c>
      <c r="R1348" s="179" t="s">
        <v>4598</v>
      </c>
      <c r="S1348" s="354"/>
      <c r="T1348" s="173" t="s">
        <v>6335</v>
      </c>
      <c r="U1348" s="173"/>
      <c r="V1348" s="173"/>
      <c r="W1348" s="324" t="s">
        <v>1028</v>
      </c>
      <c r="X1348" s="656" t="s">
        <v>12510</v>
      </c>
      <c r="Y1348" s="354" t="s">
        <v>6868</v>
      </c>
      <c r="Z1348" s="157">
        <v>24</v>
      </c>
      <c r="AA1348" s="176">
        <v>6</v>
      </c>
      <c r="AB1348" s="32">
        <f t="shared" ca="1" si="28"/>
        <v>0.89571438790730473</v>
      </c>
      <c r="AC1348" s="812"/>
      <c r="AD1348" s="763"/>
      <c r="AE1348" s="951"/>
      <c r="AF1348" s="921">
        <f>IF(X1348=X1347,AF1347,0)+IF(ISNUMBER(I1348),IF(I1348&lt;1,I1348,I1348*VLOOKUP(J1348,Summary!$H$2:$I$9,2)),VLOOKUP(J1348,Summary!$J$2:$K$9,2)*IF(ISNUMBER(H1348),H1348,1))</f>
        <v>0.75624999999999987</v>
      </c>
      <c r="AG1348" s="288">
        <v>1347</v>
      </c>
      <c r="AH1348" s="94"/>
      <c r="AI1348" s="94"/>
    </row>
    <row r="1349" spans="1:35" s="2" customFormat="1" ht="12" customHeight="1" x14ac:dyDescent="0.25">
      <c r="A1349" s="490" t="s">
        <v>15656</v>
      </c>
      <c r="B1349" s="490">
        <v>4</v>
      </c>
      <c r="C1349" s="490">
        <v>6.07</v>
      </c>
      <c r="D1349" s="434" t="s">
        <v>5890</v>
      </c>
      <c r="E1349" s="324" t="s">
        <v>2291</v>
      </c>
      <c r="F1349" s="174">
        <v>37773</v>
      </c>
      <c r="G1349" s="174"/>
      <c r="H1349" s="176">
        <v>1</v>
      </c>
      <c r="I1349" s="176">
        <v>13</v>
      </c>
      <c r="J1349" s="900" t="s">
        <v>2755</v>
      </c>
      <c r="K1349" s="164" t="s">
        <v>5889</v>
      </c>
      <c r="L1349" s="164" t="s">
        <v>461</v>
      </c>
      <c r="M1349" s="164"/>
      <c r="N1349" s="164" t="s">
        <v>4996</v>
      </c>
      <c r="O1349" s="164"/>
      <c r="P1349" s="173" t="s">
        <v>4997</v>
      </c>
      <c r="Q1349" s="164" t="s">
        <v>3947</v>
      </c>
      <c r="R1349" s="179" t="s">
        <v>2723</v>
      </c>
      <c r="S1349" s="354"/>
      <c r="T1349" s="173"/>
      <c r="U1349" s="173"/>
      <c r="V1349" s="173"/>
      <c r="W1349" s="324" t="s">
        <v>2291</v>
      </c>
      <c r="X1349" s="656" t="s">
        <v>12510</v>
      </c>
      <c r="Y1349" s="354"/>
      <c r="Z1349" s="176">
        <v>999</v>
      </c>
      <c r="AA1349" s="176"/>
      <c r="AB1349" s="32">
        <f t="shared" ca="1" si="28"/>
        <v>0.83329577589213255</v>
      </c>
      <c r="AC1349" s="812"/>
      <c r="AD1349" s="763"/>
      <c r="AE1349" s="951"/>
      <c r="AF1349" s="921">
        <f>IF(X1349=X1348,AF1348,0)+IF(ISNUMBER(I1349),IF(I1349&lt;1,I1349,I1349*VLOOKUP(J1349,Summary!$H$2:$I$9,2)),VLOOKUP(J1349,Summary!$J$2:$K$9,2)*IF(ISNUMBER(H1349),H1349,1))</f>
        <v>0.76527777777777761</v>
      </c>
      <c r="AG1349" s="288">
        <v>1348</v>
      </c>
      <c r="AH1349" s="94"/>
      <c r="AI1349" s="94"/>
    </row>
    <row r="1350" spans="1:35" s="22" customFormat="1" ht="12" customHeight="1" x14ac:dyDescent="0.2">
      <c r="A1350" s="405"/>
      <c r="B1350" s="406" t="s">
        <v>8364</v>
      </c>
      <c r="C1350" s="405">
        <v>4.0999999999999996</v>
      </c>
      <c r="D1350" s="407" t="s">
        <v>12016</v>
      </c>
      <c r="E1350" s="315" t="s">
        <v>12019</v>
      </c>
      <c r="F1350" s="169">
        <v>41487</v>
      </c>
      <c r="G1350" s="170"/>
      <c r="H1350" s="170">
        <v>1</v>
      </c>
      <c r="I1350" s="747">
        <f>TIME(0,60,0)</f>
        <v>4.1666666666666664E-2</v>
      </c>
      <c r="J1350" s="899" t="s">
        <v>4706</v>
      </c>
      <c r="K1350" s="167" t="s">
        <v>5146</v>
      </c>
      <c r="L1350" s="167" t="s">
        <v>7375</v>
      </c>
      <c r="M1350" s="167"/>
      <c r="N1350" s="167"/>
      <c r="O1350" s="167"/>
      <c r="P1350" s="168" t="s">
        <v>12015</v>
      </c>
      <c r="Q1350" s="167" t="s">
        <v>3947</v>
      </c>
      <c r="R1350" s="172" t="s">
        <v>11583</v>
      </c>
      <c r="S1350" s="388"/>
      <c r="T1350" s="168"/>
      <c r="U1350" s="168"/>
      <c r="V1350" s="168" t="s">
        <v>3535</v>
      </c>
      <c r="W1350" s="312" t="s">
        <v>12019</v>
      </c>
      <c r="X1350" s="644" t="s">
        <v>11859</v>
      </c>
      <c r="Y1350" s="352" t="s">
        <v>11456</v>
      </c>
      <c r="Z1350" s="353">
        <v>212</v>
      </c>
      <c r="AA1350" s="353">
        <v>6</v>
      </c>
      <c r="AB1350" s="31">
        <f t="shared" ca="1" si="28"/>
        <v>0.665837555302075</v>
      </c>
      <c r="AC1350" s="810"/>
      <c r="AD1350" s="811"/>
      <c r="AE1350" s="940"/>
      <c r="AF1350" s="920">
        <f>IF(X1350=X1349,AF1349,0)+IF(ISNUMBER(I1350),IF(I1350&lt;1,I1350,I1350*VLOOKUP(J1350,Summary!$H$2:$I$9,2)),VLOOKUP(J1350,Summary!$J$2:$K$9,2)*IF(ISNUMBER(H1350),H1350,1))</f>
        <v>4.1666666666666664E-2</v>
      </c>
      <c r="AG1350" s="287">
        <v>1349</v>
      </c>
      <c r="AH1350" s="94"/>
      <c r="AI1350" s="94"/>
    </row>
    <row r="1351" spans="1:35" s="22" customFormat="1" ht="12" customHeight="1" x14ac:dyDescent="0.2">
      <c r="A1351" s="405"/>
      <c r="B1351" s="406" t="s">
        <v>8364</v>
      </c>
      <c r="C1351" s="405">
        <v>4.2</v>
      </c>
      <c r="D1351" s="407" t="s">
        <v>12017</v>
      </c>
      <c r="E1351" s="315" t="s">
        <v>12020</v>
      </c>
      <c r="F1351" s="169">
        <v>41487</v>
      </c>
      <c r="G1351" s="170"/>
      <c r="H1351" s="170">
        <v>1</v>
      </c>
      <c r="I1351" s="747">
        <f>TIME(0,60,0)</f>
        <v>4.1666666666666664E-2</v>
      </c>
      <c r="J1351" s="899" t="s">
        <v>4706</v>
      </c>
      <c r="K1351" s="167" t="s">
        <v>563</v>
      </c>
      <c r="L1351" s="167" t="s">
        <v>7375</v>
      </c>
      <c r="M1351" s="167"/>
      <c r="N1351" s="167"/>
      <c r="O1351" s="167"/>
      <c r="P1351" s="168" t="s">
        <v>12015</v>
      </c>
      <c r="Q1351" s="167" t="s">
        <v>3947</v>
      </c>
      <c r="R1351" s="172" t="s">
        <v>11583</v>
      </c>
      <c r="S1351" s="388"/>
      <c r="T1351" s="168"/>
      <c r="U1351" s="168"/>
      <c r="V1351" s="168" t="s">
        <v>3535</v>
      </c>
      <c r="W1351" s="312" t="s">
        <v>12020</v>
      </c>
      <c r="X1351" s="644" t="s">
        <v>11859</v>
      </c>
      <c r="Y1351" s="352" t="s">
        <v>11456</v>
      </c>
      <c r="Z1351" s="353">
        <v>39</v>
      </c>
      <c r="AA1351" s="353">
        <v>8.5</v>
      </c>
      <c r="AB1351" s="31">
        <f t="shared" ca="1" si="28"/>
        <v>0.6427691841801485</v>
      </c>
      <c r="AC1351" s="810"/>
      <c r="AD1351" s="811"/>
      <c r="AE1351" s="940"/>
      <c r="AF1351" s="920">
        <f>IF(X1351=X1350,AF1350,0)+IF(ISNUMBER(I1351),IF(I1351&lt;1,I1351,I1351*VLOOKUP(J1351,Summary!$H$2:$I$9,2)),VLOOKUP(J1351,Summary!$J$2:$K$9,2)*IF(ISNUMBER(H1351),H1351,1))</f>
        <v>8.3333333333333329E-2</v>
      </c>
      <c r="AG1351" s="287">
        <v>1350</v>
      </c>
      <c r="AH1351" s="94"/>
      <c r="AI1351" s="94"/>
    </row>
    <row r="1352" spans="1:35" s="22" customFormat="1" ht="12" customHeight="1" x14ac:dyDescent="0.2">
      <c r="A1352" s="405"/>
      <c r="B1352" s="406" t="s">
        <v>8364</v>
      </c>
      <c r="C1352" s="405">
        <v>4.3</v>
      </c>
      <c r="D1352" s="407" t="s">
        <v>12018</v>
      </c>
      <c r="E1352" s="315" t="s">
        <v>12021</v>
      </c>
      <c r="F1352" s="169">
        <v>41487</v>
      </c>
      <c r="G1352" s="170"/>
      <c r="H1352" s="170">
        <v>1</v>
      </c>
      <c r="I1352" s="747">
        <f>TIME(0,60,0)</f>
        <v>4.1666666666666664E-2</v>
      </c>
      <c r="J1352" s="899" t="s">
        <v>4706</v>
      </c>
      <c r="K1352" s="167" t="s">
        <v>12022</v>
      </c>
      <c r="L1352" s="167" t="s">
        <v>7375</v>
      </c>
      <c r="M1352" s="167"/>
      <c r="N1352" s="167"/>
      <c r="O1352" s="167"/>
      <c r="P1352" s="168" t="s">
        <v>12015</v>
      </c>
      <c r="Q1352" s="167" t="s">
        <v>3947</v>
      </c>
      <c r="R1352" s="172" t="s">
        <v>11583</v>
      </c>
      <c r="S1352" s="388"/>
      <c r="T1352" s="168"/>
      <c r="U1352" s="168"/>
      <c r="V1352" s="168" t="s">
        <v>3535</v>
      </c>
      <c r="W1352" s="312" t="s">
        <v>12021</v>
      </c>
      <c r="X1352" s="644" t="s">
        <v>11859</v>
      </c>
      <c r="Y1352" s="352" t="s">
        <v>11456</v>
      </c>
      <c r="Z1352" s="353">
        <v>580</v>
      </c>
      <c r="AA1352" s="353">
        <v>3.5</v>
      </c>
      <c r="AB1352" s="31">
        <f t="shared" ca="1" si="28"/>
        <v>2.4066476588984198E-2</v>
      </c>
      <c r="AC1352" s="810"/>
      <c r="AD1352" s="811"/>
      <c r="AE1352" s="940"/>
      <c r="AF1352" s="920">
        <f>IF(X1352=X1351,AF1351,0)+IF(ISNUMBER(I1352),IF(I1352&lt;1,I1352,I1352*VLOOKUP(J1352,Summary!$H$2:$I$9,2)),VLOOKUP(J1352,Summary!$J$2:$K$9,2)*IF(ISNUMBER(H1352),H1352,1))</f>
        <v>0.125</v>
      </c>
      <c r="AG1352" s="287">
        <v>1351</v>
      </c>
      <c r="AH1352" s="94"/>
      <c r="AI1352" s="94"/>
    </row>
    <row r="1353" spans="1:35" s="22" customFormat="1" ht="12" customHeight="1" x14ac:dyDescent="0.25">
      <c r="A1353" s="408"/>
      <c r="B1353" s="408" t="s">
        <v>8364</v>
      </c>
      <c r="C1353" s="497">
        <v>7.01</v>
      </c>
      <c r="D1353" s="176" t="s">
        <v>11743</v>
      </c>
      <c r="E1353" s="313" t="s">
        <v>11744</v>
      </c>
      <c r="F1353" s="175">
        <v>41542</v>
      </c>
      <c r="G1353" s="175"/>
      <c r="H1353" s="176" t="s">
        <v>461</v>
      </c>
      <c r="I1353" s="176"/>
      <c r="J1353" s="900" t="s">
        <v>2755</v>
      </c>
      <c r="K1353" s="164" t="s">
        <v>5658</v>
      </c>
      <c r="L1353" s="164" t="s">
        <v>461</v>
      </c>
      <c r="M1353" s="164"/>
      <c r="N1353" s="164" t="s">
        <v>11610</v>
      </c>
      <c r="O1353" s="164"/>
      <c r="P1353" s="173"/>
      <c r="Q1353" s="164" t="s">
        <v>11587</v>
      </c>
      <c r="R1353" s="177" t="s">
        <v>11580</v>
      </c>
      <c r="S1353" s="354"/>
      <c r="T1353" s="173"/>
      <c r="U1353" s="173"/>
      <c r="V1353" s="173" t="s">
        <v>3535</v>
      </c>
      <c r="W1353" s="313" t="s">
        <v>11785</v>
      </c>
      <c r="X1353" s="645" t="s">
        <v>11859</v>
      </c>
      <c r="Y1353" s="354"/>
      <c r="Z1353" s="176"/>
      <c r="AA1353" s="176"/>
      <c r="AB1353" s="32">
        <f t="shared" ca="1" si="28"/>
        <v>0.78235737312130071</v>
      </c>
      <c r="AC1353" s="812"/>
      <c r="AD1353" s="763"/>
      <c r="AE1353" s="807"/>
      <c r="AF1353" s="921">
        <f>IF(X1353=X1352,AF1352,0)+IF(ISNUMBER(I1353),IF(I1353&lt;1,I1353,I1353*VLOOKUP(J1353,Summary!$H$2:$I$9,2)),VLOOKUP(J1353,Summary!$J$2:$K$9,2)*IF(ISNUMBER(H1353),H1353,1))</f>
        <v>0.1423611111111111</v>
      </c>
      <c r="AG1353" s="289">
        <v>1352</v>
      </c>
      <c r="AH1353" s="94"/>
      <c r="AI1353" s="94"/>
    </row>
    <row r="1354" spans="1:35" s="22" customFormat="1" ht="12" customHeight="1" x14ac:dyDescent="0.25">
      <c r="A1354" s="408"/>
      <c r="B1354" s="408" t="s">
        <v>8364</v>
      </c>
      <c r="C1354" s="497">
        <v>7.02</v>
      </c>
      <c r="D1354" s="176" t="s">
        <v>11745</v>
      </c>
      <c r="E1354" s="313" t="s">
        <v>11746</v>
      </c>
      <c r="F1354" s="175">
        <v>41542</v>
      </c>
      <c r="G1354" s="175"/>
      <c r="H1354" s="176" t="s">
        <v>461</v>
      </c>
      <c r="I1354" s="176"/>
      <c r="J1354" s="900" t="s">
        <v>2755</v>
      </c>
      <c r="K1354" s="164" t="s">
        <v>6353</v>
      </c>
      <c r="L1354" s="164" t="s">
        <v>461</v>
      </c>
      <c r="M1354" s="164"/>
      <c r="N1354" s="164" t="s">
        <v>11610</v>
      </c>
      <c r="O1354" s="164"/>
      <c r="P1354" s="173"/>
      <c r="Q1354" s="164" t="s">
        <v>11587</v>
      </c>
      <c r="R1354" s="177" t="s">
        <v>11580</v>
      </c>
      <c r="S1354" s="354"/>
      <c r="T1354" s="173"/>
      <c r="U1354" s="173"/>
      <c r="V1354" s="173" t="s">
        <v>3535</v>
      </c>
      <c r="W1354" s="313" t="s">
        <v>11786</v>
      </c>
      <c r="X1354" s="645" t="s">
        <v>11859</v>
      </c>
      <c r="Y1354" s="354"/>
      <c r="Z1354" s="176"/>
      <c r="AA1354" s="176"/>
      <c r="AB1354" s="32">
        <f t="shared" ca="1" si="28"/>
        <v>0.77634717276088039</v>
      </c>
      <c r="AC1354" s="812"/>
      <c r="AD1354" s="763"/>
      <c r="AE1354" s="807"/>
      <c r="AF1354" s="921">
        <f>IF(X1354=X1353,AF1353,0)+IF(ISNUMBER(I1354),IF(I1354&lt;1,I1354,I1354*VLOOKUP(J1354,Summary!$H$2:$I$9,2)),VLOOKUP(J1354,Summary!$J$2:$K$9,2)*IF(ISNUMBER(H1354),H1354,1))</f>
        <v>0.15972222222222221</v>
      </c>
      <c r="AG1354" s="289">
        <v>1353</v>
      </c>
      <c r="AH1354" s="94"/>
      <c r="AI1354" s="94"/>
    </row>
    <row r="1355" spans="1:35" s="22" customFormat="1" ht="12" customHeight="1" x14ac:dyDescent="0.25">
      <c r="A1355" s="408"/>
      <c r="B1355" s="408" t="s">
        <v>8364</v>
      </c>
      <c r="C1355" s="497">
        <v>7.03</v>
      </c>
      <c r="D1355" s="176" t="s">
        <v>11747</v>
      </c>
      <c r="E1355" s="313" t="s">
        <v>11748</v>
      </c>
      <c r="F1355" s="175">
        <v>41542</v>
      </c>
      <c r="G1355" s="175"/>
      <c r="H1355" s="176" t="s">
        <v>461</v>
      </c>
      <c r="I1355" s="176"/>
      <c r="J1355" s="900" t="s">
        <v>2755</v>
      </c>
      <c r="K1355" s="164" t="s">
        <v>11777</v>
      </c>
      <c r="L1355" s="164" t="s">
        <v>461</v>
      </c>
      <c r="M1355" s="164"/>
      <c r="N1355" s="164" t="s">
        <v>11610</v>
      </c>
      <c r="O1355" s="164"/>
      <c r="P1355" s="173"/>
      <c r="Q1355" s="164" t="s">
        <v>11587</v>
      </c>
      <c r="R1355" s="177" t="s">
        <v>11580</v>
      </c>
      <c r="S1355" s="354"/>
      <c r="T1355" s="173"/>
      <c r="U1355" s="173"/>
      <c r="V1355" s="173" t="s">
        <v>3535</v>
      </c>
      <c r="W1355" s="313" t="s">
        <v>11787</v>
      </c>
      <c r="X1355" s="645" t="s">
        <v>11859</v>
      </c>
      <c r="Y1355" s="354"/>
      <c r="Z1355" s="176"/>
      <c r="AA1355" s="176"/>
      <c r="AB1355" s="32">
        <f t="shared" ca="1" si="28"/>
        <v>0.62563126970931948</v>
      </c>
      <c r="AC1355" s="812"/>
      <c r="AD1355" s="763"/>
      <c r="AE1355" s="807"/>
      <c r="AF1355" s="921">
        <f>IF(X1355=X1354,AF1354,0)+IF(ISNUMBER(I1355),IF(I1355&lt;1,I1355,I1355*VLOOKUP(J1355,Summary!$H$2:$I$9,2)),VLOOKUP(J1355,Summary!$J$2:$K$9,2)*IF(ISNUMBER(H1355),H1355,1))</f>
        <v>0.17708333333333331</v>
      </c>
      <c r="AG1355" s="289">
        <v>1354</v>
      </c>
      <c r="AH1355" s="94"/>
      <c r="AI1355" s="94"/>
    </row>
    <row r="1356" spans="1:35" s="22" customFormat="1" ht="12" customHeight="1" x14ac:dyDescent="0.25">
      <c r="A1356" s="408"/>
      <c r="B1356" s="408" t="s">
        <v>8364</v>
      </c>
      <c r="C1356" s="497">
        <v>7.04</v>
      </c>
      <c r="D1356" s="176" t="s">
        <v>11749</v>
      </c>
      <c r="E1356" s="313" t="s">
        <v>11750</v>
      </c>
      <c r="F1356" s="175">
        <v>41542</v>
      </c>
      <c r="G1356" s="175"/>
      <c r="H1356" s="176" t="s">
        <v>461</v>
      </c>
      <c r="I1356" s="176"/>
      <c r="J1356" s="900" t="s">
        <v>2755</v>
      </c>
      <c r="K1356" s="164" t="s">
        <v>11610</v>
      </c>
      <c r="L1356" s="164" t="s">
        <v>461</v>
      </c>
      <c r="M1356" s="164"/>
      <c r="N1356" s="164" t="s">
        <v>11610</v>
      </c>
      <c r="O1356" s="164"/>
      <c r="P1356" s="173"/>
      <c r="Q1356" s="164" t="s">
        <v>11587</v>
      </c>
      <c r="R1356" s="177" t="s">
        <v>11580</v>
      </c>
      <c r="S1356" s="354"/>
      <c r="T1356" s="173"/>
      <c r="U1356" s="173"/>
      <c r="V1356" s="173" t="s">
        <v>3535</v>
      </c>
      <c r="W1356" s="313" t="s">
        <v>11788</v>
      </c>
      <c r="X1356" s="645" t="s">
        <v>11859</v>
      </c>
      <c r="Y1356" s="354"/>
      <c r="Z1356" s="176"/>
      <c r="AA1356" s="176"/>
      <c r="AB1356" s="32">
        <f t="shared" ca="1" si="28"/>
        <v>0.84700425611465324</v>
      </c>
      <c r="AC1356" s="812"/>
      <c r="AD1356" s="763"/>
      <c r="AE1356" s="807"/>
      <c r="AF1356" s="921">
        <f>IF(X1356=X1355,AF1355,0)+IF(ISNUMBER(I1356),IF(I1356&lt;1,I1356,I1356*VLOOKUP(J1356,Summary!$H$2:$I$9,2)),VLOOKUP(J1356,Summary!$J$2:$K$9,2)*IF(ISNUMBER(H1356),H1356,1))</f>
        <v>0.19444444444444442</v>
      </c>
      <c r="AG1356" s="289">
        <v>1355</v>
      </c>
      <c r="AH1356" s="94"/>
      <c r="AI1356" s="94"/>
    </row>
    <row r="1357" spans="1:35" s="22" customFormat="1" ht="12" customHeight="1" x14ac:dyDescent="0.25">
      <c r="A1357" s="408"/>
      <c r="B1357" s="408" t="s">
        <v>8364</v>
      </c>
      <c r="C1357" s="497">
        <v>7.05</v>
      </c>
      <c r="D1357" s="176" t="s">
        <v>11751</v>
      </c>
      <c r="E1357" s="313" t="s">
        <v>11752</v>
      </c>
      <c r="F1357" s="175">
        <v>41542</v>
      </c>
      <c r="G1357" s="175"/>
      <c r="H1357" s="176" t="s">
        <v>461</v>
      </c>
      <c r="I1357" s="176"/>
      <c r="J1357" s="900" t="s">
        <v>2755</v>
      </c>
      <c r="K1357" s="164" t="s">
        <v>11778</v>
      </c>
      <c r="L1357" s="164" t="s">
        <v>461</v>
      </c>
      <c r="M1357" s="164"/>
      <c r="N1357" s="164" t="s">
        <v>11610</v>
      </c>
      <c r="O1357" s="164"/>
      <c r="P1357" s="173"/>
      <c r="Q1357" s="164" t="s">
        <v>11587</v>
      </c>
      <c r="R1357" s="177" t="s">
        <v>11580</v>
      </c>
      <c r="S1357" s="354"/>
      <c r="T1357" s="173"/>
      <c r="U1357" s="173"/>
      <c r="V1357" s="173" t="s">
        <v>3535</v>
      </c>
      <c r="W1357" s="313" t="s">
        <v>11789</v>
      </c>
      <c r="X1357" s="645" t="s">
        <v>11859</v>
      </c>
      <c r="Y1357" s="354"/>
      <c r="Z1357" s="176"/>
      <c r="AA1357" s="176"/>
      <c r="AB1357" s="32">
        <f t="shared" ca="1" si="28"/>
        <v>0.11885646222967317</v>
      </c>
      <c r="AC1357" s="812"/>
      <c r="AD1357" s="763"/>
      <c r="AE1357" s="807"/>
      <c r="AF1357" s="921">
        <f>IF(X1357=X1356,AF1356,0)+IF(ISNUMBER(I1357),IF(I1357&lt;1,I1357,I1357*VLOOKUP(J1357,Summary!$H$2:$I$9,2)),VLOOKUP(J1357,Summary!$J$2:$K$9,2)*IF(ISNUMBER(H1357),H1357,1))</f>
        <v>0.21180555555555552</v>
      </c>
      <c r="AG1357" s="289">
        <v>1356</v>
      </c>
      <c r="AH1357" s="94"/>
      <c r="AI1357" s="94"/>
    </row>
    <row r="1358" spans="1:35" s="22" customFormat="1" ht="12" customHeight="1" x14ac:dyDescent="0.25">
      <c r="A1358" s="408"/>
      <c r="B1358" s="408" t="s">
        <v>8364</v>
      </c>
      <c r="C1358" s="497">
        <v>7.06</v>
      </c>
      <c r="D1358" s="176" t="s">
        <v>11753</v>
      </c>
      <c r="E1358" s="313" t="s">
        <v>11754</v>
      </c>
      <c r="F1358" s="175">
        <v>41542</v>
      </c>
      <c r="G1358" s="175"/>
      <c r="H1358" s="176" t="s">
        <v>461</v>
      </c>
      <c r="I1358" s="176"/>
      <c r="J1358" s="900" t="s">
        <v>2755</v>
      </c>
      <c r="K1358" s="164" t="s">
        <v>5146</v>
      </c>
      <c r="L1358" s="164" t="s">
        <v>461</v>
      </c>
      <c r="M1358" s="164"/>
      <c r="N1358" s="164" t="s">
        <v>11610</v>
      </c>
      <c r="O1358" s="164"/>
      <c r="P1358" s="173"/>
      <c r="Q1358" s="164" t="s">
        <v>11587</v>
      </c>
      <c r="R1358" s="177" t="s">
        <v>11580</v>
      </c>
      <c r="S1358" s="354"/>
      <c r="T1358" s="173"/>
      <c r="U1358" s="173"/>
      <c r="V1358" s="173" t="s">
        <v>3535</v>
      </c>
      <c r="W1358" s="313" t="s">
        <v>11790</v>
      </c>
      <c r="X1358" s="645" t="s">
        <v>11859</v>
      </c>
      <c r="Y1358" s="354"/>
      <c r="Z1358" s="176"/>
      <c r="AA1358" s="176"/>
      <c r="AB1358" s="32">
        <f t="shared" ca="1" si="28"/>
        <v>0.49494094077656392</v>
      </c>
      <c r="AC1358" s="812"/>
      <c r="AD1358" s="763"/>
      <c r="AE1358" s="807"/>
      <c r="AF1358" s="921">
        <f>IF(X1358=X1357,AF1357,0)+IF(ISNUMBER(I1358),IF(I1358&lt;1,I1358,I1358*VLOOKUP(J1358,Summary!$H$2:$I$9,2)),VLOOKUP(J1358,Summary!$J$2:$K$9,2)*IF(ISNUMBER(H1358),H1358,1))</f>
        <v>0.22916666666666663</v>
      </c>
      <c r="AG1358" s="289">
        <v>1357</v>
      </c>
      <c r="AH1358" s="94"/>
      <c r="AI1358" s="94"/>
    </row>
    <row r="1359" spans="1:35" s="22" customFormat="1" ht="12" customHeight="1" x14ac:dyDescent="0.25">
      <c r="A1359" s="408"/>
      <c r="B1359" s="408" t="s">
        <v>8364</v>
      </c>
      <c r="C1359" s="497">
        <v>7.07</v>
      </c>
      <c r="D1359" s="176" t="s">
        <v>11755</v>
      </c>
      <c r="E1359" s="313" t="s">
        <v>11756</v>
      </c>
      <c r="F1359" s="175">
        <v>41542</v>
      </c>
      <c r="G1359" s="175"/>
      <c r="H1359" s="176" t="s">
        <v>461</v>
      </c>
      <c r="I1359" s="176"/>
      <c r="J1359" s="900" t="s">
        <v>2755</v>
      </c>
      <c r="K1359" s="164" t="s">
        <v>11779</v>
      </c>
      <c r="L1359" s="164" t="s">
        <v>461</v>
      </c>
      <c r="M1359" s="164"/>
      <c r="N1359" s="164" t="s">
        <v>11610</v>
      </c>
      <c r="O1359" s="164"/>
      <c r="P1359" s="173"/>
      <c r="Q1359" s="164" t="s">
        <v>11587</v>
      </c>
      <c r="R1359" s="177" t="s">
        <v>11580</v>
      </c>
      <c r="S1359" s="354"/>
      <c r="T1359" s="173"/>
      <c r="U1359" s="173"/>
      <c r="V1359" s="173" t="s">
        <v>3535</v>
      </c>
      <c r="W1359" s="313" t="s">
        <v>11791</v>
      </c>
      <c r="X1359" s="645" t="s">
        <v>11859</v>
      </c>
      <c r="Y1359" s="354"/>
      <c r="Z1359" s="176"/>
      <c r="AA1359" s="176"/>
      <c r="AB1359" s="32">
        <f t="shared" ca="1" si="28"/>
        <v>0.73434296993156312</v>
      </c>
      <c r="AC1359" s="812"/>
      <c r="AD1359" s="763"/>
      <c r="AE1359" s="807"/>
      <c r="AF1359" s="921">
        <f>IF(X1359=X1358,AF1358,0)+IF(ISNUMBER(I1359),IF(I1359&lt;1,I1359,I1359*VLOOKUP(J1359,Summary!$H$2:$I$9,2)),VLOOKUP(J1359,Summary!$J$2:$K$9,2)*IF(ISNUMBER(H1359),H1359,1))</f>
        <v>0.24652777777777773</v>
      </c>
      <c r="AG1359" s="289">
        <v>1358</v>
      </c>
      <c r="AH1359" s="94"/>
      <c r="AI1359" s="94"/>
    </row>
    <row r="1360" spans="1:35" s="22" customFormat="1" ht="12" customHeight="1" x14ac:dyDescent="0.25">
      <c r="A1360" s="408"/>
      <c r="B1360" s="408" t="s">
        <v>8364</v>
      </c>
      <c r="C1360" s="497">
        <v>7.08</v>
      </c>
      <c r="D1360" s="176" t="s">
        <v>11757</v>
      </c>
      <c r="E1360" s="313" t="s">
        <v>11758</v>
      </c>
      <c r="F1360" s="175">
        <v>41542</v>
      </c>
      <c r="G1360" s="175"/>
      <c r="H1360" s="176" t="s">
        <v>461</v>
      </c>
      <c r="I1360" s="176"/>
      <c r="J1360" s="900" t="s">
        <v>2755</v>
      </c>
      <c r="K1360" s="164" t="s">
        <v>11723</v>
      </c>
      <c r="L1360" s="164" t="s">
        <v>461</v>
      </c>
      <c r="M1360" s="164"/>
      <c r="N1360" s="164" t="s">
        <v>11610</v>
      </c>
      <c r="O1360" s="164"/>
      <c r="P1360" s="173"/>
      <c r="Q1360" s="164" t="s">
        <v>11587</v>
      </c>
      <c r="R1360" s="177" t="s">
        <v>11580</v>
      </c>
      <c r="S1360" s="354"/>
      <c r="T1360" s="173"/>
      <c r="U1360" s="173"/>
      <c r="V1360" s="173" t="s">
        <v>3535</v>
      </c>
      <c r="W1360" s="313" t="s">
        <v>11792</v>
      </c>
      <c r="X1360" s="645" t="s">
        <v>11859</v>
      </c>
      <c r="Y1360" s="354"/>
      <c r="Z1360" s="176"/>
      <c r="AA1360" s="176"/>
      <c r="AB1360" s="32">
        <f t="shared" ca="1" si="28"/>
        <v>0.76024437421876634</v>
      </c>
      <c r="AC1360" s="812"/>
      <c r="AD1360" s="763"/>
      <c r="AE1360" s="807"/>
      <c r="AF1360" s="921">
        <f>IF(X1360=X1359,AF1359,0)+IF(ISNUMBER(I1360),IF(I1360&lt;1,I1360,I1360*VLOOKUP(J1360,Summary!$H$2:$I$9,2)),VLOOKUP(J1360,Summary!$J$2:$K$9,2)*IF(ISNUMBER(H1360),H1360,1))</f>
        <v>0.26388888888888884</v>
      </c>
      <c r="AG1360" s="289">
        <v>1359</v>
      </c>
      <c r="AH1360" s="94"/>
      <c r="AI1360" s="94"/>
    </row>
    <row r="1361" spans="1:35" s="22" customFormat="1" ht="12" customHeight="1" x14ac:dyDescent="0.25">
      <c r="A1361" s="408"/>
      <c r="B1361" s="408" t="s">
        <v>8364</v>
      </c>
      <c r="C1361" s="497">
        <v>7.09</v>
      </c>
      <c r="D1361" s="176" t="s">
        <v>11759</v>
      </c>
      <c r="E1361" s="313" t="s">
        <v>11760</v>
      </c>
      <c r="F1361" s="175">
        <v>41542</v>
      </c>
      <c r="G1361" s="175"/>
      <c r="H1361" s="176" t="s">
        <v>461</v>
      </c>
      <c r="I1361" s="176"/>
      <c r="J1361" s="900" t="s">
        <v>2755</v>
      </c>
      <c r="K1361" s="164" t="s">
        <v>11780</v>
      </c>
      <c r="L1361" s="164" t="s">
        <v>461</v>
      </c>
      <c r="M1361" s="164"/>
      <c r="N1361" s="164" t="s">
        <v>11610</v>
      </c>
      <c r="O1361" s="164"/>
      <c r="P1361" s="173"/>
      <c r="Q1361" s="164" t="s">
        <v>11587</v>
      </c>
      <c r="R1361" s="177" t="s">
        <v>11580</v>
      </c>
      <c r="S1361" s="354"/>
      <c r="T1361" s="173"/>
      <c r="U1361" s="173"/>
      <c r="V1361" s="173" t="s">
        <v>3535</v>
      </c>
      <c r="W1361" s="313" t="s">
        <v>11793</v>
      </c>
      <c r="X1361" s="645" t="s">
        <v>11859</v>
      </c>
      <c r="Y1361" s="354"/>
      <c r="Z1361" s="176"/>
      <c r="AA1361" s="176"/>
      <c r="AB1361" s="32">
        <f t="shared" ca="1" si="28"/>
        <v>0.28115347969873827</v>
      </c>
      <c r="AC1361" s="812"/>
      <c r="AD1361" s="763"/>
      <c r="AE1361" s="807"/>
      <c r="AF1361" s="921">
        <f>IF(X1361=X1360,AF1360,0)+IF(ISNUMBER(I1361),IF(I1361&lt;1,I1361,I1361*VLOOKUP(J1361,Summary!$H$2:$I$9,2)),VLOOKUP(J1361,Summary!$J$2:$K$9,2)*IF(ISNUMBER(H1361),H1361,1))</f>
        <v>0.28124999999999994</v>
      </c>
      <c r="AG1361" s="289">
        <v>1360</v>
      </c>
      <c r="AH1361" s="94"/>
      <c r="AI1361" s="94"/>
    </row>
    <row r="1362" spans="1:35" s="22" customFormat="1" ht="12" customHeight="1" x14ac:dyDescent="0.25">
      <c r="A1362" s="408"/>
      <c r="B1362" s="408" t="s">
        <v>8364</v>
      </c>
      <c r="C1362" s="497">
        <v>7.1</v>
      </c>
      <c r="D1362" s="176" t="s">
        <v>11761</v>
      </c>
      <c r="E1362" s="313" t="s">
        <v>11762</v>
      </c>
      <c r="F1362" s="175">
        <v>41542</v>
      </c>
      <c r="G1362" s="175"/>
      <c r="H1362" s="176" t="s">
        <v>461</v>
      </c>
      <c r="I1362" s="176"/>
      <c r="J1362" s="900" t="s">
        <v>2755</v>
      </c>
      <c r="K1362" s="164" t="s">
        <v>338</v>
      </c>
      <c r="L1362" s="164" t="s">
        <v>461</v>
      </c>
      <c r="M1362" s="164"/>
      <c r="N1362" s="164" t="s">
        <v>11610</v>
      </c>
      <c r="O1362" s="164"/>
      <c r="P1362" s="173"/>
      <c r="Q1362" s="164" t="s">
        <v>11587</v>
      </c>
      <c r="R1362" s="177" t="s">
        <v>11580</v>
      </c>
      <c r="S1362" s="354"/>
      <c r="T1362" s="173"/>
      <c r="U1362" s="173"/>
      <c r="V1362" s="173" t="s">
        <v>3535</v>
      </c>
      <c r="W1362" s="313" t="s">
        <v>11794</v>
      </c>
      <c r="X1362" s="645" t="s">
        <v>11859</v>
      </c>
      <c r="Y1362" s="354"/>
      <c r="Z1362" s="176"/>
      <c r="AA1362" s="176"/>
      <c r="AB1362" s="32">
        <f t="shared" ca="1" si="28"/>
        <v>0.41220793739627437</v>
      </c>
      <c r="AC1362" s="812"/>
      <c r="AD1362" s="763"/>
      <c r="AE1362" s="807"/>
      <c r="AF1362" s="921">
        <f>IF(X1362=X1361,AF1361,0)+IF(ISNUMBER(I1362),IF(I1362&lt;1,I1362,I1362*VLOOKUP(J1362,Summary!$H$2:$I$9,2)),VLOOKUP(J1362,Summary!$J$2:$K$9,2)*IF(ISNUMBER(H1362),H1362,1))</f>
        <v>0.29861111111111105</v>
      </c>
      <c r="AG1362" s="289">
        <v>1361</v>
      </c>
      <c r="AH1362" s="94"/>
      <c r="AI1362" s="94"/>
    </row>
    <row r="1363" spans="1:35" s="22" customFormat="1" ht="12" customHeight="1" x14ac:dyDescent="0.25">
      <c r="A1363" s="408"/>
      <c r="B1363" s="408" t="s">
        <v>8364</v>
      </c>
      <c r="C1363" s="497">
        <v>7.11</v>
      </c>
      <c r="D1363" s="176" t="s">
        <v>11763</v>
      </c>
      <c r="E1363" s="313" t="s">
        <v>11764</v>
      </c>
      <c r="F1363" s="175">
        <v>41542</v>
      </c>
      <c r="G1363" s="175"/>
      <c r="H1363" s="176" t="s">
        <v>461</v>
      </c>
      <c r="I1363" s="176"/>
      <c r="J1363" s="900" t="s">
        <v>2755</v>
      </c>
      <c r="K1363" s="164" t="s">
        <v>2310</v>
      </c>
      <c r="L1363" s="164" t="s">
        <v>461</v>
      </c>
      <c r="M1363" s="164"/>
      <c r="N1363" s="164" t="s">
        <v>11610</v>
      </c>
      <c r="O1363" s="164"/>
      <c r="P1363" s="173"/>
      <c r="Q1363" s="164" t="s">
        <v>11587</v>
      </c>
      <c r="R1363" s="177" t="s">
        <v>11580</v>
      </c>
      <c r="S1363" s="354"/>
      <c r="T1363" s="173"/>
      <c r="U1363" s="173"/>
      <c r="V1363" s="173" t="s">
        <v>3535</v>
      </c>
      <c r="W1363" s="313" t="s">
        <v>11795</v>
      </c>
      <c r="X1363" s="645" t="s">
        <v>11859</v>
      </c>
      <c r="Y1363" s="354"/>
      <c r="Z1363" s="176"/>
      <c r="AA1363" s="176"/>
      <c r="AB1363" s="32">
        <f t="shared" ca="1" si="28"/>
        <v>0.77639266199419177</v>
      </c>
      <c r="AC1363" s="812"/>
      <c r="AD1363" s="763"/>
      <c r="AE1363" s="807"/>
      <c r="AF1363" s="921">
        <f>IF(X1363=X1362,AF1362,0)+IF(ISNUMBER(I1363),IF(I1363&lt;1,I1363,I1363*VLOOKUP(J1363,Summary!$H$2:$I$9,2)),VLOOKUP(J1363,Summary!$J$2:$K$9,2)*IF(ISNUMBER(H1363),H1363,1))</f>
        <v>0.31597222222222215</v>
      </c>
      <c r="AG1363" s="289">
        <v>1362</v>
      </c>
      <c r="AH1363" s="94"/>
      <c r="AI1363" s="94"/>
    </row>
    <row r="1364" spans="1:35" s="22" customFormat="1" ht="12" customHeight="1" x14ac:dyDescent="0.25">
      <c r="A1364" s="408"/>
      <c r="B1364" s="408" t="s">
        <v>8364</v>
      </c>
      <c r="C1364" s="497">
        <v>7.12</v>
      </c>
      <c r="D1364" s="176" t="s">
        <v>11765</v>
      </c>
      <c r="E1364" s="313" t="s">
        <v>11766</v>
      </c>
      <c r="F1364" s="175">
        <v>41542</v>
      </c>
      <c r="G1364" s="175"/>
      <c r="H1364" s="176" t="s">
        <v>461</v>
      </c>
      <c r="I1364" s="176"/>
      <c r="J1364" s="900" t="s">
        <v>2755</v>
      </c>
      <c r="K1364" s="164" t="s">
        <v>11724</v>
      </c>
      <c r="L1364" s="164" t="s">
        <v>461</v>
      </c>
      <c r="M1364" s="164"/>
      <c r="N1364" s="164" t="s">
        <v>11610</v>
      </c>
      <c r="O1364" s="164"/>
      <c r="P1364" s="173"/>
      <c r="Q1364" s="164" t="s">
        <v>11587</v>
      </c>
      <c r="R1364" s="177" t="s">
        <v>11580</v>
      </c>
      <c r="S1364" s="354"/>
      <c r="T1364" s="173"/>
      <c r="U1364" s="173"/>
      <c r="V1364" s="173" t="s">
        <v>3535</v>
      </c>
      <c r="W1364" s="313" t="s">
        <v>11796</v>
      </c>
      <c r="X1364" s="645" t="s">
        <v>11859</v>
      </c>
      <c r="Y1364" s="354"/>
      <c r="Z1364" s="176"/>
      <c r="AA1364" s="176"/>
      <c r="AB1364" s="32">
        <f t="shared" ca="1" si="28"/>
        <v>1.7463110876535737E-2</v>
      </c>
      <c r="AC1364" s="812"/>
      <c r="AD1364" s="763"/>
      <c r="AE1364" s="807"/>
      <c r="AF1364" s="921">
        <f>IF(X1364=X1363,AF1363,0)+IF(ISNUMBER(I1364),IF(I1364&lt;1,I1364,I1364*VLOOKUP(J1364,Summary!$H$2:$I$9,2)),VLOOKUP(J1364,Summary!$J$2:$K$9,2)*IF(ISNUMBER(H1364),H1364,1))</f>
        <v>0.33333333333333326</v>
      </c>
      <c r="AG1364" s="289">
        <v>1363</v>
      </c>
      <c r="AH1364" s="94"/>
      <c r="AI1364" s="94"/>
    </row>
    <row r="1365" spans="1:35" s="22" customFormat="1" ht="12" customHeight="1" x14ac:dyDescent="0.25">
      <c r="A1365" s="408"/>
      <c r="B1365" s="408" t="s">
        <v>8364</v>
      </c>
      <c r="C1365" s="497">
        <v>7.13</v>
      </c>
      <c r="D1365" s="176" t="s">
        <v>11767</v>
      </c>
      <c r="E1365" s="313" t="s">
        <v>11768</v>
      </c>
      <c r="F1365" s="175">
        <v>41542</v>
      </c>
      <c r="G1365" s="175"/>
      <c r="H1365" s="176" t="s">
        <v>461</v>
      </c>
      <c r="I1365" s="176"/>
      <c r="J1365" s="900" t="s">
        <v>2755</v>
      </c>
      <c r="K1365" s="164" t="s">
        <v>11781</v>
      </c>
      <c r="L1365" s="164" t="s">
        <v>461</v>
      </c>
      <c r="M1365" s="164"/>
      <c r="N1365" s="164" t="s">
        <v>11610</v>
      </c>
      <c r="O1365" s="164"/>
      <c r="P1365" s="173"/>
      <c r="Q1365" s="164" t="s">
        <v>11587</v>
      </c>
      <c r="R1365" s="177" t="s">
        <v>11580</v>
      </c>
      <c r="S1365" s="354"/>
      <c r="T1365" s="173"/>
      <c r="U1365" s="173"/>
      <c r="V1365" s="173" t="s">
        <v>3535</v>
      </c>
      <c r="W1365" s="313" t="s">
        <v>11797</v>
      </c>
      <c r="X1365" s="645" t="s">
        <v>11859</v>
      </c>
      <c r="Y1365" s="354"/>
      <c r="Z1365" s="176"/>
      <c r="AA1365" s="176"/>
      <c r="AB1365" s="32">
        <f t="shared" ca="1" si="28"/>
        <v>0.96728646343217961</v>
      </c>
      <c r="AC1365" s="812"/>
      <c r="AD1365" s="763"/>
      <c r="AE1365" s="807"/>
      <c r="AF1365" s="921">
        <f>IF(X1365=X1364,AF1364,0)+IF(ISNUMBER(I1365),IF(I1365&lt;1,I1365,I1365*VLOOKUP(J1365,Summary!$H$2:$I$9,2)),VLOOKUP(J1365,Summary!$J$2:$K$9,2)*IF(ISNUMBER(H1365),H1365,1))</f>
        <v>0.35069444444444436</v>
      </c>
      <c r="AG1365" s="289">
        <v>1364</v>
      </c>
      <c r="AH1365" s="94"/>
      <c r="AI1365" s="94"/>
    </row>
    <row r="1366" spans="1:35" s="22" customFormat="1" ht="12" customHeight="1" x14ac:dyDescent="0.25">
      <c r="A1366" s="408"/>
      <c r="B1366" s="408" t="s">
        <v>8364</v>
      </c>
      <c r="C1366" s="497">
        <v>7.14</v>
      </c>
      <c r="D1366" s="176" t="s">
        <v>11769</v>
      </c>
      <c r="E1366" s="313" t="s">
        <v>11770</v>
      </c>
      <c r="F1366" s="175">
        <v>41542</v>
      </c>
      <c r="G1366" s="175"/>
      <c r="H1366" s="176" t="s">
        <v>461</v>
      </c>
      <c r="I1366" s="176"/>
      <c r="J1366" s="900" t="s">
        <v>2755</v>
      </c>
      <c r="K1366" s="164" t="s">
        <v>11782</v>
      </c>
      <c r="L1366" s="164" t="s">
        <v>461</v>
      </c>
      <c r="M1366" s="164"/>
      <c r="N1366" s="164" t="s">
        <v>11610</v>
      </c>
      <c r="O1366" s="164"/>
      <c r="P1366" s="173"/>
      <c r="Q1366" s="164" t="s">
        <v>11587</v>
      </c>
      <c r="R1366" s="177" t="s">
        <v>11580</v>
      </c>
      <c r="S1366" s="354"/>
      <c r="T1366" s="173"/>
      <c r="U1366" s="173"/>
      <c r="V1366" s="173" t="s">
        <v>3535</v>
      </c>
      <c r="W1366" s="313" t="s">
        <v>11798</v>
      </c>
      <c r="X1366" s="645" t="s">
        <v>11859</v>
      </c>
      <c r="Y1366" s="354"/>
      <c r="Z1366" s="176"/>
      <c r="AA1366" s="176"/>
      <c r="AB1366" s="32">
        <f t="shared" ca="1" si="28"/>
        <v>0.49364739755428233</v>
      </c>
      <c r="AC1366" s="812"/>
      <c r="AD1366" s="763"/>
      <c r="AE1366" s="807"/>
      <c r="AF1366" s="921">
        <f>IF(X1366=X1365,AF1365,0)+IF(ISNUMBER(I1366),IF(I1366&lt;1,I1366,I1366*VLOOKUP(J1366,Summary!$H$2:$I$9,2)),VLOOKUP(J1366,Summary!$J$2:$K$9,2)*IF(ISNUMBER(H1366),H1366,1))</f>
        <v>0.36805555555555547</v>
      </c>
      <c r="AG1366" s="289">
        <v>1365</v>
      </c>
      <c r="AH1366" s="94"/>
      <c r="AI1366" s="94"/>
    </row>
    <row r="1367" spans="1:35" s="22" customFormat="1" ht="12" customHeight="1" x14ac:dyDescent="0.25">
      <c r="A1367" s="408"/>
      <c r="B1367" s="408" t="s">
        <v>8364</v>
      </c>
      <c r="C1367" s="497">
        <v>7.15</v>
      </c>
      <c r="D1367" s="176" t="s">
        <v>11771</v>
      </c>
      <c r="E1367" s="313" t="s">
        <v>11772</v>
      </c>
      <c r="F1367" s="175">
        <v>41542</v>
      </c>
      <c r="G1367" s="175"/>
      <c r="H1367" s="176" t="s">
        <v>461</v>
      </c>
      <c r="I1367" s="176"/>
      <c r="J1367" s="900" t="s">
        <v>2755</v>
      </c>
      <c r="K1367" s="164" t="s">
        <v>11783</v>
      </c>
      <c r="L1367" s="164" t="s">
        <v>461</v>
      </c>
      <c r="M1367" s="164"/>
      <c r="N1367" s="164" t="s">
        <v>11610</v>
      </c>
      <c r="O1367" s="164"/>
      <c r="P1367" s="173"/>
      <c r="Q1367" s="164" t="s">
        <v>11587</v>
      </c>
      <c r="R1367" s="177" t="s">
        <v>11580</v>
      </c>
      <c r="S1367" s="354"/>
      <c r="T1367" s="173"/>
      <c r="U1367" s="173"/>
      <c r="V1367" s="173" t="s">
        <v>3535</v>
      </c>
      <c r="W1367" s="313" t="s">
        <v>11799</v>
      </c>
      <c r="X1367" s="645" t="s">
        <v>11859</v>
      </c>
      <c r="Y1367" s="354"/>
      <c r="Z1367" s="176"/>
      <c r="AA1367" s="176"/>
      <c r="AB1367" s="32">
        <f t="shared" ca="1" si="28"/>
        <v>0.53015409666015134</v>
      </c>
      <c r="AC1367" s="812"/>
      <c r="AD1367" s="763"/>
      <c r="AE1367" s="807"/>
      <c r="AF1367" s="921">
        <f>IF(X1367=X1366,AF1366,0)+IF(ISNUMBER(I1367),IF(I1367&lt;1,I1367,I1367*VLOOKUP(J1367,Summary!$H$2:$I$9,2)),VLOOKUP(J1367,Summary!$J$2:$K$9,2)*IF(ISNUMBER(H1367),H1367,1))</f>
        <v>0.38541666666666657</v>
      </c>
      <c r="AG1367" s="289">
        <v>1366</v>
      </c>
      <c r="AH1367" s="94"/>
      <c r="AI1367" s="94"/>
    </row>
    <row r="1368" spans="1:35" s="22" customFormat="1" ht="12" customHeight="1" x14ac:dyDescent="0.25">
      <c r="A1368" s="408"/>
      <c r="B1368" s="408" t="s">
        <v>8364</v>
      </c>
      <c r="C1368" s="497">
        <v>7.16</v>
      </c>
      <c r="D1368" s="176" t="s">
        <v>11773</v>
      </c>
      <c r="E1368" s="313" t="s">
        <v>11774</v>
      </c>
      <c r="F1368" s="175">
        <v>41542</v>
      </c>
      <c r="G1368" s="175"/>
      <c r="H1368" s="176" t="s">
        <v>461</v>
      </c>
      <c r="I1368" s="176"/>
      <c r="J1368" s="900" t="s">
        <v>2755</v>
      </c>
      <c r="K1368" s="164" t="s">
        <v>3529</v>
      </c>
      <c r="L1368" s="164" t="s">
        <v>461</v>
      </c>
      <c r="M1368" s="164"/>
      <c r="N1368" s="164" t="s">
        <v>11610</v>
      </c>
      <c r="O1368" s="164"/>
      <c r="P1368" s="173"/>
      <c r="Q1368" s="164" t="s">
        <v>11587</v>
      </c>
      <c r="R1368" s="177" t="s">
        <v>11580</v>
      </c>
      <c r="S1368" s="354"/>
      <c r="T1368" s="173"/>
      <c r="U1368" s="173"/>
      <c r="V1368" s="173" t="s">
        <v>3535</v>
      </c>
      <c r="W1368" s="313" t="s">
        <v>11800</v>
      </c>
      <c r="X1368" s="645" t="s">
        <v>11859</v>
      </c>
      <c r="Y1368" s="354"/>
      <c r="Z1368" s="176"/>
      <c r="AA1368" s="176"/>
      <c r="AB1368" s="32">
        <f t="shared" ca="1" si="28"/>
        <v>0.99006680099873001</v>
      </c>
      <c r="AC1368" s="812"/>
      <c r="AD1368" s="763"/>
      <c r="AE1368" s="807"/>
      <c r="AF1368" s="921">
        <f>IF(X1368=X1367,AF1367,0)+IF(ISNUMBER(I1368),IF(I1368&lt;1,I1368,I1368*VLOOKUP(J1368,Summary!$H$2:$I$9,2)),VLOOKUP(J1368,Summary!$J$2:$K$9,2)*IF(ISNUMBER(H1368),H1368,1))</f>
        <v>0.40277777777777768</v>
      </c>
      <c r="AG1368" s="289">
        <v>1367</v>
      </c>
      <c r="AH1368" s="94"/>
      <c r="AI1368" s="94"/>
    </row>
    <row r="1369" spans="1:35" s="22" customFormat="1" ht="12" customHeight="1" x14ac:dyDescent="0.25">
      <c r="A1369" s="408"/>
      <c r="B1369" s="408" t="s">
        <v>8364</v>
      </c>
      <c r="C1369" s="497">
        <v>7.17</v>
      </c>
      <c r="D1369" s="176" t="s">
        <v>11775</v>
      </c>
      <c r="E1369" s="313" t="s">
        <v>11776</v>
      </c>
      <c r="F1369" s="175">
        <v>41542</v>
      </c>
      <c r="G1369" s="175"/>
      <c r="H1369" s="176" t="s">
        <v>461</v>
      </c>
      <c r="I1369" s="176"/>
      <c r="J1369" s="900" t="s">
        <v>2755</v>
      </c>
      <c r="K1369" s="164" t="s">
        <v>11784</v>
      </c>
      <c r="L1369" s="164" t="s">
        <v>461</v>
      </c>
      <c r="M1369" s="164"/>
      <c r="N1369" s="164" t="s">
        <v>11610</v>
      </c>
      <c r="O1369" s="164"/>
      <c r="P1369" s="173"/>
      <c r="Q1369" s="164" t="s">
        <v>11587</v>
      </c>
      <c r="R1369" s="177" t="s">
        <v>11580</v>
      </c>
      <c r="S1369" s="354"/>
      <c r="T1369" s="173"/>
      <c r="U1369" s="173"/>
      <c r="V1369" s="173" t="s">
        <v>3535</v>
      </c>
      <c r="W1369" s="313" t="s">
        <v>11801</v>
      </c>
      <c r="X1369" s="645" t="s">
        <v>11859</v>
      </c>
      <c r="Y1369" s="354"/>
      <c r="Z1369" s="176"/>
      <c r="AA1369" s="176"/>
      <c r="AB1369" s="32">
        <f t="shared" ca="1" si="28"/>
        <v>0.50148554634677833</v>
      </c>
      <c r="AC1369" s="812"/>
      <c r="AD1369" s="763"/>
      <c r="AE1369" s="807"/>
      <c r="AF1369" s="921">
        <f>IF(X1369=X1368,AF1368,0)+IF(ISNUMBER(I1369),IF(I1369&lt;1,I1369,I1369*VLOOKUP(J1369,Summary!$H$2:$I$9,2)),VLOOKUP(J1369,Summary!$J$2:$K$9,2)*IF(ISNUMBER(H1369),H1369,1))</f>
        <v>0.42013888888888878</v>
      </c>
      <c r="AG1369" s="289">
        <v>1368</v>
      </c>
      <c r="AH1369" s="94"/>
      <c r="AI1369" s="94"/>
    </row>
    <row r="1370" spans="1:35" s="22" customFormat="1" ht="12" customHeight="1" x14ac:dyDescent="0.25">
      <c r="A1370" s="458"/>
      <c r="B1370" s="457" t="s">
        <v>8364</v>
      </c>
      <c r="C1370" s="458">
        <v>3</v>
      </c>
      <c r="D1370" s="188" t="s">
        <v>11863</v>
      </c>
      <c r="E1370" s="327" t="s">
        <v>11859</v>
      </c>
      <c r="F1370" s="195">
        <v>41579</v>
      </c>
      <c r="G1370" s="195"/>
      <c r="H1370" s="188" t="s">
        <v>461</v>
      </c>
      <c r="I1370" s="188">
        <v>75</v>
      </c>
      <c r="J1370" s="902" t="s">
        <v>6868</v>
      </c>
      <c r="K1370" s="218" t="s">
        <v>5658</v>
      </c>
      <c r="L1370" s="218" t="s">
        <v>461</v>
      </c>
      <c r="M1370" s="218"/>
      <c r="N1370" s="218"/>
      <c r="O1370" s="218"/>
      <c r="P1370" s="178" t="s">
        <v>11860</v>
      </c>
      <c r="Q1370" s="218" t="s">
        <v>11727</v>
      </c>
      <c r="R1370" s="217" t="s">
        <v>11728</v>
      </c>
      <c r="S1370" s="366"/>
      <c r="T1370" s="178"/>
      <c r="U1370" s="178"/>
      <c r="V1370" s="178" t="s">
        <v>3535</v>
      </c>
      <c r="W1370" s="327" t="s">
        <v>11859</v>
      </c>
      <c r="X1370" s="658" t="s">
        <v>11859</v>
      </c>
      <c r="Y1370" s="366"/>
      <c r="Z1370" s="188"/>
      <c r="AA1370" s="188"/>
      <c r="AB1370" s="34">
        <f t="shared" ca="1" si="28"/>
        <v>0.64741469383582539</v>
      </c>
      <c r="AC1370" s="814"/>
      <c r="AD1370" s="815"/>
      <c r="AE1370" s="245"/>
      <c r="AF1370" s="923">
        <f>IF(X1370=X1369,AF1369,0)+IF(ISNUMBER(I1370),IF(I1370&lt;1,I1370,I1370*VLOOKUP(J1370,Summary!$H$2:$I$9,2)),VLOOKUP(J1370,Summary!$J$2:$K$9,2)*IF(ISNUMBER(H1370),H1370,1))</f>
        <v>0.4722222222222221</v>
      </c>
      <c r="AG1370" s="297">
        <v>1369</v>
      </c>
      <c r="AH1370" s="94"/>
      <c r="AI1370" s="94"/>
    </row>
    <row r="1371" spans="1:35" s="120" customFormat="1" ht="12" customHeight="1" x14ac:dyDescent="0.25">
      <c r="A1371" s="408"/>
      <c r="B1371" s="408" t="s">
        <v>8364</v>
      </c>
      <c r="C1371" s="497">
        <v>8.01</v>
      </c>
      <c r="D1371" s="176" t="s">
        <v>11864</v>
      </c>
      <c r="E1371" s="313" t="s">
        <v>12493</v>
      </c>
      <c r="F1371" s="175">
        <v>41883</v>
      </c>
      <c r="G1371" s="175"/>
      <c r="H1371" s="176" t="s">
        <v>461</v>
      </c>
      <c r="I1371" s="176"/>
      <c r="J1371" s="900" t="s">
        <v>2755</v>
      </c>
      <c r="K1371" s="164" t="s">
        <v>3424</v>
      </c>
      <c r="L1371" s="164" t="s">
        <v>461</v>
      </c>
      <c r="M1371" s="164"/>
      <c r="N1371" s="164" t="s">
        <v>3324</v>
      </c>
      <c r="O1371" s="164"/>
      <c r="P1371" s="173"/>
      <c r="Q1371" s="164" t="s">
        <v>11587</v>
      </c>
      <c r="R1371" s="177" t="s">
        <v>11580</v>
      </c>
      <c r="S1371" s="354"/>
      <c r="T1371" s="173"/>
      <c r="U1371" s="173"/>
      <c r="V1371" s="173" t="s">
        <v>3535</v>
      </c>
      <c r="W1371" s="313" t="s">
        <v>11908</v>
      </c>
      <c r="X1371" s="645" t="s">
        <v>11859</v>
      </c>
      <c r="Y1371" s="354"/>
      <c r="Z1371" s="176"/>
      <c r="AA1371" s="176"/>
      <c r="AB1371" s="32">
        <f t="shared" ca="1" si="28"/>
        <v>0.3359338140724909</v>
      </c>
      <c r="AC1371" s="812"/>
      <c r="AD1371" s="763"/>
      <c r="AE1371" s="807"/>
      <c r="AF1371" s="921">
        <f>IF(X1371=X1370,AF1370,0)+IF(ISNUMBER(I1371),IF(I1371&lt;1,I1371,I1371*VLOOKUP(J1371,Summary!$H$2:$I$9,2)),VLOOKUP(J1371,Summary!$J$2:$K$9,2)*IF(ISNUMBER(H1371),H1371,1))</f>
        <v>0.4895833333333332</v>
      </c>
      <c r="AG1371" s="289">
        <v>1370</v>
      </c>
      <c r="AH1371" s="94"/>
      <c r="AI1371" s="94"/>
    </row>
    <row r="1372" spans="1:35" s="22" customFormat="1" ht="12" customHeight="1" x14ac:dyDescent="0.25">
      <c r="A1372" s="408"/>
      <c r="B1372" s="408" t="s">
        <v>8364</v>
      </c>
      <c r="C1372" s="497">
        <v>8.02</v>
      </c>
      <c r="D1372" s="176" t="s">
        <v>11865</v>
      </c>
      <c r="E1372" s="313" t="s">
        <v>12494</v>
      </c>
      <c r="F1372" s="175">
        <v>41883</v>
      </c>
      <c r="G1372" s="175"/>
      <c r="H1372" s="176" t="s">
        <v>461</v>
      </c>
      <c r="I1372" s="176"/>
      <c r="J1372" s="900" t="s">
        <v>2755</v>
      </c>
      <c r="K1372" s="164" t="s">
        <v>11876</v>
      </c>
      <c r="L1372" s="164" t="s">
        <v>461</v>
      </c>
      <c r="M1372" s="164"/>
      <c r="N1372" s="164" t="s">
        <v>3324</v>
      </c>
      <c r="O1372" s="164"/>
      <c r="P1372" s="173"/>
      <c r="Q1372" s="164" t="s">
        <v>11587</v>
      </c>
      <c r="R1372" s="177" t="s">
        <v>11580</v>
      </c>
      <c r="S1372" s="354"/>
      <c r="T1372" s="173"/>
      <c r="U1372" s="173"/>
      <c r="V1372" s="173" t="s">
        <v>3535</v>
      </c>
      <c r="W1372" s="313" t="s">
        <v>11909</v>
      </c>
      <c r="X1372" s="645" t="s">
        <v>11859</v>
      </c>
      <c r="Y1372" s="354"/>
      <c r="Z1372" s="176"/>
      <c r="AA1372" s="176"/>
      <c r="AB1372" s="32">
        <f t="shared" ca="1" si="28"/>
        <v>0.69811330390124793</v>
      </c>
      <c r="AC1372" s="812"/>
      <c r="AD1372" s="763"/>
      <c r="AE1372" s="807"/>
      <c r="AF1372" s="921">
        <f>IF(X1372=X1371,AF1371,0)+IF(ISNUMBER(I1372),IF(I1372&lt;1,I1372,I1372*VLOOKUP(J1372,Summary!$H$2:$I$9,2)),VLOOKUP(J1372,Summary!$J$2:$K$9,2)*IF(ISNUMBER(H1372),H1372,1))</f>
        <v>0.50694444444444431</v>
      </c>
      <c r="AG1372" s="289">
        <v>1371</v>
      </c>
      <c r="AH1372" s="94"/>
      <c r="AI1372" s="94"/>
    </row>
    <row r="1373" spans="1:35" s="22" customFormat="1" ht="12" customHeight="1" x14ac:dyDescent="0.25">
      <c r="A1373" s="408"/>
      <c r="B1373" s="408" t="s">
        <v>8364</v>
      </c>
      <c r="C1373" s="497">
        <v>8.0299999999999994</v>
      </c>
      <c r="D1373" s="176" t="s">
        <v>11866</v>
      </c>
      <c r="E1373" s="313" t="s">
        <v>12495</v>
      </c>
      <c r="F1373" s="175">
        <v>41883</v>
      </c>
      <c r="G1373" s="175"/>
      <c r="H1373" s="176" t="s">
        <v>461</v>
      </c>
      <c r="I1373" s="176"/>
      <c r="J1373" s="900" t="s">
        <v>2755</v>
      </c>
      <c r="K1373" s="164" t="s">
        <v>4738</v>
      </c>
      <c r="L1373" s="164" t="s">
        <v>461</v>
      </c>
      <c r="M1373" s="164"/>
      <c r="N1373" s="164" t="s">
        <v>3324</v>
      </c>
      <c r="O1373" s="164"/>
      <c r="P1373" s="173"/>
      <c r="Q1373" s="164" t="s">
        <v>11587</v>
      </c>
      <c r="R1373" s="177" t="s">
        <v>11580</v>
      </c>
      <c r="S1373" s="354"/>
      <c r="T1373" s="173"/>
      <c r="U1373" s="173"/>
      <c r="V1373" s="173" t="s">
        <v>3535</v>
      </c>
      <c r="W1373" s="313" t="s">
        <v>11910</v>
      </c>
      <c r="X1373" s="645" t="s">
        <v>11859</v>
      </c>
      <c r="Y1373" s="354"/>
      <c r="Z1373" s="176"/>
      <c r="AA1373" s="176"/>
      <c r="AB1373" s="32">
        <f t="shared" ca="1" si="28"/>
        <v>0.53728632831969481</v>
      </c>
      <c r="AC1373" s="812"/>
      <c r="AD1373" s="763"/>
      <c r="AE1373" s="807"/>
      <c r="AF1373" s="921">
        <f>IF(X1373=X1372,AF1372,0)+IF(ISNUMBER(I1373),IF(I1373&lt;1,I1373,I1373*VLOOKUP(J1373,Summary!$H$2:$I$9,2)),VLOOKUP(J1373,Summary!$J$2:$K$9,2)*IF(ISNUMBER(H1373),H1373,1))</f>
        <v>0.52430555555555547</v>
      </c>
      <c r="AG1373" s="289">
        <v>1372</v>
      </c>
      <c r="AH1373" s="94"/>
      <c r="AI1373" s="94"/>
    </row>
    <row r="1374" spans="1:35" s="22" customFormat="1" ht="12" customHeight="1" x14ac:dyDescent="0.25">
      <c r="A1374" s="408"/>
      <c r="B1374" s="408" t="s">
        <v>8364</v>
      </c>
      <c r="C1374" s="497">
        <v>8.0399999999999991</v>
      </c>
      <c r="D1374" s="176" t="s">
        <v>11867</v>
      </c>
      <c r="E1374" s="313" t="s">
        <v>12496</v>
      </c>
      <c r="F1374" s="175">
        <v>41883</v>
      </c>
      <c r="G1374" s="175"/>
      <c r="H1374" s="176" t="s">
        <v>461</v>
      </c>
      <c r="I1374" s="176"/>
      <c r="J1374" s="900" t="s">
        <v>2755</v>
      </c>
      <c r="K1374" s="164" t="s">
        <v>11877</v>
      </c>
      <c r="L1374" s="164" t="s">
        <v>461</v>
      </c>
      <c r="M1374" s="164"/>
      <c r="N1374" s="164" t="s">
        <v>3324</v>
      </c>
      <c r="O1374" s="164"/>
      <c r="P1374" s="173"/>
      <c r="Q1374" s="164" t="s">
        <v>11587</v>
      </c>
      <c r="R1374" s="177" t="s">
        <v>11580</v>
      </c>
      <c r="S1374" s="354"/>
      <c r="T1374" s="173"/>
      <c r="U1374" s="173"/>
      <c r="V1374" s="173" t="s">
        <v>3535</v>
      </c>
      <c r="W1374" s="313" t="s">
        <v>11911</v>
      </c>
      <c r="X1374" s="645" t="s">
        <v>11859</v>
      </c>
      <c r="Y1374" s="354"/>
      <c r="Z1374" s="176"/>
      <c r="AA1374" s="176"/>
      <c r="AB1374" s="32">
        <f t="shared" ca="1" si="28"/>
        <v>0.77165227535534942</v>
      </c>
      <c r="AC1374" s="812"/>
      <c r="AD1374" s="763"/>
      <c r="AE1374" s="807"/>
      <c r="AF1374" s="921">
        <f>IF(X1374=X1373,AF1373,0)+IF(ISNUMBER(I1374),IF(I1374&lt;1,I1374,I1374*VLOOKUP(J1374,Summary!$H$2:$I$9,2)),VLOOKUP(J1374,Summary!$J$2:$K$9,2)*IF(ISNUMBER(H1374),H1374,1))</f>
        <v>0.54166666666666663</v>
      </c>
      <c r="AG1374" s="289">
        <v>1373</v>
      </c>
      <c r="AH1374" s="94"/>
      <c r="AI1374" s="94"/>
    </row>
    <row r="1375" spans="1:35" s="22" customFormat="1" ht="12" customHeight="1" x14ac:dyDescent="0.25">
      <c r="A1375" s="408"/>
      <c r="B1375" s="408" t="s">
        <v>8364</v>
      </c>
      <c r="C1375" s="497">
        <v>8.0500000000000007</v>
      </c>
      <c r="D1375" s="176" t="s">
        <v>11868</v>
      </c>
      <c r="E1375" s="313" t="s">
        <v>12497</v>
      </c>
      <c r="F1375" s="175">
        <v>41883</v>
      </c>
      <c r="G1375" s="175"/>
      <c r="H1375" s="176" t="s">
        <v>461</v>
      </c>
      <c r="I1375" s="176"/>
      <c r="J1375" s="900" t="s">
        <v>2755</v>
      </c>
      <c r="K1375" s="164" t="s">
        <v>4131</v>
      </c>
      <c r="L1375" s="164" t="s">
        <v>461</v>
      </c>
      <c r="M1375" s="164"/>
      <c r="N1375" s="164" t="s">
        <v>3324</v>
      </c>
      <c r="O1375" s="164"/>
      <c r="P1375" s="173"/>
      <c r="Q1375" s="164" t="s">
        <v>11587</v>
      </c>
      <c r="R1375" s="177" t="s">
        <v>11580</v>
      </c>
      <c r="S1375" s="354"/>
      <c r="T1375" s="173"/>
      <c r="U1375" s="173"/>
      <c r="V1375" s="173" t="s">
        <v>3535</v>
      </c>
      <c r="W1375" s="313" t="s">
        <v>11912</v>
      </c>
      <c r="X1375" s="645" t="s">
        <v>11859</v>
      </c>
      <c r="Y1375" s="354"/>
      <c r="Z1375" s="176"/>
      <c r="AA1375" s="176"/>
      <c r="AB1375" s="32">
        <f t="shared" ca="1" si="28"/>
        <v>0.40273417235384956</v>
      </c>
      <c r="AC1375" s="812"/>
      <c r="AD1375" s="763"/>
      <c r="AE1375" s="807"/>
      <c r="AF1375" s="921">
        <f>IF(X1375=X1374,AF1374,0)+IF(ISNUMBER(I1375),IF(I1375&lt;1,I1375,I1375*VLOOKUP(J1375,Summary!$H$2:$I$9,2)),VLOOKUP(J1375,Summary!$J$2:$K$9,2)*IF(ISNUMBER(H1375),H1375,1))</f>
        <v>0.55902777777777779</v>
      </c>
      <c r="AG1375" s="289">
        <v>1374</v>
      </c>
      <c r="AH1375" s="94"/>
      <c r="AI1375" s="94"/>
    </row>
    <row r="1376" spans="1:35" s="22" customFormat="1" ht="12" customHeight="1" x14ac:dyDescent="0.25">
      <c r="A1376" s="408"/>
      <c r="B1376" s="408" t="s">
        <v>8364</v>
      </c>
      <c r="C1376" s="497">
        <v>8.06</v>
      </c>
      <c r="D1376" s="176" t="s">
        <v>11869</v>
      </c>
      <c r="E1376" s="313" t="s">
        <v>12498</v>
      </c>
      <c r="F1376" s="175">
        <v>41883</v>
      </c>
      <c r="G1376" s="175"/>
      <c r="H1376" s="176" t="s">
        <v>461</v>
      </c>
      <c r="I1376" s="176"/>
      <c r="J1376" s="900" t="s">
        <v>2755</v>
      </c>
      <c r="K1376" s="164" t="s">
        <v>11878</v>
      </c>
      <c r="L1376" s="164" t="s">
        <v>461</v>
      </c>
      <c r="M1376" s="164"/>
      <c r="N1376" s="164" t="s">
        <v>3324</v>
      </c>
      <c r="O1376" s="164"/>
      <c r="P1376" s="173"/>
      <c r="Q1376" s="164" t="s">
        <v>11587</v>
      </c>
      <c r="R1376" s="177" t="s">
        <v>11580</v>
      </c>
      <c r="S1376" s="354"/>
      <c r="T1376" s="173"/>
      <c r="U1376" s="173"/>
      <c r="V1376" s="173" t="s">
        <v>3535</v>
      </c>
      <c r="W1376" s="313" t="s">
        <v>11913</v>
      </c>
      <c r="X1376" s="645" t="s">
        <v>11859</v>
      </c>
      <c r="Y1376" s="354"/>
      <c r="Z1376" s="176"/>
      <c r="AA1376" s="176"/>
      <c r="AB1376" s="32">
        <f t="shared" ca="1" si="28"/>
        <v>0.7906330214506041</v>
      </c>
      <c r="AC1376" s="812"/>
      <c r="AD1376" s="763"/>
      <c r="AE1376" s="807"/>
      <c r="AF1376" s="921">
        <f>IF(X1376=X1375,AF1375,0)+IF(ISNUMBER(I1376),IF(I1376&lt;1,I1376,I1376*VLOOKUP(J1376,Summary!$H$2:$I$9,2)),VLOOKUP(J1376,Summary!$J$2:$K$9,2)*IF(ISNUMBER(H1376),H1376,1))</f>
        <v>0.57638888888888895</v>
      </c>
      <c r="AG1376" s="289">
        <v>1375</v>
      </c>
      <c r="AH1376" s="94"/>
      <c r="AI1376" s="94"/>
    </row>
    <row r="1377" spans="1:35" s="22" customFormat="1" ht="12" customHeight="1" x14ac:dyDescent="0.25">
      <c r="A1377" s="408"/>
      <c r="B1377" s="408" t="s">
        <v>8364</v>
      </c>
      <c r="C1377" s="497">
        <v>8.07</v>
      </c>
      <c r="D1377" s="176" t="s">
        <v>11870</v>
      </c>
      <c r="E1377" s="313" t="s">
        <v>12499</v>
      </c>
      <c r="F1377" s="175">
        <v>41883</v>
      </c>
      <c r="G1377" s="175"/>
      <c r="H1377" s="176" t="s">
        <v>461</v>
      </c>
      <c r="I1377" s="176"/>
      <c r="J1377" s="900" t="s">
        <v>2755</v>
      </c>
      <c r="K1377" s="164" t="s">
        <v>3786</v>
      </c>
      <c r="L1377" s="164" t="s">
        <v>461</v>
      </c>
      <c r="M1377" s="164"/>
      <c r="N1377" s="164" t="s">
        <v>3324</v>
      </c>
      <c r="O1377" s="164"/>
      <c r="P1377" s="173"/>
      <c r="Q1377" s="164" t="s">
        <v>11587</v>
      </c>
      <c r="R1377" s="177" t="s">
        <v>11580</v>
      </c>
      <c r="S1377" s="354"/>
      <c r="T1377" s="173"/>
      <c r="U1377" s="173"/>
      <c r="V1377" s="173" t="s">
        <v>3535</v>
      </c>
      <c r="W1377" s="313" t="s">
        <v>11914</v>
      </c>
      <c r="X1377" s="645" t="s">
        <v>11859</v>
      </c>
      <c r="Y1377" s="354"/>
      <c r="Z1377" s="176"/>
      <c r="AA1377" s="176"/>
      <c r="AB1377" s="32">
        <f t="shared" ca="1" si="28"/>
        <v>0.31858877907584848</v>
      </c>
      <c r="AC1377" s="812"/>
      <c r="AD1377" s="763"/>
      <c r="AE1377" s="807"/>
      <c r="AF1377" s="921">
        <f>IF(X1377=X1376,AF1376,0)+IF(ISNUMBER(I1377),IF(I1377&lt;1,I1377,I1377*VLOOKUP(J1377,Summary!$H$2:$I$9,2)),VLOOKUP(J1377,Summary!$J$2:$K$9,2)*IF(ISNUMBER(H1377),H1377,1))</f>
        <v>0.59375000000000011</v>
      </c>
      <c r="AG1377" s="289">
        <v>1376</v>
      </c>
      <c r="AH1377" s="94"/>
      <c r="AI1377" s="94"/>
    </row>
    <row r="1378" spans="1:35" s="22" customFormat="1" ht="12" customHeight="1" x14ac:dyDescent="0.25">
      <c r="A1378" s="408"/>
      <c r="B1378" s="408" t="s">
        <v>8364</v>
      </c>
      <c r="C1378" s="497">
        <v>8.08</v>
      </c>
      <c r="D1378" s="176" t="s">
        <v>11871</v>
      </c>
      <c r="E1378" s="313" t="s">
        <v>12500</v>
      </c>
      <c r="F1378" s="175">
        <v>41883</v>
      </c>
      <c r="G1378" s="175"/>
      <c r="H1378" s="176" t="s">
        <v>461</v>
      </c>
      <c r="I1378" s="176"/>
      <c r="J1378" s="900" t="s">
        <v>2755</v>
      </c>
      <c r="K1378" s="164" t="s">
        <v>11879</v>
      </c>
      <c r="L1378" s="164" t="s">
        <v>461</v>
      </c>
      <c r="M1378" s="164"/>
      <c r="N1378" s="164" t="s">
        <v>3324</v>
      </c>
      <c r="O1378" s="164"/>
      <c r="P1378" s="173"/>
      <c r="Q1378" s="164" t="s">
        <v>11587</v>
      </c>
      <c r="R1378" s="177" t="s">
        <v>11580</v>
      </c>
      <c r="S1378" s="354"/>
      <c r="T1378" s="173"/>
      <c r="U1378" s="173"/>
      <c r="V1378" s="173" t="s">
        <v>3535</v>
      </c>
      <c r="W1378" s="313" t="s">
        <v>11915</v>
      </c>
      <c r="X1378" s="645" t="s">
        <v>11859</v>
      </c>
      <c r="Y1378" s="354"/>
      <c r="Z1378" s="176"/>
      <c r="AA1378" s="176"/>
      <c r="AB1378" s="32">
        <f t="shared" ca="1" si="28"/>
        <v>0.77094330495910879</v>
      </c>
      <c r="AC1378" s="812"/>
      <c r="AD1378" s="763"/>
      <c r="AE1378" s="807"/>
      <c r="AF1378" s="921">
        <f>IF(X1378=X1377,AF1377,0)+IF(ISNUMBER(I1378),IF(I1378&lt;1,I1378,I1378*VLOOKUP(J1378,Summary!$H$2:$I$9,2)),VLOOKUP(J1378,Summary!$J$2:$K$9,2)*IF(ISNUMBER(H1378),H1378,1))</f>
        <v>0.61111111111111127</v>
      </c>
      <c r="AG1378" s="289">
        <v>1377</v>
      </c>
      <c r="AH1378" s="94"/>
      <c r="AI1378" s="94"/>
    </row>
    <row r="1379" spans="1:35" s="22" customFormat="1" ht="12" customHeight="1" x14ac:dyDescent="0.25">
      <c r="A1379" s="408"/>
      <c r="B1379" s="408" t="s">
        <v>8364</v>
      </c>
      <c r="C1379" s="497">
        <v>8.09</v>
      </c>
      <c r="D1379" s="176" t="s">
        <v>11872</v>
      </c>
      <c r="E1379" s="313" t="s">
        <v>12501</v>
      </c>
      <c r="F1379" s="175">
        <v>41883</v>
      </c>
      <c r="G1379" s="175"/>
      <c r="H1379" s="176" t="s">
        <v>461</v>
      </c>
      <c r="I1379" s="176"/>
      <c r="J1379" s="900" t="s">
        <v>2755</v>
      </c>
      <c r="K1379" s="164" t="s">
        <v>4401</v>
      </c>
      <c r="L1379" s="164" t="s">
        <v>461</v>
      </c>
      <c r="M1379" s="164"/>
      <c r="N1379" s="164" t="s">
        <v>3324</v>
      </c>
      <c r="O1379" s="164"/>
      <c r="P1379" s="173"/>
      <c r="Q1379" s="164" t="s">
        <v>11587</v>
      </c>
      <c r="R1379" s="177" t="s">
        <v>11580</v>
      </c>
      <c r="S1379" s="354"/>
      <c r="T1379" s="173"/>
      <c r="U1379" s="173"/>
      <c r="V1379" s="173" t="s">
        <v>3535</v>
      </c>
      <c r="W1379" s="313" t="s">
        <v>11916</v>
      </c>
      <c r="X1379" s="645" t="s">
        <v>11859</v>
      </c>
      <c r="Y1379" s="354"/>
      <c r="Z1379" s="176"/>
      <c r="AA1379" s="176"/>
      <c r="AB1379" s="32">
        <f t="shared" ca="1" si="28"/>
        <v>0.79861483073069772</v>
      </c>
      <c r="AC1379" s="812"/>
      <c r="AD1379" s="763"/>
      <c r="AE1379" s="807"/>
      <c r="AF1379" s="921">
        <f>IF(X1379=X1378,AF1378,0)+IF(ISNUMBER(I1379),IF(I1379&lt;1,I1379,I1379*VLOOKUP(J1379,Summary!$H$2:$I$9,2)),VLOOKUP(J1379,Summary!$J$2:$K$9,2)*IF(ISNUMBER(H1379),H1379,1))</f>
        <v>0.62847222222222243</v>
      </c>
      <c r="AG1379" s="289">
        <v>1378</v>
      </c>
      <c r="AH1379" s="94"/>
      <c r="AI1379" s="94"/>
    </row>
    <row r="1380" spans="1:35" s="22" customFormat="1" ht="12" customHeight="1" x14ac:dyDescent="0.25">
      <c r="A1380" s="408"/>
      <c r="B1380" s="408" t="s">
        <v>8364</v>
      </c>
      <c r="C1380" s="497">
        <v>8.1</v>
      </c>
      <c r="D1380" s="176" t="s">
        <v>11873</v>
      </c>
      <c r="E1380" s="313" t="s">
        <v>12502</v>
      </c>
      <c r="F1380" s="175">
        <v>41883</v>
      </c>
      <c r="G1380" s="175"/>
      <c r="H1380" s="176" t="s">
        <v>461</v>
      </c>
      <c r="I1380" s="176"/>
      <c r="J1380" s="900" t="s">
        <v>2755</v>
      </c>
      <c r="K1380" s="164" t="s">
        <v>11880</v>
      </c>
      <c r="L1380" s="164" t="s">
        <v>461</v>
      </c>
      <c r="M1380" s="164"/>
      <c r="N1380" s="164" t="s">
        <v>3324</v>
      </c>
      <c r="O1380" s="164"/>
      <c r="P1380" s="173"/>
      <c r="Q1380" s="164" t="s">
        <v>11587</v>
      </c>
      <c r="R1380" s="177" t="s">
        <v>11580</v>
      </c>
      <c r="S1380" s="354"/>
      <c r="T1380" s="173"/>
      <c r="U1380" s="173"/>
      <c r="V1380" s="173" t="s">
        <v>3535</v>
      </c>
      <c r="W1380" s="313" t="s">
        <v>11917</v>
      </c>
      <c r="X1380" s="645" t="s">
        <v>11859</v>
      </c>
      <c r="Y1380" s="354"/>
      <c r="Z1380" s="176"/>
      <c r="AA1380" s="176"/>
      <c r="AB1380" s="32">
        <f t="shared" ca="1" si="28"/>
        <v>0.34823847809271025</v>
      </c>
      <c r="AC1380" s="812"/>
      <c r="AD1380" s="763"/>
      <c r="AE1380" s="807"/>
      <c r="AF1380" s="921">
        <f>IF(X1380=X1379,AF1379,0)+IF(ISNUMBER(I1380),IF(I1380&lt;1,I1380,I1380*VLOOKUP(J1380,Summary!$H$2:$I$9,2)),VLOOKUP(J1380,Summary!$J$2:$K$9,2)*IF(ISNUMBER(H1380),H1380,1))</f>
        <v>0.64583333333333359</v>
      </c>
      <c r="AG1380" s="289">
        <v>1379</v>
      </c>
      <c r="AH1380" s="94"/>
      <c r="AI1380" s="94"/>
    </row>
    <row r="1381" spans="1:35" s="22" customFormat="1" ht="12" customHeight="1" x14ac:dyDescent="0.25">
      <c r="A1381" s="408"/>
      <c r="B1381" s="408" t="s">
        <v>8364</v>
      </c>
      <c r="C1381" s="497">
        <v>8.11</v>
      </c>
      <c r="D1381" s="176" t="s">
        <v>11874</v>
      </c>
      <c r="E1381" s="313" t="s">
        <v>12503</v>
      </c>
      <c r="F1381" s="175">
        <v>41883</v>
      </c>
      <c r="G1381" s="175"/>
      <c r="H1381" s="176" t="s">
        <v>461</v>
      </c>
      <c r="I1381" s="176"/>
      <c r="J1381" s="900" t="s">
        <v>2755</v>
      </c>
      <c r="K1381" s="164" t="s">
        <v>11638</v>
      </c>
      <c r="L1381" s="164" t="s">
        <v>461</v>
      </c>
      <c r="M1381" s="164"/>
      <c r="N1381" s="164" t="s">
        <v>3324</v>
      </c>
      <c r="O1381" s="164"/>
      <c r="P1381" s="173"/>
      <c r="Q1381" s="164" t="s">
        <v>11587</v>
      </c>
      <c r="R1381" s="177" t="s">
        <v>11580</v>
      </c>
      <c r="S1381" s="354"/>
      <c r="T1381" s="173"/>
      <c r="U1381" s="173"/>
      <c r="V1381" s="173" t="s">
        <v>3535</v>
      </c>
      <c r="W1381" s="313" t="s">
        <v>11918</v>
      </c>
      <c r="X1381" s="645" t="s">
        <v>11859</v>
      </c>
      <c r="Y1381" s="354"/>
      <c r="Z1381" s="176"/>
      <c r="AA1381" s="176"/>
      <c r="AB1381" s="32">
        <f t="shared" ca="1" si="28"/>
        <v>0.45910302462553743</v>
      </c>
      <c r="AC1381" s="812"/>
      <c r="AD1381" s="763"/>
      <c r="AE1381" s="807"/>
      <c r="AF1381" s="921">
        <f>IF(X1381=X1380,AF1380,0)+IF(ISNUMBER(I1381),IF(I1381&lt;1,I1381,I1381*VLOOKUP(J1381,Summary!$H$2:$I$9,2)),VLOOKUP(J1381,Summary!$J$2:$K$9,2)*IF(ISNUMBER(H1381),H1381,1))</f>
        <v>0.66319444444444475</v>
      </c>
      <c r="AG1381" s="289">
        <v>1380</v>
      </c>
      <c r="AH1381" s="94"/>
      <c r="AI1381" s="94"/>
    </row>
    <row r="1382" spans="1:35" s="22" customFormat="1" ht="12" customHeight="1" x14ac:dyDescent="0.25">
      <c r="A1382" s="408"/>
      <c r="B1382" s="408" t="s">
        <v>8364</v>
      </c>
      <c r="C1382" s="497">
        <v>8.1199999999999992</v>
      </c>
      <c r="D1382" s="176" t="s">
        <v>11875</v>
      </c>
      <c r="E1382" s="313" t="s">
        <v>12504</v>
      </c>
      <c r="F1382" s="175">
        <v>41883</v>
      </c>
      <c r="G1382" s="175"/>
      <c r="H1382" s="176" t="s">
        <v>461</v>
      </c>
      <c r="I1382" s="176"/>
      <c r="J1382" s="900" t="s">
        <v>2755</v>
      </c>
      <c r="K1382" s="164" t="s">
        <v>3324</v>
      </c>
      <c r="L1382" s="164" t="s">
        <v>461</v>
      </c>
      <c r="M1382" s="164"/>
      <c r="N1382" s="164" t="s">
        <v>3324</v>
      </c>
      <c r="O1382" s="164"/>
      <c r="P1382" s="173"/>
      <c r="Q1382" s="164" t="s">
        <v>11587</v>
      </c>
      <c r="R1382" s="177" t="s">
        <v>11580</v>
      </c>
      <c r="S1382" s="354"/>
      <c r="T1382" s="173"/>
      <c r="U1382" s="173"/>
      <c r="V1382" s="173" t="s">
        <v>3535</v>
      </c>
      <c r="W1382" s="313" t="s">
        <v>11919</v>
      </c>
      <c r="X1382" s="645" t="s">
        <v>11859</v>
      </c>
      <c r="Y1382" s="354"/>
      <c r="Z1382" s="176"/>
      <c r="AA1382" s="176"/>
      <c r="AB1382" s="32">
        <f t="shared" ca="1" si="28"/>
        <v>0.32219030735630261</v>
      </c>
      <c r="AC1382" s="812"/>
      <c r="AD1382" s="763"/>
      <c r="AE1382" s="807"/>
      <c r="AF1382" s="921">
        <f>IF(X1382=X1381,AF1381,0)+IF(ISNUMBER(I1382),IF(I1382&lt;1,I1382,I1382*VLOOKUP(J1382,Summary!$H$2:$I$9,2)),VLOOKUP(J1382,Summary!$J$2:$K$9,2)*IF(ISNUMBER(H1382),H1382,1))</f>
        <v>0.68055555555555591</v>
      </c>
      <c r="AG1382" s="289">
        <v>1381</v>
      </c>
      <c r="AH1382" s="94"/>
      <c r="AI1382" s="94"/>
    </row>
    <row r="1383" spans="1:35" s="43" customFormat="1" ht="12" customHeight="1" x14ac:dyDescent="0.25">
      <c r="A1383" s="408"/>
      <c r="B1383" s="408" t="s">
        <v>8364</v>
      </c>
      <c r="C1383" s="497">
        <v>10.01</v>
      </c>
      <c r="D1383" s="176" t="s">
        <v>11968</v>
      </c>
      <c r="E1383" s="313" t="s">
        <v>11969</v>
      </c>
      <c r="F1383" s="175">
        <v>42776</v>
      </c>
      <c r="G1383" s="175"/>
      <c r="H1383" s="176" t="s">
        <v>461</v>
      </c>
      <c r="I1383" s="176"/>
      <c r="J1383" s="900" t="s">
        <v>2755</v>
      </c>
      <c r="K1383" s="164" t="s">
        <v>11610</v>
      </c>
      <c r="L1383" s="164" t="s">
        <v>461</v>
      </c>
      <c r="M1383" s="164"/>
      <c r="N1383" s="164" t="s">
        <v>11966</v>
      </c>
      <c r="O1383" s="164"/>
      <c r="P1383" s="173" t="s">
        <v>11967</v>
      </c>
      <c r="Q1383" s="164" t="s">
        <v>11587</v>
      </c>
      <c r="R1383" s="177" t="s">
        <v>11580</v>
      </c>
      <c r="S1383" s="354"/>
      <c r="T1383" s="173"/>
      <c r="U1383" s="173"/>
      <c r="V1383" s="173" t="s">
        <v>3535</v>
      </c>
      <c r="W1383" s="313" t="s">
        <v>11992</v>
      </c>
      <c r="X1383" s="645" t="s">
        <v>11859</v>
      </c>
      <c r="Y1383" s="354"/>
      <c r="Z1383" s="176"/>
      <c r="AA1383" s="176"/>
      <c r="AB1383" s="32">
        <f t="shared" ca="1" si="28"/>
        <v>0.83357422553866178</v>
      </c>
      <c r="AC1383" s="812"/>
      <c r="AD1383" s="763"/>
      <c r="AE1383" s="807"/>
      <c r="AF1383" s="921">
        <f>IF(X1383=X1382,AF1382,0)+IF(ISNUMBER(I1383),IF(I1383&lt;1,I1383,I1383*VLOOKUP(J1383,Summary!$H$2:$I$9,2)),VLOOKUP(J1383,Summary!$J$2:$K$9,2)*IF(ISNUMBER(H1383),H1383,1))</f>
        <v>0.69791666666666707</v>
      </c>
      <c r="AG1383" s="289">
        <v>1382</v>
      </c>
      <c r="AH1383" s="94"/>
      <c r="AI1383" s="94"/>
    </row>
    <row r="1384" spans="1:35" s="1" customFormat="1" ht="12" customHeight="1" x14ac:dyDescent="0.25">
      <c r="A1384" s="408"/>
      <c r="B1384" s="408" t="s">
        <v>8364</v>
      </c>
      <c r="C1384" s="497">
        <v>10.02</v>
      </c>
      <c r="D1384" s="176" t="s">
        <v>11970</v>
      </c>
      <c r="E1384" s="313" t="s">
        <v>11971</v>
      </c>
      <c r="F1384" s="175">
        <v>42776</v>
      </c>
      <c r="G1384" s="175"/>
      <c r="H1384" s="176" t="s">
        <v>461</v>
      </c>
      <c r="I1384" s="176"/>
      <c r="J1384" s="900" t="s">
        <v>2755</v>
      </c>
      <c r="K1384" s="164" t="s">
        <v>12004</v>
      </c>
      <c r="L1384" s="164" t="s">
        <v>461</v>
      </c>
      <c r="M1384" s="164"/>
      <c r="N1384" s="164" t="s">
        <v>11966</v>
      </c>
      <c r="O1384" s="164"/>
      <c r="P1384" s="173" t="s">
        <v>11967</v>
      </c>
      <c r="Q1384" s="164" t="s">
        <v>11587</v>
      </c>
      <c r="R1384" s="177" t="s">
        <v>11580</v>
      </c>
      <c r="S1384" s="354"/>
      <c r="T1384" s="173"/>
      <c r="U1384" s="173"/>
      <c r="V1384" s="173" t="s">
        <v>3535</v>
      </c>
      <c r="W1384" s="313" t="s">
        <v>11993</v>
      </c>
      <c r="X1384" s="645" t="s">
        <v>11859</v>
      </c>
      <c r="Y1384" s="354"/>
      <c r="Z1384" s="176"/>
      <c r="AA1384" s="176"/>
      <c r="AB1384" s="32">
        <f t="shared" ca="1" si="28"/>
        <v>0.10028831582564335</v>
      </c>
      <c r="AC1384" s="812"/>
      <c r="AD1384" s="763"/>
      <c r="AE1384" s="807"/>
      <c r="AF1384" s="921">
        <f>IF(X1384=X1383,AF1383,0)+IF(ISNUMBER(I1384),IF(I1384&lt;1,I1384,I1384*VLOOKUP(J1384,Summary!$H$2:$I$9,2)),VLOOKUP(J1384,Summary!$J$2:$K$9,2)*IF(ISNUMBER(H1384),H1384,1))</f>
        <v>0.71527777777777823</v>
      </c>
      <c r="AG1384" s="289">
        <v>1383</v>
      </c>
      <c r="AH1384" s="94"/>
      <c r="AI1384" s="94"/>
    </row>
    <row r="1385" spans="1:35" s="3" customFormat="1" ht="12" customHeight="1" x14ac:dyDescent="0.25">
      <c r="A1385" s="408"/>
      <c r="B1385" s="408" t="s">
        <v>8364</v>
      </c>
      <c r="C1385" s="497">
        <v>10.029999999999999</v>
      </c>
      <c r="D1385" s="176" t="s">
        <v>11972</v>
      </c>
      <c r="E1385" s="313" t="s">
        <v>11973</v>
      </c>
      <c r="F1385" s="175">
        <v>42776</v>
      </c>
      <c r="G1385" s="175"/>
      <c r="H1385" s="176" t="s">
        <v>461</v>
      </c>
      <c r="I1385" s="176"/>
      <c r="J1385" s="900" t="s">
        <v>2755</v>
      </c>
      <c r="K1385" s="164" t="s">
        <v>12005</v>
      </c>
      <c r="L1385" s="164" t="s">
        <v>461</v>
      </c>
      <c r="M1385" s="164"/>
      <c r="N1385" s="164" t="s">
        <v>11966</v>
      </c>
      <c r="O1385" s="164"/>
      <c r="P1385" s="173" t="s">
        <v>11967</v>
      </c>
      <c r="Q1385" s="164" t="s">
        <v>11587</v>
      </c>
      <c r="R1385" s="177" t="s">
        <v>11580</v>
      </c>
      <c r="S1385" s="354"/>
      <c r="T1385" s="173"/>
      <c r="U1385" s="173"/>
      <c r="V1385" s="173" t="s">
        <v>3535</v>
      </c>
      <c r="W1385" s="313" t="s">
        <v>11994</v>
      </c>
      <c r="X1385" s="645" t="s">
        <v>11859</v>
      </c>
      <c r="Y1385" s="354"/>
      <c r="Z1385" s="176"/>
      <c r="AA1385" s="176"/>
      <c r="AB1385" s="32">
        <f t="shared" ca="1" si="28"/>
        <v>0.73394975897032821</v>
      </c>
      <c r="AC1385" s="812"/>
      <c r="AD1385" s="763"/>
      <c r="AE1385" s="807"/>
      <c r="AF1385" s="921">
        <f>IF(X1385=X1384,AF1384,0)+IF(ISNUMBER(I1385),IF(I1385&lt;1,I1385,I1385*VLOOKUP(J1385,Summary!$H$2:$I$9,2)),VLOOKUP(J1385,Summary!$J$2:$K$9,2)*IF(ISNUMBER(H1385),H1385,1))</f>
        <v>0.73263888888888939</v>
      </c>
      <c r="AG1385" s="289">
        <v>1384</v>
      </c>
      <c r="AH1385" s="94"/>
      <c r="AI1385" s="94"/>
    </row>
    <row r="1386" spans="1:35" s="3" customFormat="1" ht="12" customHeight="1" x14ac:dyDescent="0.25">
      <c r="A1386" s="408"/>
      <c r="B1386" s="408" t="s">
        <v>8364</v>
      </c>
      <c r="C1386" s="497">
        <v>10.039999999999999</v>
      </c>
      <c r="D1386" s="176" t="s">
        <v>11974</v>
      </c>
      <c r="E1386" s="313" t="s">
        <v>11975</v>
      </c>
      <c r="F1386" s="175">
        <v>42776</v>
      </c>
      <c r="G1386" s="175"/>
      <c r="H1386" s="176" t="s">
        <v>461</v>
      </c>
      <c r="I1386" s="176"/>
      <c r="J1386" s="900" t="s">
        <v>2755</v>
      </c>
      <c r="K1386" s="164" t="s">
        <v>12006</v>
      </c>
      <c r="L1386" s="164" t="s">
        <v>461</v>
      </c>
      <c r="M1386" s="164"/>
      <c r="N1386" s="164" t="s">
        <v>11966</v>
      </c>
      <c r="O1386" s="164"/>
      <c r="P1386" s="173" t="s">
        <v>11967</v>
      </c>
      <c r="Q1386" s="164" t="s">
        <v>11587</v>
      </c>
      <c r="R1386" s="177" t="s">
        <v>11580</v>
      </c>
      <c r="S1386" s="354"/>
      <c r="T1386" s="173"/>
      <c r="U1386" s="173"/>
      <c r="V1386" s="173" t="s">
        <v>3535</v>
      </c>
      <c r="W1386" s="313" t="s">
        <v>11995</v>
      </c>
      <c r="X1386" s="645" t="s">
        <v>11859</v>
      </c>
      <c r="Y1386" s="354"/>
      <c r="Z1386" s="176"/>
      <c r="AA1386" s="176"/>
      <c r="AB1386" s="32">
        <f t="shared" ca="1" si="28"/>
        <v>0.56883357171091753</v>
      </c>
      <c r="AC1386" s="812"/>
      <c r="AD1386" s="763"/>
      <c r="AE1386" s="807"/>
      <c r="AF1386" s="921">
        <f>IF(X1386=X1385,AF1385,0)+IF(ISNUMBER(I1386),IF(I1386&lt;1,I1386,I1386*VLOOKUP(J1386,Summary!$H$2:$I$9,2)),VLOOKUP(J1386,Summary!$J$2:$K$9,2)*IF(ISNUMBER(H1386),H1386,1))</f>
        <v>0.75000000000000056</v>
      </c>
      <c r="AG1386" s="289">
        <v>1385</v>
      </c>
      <c r="AH1386" s="94"/>
      <c r="AI1386" s="94"/>
    </row>
    <row r="1387" spans="1:35" s="43" customFormat="1" ht="12" customHeight="1" x14ac:dyDescent="0.25">
      <c r="A1387" s="408"/>
      <c r="B1387" s="408" t="s">
        <v>8364</v>
      </c>
      <c r="C1387" s="497">
        <v>10.050000000000001</v>
      </c>
      <c r="D1387" s="176" t="s">
        <v>11976</v>
      </c>
      <c r="E1387" s="313" t="s">
        <v>11977</v>
      </c>
      <c r="F1387" s="175">
        <v>42776</v>
      </c>
      <c r="G1387" s="175"/>
      <c r="H1387" s="176" t="s">
        <v>461</v>
      </c>
      <c r="I1387" s="176"/>
      <c r="J1387" s="900" t="s">
        <v>2755</v>
      </c>
      <c r="K1387" s="164" t="s">
        <v>12007</v>
      </c>
      <c r="L1387" s="164" t="s">
        <v>461</v>
      </c>
      <c r="M1387" s="164"/>
      <c r="N1387" s="164" t="s">
        <v>11966</v>
      </c>
      <c r="O1387" s="164"/>
      <c r="P1387" s="173" t="s">
        <v>11967</v>
      </c>
      <c r="Q1387" s="164" t="s">
        <v>11587</v>
      </c>
      <c r="R1387" s="177" t="s">
        <v>11580</v>
      </c>
      <c r="S1387" s="354"/>
      <c r="T1387" s="173"/>
      <c r="U1387" s="173"/>
      <c r="V1387" s="173" t="s">
        <v>3535</v>
      </c>
      <c r="W1387" s="313" t="s">
        <v>11996</v>
      </c>
      <c r="X1387" s="645" t="s">
        <v>11859</v>
      </c>
      <c r="Y1387" s="354"/>
      <c r="Z1387" s="176"/>
      <c r="AA1387" s="176"/>
      <c r="AB1387" s="32">
        <f t="shared" ca="1" si="28"/>
        <v>0.5579372123308316</v>
      </c>
      <c r="AC1387" s="812"/>
      <c r="AD1387" s="763"/>
      <c r="AE1387" s="807"/>
      <c r="AF1387" s="921">
        <f>IF(X1387=X1386,AF1386,0)+IF(ISNUMBER(I1387),IF(I1387&lt;1,I1387,I1387*VLOOKUP(J1387,Summary!$H$2:$I$9,2)),VLOOKUP(J1387,Summary!$J$2:$K$9,2)*IF(ISNUMBER(H1387),H1387,1))</f>
        <v>0.76736111111111172</v>
      </c>
      <c r="AG1387" s="289">
        <v>1386</v>
      </c>
      <c r="AH1387" s="94"/>
      <c r="AI1387" s="94"/>
    </row>
    <row r="1388" spans="1:35" s="22" customFormat="1" ht="12" customHeight="1" x14ac:dyDescent="0.25">
      <c r="A1388" s="408"/>
      <c r="B1388" s="408" t="s">
        <v>8364</v>
      </c>
      <c r="C1388" s="497">
        <v>10.06</v>
      </c>
      <c r="D1388" s="176" t="s">
        <v>11978</v>
      </c>
      <c r="E1388" s="313" t="s">
        <v>11979</v>
      </c>
      <c r="F1388" s="175">
        <v>42776</v>
      </c>
      <c r="G1388" s="175"/>
      <c r="H1388" s="176" t="s">
        <v>461</v>
      </c>
      <c r="I1388" s="176"/>
      <c r="J1388" s="900" t="s">
        <v>2755</v>
      </c>
      <c r="K1388" s="164" t="s">
        <v>12008</v>
      </c>
      <c r="L1388" s="164" t="s">
        <v>461</v>
      </c>
      <c r="M1388" s="164"/>
      <c r="N1388" s="164" t="s">
        <v>11966</v>
      </c>
      <c r="O1388" s="164"/>
      <c r="P1388" s="173" t="s">
        <v>11967</v>
      </c>
      <c r="Q1388" s="164" t="s">
        <v>11587</v>
      </c>
      <c r="R1388" s="177" t="s">
        <v>11580</v>
      </c>
      <c r="S1388" s="354"/>
      <c r="T1388" s="173"/>
      <c r="U1388" s="173"/>
      <c r="V1388" s="173" t="s">
        <v>3535</v>
      </c>
      <c r="W1388" s="313" t="s">
        <v>11997</v>
      </c>
      <c r="X1388" s="645" t="s">
        <v>11859</v>
      </c>
      <c r="Y1388" s="354"/>
      <c r="Z1388" s="176"/>
      <c r="AA1388" s="176"/>
      <c r="AB1388" s="32">
        <f t="shared" ca="1" si="28"/>
        <v>0.53139978451865599</v>
      </c>
      <c r="AC1388" s="812"/>
      <c r="AD1388" s="763"/>
      <c r="AE1388" s="807"/>
      <c r="AF1388" s="921">
        <f>IF(X1388=X1387,AF1387,0)+IF(ISNUMBER(I1388),IF(I1388&lt;1,I1388,I1388*VLOOKUP(J1388,Summary!$H$2:$I$9,2)),VLOOKUP(J1388,Summary!$J$2:$K$9,2)*IF(ISNUMBER(H1388),H1388,1))</f>
        <v>0.78472222222222288</v>
      </c>
      <c r="AG1388" s="289">
        <v>1387</v>
      </c>
      <c r="AH1388" s="94"/>
      <c r="AI1388" s="94"/>
    </row>
    <row r="1389" spans="1:35" s="29" customFormat="1" ht="12" customHeight="1" x14ac:dyDescent="0.25">
      <c r="A1389" s="408"/>
      <c r="B1389" s="408" t="s">
        <v>8364</v>
      </c>
      <c r="C1389" s="497">
        <v>10.07</v>
      </c>
      <c r="D1389" s="176" t="s">
        <v>11980</v>
      </c>
      <c r="E1389" s="313" t="s">
        <v>11981</v>
      </c>
      <c r="F1389" s="175">
        <v>42776</v>
      </c>
      <c r="G1389" s="175"/>
      <c r="H1389" s="176" t="s">
        <v>461</v>
      </c>
      <c r="I1389" s="176"/>
      <c r="J1389" s="900" t="s">
        <v>2755</v>
      </c>
      <c r="K1389" s="164" t="s">
        <v>12009</v>
      </c>
      <c r="L1389" s="164" t="s">
        <v>461</v>
      </c>
      <c r="M1389" s="164"/>
      <c r="N1389" s="164" t="s">
        <v>11966</v>
      </c>
      <c r="O1389" s="164"/>
      <c r="P1389" s="173" t="s">
        <v>11967</v>
      </c>
      <c r="Q1389" s="164" t="s">
        <v>11587</v>
      </c>
      <c r="R1389" s="177" t="s">
        <v>11580</v>
      </c>
      <c r="S1389" s="354"/>
      <c r="T1389" s="173"/>
      <c r="U1389" s="173"/>
      <c r="V1389" s="173" t="s">
        <v>3535</v>
      </c>
      <c r="W1389" s="313" t="s">
        <v>11998</v>
      </c>
      <c r="X1389" s="645" t="s">
        <v>11859</v>
      </c>
      <c r="Y1389" s="354"/>
      <c r="Z1389" s="176"/>
      <c r="AA1389" s="176"/>
      <c r="AB1389" s="32">
        <f t="shared" ca="1" si="28"/>
        <v>0.66001157410837641</v>
      </c>
      <c r="AC1389" s="812"/>
      <c r="AD1389" s="763"/>
      <c r="AE1389" s="807"/>
      <c r="AF1389" s="921">
        <f>IF(X1389=X1388,AF1388,0)+IF(ISNUMBER(I1389),IF(I1389&lt;1,I1389,I1389*VLOOKUP(J1389,Summary!$H$2:$I$9,2)),VLOOKUP(J1389,Summary!$J$2:$K$9,2)*IF(ISNUMBER(H1389),H1389,1))</f>
        <v>0.80208333333333404</v>
      </c>
      <c r="AG1389" s="289">
        <v>1388</v>
      </c>
      <c r="AH1389" s="94"/>
      <c r="AI1389" s="94"/>
    </row>
    <row r="1390" spans="1:35" s="43" customFormat="1" ht="12" customHeight="1" x14ac:dyDescent="0.25">
      <c r="A1390" s="408"/>
      <c r="B1390" s="408" t="s">
        <v>8364</v>
      </c>
      <c r="C1390" s="497">
        <v>10.08</v>
      </c>
      <c r="D1390" s="176" t="s">
        <v>11982</v>
      </c>
      <c r="E1390" s="313" t="s">
        <v>11983</v>
      </c>
      <c r="F1390" s="175">
        <v>42776</v>
      </c>
      <c r="G1390" s="175"/>
      <c r="H1390" s="176" t="s">
        <v>461</v>
      </c>
      <c r="I1390" s="176"/>
      <c r="J1390" s="900" t="s">
        <v>2755</v>
      </c>
      <c r="K1390" s="164" t="s">
        <v>12010</v>
      </c>
      <c r="L1390" s="164" t="s">
        <v>461</v>
      </c>
      <c r="M1390" s="164"/>
      <c r="N1390" s="164" t="s">
        <v>11966</v>
      </c>
      <c r="O1390" s="164"/>
      <c r="P1390" s="173" t="s">
        <v>11967</v>
      </c>
      <c r="Q1390" s="164" t="s">
        <v>11587</v>
      </c>
      <c r="R1390" s="177" t="s">
        <v>11580</v>
      </c>
      <c r="S1390" s="354"/>
      <c r="T1390" s="173"/>
      <c r="U1390" s="173"/>
      <c r="V1390" s="173" t="s">
        <v>3535</v>
      </c>
      <c r="W1390" s="313" t="s">
        <v>11999</v>
      </c>
      <c r="X1390" s="645" t="s">
        <v>11859</v>
      </c>
      <c r="Y1390" s="354"/>
      <c r="Z1390" s="176"/>
      <c r="AA1390" s="176"/>
      <c r="AB1390" s="32">
        <f t="shared" ca="1" si="28"/>
        <v>0.98993264216261168</v>
      </c>
      <c r="AC1390" s="812"/>
      <c r="AD1390" s="763"/>
      <c r="AE1390" s="807"/>
      <c r="AF1390" s="921">
        <f>IF(X1390=X1389,AF1389,0)+IF(ISNUMBER(I1390),IF(I1390&lt;1,I1390,I1390*VLOOKUP(J1390,Summary!$H$2:$I$9,2)),VLOOKUP(J1390,Summary!$J$2:$K$9,2)*IF(ISNUMBER(H1390),H1390,1))</f>
        <v>0.8194444444444452</v>
      </c>
      <c r="AG1390" s="289">
        <v>1389</v>
      </c>
      <c r="AH1390" s="94"/>
      <c r="AI1390" s="94"/>
    </row>
    <row r="1391" spans="1:35" s="1" customFormat="1" ht="12" customHeight="1" x14ac:dyDescent="0.25">
      <c r="A1391" s="408"/>
      <c r="B1391" s="408" t="s">
        <v>8364</v>
      </c>
      <c r="C1391" s="497">
        <v>10.09</v>
      </c>
      <c r="D1391" s="176" t="s">
        <v>11984</v>
      </c>
      <c r="E1391" s="313" t="s">
        <v>11985</v>
      </c>
      <c r="F1391" s="175">
        <v>42776</v>
      </c>
      <c r="G1391" s="175"/>
      <c r="H1391" s="176" t="s">
        <v>461</v>
      </c>
      <c r="I1391" s="176"/>
      <c r="J1391" s="900" t="s">
        <v>2755</v>
      </c>
      <c r="K1391" s="164" t="s">
        <v>12011</v>
      </c>
      <c r="L1391" s="164" t="s">
        <v>461</v>
      </c>
      <c r="M1391" s="164"/>
      <c r="N1391" s="164" t="s">
        <v>11966</v>
      </c>
      <c r="O1391" s="164"/>
      <c r="P1391" s="173" t="s">
        <v>11967</v>
      </c>
      <c r="Q1391" s="164" t="s">
        <v>11587</v>
      </c>
      <c r="R1391" s="177" t="s">
        <v>11580</v>
      </c>
      <c r="S1391" s="354"/>
      <c r="T1391" s="173"/>
      <c r="U1391" s="173"/>
      <c r="V1391" s="173" t="s">
        <v>3535</v>
      </c>
      <c r="W1391" s="313" t="s">
        <v>12000</v>
      </c>
      <c r="X1391" s="645" t="s">
        <v>11859</v>
      </c>
      <c r="Y1391" s="354"/>
      <c r="Z1391" s="176"/>
      <c r="AA1391" s="176"/>
      <c r="AB1391" s="32">
        <f t="shared" ca="1" si="28"/>
        <v>0.78241681533979124</v>
      </c>
      <c r="AC1391" s="812"/>
      <c r="AD1391" s="763"/>
      <c r="AE1391" s="807"/>
      <c r="AF1391" s="921">
        <f>IF(X1391=X1390,AF1390,0)+IF(ISNUMBER(I1391),IF(I1391&lt;1,I1391,I1391*VLOOKUP(J1391,Summary!$H$2:$I$9,2)),VLOOKUP(J1391,Summary!$J$2:$K$9,2)*IF(ISNUMBER(H1391),H1391,1))</f>
        <v>0.83680555555555636</v>
      </c>
      <c r="AG1391" s="289">
        <v>1390</v>
      </c>
      <c r="AH1391" s="94"/>
      <c r="AI1391" s="94"/>
    </row>
    <row r="1392" spans="1:35" s="7" customFormat="1" ht="12" customHeight="1" x14ac:dyDescent="0.25">
      <c r="A1392" s="408"/>
      <c r="B1392" s="408" t="s">
        <v>8364</v>
      </c>
      <c r="C1392" s="497">
        <v>10.1</v>
      </c>
      <c r="D1392" s="176" t="s">
        <v>11986</v>
      </c>
      <c r="E1392" s="313" t="s">
        <v>11987</v>
      </c>
      <c r="F1392" s="175">
        <v>42776</v>
      </c>
      <c r="G1392" s="175"/>
      <c r="H1392" s="176" t="s">
        <v>461</v>
      </c>
      <c r="I1392" s="176"/>
      <c r="J1392" s="900" t="s">
        <v>2755</v>
      </c>
      <c r="K1392" s="164" t="s">
        <v>12012</v>
      </c>
      <c r="L1392" s="164" t="s">
        <v>461</v>
      </c>
      <c r="M1392" s="164"/>
      <c r="N1392" s="164" t="s">
        <v>11966</v>
      </c>
      <c r="O1392" s="164"/>
      <c r="P1392" s="173" t="s">
        <v>11967</v>
      </c>
      <c r="Q1392" s="164" t="s">
        <v>11587</v>
      </c>
      <c r="R1392" s="177" t="s">
        <v>11580</v>
      </c>
      <c r="S1392" s="354"/>
      <c r="T1392" s="173"/>
      <c r="U1392" s="173"/>
      <c r="V1392" s="173" t="s">
        <v>3535</v>
      </c>
      <c r="W1392" s="313" t="s">
        <v>12001</v>
      </c>
      <c r="X1392" s="645" t="s">
        <v>11859</v>
      </c>
      <c r="Y1392" s="354"/>
      <c r="Z1392" s="176"/>
      <c r="AA1392" s="176"/>
      <c r="AB1392" s="32">
        <f t="shared" ca="1" si="28"/>
        <v>0.82184869262037108</v>
      </c>
      <c r="AC1392" s="812"/>
      <c r="AD1392" s="763"/>
      <c r="AE1392" s="807"/>
      <c r="AF1392" s="921">
        <f>IF(X1392=X1391,AF1391,0)+IF(ISNUMBER(I1392),IF(I1392&lt;1,I1392,I1392*VLOOKUP(J1392,Summary!$H$2:$I$9,2)),VLOOKUP(J1392,Summary!$J$2:$K$9,2)*IF(ISNUMBER(H1392),H1392,1))</f>
        <v>0.85416666666666752</v>
      </c>
      <c r="AG1392" s="289">
        <v>1391</v>
      </c>
      <c r="AH1392" s="94"/>
      <c r="AI1392" s="94"/>
    </row>
    <row r="1393" spans="1:35" s="1" customFormat="1" ht="12" customHeight="1" x14ac:dyDescent="0.25">
      <c r="A1393" s="408"/>
      <c r="B1393" s="408" t="s">
        <v>8364</v>
      </c>
      <c r="C1393" s="497">
        <v>10.11</v>
      </c>
      <c r="D1393" s="176" t="s">
        <v>11988</v>
      </c>
      <c r="E1393" s="313" t="s">
        <v>11989</v>
      </c>
      <c r="F1393" s="175">
        <v>42776</v>
      </c>
      <c r="G1393" s="175"/>
      <c r="H1393" s="176" t="s">
        <v>461</v>
      </c>
      <c r="I1393" s="176"/>
      <c r="J1393" s="900" t="s">
        <v>2755</v>
      </c>
      <c r="K1393" s="164" t="s">
        <v>12013</v>
      </c>
      <c r="L1393" s="164" t="s">
        <v>461</v>
      </c>
      <c r="M1393" s="164"/>
      <c r="N1393" s="164" t="s">
        <v>11966</v>
      </c>
      <c r="O1393" s="164"/>
      <c r="P1393" s="173" t="s">
        <v>11967</v>
      </c>
      <c r="Q1393" s="164" t="s">
        <v>11587</v>
      </c>
      <c r="R1393" s="177" t="s">
        <v>11580</v>
      </c>
      <c r="S1393" s="354"/>
      <c r="T1393" s="173"/>
      <c r="U1393" s="173"/>
      <c r="V1393" s="173" t="s">
        <v>3535</v>
      </c>
      <c r="W1393" s="313" t="s">
        <v>12002</v>
      </c>
      <c r="X1393" s="645" t="s">
        <v>11859</v>
      </c>
      <c r="Y1393" s="354"/>
      <c r="Z1393" s="176"/>
      <c r="AA1393" s="176"/>
      <c r="AB1393" s="32">
        <f t="shared" ca="1" si="28"/>
        <v>0.74299873907596348</v>
      </c>
      <c r="AC1393" s="812"/>
      <c r="AD1393" s="763"/>
      <c r="AE1393" s="807"/>
      <c r="AF1393" s="921">
        <f>IF(X1393=X1392,AF1392,0)+IF(ISNUMBER(I1393),IF(I1393&lt;1,I1393,I1393*VLOOKUP(J1393,Summary!$H$2:$I$9,2)),VLOOKUP(J1393,Summary!$J$2:$K$9,2)*IF(ISNUMBER(H1393),H1393,1))</f>
        <v>0.87152777777777868</v>
      </c>
      <c r="AG1393" s="289">
        <v>1392</v>
      </c>
      <c r="AH1393" s="94"/>
      <c r="AI1393" s="94"/>
    </row>
    <row r="1394" spans="1:35" s="1" customFormat="1" ht="12" customHeight="1" x14ac:dyDescent="0.25">
      <c r="A1394" s="408"/>
      <c r="B1394" s="408" t="s">
        <v>8364</v>
      </c>
      <c r="C1394" s="497">
        <v>10.119999999999999</v>
      </c>
      <c r="D1394" s="176" t="s">
        <v>11990</v>
      </c>
      <c r="E1394" s="313" t="s">
        <v>11991</v>
      </c>
      <c r="F1394" s="175">
        <v>42776</v>
      </c>
      <c r="G1394" s="175"/>
      <c r="H1394" s="176" t="s">
        <v>461</v>
      </c>
      <c r="I1394" s="176"/>
      <c r="J1394" s="900" t="s">
        <v>2755</v>
      </c>
      <c r="K1394" s="164" t="s">
        <v>12014</v>
      </c>
      <c r="L1394" s="164" t="s">
        <v>461</v>
      </c>
      <c r="M1394" s="164"/>
      <c r="N1394" s="164" t="s">
        <v>11966</v>
      </c>
      <c r="O1394" s="164"/>
      <c r="P1394" s="173" t="s">
        <v>11967</v>
      </c>
      <c r="Q1394" s="164" t="s">
        <v>11587</v>
      </c>
      <c r="R1394" s="177" t="s">
        <v>11580</v>
      </c>
      <c r="S1394" s="354"/>
      <c r="T1394" s="173"/>
      <c r="U1394" s="173"/>
      <c r="V1394" s="173" t="s">
        <v>3535</v>
      </c>
      <c r="W1394" s="313" t="s">
        <v>12003</v>
      </c>
      <c r="X1394" s="645" t="s">
        <v>11859</v>
      </c>
      <c r="Y1394" s="354"/>
      <c r="Z1394" s="176"/>
      <c r="AA1394" s="176"/>
      <c r="AB1394" s="32">
        <f t="shared" ca="1" si="28"/>
        <v>0.73528942617790294</v>
      </c>
      <c r="AC1394" s="812"/>
      <c r="AD1394" s="763"/>
      <c r="AE1394" s="807"/>
      <c r="AF1394" s="921">
        <f>IF(X1394=X1393,AF1393,0)+IF(ISNUMBER(I1394),IF(I1394&lt;1,I1394,I1394*VLOOKUP(J1394,Summary!$H$2:$I$9,2)),VLOOKUP(J1394,Summary!$J$2:$K$9,2)*IF(ISNUMBER(H1394),H1394,1))</f>
        <v>0.88888888888888984</v>
      </c>
      <c r="AG1394" s="289">
        <v>1393</v>
      </c>
      <c r="AH1394" s="94"/>
      <c r="AI1394" s="94"/>
    </row>
    <row r="1395" spans="1:35" s="29" customFormat="1" ht="12" customHeight="1" x14ac:dyDescent="0.25">
      <c r="A1395" s="487" t="s">
        <v>353</v>
      </c>
      <c r="B1395" s="487">
        <v>4</v>
      </c>
      <c r="C1395" s="487">
        <v>98</v>
      </c>
      <c r="D1395" s="424" t="s">
        <v>354</v>
      </c>
      <c r="E1395" s="319" t="s">
        <v>355</v>
      </c>
      <c r="F1395" s="198">
        <v>28735</v>
      </c>
      <c r="G1395" s="198">
        <v>28756</v>
      </c>
      <c r="H1395" s="199">
        <v>4</v>
      </c>
      <c r="I1395" s="791">
        <f>TIME(0,25, 2)+TIME(0,24,46)+TIME(0,24,42)+TIME(0,24,50)</f>
        <v>6.8981481481481477E-2</v>
      </c>
      <c r="J1395" s="904" t="s">
        <v>1588</v>
      </c>
      <c r="K1395" s="200" t="s">
        <v>1093</v>
      </c>
      <c r="L1395" s="200" t="s">
        <v>1630</v>
      </c>
      <c r="M1395" s="200"/>
      <c r="N1395" s="200" t="s">
        <v>349</v>
      </c>
      <c r="O1395" s="200" t="s">
        <v>1624</v>
      </c>
      <c r="P1395" s="197" t="s">
        <v>461</v>
      </c>
      <c r="Q1395" s="200" t="s">
        <v>3946</v>
      </c>
      <c r="R1395" s="201" t="s">
        <v>5280</v>
      </c>
      <c r="S1395" s="390" t="s">
        <v>2609</v>
      </c>
      <c r="T1395" s="197" t="s">
        <v>6335</v>
      </c>
      <c r="U1395" s="197"/>
      <c r="V1395" s="197"/>
      <c r="W1395" s="318" t="s">
        <v>9659</v>
      </c>
      <c r="X1395" s="650" t="s">
        <v>12329</v>
      </c>
      <c r="Y1395" s="358" t="s">
        <v>6141</v>
      </c>
      <c r="Z1395" s="253">
        <v>83</v>
      </c>
      <c r="AA1395" s="253">
        <v>7.5</v>
      </c>
      <c r="AB1395" s="35">
        <f t="shared" ca="1" si="28"/>
        <v>0.20058000096622552</v>
      </c>
      <c r="AC1395" s="820"/>
      <c r="AD1395" s="821" t="s">
        <v>16343</v>
      </c>
      <c r="AE1395" s="944" t="s">
        <v>3365</v>
      </c>
      <c r="AF1395" s="925">
        <f>IF(X1395=X1394,AF1394,0)+IF(ISNUMBER(I1395),IF(I1395&lt;1,I1395,I1395*VLOOKUP(J1395,Summary!$H$2:$I$9,2)),VLOOKUP(J1395,Summary!$J$2:$K$9,2)*IF(ISNUMBER(H1395),H1395,1))</f>
        <v>6.8981481481481477E-2</v>
      </c>
      <c r="AG1395" s="293">
        <v>1394</v>
      </c>
      <c r="AH1395" s="94"/>
      <c r="AI1395" s="94"/>
    </row>
    <row r="1396" spans="1:35" s="3" customFormat="1" ht="12" customHeight="1" x14ac:dyDescent="0.25">
      <c r="A1396" s="488">
        <v>16</v>
      </c>
      <c r="B1396" s="488">
        <v>4</v>
      </c>
      <c r="C1396" s="488"/>
      <c r="D1396" s="428" t="s">
        <v>5893</v>
      </c>
      <c r="E1396" s="325" t="s">
        <v>5894</v>
      </c>
      <c r="F1396" s="185">
        <v>1995</v>
      </c>
      <c r="G1396" s="184"/>
      <c r="H1396" s="185">
        <v>1</v>
      </c>
      <c r="I1396" s="185">
        <v>8</v>
      </c>
      <c r="J1396" s="901" t="s">
        <v>1796</v>
      </c>
      <c r="K1396" s="158" t="s">
        <v>3451</v>
      </c>
      <c r="L1396" s="158" t="s">
        <v>5895</v>
      </c>
      <c r="M1396" s="158"/>
      <c r="N1396" s="163" t="s">
        <v>7375</v>
      </c>
      <c r="O1396" s="158"/>
      <c r="P1396" s="182" t="s">
        <v>461</v>
      </c>
      <c r="Q1396" s="158" t="s">
        <v>4062</v>
      </c>
      <c r="R1396" s="186" t="s">
        <v>5266</v>
      </c>
      <c r="S1396" s="355" t="s">
        <v>2609</v>
      </c>
      <c r="T1396" s="182" t="s">
        <v>6335</v>
      </c>
      <c r="U1396" s="182"/>
      <c r="V1396" s="182"/>
      <c r="W1396" s="325" t="s">
        <v>5894</v>
      </c>
      <c r="X1396" s="657" t="s">
        <v>12329</v>
      </c>
      <c r="Y1396" s="361"/>
      <c r="Z1396" s="362"/>
      <c r="AA1396" s="362"/>
      <c r="AB1396" s="33">
        <f t="shared" ca="1" si="28"/>
        <v>0.88488196226494287</v>
      </c>
      <c r="AC1396" s="813"/>
      <c r="AD1396" s="211" t="s">
        <v>16179</v>
      </c>
      <c r="AE1396" s="875" t="s">
        <v>12543</v>
      </c>
      <c r="AF1396" s="922">
        <f>IF(X1396=X1395,AF1395,0)+IF(ISNUMBER(I1396),IF(I1396&lt;1,I1396,I1396*VLOOKUP(J1396,Summary!$H$2:$I$9,2)),VLOOKUP(J1396,Summary!$J$2:$K$9,2)*IF(ISNUMBER(H1396),H1396,1))</f>
        <v>7.1759259259259259E-2</v>
      </c>
      <c r="AG1396" s="290">
        <v>1395</v>
      </c>
      <c r="AH1396" s="94"/>
      <c r="AI1396" s="94"/>
    </row>
    <row r="1397" spans="1:35" s="2" customFormat="1" ht="12" customHeight="1" x14ac:dyDescent="0.25">
      <c r="A1397" s="492" t="s">
        <v>353</v>
      </c>
      <c r="B1397" s="492">
        <v>4</v>
      </c>
      <c r="C1397" s="492">
        <v>29</v>
      </c>
      <c r="D1397" s="417" t="s">
        <v>356</v>
      </c>
      <c r="E1397" s="316" t="s">
        <v>357</v>
      </c>
      <c r="F1397" s="187">
        <v>36557</v>
      </c>
      <c r="G1397" s="188"/>
      <c r="H1397" s="188" t="str">
        <f>IF(J1397="Book","n/a","")</f>
        <v>n/a</v>
      </c>
      <c r="I1397" s="188">
        <v>278</v>
      </c>
      <c r="J1397" s="902" t="s">
        <v>6868</v>
      </c>
      <c r="K1397" s="162" t="s">
        <v>6356</v>
      </c>
      <c r="L1397" s="162" t="str">
        <f>IF(J1397="Book","n/a","")</f>
        <v>n/a</v>
      </c>
      <c r="M1397" s="162"/>
      <c r="N1397" s="162"/>
      <c r="O1397" s="162"/>
      <c r="P1397" s="178" t="s">
        <v>8954</v>
      </c>
      <c r="Q1397" s="162" t="s">
        <v>3953</v>
      </c>
      <c r="R1397" s="189" t="s">
        <v>2717</v>
      </c>
      <c r="S1397" s="366" t="s">
        <v>2609</v>
      </c>
      <c r="T1397" s="178"/>
      <c r="U1397" s="178"/>
      <c r="V1397" s="178"/>
      <c r="W1397" s="316" t="s">
        <v>357</v>
      </c>
      <c r="X1397" s="648" t="s">
        <v>12329</v>
      </c>
      <c r="Y1397" s="356"/>
      <c r="Z1397" s="272"/>
      <c r="AA1397" s="272"/>
      <c r="AB1397" s="34">
        <f t="shared" ca="1" si="28"/>
        <v>0.9208219847410557</v>
      </c>
      <c r="AC1397" s="814"/>
      <c r="AD1397" s="815" t="s">
        <v>16411</v>
      </c>
      <c r="AE1397" s="942" t="s">
        <v>12543</v>
      </c>
      <c r="AF1397" s="923">
        <f>IF(X1397=X1396,AF1396,0)+IF(ISNUMBER(I1397),IF(I1397&lt;1,I1397,I1397*VLOOKUP(J1397,Summary!$H$2:$I$9,2)),VLOOKUP(J1397,Summary!$J$2:$K$9,2)*IF(ISNUMBER(H1397),H1397,1))</f>
        <v>0.26481481481481484</v>
      </c>
      <c r="AG1397" s="291">
        <v>1396</v>
      </c>
      <c r="AH1397" s="94"/>
      <c r="AI1397" s="94"/>
    </row>
    <row r="1398" spans="1:35" s="7" customFormat="1" ht="12" customHeight="1" x14ac:dyDescent="0.25">
      <c r="A1398" s="490">
        <v>16</v>
      </c>
      <c r="B1398" s="490">
        <v>4</v>
      </c>
      <c r="C1398" s="490">
        <v>14</v>
      </c>
      <c r="D1398" s="176" t="s">
        <v>9794</v>
      </c>
      <c r="E1398" s="313" t="s">
        <v>9793</v>
      </c>
      <c r="F1398" s="175">
        <v>41802</v>
      </c>
      <c r="G1398" s="174"/>
      <c r="H1398" s="176">
        <v>1</v>
      </c>
      <c r="I1398" s="176">
        <v>8</v>
      </c>
      <c r="J1398" s="900" t="s">
        <v>2755</v>
      </c>
      <c r="K1398" s="164" t="s">
        <v>9281</v>
      </c>
      <c r="L1398" s="164" t="s">
        <v>461</v>
      </c>
      <c r="M1398" s="164"/>
      <c r="N1398" s="164" t="s">
        <v>543</v>
      </c>
      <c r="O1398" s="164"/>
      <c r="P1398" s="173" t="s">
        <v>9278</v>
      </c>
      <c r="Q1398" s="164" t="s">
        <v>3953</v>
      </c>
      <c r="R1398" s="177" t="s">
        <v>9279</v>
      </c>
      <c r="S1398" s="354" t="s">
        <v>2609</v>
      </c>
      <c r="T1398" s="173"/>
      <c r="U1398" s="173"/>
      <c r="V1398" s="173"/>
      <c r="W1398" s="313" t="s">
        <v>9793</v>
      </c>
      <c r="X1398" s="645" t="s">
        <v>12329</v>
      </c>
      <c r="Y1398" s="354" t="s">
        <v>6868</v>
      </c>
      <c r="Z1398" s="176"/>
      <c r="AA1398" s="176"/>
      <c r="AB1398" s="32">
        <f t="shared" ca="1" si="28"/>
        <v>0.66373115801935367</v>
      </c>
      <c r="AC1398" s="812"/>
      <c r="AD1398" s="763"/>
      <c r="AE1398" s="807"/>
      <c r="AF1398" s="921">
        <f>IF(X1398=X1397,AF1397,0)+IF(ISNUMBER(I1398),IF(I1398&lt;1,I1398,I1398*VLOOKUP(J1398,Summary!$H$2:$I$9,2)),VLOOKUP(J1398,Summary!$J$2:$K$9,2)*IF(ISNUMBER(H1398),H1398,1))</f>
        <v>0.27037037037037037</v>
      </c>
      <c r="AG1398" s="289">
        <v>1397</v>
      </c>
      <c r="AH1398" s="94"/>
      <c r="AI1398" s="94"/>
    </row>
    <row r="1399" spans="1:35" s="7" customFormat="1" ht="12" customHeight="1" x14ac:dyDescent="0.25">
      <c r="A1399" s="487" t="s">
        <v>353</v>
      </c>
      <c r="B1399" s="487">
        <v>4</v>
      </c>
      <c r="C1399" s="487">
        <v>99</v>
      </c>
      <c r="D1399" s="424" t="s">
        <v>358</v>
      </c>
      <c r="E1399" s="319" t="s">
        <v>359</v>
      </c>
      <c r="F1399" s="198">
        <v>28763</v>
      </c>
      <c r="G1399" s="198">
        <v>28784</v>
      </c>
      <c r="H1399" s="199">
        <v>4</v>
      </c>
      <c r="I1399" s="791">
        <f>TIME(0,25, 5)+TIME(0,25,30)+TIME(0,25,47)+TIME(0,25,16)</f>
        <v>7.0578703703703699E-2</v>
      </c>
      <c r="J1399" s="904" t="s">
        <v>1588</v>
      </c>
      <c r="K1399" s="200" t="s">
        <v>360</v>
      </c>
      <c r="L1399" s="200" t="s">
        <v>5750</v>
      </c>
      <c r="M1399" s="200"/>
      <c r="N1399" s="200" t="s">
        <v>349</v>
      </c>
      <c r="O1399" s="200" t="s">
        <v>1624</v>
      </c>
      <c r="P1399" s="197" t="s">
        <v>461</v>
      </c>
      <c r="Q1399" s="200" t="s">
        <v>3946</v>
      </c>
      <c r="R1399" s="201" t="s">
        <v>5280</v>
      </c>
      <c r="S1399" s="390" t="s">
        <v>2609</v>
      </c>
      <c r="T1399" s="197" t="s">
        <v>6335</v>
      </c>
      <c r="U1399" s="197"/>
      <c r="V1399" s="197"/>
      <c r="W1399" s="318" t="s">
        <v>15287</v>
      </c>
      <c r="X1399" s="650" t="s">
        <v>12329</v>
      </c>
      <c r="Y1399" s="358" t="s">
        <v>6141</v>
      </c>
      <c r="Z1399" s="253">
        <v>164</v>
      </c>
      <c r="AA1399" s="253">
        <v>5</v>
      </c>
      <c r="AB1399" s="35">
        <f t="shared" ca="1" si="28"/>
        <v>0.35973120074747267</v>
      </c>
      <c r="AC1399" s="820"/>
      <c r="AD1399" s="821" t="s">
        <v>15993</v>
      </c>
      <c r="AE1399" s="944" t="s">
        <v>12543</v>
      </c>
      <c r="AF1399" s="925">
        <f>IF(X1399=X1398,AF1398,0)+IF(ISNUMBER(I1399),IF(I1399&lt;1,I1399,I1399*VLOOKUP(J1399,Summary!$H$2:$I$9,2)),VLOOKUP(J1399,Summary!$J$2:$K$9,2)*IF(ISNUMBER(H1399),H1399,1))</f>
        <v>0.34094907407407404</v>
      </c>
      <c r="AG1399" s="293">
        <v>1398</v>
      </c>
      <c r="AH1399" s="94"/>
      <c r="AI1399" s="94"/>
    </row>
    <row r="1400" spans="1:35" s="27" customFormat="1" ht="12" customHeight="1" x14ac:dyDescent="0.25">
      <c r="A1400" s="487" t="s">
        <v>353</v>
      </c>
      <c r="B1400" s="487">
        <v>4</v>
      </c>
      <c r="C1400" s="487">
        <v>100</v>
      </c>
      <c r="D1400" s="424" t="s">
        <v>361</v>
      </c>
      <c r="E1400" s="319" t="s">
        <v>362</v>
      </c>
      <c r="F1400" s="198">
        <v>28791</v>
      </c>
      <c r="G1400" s="198">
        <v>28812</v>
      </c>
      <c r="H1400" s="199">
        <v>4</v>
      </c>
      <c r="I1400" s="791">
        <f>TIME(0,24,20)+TIME(0,23,53)+TIME(0,24,27)+TIME(0,23, 7)</f>
        <v>6.6516203703703702E-2</v>
      </c>
      <c r="J1400" s="904" t="s">
        <v>1588</v>
      </c>
      <c r="K1400" s="200" t="s">
        <v>363</v>
      </c>
      <c r="L1400" s="200" t="s">
        <v>364</v>
      </c>
      <c r="M1400" s="200"/>
      <c r="N1400" s="200" t="s">
        <v>349</v>
      </c>
      <c r="O1400" s="200" t="s">
        <v>1624</v>
      </c>
      <c r="P1400" s="197" t="s">
        <v>461</v>
      </c>
      <c r="Q1400" s="200" t="s">
        <v>3946</v>
      </c>
      <c r="R1400" s="201" t="s">
        <v>5280</v>
      </c>
      <c r="S1400" s="390" t="s">
        <v>2609</v>
      </c>
      <c r="T1400" s="197" t="s">
        <v>6335</v>
      </c>
      <c r="U1400" s="197"/>
      <c r="V1400" s="197"/>
      <c r="W1400" s="318" t="s">
        <v>9672</v>
      </c>
      <c r="X1400" s="650" t="s">
        <v>12329</v>
      </c>
      <c r="Y1400" s="358" t="s">
        <v>6141</v>
      </c>
      <c r="Z1400" s="253">
        <v>124</v>
      </c>
      <c r="AA1400" s="253">
        <v>6.5</v>
      </c>
      <c r="AB1400" s="35">
        <f t="shared" ca="1" si="28"/>
        <v>0.68275852352516564</v>
      </c>
      <c r="AC1400" s="820"/>
      <c r="AD1400" s="821" t="s">
        <v>15993</v>
      </c>
      <c r="AE1400" s="944" t="s">
        <v>12543</v>
      </c>
      <c r="AF1400" s="925">
        <f>IF(X1400=X1399,AF1399,0)+IF(ISNUMBER(I1400),IF(I1400&lt;1,I1400,I1400*VLOOKUP(J1400,Summary!$H$2:$I$9,2)),VLOOKUP(J1400,Summary!$J$2:$K$9,2)*IF(ISNUMBER(H1400),H1400,1))</f>
        <v>0.40746527777777775</v>
      </c>
      <c r="AG1400" s="293">
        <v>1399</v>
      </c>
      <c r="AH1400" s="119"/>
      <c r="AI1400" s="119"/>
    </row>
    <row r="1401" spans="1:35" s="2" customFormat="1" ht="12" customHeight="1" x14ac:dyDescent="0.25">
      <c r="A1401" s="492" t="s">
        <v>353</v>
      </c>
      <c r="B1401" s="492">
        <v>4</v>
      </c>
      <c r="C1401" s="492">
        <v>25</v>
      </c>
      <c r="D1401" s="417" t="s">
        <v>365</v>
      </c>
      <c r="E1401" s="316" t="s">
        <v>366</v>
      </c>
      <c r="F1401" s="187">
        <v>35278</v>
      </c>
      <c r="G1401" s="188"/>
      <c r="H1401" s="188" t="str">
        <f>IF(J1401="Book","n/a","")</f>
        <v>n/a</v>
      </c>
      <c r="I1401" s="188">
        <v>293</v>
      </c>
      <c r="J1401" s="902" t="s">
        <v>6868</v>
      </c>
      <c r="K1401" s="162" t="s">
        <v>6234</v>
      </c>
      <c r="L1401" s="162" t="str">
        <f>IF(J1401="Book","n/a","")</f>
        <v>n/a</v>
      </c>
      <c r="M1401" s="162"/>
      <c r="N1401" s="162"/>
      <c r="O1401" s="162"/>
      <c r="P1401" s="178" t="s">
        <v>8610</v>
      </c>
      <c r="Q1401" s="162" t="s">
        <v>601</v>
      </c>
      <c r="R1401" s="189" t="s">
        <v>2715</v>
      </c>
      <c r="S1401" s="366" t="s">
        <v>2609</v>
      </c>
      <c r="T1401" s="178" t="s">
        <v>6335</v>
      </c>
      <c r="U1401" s="178"/>
      <c r="V1401" s="178"/>
      <c r="W1401" s="316" t="s">
        <v>366</v>
      </c>
      <c r="X1401" s="648" t="s">
        <v>12329</v>
      </c>
      <c r="Y1401" s="356"/>
      <c r="Z1401" s="272">
        <v>41</v>
      </c>
      <c r="AA1401" s="272">
        <v>7.5</v>
      </c>
      <c r="AB1401" s="34">
        <f t="shared" ca="1" si="28"/>
        <v>0.10603384290884355</v>
      </c>
      <c r="AC1401" s="814"/>
      <c r="AD1401" s="815" t="s">
        <v>16717</v>
      </c>
      <c r="AE1401" s="942"/>
      <c r="AF1401" s="923">
        <f>IF(X1401=X1400,AF1400,0)+IF(ISNUMBER(I1401),IF(I1401&lt;1,I1401,I1401*VLOOKUP(J1401,Summary!$H$2:$I$9,2)),VLOOKUP(J1401,Summary!$J$2:$K$9,2)*IF(ISNUMBER(H1401),H1401,1))</f>
        <v>0.61093749999999991</v>
      </c>
      <c r="AG1401" s="291">
        <v>1400</v>
      </c>
      <c r="AH1401" s="94"/>
      <c r="AI1401" s="94"/>
    </row>
    <row r="1402" spans="1:35" s="1" customFormat="1" ht="12" customHeight="1" x14ac:dyDescent="0.25">
      <c r="A1402" s="492" t="s">
        <v>353</v>
      </c>
      <c r="B1402" s="492">
        <v>4</v>
      </c>
      <c r="C1402" s="492">
        <v>32</v>
      </c>
      <c r="D1402" s="417" t="s">
        <v>367</v>
      </c>
      <c r="E1402" s="316" t="s">
        <v>368</v>
      </c>
      <c r="F1402" s="187">
        <v>36678</v>
      </c>
      <c r="G1402" s="188"/>
      <c r="H1402" s="188" t="str">
        <f>IF(J1402="Book","n/a","")</f>
        <v>n/a</v>
      </c>
      <c r="I1402" s="188">
        <v>280</v>
      </c>
      <c r="J1402" s="902" t="s">
        <v>6868</v>
      </c>
      <c r="K1402" s="162" t="s">
        <v>2309</v>
      </c>
      <c r="L1402" s="162" t="str">
        <f>IF(J1402="Book","n/a","")</f>
        <v>n/a</v>
      </c>
      <c r="M1402" s="162"/>
      <c r="N1402" s="162"/>
      <c r="O1402" s="162"/>
      <c r="P1402" s="178" t="s">
        <v>8957</v>
      </c>
      <c r="Q1402" s="162" t="s">
        <v>3953</v>
      </c>
      <c r="R1402" s="189" t="s">
        <v>2717</v>
      </c>
      <c r="S1402" s="366" t="s">
        <v>2609</v>
      </c>
      <c r="T1402" s="178" t="s">
        <v>6335</v>
      </c>
      <c r="U1402" s="178"/>
      <c r="V1402" s="178"/>
      <c r="W1402" s="316" t="s">
        <v>368</v>
      </c>
      <c r="X1402" s="648" t="s">
        <v>12329</v>
      </c>
      <c r="Y1402" s="356"/>
      <c r="Z1402" s="272"/>
      <c r="AA1402" s="272"/>
      <c r="AB1402" s="34">
        <f t="shared" ca="1" si="28"/>
        <v>0.65053654557228602</v>
      </c>
      <c r="AC1402" s="814"/>
      <c r="AD1402" s="815" t="s">
        <v>16492</v>
      </c>
      <c r="AE1402" s="942" t="s">
        <v>3234</v>
      </c>
      <c r="AF1402" s="923">
        <f>IF(X1402=X1401,AF1401,0)+IF(ISNUMBER(I1402),IF(I1402&lt;1,I1402,I1402*VLOOKUP(J1402,Summary!$H$2:$I$9,2)),VLOOKUP(J1402,Summary!$J$2:$K$9,2)*IF(ISNUMBER(H1402),H1402,1))</f>
        <v>0.80538194444444433</v>
      </c>
      <c r="AG1402" s="291">
        <v>1401</v>
      </c>
      <c r="AH1402" s="94"/>
      <c r="AI1402" s="94"/>
    </row>
    <row r="1403" spans="1:35" s="22" customFormat="1" ht="12" customHeight="1" x14ac:dyDescent="0.2">
      <c r="A1403" s="484" t="s">
        <v>353</v>
      </c>
      <c r="B1403" s="484">
        <v>4</v>
      </c>
      <c r="C1403" s="505">
        <v>5.1100000000000003</v>
      </c>
      <c r="D1403" s="407" t="s">
        <v>4550</v>
      </c>
      <c r="E1403" s="315" t="s">
        <v>2967</v>
      </c>
      <c r="F1403" s="169">
        <v>40664</v>
      </c>
      <c r="G1403" s="170"/>
      <c r="H1403" s="170">
        <v>2</v>
      </c>
      <c r="I1403" s="746">
        <f>TIME(0,58,2)</f>
        <v>4.0300925925925928E-2</v>
      </c>
      <c r="J1403" s="899" t="s">
        <v>4706</v>
      </c>
      <c r="K1403" s="167" t="s">
        <v>4551</v>
      </c>
      <c r="L1403" s="167" t="s">
        <v>5662</v>
      </c>
      <c r="M1403" s="167" t="s">
        <v>8061</v>
      </c>
      <c r="N1403" s="167"/>
      <c r="O1403" s="167"/>
      <c r="P1403" s="168" t="s">
        <v>9200</v>
      </c>
      <c r="Q1403" s="167" t="s">
        <v>3947</v>
      </c>
      <c r="R1403" s="172" t="s">
        <v>3153</v>
      </c>
      <c r="S1403" s="388" t="s">
        <v>2609</v>
      </c>
      <c r="T1403" s="168" t="s">
        <v>6335</v>
      </c>
      <c r="U1403" s="168"/>
      <c r="V1403" s="168"/>
      <c r="W1403" s="312" t="s">
        <v>10313</v>
      </c>
      <c r="X1403" s="644" t="s">
        <v>12329</v>
      </c>
      <c r="Y1403" s="352" t="s">
        <v>5643</v>
      </c>
      <c r="Z1403" s="353">
        <v>481</v>
      </c>
      <c r="AA1403" s="353">
        <v>4</v>
      </c>
      <c r="AB1403" s="31">
        <f t="shared" ca="1" si="28"/>
        <v>0.6635692257463397</v>
      </c>
      <c r="AC1403" s="810"/>
      <c r="AD1403" s="811" t="s">
        <v>15888</v>
      </c>
      <c r="AE1403" s="940" t="s">
        <v>12543</v>
      </c>
      <c r="AF1403" s="920">
        <f>IF(X1403=X1402,AF1402,0)+IF(ISNUMBER(I1403),IF(I1403&lt;1,I1403,I1403*VLOOKUP(J1403,Summary!$H$2:$I$9,2)),VLOOKUP(J1403,Summary!$J$2:$K$9,2)*IF(ISNUMBER(H1403),H1403,1))</f>
        <v>0.84568287037037027</v>
      </c>
      <c r="AG1403" s="287">
        <v>1402</v>
      </c>
      <c r="AH1403" s="94"/>
      <c r="AI1403" s="94"/>
    </row>
    <row r="1404" spans="1:35" s="22" customFormat="1" ht="12" customHeight="1" x14ac:dyDescent="0.25">
      <c r="A1404" s="487" t="s">
        <v>353</v>
      </c>
      <c r="B1404" s="487">
        <v>4</v>
      </c>
      <c r="C1404" s="487">
        <v>101</v>
      </c>
      <c r="D1404" s="424" t="s">
        <v>369</v>
      </c>
      <c r="E1404" s="319" t="s">
        <v>370</v>
      </c>
      <c r="F1404" s="198">
        <v>28819</v>
      </c>
      <c r="G1404" s="198">
        <v>28840</v>
      </c>
      <c r="H1404" s="199">
        <v>4</v>
      </c>
      <c r="I1404" s="791">
        <f>TIME(0,24,53)+TIME(0,24,27)+TIME(0,23,52)+TIME(0,24,49)</f>
        <v>6.806712962962963E-2</v>
      </c>
      <c r="J1404" s="904" t="s">
        <v>1588</v>
      </c>
      <c r="K1404" s="200" t="s">
        <v>363</v>
      </c>
      <c r="L1404" s="200" t="s">
        <v>371</v>
      </c>
      <c r="M1404" s="200"/>
      <c r="N1404" s="200" t="s">
        <v>349</v>
      </c>
      <c r="O1404" s="200" t="s">
        <v>1624</v>
      </c>
      <c r="P1404" s="197" t="s">
        <v>461</v>
      </c>
      <c r="Q1404" s="200" t="s">
        <v>3946</v>
      </c>
      <c r="R1404" s="201" t="s">
        <v>5280</v>
      </c>
      <c r="S1404" s="390" t="s">
        <v>2609</v>
      </c>
      <c r="T1404" s="197" t="s">
        <v>6335</v>
      </c>
      <c r="U1404" s="197"/>
      <c r="V1404" s="197"/>
      <c r="W1404" s="318" t="s">
        <v>8711</v>
      </c>
      <c r="X1404" s="650" t="s">
        <v>12329</v>
      </c>
      <c r="Y1404" s="358" t="s">
        <v>6141</v>
      </c>
      <c r="Z1404" s="253">
        <v>142</v>
      </c>
      <c r="AA1404" s="253">
        <v>6</v>
      </c>
      <c r="AB1404" s="35">
        <f t="shared" ca="1" si="28"/>
        <v>0.29973374057971958</v>
      </c>
      <c r="AC1404" s="820"/>
      <c r="AD1404" s="821" t="s">
        <v>16184</v>
      </c>
      <c r="AE1404" s="944" t="s">
        <v>12543</v>
      </c>
      <c r="AF1404" s="925">
        <f>IF(X1404=X1403,AF1403,0)+IF(ISNUMBER(I1404),IF(I1404&lt;1,I1404,I1404*VLOOKUP(J1404,Summary!$H$2:$I$9,2)),VLOOKUP(J1404,Summary!$J$2:$K$9,2)*IF(ISNUMBER(H1404),H1404,1))</f>
        <v>0.91374999999999984</v>
      </c>
      <c r="AG1404" s="293">
        <v>1403</v>
      </c>
      <c r="AH1404" s="94"/>
      <c r="AI1404" s="94"/>
    </row>
    <row r="1405" spans="1:35" s="2" customFormat="1" ht="12" customHeight="1" x14ac:dyDescent="0.25">
      <c r="A1405" s="408">
        <v>16</v>
      </c>
      <c r="B1405" s="408" t="s">
        <v>2650</v>
      </c>
      <c r="C1405" s="408">
        <v>15</v>
      </c>
      <c r="D1405" s="176" t="s">
        <v>9827</v>
      </c>
      <c r="E1405" s="313" t="s">
        <v>9828</v>
      </c>
      <c r="F1405" s="175">
        <v>41802</v>
      </c>
      <c r="G1405" s="174"/>
      <c r="H1405" s="176">
        <v>1</v>
      </c>
      <c r="I1405" s="176">
        <v>6</v>
      </c>
      <c r="J1405" s="900" t="s">
        <v>2755</v>
      </c>
      <c r="K1405" s="164" t="s">
        <v>9281</v>
      </c>
      <c r="L1405" s="164" t="s">
        <v>461</v>
      </c>
      <c r="M1405" s="164"/>
      <c r="N1405" s="164" t="s">
        <v>543</v>
      </c>
      <c r="O1405" s="164"/>
      <c r="P1405" s="173" t="s">
        <v>9278</v>
      </c>
      <c r="Q1405" s="164" t="s">
        <v>3953</v>
      </c>
      <c r="R1405" s="177" t="s">
        <v>9279</v>
      </c>
      <c r="S1405" s="354"/>
      <c r="T1405" s="173"/>
      <c r="U1405" s="173"/>
      <c r="V1405" s="173"/>
      <c r="W1405" s="313" t="s">
        <v>9828</v>
      </c>
      <c r="X1405" s="645" t="s">
        <v>12329</v>
      </c>
      <c r="Y1405" s="354" t="s">
        <v>6868</v>
      </c>
      <c r="Z1405" s="176"/>
      <c r="AA1405" s="176"/>
      <c r="AB1405" s="32">
        <f t="shared" ca="1" si="28"/>
        <v>0.21940585251151878</v>
      </c>
      <c r="AC1405" s="812"/>
      <c r="AD1405" s="763"/>
      <c r="AE1405" s="807"/>
      <c r="AF1405" s="921">
        <f>IF(X1405=X1404,AF1404,0)+IF(ISNUMBER(I1405),IF(I1405&lt;1,I1405,I1405*VLOOKUP(J1405,Summary!$H$2:$I$9,2)),VLOOKUP(J1405,Summary!$J$2:$K$9,2)*IF(ISNUMBER(H1405),H1405,1))</f>
        <v>0.91791666666666649</v>
      </c>
      <c r="AG1405" s="289">
        <v>1404</v>
      </c>
      <c r="AH1405" s="94"/>
      <c r="AI1405" s="94"/>
    </row>
    <row r="1406" spans="1:35" s="2" customFormat="1" ht="12" customHeight="1" x14ac:dyDescent="0.25">
      <c r="A1406" s="490" t="s">
        <v>353</v>
      </c>
      <c r="B1406" s="490">
        <v>4</v>
      </c>
      <c r="C1406" s="490">
        <v>24.18</v>
      </c>
      <c r="D1406" s="434" t="s">
        <v>3750</v>
      </c>
      <c r="E1406" s="324" t="s">
        <v>3749</v>
      </c>
      <c r="F1406" s="174">
        <v>39264</v>
      </c>
      <c r="G1406" s="174"/>
      <c r="H1406" s="176">
        <v>1</v>
      </c>
      <c r="I1406" s="176">
        <v>24</v>
      </c>
      <c r="J1406" s="900" t="s">
        <v>2755</v>
      </c>
      <c r="K1406" s="164" t="s">
        <v>3748</v>
      </c>
      <c r="L1406" s="164" t="s">
        <v>461</v>
      </c>
      <c r="M1406" s="164"/>
      <c r="N1406" s="164" t="s">
        <v>4425</v>
      </c>
      <c r="O1406" s="164"/>
      <c r="P1406" s="173" t="s">
        <v>5601</v>
      </c>
      <c r="Q1406" s="164" t="s">
        <v>3947</v>
      </c>
      <c r="R1406" s="179" t="s">
        <v>2723</v>
      </c>
      <c r="S1406" s="354" t="s">
        <v>2609</v>
      </c>
      <c r="T1406" s="173"/>
      <c r="U1406" s="173"/>
      <c r="V1406" s="173"/>
      <c r="W1406" s="324" t="s">
        <v>3749</v>
      </c>
      <c r="X1406" s="656" t="s">
        <v>12329</v>
      </c>
      <c r="Y1406" s="354"/>
      <c r="Z1406" s="176"/>
      <c r="AA1406" s="176"/>
      <c r="AB1406" s="32">
        <f t="shared" ca="1" si="28"/>
        <v>0.41197100204123571</v>
      </c>
      <c r="AC1406" s="812"/>
      <c r="AD1406" s="763"/>
      <c r="AE1406" s="951"/>
      <c r="AF1406" s="921">
        <f>IF(X1406=X1405,AF1405,0)+IF(ISNUMBER(I1406),IF(I1406&lt;1,I1406,I1406*VLOOKUP(J1406,Summary!$H$2:$I$9,2)),VLOOKUP(J1406,Summary!$J$2:$K$9,2)*IF(ISNUMBER(H1406),H1406,1))</f>
        <v>0.93458333333333321</v>
      </c>
      <c r="AG1406" s="288">
        <v>1405</v>
      </c>
      <c r="AH1406" s="94"/>
      <c r="AI1406" s="94"/>
    </row>
    <row r="1407" spans="1:35" s="2" customFormat="1" ht="12" customHeight="1" x14ac:dyDescent="0.25">
      <c r="A1407" s="484" t="s">
        <v>353</v>
      </c>
      <c r="B1407" s="484">
        <v>4</v>
      </c>
      <c r="C1407" s="508">
        <v>6.0119999999999996</v>
      </c>
      <c r="D1407" s="407" t="s">
        <v>3335</v>
      </c>
      <c r="E1407" s="315" t="s">
        <v>3328</v>
      </c>
      <c r="F1407" s="169">
        <v>40725</v>
      </c>
      <c r="G1407" s="170"/>
      <c r="H1407" s="170">
        <v>1</v>
      </c>
      <c r="I1407" s="170">
        <v>0</v>
      </c>
      <c r="J1407" s="899" t="s">
        <v>4706</v>
      </c>
      <c r="K1407" s="167" t="s">
        <v>177</v>
      </c>
      <c r="L1407" s="167" t="s">
        <v>5662</v>
      </c>
      <c r="M1407" s="167" t="s">
        <v>3329</v>
      </c>
      <c r="N1407" s="167"/>
      <c r="O1407" s="167"/>
      <c r="P1407" s="168" t="s">
        <v>6703</v>
      </c>
      <c r="Q1407" s="167" t="s">
        <v>3947</v>
      </c>
      <c r="R1407" s="172" t="s">
        <v>3153</v>
      </c>
      <c r="S1407" s="388" t="s">
        <v>2609</v>
      </c>
      <c r="T1407" s="168" t="s">
        <v>6335</v>
      </c>
      <c r="U1407" s="168"/>
      <c r="V1407" s="168"/>
      <c r="W1407" s="315" t="s">
        <v>8660</v>
      </c>
      <c r="X1407" s="647" t="s">
        <v>12329</v>
      </c>
      <c r="Y1407" s="352" t="s">
        <v>5643</v>
      </c>
      <c r="Z1407" s="353" t="s">
        <v>461</v>
      </c>
      <c r="AA1407" s="353"/>
      <c r="AB1407" s="31">
        <f t="shared" ca="1" si="28"/>
        <v>0.26045387924676766</v>
      </c>
      <c r="AC1407" s="810"/>
      <c r="AD1407" s="811" t="s">
        <v>15843</v>
      </c>
      <c r="AE1407" s="948"/>
      <c r="AF1407" s="920">
        <f>IF(X1407=X1406,AF1406,0)+IF(ISNUMBER(I1407),IF(I1407&lt;1,I1407,I1407*VLOOKUP(J1407,Summary!$H$2:$I$9,2)),VLOOKUP(J1407,Summary!$J$2:$K$9,2)*IF(ISNUMBER(H1407),H1407,1))</f>
        <v>0.93458333333333321</v>
      </c>
      <c r="AG1407" s="287">
        <v>1406</v>
      </c>
      <c r="AH1407" s="94"/>
      <c r="AI1407" s="94"/>
    </row>
    <row r="1408" spans="1:35" s="43" customFormat="1" ht="12" customHeight="1" x14ac:dyDescent="0.25">
      <c r="A1408" s="490">
        <v>16</v>
      </c>
      <c r="B1408" s="490">
        <v>4</v>
      </c>
      <c r="C1408" s="490">
        <v>25</v>
      </c>
      <c r="D1408" s="176" t="s">
        <v>14136</v>
      </c>
      <c r="E1408" s="313" t="s">
        <v>14138</v>
      </c>
      <c r="F1408" s="175">
        <v>34606</v>
      </c>
      <c r="G1408" s="174"/>
      <c r="H1408" s="176">
        <v>1</v>
      </c>
      <c r="I1408" s="176">
        <v>2</v>
      </c>
      <c r="J1408" s="900" t="s">
        <v>2755</v>
      </c>
      <c r="K1408" s="164" t="s">
        <v>6236</v>
      </c>
      <c r="L1408" s="164" t="s">
        <v>10253</v>
      </c>
      <c r="M1408" s="164"/>
      <c r="N1408" s="164" t="s">
        <v>7375</v>
      </c>
      <c r="O1408" s="164"/>
      <c r="P1408" s="173" t="s">
        <v>461</v>
      </c>
      <c r="Q1408" s="164" t="s">
        <v>4062</v>
      </c>
      <c r="R1408" s="177" t="s">
        <v>14089</v>
      </c>
      <c r="S1408" s="354"/>
      <c r="T1408" s="173" t="s">
        <v>6335</v>
      </c>
      <c r="U1408" s="173"/>
      <c r="V1408" s="173"/>
      <c r="W1408" s="313" t="s">
        <v>14138</v>
      </c>
      <c r="X1408" s="645" t="s">
        <v>12329</v>
      </c>
      <c r="Y1408" s="354"/>
      <c r="Z1408" s="176"/>
      <c r="AA1408" s="176"/>
      <c r="AB1408" s="32">
        <f t="shared" ca="1" si="28"/>
        <v>0.31896755844383973</v>
      </c>
      <c r="AC1408" s="812"/>
      <c r="AD1408" s="763"/>
      <c r="AE1408" s="807"/>
      <c r="AF1408" s="921">
        <f>IF(X1408=X1407,AF1407,0)+IF(ISNUMBER(I1408),IF(I1408&lt;1,I1408,I1408*VLOOKUP(J1408,Summary!$H$2:$I$9,2)),VLOOKUP(J1408,Summary!$J$2:$K$9,2)*IF(ISNUMBER(H1408),H1408,1))</f>
        <v>0.93597222222222209</v>
      </c>
      <c r="AG1408" s="289">
        <v>1407</v>
      </c>
      <c r="AH1408" s="94"/>
      <c r="AI1408" s="94"/>
    </row>
    <row r="1409" spans="1:35" s="43" customFormat="1" ht="12" customHeight="1" x14ac:dyDescent="0.25">
      <c r="A1409" s="487" t="s">
        <v>353</v>
      </c>
      <c r="B1409" s="487">
        <v>4</v>
      </c>
      <c r="C1409" s="487">
        <v>102</v>
      </c>
      <c r="D1409" s="424" t="s">
        <v>372</v>
      </c>
      <c r="E1409" s="319" t="s">
        <v>4596</v>
      </c>
      <c r="F1409" s="198">
        <v>28847</v>
      </c>
      <c r="G1409" s="198">
        <v>28868</v>
      </c>
      <c r="H1409" s="199">
        <v>4</v>
      </c>
      <c r="I1409" s="791">
        <f>TIME(0,23,16)+TIME(0,23,57)+TIME(0,21,56)+TIME(0,21,58)</f>
        <v>6.3275462962962964E-2</v>
      </c>
      <c r="J1409" s="904" t="s">
        <v>1588</v>
      </c>
      <c r="K1409" s="200" t="s">
        <v>1093</v>
      </c>
      <c r="L1409" s="200" t="s">
        <v>348</v>
      </c>
      <c r="M1409" s="200"/>
      <c r="N1409" s="200" t="s">
        <v>349</v>
      </c>
      <c r="O1409" s="200" t="s">
        <v>1624</v>
      </c>
      <c r="P1409" s="197" t="s">
        <v>461</v>
      </c>
      <c r="Q1409" s="200" t="s">
        <v>3946</v>
      </c>
      <c r="R1409" s="201" t="s">
        <v>5280</v>
      </c>
      <c r="S1409" s="390" t="s">
        <v>2609</v>
      </c>
      <c r="T1409" s="197"/>
      <c r="U1409" s="197"/>
      <c r="V1409" s="197"/>
      <c r="W1409" s="318"/>
      <c r="X1409" s="650" t="s">
        <v>12329</v>
      </c>
      <c r="Y1409" s="358" t="s">
        <v>6141</v>
      </c>
      <c r="Z1409" s="253">
        <v>206</v>
      </c>
      <c r="AA1409" s="253">
        <v>4.5</v>
      </c>
      <c r="AB1409" s="35">
        <f t="shared" ca="1" si="28"/>
        <v>0.37043915270545047</v>
      </c>
      <c r="AC1409" s="820"/>
      <c r="AD1409" s="821" t="s">
        <v>16318</v>
      </c>
      <c r="AE1409" s="944" t="s">
        <v>3365</v>
      </c>
      <c r="AF1409" s="925">
        <f>IF(X1409=X1408,AF1408,0)+IF(ISNUMBER(I1409),IF(I1409&lt;1,I1409,I1409*VLOOKUP(J1409,Summary!$H$2:$I$9,2)),VLOOKUP(J1409,Summary!$J$2:$K$9,2)*IF(ISNUMBER(H1409),H1409,1))</f>
        <v>0.99924768518518503</v>
      </c>
      <c r="AG1409" s="293">
        <v>1408</v>
      </c>
      <c r="AH1409" s="94"/>
      <c r="AI1409" s="94"/>
    </row>
    <row r="1410" spans="1:35" s="22" customFormat="1" ht="12" customHeight="1" x14ac:dyDescent="0.25">
      <c r="A1410" s="491">
        <v>16</v>
      </c>
      <c r="B1410" s="491">
        <v>4</v>
      </c>
      <c r="C1410" s="491"/>
      <c r="D1410" s="509"/>
      <c r="E1410" s="335" t="s">
        <v>266</v>
      </c>
      <c r="F1410" s="223">
        <v>28849</v>
      </c>
      <c r="G1410" s="223"/>
      <c r="H1410" s="242">
        <v>1</v>
      </c>
      <c r="I1410" s="792">
        <f>TIME(0,1,14)</f>
        <v>8.564814814814815E-4</v>
      </c>
      <c r="J1410" s="909" t="s">
        <v>1588</v>
      </c>
      <c r="K1410" s="243" t="s">
        <v>461</v>
      </c>
      <c r="L1410" s="243" t="s">
        <v>371</v>
      </c>
      <c r="M1410" s="243"/>
      <c r="N1410" s="243"/>
      <c r="O1410" s="243" t="s">
        <v>1624</v>
      </c>
      <c r="P1410" s="241" t="s">
        <v>461</v>
      </c>
      <c r="Q1410" s="243" t="s">
        <v>3946</v>
      </c>
      <c r="R1410" s="244" t="s">
        <v>237</v>
      </c>
      <c r="S1410" s="395" t="s">
        <v>2609</v>
      </c>
      <c r="T1410" s="241" t="s">
        <v>6335</v>
      </c>
      <c r="U1410" s="241"/>
      <c r="V1410" s="241"/>
      <c r="W1410" s="335" t="s">
        <v>266</v>
      </c>
      <c r="X1410" s="667" t="s">
        <v>12329</v>
      </c>
      <c r="Y1410" s="375" t="s">
        <v>6141</v>
      </c>
      <c r="Z1410" s="376">
        <v>191</v>
      </c>
      <c r="AA1410" s="377">
        <v>5</v>
      </c>
      <c r="AB1410" s="55">
        <f t="shared" ref="AB1410:AB1473" ca="1" si="29">RAND()</f>
        <v>0.12052293491326838</v>
      </c>
      <c r="AC1410" s="834"/>
      <c r="AD1410" s="835"/>
      <c r="AE1410" s="957"/>
      <c r="AF1410" s="930">
        <f>IF(X1410=X1409,AF1409,0)+IF(ISNUMBER(I1410),IF(I1410&lt;1,I1410,I1410*VLOOKUP(J1410,Summary!$H$2:$I$9,2)),VLOOKUP(J1410,Summary!$J$2:$K$9,2)*IF(ISNUMBER(H1410),H1410,1))</f>
        <v>1.0001041666666666</v>
      </c>
      <c r="AG1410" s="302">
        <v>1409</v>
      </c>
      <c r="AH1410" s="94"/>
      <c r="AI1410" s="94"/>
    </row>
    <row r="1411" spans="1:35" s="1" customFormat="1" ht="12" customHeight="1" x14ac:dyDescent="0.25">
      <c r="A1411" s="487">
        <v>16</v>
      </c>
      <c r="B1411" s="487">
        <v>4</v>
      </c>
      <c r="C1411" s="487">
        <v>103</v>
      </c>
      <c r="D1411" s="424" t="s">
        <v>4597</v>
      </c>
      <c r="E1411" s="319" t="s">
        <v>2963</v>
      </c>
      <c r="F1411" s="198">
        <v>28875</v>
      </c>
      <c r="G1411" s="198">
        <v>28910</v>
      </c>
      <c r="H1411" s="199">
        <v>6</v>
      </c>
      <c r="I1411" s="791">
        <f>TIME(0,24,39)+TIME(0,23,56)+TIME(0,25, 3)+TIME(0,25, 9)+TIME(0,24,42)+TIME(0,25, 9)</f>
        <v>0.1032175925925926</v>
      </c>
      <c r="J1411" s="904" t="s">
        <v>1588</v>
      </c>
      <c r="K1411" s="200" t="s">
        <v>7012</v>
      </c>
      <c r="L1411" s="200" t="s">
        <v>371</v>
      </c>
      <c r="M1411" s="200"/>
      <c r="N1411" s="200" t="s">
        <v>360</v>
      </c>
      <c r="O1411" s="200" t="s">
        <v>1624</v>
      </c>
      <c r="P1411" s="197" t="s">
        <v>461</v>
      </c>
      <c r="Q1411" s="200" t="s">
        <v>3946</v>
      </c>
      <c r="R1411" s="201" t="s">
        <v>5280</v>
      </c>
      <c r="S1411" s="390" t="s">
        <v>2609</v>
      </c>
      <c r="T1411" s="197" t="s">
        <v>6335</v>
      </c>
      <c r="U1411" s="197"/>
      <c r="V1411" s="197"/>
      <c r="W1411" s="318" t="s">
        <v>9668</v>
      </c>
      <c r="X1411" s="650" t="s">
        <v>12329</v>
      </c>
      <c r="Y1411" s="358" t="s">
        <v>6141</v>
      </c>
      <c r="Z1411" s="253">
        <v>246</v>
      </c>
      <c r="AA1411" s="253">
        <v>3.5</v>
      </c>
      <c r="AB1411" s="35">
        <f t="shared" ca="1" si="29"/>
        <v>0.74847960378020717</v>
      </c>
      <c r="AC1411" s="820"/>
      <c r="AD1411" s="821"/>
      <c r="AE1411" s="944"/>
      <c r="AF1411" s="925">
        <f>IF(X1411=X1410,AF1410,0)+IF(ISNUMBER(I1411),IF(I1411&lt;1,I1411,I1411*VLOOKUP(J1411,Summary!$H$2:$I$9,2)),VLOOKUP(J1411,Summary!$J$2:$K$9,2)*IF(ISNUMBER(H1411),H1411,1))</f>
        <v>1.1033217592592592</v>
      </c>
      <c r="AG1411" s="293">
        <v>1410</v>
      </c>
      <c r="AH1411" s="94"/>
      <c r="AI1411" s="94"/>
    </row>
    <row r="1412" spans="1:35" s="44" customFormat="1" ht="12" customHeight="1" x14ac:dyDescent="0.25">
      <c r="A1412" s="484" t="s">
        <v>15657</v>
      </c>
      <c r="B1412" s="484">
        <v>4</v>
      </c>
      <c r="C1412" s="502">
        <v>2.1</v>
      </c>
      <c r="D1412" s="407" t="s">
        <v>8087</v>
      </c>
      <c r="E1412" s="315" t="s">
        <v>8094</v>
      </c>
      <c r="F1412" s="169">
        <v>41275</v>
      </c>
      <c r="G1412" s="170"/>
      <c r="H1412" s="170">
        <v>2</v>
      </c>
      <c r="I1412" s="747">
        <f>TIME(0,60,0)</f>
        <v>4.1666666666666664E-2</v>
      </c>
      <c r="J1412" s="899" t="s">
        <v>4706</v>
      </c>
      <c r="K1412" s="167" t="s">
        <v>177</v>
      </c>
      <c r="L1412" s="167" t="s">
        <v>2313</v>
      </c>
      <c r="M1412" s="167"/>
      <c r="N1412" s="167"/>
      <c r="O1412" s="167"/>
      <c r="P1412" s="168" t="s">
        <v>8106</v>
      </c>
      <c r="Q1412" s="167" t="s">
        <v>3947</v>
      </c>
      <c r="R1412" s="172" t="s">
        <v>7162</v>
      </c>
      <c r="S1412" s="388" t="s">
        <v>2609</v>
      </c>
      <c r="T1412" s="168"/>
      <c r="U1412" s="168"/>
      <c r="V1412" s="168"/>
      <c r="W1412" s="312" t="s">
        <v>8435</v>
      </c>
      <c r="X1412" s="644" t="s">
        <v>12329</v>
      </c>
      <c r="Y1412" s="352" t="s">
        <v>5643</v>
      </c>
      <c r="Z1412" s="353">
        <v>119</v>
      </c>
      <c r="AA1412" s="353">
        <v>7</v>
      </c>
      <c r="AB1412" s="31">
        <f t="shared" ca="1" si="29"/>
        <v>0.73054422513455675</v>
      </c>
      <c r="AC1412" s="810"/>
      <c r="AD1412" s="811"/>
      <c r="AE1412" s="940"/>
      <c r="AF1412" s="920">
        <f>IF(X1412=X1411,AF1411,0)+IF(ISNUMBER(I1412),IF(I1412&lt;1,I1412,I1412*VLOOKUP(J1412,Summary!$H$2:$I$9,2)),VLOOKUP(J1412,Summary!$J$2:$K$9,2)*IF(ISNUMBER(H1412),H1412,1))</f>
        <v>1.144988425925926</v>
      </c>
      <c r="AG1412" s="287">
        <v>1411</v>
      </c>
      <c r="AH1412" s="94"/>
      <c r="AI1412" s="94"/>
    </row>
    <row r="1413" spans="1:35" s="2" customFormat="1" ht="12" customHeight="1" x14ac:dyDescent="0.25">
      <c r="A1413" s="484" t="s">
        <v>15657</v>
      </c>
      <c r="B1413" s="484">
        <v>4</v>
      </c>
      <c r="C1413" s="502">
        <v>2.2000000000000002</v>
      </c>
      <c r="D1413" s="407" t="s">
        <v>8088</v>
      </c>
      <c r="E1413" s="315" t="s">
        <v>8095</v>
      </c>
      <c r="F1413" s="169">
        <v>41306</v>
      </c>
      <c r="G1413" s="170"/>
      <c r="H1413" s="170">
        <v>2</v>
      </c>
      <c r="I1413" s="747">
        <f>TIME(0,60,0)</f>
        <v>4.1666666666666664E-2</v>
      </c>
      <c r="J1413" s="899" t="s">
        <v>4706</v>
      </c>
      <c r="K1413" s="167" t="s">
        <v>4549</v>
      </c>
      <c r="L1413" s="167" t="s">
        <v>4549</v>
      </c>
      <c r="M1413" s="167"/>
      <c r="N1413" s="167"/>
      <c r="O1413" s="167"/>
      <c r="P1413" s="168" t="s">
        <v>8107</v>
      </c>
      <c r="Q1413" s="167" t="s">
        <v>3947</v>
      </c>
      <c r="R1413" s="172" t="s">
        <v>7162</v>
      </c>
      <c r="S1413" s="388" t="s">
        <v>2609</v>
      </c>
      <c r="T1413" s="168" t="s">
        <v>6335</v>
      </c>
      <c r="U1413" s="168"/>
      <c r="V1413" s="168"/>
      <c r="W1413" s="312" t="s">
        <v>8436</v>
      </c>
      <c r="X1413" s="644" t="s">
        <v>12329</v>
      </c>
      <c r="Y1413" s="352" t="s">
        <v>5643</v>
      </c>
      <c r="Z1413" s="353">
        <v>594</v>
      </c>
      <c r="AA1413" s="353">
        <v>3.5</v>
      </c>
      <c r="AB1413" s="31">
        <f t="shared" ca="1" si="29"/>
        <v>0.67553400308681122</v>
      </c>
      <c r="AC1413" s="810"/>
      <c r="AD1413" s="811"/>
      <c r="AE1413" s="940"/>
      <c r="AF1413" s="920">
        <f>IF(X1413=X1412,AF1412,0)+IF(ISNUMBER(I1413),IF(I1413&lt;1,I1413,I1413*VLOOKUP(J1413,Summary!$H$2:$I$9,2)),VLOOKUP(J1413,Summary!$J$2:$K$9,2)*IF(ISNUMBER(H1413),H1413,1))</f>
        <v>1.1866550925925927</v>
      </c>
      <c r="AG1413" s="287">
        <v>1412</v>
      </c>
      <c r="AH1413" s="94"/>
      <c r="AI1413" s="94"/>
    </row>
    <row r="1414" spans="1:35" s="2" customFormat="1" ht="12" customHeight="1" x14ac:dyDescent="0.25">
      <c r="A1414" s="484" t="s">
        <v>15657</v>
      </c>
      <c r="B1414" s="484">
        <v>4</v>
      </c>
      <c r="C1414" s="502">
        <v>2.2999999999999998</v>
      </c>
      <c r="D1414" s="407" t="s">
        <v>8089</v>
      </c>
      <c r="E1414" s="315" t="s">
        <v>8096</v>
      </c>
      <c r="F1414" s="169">
        <v>41334</v>
      </c>
      <c r="G1414" s="170"/>
      <c r="H1414" s="170">
        <v>2</v>
      </c>
      <c r="I1414" s="747">
        <f>TIME(0,60,0)</f>
        <v>4.1666666666666664E-2</v>
      </c>
      <c r="J1414" s="899" t="s">
        <v>4706</v>
      </c>
      <c r="K1414" s="167" t="s">
        <v>4549</v>
      </c>
      <c r="L1414" s="167" t="s">
        <v>4549</v>
      </c>
      <c r="M1414" s="167"/>
      <c r="N1414" s="167"/>
      <c r="O1414" s="167"/>
      <c r="P1414" s="168" t="s">
        <v>8108</v>
      </c>
      <c r="Q1414" s="167" t="s">
        <v>3947</v>
      </c>
      <c r="R1414" s="172" t="s">
        <v>7162</v>
      </c>
      <c r="S1414" s="388" t="s">
        <v>2609</v>
      </c>
      <c r="T1414" s="168"/>
      <c r="U1414" s="168"/>
      <c r="V1414" s="168"/>
      <c r="W1414" s="312" t="s">
        <v>8437</v>
      </c>
      <c r="X1414" s="644" t="s">
        <v>12329</v>
      </c>
      <c r="Y1414" s="352" t="s">
        <v>5643</v>
      </c>
      <c r="Z1414" s="353">
        <v>599</v>
      </c>
      <c r="AA1414" s="353">
        <v>3.5</v>
      </c>
      <c r="AB1414" s="31">
        <f t="shared" ca="1" si="29"/>
        <v>0.71702994372815376</v>
      </c>
      <c r="AC1414" s="810"/>
      <c r="AD1414" s="811"/>
      <c r="AE1414" s="940"/>
      <c r="AF1414" s="920">
        <f>IF(X1414=X1413,AF1413,0)+IF(ISNUMBER(I1414),IF(I1414&lt;1,I1414,I1414*VLOOKUP(J1414,Summary!$H$2:$I$9,2)),VLOOKUP(J1414,Summary!$J$2:$K$9,2)*IF(ISNUMBER(H1414),H1414,1))</f>
        <v>1.2283217592592595</v>
      </c>
      <c r="AG1414" s="287">
        <v>1413</v>
      </c>
      <c r="AH1414" s="94"/>
      <c r="AI1414" s="94"/>
    </row>
    <row r="1415" spans="1:35" s="43" customFormat="1" ht="12" customHeight="1" x14ac:dyDescent="0.25">
      <c r="A1415" s="484" t="s">
        <v>15657</v>
      </c>
      <c r="B1415" s="484">
        <v>4</v>
      </c>
      <c r="C1415" s="502">
        <v>2.4</v>
      </c>
      <c r="D1415" s="407" t="s">
        <v>8090</v>
      </c>
      <c r="E1415" s="315" t="s">
        <v>8097</v>
      </c>
      <c r="F1415" s="169">
        <v>41334</v>
      </c>
      <c r="G1415" s="170"/>
      <c r="H1415" s="170">
        <v>2</v>
      </c>
      <c r="I1415" s="747">
        <f>TIME(0,60,0)</f>
        <v>4.1666666666666664E-2</v>
      </c>
      <c r="J1415" s="899" t="s">
        <v>4706</v>
      </c>
      <c r="K1415" s="167" t="s">
        <v>5666</v>
      </c>
      <c r="L1415" s="167" t="s">
        <v>2313</v>
      </c>
      <c r="M1415" s="167"/>
      <c r="N1415" s="167"/>
      <c r="O1415" s="167"/>
      <c r="P1415" s="168" t="s">
        <v>8109</v>
      </c>
      <c r="Q1415" s="167" t="s">
        <v>3947</v>
      </c>
      <c r="R1415" s="172" t="s">
        <v>7162</v>
      </c>
      <c r="S1415" s="388" t="s">
        <v>2609</v>
      </c>
      <c r="T1415" s="166"/>
      <c r="U1415" s="168" t="s">
        <v>5287</v>
      </c>
      <c r="V1415" s="168" t="s">
        <v>5288</v>
      </c>
      <c r="W1415" s="312" t="s">
        <v>8494</v>
      </c>
      <c r="X1415" s="644" t="s">
        <v>12329</v>
      </c>
      <c r="Y1415" s="352" t="s">
        <v>5643</v>
      </c>
      <c r="Z1415" s="353">
        <v>355</v>
      </c>
      <c r="AA1415" s="353">
        <v>5</v>
      </c>
      <c r="AB1415" s="31">
        <f t="shared" ca="1" si="29"/>
        <v>2.3290354088348453E-2</v>
      </c>
      <c r="AC1415" s="810"/>
      <c r="AD1415" s="825" t="s">
        <v>14975</v>
      </c>
      <c r="AE1415" s="940"/>
      <c r="AF1415" s="920">
        <f>IF(X1415=X1414,AF1414,0)+IF(ISNUMBER(I1415),IF(I1415&lt;1,I1415,I1415*VLOOKUP(J1415,Summary!$H$2:$I$9,2)),VLOOKUP(J1415,Summary!$J$2:$K$9,2)*IF(ISNUMBER(H1415),H1415,1))</f>
        <v>1.2699884259259262</v>
      </c>
      <c r="AG1415" s="287">
        <v>1414</v>
      </c>
      <c r="AH1415" s="94"/>
      <c r="AI1415" s="94"/>
    </row>
    <row r="1416" spans="1:35" s="29" customFormat="1" ht="12" customHeight="1" x14ac:dyDescent="0.25">
      <c r="A1416" s="484" t="s">
        <v>15657</v>
      </c>
      <c r="B1416" s="484">
        <v>4</v>
      </c>
      <c r="C1416" s="502">
        <v>2.5</v>
      </c>
      <c r="D1416" s="407" t="s">
        <v>8091</v>
      </c>
      <c r="E1416" s="315" t="s">
        <v>8098</v>
      </c>
      <c r="F1416" s="169">
        <v>41395</v>
      </c>
      <c r="G1416" s="170"/>
      <c r="H1416" s="170">
        <v>2</v>
      </c>
      <c r="I1416" s="747">
        <f>TIME(0,60,0)</f>
        <v>4.1666666666666664E-2</v>
      </c>
      <c r="J1416" s="899" t="s">
        <v>4706</v>
      </c>
      <c r="K1416" s="167" t="s">
        <v>177</v>
      </c>
      <c r="L1416" s="167" t="s">
        <v>2313</v>
      </c>
      <c r="M1416" s="167"/>
      <c r="N1416" s="167"/>
      <c r="O1416" s="167"/>
      <c r="P1416" s="168" t="s">
        <v>8110</v>
      </c>
      <c r="Q1416" s="167" t="s">
        <v>3947</v>
      </c>
      <c r="R1416" s="172" t="s">
        <v>7162</v>
      </c>
      <c r="S1416" s="388" t="s">
        <v>2609</v>
      </c>
      <c r="T1416" s="168" t="s">
        <v>6335</v>
      </c>
      <c r="U1416" s="168"/>
      <c r="V1416" s="168"/>
      <c r="W1416" s="312" t="s">
        <v>10195</v>
      </c>
      <c r="X1416" s="644" t="s">
        <v>12329</v>
      </c>
      <c r="Y1416" s="352" t="s">
        <v>5643</v>
      </c>
      <c r="Z1416" s="353">
        <v>449</v>
      </c>
      <c r="AA1416" s="353">
        <v>4.5</v>
      </c>
      <c r="AB1416" s="31">
        <f t="shared" ca="1" si="29"/>
        <v>0.74360125275312283</v>
      </c>
      <c r="AC1416" s="810"/>
      <c r="AD1416" s="811"/>
      <c r="AE1416" s="940"/>
      <c r="AF1416" s="920">
        <f>IF(X1416=X1415,AF1415,0)+IF(ISNUMBER(I1416),IF(I1416&lt;1,I1416,I1416*VLOOKUP(J1416,Summary!$H$2:$I$9,2)),VLOOKUP(J1416,Summary!$J$2:$K$9,2)*IF(ISNUMBER(H1416),H1416,1))</f>
        <v>1.3116550925925929</v>
      </c>
      <c r="AG1416" s="287">
        <v>1415</v>
      </c>
      <c r="AH1416" s="94"/>
      <c r="AI1416" s="94"/>
    </row>
    <row r="1417" spans="1:35" s="29" customFormat="1" ht="12" customHeight="1" x14ac:dyDescent="0.25">
      <c r="A1417" s="490" t="s">
        <v>15657</v>
      </c>
      <c r="B1417" s="490">
        <v>4</v>
      </c>
      <c r="C1417" s="490">
        <v>27.05</v>
      </c>
      <c r="D1417" s="434" t="s">
        <v>7911</v>
      </c>
      <c r="E1417" s="324" t="s">
        <v>3751</v>
      </c>
      <c r="F1417" s="174">
        <v>39569</v>
      </c>
      <c r="G1417" s="174"/>
      <c r="H1417" s="176" t="s">
        <v>461</v>
      </c>
      <c r="I1417" s="176">
        <v>20</v>
      </c>
      <c r="J1417" s="900" t="s">
        <v>2755</v>
      </c>
      <c r="K1417" s="164" t="s">
        <v>7910</v>
      </c>
      <c r="L1417" s="164" t="s">
        <v>461</v>
      </c>
      <c r="M1417" s="164"/>
      <c r="N1417" s="164" t="s">
        <v>7621</v>
      </c>
      <c r="O1417" s="164"/>
      <c r="P1417" s="173" t="s">
        <v>6705</v>
      </c>
      <c r="Q1417" s="164" t="s">
        <v>3947</v>
      </c>
      <c r="R1417" s="179" t="s">
        <v>2723</v>
      </c>
      <c r="S1417" s="354" t="s">
        <v>2609</v>
      </c>
      <c r="T1417" s="173" t="s">
        <v>6335</v>
      </c>
      <c r="U1417" s="173"/>
      <c r="V1417" s="173"/>
      <c r="W1417" s="324" t="s">
        <v>3751</v>
      </c>
      <c r="X1417" s="656" t="s">
        <v>12329</v>
      </c>
      <c r="Y1417" s="354"/>
      <c r="Z1417" s="176"/>
      <c r="AA1417" s="176"/>
      <c r="AB1417" s="32">
        <f t="shared" ca="1" si="29"/>
        <v>0.75793910146301957</v>
      </c>
      <c r="AC1417" s="812"/>
      <c r="AD1417" s="763"/>
      <c r="AE1417" s="951"/>
      <c r="AF1417" s="921">
        <f>IF(X1417=X1416,AF1416,0)+IF(ISNUMBER(I1417),IF(I1417&lt;1,I1417,I1417*VLOOKUP(J1417,Summary!$H$2:$I$9,2)),VLOOKUP(J1417,Summary!$J$2:$K$9,2)*IF(ISNUMBER(H1417),H1417,1))</f>
        <v>1.3255439814814818</v>
      </c>
      <c r="AG1417" s="288">
        <v>1416</v>
      </c>
      <c r="AH1417" s="94"/>
      <c r="AI1417" s="94"/>
    </row>
    <row r="1418" spans="1:35" s="1" customFormat="1" ht="12" customHeight="1" x14ac:dyDescent="0.25">
      <c r="A1418" s="490" t="s">
        <v>15657</v>
      </c>
      <c r="B1418" s="490">
        <v>4</v>
      </c>
      <c r="C1418" s="490">
        <v>23.03</v>
      </c>
      <c r="D1418" s="176" t="s">
        <v>706</v>
      </c>
      <c r="E1418" s="313" t="s">
        <v>7620</v>
      </c>
      <c r="F1418" s="174">
        <v>39234</v>
      </c>
      <c r="G1418" s="174"/>
      <c r="H1418" s="176">
        <v>1</v>
      </c>
      <c r="I1418" s="176">
        <v>11</v>
      </c>
      <c r="J1418" s="900" t="s">
        <v>2755</v>
      </c>
      <c r="K1418" s="164" t="s">
        <v>7621</v>
      </c>
      <c r="L1418" s="164" t="s">
        <v>461</v>
      </c>
      <c r="M1418" s="164"/>
      <c r="N1418" s="164" t="s">
        <v>804</v>
      </c>
      <c r="O1418" s="164"/>
      <c r="P1418" s="173" t="s">
        <v>6700</v>
      </c>
      <c r="Q1418" s="164" t="s">
        <v>3947</v>
      </c>
      <c r="R1418" s="177" t="s">
        <v>2723</v>
      </c>
      <c r="S1418" s="354" t="s">
        <v>2609</v>
      </c>
      <c r="T1418" s="173" t="s">
        <v>6335</v>
      </c>
      <c r="U1418" s="173" t="s">
        <v>2326</v>
      </c>
      <c r="V1418" s="173">
        <v>1</v>
      </c>
      <c r="W1418" s="313" t="s">
        <v>7620</v>
      </c>
      <c r="X1418" s="645" t="s">
        <v>12329</v>
      </c>
      <c r="Y1418" s="354"/>
      <c r="Z1418" s="176"/>
      <c r="AA1418" s="176"/>
      <c r="AB1418" s="32">
        <f t="shared" ca="1" si="29"/>
        <v>0.89551031030725881</v>
      </c>
      <c r="AC1418" s="812"/>
      <c r="AD1418" s="763"/>
      <c r="AE1418" s="807"/>
      <c r="AF1418" s="921">
        <f>IF(X1418=X1417,AF1417,0)+IF(ISNUMBER(I1418),IF(I1418&lt;1,I1418,I1418*VLOOKUP(J1418,Summary!$H$2:$I$9,2)),VLOOKUP(J1418,Summary!$J$2:$K$9,2)*IF(ISNUMBER(H1418),H1418,1))</f>
        <v>1.3331828703703708</v>
      </c>
      <c r="AG1418" s="289">
        <v>1417</v>
      </c>
      <c r="AH1418" s="94"/>
      <c r="AI1418" s="94"/>
    </row>
    <row r="1419" spans="1:35" s="1" customFormat="1" ht="12" customHeight="1" x14ac:dyDescent="0.25">
      <c r="A1419" s="484" t="s">
        <v>15657</v>
      </c>
      <c r="B1419" s="484">
        <v>4</v>
      </c>
      <c r="C1419" s="502">
        <v>2.6</v>
      </c>
      <c r="D1419" s="407" t="s">
        <v>8092</v>
      </c>
      <c r="E1419" s="315" t="s">
        <v>8099</v>
      </c>
      <c r="F1419" s="169">
        <v>41426</v>
      </c>
      <c r="G1419" s="170"/>
      <c r="H1419" s="170">
        <v>2</v>
      </c>
      <c r="I1419" s="747">
        <f>TIME(0,60,0)</f>
        <v>4.1666666666666664E-2</v>
      </c>
      <c r="J1419" s="899" t="s">
        <v>4706</v>
      </c>
      <c r="K1419" s="167" t="s">
        <v>4549</v>
      </c>
      <c r="L1419" s="167" t="s">
        <v>4549</v>
      </c>
      <c r="M1419" s="167"/>
      <c r="N1419" s="167"/>
      <c r="O1419" s="167"/>
      <c r="P1419" s="168" t="s">
        <v>8111</v>
      </c>
      <c r="Q1419" s="167" t="s">
        <v>3947</v>
      </c>
      <c r="R1419" s="172" t="s">
        <v>7162</v>
      </c>
      <c r="S1419" s="388" t="s">
        <v>2609</v>
      </c>
      <c r="T1419" s="168" t="s">
        <v>6335</v>
      </c>
      <c r="U1419" s="168"/>
      <c r="V1419" s="168"/>
      <c r="W1419" s="312" t="s">
        <v>8650</v>
      </c>
      <c r="X1419" s="644" t="s">
        <v>12329</v>
      </c>
      <c r="Y1419" s="352" t="s">
        <v>5643</v>
      </c>
      <c r="Z1419" s="353">
        <v>650</v>
      </c>
      <c r="AA1419" s="353">
        <v>3</v>
      </c>
      <c r="AB1419" s="31">
        <f t="shared" ca="1" si="29"/>
        <v>3.0614975273062117E-2</v>
      </c>
      <c r="AC1419" s="810"/>
      <c r="AD1419" s="811"/>
      <c r="AE1419" s="940"/>
      <c r="AF1419" s="920">
        <f>IF(X1419=X1418,AF1418,0)+IF(ISNUMBER(I1419),IF(I1419&lt;1,I1419,I1419*VLOOKUP(J1419,Summary!$H$2:$I$9,2)),VLOOKUP(J1419,Summary!$J$2:$K$9,2)*IF(ISNUMBER(H1419),H1419,1))</f>
        <v>1.3748495370370375</v>
      </c>
      <c r="AG1419" s="287">
        <v>1418</v>
      </c>
      <c r="AH1419" s="94"/>
      <c r="AI1419" s="94"/>
    </row>
    <row r="1420" spans="1:35" s="57" customFormat="1" ht="12" customHeight="1" x14ac:dyDescent="0.25">
      <c r="A1420" s="484" t="s">
        <v>15657</v>
      </c>
      <c r="B1420" s="484">
        <v>4</v>
      </c>
      <c r="C1420" s="502">
        <v>2.7</v>
      </c>
      <c r="D1420" s="407" t="s">
        <v>8093</v>
      </c>
      <c r="E1420" s="315" t="s">
        <v>8100</v>
      </c>
      <c r="F1420" s="169">
        <v>41456</v>
      </c>
      <c r="G1420" s="170"/>
      <c r="H1420" s="170">
        <v>2</v>
      </c>
      <c r="I1420" s="747">
        <f>TIME(0,60,0)</f>
        <v>4.1666666666666664E-2</v>
      </c>
      <c r="J1420" s="899" t="s">
        <v>4706</v>
      </c>
      <c r="K1420" s="167" t="s">
        <v>4549</v>
      </c>
      <c r="L1420" s="167" t="s">
        <v>4549</v>
      </c>
      <c r="M1420" s="167"/>
      <c r="N1420" s="167"/>
      <c r="O1420" s="167"/>
      <c r="P1420" s="168" t="s">
        <v>8112</v>
      </c>
      <c r="Q1420" s="167" t="s">
        <v>3947</v>
      </c>
      <c r="R1420" s="172" t="s">
        <v>7162</v>
      </c>
      <c r="S1420" s="388" t="s">
        <v>2609</v>
      </c>
      <c r="T1420" s="168" t="s">
        <v>6335</v>
      </c>
      <c r="U1420" s="168"/>
      <c r="V1420" s="168"/>
      <c r="W1420" s="312" t="s">
        <v>8651</v>
      </c>
      <c r="X1420" s="644" t="s">
        <v>12329</v>
      </c>
      <c r="Y1420" s="352" t="s">
        <v>5643</v>
      </c>
      <c r="Z1420" s="353">
        <v>630</v>
      </c>
      <c r="AA1420" s="353">
        <v>3</v>
      </c>
      <c r="AB1420" s="31">
        <f t="shared" ca="1" si="29"/>
        <v>0.91426632888196613</v>
      </c>
      <c r="AC1420" s="810"/>
      <c r="AD1420" s="811"/>
      <c r="AE1420" s="940"/>
      <c r="AF1420" s="920">
        <f>IF(X1420=X1419,AF1419,0)+IF(ISNUMBER(I1420),IF(I1420&lt;1,I1420,I1420*VLOOKUP(J1420,Summary!$H$2:$I$9,2)),VLOOKUP(J1420,Summary!$J$2:$K$9,2)*IF(ISNUMBER(H1420),H1420,1))</f>
        <v>1.4165162037037042</v>
      </c>
      <c r="AG1420" s="287">
        <v>1419</v>
      </c>
      <c r="AH1420" s="94"/>
      <c r="AI1420" s="94"/>
    </row>
    <row r="1421" spans="1:35" s="29" customFormat="1" ht="12" customHeight="1" x14ac:dyDescent="0.25">
      <c r="A1421" s="494" t="s">
        <v>15657</v>
      </c>
      <c r="B1421" s="494">
        <v>4</v>
      </c>
      <c r="C1421" s="495">
        <v>0.24</v>
      </c>
      <c r="D1421" s="192" t="s">
        <v>13137</v>
      </c>
      <c r="E1421" s="317" t="s">
        <v>10248</v>
      </c>
      <c r="F1421" s="191">
        <v>42248</v>
      </c>
      <c r="G1421" s="191"/>
      <c r="H1421" s="192" t="s">
        <v>461</v>
      </c>
      <c r="I1421" s="753"/>
      <c r="J1421" s="903" t="s">
        <v>2755</v>
      </c>
      <c r="K1421" s="194" t="s">
        <v>10219</v>
      </c>
      <c r="L1421" s="194" t="s">
        <v>3365</v>
      </c>
      <c r="M1421" s="194" t="s">
        <v>9290</v>
      </c>
      <c r="N1421" s="194"/>
      <c r="O1421" s="194"/>
      <c r="P1421" s="190" t="s">
        <v>461</v>
      </c>
      <c r="Q1421" s="194" t="s">
        <v>3947</v>
      </c>
      <c r="R1421" s="193" t="s">
        <v>2722</v>
      </c>
      <c r="S1421" s="357" t="s">
        <v>2609</v>
      </c>
      <c r="T1421" s="190"/>
      <c r="U1421" s="190"/>
      <c r="V1421" s="190"/>
      <c r="W1421" s="317" t="s">
        <v>10248</v>
      </c>
      <c r="X1421" s="649" t="s">
        <v>12329</v>
      </c>
      <c r="Y1421" s="357"/>
      <c r="Z1421" s="192"/>
      <c r="AA1421" s="192"/>
      <c r="AB1421" s="37">
        <f t="shared" ca="1" si="29"/>
        <v>0.483286660409601</v>
      </c>
      <c r="AC1421" s="816"/>
      <c r="AD1421" s="817"/>
      <c r="AE1421" s="943"/>
      <c r="AF1421" s="924">
        <f>IF(X1421=X1420,AF1420,0)+IF(ISNUMBER(I1421),IF(I1421&lt;1,I1421,I1421*VLOOKUP(J1421,Summary!$H$2:$I$9,2)),VLOOKUP(J1421,Summary!$J$2:$K$9,2)*IF(ISNUMBER(H1421),H1421,1))</f>
        <v>1.4338773148148154</v>
      </c>
      <c r="AG1421" s="292">
        <v>1420</v>
      </c>
      <c r="AH1421" s="94"/>
      <c r="AI1421" s="94"/>
    </row>
    <row r="1422" spans="1:35" s="3" customFormat="1" ht="12" customHeight="1" x14ac:dyDescent="0.25">
      <c r="A1422" s="490" t="s">
        <v>15657</v>
      </c>
      <c r="B1422" s="490">
        <v>4</v>
      </c>
      <c r="C1422" s="490"/>
      <c r="D1422" s="434" t="s">
        <v>5897</v>
      </c>
      <c r="E1422" s="324" t="s">
        <v>5898</v>
      </c>
      <c r="F1422" s="174">
        <v>29099</v>
      </c>
      <c r="G1422" s="174"/>
      <c r="H1422" s="176" t="s">
        <v>461</v>
      </c>
      <c r="I1422" s="176">
        <v>7</v>
      </c>
      <c r="J1422" s="900" t="s">
        <v>2755</v>
      </c>
      <c r="K1422" s="164" t="s">
        <v>5784</v>
      </c>
      <c r="L1422" s="164" t="s">
        <v>461</v>
      </c>
      <c r="M1422" s="164"/>
      <c r="N1422" s="164"/>
      <c r="O1422" s="164"/>
      <c r="P1422" s="173" t="s">
        <v>5896</v>
      </c>
      <c r="Q1422" s="164" t="s">
        <v>4705</v>
      </c>
      <c r="R1422" s="179" t="s">
        <v>4600</v>
      </c>
      <c r="S1422" s="354" t="s">
        <v>2609</v>
      </c>
      <c r="T1422" s="173" t="s">
        <v>6335</v>
      </c>
      <c r="U1422" s="173"/>
      <c r="V1422" s="173"/>
      <c r="W1422" s="324" t="s">
        <v>5898</v>
      </c>
      <c r="X1422" s="656" t="s">
        <v>12329</v>
      </c>
      <c r="Y1422" s="354" t="s">
        <v>6000</v>
      </c>
      <c r="Z1422" s="176">
        <v>999</v>
      </c>
      <c r="AA1422" s="176"/>
      <c r="AB1422" s="32">
        <f t="shared" ca="1" si="29"/>
        <v>0.49680322372516283</v>
      </c>
      <c r="AC1422" s="812"/>
      <c r="AD1422" s="763"/>
      <c r="AE1422" s="951"/>
      <c r="AF1422" s="921">
        <f>IF(X1422=X1421,AF1421,0)+IF(ISNUMBER(I1422),IF(I1422&lt;1,I1422,I1422*VLOOKUP(J1422,Summary!$H$2:$I$9,2)),VLOOKUP(J1422,Summary!$J$2:$K$9,2)*IF(ISNUMBER(H1422),H1422,1))</f>
        <v>1.4387384259259266</v>
      </c>
      <c r="AG1422" s="288">
        <v>1421</v>
      </c>
      <c r="AH1422" s="94"/>
      <c r="AI1422" s="94"/>
    </row>
    <row r="1423" spans="1:35" s="43" customFormat="1" ht="12" customHeight="1" x14ac:dyDescent="0.25">
      <c r="A1423" s="490" t="s">
        <v>15657</v>
      </c>
      <c r="B1423" s="490">
        <v>4</v>
      </c>
      <c r="C1423" s="490"/>
      <c r="D1423" s="434" t="s">
        <v>5897</v>
      </c>
      <c r="E1423" s="324" t="s">
        <v>5899</v>
      </c>
      <c r="F1423" s="174">
        <v>29099</v>
      </c>
      <c r="G1423" s="174"/>
      <c r="H1423" s="176" t="s">
        <v>461</v>
      </c>
      <c r="I1423" s="176">
        <v>5</v>
      </c>
      <c r="J1423" s="900" t="s">
        <v>2755</v>
      </c>
      <c r="K1423" s="164" t="s">
        <v>5784</v>
      </c>
      <c r="L1423" s="164" t="s">
        <v>461</v>
      </c>
      <c r="M1423" s="164"/>
      <c r="N1423" s="164"/>
      <c r="O1423" s="164"/>
      <c r="P1423" s="173" t="s">
        <v>5896</v>
      </c>
      <c r="Q1423" s="164" t="s">
        <v>4705</v>
      </c>
      <c r="R1423" s="179" t="s">
        <v>4600</v>
      </c>
      <c r="S1423" s="354" t="s">
        <v>2609</v>
      </c>
      <c r="T1423" s="173" t="s">
        <v>6335</v>
      </c>
      <c r="U1423" s="173"/>
      <c r="V1423" s="173"/>
      <c r="W1423" s="324" t="s">
        <v>5899</v>
      </c>
      <c r="X1423" s="656" t="s">
        <v>12329</v>
      </c>
      <c r="Y1423" s="354" t="s">
        <v>6000</v>
      </c>
      <c r="Z1423" s="176">
        <v>999</v>
      </c>
      <c r="AA1423" s="176"/>
      <c r="AB1423" s="32">
        <f t="shared" ca="1" si="29"/>
        <v>0.19095101309324602</v>
      </c>
      <c r="AC1423" s="812"/>
      <c r="AD1423" s="763"/>
      <c r="AE1423" s="951"/>
      <c r="AF1423" s="921">
        <f>IF(X1423=X1422,AF1422,0)+IF(ISNUMBER(I1423),IF(I1423&lt;1,I1423,I1423*VLOOKUP(J1423,Summary!$H$2:$I$9,2)),VLOOKUP(J1423,Summary!$J$2:$K$9,2)*IF(ISNUMBER(H1423),H1423,1))</f>
        <v>1.4422106481481489</v>
      </c>
      <c r="AG1423" s="288">
        <v>1422</v>
      </c>
      <c r="AH1423" s="94"/>
      <c r="AI1423" s="94"/>
    </row>
    <row r="1424" spans="1:35" s="2" customFormat="1" ht="12" customHeight="1" x14ac:dyDescent="0.25">
      <c r="A1424" s="488" t="s">
        <v>15657</v>
      </c>
      <c r="B1424" s="488">
        <v>4</v>
      </c>
      <c r="C1424" s="488"/>
      <c r="D1424" s="428" t="s">
        <v>5897</v>
      </c>
      <c r="E1424" s="325" t="s">
        <v>5900</v>
      </c>
      <c r="F1424" s="183">
        <v>29099</v>
      </c>
      <c r="G1424" s="183"/>
      <c r="H1424" s="185">
        <v>1</v>
      </c>
      <c r="I1424" s="185">
        <v>6</v>
      </c>
      <c r="J1424" s="901" t="s">
        <v>1796</v>
      </c>
      <c r="K1424" s="163" t="s">
        <v>5784</v>
      </c>
      <c r="L1424" s="163" t="s">
        <v>2256</v>
      </c>
      <c r="M1424" s="163"/>
      <c r="N1424" s="163"/>
      <c r="O1424" s="163"/>
      <c r="P1424" s="182" t="s">
        <v>5896</v>
      </c>
      <c r="Q1424" s="163" t="s">
        <v>4705</v>
      </c>
      <c r="R1424" s="207" t="s">
        <v>4600</v>
      </c>
      <c r="S1424" s="355" t="s">
        <v>2609</v>
      </c>
      <c r="T1424" s="182"/>
      <c r="U1424" s="182"/>
      <c r="V1424" s="182"/>
      <c r="W1424" s="325" t="s">
        <v>5900</v>
      </c>
      <c r="X1424" s="657" t="s">
        <v>12329</v>
      </c>
      <c r="Y1424" s="355" t="s">
        <v>6000</v>
      </c>
      <c r="Z1424" s="185"/>
      <c r="AA1424" s="185"/>
      <c r="AB1424" s="33">
        <f t="shared" ca="1" si="29"/>
        <v>0.24012019607154966</v>
      </c>
      <c r="AC1424" s="813"/>
      <c r="AD1424" s="211"/>
      <c r="AE1424" s="949"/>
      <c r="AF1424" s="922">
        <f>IF(X1424=X1423,AF1423,0)+IF(ISNUMBER(I1424),IF(I1424&lt;1,I1424,I1424*VLOOKUP(J1424,Summary!$H$2:$I$9,2)),VLOOKUP(J1424,Summary!$J$2:$K$9,2)*IF(ISNUMBER(H1424),H1424,1))</f>
        <v>1.4442939814814824</v>
      </c>
      <c r="AG1424" s="295">
        <v>1423</v>
      </c>
      <c r="AH1424" s="94"/>
      <c r="AI1424" s="94"/>
    </row>
    <row r="1425" spans="1:35" s="22" customFormat="1" ht="12" customHeight="1" x14ac:dyDescent="0.25">
      <c r="A1425" s="490" t="s">
        <v>15657</v>
      </c>
      <c r="B1425" s="490">
        <v>4</v>
      </c>
      <c r="C1425" s="490"/>
      <c r="D1425" s="434" t="s">
        <v>5897</v>
      </c>
      <c r="E1425" s="324" t="s">
        <v>5901</v>
      </c>
      <c r="F1425" s="174">
        <v>29099</v>
      </c>
      <c r="G1425" s="174"/>
      <c r="H1425" s="176" t="s">
        <v>461</v>
      </c>
      <c r="I1425" s="176">
        <v>7</v>
      </c>
      <c r="J1425" s="900" t="s">
        <v>2755</v>
      </c>
      <c r="K1425" s="164" t="s">
        <v>5784</v>
      </c>
      <c r="L1425" s="164" t="s">
        <v>461</v>
      </c>
      <c r="M1425" s="164"/>
      <c r="N1425" s="164"/>
      <c r="O1425" s="164"/>
      <c r="P1425" s="173" t="s">
        <v>5896</v>
      </c>
      <c r="Q1425" s="164" t="s">
        <v>4705</v>
      </c>
      <c r="R1425" s="179" t="s">
        <v>4600</v>
      </c>
      <c r="S1425" s="354" t="s">
        <v>2609</v>
      </c>
      <c r="T1425" s="173" t="s">
        <v>6335</v>
      </c>
      <c r="U1425" s="173"/>
      <c r="V1425" s="173"/>
      <c r="W1425" s="324" t="s">
        <v>5901</v>
      </c>
      <c r="X1425" s="656" t="s">
        <v>12329</v>
      </c>
      <c r="Y1425" s="354" t="s">
        <v>6000</v>
      </c>
      <c r="Z1425" s="176">
        <v>999</v>
      </c>
      <c r="AA1425" s="176"/>
      <c r="AB1425" s="32">
        <f t="shared" ca="1" si="29"/>
        <v>0.89316022312453047</v>
      </c>
      <c r="AC1425" s="812"/>
      <c r="AD1425" s="763"/>
      <c r="AE1425" s="951"/>
      <c r="AF1425" s="921">
        <f>IF(X1425=X1424,AF1424,0)+IF(ISNUMBER(I1425),IF(I1425&lt;1,I1425,I1425*VLOOKUP(J1425,Summary!$H$2:$I$9,2)),VLOOKUP(J1425,Summary!$J$2:$K$9,2)*IF(ISNUMBER(H1425),H1425,1))</f>
        <v>1.4491550925925936</v>
      </c>
      <c r="AG1425" s="288">
        <v>1424</v>
      </c>
      <c r="AH1425" s="94"/>
      <c r="AI1425" s="94"/>
    </row>
    <row r="1426" spans="1:35" s="43" customFormat="1" ht="12" customHeight="1" x14ac:dyDescent="0.25">
      <c r="A1426" s="488" t="s">
        <v>15657</v>
      </c>
      <c r="B1426" s="488">
        <v>4</v>
      </c>
      <c r="C1426" s="488"/>
      <c r="D1426" s="428" t="s">
        <v>5897</v>
      </c>
      <c r="E1426" s="325" t="s">
        <v>3745</v>
      </c>
      <c r="F1426" s="183">
        <v>29099</v>
      </c>
      <c r="G1426" s="183"/>
      <c r="H1426" s="185">
        <v>1</v>
      </c>
      <c r="I1426" s="185">
        <v>6</v>
      </c>
      <c r="J1426" s="901" t="s">
        <v>1796</v>
      </c>
      <c r="K1426" s="163" t="s">
        <v>5784</v>
      </c>
      <c r="L1426" s="163" t="s">
        <v>2256</v>
      </c>
      <c r="M1426" s="163"/>
      <c r="N1426" s="163"/>
      <c r="O1426" s="163"/>
      <c r="P1426" s="182" t="s">
        <v>5896</v>
      </c>
      <c r="Q1426" s="163" t="s">
        <v>4705</v>
      </c>
      <c r="R1426" s="207" t="s">
        <v>4600</v>
      </c>
      <c r="S1426" s="355" t="s">
        <v>2609</v>
      </c>
      <c r="T1426" s="182" t="s">
        <v>6335</v>
      </c>
      <c r="U1426" s="182"/>
      <c r="V1426" s="182"/>
      <c r="W1426" s="325" t="s">
        <v>3745</v>
      </c>
      <c r="X1426" s="657" t="s">
        <v>12329</v>
      </c>
      <c r="Y1426" s="355" t="s">
        <v>6000</v>
      </c>
      <c r="Z1426" s="185"/>
      <c r="AA1426" s="185"/>
      <c r="AB1426" s="33">
        <f t="shared" ca="1" si="29"/>
        <v>0.58549716229411453</v>
      </c>
      <c r="AC1426" s="813"/>
      <c r="AD1426" s="211"/>
      <c r="AE1426" s="949"/>
      <c r="AF1426" s="922">
        <f>IF(X1426=X1425,AF1425,0)+IF(ISNUMBER(I1426),IF(I1426&lt;1,I1426,I1426*VLOOKUP(J1426,Summary!$H$2:$I$9,2)),VLOOKUP(J1426,Summary!$J$2:$K$9,2)*IF(ISNUMBER(H1426),H1426,1))</f>
        <v>1.451238425925927</v>
      </c>
      <c r="AG1426" s="295">
        <v>1425</v>
      </c>
      <c r="AH1426" s="94"/>
      <c r="AI1426" s="94"/>
    </row>
    <row r="1427" spans="1:35" s="43" customFormat="1" ht="12" customHeight="1" x14ac:dyDescent="0.25">
      <c r="A1427" s="490" t="s">
        <v>15657</v>
      </c>
      <c r="B1427" s="490">
        <v>4</v>
      </c>
      <c r="C1427" s="490"/>
      <c r="D1427" s="434" t="s">
        <v>5897</v>
      </c>
      <c r="E1427" s="324" t="s">
        <v>3746</v>
      </c>
      <c r="F1427" s="174">
        <v>29099</v>
      </c>
      <c r="G1427" s="174"/>
      <c r="H1427" s="176" t="s">
        <v>461</v>
      </c>
      <c r="I1427" s="176">
        <v>6</v>
      </c>
      <c r="J1427" s="900" t="s">
        <v>2755</v>
      </c>
      <c r="K1427" s="164" t="s">
        <v>5784</v>
      </c>
      <c r="L1427" s="164" t="s">
        <v>461</v>
      </c>
      <c r="M1427" s="164"/>
      <c r="N1427" s="164"/>
      <c r="O1427" s="164"/>
      <c r="P1427" s="173" t="s">
        <v>5896</v>
      </c>
      <c r="Q1427" s="164" t="s">
        <v>4705</v>
      </c>
      <c r="R1427" s="179" t="s">
        <v>4600</v>
      </c>
      <c r="S1427" s="354" t="s">
        <v>2609</v>
      </c>
      <c r="T1427" s="173" t="s">
        <v>6335</v>
      </c>
      <c r="U1427" s="173"/>
      <c r="V1427" s="173"/>
      <c r="W1427" s="324" t="s">
        <v>3746</v>
      </c>
      <c r="X1427" s="656" t="s">
        <v>12329</v>
      </c>
      <c r="Y1427" s="354" t="s">
        <v>6000</v>
      </c>
      <c r="Z1427" s="176">
        <v>999</v>
      </c>
      <c r="AA1427" s="176"/>
      <c r="AB1427" s="32">
        <f t="shared" ca="1" si="29"/>
        <v>0.46643620455344958</v>
      </c>
      <c r="AC1427" s="812"/>
      <c r="AD1427" s="763"/>
      <c r="AE1427" s="951"/>
      <c r="AF1427" s="921">
        <f>IF(X1427=X1426,AF1426,0)+IF(ISNUMBER(I1427),IF(I1427&lt;1,I1427,I1427*VLOOKUP(J1427,Summary!$H$2:$I$9,2)),VLOOKUP(J1427,Summary!$J$2:$K$9,2)*IF(ISNUMBER(H1427),H1427,1))</f>
        <v>1.4554050925925937</v>
      </c>
      <c r="AG1427" s="288">
        <v>1426</v>
      </c>
      <c r="AH1427" s="94"/>
      <c r="AI1427" s="94"/>
    </row>
    <row r="1428" spans="1:35" s="29" customFormat="1" ht="12" customHeight="1" x14ac:dyDescent="0.25">
      <c r="A1428" s="490" t="s">
        <v>15657</v>
      </c>
      <c r="B1428" s="490">
        <v>4</v>
      </c>
      <c r="C1428" s="490"/>
      <c r="D1428" s="434" t="s">
        <v>5897</v>
      </c>
      <c r="E1428" s="324" t="s">
        <v>3747</v>
      </c>
      <c r="F1428" s="174">
        <v>29099</v>
      </c>
      <c r="G1428" s="174"/>
      <c r="H1428" s="176" t="s">
        <v>461</v>
      </c>
      <c r="I1428" s="176">
        <v>6</v>
      </c>
      <c r="J1428" s="900" t="s">
        <v>2755</v>
      </c>
      <c r="K1428" s="164" t="s">
        <v>5784</v>
      </c>
      <c r="L1428" s="164" t="s">
        <v>461</v>
      </c>
      <c r="M1428" s="164"/>
      <c r="N1428" s="164"/>
      <c r="O1428" s="164"/>
      <c r="P1428" s="173" t="s">
        <v>5896</v>
      </c>
      <c r="Q1428" s="164" t="s">
        <v>4705</v>
      </c>
      <c r="R1428" s="179" t="s">
        <v>4600</v>
      </c>
      <c r="S1428" s="354" t="s">
        <v>2609</v>
      </c>
      <c r="T1428" s="173" t="s">
        <v>6335</v>
      </c>
      <c r="U1428" s="173"/>
      <c r="V1428" s="173"/>
      <c r="W1428" s="324" t="s">
        <v>3747</v>
      </c>
      <c r="X1428" s="656" t="s">
        <v>12329</v>
      </c>
      <c r="Y1428" s="354" t="s">
        <v>6000</v>
      </c>
      <c r="Z1428" s="176">
        <v>999</v>
      </c>
      <c r="AA1428" s="176"/>
      <c r="AB1428" s="32">
        <f t="shared" ca="1" si="29"/>
        <v>0.43614868955483443</v>
      </c>
      <c r="AC1428" s="812"/>
      <c r="AD1428" s="763"/>
      <c r="AE1428" s="951"/>
      <c r="AF1428" s="921">
        <f>IF(X1428=X1427,AF1427,0)+IF(ISNUMBER(I1428),IF(I1428&lt;1,I1428,I1428*VLOOKUP(J1428,Summary!$H$2:$I$9,2)),VLOOKUP(J1428,Summary!$J$2:$K$9,2)*IF(ISNUMBER(H1428),H1428,1))</f>
        <v>1.4595717592592603</v>
      </c>
      <c r="AG1428" s="288">
        <v>1427</v>
      </c>
      <c r="AH1428" s="94"/>
      <c r="AI1428" s="94"/>
    </row>
    <row r="1429" spans="1:35" s="29" customFormat="1" ht="12" customHeight="1" x14ac:dyDescent="0.25">
      <c r="A1429" s="494" t="s">
        <v>15657</v>
      </c>
      <c r="B1429" s="494">
        <v>4</v>
      </c>
      <c r="C1429" s="495">
        <v>0.02</v>
      </c>
      <c r="D1429" s="192" t="s">
        <v>13129</v>
      </c>
      <c r="E1429" s="317" t="s">
        <v>10249</v>
      </c>
      <c r="F1429" s="209">
        <v>41995</v>
      </c>
      <c r="G1429" s="191"/>
      <c r="H1429" s="192" t="s">
        <v>461</v>
      </c>
      <c r="I1429" s="753"/>
      <c r="J1429" s="903" t="s">
        <v>2755</v>
      </c>
      <c r="K1429" s="194" t="s">
        <v>5195</v>
      </c>
      <c r="L1429" s="194" t="s">
        <v>3365</v>
      </c>
      <c r="M1429" s="194" t="s">
        <v>9290</v>
      </c>
      <c r="N1429" s="194"/>
      <c r="O1429" s="194"/>
      <c r="P1429" s="190" t="s">
        <v>461</v>
      </c>
      <c r="Q1429" s="194" t="s">
        <v>3947</v>
      </c>
      <c r="R1429" s="193" t="s">
        <v>2722</v>
      </c>
      <c r="S1429" s="357" t="s">
        <v>2609</v>
      </c>
      <c r="T1429" s="190"/>
      <c r="U1429" s="190"/>
      <c r="V1429" s="190"/>
      <c r="W1429" s="317" t="s">
        <v>10249</v>
      </c>
      <c r="X1429" s="649" t="s">
        <v>12329</v>
      </c>
      <c r="Y1429" s="357"/>
      <c r="Z1429" s="192"/>
      <c r="AA1429" s="192"/>
      <c r="AB1429" s="37">
        <f t="shared" ca="1" si="29"/>
        <v>0.24423642364655218</v>
      </c>
      <c r="AC1429" s="816"/>
      <c r="AD1429" s="817"/>
      <c r="AE1429" s="943"/>
      <c r="AF1429" s="924">
        <f>IF(X1429=X1428,AF1428,0)+IF(ISNUMBER(I1429),IF(I1429&lt;1,I1429,I1429*VLOOKUP(J1429,Summary!$H$2:$I$9,2)),VLOOKUP(J1429,Summary!$J$2:$K$9,2)*IF(ISNUMBER(H1429),H1429,1))</f>
        <v>1.4769328703703715</v>
      </c>
      <c r="AG1429" s="292">
        <v>1428</v>
      </c>
      <c r="AH1429" s="94"/>
      <c r="AI1429" s="94"/>
    </row>
    <row r="1430" spans="1:35" s="2" customFormat="1" ht="12" customHeight="1" x14ac:dyDescent="0.25">
      <c r="A1430" s="490" t="s">
        <v>15657</v>
      </c>
      <c r="B1430" s="490">
        <v>4</v>
      </c>
      <c r="C1430" s="490">
        <v>15.04</v>
      </c>
      <c r="D1430" s="434" t="s">
        <v>3253</v>
      </c>
      <c r="E1430" s="324" t="s">
        <v>3252</v>
      </c>
      <c r="F1430" s="174">
        <v>38412</v>
      </c>
      <c r="G1430" s="174"/>
      <c r="H1430" s="176">
        <v>1</v>
      </c>
      <c r="I1430" s="176">
        <v>18</v>
      </c>
      <c r="J1430" s="900" t="s">
        <v>2755</v>
      </c>
      <c r="K1430" s="164" t="s">
        <v>5658</v>
      </c>
      <c r="L1430" s="164" t="s">
        <v>461</v>
      </c>
      <c r="M1430" s="164"/>
      <c r="N1430" s="164" t="s">
        <v>6997</v>
      </c>
      <c r="O1430" s="164"/>
      <c r="P1430" s="173" t="s">
        <v>6998</v>
      </c>
      <c r="Q1430" s="164" t="s">
        <v>3947</v>
      </c>
      <c r="R1430" s="179" t="s">
        <v>2723</v>
      </c>
      <c r="S1430" s="354" t="s">
        <v>2609</v>
      </c>
      <c r="T1430" s="173" t="s">
        <v>6335</v>
      </c>
      <c r="U1430" s="173"/>
      <c r="V1430" s="173" t="s">
        <v>3535</v>
      </c>
      <c r="W1430" s="324" t="s">
        <v>3252</v>
      </c>
      <c r="X1430" s="656" t="s">
        <v>12329</v>
      </c>
      <c r="Y1430" s="354"/>
      <c r="Z1430" s="176"/>
      <c r="AA1430" s="176"/>
      <c r="AB1430" s="32">
        <f t="shared" ca="1" si="29"/>
        <v>0.92226653949989412</v>
      </c>
      <c r="AC1430" s="812"/>
      <c r="AD1430" s="763"/>
      <c r="AE1430" s="951"/>
      <c r="AF1430" s="921">
        <f>IF(X1430=X1429,AF1429,0)+IF(ISNUMBER(I1430),IF(I1430&lt;1,I1430,I1430*VLOOKUP(J1430,Summary!$H$2:$I$9,2)),VLOOKUP(J1430,Summary!$J$2:$K$9,2)*IF(ISNUMBER(H1430),H1430,1))</f>
        <v>1.4894328703703714</v>
      </c>
      <c r="AG1430" s="288">
        <v>1429</v>
      </c>
      <c r="AH1430" s="94"/>
      <c r="AI1430" s="94"/>
    </row>
    <row r="1431" spans="1:35" s="43" customFormat="1" ht="12" customHeight="1" x14ac:dyDescent="0.25">
      <c r="A1431" s="484" t="s">
        <v>15657</v>
      </c>
      <c r="B1431" s="484">
        <v>4</v>
      </c>
      <c r="C1431" s="505">
        <v>3.12</v>
      </c>
      <c r="D1431" s="407" t="s">
        <v>2964</v>
      </c>
      <c r="E1431" s="315" t="s">
        <v>2965</v>
      </c>
      <c r="F1431" s="169">
        <v>39965</v>
      </c>
      <c r="G1431" s="170"/>
      <c r="H1431" s="170">
        <v>2</v>
      </c>
      <c r="I1431" s="746">
        <f>TIME(1,4,25)</f>
        <v>4.4733796296296292E-2</v>
      </c>
      <c r="J1431" s="899" t="s">
        <v>4706</v>
      </c>
      <c r="K1431" s="167" t="s">
        <v>4556</v>
      </c>
      <c r="L1431" s="167" t="s">
        <v>5662</v>
      </c>
      <c r="M1431" s="167" t="s">
        <v>3329</v>
      </c>
      <c r="N1431" s="167"/>
      <c r="O1431" s="167"/>
      <c r="P1431" s="168" t="s">
        <v>9174</v>
      </c>
      <c r="Q1431" s="167" t="s">
        <v>3947</v>
      </c>
      <c r="R1431" s="172" t="s">
        <v>3153</v>
      </c>
      <c r="S1431" s="388" t="s">
        <v>2609</v>
      </c>
      <c r="T1431" s="168" t="s">
        <v>6335</v>
      </c>
      <c r="U1431" s="168"/>
      <c r="V1431" s="168"/>
      <c r="W1431" s="312" t="s">
        <v>10262</v>
      </c>
      <c r="X1431" s="644" t="s">
        <v>12329</v>
      </c>
      <c r="Y1431" s="352" t="s">
        <v>5398</v>
      </c>
      <c r="Z1431" s="353">
        <v>570</v>
      </c>
      <c r="AA1431" s="353">
        <v>3.5</v>
      </c>
      <c r="AB1431" s="31">
        <f t="shared" ca="1" si="29"/>
        <v>0.61448660064870619</v>
      </c>
      <c r="AC1431" s="810"/>
      <c r="AD1431" s="811" t="s">
        <v>16701</v>
      </c>
      <c r="AE1431" s="940"/>
      <c r="AF1431" s="920">
        <f>IF(X1431=X1430,AF1430,0)+IF(ISNUMBER(I1431),IF(I1431&lt;1,I1431,I1431*VLOOKUP(J1431,Summary!$H$2:$I$9,2)),VLOOKUP(J1431,Summary!$J$2:$K$9,2)*IF(ISNUMBER(H1431),H1431,1))</f>
        <v>1.5341666666666678</v>
      </c>
      <c r="AG1431" s="287">
        <v>1430</v>
      </c>
      <c r="AH1431" s="94"/>
      <c r="AI1431" s="94"/>
    </row>
    <row r="1432" spans="1:35" s="22" customFormat="1" ht="12" customHeight="1" x14ac:dyDescent="0.25">
      <c r="A1432" s="487" t="s">
        <v>2968</v>
      </c>
      <c r="B1432" s="487">
        <v>4</v>
      </c>
      <c r="C1432" s="487">
        <v>104</v>
      </c>
      <c r="D1432" s="424" t="s">
        <v>2969</v>
      </c>
      <c r="E1432" s="319" t="s">
        <v>133</v>
      </c>
      <c r="F1432" s="198">
        <v>29099</v>
      </c>
      <c r="G1432" s="198">
        <v>29120</v>
      </c>
      <c r="H1432" s="199">
        <v>4</v>
      </c>
      <c r="I1432" s="791">
        <f>TIME(0,24, 3)+TIME(0,25,14)+TIME(0,24,32)+TIME(0,26, 5)</f>
        <v>6.9375000000000006E-2</v>
      </c>
      <c r="J1432" s="904" t="s">
        <v>1588</v>
      </c>
      <c r="K1432" s="200" t="s">
        <v>6148</v>
      </c>
      <c r="L1432" s="200" t="s">
        <v>134</v>
      </c>
      <c r="M1432" s="200"/>
      <c r="N1432" s="200" t="s">
        <v>360</v>
      </c>
      <c r="O1432" s="200" t="s">
        <v>1624</v>
      </c>
      <c r="P1432" s="197" t="s">
        <v>461</v>
      </c>
      <c r="Q1432" s="200" t="s">
        <v>3946</v>
      </c>
      <c r="R1432" s="201" t="s">
        <v>5280</v>
      </c>
      <c r="S1432" s="390" t="s">
        <v>2610</v>
      </c>
      <c r="T1432" s="197"/>
      <c r="U1432" s="197"/>
      <c r="V1432" s="197"/>
      <c r="W1432" s="318" t="s">
        <v>8712</v>
      </c>
      <c r="X1432" s="650" t="s">
        <v>12330</v>
      </c>
      <c r="Y1432" s="358" t="s">
        <v>6141</v>
      </c>
      <c r="Z1432" s="253">
        <v>249</v>
      </c>
      <c r="AA1432" s="253">
        <v>3.5</v>
      </c>
      <c r="AB1432" s="35">
        <f t="shared" ca="1" si="29"/>
        <v>0.33289699048178678</v>
      </c>
      <c r="AC1432" s="820"/>
      <c r="AD1432" s="821" t="s">
        <v>16411</v>
      </c>
      <c r="AE1432" s="944" t="s">
        <v>3365</v>
      </c>
      <c r="AF1432" s="925">
        <f>IF(X1432=X1431,AF1431,0)+IF(ISNUMBER(I1432),IF(I1432&lt;1,I1432,I1432*VLOOKUP(J1432,Summary!$H$2:$I$9,2)),VLOOKUP(J1432,Summary!$J$2:$K$9,2)*IF(ISNUMBER(H1432),H1432,1))</f>
        <v>6.9375000000000006E-2</v>
      </c>
      <c r="AG1432" s="293">
        <v>1431</v>
      </c>
      <c r="AH1432" s="94"/>
      <c r="AI1432" s="94"/>
    </row>
    <row r="1433" spans="1:35" s="22" customFormat="1" ht="12" customHeight="1" x14ac:dyDescent="0.25">
      <c r="A1433" s="490">
        <v>17</v>
      </c>
      <c r="B1433" s="490">
        <v>4</v>
      </c>
      <c r="C1433" s="490">
        <v>5.07</v>
      </c>
      <c r="D1433" s="434" t="s">
        <v>3255</v>
      </c>
      <c r="E1433" s="324" t="s">
        <v>3254</v>
      </c>
      <c r="F1433" s="174">
        <v>37681</v>
      </c>
      <c r="G1433" s="174"/>
      <c r="H1433" s="176">
        <v>1</v>
      </c>
      <c r="I1433" s="176">
        <v>10</v>
      </c>
      <c r="J1433" s="900" t="s">
        <v>2755</v>
      </c>
      <c r="K1433" s="164" t="s">
        <v>1936</v>
      </c>
      <c r="L1433" s="164" t="s">
        <v>461</v>
      </c>
      <c r="M1433" s="164"/>
      <c r="N1433" s="164" t="s">
        <v>4552</v>
      </c>
      <c r="O1433" s="164"/>
      <c r="P1433" s="173" t="s">
        <v>6556</v>
      </c>
      <c r="Q1433" s="164" t="s">
        <v>3947</v>
      </c>
      <c r="R1433" s="177" t="s">
        <v>2723</v>
      </c>
      <c r="S1433" s="354" t="s">
        <v>2610</v>
      </c>
      <c r="T1433" s="173"/>
      <c r="U1433" s="173"/>
      <c r="V1433" s="173"/>
      <c r="W1433" s="324" t="s">
        <v>3254</v>
      </c>
      <c r="X1433" s="656" t="s">
        <v>12330</v>
      </c>
      <c r="Y1433" s="354"/>
      <c r="Z1433" s="176"/>
      <c r="AA1433" s="176"/>
      <c r="AB1433" s="32">
        <f t="shared" ca="1" si="29"/>
        <v>0.4383365716540234</v>
      </c>
      <c r="AC1433" s="812"/>
      <c r="AD1433" s="763"/>
      <c r="AE1433" s="951"/>
      <c r="AF1433" s="921">
        <f>IF(X1433=X1432,AF1432,0)+IF(ISNUMBER(I1433),IF(I1433&lt;1,I1433,I1433*VLOOKUP(J1433,Summary!$H$2:$I$9,2)),VLOOKUP(J1433,Summary!$J$2:$K$9,2)*IF(ISNUMBER(H1433),H1433,1))</f>
        <v>7.6319444444444454E-2</v>
      </c>
      <c r="AG1433" s="288">
        <v>1432</v>
      </c>
      <c r="AH1433" s="94"/>
      <c r="AI1433" s="94"/>
    </row>
    <row r="1434" spans="1:35" s="43" customFormat="1" ht="12" customHeight="1" x14ac:dyDescent="0.25">
      <c r="A1434" s="408">
        <v>17</v>
      </c>
      <c r="B1434" s="408" t="s">
        <v>2650</v>
      </c>
      <c r="C1434" s="408">
        <v>6</v>
      </c>
      <c r="D1434" s="176" t="s">
        <v>1310</v>
      </c>
      <c r="E1434" s="313" t="s">
        <v>4165</v>
      </c>
      <c r="F1434" s="175">
        <v>33401</v>
      </c>
      <c r="G1434" s="175"/>
      <c r="H1434" s="176">
        <v>1</v>
      </c>
      <c r="I1434" s="176">
        <v>1</v>
      </c>
      <c r="J1434" s="900" t="s">
        <v>2755</v>
      </c>
      <c r="K1434" s="164" t="s">
        <v>4166</v>
      </c>
      <c r="L1434" s="164" t="s">
        <v>6043</v>
      </c>
      <c r="M1434" s="164"/>
      <c r="N1434" s="164" t="s">
        <v>561</v>
      </c>
      <c r="O1434" s="164"/>
      <c r="P1434" s="173" t="s">
        <v>461</v>
      </c>
      <c r="Q1434" s="164" t="s">
        <v>4062</v>
      </c>
      <c r="R1434" s="177" t="s">
        <v>4599</v>
      </c>
      <c r="S1434" s="354" t="s">
        <v>2610</v>
      </c>
      <c r="T1434" s="173"/>
      <c r="U1434" s="173"/>
      <c r="V1434" s="173"/>
      <c r="W1434" s="313" t="s">
        <v>4165</v>
      </c>
      <c r="X1434" s="645" t="s">
        <v>12330</v>
      </c>
      <c r="Y1434" s="354"/>
      <c r="Z1434" s="176"/>
      <c r="AA1434" s="176"/>
      <c r="AB1434" s="32">
        <f t="shared" ca="1" si="29"/>
        <v>1.213641181921421E-2</v>
      </c>
      <c r="AC1434" s="812"/>
      <c r="AD1434" s="763"/>
      <c r="AE1434" s="807"/>
      <c r="AF1434" s="921">
        <f>IF(X1434=X1433,AF1433,0)+IF(ISNUMBER(I1434),IF(I1434&lt;1,I1434,I1434*VLOOKUP(J1434,Summary!$H$2:$I$9,2)),VLOOKUP(J1434,Summary!$J$2:$K$9,2)*IF(ISNUMBER(H1434),H1434,1))</f>
        <v>7.7013888888888896E-2</v>
      </c>
      <c r="AG1434" s="289">
        <v>1433</v>
      </c>
      <c r="AH1434" s="94"/>
      <c r="AI1434" s="94"/>
    </row>
    <row r="1435" spans="1:35" s="2" customFormat="1" ht="12" customHeight="1" x14ac:dyDescent="0.25">
      <c r="A1435" s="488">
        <v>17</v>
      </c>
      <c r="B1435" s="488">
        <v>4</v>
      </c>
      <c r="C1435" s="488">
        <v>70</v>
      </c>
      <c r="D1435" s="428" t="s">
        <v>3258</v>
      </c>
      <c r="E1435" s="325" t="s">
        <v>3259</v>
      </c>
      <c r="F1435" s="184">
        <v>34465</v>
      </c>
      <c r="G1435" s="184">
        <v>30869</v>
      </c>
      <c r="H1435" s="185">
        <v>3</v>
      </c>
      <c r="I1435" s="185">
        <v>24</v>
      </c>
      <c r="J1435" s="901" t="s">
        <v>1796</v>
      </c>
      <c r="K1435" s="163" t="s">
        <v>4132</v>
      </c>
      <c r="L1435" s="163" t="s">
        <v>3260</v>
      </c>
      <c r="M1435" s="163"/>
      <c r="N1435" s="163" t="s">
        <v>7375</v>
      </c>
      <c r="O1435" s="163"/>
      <c r="P1435" s="182" t="s">
        <v>461</v>
      </c>
      <c r="Q1435" s="163" t="s">
        <v>4062</v>
      </c>
      <c r="R1435" s="207" t="s">
        <v>5266</v>
      </c>
      <c r="S1435" s="355" t="s">
        <v>2610</v>
      </c>
      <c r="T1435" s="182"/>
      <c r="U1435" s="182"/>
      <c r="V1435" s="182"/>
      <c r="W1435" s="321"/>
      <c r="X1435" s="653" t="s">
        <v>12330</v>
      </c>
      <c r="Y1435" s="355"/>
      <c r="Z1435" s="185"/>
      <c r="AA1435" s="185"/>
      <c r="AB1435" s="33">
        <f t="shared" ca="1" si="29"/>
        <v>0.48045207151923619</v>
      </c>
      <c r="AC1435" s="813"/>
      <c r="AD1435" s="211" t="s">
        <v>16318</v>
      </c>
      <c r="AE1435" s="949" t="s">
        <v>3365</v>
      </c>
      <c r="AF1435" s="922">
        <f>IF(X1435=X1434,AF1434,0)+IF(ISNUMBER(I1435),IF(I1435&lt;1,I1435,I1435*VLOOKUP(J1435,Summary!$H$2:$I$9,2)),VLOOKUP(J1435,Summary!$J$2:$K$9,2)*IF(ISNUMBER(H1435),H1435,1))</f>
        <v>8.5347222222222227E-2</v>
      </c>
      <c r="AG1435" s="295">
        <v>1434</v>
      </c>
      <c r="AH1435" s="94"/>
      <c r="AI1435" s="94"/>
    </row>
    <row r="1436" spans="1:35" s="22" customFormat="1" ht="12" customHeight="1" x14ac:dyDescent="0.25">
      <c r="A1436" s="494">
        <v>17</v>
      </c>
      <c r="B1436" s="494">
        <v>4</v>
      </c>
      <c r="C1436" s="495">
        <v>4.04</v>
      </c>
      <c r="D1436" s="192" t="s">
        <v>407</v>
      </c>
      <c r="E1436" s="317" t="s">
        <v>421</v>
      </c>
      <c r="F1436" s="209">
        <v>40786</v>
      </c>
      <c r="G1436" s="209"/>
      <c r="H1436" s="192">
        <v>1</v>
      </c>
      <c r="I1436" s="753">
        <f>TIME(0,16,51)</f>
        <v>1.1701388888888891E-2</v>
      </c>
      <c r="J1436" s="903" t="s">
        <v>2755</v>
      </c>
      <c r="K1436" s="194" t="s">
        <v>415</v>
      </c>
      <c r="L1436" s="194" t="s">
        <v>3426</v>
      </c>
      <c r="M1436" s="194" t="s">
        <v>7408</v>
      </c>
      <c r="N1436" s="194"/>
      <c r="O1436" s="194"/>
      <c r="P1436" s="190" t="s">
        <v>5598</v>
      </c>
      <c r="Q1436" s="194" t="s">
        <v>3947</v>
      </c>
      <c r="R1436" s="193" t="s">
        <v>2722</v>
      </c>
      <c r="S1436" s="357"/>
      <c r="T1436" s="190"/>
      <c r="U1436" s="190"/>
      <c r="V1436" s="190"/>
      <c r="W1436" s="317" t="s">
        <v>421</v>
      </c>
      <c r="X1436" s="649" t="s">
        <v>12330</v>
      </c>
      <c r="Y1436" s="357" t="s">
        <v>5643</v>
      </c>
      <c r="Z1436" s="192">
        <v>999</v>
      </c>
      <c r="AA1436" s="192"/>
      <c r="AB1436" s="37">
        <f t="shared" ca="1" si="29"/>
        <v>0.80483270409224739</v>
      </c>
      <c r="AC1436" s="816"/>
      <c r="AD1436" s="817"/>
      <c r="AE1436" s="943"/>
      <c r="AF1436" s="924">
        <f>IF(X1436=X1435,AF1435,0)+IF(ISNUMBER(I1436),IF(I1436&lt;1,I1436,I1436*VLOOKUP(J1436,Summary!$H$2:$I$9,2)),VLOOKUP(J1436,Summary!$J$2:$K$9,2)*IF(ISNUMBER(H1436),H1436,1))</f>
        <v>9.7048611111111113E-2</v>
      </c>
      <c r="AG1436" s="292">
        <v>1435</v>
      </c>
      <c r="AH1436" s="94"/>
      <c r="AI1436" s="94"/>
    </row>
    <row r="1437" spans="1:35" s="22" customFormat="1" ht="12" customHeight="1" x14ac:dyDescent="0.25">
      <c r="A1437" s="490">
        <v>17</v>
      </c>
      <c r="B1437" s="490">
        <v>4</v>
      </c>
      <c r="C1437" s="496">
        <v>25.2</v>
      </c>
      <c r="D1437" s="434" t="s">
        <v>3257</v>
      </c>
      <c r="E1437" s="324" t="s">
        <v>3256</v>
      </c>
      <c r="F1437" s="174">
        <v>39417</v>
      </c>
      <c r="G1437" s="174"/>
      <c r="H1437" s="176">
        <v>1</v>
      </c>
      <c r="I1437" s="176">
        <v>14</v>
      </c>
      <c r="J1437" s="900" t="s">
        <v>2755</v>
      </c>
      <c r="K1437" s="164" t="s">
        <v>5982</v>
      </c>
      <c r="L1437" s="164" t="s">
        <v>461</v>
      </c>
      <c r="M1437" s="164"/>
      <c r="N1437" s="164" t="s">
        <v>5146</v>
      </c>
      <c r="O1437" s="164"/>
      <c r="P1437" s="173" t="s">
        <v>6701</v>
      </c>
      <c r="Q1437" s="164" t="s">
        <v>3947</v>
      </c>
      <c r="R1437" s="179" t="s">
        <v>2723</v>
      </c>
      <c r="S1437" s="354" t="s">
        <v>2610</v>
      </c>
      <c r="T1437" s="173" t="s">
        <v>6335</v>
      </c>
      <c r="U1437" s="173"/>
      <c r="V1437" s="173"/>
      <c r="W1437" s="324" t="s">
        <v>3256</v>
      </c>
      <c r="X1437" s="656" t="s">
        <v>12330</v>
      </c>
      <c r="Y1437" s="354"/>
      <c r="Z1437" s="176"/>
      <c r="AA1437" s="176"/>
      <c r="AB1437" s="32">
        <f t="shared" ca="1" si="29"/>
        <v>0.30504400591016267</v>
      </c>
      <c r="AC1437" s="812"/>
      <c r="AD1437" s="763"/>
      <c r="AE1437" s="951"/>
      <c r="AF1437" s="921">
        <f>IF(X1437=X1436,AF1436,0)+IF(ISNUMBER(I1437),IF(I1437&lt;1,I1437,I1437*VLOOKUP(J1437,Summary!$H$2:$I$9,2)),VLOOKUP(J1437,Summary!$J$2:$K$9,2)*IF(ISNUMBER(H1437),H1437,1))</f>
        <v>0.10677083333333334</v>
      </c>
      <c r="AG1437" s="288">
        <v>1436</v>
      </c>
      <c r="AH1437" s="94"/>
      <c r="AI1437" s="94"/>
    </row>
    <row r="1438" spans="1:35" s="1" customFormat="1" ht="12" customHeight="1" x14ac:dyDescent="0.25">
      <c r="A1438" s="487" t="s">
        <v>2968</v>
      </c>
      <c r="B1438" s="487">
        <v>4</v>
      </c>
      <c r="C1438" s="487">
        <v>105</v>
      </c>
      <c r="D1438" s="424" t="s">
        <v>135</v>
      </c>
      <c r="E1438" s="319" t="s">
        <v>136</v>
      </c>
      <c r="F1438" s="198">
        <v>29127</v>
      </c>
      <c r="G1438" s="198">
        <v>29148</v>
      </c>
      <c r="H1438" s="199">
        <v>4</v>
      </c>
      <c r="I1438" s="791">
        <f>TIME(0,24,25)+TIME(0,24,33)+TIME(0,25,25)+TIME(0,25, 8)</f>
        <v>6.9108796296296307E-2</v>
      </c>
      <c r="J1438" s="904" t="s">
        <v>1588</v>
      </c>
      <c r="K1438" s="200" t="s">
        <v>137</v>
      </c>
      <c r="L1438" s="200" t="s">
        <v>371</v>
      </c>
      <c r="M1438" s="200"/>
      <c r="N1438" s="200" t="s">
        <v>360</v>
      </c>
      <c r="O1438" s="200" t="s">
        <v>1624</v>
      </c>
      <c r="P1438" s="197" t="s">
        <v>461</v>
      </c>
      <c r="Q1438" s="200" t="s">
        <v>3946</v>
      </c>
      <c r="R1438" s="201" t="s">
        <v>5280</v>
      </c>
      <c r="S1438" s="390" t="s">
        <v>2610</v>
      </c>
      <c r="T1438" s="197"/>
      <c r="U1438" s="197"/>
      <c r="V1438" s="197"/>
      <c r="W1438" s="318" t="s">
        <v>8713</v>
      </c>
      <c r="X1438" s="650" t="s">
        <v>12330</v>
      </c>
      <c r="Y1438" s="358" t="s">
        <v>6141</v>
      </c>
      <c r="Z1438" s="253">
        <v>9</v>
      </c>
      <c r="AA1438" s="253">
        <v>10</v>
      </c>
      <c r="AB1438" s="35">
        <f t="shared" ca="1" si="29"/>
        <v>0.6286345451391816</v>
      </c>
      <c r="AC1438" s="820"/>
      <c r="AD1438" s="824" t="s">
        <v>15992</v>
      </c>
      <c r="AE1438" s="944" t="s">
        <v>12543</v>
      </c>
      <c r="AF1438" s="925">
        <f>IF(X1438=X1437,AF1437,0)+IF(ISNUMBER(I1438),IF(I1438&lt;1,I1438,I1438*VLOOKUP(J1438,Summary!$H$2:$I$9,2)),VLOOKUP(J1438,Summary!$J$2:$K$9,2)*IF(ISNUMBER(H1438),H1438,1))</f>
        <v>0.17587962962962966</v>
      </c>
      <c r="AG1438" s="293">
        <v>1437</v>
      </c>
      <c r="AH1438" s="94"/>
      <c r="AI1438" s="94"/>
    </row>
    <row r="1439" spans="1:35" s="1" customFormat="1" ht="12" customHeight="1" x14ac:dyDescent="0.25">
      <c r="A1439" s="490">
        <v>17</v>
      </c>
      <c r="B1439" s="490">
        <v>4</v>
      </c>
      <c r="C1439" s="490">
        <v>23.12</v>
      </c>
      <c r="D1439" s="434" t="s">
        <v>3263</v>
      </c>
      <c r="E1439" s="324" t="s">
        <v>3262</v>
      </c>
      <c r="F1439" s="174">
        <v>39234</v>
      </c>
      <c r="G1439" s="175"/>
      <c r="H1439" s="176">
        <v>1</v>
      </c>
      <c r="I1439" s="176">
        <v>8</v>
      </c>
      <c r="J1439" s="900" t="s">
        <v>2755</v>
      </c>
      <c r="K1439" s="157" t="s">
        <v>3261</v>
      </c>
      <c r="L1439" s="157" t="s">
        <v>461</v>
      </c>
      <c r="M1439" s="157"/>
      <c r="N1439" s="157" t="s">
        <v>804</v>
      </c>
      <c r="O1439" s="157"/>
      <c r="P1439" s="173" t="s">
        <v>6700</v>
      </c>
      <c r="Q1439" s="157" t="s">
        <v>3947</v>
      </c>
      <c r="R1439" s="179" t="s">
        <v>2723</v>
      </c>
      <c r="S1439" s="354" t="s">
        <v>2610</v>
      </c>
      <c r="T1439" s="173"/>
      <c r="U1439" s="173"/>
      <c r="V1439" s="173"/>
      <c r="W1439" s="324" t="s">
        <v>3262</v>
      </c>
      <c r="X1439" s="656" t="s">
        <v>12330</v>
      </c>
      <c r="Y1439" s="363"/>
      <c r="Z1439" s="364"/>
      <c r="AA1439" s="364"/>
      <c r="AB1439" s="32">
        <f t="shared" ca="1" si="29"/>
        <v>0.52566144003374471</v>
      </c>
      <c r="AC1439" s="812"/>
      <c r="AD1439" s="763"/>
      <c r="AE1439" s="951"/>
      <c r="AF1439" s="921">
        <f>IF(X1439=X1438,AF1438,0)+IF(ISNUMBER(I1439),IF(I1439&lt;1,I1439,I1439*VLOOKUP(J1439,Summary!$H$2:$I$9,2)),VLOOKUP(J1439,Summary!$J$2:$K$9,2)*IF(ISNUMBER(H1439),H1439,1))</f>
        <v>0.18143518518518523</v>
      </c>
      <c r="AG1439" s="288">
        <v>1438</v>
      </c>
      <c r="AH1439" s="94"/>
      <c r="AI1439" s="94"/>
    </row>
    <row r="1440" spans="1:35" s="43" customFormat="1" ht="12" customHeight="1" x14ac:dyDescent="0.25">
      <c r="A1440" s="490">
        <v>17</v>
      </c>
      <c r="B1440" s="490">
        <v>4</v>
      </c>
      <c r="C1440" s="490">
        <v>23</v>
      </c>
      <c r="D1440" s="176" t="s">
        <v>10251</v>
      </c>
      <c r="E1440" s="313" t="s">
        <v>10252</v>
      </c>
      <c r="F1440" s="175">
        <v>34969</v>
      </c>
      <c r="G1440" s="175">
        <v>35053</v>
      </c>
      <c r="H1440" s="176">
        <v>3</v>
      </c>
      <c r="I1440" s="176">
        <v>6</v>
      </c>
      <c r="J1440" s="900" t="s">
        <v>2755</v>
      </c>
      <c r="K1440" s="164" t="s">
        <v>3451</v>
      </c>
      <c r="L1440" s="164" t="s">
        <v>10253</v>
      </c>
      <c r="M1440" s="164"/>
      <c r="N1440" s="164"/>
      <c r="O1440" s="164"/>
      <c r="P1440" s="173" t="s">
        <v>461</v>
      </c>
      <c r="Q1440" s="164" t="s">
        <v>4062</v>
      </c>
      <c r="R1440" s="177" t="s">
        <v>10250</v>
      </c>
      <c r="S1440" s="354" t="s">
        <v>2610</v>
      </c>
      <c r="T1440" s="173"/>
      <c r="U1440" s="173"/>
      <c r="V1440" s="173"/>
      <c r="W1440" s="313" t="s">
        <v>10252</v>
      </c>
      <c r="X1440" s="645" t="s">
        <v>12330</v>
      </c>
      <c r="Y1440" s="354"/>
      <c r="Z1440" s="176"/>
      <c r="AA1440" s="176"/>
      <c r="AB1440" s="32">
        <f t="shared" ca="1" si="29"/>
        <v>0.57448144987021033</v>
      </c>
      <c r="AC1440" s="812"/>
      <c r="AD1440" s="763"/>
      <c r="AE1440" s="807"/>
      <c r="AF1440" s="921">
        <f>IF(X1440=X1439,AF1439,0)+IF(ISNUMBER(I1440),IF(I1440&lt;1,I1440,I1440*VLOOKUP(J1440,Summary!$H$2:$I$9,2)),VLOOKUP(J1440,Summary!$J$2:$K$9,2)*IF(ISNUMBER(H1440),H1440,1))</f>
        <v>0.18560185185185191</v>
      </c>
      <c r="AG1440" s="289">
        <v>1439</v>
      </c>
      <c r="AH1440" s="94"/>
      <c r="AI1440" s="94"/>
    </row>
    <row r="1441" spans="1:35" s="43" customFormat="1" ht="12" customHeight="1" x14ac:dyDescent="0.25">
      <c r="A1441" s="487">
        <v>17</v>
      </c>
      <c r="B1441" s="487">
        <v>4</v>
      </c>
      <c r="C1441" s="487">
        <v>106</v>
      </c>
      <c r="D1441" s="424" t="s">
        <v>138</v>
      </c>
      <c r="E1441" s="319" t="s">
        <v>7763</v>
      </c>
      <c r="F1441" s="198">
        <v>29155</v>
      </c>
      <c r="G1441" s="198">
        <v>29176</v>
      </c>
      <c r="H1441" s="199">
        <v>4</v>
      </c>
      <c r="I1441" s="791">
        <f>TIME(0,23,32)+TIME(0,24, 3)+TIME(0,23,55)+TIME(0,24, 8)</f>
        <v>6.6412037037037047E-2</v>
      </c>
      <c r="J1441" s="904" t="s">
        <v>1588</v>
      </c>
      <c r="K1441" s="200" t="s">
        <v>363</v>
      </c>
      <c r="L1441" s="200" t="s">
        <v>30</v>
      </c>
      <c r="M1441" s="200"/>
      <c r="N1441" s="200" t="s">
        <v>360</v>
      </c>
      <c r="O1441" s="200" t="s">
        <v>1624</v>
      </c>
      <c r="P1441" s="197" t="s">
        <v>461</v>
      </c>
      <c r="Q1441" s="200" t="s">
        <v>3946</v>
      </c>
      <c r="R1441" s="201" t="s">
        <v>5280</v>
      </c>
      <c r="S1441" s="390" t="s">
        <v>2610</v>
      </c>
      <c r="T1441" s="197" t="s">
        <v>6335</v>
      </c>
      <c r="U1441" s="197"/>
      <c r="V1441" s="197"/>
      <c r="W1441" s="318" t="s">
        <v>9670</v>
      </c>
      <c r="X1441" s="650" t="s">
        <v>12330</v>
      </c>
      <c r="Y1441" s="358" t="s">
        <v>6141</v>
      </c>
      <c r="Z1441" s="253">
        <v>302</v>
      </c>
      <c r="AA1441" s="253">
        <v>1.5</v>
      </c>
      <c r="AB1441" s="35">
        <f t="shared" ca="1" si="29"/>
        <v>0.51037581259592402</v>
      </c>
      <c r="AC1441" s="820"/>
      <c r="AD1441" s="821"/>
      <c r="AE1441" s="944"/>
      <c r="AF1441" s="925">
        <f>IF(X1441=X1440,AF1440,0)+IF(ISNUMBER(I1441),IF(I1441&lt;1,I1441,I1441*VLOOKUP(J1441,Summary!$H$2:$I$9,2)),VLOOKUP(J1441,Summary!$J$2:$K$9,2)*IF(ISNUMBER(H1441),H1441,1))</f>
        <v>0.25201388888888898</v>
      </c>
      <c r="AG1441" s="293">
        <v>1440</v>
      </c>
      <c r="AH1441" s="94"/>
      <c r="AI1441" s="94"/>
    </row>
    <row r="1442" spans="1:35" s="2" customFormat="1" ht="12" customHeight="1" x14ac:dyDescent="0.25">
      <c r="A1442" s="484">
        <v>17</v>
      </c>
      <c r="B1442" s="484">
        <v>4</v>
      </c>
      <c r="C1442" s="503">
        <v>3</v>
      </c>
      <c r="D1442" s="407" t="s">
        <v>11460</v>
      </c>
      <c r="E1442" s="315" t="s">
        <v>7765</v>
      </c>
      <c r="F1442" s="196">
        <v>42017</v>
      </c>
      <c r="G1442" s="170"/>
      <c r="H1442" s="170">
        <v>4</v>
      </c>
      <c r="I1442" s="746">
        <f>TIME(2,8,18)</f>
        <v>8.9097222222222217E-2</v>
      </c>
      <c r="J1442" s="899" t="s">
        <v>4706</v>
      </c>
      <c r="K1442" s="167" t="s">
        <v>9694</v>
      </c>
      <c r="L1442" s="167" t="s">
        <v>4549</v>
      </c>
      <c r="M1442" s="167"/>
      <c r="N1442" s="167"/>
      <c r="O1442" s="167"/>
      <c r="P1442" s="168" t="s">
        <v>9695</v>
      </c>
      <c r="Q1442" s="167" t="s">
        <v>3947</v>
      </c>
      <c r="R1442" s="172" t="s">
        <v>9690</v>
      </c>
      <c r="S1442" s="388" t="s">
        <v>2610</v>
      </c>
      <c r="T1442" s="168" t="s">
        <v>6335</v>
      </c>
      <c r="U1442" s="168"/>
      <c r="V1442" s="168"/>
      <c r="W1442" s="312"/>
      <c r="X1442" s="644" t="s">
        <v>12330</v>
      </c>
      <c r="Y1442" s="352" t="s">
        <v>5643</v>
      </c>
      <c r="Z1442" s="353">
        <v>301</v>
      </c>
      <c r="AA1442" s="353">
        <v>5.5</v>
      </c>
      <c r="AB1442" s="31">
        <f t="shared" ca="1" si="29"/>
        <v>0.9554607782452218</v>
      </c>
      <c r="AC1442" s="810"/>
      <c r="AD1442" s="811" t="s">
        <v>16186</v>
      </c>
      <c r="AE1442" s="940"/>
      <c r="AF1442" s="920">
        <f>IF(X1442=X1441,AF1441,0)+IF(ISNUMBER(I1442),IF(I1442&lt;1,I1442,I1442*VLOOKUP(J1442,Summary!$H$2:$I$9,2)),VLOOKUP(J1442,Summary!$J$2:$K$9,2)*IF(ISNUMBER(H1442),H1442,1))</f>
        <v>0.3411111111111112</v>
      </c>
      <c r="AG1442" s="287">
        <v>1441</v>
      </c>
      <c r="AH1442" s="94"/>
      <c r="AI1442" s="94"/>
    </row>
    <row r="1443" spans="1:35" s="43" customFormat="1" ht="12" customHeight="1" x14ac:dyDescent="0.25">
      <c r="A1443" s="492" t="s">
        <v>2968</v>
      </c>
      <c r="B1443" s="492">
        <v>4</v>
      </c>
      <c r="C1443" s="492">
        <v>6</v>
      </c>
      <c r="D1443" s="417" t="s">
        <v>7764</v>
      </c>
      <c r="E1443" s="316" t="s">
        <v>7765</v>
      </c>
      <c r="F1443" s="187">
        <v>34700</v>
      </c>
      <c r="G1443" s="188"/>
      <c r="H1443" s="188" t="str">
        <f>IF(J1443="Book","n/a","")</f>
        <v>n/a</v>
      </c>
      <c r="I1443" s="188">
        <v>246</v>
      </c>
      <c r="J1443" s="902" t="s">
        <v>6868</v>
      </c>
      <c r="K1443" s="162" t="s">
        <v>3451</v>
      </c>
      <c r="L1443" s="162" t="str">
        <f>IF(J1443="Book","n/a","")</f>
        <v>n/a</v>
      </c>
      <c r="M1443" s="162"/>
      <c r="N1443" s="162"/>
      <c r="O1443" s="162"/>
      <c r="P1443" s="178" t="s">
        <v>8591</v>
      </c>
      <c r="Q1443" s="162" t="s">
        <v>601</v>
      </c>
      <c r="R1443" s="189" t="s">
        <v>2715</v>
      </c>
      <c r="S1443" s="366" t="s">
        <v>2610</v>
      </c>
      <c r="T1443" s="178" t="s">
        <v>6335</v>
      </c>
      <c r="U1443" s="178"/>
      <c r="V1443" s="178"/>
      <c r="W1443" s="316" t="s">
        <v>7765</v>
      </c>
      <c r="X1443" s="648" t="s">
        <v>12330</v>
      </c>
      <c r="Y1443" s="356" t="s">
        <v>6868</v>
      </c>
      <c r="Z1443" s="272"/>
      <c r="AA1443" s="272"/>
      <c r="AB1443" s="34">
        <f t="shared" ca="1" si="29"/>
        <v>0.25826586681220309</v>
      </c>
      <c r="AC1443" s="814"/>
      <c r="AD1443" s="815" t="s">
        <v>16186</v>
      </c>
      <c r="AE1443" s="942"/>
      <c r="AF1443" s="923">
        <f>IF(X1443=X1442,AF1442,0)+IF(ISNUMBER(I1443),IF(I1443&lt;1,I1443,I1443*VLOOKUP(J1443,Summary!$H$2:$I$9,2)),VLOOKUP(J1443,Summary!$J$2:$K$9,2)*IF(ISNUMBER(H1443),H1443,1))</f>
        <v>0.51194444444444454</v>
      </c>
      <c r="AG1443" s="291">
        <v>1442</v>
      </c>
      <c r="AH1443" s="94"/>
      <c r="AI1443" s="94"/>
    </row>
    <row r="1444" spans="1:35" s="43" customFormat="1" ht="12" customHeight="1" x14ac:dyDescent="0.25">
      <c r="A1444" s="484">
        <v>17</v>
      </c>
      <c r="B1444" s="484">
        <v>4</v>
      </c>
      <c r="C1444" s="503">
        <v>4</v>
      </c>
      <c r="D1444" s="407" t="s">
        <v>11461</v>
      </c>
      <c r="E1444" s="315" t="s">
        <v>7767</v>
      </c>
      <c r="F1444" s="196">
        <v>42017</v>
      </c>
      <c r="G1444" s="170"/>
      <c r="H1444" s="170">
        <v>4</v>
      </c>
      <c r="I1444" s="746">
        <f>TIME(2,20,44)</f>
        <v>9.7731481481481475E-2</v>
      </c>
      <c r="J1444" s="899" t="s">
        <v>4706</v>
      </c>
      <c r="K1444" s="167" t="s">
        <v>9694</v>
      </c>
      <c r="L1444" s="167" t="s">
        <v>4549</v>
      </c>
      <c r="M1444" s="167"/>
      <c r="N1444" s="167"/>
      <c r="O1444" s="167"/>
      <c r="P1444" s="168" t="s">
        <v>9696</v>
      </c>
      <c r="Q1444" s="167" t="s">
        <v>3947</v>
      </c>
      <c r="R1444" s="172" t="s">
        <v>9690</v>
      </c>
      <c r="S1444" s="388" t="s">
        <v>2610</v>
      </c>
      <c r="T1444" s="168" t="s">
        <v>6335</v>
      </c>
      <c r="U1444" s="168"/>
      <c r="V1444" s="168"/>
      <c r="W1444" s="312"/>
      <c r="X1444" s="644" t="s">
        <v>12330</v>
      </c>
      <c r="Y1444" s="352" t="s">
        <v>5643</v>
      </c>
      <c r="Z1444" s="353">
        <v>393</v>
      </c>
      <c r="AA1444" s="353">
        <v>5</v>
      </c>
      <c r="AB1444" s="31">
        <f t="shared" ca="1" si="29"/>
        <v>0.40612018925062143</v>
      </c>
      <c r="AC1444" s="810"/>
      <c r="AD1444" s="811" t="s">
        <v>16703</v>
      </c>
      <c r="AE1444" s="940"/>
      <c r="AF1444" s="920">
        <f>IF(X1444=X1443,AF1443,0)+IF(ISNUMBER(I1444),IF(I1444&lt;1,I1444,I1444*VLOOKUP(J1444,Summary!$H$2:$I$9,2)),VLOOKUP(J1444,Summary!$J$2:$K$9,2)*IF(ISNUMBER(H1444),H1444,1))</f>
        <v>0.60967592592592601</v>
      </c>
      <c r="AG1444" s="287">
        <v>1443</v>
      </c>
      <c r="AH1444" s="94"/>
      <c r="AI1444" s="94"/>
    </row>
    <row r="1445" spans="1:35" s="43" customFormat="1" ht="12" customHeight="1" x14ac:dyDescent="0.25">
      <c r="A1445" s="492" t="s">
        <v>2968</v>
      </c>
      <c r="B1445" s="492">
        <v>4</v>
      </c>
      <c r="C1445" s="492">
        <v>20</v>
      </c>
      <c r="D1445" s="417" t="s">
        <v>7766</v>
      </c>
      <c r="E1445" s="316" t="s">
        <v>7767</v>
      </c>
      <c r="F1445" s="187">
        <v>35125</v>
      </c>
      <c r="G1445" s="188"/>
      <c r="H1445" s="188" t="str">
        <f>IF(J1445="Book","n/a","")</f>
        <v>n/a</v>
      </c>
      <c r="I1445" s="188">
        <v>272</v>
      </c>
      <c r="J1445" s="902" t="s">
        <v>6868</v>
      </c>
      <c r="K1445" s="162" t="s">
        <v>3451</v>
      </c>
      <c r="L1445" s="162" t="str">
        <f>IF(J1445="Book","n/a","")</f>
        <v>n/a</v>
      </c>
      <c r="M1445" s="162"/>
      <c r="N1445" s="162"/>
      <c r="O1445" s="162"/>
      <c r="P1445" s="178" t="s">
        <v>8605</v>
      </c>
      <c r="Q1445" s="162" t="s">
        <v>601</v>
      </c>
      <c r="R1445" s="189" t="s">
        <v>2715</v>
      </c>
      <c r="S1445" s="366" t="s">
        <v>2610</v>
      </c>
      <c r="T1445" s="178" t="s">
        <v>6335</v>
      </c>
      <c r="U1445" s="178"/>
      <c r="V1445" s="178"/>
      <c r="W1445" s="316" t="s">
        <v>7767</v>
      </c>
      <c r="X1445" s="648" t="s">
        <v>12330</v>
      </c>
      <c r="Y1445" s="356"/>
      <c r="Z1445" s="272"/>
      <c r="AA1445" s="272"/>
      <c r="AB1445" s="34">
        <f t="shared" ca="1" si="29"/>
        <v>4.6071515409926045E-2</v>
      </c>
      <c r="AC1445" s="814"/>
      <c r="AD1445" s="815" t="s">
        <v>16703</v>
      </c>
      <c r="AE1445" s="942"/>
      <c r="AF1445" s="923">
        <f>IF(X1445=X1444,AF1444,0)+IF(ISNUMBER(I1445),IF(I1445&lt;1,I1445,I1445*VLOOKUP(J1445,Summary!$H$2:$I$9,2)),VLOOKUP(J1445,Summary!$J$2:$K$9,2)*IF(ISNUMBER(H1445),H1445,1))</f>
        <v>0.79856481481481489</v>
      </c>
      <c r="AG1445" s="291">
        <v>1444</v>
      </c>
      <c r="AH1445" s="94"/>
      <c r="AI1445" s="94"/>
    </row>
    <row r="1446" spans="1:35" s="2" customFormat="1" ht="12" customHeight="1" x14ac:dyDescent="0.25">
      <c r="A1446" s="490">
        <v>17</v>
      </c>
      <c r="B1446" s="490">
        <v>4</v>
      </c>
      <c r="C1446" s="490">
        <v>3.03</v>
      </c>
      <c r="D1446" s="434" t="s">
        <v>3270</v>
      </c>
      <c r="E1446" s="324" t="s">
        <v>3269</v>
      </c>
      <c r="F1446" s="174">
        <v>36586</v>
      </c>
      <c r="G1446" s="175"/>
      <c r="H1446" s="176">
        <v>1</v>
      </c>
      <c r="I1446" s="176">
        <v>6</v>
      </c>
      <c r="J1446" s="900" t="s">
        <v>2755</v>
      </c>
      <c r="K1446" s="164" t="s">
        <v>6340</v>
      </c>
      <c r="L1446" s="157" t="s">
        <v>461</v>
      </c>
      <c r="M1446" s="157"/>
      <c r="N1446" s="164" t="s">
        <v>4992</v>
      </c>
      <c r="O1446" s="157"/>
      <c r="P1446" s="173" t="s">
        <v>4993</v>
      </c>
      <c r="Q1446" s="157" t="s">
        <v>3953</v>
      </c>
      <c r="R1446" s="179" t="s">
        <v>2723</v>
      </c>
      <c r="S1446" s="354" t="s">
        <v>2610</v>
      </c>
      <c r="T1446" s="173" t="s">
        <v>6335</v>
      </c>
      <c r="U1446" s="173"/>
      <c r="V1446" s="173"/>
      <c r="W1446" s="324" t="s">
        <v>3269</v>
      </c>
      <c r="X1446" s="656" t="s">
        <v>12330</v>
      </c>
      <c r="Y1446" s="354" t="s">
        <v>6868</v>
      </c>
      <c r="Z1446" s="176">
        <v>999</v>
      </c>
      <c r="AA1446" s="364"/>
      <c r="AB1446" s="32">
        <f t="shared" ca="1" si="29"/>
        <v>0.11451036421003513</v>
      </c>
      <c r="AC1446" s="812"/>
      <c r="AD1446" s="763"/>
      <c r="AE1446" s="951"/>
      <c r="AF1446" s="921">
        <f>IF(X1446=X1445,AF1445,0)+IF(ISNUMBER(I1446),IF(I1446&lt;1,I1446,I1446*VLOOKUP(J1446,Summary!$H$2:$I$9,2)),VLOOKUP(J1446,Summary!$J$2:$K$9,2)*IF(ISNUMBER(H1446),H1446,1))</f>
        <v>0.80273148148148155</v>
      </c>
      <c r="AG1446" s="288">
        <v>1445</v>
      </c>
      <c r="AH1446" s="94"/>
      <c r="AI1446" s="94"/>
    </row>
    <row r="1447" spans="1:35" s="2" customFormat="1" ht="12" customHeight="1" x14ac:dyDescent="0.25">
      <c r="A1447" s="490">
        <v>17</v>
      </c>
      <c r="B1447" s="490">
        <v>4</v>
      </c>
      <c r="C1447" s="490">
        <v>3.11</v>
      </c>
      <c r="D1447" s="434" t="s">
        <v>6708</v>
      </c>
      <c r="E1447" s="324" t="s">
        <v>4370</v>
      </c>
      <c r="F1447" s="174">
        <v>36586</v>
      </c>
      <c r="G1447" s="175"/>
      <c r="H1447" s="176">
        <v>1</v>
      </c>
      <c r="I1447" s="176">
        <v>1</v>
      </c>
      <c r="J1447" s="900" t="s">
        <v>2755</v>
      </c>
      <c r="K1447" s="157" t="s">
        <v>4371</v>
      </c>
      <c r="L1447" s="157" t="s">
        <v>461</v>
      </c>
      <c r="M1447" s="157"/>
      <c r="N1447" s="164" t="s">
        <v>4992</v>
      </c>
      <c r="O1447" s="157"/>
      <c r="P1447" s="173" t="s">
        <v>4993</v>
      </c>
      <c r="Q1447" s="157" t="s">
        <v>3953</v>
      </c>
      <c r="R1447" s="179" t="s">
        <v>2723</v>
      </c>
      <c r="S1447" s="354" t="s">
        <v>2610</v>
      </c>
      <c r="T1447" s="173"/>
      <c r="U1447" s="173"/>
      <c r="V1447" s="173"/>
      <c r="W1447" s="324" t="s">
        <v>4370</v>
      </c>
      <c r="X1447" s="656" t="s">
        <v>12330</v>
      </c>
      <c r="Y1447" s="354" t="s">
        <v>6868</v>
      </c>
      <c r="Z1447" s="176">
        <v>999</v>
      </c>
      <c r="AA1447" s="364"/>
      <c r="AB1447" s="32">
        <f t="shared" ca="1" si="29"/>
        <v>0.40271712867876386</v>
      </c>
      <c r="AC1447" s="812"/>
      <c r="AD1447" s="763"/>
      <c r="AE1447" s="951"/>
      <c r="AF1447" s="921">
        <f>IF(X1447=X1446,AF1446,0)+IF(ISNUMBER(I1447),IF(I1447&lt;1,I1447,I1447*VLOOKUP(J1447,Summary!$H$2:$I$9,2)),VLOOKUP(J1447,Summary!$J$2:$K$9,2)*IF(ISNUMBER(H1447),H1447,1))</f>
        <v>0.80342592592592599</v>
      </c>
      <c r="AG1447" s="288">
        <v>1446</v>
      </c>
      <c r="AH1447" s="94"/>
      <c r="AI1447" s="94"/>
    </row>
    <row r="1448" spans="1:35" s="1" customFormat="1" ht="12" customHeight="1" x14ac:dyDescent="0.25">
      <c r="A1448" s="490">
        <v>17</v>
      </c>
      <c r="B1448" s="490">
        <v>4</v>
      </c>
      <c r="C1448" s="490">
        <v>3.17</v>
      </c>
      <c r="D1448" s="434" t="s">
        <v>4372</v>
      </c>
      <c r="E1448" s="324" t="s">
        <v>7533</v>
      </c>
      <c r="F1448" s="174">
        <v>36586</v>
      </c>
      <c r="G1448" s="175"/>
      <c r="H1448" s="176">
        <v>1</v>
      </c>
      <c r="I1448" s="176">
        <v>5</v>
      </c>
      <c r="J1448" s="900" t="s">
        <v>2755</v>
      </c>
      <c r="K1448" s="157" t="s">
        <v>5445</v>
      </c>
      <c r="L1448" s="157" t="s">
        <v>461</v>
      </c>
      <c r="M1448" s="157"/>
      <c r="N1448" s="164" t="s">
        <v>4992</v>
      </c>
      <c r="O1448" s="157"/>
      <c r="P1448" s="173" t="s">
        <v>4993</v>
      </c>
      <c r="Q1448" s="157" t="s">
        <v>3953</v>
      </c>
      <c r="R1448" s="179" t="s">
        <v>2723</v>
      </c>
      <c r="S1448" s="354" t="s">
        <v>2610</v>
      </c>
      <c r="T1448" s="173"/>
      <c r="U1448" s="173"/>
      <c r="V1448" s="173"/>
      <c r="W1448" s="324" t="s">
        <v>7533</v>
      </c>
      <c r="X1448" s="656" t="s">
        <v>12330</v>
      </c>
      <c r="Y1448" s="354" t="s">
        <v>6868</v>
      </c>
      <c r="Z1448" s="176">
        <v>999</v>
      </c>
      <c r="AA1448" s="364"/>
      <c r="AB1448" s="32">
        <f t="shared" ca="1" si="29"/>
        <v>0.5170303941116936</v>
      </c>
      <c r="AC1448" s="812"/>
      <c r="AD1448" s="763"/>
      <c r="AE1448" s="951"/>
      <c r="AF1448" s="921">
        <f>IF(X1448=X1447,AF1447,0)+IF(ISNUMBER(I1448),IF(I1448&lt;1,I1448,I1448*VLOOKUP(J1448,Summary!$H$2:$I$9,2)),VLOOKUP(J1448,Summary!$J$2:$K$9,2)*IF(ISNUMBER(H1448),H1448,1))</f>
        <v>0.8068981481481482</v>
      </c>
      <c r="AG1448" s="288">
        <v>1447</v>
      </c>
      <c r="AH1448" s="94"/>
      <c r="AI1448" s="94"/>
    </row>
    <row r="1449" spans="1:35" s="3" customFormat="1" ht="12" customHeight="1" x14ac:dyDescent="0.25">
      <c r="A1449" s="490">
        <v>17</v>
      </c>
      <c r="B1449" s="490">
        <v>4</v>
      </c>
      <c r="C1449" s="496">
        <v>3.2</v>
      </c>
      <c r="D1449" s="434" t="s">
        <v>5442</v>
      </c>
      <c r="E1449" s="324" t="s">
        <v>5444</v>
      </c>
      <c r="F1449" s="174">
        <v>36586</v>
      </c>
      <c r="G1449" s="175"/>
      <c r="H1449" s="176">
        <v>1</v>
      </c>
      <c r="I1449" s="176">
        <v>11</v>
      </c>
      <c r="J1449" s="900" t="s">
        <v>2755</v>
      </c>
      <c r="K1449" s="157" t="s">
        <v>5443</v>
      </c>
      <c r="L1449" s="157" t="s">
        <v>461</v>
      </c>
      <c r="M1449" s="157"/>
      <c r="N1449" s="164" t="s">
        <v>4992</v>
      </c>
      <c r="O1449" s="157"/>
      <c r="P1449" s="173" t="s">
        <v>4993</v>
      </c>
      <c r="Q1449" s="157" t="s">
        <v>3953</v>
      </c>
      <c r="R1449" s="179" t="s">
        <v>2723</v>
      </c>
      <c r="S1449" s="354" t="s">
        <v>2610</v>
      </c>
      <c r="T1449" s="173"/>
      <c r="U1449" s="173"/>
      <c r="V1449" s="173"/>
      <c r="W1449" s="324" t="s">
        <v>5444</v>
      </c>
      <c r="X1449" s="656" t="s">
        <v>12330</v>
      </c>
      <c r="Y1449" s="354" t="s">
        <v>6868</v>
      </c>
      <c r="Z1449" s="176">
        <v>999</v>
      </c>
      <c r="AA1449" s="364"/>
      <c r="AB1449" s="32">
        <f t="shared" ca="1" si="29"/>
        <v>0.37697221774323786</v>
      </c>
      <c r="AC1449" s="812"/>
      <c r="AD1449" s="763"/>
      <c r="AE1449" s="951"/>
      <c r="AF1449" s="921">
        <f>IF(X1449=X1448,AF1448,0)+IF(ISNUMBER(I1449),IF(I1449&lt;1,I1449,I1449*VLOOKUP(J1449,Summary!$H$2:$I$9,2)),VLOOKUP(J1449,Summary!$J$2:$K$9,2)*IF(ISNUMBER(H1449),H1449,1))</f>
        <v>0.81453703703703706</v>
      </c>
      <c r="AG1449" s="288">
        <v>1448</v>
      </c>
      <c r="AH1449" s="94"/>
      <c r="AI1449" s="94"/>
    </row>
    <row r="1450" spans="1:35" s="22" customFormat="1" ht="12" customHeight="1" x14ac:dyDescent="0.25">
      <c r="A1450" s="487" t="s">
        <v>2968</v>
      </c>
      <c r="B1450" s="487">
        <v>4</v>
      </c>
      <c r="C1450" s="487">
        <v>107</v>
      </c>
      <c r="D1450" s="424" t="s">
        <v>7768</v>
      </c>
      <c r="E1450" s="319" t="s">
        <v>1992</v>
      </c>
      <c r="F1450" s="198">
        <v>29183</v>
      </c>
      <c r="G1450" s="198">
        <v>29204</v>
      </c>
      <c r="H1450" s="199">
        <v>4</v>
      </c>
      <c r="I1450" s="791">
        <f>TIME(0,24,17)+TIME(0,22,44)+TIME(0,24, 6)+TIME(0,24,31)</f>
        <v>6.6412037037037033E-2</v>
      </c>
      <c r="J1450" s="904" t="s">
        <v>1588</v>
      </c>
      <c r="K1450" s="200" t="s">
        <v>1993</v>
      </c>
      <c r="L1450" s="200" t="s">
        <v>5043</v>
      </c>
      <c r="M1450" s="200"/>
      <c r="N1450" s="200" t="s">
        <v>360</v>
      </c>
      <c r="O1450" s="200" t="s">
        <v>1624</v>
      </c>
      <c r="P1450" s="197" t="s">
        <v>461</v>
      </c>
      <c r="Q1450" s="200" t="s">
        <v>3946</v>
      </c>
      <c r="R1450" s="201" t="s">
        <v>5280</v>
      </c>
      <c r="S1450" s="390" t="s">
        <v>2610</v>
      </c>
      <c r="T1450" s="197" t="s">
        <v>6335</v>
      </c>
      <c r="U1450" s="197"/>
      <c r="V1450" s="197"/>
      <c r="W1450" s="318" t="s">
        <v>9676</v>
      </c>
      <c r="X1450" s="650" t="s">
        <v>12330</v>
      </c>
      <c r="Y1450" s="358" t="s">
        <v>6141</v>
      </c>
      <c r="Z1450" s="253">
        <v>144</v>
      </c>
      <c r="AA1450" s="253">
        <v>5.5</v>
      </c>
      <c r="AB1450" s="35">
        <f t="shared" ca="1" si="29"/>
        <v>3.9440916370826473E-3</v>
      </c>
      <c r="AC1450" s="820"/>
      <c r="AD1450" s="821" t="s">
        <v>16123</v>
      </c>
      <c r="AE1450" s="944"/>
      <c r="AF1450" s="925">
        <f>IF(X1450=X1449,AF1449,0)+IF(ISNUMBER(I1450),IF(I1450&lt;1,I1450,I1450*VLOOKUP(J1450,Summary!$H$2:$I$9,2)),VLOOKUP(J1450,Summary!$J$2:$K$9,2)*IF(ISNUMBER(H1450),H1450,1))</f>
        <v>0.88094907407407408</v>
      </c>
      <c r="AG1450" s="293">
        <v>1449</v>
      </c>
      <c r="AH1450" s="94"/>
      <c r="AI1450" s="94"/>
    </row>
    <row r="1451" spans="1:35" s="3" customFormat="1" ht="12" customHeight="1" x14ac:dyDescent="0.25">
      <c r="A1451" s="488">
        <v>17</v>
      </c>
      <c r="B1451" s="488">
        <v>4</v>
      </c>
      <c r="C1451" s="488">
        <v>81</v>
      </c>
      <c r="D1451" s="428" t="s">
        <v>6497</v>
      </c>
      <c r="E1451" s="325" t="s">
        <v>6498</v>
      </c>
      <c r="F1451" s="184">
        <v>35333</v>
      </c>
      <c r="G1451" s="183"/>
      <c r="H1451" s="185">
        <v>1</v>
      </c>
      <c r="I1451" s="185">
        <v>7</v>
      </c>
      <c r="J1451" s="901" t="s">
        <v>1796</v>
      </c>
      <c r="K1451" s="163" t="s">
        <v>6499</v>
      </c>
      <c r="L1451" s="163" t="s">
        <v>6499</v>
      </c>
      <c r="M1451" s="163"/>
      <c r="N1451" s="163" t="s">
        <v>7685</v>
      </c>
      <c r="O1451" s="163"/>
      <c r="P1451" s="182" t="s">
        <v>461</v>
      </c>
      <c r="Q1451" s="163" t="s">
        <v>4062</v>
      </c>
      <c r="R1451" s="207" t="s">
        <v>5266</v>
      </c>
      <c r="S1451" s="355"/>
      <c r="T1451" s="182"/>
      <c r="U1451" s="182"/>
      <c r="V1451" s="182"/>
      <c r="W1451" s="325" t="s">
        <v>6498</v>
      </c>
      <c r="X1451" s="657" t="s">
        <v>12330</v>
      </c>
      <c r="Y1451" s="355"/>
      <c r="Z1451" s="185"/>
      <c r="AA1451" s="185"/>
      <c r="AB1451" s="33">
        <f t="shared" ca="1" si="29"/>
        <v>0.69819273419808237</v>
      </c>
      <c r="AC1451" s="813"/>
      <c r="AD1451" s="211"/>
      <c r="AE1451" s="949"/>
      <c r="AF1451" s="922">
        <f>IF(X1451=X1450,AF1450,0)+IF(ISNUMBER(I1451),IF(I1451&lt;1,I1451,I1451*VLOOKUP(J1451,Summary!$H$2:$I$9,2)),VLOOKUP(J1451,Summary!$J$2:$K$9,2)*IF(ISNUMBER(H1451),H1451,1))</f>
        <v>0.88337962962962968</v>
      </c>
      <c r="AG1451" s="295">
        <v>1450</v>
      </c>
      <c r="AH1451" s="94"/>
      <c r="AI1451" s="94"/>
    </row>
    <row r="1452" spans="1:35" s="22" customFormat="1" ht="12" customHeight="1" x14ac:dyDescent="0.2">
      <c r="A1452" s="484" t="s">
        <v>2968</v>
      </c>
      <c r="B1452" s="484">
        <v>4</v>
      </c>
      <c r="C1452" s="505">
        <v>1.04</v>
      </c>
      <c r="D1452" s="407" t="s">
        <v>144</v>
      </c>
      <c r="E1452" s="315" t="s">
        <v>1994</v>
      </c>
      <c r="F1452" s="196">
        <v>39118</v>
      </c>
      <c r="G1452" s="170"/>
      <c r="H1452" s="170">
        <v>4</v>
      </c>
      <c r="I1452" s="746">
        <f>TIME(1,6,30)</f>
        <v>4.6180555555555558E-2</v>
      </c>
      <c r="J1452" s="899" t="s">
        <v>4706</v>
      </c>
      <c r="K1452" s="167" t="s">
        <v>177</v>
      </c>
      <c r="L1452" s="167" t="s">
        <v>4553</v>
      </c>
      <c r="M1452" s="167" t="s">
        <v>8033</v>
      </c>
      <c r="N1452" s="167"/>
      <c r="O1452" s="167"/>
      <c r="P1452" s="168" t="s">
        <v>9160</v>
      </c>
      <c r="Q1452" s="167" t="s">
        <v>3947</v>
      </c>
      <c r="R1452" s="172" t="s">
        <v>3153</v>
      </c>
      <c r="S1452" s="388" t="s">
        <v>2610</v>
      </c>
      <c r="T1452" s="168" t="s">
        <v>6335</v>
      </c>
      <c r="U1452" s="168"/>
      <c r="V1452" s="168"/>
      <c r="W1452" s="312" t="s">
        <v>8662</v>
      </c>
      <c r="X1452" s="644" t="s">
        <v>12330</v>
      </c>
      <c r="Y1452" s="352" t="s">
        <v>5398</v>
      </c>
      <c r="Z1452" s="353">
        <v>602</v>
      </c>
      <c r="AA1452" s="353">
        <v>3.5</v>
      </c>
      <c r="AB1452" s="31">
        <f t="shared" ca="1" si="29"/>
        <v>0.25884830462423447</v>
      </c>
      <c r="AC1452" s="810"/>
      <c r="AD1452" s="811" t="s">
        <v>16350</v>
      </c>
      <c r="AE1452" s="940" t="s">
        <v>12543</v>
      </c>
      <c r="AF1452" s="920">
        <f>IF(X1452=X1451,AF1451,0)+IF(ISNUMBER(I1452),IF(I1452&lt;1,I1452,I1452*VLOOKUP(J1452,Summary!$H$2:$I$9,2)),VLOOKUP(J1452,Summary!$J$2:$K$9,2)*IF(ISNUMBER(H1452),H1452,1))</f>
        <v>0.92956018518518524</v>
      </c>
      <c r="AG1452" s="287">
        <v>1451</v>
      </c>
      <c r="AH1452" s="94"/>
      <c r="AI1452" s="94"/>
    </row>
    <row r="1453" spans="1:35" s="6" customFormat="1" ht="12" customHeight="1" x14ac:dyDescent="0.25">
      <c r="A1453" s="488">
        <v>17</v>
      </c>
      <c r="B1453" s="488">
        <v>4</v>
      </c>
      <c r="C1453" s="488">
        <v>0.04</v>
      </c>
      <c r="D1453" s="185" t="s">
        <v>15379</v>
      </c>
      <c r="E1453" s="314" t="s">
        <v>15380</v>
      </c>
      <c r="F1453" s="184">
        <v>43369</v>
      </c>
      <c r="G1453" s="184"/>
      <c r="H1453" s="185">
        <v>1</v>
      </c>
      <c r="I1453" s="185">
        <v>4</v>
      </c>
      <c r="J1453" s="901" t="s">
        <v>1796</v>
      </c>
      <c r="K1453" s="163" t="s">
        <v>2675</v>
      </c>
      <c r="L1453" s="163" t="s">
        <v>3365</v>
      </c>
      <c r="M1453" s="163" t="s">
        <v>3365</v>
      </c>
      <c r="N1453" s="163"/>
      <c r="O1453" s="163"/>
      <c r="P1453" s="182" t="s">
        <v>461</v>
      </c>
      <c r="Q1453" s="163" t="s">
        <v>7076</v>
      </c>
      <c r="R1453" s="186" t="s">
        <v>12120</v>
      </c>
      <c r="S1453" s="355" t="s">
        <v>2610</v>
      </c>
      <c r="T1453" s="182"/>
      <c r="U1453" s="182"/>
      <c r="V1453" s="182"/>
      <c r="W1453" s="314" t="s">
        <v>15380</v>
      </c>
      <c r="X1453" s="657" t="s">
        <v>12330</v>
      </c>
      <c r="Y1453" s="355"/>
      <c r="Z1453" s="185"/>
      <c r="AA1453" s="185"/>
      <c r="AB1453" s="33">
        <f t="shared" ca="1" si="29"/>
        <v>0.13336805130737361</v>
      </c>
      <c r="AC1453" s="813"/>
      <c r="AD1453" s="819"/>
      <c r="AE1453" s="875"/>
      <c r="AF1453" s="922">
        <f>IF(X1453=X1452,AF1452,0)+IF(ISNUMBER(I1453),IF(I1453&lt;1,I1453,I1453*VLOOKUP(J1453,Summary!$H$2:$I$9,2)),VLOOKUP(J1453,Summary!$J$2:$K$9,2)*IF(ISNUMBER(H1453),H1453,1))</f>
        <v>0.93094907407407412</v>
      </c>
      <c r="AG1453" s="290">
        <v>1452</v>
      </c>
      <c r="AH1453" s="94"/>
      <c r="AI1453" s="94"/>
    </row>
    <row r="1454" spans="1:35" s="29" customFormat="1" ht="12" customHeight="1" x14ac:dyDescent="0.25">
      <c r="A1454" s="490">
        <v>17</v>
      </c>
      <c r="B1454" s="490">
        <v>4</v>
      </c>
      <c r="C1454" s="490">
        <v>14.14</v>
      </c>
      <c r="D1454" s="434" t="s">
        <v>5447</v>
      </c>
      <c r="E1454" s="324" t="s">
        <v>3266</v>
      </c>
      <c r="F1454" s="174">
        <v>38322</v>
      </c>
      <c r="G1454" s="174"/>
      <c r="H1454" s="176">
        <v>1</v>
      </c>
      <c r="I1454" s="176">
        <v>18</v>
      </c>
      <c r="J1454" s="900" t="s">
        <v>2755</v>
      </c>
      <c r="K1454" s="164" t="s">
        <v>5446</v>
      </c>
      <c r="L1454" s="164" t="s">
        <v>461</v>
      </c>
      <c r="M1454" s="164"/>
      <c r="N1454" s="164" t="s">
        <v>3807</v>
      </c>
      <c r="O1454" s="164"/>
      <c r="P1454" s="173" t="s">
        <v>6565</v>
      </c>
      <c r="Q1454" s="164" t="s">
        <v>3947</v>
      </c>
      <c r="R1454" s="179" t="s">
        <v>2723</v>
      </c>
      <c r="S1454" s="354" t="s">
        <v>2610</v>
      </c>
      <c r="T1454" s="173" t="s">
        <v>6335</v>
      </c>
      <c r="U1454" s="173"/>
      <c r="V1454" s="173"/>
      <c r="W1454" s="324" t="s">
        <v>3266</v>
      </c>
      <c r="X1454" s="656" t="s">
        <v>12330</v>
      </c>
      <c r="Y1454" s="354"/>
      <c r="Z1454" s="176"/>
      <c r="AA1454" s="176"/>
      <c r="AB1454" s="32">
        <f t="shared" ca="1" si="29"/>
        <v>0.79678355130705869</v>
      </c>
      <c r="AC1454" s="812"/>
      <c r="AD1454" s="763"/>
      <c r="AE1454" s="951"/>
      <c r="AF1454" s="921">
        <f>IF(X1454=X1453,AF1453,0)+IF(ISNUMBER(I1454),IF(I1454&lt;1,I1454,I1454*VLOOKUP(J1454,Summary!$H$2:$I$9,2)),VLOOKUP(J1454,Summary!$J$2:$K$9,2)*IF(ISNUMBER(H1454),H1454,1))</f>
        <v>0.94344907407407408</v>
      </c>
      <c r="AG1454" s="288">
        <v>1453</v>
      </c>
      <c r="AH1454" s="94"/>
      <c r="AI1454" s="94"/>
    </row>
    <row r="1455" spans="1:35" s="43" customFormat="1" ht="12" customHeight="1" x14ac:dyDescent="0.25">
      <c r="A1455" s="490">
        <v>17</v>
      </c>
      <c r="B1455" s="490">
        <v>4</v>
      </c>
      <c r="C1455" s="496">
        <v>14.2</v>
      </c>
      <c r="D1455" s="434" t="s">
        <v>5448</v>
      </c>
      <c r="E1455" s="324" t="s">
        <v>3267</v>
      </c>
      <c r="F1455" s="174">
        <v>38322</v>
      </c>
      <c r="G1455" s="174"/>
      <c r="H1455" s="176">
        <v>1</v>
      </c>
      <c r="I1455" s="176">
        <v>8</v>
      </c>
      <c r="J1455" s="900" t="s">
        <v>2755</v>
      </c>
      <c r="K1455" s="164" t="s">
        <v>177</v>
      </c>
      <c r="L1455" s="164" t="s">
        <v>461</v>
      </c>
      <c r="M1455" s="164"/>
      <c r="N1455" s="164" t="s">
        <v>3807</v>
      </c>
      <c r="O1455" s="164"/>
      <c r="P1455" s="173" t="s">
        <v>6565</v>
      </c>
      <c r="Q1455" s="164" t="s">
        <v>3947</v>
      </c>
      <c r="R1455" s="179" t="s">
        <v>2723</v>
      </c>
      <c r="S1455" s="354" t="s">
        <v>2610</v>
      </c>
      <c r="T1455" s="173" t="s">
        <v>6335</v>
      </c>
      <c r="U1455" s="173"/>
      <c r="V1455" s="173"/>
      <c r="W1455" s="324" t="s">
        <v>3267</v>
      </c>
      <c r="X1455" s="656" t="s">
        <v>12330</v>
      </c>
      <c r="Y1455" s="354"/>
      <c r="Z1455" s="176"/>
      <c r="AA1455" s="176"/>
      <c r="AB1455" s="32">
        <f t="shared" ca="1" si="29"/>
        <v>0.60722346577515285</v>
      </c>
      <c r="AC1455" s="812"/>
      <c r="AD1455" s="763"/>
      <c r="AE1455" s="951"/>
      <c r="AF1455" s="921">
        <f>IF(X1455=X1454,AF1454,0)+IF(ISNUMBER(I1455),IF(I1455&lt;1,I1455,I1455*VLOOKUP(J1455,Summary!$H$2:$I$9,2)),VLOOKUP(J1455,Summary!$J$2:$K$9,2)*IF(ISNUMBER(H1455),H1455,1))</f>
        <v>0.94900462962962961</v>
      </c>
      <c r="AG1455" s="288">
        <v>1454</v>
      </c>
      <c r="AH1455" s="94"/>
      <c r="AI1455" s="94"/>
    </row>
    <row r="1456" spans="1:35" s="43" customFormat="1" ht="12" customHeight="1" x14ac:dyDescent="0.25">
      <c r="A1456" s="490">
        <v>17</v>
      </c>
      <c r="B1456" s="490">
        <v>4</v>
      </c>
      <c r="C1456" s="490">
        <v>14.23</v>
      </c>
      <c r="D1456" s="434" t="s">
        <v>5449</v>
      </c>
      <c r="E1456" s="324" t="s">
        <v>3268</v>
      </c>
      <c r="F1456" s="174">
        <v>38322</v>
      </c>
      <c r="G1456" s="174"/>
      <c r="H1456" s="176">
        <v>1</v>
      </c>
      <c r="I1456" s="176">
        <v>4</v>
      </c>
      <c r="J1456" s="900" t="s">
        <v>2755</v>
      </c>
      <c r="K1456" s="164" t="s">
        <v>3424</v>
      </c>
      <c r="L1456" s="164" t="s">
        <v>461</v>
      </c>
      <c r="M1456" s="164"/>
      <c r="N1456" s="164" t="s">
        <v>3807</v>
      </c>
      <c r="O1456" s="164"/>
      <c r="P1456" s="173" t="s">
        <v>6565</v>
      </c>
      <c r="Q1456" s="164" t="s">
        <v>3947</v>
      </c>
      <c r="R1456" s="179" t="s">
        <v>2723</v>
      </c>
      <c r="S1456" s="354" t="s">
        <v>2610</v>
      </c>
      <c r="T1456" s="173" t="s">
        <v>6335</v>
      </c>
      <c r="U1456" s="173"/>
      <c r="V1456" s="173"/>
      <c r="W1456" s="324" t="s">
        <v>3268</v>
      </c>
      <c r="X1456" s="656" t="s">
        <v>12330</v>
      </c>
      <c r="Y1456" s="354"/>
      <c r="Z1456" s="176"/>
      <c r="AA1456" s="176"/>
      <c r="AB1456" s="32">
        <f t="shared" ca="1" si="29"/>
        <v>0.2368603433372094</v>
      </c>
      <c r="AC1456" s="812"/>
      <c r="AD1456" s="763"/>
      <c r="AE1456" s="951"/>
      <c r="AF1456" s="921">
        <f>IF(X1456=X1455,AF1455,0)+IF(ISNUMBER(I1456),IF(I1456&lt;1,I1456,I1456*VLOOKUP(J1456,Summary!$H$2:$I$9,2)),VLOOKUP(J1456,Summary!$J$2:$K$9,2)*IF(ISNUMBER(H1456),H1456,1))</f>
        <v>0.95178240740740738</v>
      </c>
      <c r="AG1456" s="288">
        <v>1455</v>
      </c>
      <c r="AH1456" s="94"/>
      <c r="AI1456" s="94"/>
    </row>
    <row r="1457" spans="1:35" s="1" customFormat="1" ht="12" customHeight="1" x14ac:dyDescent="0.25">
      <c r="A1457" s="490">
        <v>17</v>
      </c>
      <c r="B1457" s="490">
        <v>4</v>
      </c>
      <c r="C1457" s="490">
        <v>29.06</v>
      </c>
      <c r="D1457" s="176" t="s">
        <v>957</v>
      </c>
      <c r="E1457" s="313" t="s">
        <v>4045</v>
      </c>
      <c r="F1457" s="174">
        <v>39692</v>
      </c>
      <c r="G1457" s="174"/>
      <c r="H1457" s="176" t="s">
        <v>461</v>
      </c>
      <c r="I1457" s="176">
        <v>6</v>
      </c>
      <c r="J1457" s="900" t="s">
        <v>2755</v>
      </c>
      <c r="K1457" s="164" t="s">
        <v>5348</v>
      </c>
      <c r="L1457" s="164" t="s">
        <v>461</v>
      </c>
      <c r="M1457" s="164"/>
      <c r="N1457" s="164" t="s">
        <v>5664</v>
      </c>
      <c r="O1457" s="164"/>
      <c r="P1457" s="173" t="s">
        <v>6707</v>
      </c>
      <c r="Q1457" s="164" t="s">
        <v>3947</v>
      </c>
      <c r="R1457" s="177" t="s">
        <v>2723</v>
      </c>
      <c r="S1457" s="354" t="s">
        <v>2610</v>
      </c>
      <c r="T1457" s="173"/>
      <c r="U1457" s="173"/>
      <c r="V1457" s="173"/>
      <c r="W1457" s="313" t="s">
        <v>4045</v>
      </c>
      <c r="X1457" s="645" t="s">
        <v>12330</v>
      </c>
      <c r="Y1457" s="354"/>
      <c r="Z1457" s="176"/>
      <c r="AA1457" s="176"/>
      <c r="AB1457" s="32">
        <f t="shared" ca="1" si="29"/>
        <v>0.75722995522911707</v>
      </c>
      <c r="AC1457" s="812"/>
      <c r="AD1457" s="763"/>
      <c r="AE1457" s="807"/>
      <c r="AF1457" s="921">
        <f>IF(X1457=X1456,AF1456,0)+IF(ISNUMBER(I1457),IF(I1457&lt;1,I1457,I1457*VLOOKUP(J1457,Summary!$H$2:$I$9,2)),VLOOKUP(J1457,Summary!$J$2:$K$9,2)*IF(ISNUMBER(H1457),H1457,1))</f>
        <v>0.95594907407407403</v>
      </c>
      <c r="AG1457" s="289">
        <v>1456</v>
      </c>
      <c r="AH1457" s="94"/>
      <c r="AI1457" s="94"/>
    </row>
    <row r="1458" spans="1:35" s="22" customFormat="1" ht="12" customHeight="1" x14ac:dyDescent="0.25">
      <c r="A1458" s="487" t="s">
        <v>2968</v>
      </c>
      <c r="B1458" s="487">
        <v>4</v>
      </c>
      <c r="C1458" s="487">
        <v>108</v>
      </c>
      <c r="D1458" s="424" t="s">
        <v>1995</v>
      </c>
      <c r="E1458" s="319" t="s">
        <v>1996</v>
      </c>
      <c r="F1458" s="198">
        <v>29211</v>
      </c>
      <c r="G1458" s="198">
        <v>29232</v>
      </c>
      <c r="H1458" s="199">
        <v>4</v>
      </c>
      <c r="I1458" s="791">
        <f>TIME(0,25,41)+TIME(0,25, 0)+TIME(0,23,26)+TIME(0,26,45)</f>
        <v>7.0046296296296301E-2</v>
      </c>
      <c r="J1458" s="904" t="s">
        <v>1588</v>
      </c>
      <c r="K1458" s="200" t="s">
        <v>349</v>
      </c>
      <c r="L1458" s="200" t="s">
        <v>7517</v>
      </c>
      <c r="M1458" s="200"/>
      <c r="N1458" s="200" t="s">
        <v>360</v>
      </c>
      <c r="O1458" s="200" t="s">
        <v>1624</v>
      </c>
      <c r="P1458" s="197" t="s">
        <v>461</v>
      </c>
      <c r="Q1458" s="200" t="s">
        <v>3946</v>
      </c>
      <c r="R1458" s="201" t="s">
        <v>5280</v>
      </c>
      <c r="S1458" s="390" t="s">
        <v>2610</v>
      </c>
      <c r="T1458" s="197" t="s">
        <v>6335</v>
      </c>
      <c r="U1458" s="197"/>
      <c r="V1458" s="197"/>
      <c r="W1458" s="318" t="s">
        <v>8714</v>
      </c>
      <c r="X1458" s="650" t="s">
        <v>12330</v>
      </c>
      <c r="Y1458" s="358" t="s">
        <v>6141</v>
      </c>
      <c r="Z1458" s="253">
        <v>295</v>
      </c>
      <c r="AA1458" s="253">
        <v>2</v>
      </c>
      <c r="AB1458" s="35">
        <f t="shared" ca="1" si="29"/>
        <v>0.68246227812122451</v>
      </c>
      <c r="AC1458" s="820"/>
      <c r="AD1458" s="821"/>
      <c r="AE1458" s="944"/>
      <c r="AF1458" s="925">
        <f>IF(X1458=X1457,AF1457,0)+IF(ISNUMBER(I1458),IF(I1458&lt;1,I1458,I1458*VLOOKUP(J1458,Summary!$H$2:$I$9,2)),VLOOKUP(J1458,Summary!$J$2:$K$9,2)*IF(ISNUMBER(H1458),H1458,1))</f>
        <v>1.0259953703703704</v>
      </c>
      <c r="AG1458" s="293">
        <v>1457</v>
      </c>
      <c r="AH1458" s="94"/>
      <c r="AI1458" s="94"/>
    </row>
    <row r="1459" spans="1:35" s="2" customFormat="1" ht="12" customHeight="1" x14ac:dyDescent="0.25">
      <c r="A1459" s="478"/>
      <c r="B1459" s="478" t="s">
        <v>2650</v>
      </c>
      <c r="C1459" s="478">
        <v>6</v>
      </c>
      <c r="D1459" s="192" t="s">
        <v>13420</v>
      </c>
      <c r="E1459" s="317" t="s">
        <v>13421</v>
      </c>
      <c r="F1459" s="209">
        <v>42278</v>
      </c>
      <c r="G1459" s="209"/>
      <c r="H1459" s="192">
        <v>1</v>
      </c>
      <c r="I1459" s="192"/>
      <c r="J1459" s="903" t="s">
        <v>2755</v>
      </c>
      <c r="K1459" s="194" t="s">
        <v>543</v>
      </c>
      <c r="L1459" s="194" t="s">
        <v>13401</v>
      </c>
      <c r="M1459" s="194" t="s">
        <v>13422</v>
      </c>
      <c r="N1459" s="194"/>
      <c r="O1459" s="194"/>
      <c r="P1459" s="190" t="s">
        <v>13331</v>
      </c>
      <c r="Q1459" s="194" t="s">
        <v>3953</v>
      </c>
      <c r="R1459" s="193" t="s">
        <v>11447</v>
      </c>
      <c r="S1459" s="357"/>
      <c r="T1459" s="190"/>
      <c r="U1459" s="190"/>
      <c r="V1459" s="190"/>
      <c r="W1459" s="317" t="s">
        <v>13421</v>
      </c>
      <c r="X1459" s="649" t="s">
        <v>12330</v>
      </c>
      <c r="Y1459" s="357"/>
      <c r="Z1459" s="192"/>
      <c r="AA1459" s="192"/>
      <c r="AB1459" s="37">
        <f t="shared" ca="1" si="29"/>
        <v>0.50455441603359164</v>
      </c>
      <c r="AC1459" s="816"/>
      <c r="AD1459" s="817"/>
      <c r="AE1459" s="943"/>
      <c r="AF1459" s="924">
        <f>IF(X1459=X1458,AF1458,0)+IF(ISNUMBER(I1459),IF(I1459&lt;1,I1459,I1459*VLOOKUP(J1459,Summary!$H$2:$I$9,2)),VLOOKUP(J1459,Summary!$J$2:$K$9,2)*IF(ISNUMBER(H1459),H1459,1))</f>
        <v>1.0433564814814815</v>
      </c>
      <c r="AG1459" s="292">
        <v>1458</v>
      </c>
      <c r="AH1459" s="94"/>
      <c r="AI1459" s="94"/>
    </row>
    <row r="1460" spans="1:35" s="43" customFormat="1" ht="12" customHeight="1" x14ac:dyDescent="0.25">
      <c r="A1460" s="488">
        <v>17</v>
      </c>
      <c r="B1460" s="488">
        <v>4</v>
      </c>
      <c r="C1460" s="488">
        <v>2.31</v>
      </c>
      <c r="D1460" s="428" t="s">
        <v>6577</v>
      </c>
      <c r="E1460" s="325" t="s">
        <v>6578</v>
      </c>
      <c r="F1460" s="183">
        <v>39722</v>
      </c>
      <c r="G1460" s="183"/>
      <c r="H1460" s="185">
        <v>1</v>
      </c>
      <c r="I1460" s="185">
        <v>7</v>
      </c>
      <c r="J1460" s="901" t="s">
        <v>1796</v>
      </c>
      <c r="K1460" s="163" t="s">
        <v>3303</v>
      </c>
      <c r="L1460" s="163" t="s">
        <v>6579</v>
      </c>
      <c r="M1460" s="158"/>
      <c r="N1460" s="158" t="s">
        <v>6573</v>
      </c>
      <c r="O1460" s="158"/>
      <c r="P1460" s="182" t="s">
        <v>461</v>
      </c>
      <c r="Q1460" s="158" t="s">
        <v>5719</v>
      </c>
      <c r="R1460" s="207" t="s">
        <v>5718</v>
      </c>
      <c r="S1460" s="355" t="s">
        <v>2610</v>
      </c>
      <c r="T1460" s="182"/>
      <c r="U1460" s="182"/>
      <c r="V1460" s="182"/>
      <c r="W1460" s="321"/>
      <c r="X1460" s="653" t="s">
        <v>12330</v>
      </c>
      <c r="Y1460" s="355" t="s">
        <v>6000</v>
      </c>
      <c r="Z1460" s="362">
        <v>999</v>
      </c>
      <c r="AA1460" s="362"/>
      <c r="AB1460" s="33">
        <f t="shared" ca="1" si="29"/>
        <v>0.62201576963104133</v>
      </c>
      <c r="AC1460" s="813"/>
      <c r="AD1460" s="211" t="s">
        <v>16067</v>
      </c>
      <c r="AE1460" s="949"/>
      <c r="AF1460" s="922">
        <f>IF(X1460=X1459,AF1459,0)+IF(ISNUMBER(I1460),IF(I1460&lt;1,I1460,I1460*VLOOKUP(J1460,Summary!$H$2:$I$9,2)),VLOOKUP(J1460,Summary!$J$2:$K$9,2)*IF(ISNUMBER(H1460),H1460,1))</f>
        <v>1.045787037037037</v>
      </c>
      <c r="AG1460" s="295">
        <v>1459</v>
      </c>
      <c r="AH1460" s="94"/>
      <c r="AI1460" s="94"/>
    </row>
    <row r="1461" spans="1:35" s="1" customFormat="1" ht="12" customHeight="1" x14ac:dyDescent="0.25">
      <c r="A1461" s="490">
        <v>17</v>
      </c>
      <c r="B1461" s="490">
        <v>4</v>
      </c>
      <c r="C1461" s="490">
        <v>2.13</v>
      </c>
      <c r="D1461" s="434" t="s">
        <v>3264</v>
      </c>
      <c r="E1461" s="324" t="s">
        <v>3265</v>
      </c>
      <c r="F1461" s="174">
        <v>36220</v>
      </c>
      <c r="G1461" s="174"/>
      <c r="H1461" s="176">
        <v>1</v>
      </c>
      <c r="I1461" s="176">
        <v>22</v>
      </c>
      <c r="J1461" s="900" t="s">
        <v>2755</v>
      </c>
      <c r="K1461" s="164" t="s">
        <v>3451</v>
      </c>
      <c r="L1461" s="164" t="s">
        <v>461</v>
      </c>
      <c r="M1461" s="164"/>
      <c r="N1461" s="164" t="s">
        <v>6237</v>
      </c>
      <c r="O1461" s="164"/>
      <c r="P1461" s="173" t="s">
        <v>6561</v>
      </c>
      <c r="Q1461" s="164" t="s">
        <v>3953</v>
      </c>
      <c r="R1461" s="179" t="s">
        <v>2723</v>
      </c>
      <c r="S1461" s="354" t="s">
        <v>2610</v>
      </c>
      <c r="T1461" s="173" t="s">
        <v>6335</v>
      </c>
      <c r="U1461" s="173"/>
      <c r="V1461" s="173"/>
      <c r="W1461" s="324" t="s">
        <v>3265</v>
      </c>
      <c r="X1461" s="656" t="s">
        <v>12330</v>
      </c>
      <c r="Y1461" s="354" t="s">
        <v>6868</v>
      </c>
      <c r="Z1461" s="176">
        <v>999</v>
      </c>
      <c r="AA1461" s="176"/>
      <c r="AB1461" s="32">
        <f t="shared" ca="1" si="29"/>
        <v>0.79752218794976648</v>
      </c>
      <c r="AC1461" s="812"/>
      <c r="AD1461" s="763"/>
      <c r="AE1461" s="951"/>
      <c r="AF1461" s="921">
        <f>IF(X1461=X1460,AF1460,0)+IF(ISNUMBER(I1461),IF(I1461&lt;1,I1461,I1461*VLOOKUP(J1461,Summary!$H$2:$I$9,2)),VLOOKUP(J1461,Summary!$J$2:$K$9,2)*IF(ISNUMBER(H1461),H1461,1))</f>
        <v>1.0610648148148147</v>
      </c>
      <c r="AG1461" s="288">
        <v>1460</v>
      </c>
      <c r="AH1461" s="94"/>
      <c r="AI1461" s="94"/>
    </row>
    <row r="1462" spans="1:35" s="43" customFormat="1" ht="12" customHeight="1" x14ac:dyDescent="0.25">
      <c r="A1462" s="484">
        <v>17</v>
      </c>
      <c r="B1462" s="484">
        <v>4</v>
      </c>
      <c r="C1462" s="504">
        <v>4</v>
      </c>
      <c r="D1462" s="407" t="s">
        <v>2106</v>
      </c>
      <c r="E1462" s="315" t="s">
        <v>2107</v>
      </c>
      <c r="F1462" s="196">
        <v>41365</v>
      </c>
      <c r="G1462" s="170"/>
      <c r="H1462" s="170">
        <v>1</v>
      </c>
      <c r="I1462" s="746">
        <f>TIME(1,11,51)</f>
        <v>4.9895833333333334E-2</v>
      </c>
      <c r="J1462" s="899" t="s">
        <v>4706</v>
      </c>
      <c r="K1462" s="167" t="s">
        <v>177</v>
      </c>
      <c r="L1462" s="167" t="s">
        <v>6231</v>
      </c>
      <c r="M1462" s="167" t="s">
        <v>2108</v>
      </c>
      <c r="N1462" s="167"/>
      <c r="O1462" s="167"/>
      <c r="P1462" s="168" t="s">
        <v>2109</v>
      </c>
      <c r="Q1462" s="167" t="s">
        <v>2096</v>
      </c>
      <c r="R1462" s="172" t="s">
        <v>2092</v>
      </c>
      <c r="S1462" s="388" t="s">
        <v>2610</v>
      </c>
      <c r="T1462" s="168"/>
      <c r="U1462" s="168"/>
      <c r="V1462" s="168"/>
      <c r="W1462" s="312" t="s">
        <v>2107</v>
      </c>
      <c r="X1462" s="644" t="s">
        <v>12330</v>
      </c>
      <c r="Y1462" s="352" t="s">
        <v>5643</v>
      </c>
      <c r="Z1462" s="353">
        <v>311</v>
      </c>
      <c r="AA1462" s="353">
        <v>5.5</v>
      </c>
      <c r="AB1462" s="31">
        <f t="shared" ca="1" si="29"/>
        <v>0.49098508226339599</v>
      </c>
      <c r="AC1462" s="810"/>
      <c r="AD1462" s="811"/>
      <c r="AE1462" s="940"/>
      <c r="AF1462" s="920">
        <f>IF(X1462=X1461,AF1461,0)+IF(ISNUMBER(I1462),IF(I1462&lt;1,I1462,I1462*VLOOKUP(J1462,Summary!$H$2:$I$9,2)),VLOOKUP(J1462,Summary!$J$2:$K$9,2)*IF(ISNUMBER(H1462),H1462,1))</f>
        <v>1.110960648148148</v>
      </c>
      <c r="AG1462" s="287">
        <v>1461</v>
      </c>
      <c r="AH1462" s="94"/>
      <c r="AI1462" s="94"/>
    </row>
    <row r="1463" spans="1:35" s="3" customFormat="1" ht="12" customHeight="1" x14ac:dyDescent="0.25">
      <c r="A1463" s="487" t="s">
        <v>2968</v>
      </c>
      <c r="B1463" s="487">
        <v>4</v>
      </c>
      <c r="C1463" s="487">
        <v>108.5</v>
      </c>
      <c r="D1463" s="424" t="s">
        <v>6955</v>
      </c>
      <c r="E1463" s="319" t="s">
        <v>6956</v>
      </c>
      <c r="F1463" s="198" t="s">
        <v>461</v>
      </c>
      <c r="G1463" s="198"/>
      <c r="H1463" s="199">
        <v>6</v>
      </c>
      <c r="I1463" s="791">
        <f>TIME(0,138,0)</f>
        <v>9.5833333333333326E-2</v>
      </c>
      <c r="J1463" s="904" t="s">
        <v>1588</v>
      </c>
      <c r="K1463" s="200" t="s">
        <v>360</v>
      </c>
      <c r="L1463" s="200" t="s">
        <v>5750</v>
      </c>
      <c r="M1463" s="200"/>
      <c r="N1463" s="200" t="s">
        <v>360</v>
      </c>
      <c r="O1463" s="200" t="s">
        <v>1624</v>
      </c>
      <c r="P1463" s="197" t="s">
        <v>461</v>
      </c>
      <c r="Q1463" s="200" t="s">
        <v>3946</v>
      </c>
      <c r="R1463" s="201" t="s">
        <v>5280</v>
      </c>
      <c r="S1463" s="390" t="s">
        <v>2610</v>
      </c>
      <c r="T1463" s="197" t="s">
        <v>6335</v>
      </c>
      <c r="U1463" s="197"/>
      <c r="V1463" s="197"/>
      <c r="W1463" s="318" t="s">
        <v>12306</v>
      </c>
      <c r="X1463" s="650" t="s">
        <v>12330</v>
      </c>
      <c r="Y1463" s="358" t="s">
        <v>6141</v>
      </c>
      <c r="Z1463" s="253"/>
      <c r="AA1463" s="253"/>
      <c r="AB1463" s="35">
        <f t="shared" ca="1" si="29"/>
        <v>0.41415449014864147</v>
      </c>
      <c r="AC1463" s="820"/>
      <c r="AD1463" s="821" t="s">
        <v>16006</v>
      </c>
      <c r="AE1463" s="944" t="s">
        <v>12543</v>
      </c>
      <c r="AF1463" s="925">
        <f>IF(X1463=X1462,AF1462,0)+IF(ISNUMBER(I1463),IF(I1463&lt;1,I1463,I1463*VLOOKUP(J1463,Summary!$H$2:$I$9,2)),VLOOKUP(J1463,Summary!$J$2:$K$9,2)*IF(ISNUMBER(H1463),H1463,1))</f>
        <v>1.2067939814814812</v>
      </c>
      <c r="AG1463" s="293">
        <v>1462</v>
      </c>
      <c r="AH1463" s="94"/>
      <c r="AI1463" s="94"/>
    </row>
    <row r="1464" spans="1:35" s="29" customFormat="1" ht="12" customHeight="1" x14ac:dyDescent="0.25">
      <c r="A1464" s="494" t="s">
        <v>15658</v>
      </c>
      <c r="B1464" s="494">
        <v>4</v>
      </c>
      <c r="C1464" s="494">
        <v>1.07</v>
      </c>
      <c r="D1464" s="463" t="s">
        <v>3164</v>
      </c>
      <c r="E1464" s="330" t="s">
        <v>5450</v>
      </c>
      <c r="F1464" s="191">
        <v>35855</v>
      </c>
      <c r="G1464" s="209"/>
      <c r="H1464" s="192">
        <v>1</v>
      </c>
      <c r="I1464" s="753">
        <f>TIME(0,20,24)</f>
        <v>1.4166666666666666E-2</v>
      </c>
      <c r="J1464" s="903" t="s">
        <v>2755</v>
      </c>
      <c r="K1464" s="159" t="s">
        <v>1951</v>
      </c>
      <c r="L1464" s="159" t="s">
        <v>461</v>
      </c>
      <c r="M1464" s="159"/>
      <c r="N1464" s="194" t="s">
        <v>6237</v>
      </c>
      <c r="O1464" s="159"/>
      <c r="P1464" s="190" t="s">
        <v>5042</v>
      </c>
      <c r="Q1464" s="159" t="s">
        <v>3953</v>
      </c>
      <c r="R1464" s="221" t="s">
        <v>2723</v>
      </c>
      <c r="S1464" s="357" t="s">
        <v>2610</v>
      </c>
      <c r="T1464" s="190"/>
      <c r="U1464" s="190"/>
      <c r="V1464" s="190"/>
      <c r="W1464" s="330" t="s">
        <v>5450</v>
      </c>
      <c r="X1464" s="662" t="s">
        <v>15929</v>
      </c>
      <c r="Y1464" s="357" t="s">
        <v>6868</v>
      </c>
      <c r="Z1464" s="192">
        <v>999</v>
      </c>
      <c r="AA1464" s="367"/>
      <c r="AB1464" s="37">
        <f t="shared" ca="1" si="29"/>
        <v>0.14524855844735007</v>
      </c>
      <c r="AC1464" s="816"/>
      <c r="AD1464" s="817"/>
      <c r="AE1464" s="955"/>
      <c r="AF1464" s="924">
        <f>IF(X1464=X1463,AF1463,0)+IF(ISNUMBER(I1464),IF(I1464&lt;1,I1464,I1464*VLOOKUP(J1464,Summary!$H$2:$I$9,2)),VLOOKUP(J1464,Summary!$J$2:$K$9,2)*IF(ISNUMBER(H1464),H1464,1))</f>
        <v>1.4166666666666666E-2</v>
      </c>
      <c r="AG1464" s="298">
        <v>1463</v>
      </c>
      <c r="AH1464" s="94"/>
      <c r="AI1464" s="94"/>
    </row>
    <row r="1465" spans="1:35" s="2" customFormat="1" ht="12" customHeight="1" x14ac:dyDescent="0.25">
      <c r="A1465" s="490" t="s">
        <v>15658</v>
      </c>
      <c r="B1465" s="490">
        <v>4</v>
      </c>
      <c r="C1465" s="490">
        <v>13</v>
      </c>
      <c r="D1465" s="176" t="s">
        <v>863</v>
      </c>
      <c r="E1465" s="313" t="s">
        <v>837</v>
      </c>
      <c r="F1465" s="174">
        <v>36100</v>
      </c>
      <c r="G1465" s="175"/>
      <c r="H1465" s="176" t="s">
        <v>461</v>
      </c>
      <c r="I1465" s="176"/>
      <c r="J1465" s="900" t="s">
        <v>2755</v>
      </c>
      <c r="K1465" s="164" t="s">
        <v>341</v>
      </c>
      <c r="L1465" s="164"/>
      <c r="M1465" s="164"/>
      <c r="N1465" s="164" t="s">
        <v>819</v>
      </c>
      <c r="O1465" s="164"/>
      <c r="P1465" s="178" t="s">
        <v>461</v>
      </c>
      <c r="Q1465" s="164" t="s">
        <v>820</v>
      </c>
      <c r="R1465" s="177" t="s">
        <v>895</v>
      </c>
      <c r="S1465" s="354" t="s">
        <v>913</v>
      </c>
      <c r="T1465" s="173"/>
      <c r="U1465" s="173"/>
      <c r="V1465" s="173"/>
      <c r="W1465" s="313" t="s">
        <v>837</v>
      </c>
      <c r="X1465" s="645" t="s">
        <v>15929</v>
      </c>
      <c r="Y1465" s="354"/>
      <c r="Z1465" s="176"/>
      <c r="AA1465" s="176"/>
      <c r="AB1465" s="32">
        <f t="shared" ca="1" si="29"/>
        <v>0.90644267468189943</v>
      </c>
      <c r="AC1465" s="812"/>
      <c r="AD1465" s="763"/>
      <c r="AE1465" s="807"/>
      <c r="AF1465" s="921">
        <f>IF(X1465=X1464,AF1464,0)+IF(ISNUMBER(I1465),IF(I1465&lt;1,I1465,I1465*VLOOKUP(J1465,Summary!$H$2:$I$9,2)),VLOOKUP(J1465,Summary!$J$2:$K$9,2)*IF(ISNUMBER(H1465),H1465,1))</f>
        <v>3.152777777777778E-2</v>
      </c>
      <c r="AG1465" s="289">
        <v>1464</v>
      </c>
      <c r="AH1465" s="94"/>
      <c r="AI1465" s="94"/>
    </row>
    <row r="1466" spans="1:35" s="43" customFormat="1" ht="12" customHeight="1" x14ac:dyDescent="0.25">
      <c r="A1466" s="490" t="s">
        <v>15658</v>
      </c>
      <c r="B1466" s="490">
        <v>4</v>
      </c>
      <c r="C1466" s="490">
        <v>15</v>
      </c>
      <c r="D1466" s="176" t="s">
        <v>865</v>
      </c>
      <c r="E1466" s="313" t="s">
        <v>838</v>
      </c>
      <c r="F1466" s="174">
        <v>36100</v>
      </c>
      <c r="G1466" s="175"/>
      <c r="H1466" s="176" t="s">
        <v>461</v>
      </c>
      <c r="I1466" s="176"/>
      <c r="J1466" s="900" t="s">
        <v>2755</v>
      </c>
      <c r="K1466" s="164" t="s">
        <v>177</v>
      </c>
      <c r="L1466" s="164"/>
      <c r="M1466" s="164"/>
      <c r="N1466" s="164" t="s">
        <v>819</v>
      </c>
      <c r="O1466" s="164"/>
      <c r="P1466" s="178" t="s">
        <v>461</v>
      </c>
      <c r="Q1466" s="164" t="s">
        <v>820</v>
      </c>
      <c r="R1466" s="177" t="s">
        <v>895</v>
      </c>
      <c r="S1466" s="354" t="s">
        <v>913</v>
      </c>
      <c r="T1466" s="173"/>
      <c r="U1466" s="173"/>
      <c r="V1466" s="173"/>
      <c r="W1466" s="313" t="s">
        <v>838</v>
      </c>
      <c r="X1466" s="645" t="s">
        <v>15929</v>
      </c>
      <c r="Y1466" s="354"/>
      <c r="Z1466" s="176"/>
      <c r="AA1466" s="176"/>
      <c r="AB1466" s="32">
        <f t="shared" ca="1" si="29"/>
        <v>0.44292805801346968</v>
      </c>
      <c r="AC1466" s="812"/>
      <c r="AD1466" s="763"/>
      <c r="AE1466" s="807"/>
      <c r="AF1466" s="921">
        <f>IF(X1466=X1465,AF1465,0)+IF(ISNUMBER(I1466),IF(I1466&lt;1,I1466,I1466*VLOOKUP(J1466,Summary!$H$2:$I$9,2)),VLOOKUP(J1466,Summary!$J$2:$K$9,2)*IF(ISNUMBER(H1466),H1466,1))</f>
        <v>4.8888888888888891E-2</v>
      </c>
      <c r="AG1466" s="289">
        <v>1465</v>
      </c>
      <c r="AH1466" s="94"/>
      <c r="AI1466" s="94"/>
    </row>
    <row r="1467" spans="1:35" s="2" customFormat="1" ht="12" customHeight="1" x14ac:dyDescent="0.25">
      <c r="A1467" s="492" t="s">
        <v>15658</v>
      </c>
      <c r="B1467" s="492">
        <v>4</v>
      </c>
      <c r="C1467" s="492">
        <v>35</v>
      </c>
      <c r="D1467" s="417" t="s">
        <v>7518</v>
      </c>
      <c r="E1467" s="316" t="s">
        <v>7519</v>
      </c>
      <c r="F1467" s="195">
        <v>36773</v>
      </c>
      <c r="G1467" s="188"/>
      <c r="H1467" s="188" t="str">
        <f>IF(J1467="Book","n/a","")</f>
        <v>n/a</v>
      </c>
      <c r="I1467" s="188">
        <v>284</v>
      </c>
      <c r="J1467" s="902" t="s">
        <v>6868</v>
      </c>
      <c r="K1467" s="162" t="s">
        <v>177</v>
      </c>
      <c r="L1467" s="162" t="str">
        <f>IF(J1467="Book","n/a","")</f>
        <v>n/a</v>
      </c>
      <c r="M1467" s="162"/>
      <c r="N1467" s="162"/>
      <c r="O1467" s="162"/>
      <c r="P1467" s="178" t="s">
        <v>8960</v>
      </c>
      <c r="Q1467" s="162" t="s">
        <v>3953</v>
      </c>
      <c r="R1467" s="189" t="s">
        <v>2717</v>
      </c>
      <c r="S1467" s="366" t="s">
        <v>2610</v>
      </c>
      <c r="T1467" s="178" t="s">
        <v>6335</v>
      </c>
      <c r="U1467" s="178"/>
      <c r="V1467" s="178"/>
      <c r="W1467" s="316" t="s">
        <v>7519</v>
      </c>
      <c r="X1467" s="648" t="s">
        <v>15929</v>
      </c>
      <c r="Y1467" s="356"/>
      <c r="Z1467" s="272"/>
      <c r="AA1467" s="272"/>
      <c r="AB1467" s="34">
        <f t="shared" ca="1" si="29"/>
        <v>0.44734015562517304</v>
      </c>
      <c r="AC1467" s="814"/>
      <c r="AD1467" s="815" t="s">
        <v>16338</v>
      </c>
      <c r="AE1467" s="942"/>
      <c r="AF1467" s="923">
        <f>IF(X1467=X1466,AF1466,0)+IF(ISNUMBER(I1467),IF(I1467&lt;1,I1467,I1467*VLOOKUP(J1467,Summary!$H$2:$I$9,2)),VLOOKUP(J1467,Summary!$J$2:$K$9,2)*IF(ISNUMBER(H1467),H1467,1))</f>
        <v>0.24611111111111114</v>
      </c>
      <c r="AG1467" s="291">
        <v>1466</v>
      </c>
      <c r="AH1467" s="94"/>
      <c r="AI1467" s="94"/>
    </row>
    <row r="1468" spans="1:35" s="2" customFormat="1" ht="12" customHeight="1" x14ac:dyDescent="0.25">
      <c r="A1468" s="490" t="s">
        <v>15658</v>
      </c>
      <c r="B1468" s="490">
        <v>4</v>
      </c>
      <c r="C1468" s="496">
        <v>20.12</v>
      </c>
      <c r="D1468" s="434" t="s">
        <v>3176</v>
      </c>
      <c r="E1468" s="324" t="s">
        <v>3172</v>
      </c>
      <c r="F1468" s="174">
        <v>38961</v>
      </c>
      <c r="G1468" s="174"/>
      <c r="H1468" s="176">
        <v>1</v>
      </c>
      <c r="I1468" s="176">
        <v>18</v>
      </c>
      <c r="J1468" s="900" t="s">
        <v>2755</v>
      </c>
      <c r="K1468" s="164" t="s">
        <v>3175</v>
      </c>
      <c r="L1468" s="164" t="s">
        <v>461</v>
      </c>
      <c r="M1468" s="164"/>
      <c r="N1468" s="164" t="s">
        <v>7381</v>
      </c>
      <c r="O1468" s="164"/>
      <c r="P1468" s="173" t="s">
        <v>705</v>
      </c>
      <c r="Q1468" s="164" t="s">
        <v>3947</v>
      </c>
      <c r="R1468" s="179" t="s">
        <v>2723</v>
      </c>
      <c r="S1468" s="354" t="s">
        <v>2610</v>
      </c>
      <c r="T1468" s="173"/>
      <c r="U1468" s="173"/>
      <c r="V1468" s="173"/>
      <c r="W1468" s="324" t="s">
        <v>3172</v>
      </c>
      <c r="X1468" s="656" t="s">
        <v>15929</v>
      </c>
      <c r="Y1468" s="354"/>
      <c r="Z1468" s="176"/>
      <c r="AA1468" s="176"/>
      <c r="AB1468" s="32">
        <f t="shared" ca="1" si="29"/>
        <v>0.28718842524559007</v>
      </c>
      <c r="AC1468" s="812"/>
      <c r="AD1468" s="763"/>
      <c r="AE1468" s="951"/>
      <c r="AF1468" s="921">
        <f>IF(X1468=X1467,AF1467,0)+IF(ISNUMBER(I1468),IF(I1468&lt;1,I1468,I1468*VLOOKUP(J1468,Summary!$H$2:$I$9,2)),VLOOKUP(J1468,Summary!$J$2:$K$9,2)*IF(ISNUMBER(H1468),H1468,1))</f>
        <v>0.25861111111111112</v>
      </c>
      <c r="AG1468" s="288">
        <v>1467</v>
      </c>
      <c r="AH1468" s="94"/>
      <c r="AI1468" s="94"/>
    </row>
    <row r="1469" spans="1:35" s="43" customFormat="1" ht="12" customHeight="1" x14ac:dyDescent="0.25">
      <c r="A1469" s="484" t="s">
        <v>15658</v>
      </c>
      <c r="B1469" s="484">
        <v>4</v>
      </c>
      <c r="C1469" s="502">
        <v>5.0999999999999996</v>
      </c>
      <c r="D1469" s="407" t="s">
        <v>10581</v>
      </c>
      <c r="E1469" s="315" t="s">
        <v>10589</v>
      </c>
      <c r="F1469" s="196">
        <v>42381</v>
      </c>
      <c r="G1469" s="170"/>
      <c r="H1469" s="170">
        <v>2</v>
      </c>
      <c r="I1469" s="747">
        <f t="shared" ref="I1469:I1476" si="30">TIME(0,60,0)</f>
        <v>4.1666666666666664E-2</v>
      </c>
      <c r="J1469" s="899" t="s">
        <v>4706</v>
      </c>
      <c r="K1469" s="167" t="s">
        <v>543</v>
      </c>
      <c r="L1469" s="167" t="s">
        <v>4549</v>
      </c>
      <c r="M1469" s="167"/>
      <c r="N1469" s="167"/>
      <c r="O1469" s="167"/>
      <c r="P1469" s="168" t="s">
        <v>10597</v>
      </c>
      <c r="Q1469" s="167" t="s">
        <v>3947</v>
      </c>
      <c r="R1469" s="172" t="s">
        <v>7162</v>
      </c>
      <c r="S1469" s="388" t="s">
        <v>2610</v>
      </c>
      <c r="T1469" s="168" t="s">
        <v>6335</v>
      </c>
      <c r="U1469" s="168"/>
      <c r="V1469" s="168"/>
      <c r="W1469" s="312" t="s">
        <v>15485</v>
      </c>
      <c r="X1469" s="644" t="s">
        <v>15929</v>
      </c>
      <c r="Y1469" s="352" t="s">
        <v>5643</v>
      </c>
      <c r="Z1469" s="353">
        <v>999</v>
      </c>
      <c r="AA1469" s="353"/>
      <c r="AB1469" s="31">
        <f t="shared" ca="1" si="29"/>
        <v>0.47815676629005832</v>
      </c>
      <c r="AC1469" s="810"/>
      <c r="AD1469" s="811"/>
      <c r="AE1469" s="940"/>
      <c r="AF1469" s="920">
        <f>IF(X1469=X1468,AF1468,0)+IF(ISNUMBER(I1469),IF(I1469&lt;1,I1469,I1469*VLOOKUP(J1469,Summary!$H$2:$I$9,2)),VLOOKUP(J1469,Summary!$J$2:$K$9,2)*IF(ISNUMBER(H1469),H1469,1))</f>
        <v>0.30027777777777781</v>
      </c>
      <c r="AG1469" s="287">
        <v>1468</v>
      </c>
      <c r="AH1469" s="94"/>
      <c r="AI1469" s="94"/>
    </row>
    <row r="1470" spans="1:35" s="142" customFormat="1" ht="12" customHeight="1" x14ac:dyDescent="0.25">
      <c r="A1470" s="484" t="s">
        <v>15658</v>
      </c>
      <c r="B1470" s="484">
        <v>4</v>
      </c>
      <c r="C1470" s="502">
        <v>5.2</v>
      </c>
      <c r="D1470" s="407" t="s">
        <v>10582</v>
      </c>
      <c r="E1470" s="315" t="s">
        <v>10590</v>
      </c>
      <c r="F1470" s="196">
        <v>42418</v>
      </c>
      <c r="G1470" s="170"/>
      <c r="H1470" s="170">
        <v>2</v>
      </c>
      <c r="I1470" s="747">
        <f t="shared" si="30"/>
        <v>4.1666666666666664E-2</v>
      </c>
      <c r="J1470" s="899" t="s">
        <v>4706</v>
      </c>
      <c r="K1470" s="167" t="s">
        <v>6353</v>
      </c>
      <c r="L1470" s="167" t="s">
        <v>4549</v>
      </c>
      <c r="M1470" s="167"/>
      <c r="N1470" s="167"/>
      <c r="O1470" s="167"/>
      <c r="P1470" s="168" t="s">
        <v>10598</v>
      </c>
      <c r="Q1470" s="167" t="s">
        <v>3947</v>
      </c>
      <c r="R1470" s="172" t="s">
        <v>7162</v>
      </c>
      <c r="S1470" s="388" t="s">
        <v>2610</v>
      </c>
      <c r="T1470" s="168" t="s">
        <v>6335</v>
      </c>
      <c r="U1470" s="168"/>
      <c r="V1470" s="168"/>
      <c r="W1470" s="312" t="s">
        <v>15486</v>
      </c>
      <c r="X1470" s="644" t="s">
        <v>15929</v>
      </c>
      <c r="Y1470" s="352" t="s">
        <v>5643</v>
      </c>
      <c r="Z1470" s="353">
        <v>999</v>
      </c>
      <c r="AA1470" s="353"/>
      <c r="AB1470" s="31">
        <f t="shared" ca="1" si="29"/>
        <v>0.67347683681850179</v>
      </c>
      <c r="AC1470" s="810"/>
      <c r="AD1470" s="811"/>
      <c r="AE1470" s="940"/>
      <c r="AF1470" s="920">
        <f>IF(X1470=X1469,AF1469,0)+IF(ISNUMBER(I1470),IF(I1470&lt;1,I1470,I1470*VLOOKUP(J1470,Summary!$H$2:$I$9,2)),VLOOKUP(J1470,Summary!$J$2:$K$9,2)*IF(ISNUMBER(H1470),H1470,1))</f>
        <v>0.3419444444444445</v>
      </c>
      <c r="AG1470" s="287">
        <v>1469</v>
      </c>
      <c r="AH1470" s="94"/>
      <c r="AI1470" s="94"/>
    </row>
    <row r="1471" spans="1:35" s="29" customFormat="1" ht="12" customHeight="1" x14ac:dyDescent="0.25">
      <c r="A1471" s="484" t="s">
        <v>15658</v>
      </c>
      <c r="B1471" s="484">
        <v>4</v>
      </c>
      <c r="C1471" s="502">
        <v>5.3</v>
      </c>
      <c r="D1471" s="407" t="s">
        <v>10583</v>
      </c>
      <c r="E1471" s="315" t="s">
        <v>10591</v>
      </c>
      <c r="F1471" s="196">
        <v>42445</v>
      </c>
      <c r="G1471" s="170"/>
      <c r="H1471" s="170">
        <v>2</v>
      </c>
      <c r="I1471" s="747">
        <f t="shared" si="30"/>
        <v>4.1666666666666664E-2</v>
      </c>
      <c r="J1471" s="899" t="s">
        <v>4706</v>
      </c>
      <c r="K1471" s="167" t="s">
        <v>177</v>
      </c>
      <c r="L1471" s="167" t="s">
        <v>2313</v>
      </c>
      <c r="M1471" s="167"/>
      <c r="N1471" s="167"/>
      <c r="O1471" s="167"/>
      <c r="P1471" s="168" t="s">
        <v>10599</v>
      </c>
      <c r="Q1471" s="167" t="s">
        <v>3947</v>
      </c>
      <c r="R1471" s="172" t="s">
        <v>7162</v>
      </c>
      <c r="S1471" s="388" t="s">
        <v>2610</v>
      </c>
      <c r="T1471" s="168" t="s">
        <v>6335</v>
      </c>
      <c r="U1471" s="168"/>
      <c r="V1471" s="168"/>
      <c r="W1471" s="312" t="s">
        <v>15487</v>
      </c>
      <c r="X1471" s="644" t="s">
        <v>15929</v>
      </c>
      <c r="Y1471" s="352" t="s">
        <v>5643</v>
      </c>
      <c r="Z1471" s="353">
        <v>999</v>
      </c>
      <c r="AA1471" s="353"/>
      <c r="AB1471" s="31">
        <f t="shared" ca="1" si="29"/>
        <v>0.27187651173867966</v>
      </c>
      <c r="AC1471" s="810"/>
      <c r="AD1471" s="811"/>
      <c r="AE1471" s="940"/>
      <c r="AF1471" s="920">
        <f>IF(X1471=X1470,AF1470,0)+IF(ISNUMBER(I1471),IF(I1471&lt;1,I1471,I1471*VLOOKUP(J1471,Summary!$H$2:$I$9,2)),VLOOKUP(J1471,Summary!$J$2:$K$9,2)*IF(ISNUMBER(H1471),H1471,1))</f>
        <v>0.38361111111111118</v>
      </c>
      <c r="AG1471" s="287">
        <v>1470</v>
      </c>
      <c r="AH1471" s="94"/>
      <c r="AI1471" s="94"/>
    </row>
    <row r="1472" spans="1:35" s="29" customFormat="1" ht="12" customHeight="1" x14ac:dyDescent="0.25">
      <c r="A1472" s="484" t="s">
        <v>15658</v>
      </c>
      <c r="B1472" s="484">
        <v>4</v>
      </c>
      <c r="C1472" s="502">
        <v>5.4</v>
      </c>
      <c r="D1472" s="407" t="s">
        <v>10584</v>
      </c>
      <c r="E1472" s="315" t="s">
        <v>10592</v>
      </c>
      <c r="F1472" s="196">
        <v>42473</v>
      </c>
      <c r="G1472" s="170"/>
      <c r="H1472" s="170">
        <v>2</v>
      </c>
      <c r="I1472" s="747">
        <f t="shared" si="30"/>
        <v>4.1666666666666664E-2</v>
      </c>
      <c r="J1472" s="899" t="s">
        <v>4706</v>
      </c>
      <c r="K1472" s="167" t="s">
        <v>177</v>
      </c>
      <c r="L1472" s="167" t="s">
        <v>2313</v>
      </c>
      <c r="M1472" s="167"/>
      <c r="N1472" s="167"/>
      <c r="O1472" s="167"/>
      <c r="P1472" s="168" t="s">
        <v>10600</v>
      </c>
      <c r="Q1472" s="167" t="s">
        <v>3947</v>
      </c>
      <c r="R1472" s="172" t="s">
        <v>7162</v>
      </c>
      <c r="S1472" s="388" t="s">
        <v>2610</v>
      </c>
      <c r="T1472" s="168" t="s">
        <v>6335</v>
      </c>
      <c r="U1472" s="168"/>
      <c r="V1472" s="168"/>
      <c r="W1472" s="312" t="s">
        <v>15488</v>
      </c>
      <c r="X1472" s="644" t="s">
        <v>15929</v>
      </c>
      <c r="Y1472" s="352" t="s">
        <v>5643</v>
      </c>
      <c r="Z1472" s="353">
        <v>999</v>
      </c>
      <c r="AA1472" s="353"/>
      <c r="AB1472" s="31">
        <f t="shared" ca="1" si="29"/>
        <v>7.9080764520607638E-2</v>
      </c>
      <c r="AC1472" s="810"/>
      <c r="AD1472" s="811"/>
      <c r="AE1472" s="940"/>
      <c r="AF1472" s="920">
        <f>IF(X1472=X1471,AF1471,0)+IF(ISNUMBER(I1472),IF(I1472&lt;1,I1472,I1472*VLOOKUP(J1472,Summary!$H$2:$I$9,2)),VLOOKUP(J1472,Summary!$J$2:$K$9,2)*IF(ISNUMBER(H1472),H1472,1))</f>
        <v>0.42527777777777787</v>
      </c>
      <c r="AG1472" s="287">
        <v>1471</v>
      </c>
      <c r="AH1472" s="94"/>
      <c r="AI1472" s="94"/>
    </row>
    <row r="1473" spans="1:35" s="29" customFormat="1" ht="12" customHeight="1" x14ac:dyDescent="0.25">
      <c r="A1473" s="484" t="s">
        <v>15658</v>
      </c>
      <c r="B1473" s="484">
        <v>4</v>
      </c>
      <c r="C1473" s="502">
        <v>5.5</v>
      </c>
      <c r="D1473" s="407" t="s">
        <v>10585</v>
      </c>
      <c r="E1473" s="315" t="s">
        <v>10593</v>
      </c>
      <c r="F1473" s="196">
        <v>42500</v>
      </c>
      <c r="G1473" s="170"/>
      <c r="H1473" s="170">
        <v>2</v>
      </c>
      <c r="I1473" s="747">
        <f t="shared" si="30"/>
        <v>4.1666666666666664E-2</v>
      </c>
      <c r="J1473" s="899" t="s">
        <v>4706</v>
      </c>
      <c r="K1473" s="167" t="s">
        <v>7374</v>
      </c>
      <c r="L1473" s="167" t="s">
        <v>2313</v>
      </c>
      <c r="M1473" s="167"/>
      <c r="N1473" s="167"/>
      <c r="O1473" s="167"/>
      <c r="P1473" s="168" t="s">
        <v>10601</v>
      </c>
      <c r="Q1473" s="167" t="s">
        <v>3947</v>
      </c>
      <c r="R1473" s="172" t="s">
        <v>7162</v>
      </c>
      <c r="S1473" s="388" t="s">
        <v>2610</v>
      </c>
      <c r="T1473" s="168" t="s">
        <v>6335</v>
      </c>
      <c r="U1473" s="168"/>
      <c r="V1473" s="168"/>
      <c r="W1473" s="312" t="s">
        <v>15677</v>
      </c>
      <c r="X1473" s="644" t="s">
        <v>15929</v>
      </c>
      <c r="Y1473" s="352" t="s">
        <v>5643</v>
      </c>
      <c r="Z1473" s="353">
        <v>999</v>
      </c>
      <c r="AA1473" s="353"/>
      <c r="AB1473" s="31">
        <f t="shared" ca="1" si="29"/>
        <v>0.45061901266308424</v>
      </c>
      <c r="AC1473" s="810"/>
      <c r="AD1473" s="811"/>
      <c r="AE1473" s="940"/>
      <c r="AF1473" s="920">
        <f>IF(X1473=X1472,AF1472,0)+IF(ISNUMBER(I1473),IF(I1473&lt;1,I1473,I1473*VLOOKUP(J1473,Summary!$H$2:$I$9,2)),VLOOKUP(J1473,Summary!$J$2:$K$9,2)*IF(ISNUMBER(H1473),H1473,1))</f>
        <v>0.46694444444444455</v>
      </c>
      <c r="AG1473" s="287">
        <v>1472</v>
      </c>
      <c r="AH1473" s="94"/>
      <c r="AI1473" s="94"/>
    </row>
    <row r="1474" spans="1:35" s="29" customFormat="1" ht="12" customHeight="1" x14ac:dyDescent="0.25">
      <c r="A1474" s="484" t="s">
        <v>15658</v>
      </c>
      <c r="B1474" s="484">
        <v>4</v>
      </c>
      <c r="C1474" s="502">
        <v>5.6</v>
      </c>
      <c r="D1474" s="407" t="s">
        <v>10586</v>
      </c>
      <c r="E1474" s="315" t="s">
        <v>10594</v>
      </c>
      <c r="F1474" s="196">
        <v>42535</v>
      </c>
      <c r="G1474" s="170"/>
      <c r="H1474" s="170">
        <v>2</v>
      </c>
      <c r="I1474" s="747">
        <f t="shared" si="30"/>
        <v>4.1666666666666664E-2</v>
      </c>
      <c r="J1474" s="899" t="s">
        <v>4706</v>
      </c>
      <c r="K1474" s="167" t="s">
        <v>5666</v>
      </c>
      <c r="L1474" s="167" t="s">
        <v>4549</v>
      </c>
      <c r="M1474" s="167"/>
      <c r="N1474" s="167"/>
      <c r="O1474" s="167"/>
      <c r="P1474" s="168" t="s">
        <v>10602</v>
      </c>
      <c r="Q1474" s="167" t="s">
        <v>3947</v>
      </c>
      <c r="R1474" s="172" t="s">
        <v>7162</v>
      </c>
      <c r="S1474" s="388" t="s">
        <v>2610</v>
      </c>
      <c r="T1474" s="168" t="s">
        <v>6335</v>
      </c>
      <c r="U1474" s="168"/>
      <c r="V1474" s="168"/>
      <c r="W1474" s="312" t="s">
        <v>15678</v>
      </c>
      <c r="X1474" s="644" t="s">
        <v>15929</v>
      </c>
      <c r="Y1474" s="352" t="s">
        <v>5643</v>
      </c>
      <c r="Z1474" s="353">
        <v>999</v>
      </c>
      <c r="AA1474" s="353"/>
      <c r="AB1474" s="31">
        <f t="shared" ref="AB1474:AB1537" ca="1" si="31">RAND()</f>
        <v>0.20667562071990631</v>
      </c>
      <c r="AC1474" s="810"/>
      <c r="AD1474" s="811"/>
      <c r="AE1474" s="940"/>
      <c r="AF1474" s="920">
        <f>IF(X1474=X1473,AF1473,0)+IF(ISNUMBER(I1474),IF(I1474&lt;1,I1474,I1474*VLOOKUP(J1474,Summary!$H$2:$I$9,2)),VLOOKUP(J1474,Summary!$J$2:$K$9,2)*IF(ISNUMBER(H1474),H1474,1))</f>
        <v>0.50861111111111124</v>
      </c>
      <c r="AG1474" s="287">
        <v>1473</v>
      </c>
      <c r="AH1474" s="94"/>
      <c r="AI1474" s="94"/>
    </row>
    <row r="1475" spans="1:35" s="43" customFormat="1" ht="12" customHeight="1" x14ac:dyDescent="0.25">
      <c r="A1475" s="484" t="s">
        <v>15658</v>
      </c>
      <c r="B1475" s="484">
        <v>4</v>
      </c>
      <c r="C1475" s="502">
        <v>5.7</v>
      </c>
      <c r="D1475" s="407" t="s">
        <v>10587</v>
      </c>
      <c r="E1475" s="315" t="s">
        <v>10595</v>
      </c>
      <c r="F1475" s="196">
        <v>42564</v>
      </c>
      <c r="G1475" s="170"/>
      <c r="H1475" s="170">
        <v>2</v>
      </c>
      <c r="I1475" s="747">
        <f t="shared" si="30"/>
        <v>4.1666666666666664E-2</v>
      </c>
      <c r="J1475" s="899" t="s">
        <v>4706</v>
      </c>
      <c r="K1475" s="167" t="s">
        <v>4549</v>
      </c>
      <c r="L1475" s="167" t="s">
        <v>4549</v>
      </c>
      <c r="M1475" s="167"/>
      <c r="N1475" s="167"/>
      <c r="O1475" s="167"/>
      <c r="P1475" s="168" t="s">
        <v>10603</v>
      </c>
      <c r="Q1475" s="167" t="s">
        <v>3947</v>
      </c>
      <c r="R1475" s="172" t="s">
        <v>7162</v>
      </c>
      <c r="S1475" s="388" t="s">
        <v>2610</v>
      </c>
      <c r="T1475" s="168" t="s">
        <v>6335</v>
      </c>
      <c r="U1475" s="168"/>
      <c r="V1475" s="168"/>
      <c r="W1475" s="312" t="s">
        <v>15679</v>
      </c>
      <c r="X1475" s="644" t="s">
        <v>15929</v>
      </c>
      <c r="Y1475" s="352" t="s">
        <v>5643</v>
      </c>
      <c r="Z1475" s="353">
        <v>999</v>
      </c>
      <c r="AA1475" s="353"/>
      <c r="AB1475" s="31">
        <f t="shared" ca="1" si="31"/>
        <v>0.48811073906071256</v>
      </c>
      <c r="AC1475" s="810"/>
      <c r="AD1475" s="811"/>
      <c r="AE1475" s="940"/>
      <c r="AF1475" s="920">
        <f>IF(X1475=X1474,AF1474,0)+IF(ISNUMBER(I1475),IF(I1475&lt;1,I1475,I1475*VLOOKUP(J1475,Summary!$H$2:$I$9,2)),VLOOKUP(J1475,Summary!$J$2:$K$9,2)*IF(ISNUMBER(H1475),H1475,1))</f>
        <v>0.55027777777777787</v>
      </c>
      <c r="AG1475" s="287">
        <v>1474</v>
      </c>
      <c r="AH1475" s="94"/>
      <c r="AI1475" s="94"/>
    </row>
    <row r="1476" spans="1:35" s="43" customFormat="1" ht="12" customHeight="1" x14ac:dyDescent="0.25">
      <c r="A1476" s="484" t="s">
        <v>15658</v>
      </c>
      <c r="B1476" s="484">
        <v>4</v>
      </c>
      <c r="C1476" s="502">
        <v>5.8</v>
      </c>
      <c r="D1476" s="407" t="s">
        <v>10588</v>
      </c>
      <c r="E1476" s="315" t="s">
        <v>10596</v>
      </c>
      <c r="F1476" s="196">
        <v>42592</v>
      </c>
      <c r="G1476" s="170"/>
      <c r="H1476" s="170">
        <v>2</v>
      </c>
      <c r="I1476" s="747">
        <f t="shared" si="30"/>
        <v>4.1666666666666664E-2</v>
      </c>
      <c r="J1476" s="899" t="s">
        <v>4706</v>
      </c>
      <c r="K1476" s="167" t="s">
        <v>4549</v>
      </c>
      <c r="L1476" s="167" t="s">
        <v>4549</v>
      </c>
      <c r="M1476" s="167"/>
      <c r="N1476" s="167"/>
      <c r="O1476" s="167"/>
      <c r="P1476" s="168" t="s">
        <v>10604</v>
      </c>
      <c r="Q1476" s="167" t="s">
        <v>3947</v>
      </c>
      <c r="R1476" s="172" t="s">
        <v>7162</v>
      </c>
      <c r="S1476" s="388" t="s">
        <v>2610</v>
      </c>
      <c r="T1476" s="168" t="s">
        <v>6335</v>
      </c>
      <c r="U1476" s="168"/>
      <c r="V1476" s="168"/>
      <c r="W1476" s="312" t="s">
        <v>15680</v>
      </c>
      <c r="X1476" s="644" t="s">
        <v>15929</v>
      </c>
      <c r="Y1476" s="352" t="s">
        <v>5643</v>
      </c>
      <c r="Z1476" s="353">
        <v>999</v>
      </c>
      <c r="AA1476" s="353"/>
      <c r="AB1476" s="31">
        <f t="shared" ca="1" si="31"/>
        <v>0.94479980602854541</v>
      </c>
      <c r="AC1476" s="810"/>
      <c r="AD1476" s="811"/>
      <c r="AE1476" s="940"/>
      <c r="AF1476" s="920">
        <f>IF(X1476=X1475,AF1475,0)+IF(ISNUMBER(I1476),IF(I1476&lt;1,I1476,I1476*VLOOKUP(J1476,Summary!$H$2:$I$9,2)),VLOOKUP(J1476,Summary!$J$2:$K$9,2)*IF(ISNUMBER(H1476),H1476,1))</f>
        <v>0.5919444444444445</v>
      </c>
      <c r="AG1476" s="287">
        <v>1475</v>
      </c>
      <c r="AH1476" s="94"/>
      <c r="AI1476" s="94"/>
    </row>
    <row r="1477" spans="1:35" s="43" customFormat="1" ht="12" customHeight="1" x14ac:dyDescent="0.25">
      <c r="A1477" s="490" t="s">
        <v>15658</v>
      </c>
      <c r="B1477" s="490">
        <v>4</v>
      </c>
      <c r="C1477" s="490"/>
      <c r="D1477" s="434" t="s">
        <v>3163</v>
      </c>
      <c r="E1477" s="324" t="s">
        <v>5451</v>
      </c>
      <c r="F1477" s="174">
        <v>29465</v>
      </c>
      <c r="G1477" s="174"/>
      <c r="H1477" s="176" t="s">
        <v>461</v>
      </c>
      <c r="I1477" s="176">
        <v>8</v>
      </c>
      <c r="J1477" s="900" t="s">
        <v>2755</v>
      </c>
      <c r="K1477" s="164" t="s">
        <v>5784</v>
      </c>
      <c r="L1477" s="164" t="s">
        <v>461</v>
      </c>
      <c r="M1477" s="164"/>
      <c r="N1477" s="164"/>
      <c r="O1477" s="164"/>
      <c r="P1477" s="173" t="s">
        <v>3162</v>
      </c>
      <c r="Q1477" s="164" t="s">
        <v>4705</v>
      </c>
      <c r="R1477" s="179" t="s">
        <v>4600</v>
      </c>
      <c r="S1477" s="354" t="s">
        <v>2610</v>
      </c>
      <c r="T1477" s="173" t="s">
        <v>6335</v>
      </c>
      <c r="U1477" s="173"/>
      <c r="V1477" s="173"/>
      <c r="W1477" s="324" t="s">
        <v>5451</v>
      </c>
      <c r="X1477" s="656" t="s">
        <v>15929</v>
      </c>
      <c r="Y1477" s="354"/>
      <c r="Z1477" s="176"/>
      <c r="AA1477" s="176"/>
      <c r="AB1477" s="32">
        <f t="shared" ca="1" si="31"/>
        <v>0.35944545048567089</v>
      </c>
      <c r="AC1477" s="812"/>
      <c r="AD1477" s="763"/>
      <c r="AE1477" s="951"/>
      <c r="AF1477" s="921">
        <f>IF(X1477=X1476,AF1476,0)+IF(ISNUMBER(I1477),IF(I1477&lt;1,I1477,I1477*VLOOKUP(J1477,Summary!$H$2:$I$9,2)),VLOOKUP(J1477,Summary!$J$2:$K$9,2)*IF(ISNUMBER(H1477),H1477,1))</f>
        <v>0.59750000000000003</v>
      </c>
      <c r="AG1477" s="288">
        <v>1476</v>
      </c>
      <c r="AH1477" s="94"/>
      <c r="AI1477" s="94"/>
    </row>
    <row r="1478" spans="1:35" s="43" customFormat="1" ht="12" customHeight="1" x14ac:dyDescent="0.25">
      <c r="A1478" s="490" t="s">
        <v>15658</v>
      </c>
      <c r="B1478" s="490">
        <v>4</v>
      </c>
      <c r="C1478" s="490"/>
      <c r="D1478" s="434" t="s">
        <v>3163</v>
      </c>
      <c r="E1478" s="324" t="s">
        <v>5452</v>
      </c>
      <c r="F1478" s="174">
        <v>29465</v>
      </c>
      <c r="G1478" s="174"/>
      <c r="H1478" s="176" t="s">
        <v>461</v>
      </c>
      <c r="I1478" s="176">
        <v>7</v>
      </c>
      <c r="J1478" s="900" t="s">
        <v>2755</v>
      </c>
      <c r="K1478" s="164" t="s">
        <v>5784</v>
      </c>
      <c r="L1478" s="164" t="s">
        <v>461</v>
      </c>
      <c r="M1478" s="164"/>
      <c r="N1478" s="164"/>
      <c r="O1478" s="164"/>
      <c r="P1478" s="173" t="s">
        <v>3162</v>
      </c>
      <c r="Q1478" s="164" t="s">
        <v>4705</v>
      </c>
      <c r="R1478" s="179" t="s">
        <v>4600</v>
      </c>
      <c r="S1478" s="354" t="s">
        <v>2610</v>
      </c>
      <c r="T1478" s="173" t="s">
        <v>6335</v>
      </c>
      <c r="U1478" s="173"/>
      <c r="V1478" s="173"/>
      <c r="W1478" s="324" t="s">
        <v>5452</v>
      </c>
      <c r="X1478" s="656" t="s">
        <v>15929</v>
      </c>
      <c r="Y1478" s="354"/>
      <c r="Z1478" s="176"/>
      <c r="AA1478" s="176"/>
      <c r="AB1478" s="32">
        <f t="shared" ca="1" si="31"/>
        <v>0.25879615605646922</v>
      </c>
      <c r="AC1478" s="812"/>
      <c r="AD1478" s="763"/>
      <c r="AE1478" s="951"/>
      <c r="AF1478" s="921">
        <f>IF(X1478=X1477,AF1477,0)+IF(ISNUMBER(I1478),IF(I1478&lt;1,I1478,I1478*VLOOKUP(J1478,Summary!$H$2:$I$9,2)),VLOOKUP(J1478,Summary!$J$2:$K$9,2)*IF(ISNUMBER(H1478),H1478,1))</f>
        <v>0.60236111111111112</v>
      </c>
      <c r="AG1478" s="288">
        <v>1477</v>
      </c>
      <c r="AH1478" s="94"/>
      <c r="AI1478" s="94"/>
    </row>
    <row r="1479" spans="1:35" s="43" customFormat="1" ht="12" customHeight="1" x14ac:dyDescent="0.25">
      <c r="A1479" s="490" t="s">
        <v>15658</v>
      </c>
      <c r="B1479" s="490">
        <v>4</v>
      </c>
      <c r="C1479" s="490"/>
      <c r="D1479" s="434" t="s">
        <v>3163</v>
      </c>
      <c r="E1479" s="324" t="s">
        <v>5453</v>
      </c>
      <c r="F1479" s="174">
        <v>29465</v>
      </c>
      <c r="G1479" s="174"/>
      <c r="H1479" s="176" t="s">
        <v>461</v>
      </c>
      <c r="I1479" s="176">
        <v>7</v>
      </c>
      <c r="J1479" s="900" t="s">
        <v>2755</v>
      </c>
      <c r="K1479" s="164" t="s">
        <v>5784</v>
      </c>
      <c r="L1479" s="164" t="s">
        <v>461</v>
      </c>
      <c r="M1479" s="164"/>
      <c r="N1479" s="164"/>
      <c r="O1479" s="164"/>
      <c r="P1479" s="173" t="s">
        <v>3162</v>
      </c>
      <c r="Q1479" s="164" t="s">
        <v>4705</v>
      </c>
      <c r="R1479" s="179" t="s">
        <v>4600</v>
      </c>
      <c r="S1479" s="354" t="s">
        <v>2610</v>
      </c>
      <c r="T1479" s="173" t="s">
        <v>6335</v>
      </c>
      <c r="U1479" s="173"/>
      <c r="V1479" s="173"/>
      <c r="W1479" s="324" t="s">
        <v>5453</v>
      </c>
      <c r="X1479" s="656" t="s">
        <v>15929</v>
      </c>
      <c r="Y1479" s="354"/>
      <c r="Z1479" s="176"/>
      <c r="AA1479" s="176"/>
      <c r="AB1479" s="32">
        <f t="shared" ca="1" si="31"/>
        <v>0.68248769185186497</v>
      </c>
      <c r="AC1479" s="812"/>
      <c r="AD1479" s="763"/>
      <c r="AE1479" s="951"/>
      <c r="AF1479" s="921">
        <f>IF(X1479=X1478,AF1478,0)+IF(ISNUMBER(I1479),IF(I1479&lt;1,I1479,I1479*VLOOKUP(J1479,Summary!$H$2:$I$9,2)),VLOOKUP(J1479,Summary!$J$2:$K$9,2)*IF(ISNUMBER(H1479),H1479,1))</f>
        <v>0.60722222222222222</v>
      </c>
      <c r="AG1479" s="288">
        <v>1478</v>
      </c>
      <c r="AH1479" s="94"/>
      <c r="AI1479" s="94"/>
    </row>
    <row r="1480" spans="1:35" s="43" customFormat="1" ht="12" customHeight="1" x14ac:dyDescent="0.25">
      <c r="A1480" s="488" t="s">
        <v>15658</v>
      </c>
      <c r="B1480" s="488">
        <v>4</v>
      </c>
      <c r="C1480" s="488"/>
      <c r="D1480" s="428" t="s">
        <v>3163</v>
      </c>
      <c r="E1480" s="325" t="s">
        <v>5454</v>
      </c>
      <c r="F1480" s="183">
        <v>29465</v>
      </c>
      <c r="G1480" s="183"/>
      <c r="H1480" s="185">
        <v>1</v>
      </c>
      <c r="I1480" s="185">
        <v>6</v>
      </c>
      <c r="J1480" s="901" t="s">
        <v>1796</v>
      </c>
      <c r="K1480" s="163" t="s">
        <v>3165</v>
      </c>
      <c r="L1480" s="163" t="s">
        <v>3166</v>
      </c>
      <c r="M1480" s="163"/>
      <c r="N1480" s="163"/>
      <c r="O1480" s="163"/>
      <c r="P1480" s="182" t="s">
        <v>3162</v>
      </c>
      <c r="Q1480" s="163" t="s">
        <v>4705</v>
      </c>
      <c r="R1480" s="207" t="s">
        <v>4600</v>
      </c>
      <c r="S1480" s="355" t="s">
        <v>2610</v>
      </c>
      <c r="T1480" s="182" t="s">
        <v>6335</v>
      </c>
      <c r="U1480" s="182"/>
      <c r="V1480" s="182"/>
      <c r="W1480" s="325" t="s">
        <v>5454</v>
      </c>
      <c r="X1480" s="657" t="s">
        <v>15929</v>
      </c>
      <c r="Y1480" s="355"/>
      <c r="Z1480" s="185"/>
      <c r="AA1480" s="185"/>
      <c r="AB1480" s="33">
        <f t="shared" ca="1" si="31"/>
        <v>0.9224215049804344</v>
      </c>
      <c r="AC1480" s="813"/>
      <c r="AD1480" s="211"/>
      <c r="AE1480" s="949"/>
      <c r="AF1480" s="922">
        <f>IF(X1480=X1479,AF1479,0)+IF(ISNUMBER(I1480),IF(I1480&lt;1,I1480,I1480*VLOOKUP(J1480,Summary!$H$2:$I$9,2)),VLOOKUP(J1480,Summary!$J$2:$K$9,2)*IF(ISNUMBER(H1480),H1480,1))</f>
        <v>0.60930555555555554</v>
      </c>
      <c r="AG1480" s="295">
        <v>1479</v>
      </c>
      <c r="AH1480" s="94"/>
      <c r="AI1480" s="94"/>
    </row>
    <row r="1481" spans="1:35" s="43" customFormat="1" ht="12" customHeight="1" x14ac:dyDescent="0.25">
      <c r="A1481" s="490" t="s">
        <v>15658</v>
      </c>
      <c r="B1481" s="490">
        <v>4</v>
      </c>
      <c r="C1481" s="490"/>
      <c r="D1481" s="434" t="s">
        <v>3163</v>
      </c>
      <c r="E1481" s="324" t="s">
        <v>5455</v>
      </c>
      <c r="F1481" s="174">
        <v>29465</v>
      </c>
      <c r="G1481" s="174"/>
      <c r="H1481" s="176" t="s">
        <v>461</v>
      </c>
      <c r="I1481" s="176">
        <v>7</v>
      </c>
      <c r="J1481" s="900" t="s">
        <v>2755</v>
      </c>
      <c r="K1481" s="164" t="s">
        <v>5784</v>
      </c>
      <c r="L1481" s="164" t="s">
        <v>461</v>
      </c>
      <c r="M1481" s="164"/>
      <c r="N1481" s="164"/>
      <c r="O1481" s="164"/>
      <c r="P1481" s="173" t="s">
        <v>3162</v>
      </c>
      <c r="Q1481" s="164" t="s">
        <v>4705</v>
      </c>
      <c r="R1481" s="179" t="s">
        <v>4600</v>
      </c>
      <c r="S1481" s="354" t="s">
        <v>2610</v>
      </c>
      <c r="T1481" s="173" t="s">
        <v>6335</v>
      </c>
      <c r="U1481" s="173"/>
      <c r="V1481" s="173"/>
      <c r="W1481" s="324" t="s">
        <v>5455</v>
      </c>
      <c r="X1481" s="656" t="s">
        <v>15929</v>
      </c>
      <c r="Y1481" s="354"/>
      <c r="Z1481" s="176"/>
      <c r="AA1481" s="176"/>
      <c r="AB1481" s="32">
        <f t="shared" ca="1" si="31"/>
        <v>0.30676444967348604</v>
      </c>
      <c r="AC1481" s="812"/>
      <c r="AD1481" s="763"/>
      <c r="AE1481" s="951"/>
      <c r="AF1481" s="921">
        <f>IF(X1481=X1480,AF1480,0)+IF(ISNUMBER(I1481),IF(I1481&lt;1,I1481,I1481*VLOOKUP(J1481,Summary!$H$2:$I$9,2)),VLOOKUP(J1481,Summary!$J$2:$K$9,2)*IF(ISNUMBER(H1481),H1481,1))</f>
        <v>0.61416666666666664</v>
      </c>
      <c r="AG1481" s="288">
        <v>1480</v>
      </c>
      <c r="AH1481" s="94"/>
      <c r="AI1481" s="94"/>
    </row>
    <row r="1482" spans="1:35" s="1" customFormat="1" ht="12" customHeight="1" x14ac:dyDescent="0.25">
      <c r="A1482" s="490" t="s">
        <v>15658</v>
      </c>
      <c r="B1482" s="490">
        <v>4</v>
      </c>
      <c r="C1482" s="490"/>
      <c r="D1482" s="434" t="s">
        <v>3163</v>
      </c>
      <c r="E1482" s="324" t="s">
        <v>15459</v>
      </c>
      <c r="F1482" s="174">
        <v>29465</v>
      </c>
      <c r="G1482" s="174"/>
      <c r="H1482" s="176" t="s">
        <v>461</v>
      </c>
      <c r="I1482" s="176">
        <v>6</v>
      </c>
      <c r="J1482" s="900" t="s">
        <v>2755</v>
      </c>
      <c r="K1482" s="164" t="s">
        <v>5784</v>
      </c>
      <c r="L1482" s="164" t="s">
        <v>461</v>
      </c>
      <c r="M1482" s="164"/>
      <c r="N1482" s="164"/>
      <c r="O1482" s="164"/>
      <c r="P1482" s="173" t="s">
        <v>3162</v>
      </c>
      <c r="Q1482" s="164" t="s">
        <v>4705</v>
      </c>
      <c r="R1482" s="179" t="s">
        <v>4600</v>
      </c>
      <c r="S1482" s="354" t="s">
        <v>2610</v>
      </c>
      <c r="T1482" s="173" t="s">
        <v>6335</v>
      </c>
      <c r="U1482" s="173"/>
      <c r="V1482" s="173"/>
      <c r="W1482" s="324" t="s">
        <v>5456</v>
      </c>
      <c r="X1482" s="656" t="s">
        <v>15929</v>
      </c>
      <c r="Y1482" s="354"/>
      <c r="Z1482" s="176"/>
      <c r="AA1482" s="176"/>
      <c r="AB1482" s="32">
        <f t="shared" ca="1" si="31"/>
        <v>7.3359670947724998E-2</v>
      </c>
      <c r="AC1482" s="812"/>
      <c r="AD1482" s="763"/>
      <c r="AE1482" s="951"/>
      <c r="AF1482" s="921">
        <f>IF(X1482=X1481,AF1481,0)+IF(ISNUMBER(I1482),IF(I1482&lt;1,I1482,I1482*VLOOKUP(J1482,Summary!$H$2:$I$9,2)),VLOOKUP(J1482,Summary!$J$2:$K$9,2)*IF(ISNUMBER(H1482),H1482,1))</f>
        <v>0.61833333333333329</v>
      </c>
      <c r="AG1482" s="288">
        <v>1481</v>
      </c>
      <c r="AH1482" s="94"/>
      <c r="AI1482" s="94"/>
    </row>
    <row r="1483" spans="1:35" s="43" customFormat="1" ht="12" customHeight="1" x14ac:dyDescent="0.25">
      <c r="A1483" s="492" t="s">
        <v>15658</v>
      </c>
      <c r="B1483" s="492">
        <v>4</v>
      </c>
      <c r="C1483" s="492">
        <v>82</v>
      </c>
      <c r="D1483" s="417" t="s">
        <v>13173</v>
      </c>
      <c r="E1483" s="316" t="s">
        <v>12697</v>
      </c>
      <c r="F1483" s="195">
        <v>43118</v>
      </c>
      <c r="G1483" s="188"/>
      <c r="H1483" s="188" t="str">
        <f>IF(J1483="Book","n/a","")</f>
        <v>n/a</v>
      </c>
      <c r="I1483" s="188">
        <v>416</v>
      </c>
      <c r="J1483" s="902" t="s">
        <v>6868</v>
      </c>
      <c r="K1483" s="162" t="s">
        <v>1643</v>
      </c>
      <c r="L1483" s="162" t="str">
        <f>IF(J1483="Book","n/a","")</f>
        <v>n/a</v>
      </c>
      <c r="M1483" s="162" t="s">
        <v>9748</v>
      </c>
      <c r="N1483" s="162"/>
      <c r="O1483" s="162"/>
      <c r="P1483" s="178" t="s">
        <v>12698</v>
      </c>
      <c r="Q1483" s="162" t="s">
        <v>3953</v>
      </c>
      <c r="R1483" s="189" t="s">
        <v>2717</v>
      </c>
      <c r="S1483" s="366" t="s">
        <v>2610</v>
      </c>
      <c r="T1483" s="178" t="s">
        <v>6335</v>
      </c>
      <c r="U1483" s="178"/>
      <c r="V1483" s="178"/>
      <c r="W1483" s="316" t="s">
        <v>12697</v>
      </c>
      <c r="X1483" s="648" t="s">
        <v>15929</v>
      </c>
      <c r="Y1483" s="356"/>
      <c r="Z1483" s="272"/>
      <c r="AA1483" s="272"/>
      <c r="AB1483" s="34">
        <f t="shared" ca="1" si="31"/>
        <v>0.19000776140124931</v>
      </c>
      <c r="AC1483" s="814"/>
      <c r="AD1483" s="815"/>
      <c r="AE1483" s="942"/>
      <c r="AF1483" s="923">
        <f>IF(X1483=X1482,AF1482,0)+IF(ISNUMBER(I1483),IF(I1483&lt;1,I1483,I1483*VLOOKUP(J1483,Summary!$H$2:$I$9,2)),VLOOKUP(J1483,Summary!$J$2:$K$9,2)*IF(ISNUMBER(H1483),H1483,1))</f>
        <v>0.90722222222222215</v>
      </c>
      <c r="AG1483" s="291">
        <v>1482</v>
      </c>
      <c r="AH1483" s="94"/>
      <c r="AI1483" s="94"/>
    </row>
    <row r="1484" spans="1:35" s="22" customFormat="1" ht="12" customHeight="1" x14ac:dyDescent="0.2">
      <c r="A1484" s="484" t="s">
        <v>15658</v>
      </c>
      <c r="B1484" s="484">
        <v>4</v>
      </c>
      <c r="C1484" s="505">
        <v>4.04</v>
      </c>
      <c r="D1484" s="407" t="s">
        <v>710</v>
      </c>
      <c r="E1484" s="315" t="s">
        <v>6957</v>
      </c>
      <c r="F1484" s="169">
        <v>40087</v>
      </c>
      <c r="G1484" s="170"/>
      <c r="H1484" s="170">
        <v>2</v>
      </c>
      <c r="I1484" s="746">
        <f>TIME(1,7,56)</f>
        <v>4.7175925925925927E-2</v>
      </c>
      <c r="J1484" s="899" t="s">
        <v>4706</v>
      </c>
      <c r="K1484" s="167" t="s">
        <v>2310</v>
      </c>
      <c r="L1484" s="167" t="s">
        <v>5662</v>
      </c>
      <c r="M1484" s="167" t="s">
        <v>8029</v>
      </c>
      <c r="N1484" s="167"/>
      <c r="O1484" s="167"/>
      <c r="P1484" s="168" t="s">
        <v>9181</v>
      </c>
      <c r="Q1484" s="167" t="s">
        <v>3947</v>
      </c>
      <c r="R1484" s="172" t="s">
        <v>3153</v>
      </c>
      <c r="S1484" s="388" t="s">
        <v>2610</v>
      </c>
      <c r="T1484" s="168"/>
      <c r="U1484" s="168"/>
      <c r="V1484" s="168"/>
      <c r="W1484" s="312" t="s">
        <v>9530</v>
      </c>
      <c r="X1484" s="644" t="s">
        <v>15929</v>
      </c>
      <c r="Y1484" s="352" t="s">
        <v>5643</v>
      </c>
      <c r="Z1484" s="353">
        <v>616</v>
      </c>
      <c r="AA1484" s="353">
        <v>3.5</v>
      </c>
      <c r="AB1484" s="31">
        <f t="shared" ca="1" si="31"/>
        <v>0.30761055843013074</v>
      </c>
      <c r="AC1484" s="810"/>
      <c r="AD1484" s="811" t="s">
        <v>16445</v>
      </c>
      <c r="AE1484" s="940" t="s">
        <v>3365</v>
      </c>
      <c r="AF1484" s="920">
        <f>IF(X1484=X1483,AF1483,0)+IF(ISNUMBER(I1484),IF(I1484&lt;1,I1484,I1484*VLOOKUP(J1484,Summary!$H$2:$I$9,2)),VLOOKUP(J1484,Summary!$J$2:$K$9,2)*IF(ISNUMBER(H1484),H1484,1))</f>
        <v>0.95439814814814805</v>
      </c>
      <c r="AG1484" s="287">
        <v>1483</v>
      </c>
      <c r="AH1484" s="94"/>
      <c r="AI1484" s="94"/>
    </row>
    <row r="1485" spans="1:35" s="1" customFormat="1" ht="12" customHeight="1" x14ac:dyDescent="0.25">
      <c r="A1485" s="484" t="s">
        <v>15658</v>
      </c>
      <c r="B1485" s="484">
        <v>4</v>
      </c>
      <c r="C1485" s="503">
        <v>5</v>
      </c>
      <c r="D1485" s="407" t="s">
        <v>11462</v>
      </c>
      <c r="E1485" s="315" t="s">
        <v>6954</v>
      </c>
      <c r="F1485" s="196">
        <v>42107</v>
      </c>
      <c r="G1485" s="170"/>
      <c r="H1485" s="170">
        <v>4</v>
      </c>
      <c r="I1485" s="746">
        <f>TIME(2,14,25)</f>
        <v>9.3344907407407404E-2</v>
      </c>
      <c r="J1485" s="899" t="s">
        <v>4706</v>
      </c>
      <c r="K1485" s="167" t="s">
        <v>9694</v>
      </c>
      <c r="L1485" s="167" t="s">
        <v>2313</v>
      </c>
      <c r="M1485" s="167"/>
      <c r="N1485" s="167"/>
      <c r="O1485" s="167"/>
      <c r="P1485" s="168" t="s">
        <v>9697</v>
      </c>
      <c r="Q1485" s="167" t="s">
        <v>3947</v>
      </c>
      <c r="R1485" s="172" t="s">
        <v>9690</v>
      </c>
      <c r="S1485" s="388" t="s">
        <v>2610</v>
      </c>
      <c r="T1485" s="168" t="s">
        <v>6335</v>
      </c>
      <c r="U1485" s="168"/>
      <c r="V1485" s="168"/>
      <c r="W1485" s="312"/>
      <c r="X1485" s="644" t="s">
        <v>15929</v>
      </c>
      <c r="Y1485" s="352" t="s">
        <v>5643</v>
      </c>
      <c r="Z1485" s="353"/>
      <c r="AA1485" s="353"/>
      <c r="AB1485" s="31">
        <f t="shared" ca="1" si="31"/>
        <v>0.37424879192525184</v>
      </c>
      <c r="AC1485" s="810"/>
      <c r="AD1485" s="811"/>
      <c r="AE1485" s="940"/>
      <c r="AF1485" s="920">
        <f>IF(X1485=X1484,AF1484,0)+IF(ISNUMBER(I1485),IF(I1485&lt;1,I1485,I1485*VLOOKUP(J1485,Summary!$H$2:$I$9,2)),VLOOKUP(J1485,Summary!$J$2:$K$9,2)*IF(ISNUMBER(H1485),H1485,1))</f>
        <v>1.0477430555555554</v>
      </c>
      <c r="AG1485" s="287">
        <v>1484</v>
      </c>
      <c r="AH1485" s="94"/>
      <c r="AI1485" s="94"/>
    </row>
    <row r="1486" spans="1:35" s="43" customFormat="1" ht="12" customHeight="1" x14ac:dyDescent="0.25">
      <c r="A1486" s="492" t="s">
        <v>15658</v>
      </c>
      <c r="B1486" s="492">
        <v>4</v>
      </c>
      <c r="C1486" s="492">
        <v>33</v>
      </c>
      <c r="D1486" s="417" t="s">
        <v>7520</v>
      </c>
      <c r="E1486" s="316" t="s">
        <v>6954</v>
      </c>
      <c r="F1486" s="187">
        <v>35521</v>
      </c>
      <c r="G1486" s="188"/>
      <c r="H1486" s="188" t="str">
        <f>IF(J1486="Book","n/a","")</f>
        <v>n/a</v>
      </c>
      <c r="I1486" s="188">
        <v>293</v>
      </c>
      <c r="J1486" s="902" t="s">
        <v>6868</v>
      </c>
      <c r="K1486" s="162" t="s">
        <v>3451</v>
      </c>
      <c r="L1486" s="162" t="str">
        <f>IF(J1486="Book","n/a","")</f>
        <v>n/a</v>
      </c>
      <c r="M1486" s="162"/>
      <c r="N1486" s="162"/>
      <c r="O1486" s="162"/>
      <c r="P1486" s="178" t="s">
        <v>8617</v>
      </c>
      <c r="Q1486" s="162" t="s">
        <v>601</v>
      </c>
      <c r="R1486" s="189" t="s">
        <v>2715</v>
      </c>
      <c r="S1486" s="366" t="s">
        <v>2610</v>
      </c>
      <c r="T1486" s="178" t="s">
        <v>6335</v>
      </c>
      <c r="U1486" s="178"/>
      <c r="V1486" s="178"/>
      <c r="W1486" s="316" t="s">
        <v>6954</v>
      </c>
      <c r="X1486" s="648" t="s">
        <v>15929</v>
      </c>
      <c r="Y1486" s="356" t="s">
        <v>4707</v>
      </c>
      <c r="Z1486" s="272"/>
      <c r="AA1486" s="272"/>
      <c r="AB1486" s="34">
        <f t="shared" ca="1" si="31"/>
        <v>0.30242446822044222</v>
      </c>
      <c r="AC1486" s="814"/>
      <c r="AD1486" s="815"/>
      <c r="AE1486" s="942"/>
      <c r="AF1486" s="923">
        <f>IF(X1486=X1485,AF1485,0)+IF(ISNUMBER(I1486),IF(I1486&lt;1,I1486,I1486*VLOOKUP(J1486,Summary!$H$2:$I$9,2)),VLOOKUP(J1486,Summary!$J$2:$K$9,2)*IF(ISNUMBER(H1486),H1486,1))</f>
        <v>1.2512152777777776</v>
      </c>
      <c r="AG1486" s="291">
        <v>1485</v>
      </c>
      <c r="AH1486" s="94"/>
      <c r="AI1486" s="94"/>
    </row>
    <row r="1487" spans="1:35" s="43" customFormat="1" ht="12" customHeight="1" x14ac:dyDescent="0.25">
      <c r="A1487" s="488" t="s">
        <v>15659</v>
      </c>
      <c r="B1487" s="488">
        <v>4</v>
      </c>
      <c r="C1487" s="488">
        <v>5</v>
      </c>
      <c r="D1487" s="185" t="s">
        <v>6030</v>
      </c>
      <c r="E1487" s="314" t="s">
        <v>9932</v>
      </c>
      <c r="F1487" s="184">
        <v>29222</v>
      </c>
      <c r="G1487" s="223"/>
      <c r="H1487" s="185">
        <v>1</v>
      </c>
      <c r="I1487" s="185">
        <v>4</v>
      </c>
      <c r="J1487" s="901" t="s">
        <v>1796</v>
      </c>
      <c r="K1487" s="163" t="s">
        <v>6031</v>
      </c>
      <c r="L1487" s="163" t="s">
        <v>7626</v>
      </c>
      <c r="M1487" s="163" t="s">
        <v>6043</v>
      </c>
      <c r="N1487" s="163" t="s">
        <v>6026</v>
      </c>
      <c r="O1487" s="163"/>
      <c r="P1487" s="182" t="s">
        <v>461</v>
      </c>
      <c r="Q1487" s="163" t="s">
        <v>4062</v>
      </c>
      <c r="R1487" s="186" t="s">
        <v>9922</v>
      </c>
      <c r="S1487" s="355"/>
      <c r="T1487" s="182" t="s">
        <v>6335</v>
      </c>
      <c r="U1487" s="182"/>
      <c r="V1487" s="182"/>
      <c r="W1487" s="314" t="s">
        <v>9932</v>
      </c>
      <c r="X1487" s="653" t="s">
        <v>587</v>
      </c>
      <c r="Y1487" s="355"/>
      <c r="Z1487" s="158"/>
      <c r="AA1487" s="185"/>
      <c r="AB1487" s="33">
        <f t="shared" ca="1" si="31"/>
        <v>0.33823742368607945</v>
      </c>
      <c r="AC1487" s="813"/>
      <c r="AD1487" s="211"/>
      <c r="AE1487" s="941"/>
      <c r="AF1487" s="922">
        <f>IF(X1487=X1486,AF1486,0)+IF(ISNUMBER(I1487),IF(I1487&lt;1,I1487,I1487*VLOOKUP(J1487,Summary!$H$2:$I$9,2)),VLOOKUP(J1487,Summary!$J$2:$K$9,2)*IF(ISNUMBER(H1487),H1487,1))</f>
        <v>1.3888888888888889E-3</v>
      </c>
      <c r="AG1487" s="290">
        <v>1486</v>
      </c>
      <c r="AH1487" s="94"/>
      <c r="AI1487" s="94"/>
    </row>
    <row r="1488" spans="1:35" s="2" customFormat="1" ht="12" customHeight="1" x14ac:dyDescent="0.25">
      <c r="A1488" s="488" t="s">
        <v>15659</v>
      </c>
      <c r="B1488" s="488">
        <v>4</v>
      </c>
      <c r="C1488" s="488">
        <v>3</v>
      </c>
      <c r="D1488" s="428" t="s">
        <v>6032</v>
      </c>
      <c r="E1488" s="325" t="s">
        <v>6033</v>
      </c>
      <c r="F1488" s="184">
        <v>29257</v>
      </c>
      <c r="G1488" s="184">
        <v>29264</v>
      </c>
      <c r="H1488" s="185">
        <v>2</v>
      </c>
      <c r="I1488" s="185">
        <v>8</v>
      </c>
      <c r="J1488" s="901" t="s">
        <v>1796</v>
      </c>
      <c r="K1488" s="163" t="s">
        <v>6037</v>
      </c>
      <c r="L1488" s="163" t="s">
        <v>7626</v>
      </c>
      <c r="M1488" s="163"/>
      <c r="N1488" s="163" t="s">
        <v>6026</v>
      </c>
      <c r="O1488" s="163"/>
      <c r="P1488" s="182" t="s">
        <v>461</v>
      </c>
      <c r="Q1488" s="163" t="s">
        <v>4062</v>
      </c>
      <c r="R1488" s="207" t="s">
        <v>5266</v>
      </c>
      <c r="S1488" s="355"/>
      <c r="T1488" s="182" t="s">
        <v>6335</v>
      </c>
      <c r="U1488" s="182"/>
      <c r="V1488" s="182"/>
      <c r="W1488" s="321"/>
      <c r="X1488" s="653" t="s">
        <v>587</v>
      </c>
      <c r="Y1488" s="355"/>
      <c r="Z1488" s="185"/>
      <c r="AA1488" s="185"/>
      <c r="AB1488" s="33">
        <f t="shared" ca="1" si="31"/>
        <v>0.63007022967799187</v>
      </c>
      <c r="AC1488" s="813"/>
      <c r="AD1488" s="211"/>
      <c r="AE1488" s="949"/>
      <c r="AF1488" s="922">
        <f>IF(X1488=X1487,AF1487,0)+IF(ISNUMBER(I1488),IF(I1488&lt;1,I1488,I1488*VLOOKUP(J1488,Summary!$H$2:$I$9,2)),VLOOKUP(J1488,Summary!$J$2:$K$9,2)*IF(ISNUMBER(H1488),H1488,1))</f>
        <v>4.1666666666666666E-3</v>
      </c>
      <c r="AG1488" s="295">
        <v>1487</v>
      </c>
      <c r="AH1488" s="94"/>
      <c r="AI1488" s="94"/>
    </row>
    <row r="1489" spans="1:35" s="2" customFormat="1" ht="12" customHeight="1" x14ac:dyDescent="0.25">
      <c r="A1489" s="490" t="s">
        <v>15659</v>
      </c>
      <c r="B1489" s="490">
        <v>4</v>
      </c>
      <c r="C1489" s="490">
        <v>3</v>
      </c>
      <c r="D1489" s="176" t="s">
        <v>12825</v>
      </c>
      <c r="E1489" s="313" t="s">
        <v>12826</v>
      </c>
      <c r="F1489" s="175">
        <v>29320</v>
      </c>
      <c r="G1489" s="174"/>
      <c r="H1489" s="176">
        <v>1</v>
      </c>
      <c r="I1489" s="176">
        <v>2</v>
      </c>
      <c r="J1489" s="900" t="s">
        <v>2755</v>
      </c>
      <c r="K1489" s="164" t="s">
        <v>12814</v>
      </c>
      <c r="L1489" s="164" t="s">
        <v>461</v>
      </c>
      <c r="M1489" s="164"/>
      <c r="N1489" s="164" t="s">
        <v>7626</v>
      </c>
      <c r="O1489" s="164"/>
      <c r="P1489" s="173" t="s">
        <v>461</v>
      </c>
      <c r="Q1489" s="164" t="s">
        <v>4062</v>
      </c>
      <c r="R1489" s="177" t="s">
        <v>10250</v>
      </c>
      <c r="S1489" s="354"/>
      <c r="T1489" s="173" t="s">
        <v>6335</v>
      </c>
      <c r="U1489" s="173"/>
      <c r="V1489" s="173"/>
      <c r="W1489" s="313" t="s">
        <v>12826</v>
      </c>
      <c r="X1489" s="656" t="s">
        <v>587</v>
      </c>
      <c r="Y1489" s="354"/>
      <c r="Z1489" s="176"/>
      <c r="AA1489" s="176"/>
      <c r="AB1489" s="32">
        <f t="shared" ca="1" si="31"/>
        <v>0.29628746971498621</v>
      </c>
      <c r="AC1489" s="812"/>
      <c r="AD1489" s="763"/>
      <c r="AE1489" s="807"/>
      <c r="AF1489" s="921">
        <f>IF(X1489=X1488,AF1488,0)+IF(ISNUMBER(I1489),IF(I1489&lt;1,I1489,I1489*VLOOKUP(J1489,Summary!$H$2:$I$9,2)),VLOOKUP(J1489,Summary!$J$2:$K$9,2)*IF(ISNUMBER(H1489),H1489,1))</f>
        <v>5.5555555555555558E-3</v>
      </c>
      <c r="AG1489" s="289">
        <v>1488</v>
      </c>
      <c r="AH1489" s="94"/>
      <c r="AI1489" s="94"/>
    </row>
    <row r="1490" spans="1:35" s="2" customFormat="1" ht="12" customHeight="1" x14ac:dyDescent="0.25">
      <c r="A1490" s="490" t="s">
        <v>15659</v>
      </c>
      <c r="B1490" s="490">
        <v>4</v>
      </c>
      <c r="C1490" s="490">
        <v>4</v>
      </c>
      <c r="D1490" s="176" t="s">
        <v>12824</v>
      </c>
      <c r="E1490" s="313" t="s">
        <v>12823</v>
      </c>
      <c r="F1490" s="175">
        <v>29327</v>
      </c>
      <c r="G1490" s="174"/>
      <c r="H1490" s="176">
        <v>1</v>
      </c>
      <c r="I1490" s="176">
        <v>2</v>
      </c>
      <c r="J1490" s="900" t="s">
        <v>2755</v>
      </c>
      <c r="K1490" s="164" t="s">
        <v>12814</v>
      </c>
      <c r="L1490" s="164" t="s">
        <v>461</v>
      </c>
      <c r="M1490" s="164"/>
      <c r="N1490" s="164" t="s">
        <v>7626</v>
      </c>
      <c r="O1490" s="164"/>
      <c r="P1490" s="173" t="s">
        <v>461</v>
      </c>
      <c r="Q1490" s="164" t="s">
        <v>4062</v>
      </c>
      <c r="R1490" s="177" t="s">
        <v>10250</v>
      </c>
      <c r="S1490" s="354"/>
      <c r="T1490" s="173" t="s">
        <v>6335</v>
      </c>
      <c r="U1490" s="173"/>
      <c r="V1490" s="173"/>
      <c r="W1490" s="313" t="s">
        <v>12823</v>
      </c>
      <c r="X1490" s="656" t="s">
        <v>587</v>
      </c>
      <c r="Y1490" s="354"/>
      <c r="Z1490" s="176"/>
      <c r="AA1490" s="176"/>
      <c r="AB1490" s="32">
        <f t="shared" ca="1" si="31"/>
        <v>0.84465176725868796</v>
      </c>
      <c r="AC1490" s="812"/>
      <c r="AD1490" s="763"/>
      <c r="AE1490" s="807"/>
      <c r="AF1490" s="921">
        <f>IF(X1490=X1489,AF1489,0)+IF(ISNUMBER(I1490),IF(I1490&lt;1,I1490,I1490*VLOOKUP(J1490,Summary!$H$2:$I$9,2)),VLOOKUP(J1490,Summary!$J$2:$K$9,2)*IF(ISNUMBER(H1490),H1490,1))</f>
        <v>6.9444444444444449E-3</v>
      </c>
      <c r="AG1490" s="289">
        <v>1489</v>
      </c>
      <c r="AH1490" s="94"/>
      <c r="AI1490" s="94"/>
    </row>
    <row r="1491" spans="1:35" s="7" customFormat="1" ht="12" customHeight="1" x14ac:dyDescent="0.25">
      <c r="A1491" s="488" t="s">
        <v>15659</v>
      </c>
      <c r="B1491" s="488">
        <v>4</v>
      </c>
      <c r="C1491" s="488">
        <v>4</v>
      </c>
      <c r="D1491" s="428" t="s">
        <v>6028</v>
      </c>
      <c r="E1491" s="325" t="s">
        <v>4377</v>
      </c>
      <c r="F1491" s="184">
        <v>29271</v>
      </c>
      <c r="G1491" s="184">
        <v>29320</v>
      </c>
      <c r="H1491" s="185">
        <v>8</v>
      </c>
      <c r="I1491" s="185">
        <v>34</v>
      </c>
      <c r="J1491" s="901" t="s">
        <v>1796</v>
      </c>
      <c r="K1491" s="163" t="s">
        <v>6024</v>
      </c>
      <c r="L1491" s="163" t="s">
        <v>6025</v>
      </c>
      <c r="M1491" s="163"/>
      <c r="N1491" s="163" t="s">
        <v>7626</v>
      </c>
      <c r="O1491" s="163"/>
      <c r="P1491" s="182" t="s">
        <v>461</v>
      </c>
      <c r="Q1491" s="163" t="s">
        <v>4062</v>
      </c>
      <c r="R1491" s="207" t="s">
        <v>5266</v>
      </c>
      <c r="S1491" s="355"/>
      <c r="T1491" s="182"/>
      <c r="U1491" s="182" t="s">
        <v>6035</v>
      </c>
      <c r="V1491" s="182"/>
      <c r="W1491" s="321"/>
      <c r="X1491" s="653" t="s">
        <v>587</v>
      </c>
      <c r="Y1491" s="355"/>
      <c r="Z1491" s="185"/>
      <c r="AA1491" s="185"/>
      <c r="AB1491" s="33">
        <f t="shared" ca="1" si="31"/>
        <v>0.74122809973748582</v>
      </c>
      <c r="AC1491" s="813"/>
      <c r="AD1491" s="211" t="s">
        <v>15990</v>
      </c>
      <c r="AE1491" s="949"/>
      <c r="AF1491" s="922">
        <f>IF(X1491=X1490,AF1490,0)+IF(ISNUMBER(I1491),IF(I1491&lt;1,I1491,I1491*VLOOKUP(J1491,Summary!$H$2:$I$9,2)),VLOOKUP(J1491,Summary!$J$2:$K$9,2)*IF(ISNUMBER(H1491),H1491,1))</f>
        <v>1.8749999999999999E-2</v>
      </c>
      <c r="AG1491" s="295">
        <v>1490</v>
      </c>
      <c r="AH1491" s="94"/>
      <c r="AI1491" s="94"/>
    </row>
    <row r="1492" spans="1:35" s="1" customFormat="1" ht="12" customHeight="1" x14ac:dyDescent="0.25">
      <c r="A1492" s="422" t="s">
        <v>15659</v>
      </c>
      <c r="B1492" s="422" t="s">
        <v>2650</v>
      </c>
      <c r="C1492" s="422">
        <v>14.15</v>
      </c>
      <c r="D1492" s="434" t="s">
        <v>7636</v>
      </c>
      <c r="E1492" s="324" t="s">
        <v>3001</v>
      </c>
      <c r="F1492" s="174">
        <v>38322</v>
      </c>
      <c r="G1492" s="174"/>
      <c r="H1492" s="176">
        <v>1</v>
      </c>
      <c r="I1492" s="176">
        <v>2</v>
      </c>
      <c r="J1492" s="900" t="s">
        <v>2755</v>
      </c>
      <c r="K1492" s="164" t="s">
        <v>2997</v>
      </c>
      <c r="L1492" s="164" t="s">
        <v>461</v>
      </c>
      <c r="M1492" s="164"/>
      <c r="N1492" s="164" t="s">
        <v>3807</v>
      </c>
      <c r="O1492" s="164"/>
      <c r="P1492" s="173" t="s">
        <v>6565</v>
      </c>
      <c r="Q1492" s="164" t="s">
        <v>3947</v>
      </c>
      <c r="R1492" s="179" t="s">
        <v>2723</v>
      </c>
      <c r="S1492" s="354"/>
      <c r="T1492" s="173"/>
      <c r="U1492" s="173"/>
      <c r="V1492" s="173"/>
      <c r="W1492" s="324" t="s">
        <v>3001</v>
      </c>
      <c r="X1492" s="656" t="s">
        <v>587</v>
      </c>
      <c r="Y1492" s="354"/>
      <c r="Z1492" s="176"/>
      <c r="AA1492" s="176"/>
      <c r="AB1492" s="32">
        <f t="shared" ca="1" si="31"/>
        <v>0.76404563274130943</v>
      </c>
      <c r="AC1492" s="812"/>
      <c r="AD1492" s="763"/>
      <c r="AE1492" s="951"/>
      <c r="AF1492" s="921">
        <f>IF(X1492=X1491,AF1491,0)+IF(ISNUMBER(I1492),IF(I1492&lt;1,I1492,I1492*VLOOKUP(J1492,Summary!$H$2:$I$9,2)),VLOOKUP(J1492,Summary!$J$2:$K$9,2)*IF(ISNUMBER(H1492),H1492,1))</f>
        <v>2.0138888888888887E-2</v>
      </c>
      <c r="AG1492" s="288">
        <v>1491</v>
      </c>
      <c r="AH1492" s="94"/>
      <c r="AI1492" s="94"/>
    </row>
    <row r="1493" spans="1:35" s="2" customFormat="1" ht="12" customHeight="1" x14ac:dyDescent="0.25">
      <c r="A1493" s="490" t="s">
        <v>15659</v>
      </c>
      <c r="B1493" s="490">
        <v>4</v>
      </c>
      <c r="C1493" s="490">
        <v>5</v>
      </c>
      <c r="D1493" s="176" t="s">
        <v>12821</v>
      </c>
      <c r="E1493" s="313" t="s">
        <v>12822</v>
      </c>
      <c r="F1493" s="175">
        <v>29334</v>
      </c>
      <c r="G1493" s="174"/>
      <c r="H1493" s="176">
        <v>1</v>
      </c>
      <c r="I1493" s="176">
        <v>3</v>
      </c>
      <c r="J1493" s="900" t="s">
        <v>2755</v>
      </c>
      <c r="K1493" s="164" t="s">
        <v>12814</v>
      </c>
      <c r="L1493" s="164" t="s">
        <v>461</v>
      </c>
      <c r="M1493" s="164"/>
      <c r="N1493" s="164" t="s">
        <v>7626</v>
      </c>
      <c r="O1493" s="164"/>
      <c r="P1493" s="173" t="s">
        <v>461</v>
      </c>
      <c r="Q1493" s="164" t="s">
        <v>4062</v>
      </c>
      <c r="R1493" s="177" t="s">
        <v>10250</v>
      </c>
      <c r="S1493" s="354"/>
      <c r="T1493" s="173" t="s">
        <v>6335</v>
      </c>
      <c r="U1493" s="173" t="s">
        <v>6035</v>
      </c>
      <c r="V1493" s="173"/>
      <c r="W1493" s="313" t="s">
        <v>12822</v>
      </c>
      <c r="X1493" s="656" t="s">
        <v>587</v>
      </c>
      <c r="Y1493" s="354"/>
      <c r="Z1493" s="176"/>
      <c r="AA1493" s="176"/>
      <c r="AB1493" s="32">
        <f t="shared" ca="1" si="31"/>
        <v>0.60687952073404927</v>
      </c>
      <c r="AC1493" s="812"/>
      <c r="AD1493" s="763"/>
      <c r="AE1493" s="807"/>
      <c r="AF1493" s="921">
        <f>IF(X1493=X1492,AF1492,0)+IF(ISNUMBER(I1493),IF(I1493&lt;1,I1493,I1493*VLOOKUP(J1493,Summary!$H$2:$I$9,2)),VLOOKUP(J1493,Summary!$J$2:$K$9,2)*IF(ISNUMBER(H1493),H1493,1))</f>
        <v>2.222222222222222E-2</v>
      </c>
      <c r="AG1493" s="289">
        <v>1492</v>
      </c>
      <c r="AH1493" s="94"/>
      <c r="AI1493" s="94"/>
    </row>
    <row r="1494" spans="1:35" s="7" customFormat="1" ht="12" customHeight="1" x14ac:dyDescent="0.25">
      <c r="A1494" s="488" t="s">
        <v>15659</v>
      </c>
      <c r="B1494" s="488">
        <v>4</v>
      </c>
      <c r="C1494" s="488">
        <v>5</v>
      </c>
      <c r="D1494" s="428" t="s">
        <v>6036</v>
      </c>
      <c r="E1494" s="325" t="s">
        <v>4378</v>
      </c>
      <c r="F1494" s="184">
        <v>29327</v>
      </c>
      <c r="G1494" s="184">
        <v>29377</v>
      </c>
      <c r="H1494" s="185">
        <v>8</v>
      </c>
      <c r="I1494" s="185">
        <v>34</v>
      </c>
      <c r="J1494" s="901" t="s">
        <v>1796</v>
      </c>
      <c r="K1494" s="163" t="s">
        <v>6034</v>
      </c>
      <c r="L1494" s="163" t="s">
        <v>6025</v>
      </c>
      <c r="M1494" s="163"/>
      <c r="N1494" s="163" t="s">
        <v>7626</v>
      </c>
      <c r="O1494" s="163"/>
      <c r="P1494" s="182" t="s">
        <v>461</v>
      </c>
      <c r="Q1494" s="163" t="s">
        <v>4062</v>
      </c>
      <c r="R1494" s="207" t="s">
        <v>5266</v>
      </c>
      <c r="S1494" s="355"/>
      <c r="T1494" s="182" t="s">
        <v>6335</v>
      </c>
      <c r="U1494" s="182" t="s">
        <v>6035</v>
      </c>
      <c r="V1494" s="182"/>
      <c r="W1494" s="321"/>
      <c r="X1494" s="653" t="s">
        <v>587</v>
      </c>
      <c r="Y1494" s="355"/>
      <c r="Z1494" s="185"/>
      <c r="AA1494" s="185"/>
      <c r="AB1494" s="33">
        <f t="shared" ca="1" si="31"/>
        <v>0.17972448230225591</v>
      </c>
      <c r="AC1494" s="813"/>
      <c r="AD1494" s="211" t="s">
        <v>16197</v>
      </c>
      <c r="AE1494" s="949"/>
      <c r="AF1494" s="922">
        <f>IF(X1494=X1493,AF1493,0)+IF(ISNUMBER(I1494),IF(I1494&lt;1,I1494,I1494*VLOOKUP(J1494,Summary!$H$2:$I$9,2)),VLOOKUP(J1494,Summary!$J$2:$K$9,2)*IF(ISNUMBER(H1494),H1494,1))</f>
        <v>3.4027777777777775E-2</v>
      </c>
      <c r="AG1494" s="295">
        <v>1493</v>
      </c>
      <c r="AH1494" s="94"/>
      <c r="AI1494" s="94"/>
    </row>
    <row r="1495" spans="1:35" s="43" customFormat="1" ht="12" customHeight="1" x14ac:dyDescent="0.25">
      <c r="A1495" s="490" t="s">
        <v>15659</v>
      </c>
      <c r="B1495" s="490">
        <v>4</v>
      </c>
      <c r="C1495" s="490">
        <v>6</v>
      </c>
      <c r="D1495" s="176" t="s">
        <v>12819</v>
      </c>
      <c r="E1495" s="313" t="s">
        <v>12820</v>
      </c>
      <c r="F1495" s="175">
        <v>29341</v>
      </c>
      <c r="G1495" s="175">
        <v>29348</v>
      </c>
      <c r="H1495" s="176">
        <v>2</v>
      </c>
      <c r="I1495" s="176">
        <v>5</v>
      </c>
      <c r="J1495" s="900" t="s">
        <v>2755</v>
      </c>
      <c r="K1495" s="164" t="s">
        <v>12814</v>
      </c>
      <c r="L1495" s="164" t="s">
        <v>461</v>
      </c>
      <c r="M1495" s="164"/>
      <c r="N1495" s="164" t="s">
        <v>7626</v>
      </c>
      <c r="O1495" s="164"/>
      <c r="P1495" s="173" t="s">
        <v>461</v>
      </c>
      <c r="Q1495" s="164" t="s">
        <v>4062</v>
      </c>
      <c r="R1495" s="177" t="s">
        <v>10250</v>
      </c>
      <c r="S1495" s="354"/>
      <c r="T1495" s="173" t="s">
        <v>6335</v>
      </c>
      <c r="U1495" s="173" t="s">
        <v>6035</v>
      </c>
      <c r="V1495" s="173"/>
      <c r="W1495" s="313"/>
      <c r="X1495" s="656" t="s">
        <v>587</v>
      </c>
      <c r="Y1495" s="354"/>
      <c r="Z1495" s="176"/>
      <c r="AA1495" s="176"/>
      <c r="AB1495" s="32">
        <f t="shared" ca="1" si="31"/>
        <v>0.50745079090561152</v>
      </c>
      <c r="AC1495" s="812"/>
      <c r="AD1495" s="842" t="s">
        <v>15042</v>
      </c>
      <c r="AE1495" s="807" t="s">
        <v>12543</v>
      </c>
      <c r="AF1495" s="921">
        <f>IF(X1495=X1494,AF1494,0)+IF(ISNUMBER(I1495),IF(I1495&lt;1,I1495,I1495*VLOOKUP(J1495,Summary!$H$2:$I$9,2)),VLOOKUP(J1495,Summary!$J$2:$K$9,2)*IF(ISNUMBER(H1495),H1495,1))</f>
        <v>3.7499999999999999E-2</v>
      </c>
      <c r="AG1495" s="289">
        <v>1494</v>
      </c>
      <c r="AH1495" s="94"/>
      <c r="AI1495" s="94"/>
    </row>
    <row r="1496" spans="1:35" s="43" customFormat="1" ht="12" customHeight="1" x14ac:dyDescent="0.25">
      <c r="A1496" s="490" t="s">
        <v>15659</v>
      </c>
      <c r="B1496" s="490">
        <v>4</v>
      </c>
      <c r="C1496" s="490">
        <v>7</v>
      </c>
      <c r="D1496" s="176" t="s">
        <v>12818</v>
      </c>
      <c r="E1496" s="313" t="s">
        <v>12817</v>
      </c>
      <c r="F1496" s="175">
        <v>29355</v>
      </c>
      <c r="G1496" s="174"/>
      <c r="H1496" s="176">
        <v>1</v>
      </c>
      <c r="I1496" s="176">
        <v>3</v>
      </c>
      <c r="J1496" s="900" t="s">
        <v>2755</v>
      </c>
      <c r="K1496" s="164" t="s">
        <v>12814</v>
      </c>
      <c r="L1496" s="164" t="s">
        <v>461</v>
      </c>
      <c r="M1496" s="164"/>
      <c r="N1496" s="164" t="s">
        <v>7626</v>
      </c>
      <c r="O1496" s="164"/>
      <c r="P1496" s="173" t="s">
        <v>461</v>
      </c>
      <c r="Q1496" s="164" t="s">
        <v>4062</v>
      </c>
      <c r="R1496" s="177" t="s">
        <v>10250</v>
      </c>
      <c r="S1496" s="354"/>
      <c r="T1496" s="173" t="s">
        <v>6335</v>
      </c>
      <c r="U1496" s="173" t="s">
        <v>6035</v>
      </c>
      <c r="V1496" s="173"/>
      <c r="W1496" s="313" t="s">
        <v>12817</v>
      </c>
      <c r="X1496" s="656" t="s">
        <v>587</v>
      </c>
      <c r="Y1496" s="354"/>
      <c r="Z1496" s="176"/>
      <c r="AA1496" s="176"/>
      <c r="AB1496" s="32">
        <f t="shared" ca="1" si="31"/>
        <v>3.7051671747105996E-2</v>
      </c>
      <c r="AC1496" s="812"/>
      <c r="AD1496" s="763"/>
      <c r="AE1496" s="807"/>
      <c r="AF1496" s="921">
        <f>IF(X1496=X1495,AF1495,0)+IF(ISNUMBER(I1496),IF(I1496&lt;1,I1496,I1496*VLOOKUP(J1496,Summary!$H$2:$I$9,2)),VLOOKUP(J1496,Summary!$J$2:$K$9,2)*IF(ISNUMBER(H1496),H1496,1))</f>
        <v>3.9583333333333331E-2</v>
      </c>
      <c r="AG1496" s="289">
        <v>1495</v>
      </c>
      <c r="AH1496" s="94"/>
      <c r="AI1496" s="94"/>
    </row>
    <row r="1497" spans="1:35" s="29" customFormat="1" ht="12" customHeight="1" x14ac:dyDescent="0.25">
      <c r="A1497" s="490" t="s">
        <v>15659</v>
      </c>
      <c r="B1497" s="490">
        <v>4</v>
      </c>
      <c r="C1497" s="490">
        <v>8</v>
      </c>
      <c r="D1497" s="176" t="s">
        <v>12815</v>
      </c>
      <c r="E1497" s="313" t="s">
        <v>12816</v>
      </c>
      <c r="F1497" s="175">
        <v>29362</v>
      </c>
      <c r="G1497" s="174"/>
      <c r="H1497" s="176">
        <v>1</v>
      </c>
      <c r="I1497" s="176">
        <v>3</v>
      </c>
      <c r="J1497" s="900" t="s">
        <v>2755</v>
      </c>
      <c r="K1497" s="164" t="s">
        <v>12814</v>
      </c>
      <c r="L1497" s="164" t="s">
        <v>461</v>
      </c>
      <c r="M1497" s="164"/>
      <c r="N1497" s="164" t="s">
        <v>7626</v>
      </c>
      <c r="O1497" s="164"/>
      <c r="P1497" s="173" t="s">
        <v>461</v>
      </c>
      <c r="Q1497" s="164" t="s">
        <v>4062</v>
      </c>
      <c r="R1497" s="177" t="s">
        <v>10250</v>
      </c>
      <c r="S1497" s="354"/>
      <c r="T1497" s="173" t="s">
        <v>6335</v>
      </c>
      <c r="U1497" s="173" t="s">
        <v>6035</v>
      </c>
      <c r="V1497" s="173"/>
      <c r="W1497" s="313" t="s">
        <v>12816</v>
      </c>
      <c r="X1497" s="656" t="s">
        <v>587</v>
      </c>
      <c r="Y1497" s="354"/>
      <c r="Z1497" s="176"/>
      <c r="AA1497" s="176"/>
      <c r="AB1497" s="32">
        <f t="shared" ca="1" si="31"/>
        <v>0.88975043709912716</v>
      </c>
      <c r="AC1497" s="812"/>
      <c r="AD1497" s="763"/>
      <c r="AE1497" s="807"/>
      <c r="AF1497" s="921">
        <f>IF(X1497=X1496,AF1496,0)+IF(ISNUMBER(I1497),IF(I1497&lt;1,I1497,I1497*VLOOKUP(J1497,Summary!$H$2:$I$9,2)),VLOOKUP(J1497,Summary!$J$2:$K$9,2)*IF(ISNUMBER(H1497),H1497,1))</f>
        <v>4.1666666666666664E-2</v>
      </c>
      <c r="AG1497" s="289">
        <v>1496</v>
      </c>
      <c r="AH1497" s="94"/>
      <c r="AI1497" s="94"/>
    </row>
    <row r="1498" spans="1:35" s="27" customFormat="1" ht="12" customHeight="1" x14ac:dyDescent="0.25">
      <c r="A1498" s="490" t="s">
        <v>15659</v>
      </c>
      <c r="B1498" s="490">
        <v>4</v>
      </c>
      <c r="C1498" s="490">
        <v>9</v>
      </c>
      <c r="D1498" s="176" t="s">
        <v>12812</v>
      </c>
      <c r="E1498" s="313" t="s">
        <v>12813</v>
      </c>
      <c r="F1498" s="175">
        <v>29369</v>
      </c>
      <c r="G1498" s="174"/>
      <c r="H1498" s="176">
        <v>1</v>
      </c>
      <c r="I1498" s="176">
        <v>2</v>
      </c>
      <c r="J1498" s="900" t="s">
        <v>2755</v>
      </c>
      <c r="K1498" s="164" t="s">
        <v>12814</v>
      </c>
      <c r="L1498" s="164" t="s">
        <v>461</v>
      </c>
      <c r="M1498" s="164"/>
      <c r="N1498" s="164" t="s">
        <v>7626</v>
      </c>
      <c r="O1498" s="164"/>
      <c r="P1498" s="173" t="s">
        <v>461</v>
      </c>
      <c r="Q1498" s="164" t="s">
        <v>4062</v>
      </c>
      <c r="R1498" s="177" t="s">
        <v>10250</v>
      </c>
      <c r="S1498" s="354"/>
      <c r="T1498" s="173" t="s">
        <v>6335</v>
      </c>
      <c r="U1498" s="173" t="s">
        <v>6035</v>
      </c>
      <c r="V1498" s="173"/>
      <c r="W1498" s="313" t="s">
        <v>12813</v>
      </c>
      <c r="X1498" s="656" t="s">
        <v>587</v>
      </c>
      <c r="Y1498" s="354"/>
      <c r="Z1498" s="176"/>
      <c r="AA1498" s="176"/>
      <c r="AB1498" s="32">
        <f t="shared" ca="1" si="31"/>
        <v>1.4366807964675821E-2</v>
      </c>
      <c r="AC1498" s="812"/>
      <c r="AD1498" s="763"/>
      <c r="AE1498" s="807"/>
      <c r="AF1498" s="921">
        <f>IF(X1498=X1497,AF1497,0)+IF(ISNUMBER(I1498),IF(I1498&lt;1,I1498,I1498*VLOOKUP(J1498,Summary!$H$2:$I$9,2)),VLOOKUP(J1498,Summary!$J$2:$K$9,2)*IF(ISNUMBER(H1498),H1498,1))</f>
        <v>4.3055555555555555E-2</v>
      </c>
      <c r="AG1498" s="289">
        <v>1497</v>
      </c>
      <c r="AH1498" s="94"/>
      <c r="AI1498" s="94"/>
    </row>
    <row r="1499" spans="1:35" s="1" customFormat="1" ht="12" customHeight="1" x14ac:dyDescent="0.25">
      <c r="A1499" s="488" t="s">
        <v>15659</v>
      </c>
      <c r="B1499" s="488">
        <v>4</v>
      </c>
      <c r="C1499" s="488">
        <v>6</v>
      </c>
      <c r="D1499" s="428" t="s">
        <v>6038</v>
      </c>
      <c r="E1499" s="325" t="s">
        <v>6011</v>
      </c>
      <c r="F1499" s="184">
        <v>29384</v>
      </c>
      <c r="G1499" s="184">
        <v>29405</v>
      </c>
      <c r="H1499" s="185">
        <v>4</v>
      </c>
      <c r="I1499" s="185">
        <v>17</v>
      </c>
      <c r="J1499" s="901" t="s">
        <v>1796</v>
      </c>
      <c r="K1499" s="163" t="s">
        <v>6031</v>
      </c>
      <c r="L1499" s="163" t="s">
        <v>6025</v>
      </c>
      <c r="M1499" s="163"/>
      <c r="N1499" s="163" t="s">
        <v>7626</v>
      </c>
      <c r="O1499" s="163"/>
      <c r="P1499" s="182" t="s">
        <v>461</v>
      </c>
      <c r="Q1499" s="163" t="s">
        <v>4062</v>
      </c>
      <c r="R1499" s="207" t="s">
        <v>5266</v>
      </c>
      <c r="S1499" s="355"/>
      <c r="T1499" s="182"/>
      <c r="U1499" s="182"/>
      <c r="V1499" s="182"/>
      <c r="W1499" s="321"/>
      <c r="X1499" s="653" t="s">
        <v>587</v>
      </c>
      <c r="Y1499" s="355"/>
      <c r="Z1499" s="185"/>
      <c r="AA1499" s="185"/>
      <c r="AB1499" s="33">
        <f t="shared" ca="1" si="31"/>
        <v>0.65314536105844778</v>
      </c>
      <c r="AC1499" s="813"/>
      <c r="AD1499" s="826" t="s">
        <v>15034</v>
      </c>
      <c r="AE1499" s="949"/>
      <c r="AF1499" s="922">
        <f>IF(X1499=X1498,AF1498,0)+IF(ISNUMBER(I1499),IF(I1499&lt;1,I1499,I1499*VLOOKUP(J1499,Summary!$H$2:$I$9,2)),VLOOKUP(J1499,Summary!$J$2:$K$9,2)*IF(ISNUMBER(H1499),H1499,1))</f>
        <v>4.8958333333333333E-2</v>
      </c>
      <c r="AG1499" s="295">
        <v>1498</v>
      </c>
      <c r="AH1499" s="94"/>
      <c r="AI1499" s="94"/>
    </row>
    <row r="1500" spans="1:35" s="22" customFormat="1" ht="12" customHeight="1" x14ac:dyDescent="0.2">
      <c r="A1500" s="488" t="s">
        <v>15659</v>
      </c>
      <c r="B1500" s="488">
        <v>4</v>
      </c>
      <c r="C1500" s="488">
        <v>7</v>
      </c>
      <c r="D1500" s="428" t="s">
        <v>6039</v>
      </c>
      <c r="E1500" s="325" t="s">
        <v>6012</v>
      </c>
      <c r="F1500" s="184">
        <v>29412</v>
      </c>
      <c r="G1500" s="183">
        <v>29495</v>
      </c>
      <c r="H1500" s="185">
        <v>7</v>
      </c>
      <c r="I1500" s="185">
        <v>34</v>
      </c>
      <c r="J1500" s="901" t="s">
        <v>1796</v>
      </c>
      <c r="K1500" s="163" t="s">
        <v>6031</v>
      </c>
      <c r="L1500" s="163" t="s">
        <v>6025</v>
      </c>
      <c r="M1500" s="163"/>
      <c r="N1500" s="163" t="s">
        <v>7626</v>
      </c>
      <c r="O1500" s="163"/>
      <c r="P1500" s="182" t="s">
        <v>461</v>
      </c>
      <c r="Q1500" s="163" t="s">
        <v>4062</v>
      </c>
      <c r="R1500" s="207" t="s">
        <v>5266</v>
      </c>
      <c r="S1500" s="355"/>
      <c r="T1500" s="182"/>
      <c r="U1500" s="182"/>
      <c r="V1500" s="182"/>
      <c r="W1500" s="321"/>
      <c r="X1500" s="653" t="s">
        <v>587</v>
      </c>
      <c r="Y1500" s="355"/>
      <c r="Z1500" s="185"/>
      <c r="AA1500" s="185"/>
      <c r="AB1500" s="33">
        <f t="shared" ca="1" si="31"/>
        <v>0.31748550391061481</v>
      </c>
      <c r="AC1500" s="813"/>
      <c r="AD1500" s="211" t="s">
        <v>15092</v>
      </c>
      <c r="AE1500" s="949"/>
      <c r="AF1500" s="922">
        <f>IF(X1500=X1499,AF1499,0)+IF(ISNUMBER(I1500),IF(I1500&lt;1,I1500,I1500*VLOOKUP(J1500,Summary!$H$2:$I$9,2)),VLOOKUP(J1500,Summary!$J$2:$K$9,2)*IF(ISNUMBER(H1500),H1500,1))</f>
        <v>6.0763888888888888E-2</v>
      </c>
      <c r="AG1500" s="295">
        <v>1499</v>
      </c>
      <c r="AH1500" s="94"/>
      <c r="AI1500" s="94"/>
    </row>
    <row r="1501" spans="1:35" s="29" customFormat="1" ht="12" customHeight="1" x14ac:dyDescent="0.25">
      <c r="A1501" s="488" t="s">
        <v>15659</v>
      </c>
      <c r="B1501" s="488">
        <v>4</v>
      </c>
      <c r="C1501" s="488">
        <v>8</v>
      </c>
      <c r="D1501" s="428" t="s">
        <v>6040</v>
      </c>
      <c r="E1501" s="325" t="s">
        <v>6013</v>
      </c>
      <c r="F1501" s="183">
        <v>29526</v>
      </c>
      <c r="G1501" s="184"/>
      <c r="H1501" s="185">
        <v>1</v>
      </c>
      <c r="I1501" s="185">
        <v>8</v>
      </c>
      <c r="J1501" s="901" t="s">
        <v>1796</v>
      </c>
      <c r="K1501" s="163" t="s">
        <v>6031</v>
      </c>
      <c r="L1501" s="163" t="s">
        <v>6025</v>
      </c>
      <c r="M1501" s="163"/>
      <c r="N1501" s="163" t="s">
        <v>7626</v>
      </c>
      <c r="O1501" s="163"/>
      <c r="P1501" s="182" t="s">
        <v>461</v>
      </c>
      <c r="Q1501" s="163" t="s">
        <v>4062</v>
      </c>
      <c r="R1501" s="207" t="s">
        <v>5266</v>
      </c>
      <c r="S1501" s="355"/>
      <c r="T1501" s="182"/>
      <c r="U1501" s="182"/>
      <c r="V1501" s="182"/>
      <c r="W1501" s="325" t="s">
        <v>6013</v>
      </c>
      <c r="X1501" s="657" t="s">
        <v>587</v>
      </c>
      <c r="Y1501" s="355"/>
      <c r="Z1501" s="185"/>
      <c r="AA1501" s="185"/>
      <c r="AB1501" s="33">
        <f t="shared" ca="1" si="31"/>
        <v>0.76007226174505205</v>
      </c>
      <c r="AC1501" s="813"/>
      <c r="AD1501" s="211" t="s">
        <v>15990</v>
      </c>
      <c r="AE1501" s="949" t="s">
        <v>12543</v>
      </c>
      <c r="AF1501" s="922">
        <f>IF(X1501=X1500,AF1500,0)+IF(ISNUMBER(I1501),IF(I1501&lt;1,I1501,I1501*VLOOKUP(J1501,Summary!$H$2:$I$9,2)),VLOOKUP(J1501,Summary!$J$2:$K$9,2)*IF(ISNUMBER(H1501),H1501,1))</f>
        <v>6.3541666666666663E-2</v>
      </c>
      <c r="AG1501" s="295">
        <v>1500</v>
      </c>
      <c r="AH1501" s="94"/>
      <c r="AI1501" s="94"/>
    </row>
    <row r="1502" spans="1:35" s="43" customFormat="1" ht="12" customHeight="1" x14ac:dyDescent="0.25">
      <c r="A1502" s="488" t="s">
        <v>15659</v>
      </c>
      <c r="B1502" s="488">
        <v>4</v>
      </c>
      <c r="C1502" s="488">
        <v>9</v>
      </c>
      <c r="D1502" s="428" t="s">
        <v>6041</v>
      </c>
      <c r="E1502" s="325" t="s">
        <v>6014</v>
      </c>
      <c r="F1502" s="183">
        <v>29556</v>
      </c>
      <c r="G1502" s="183">
        <v>29587</v>
      </c>
      <c r="H1502" s="185">
        <v>2</v>
      </c>
      <c r="I1502" s="185">
        <v>16</v>
      </c>
      <c r="J1502" s="901" t="s">
        <v>1796</v>
      </c>
      <c r="K1502" s="163" t="s">
        <v>6031</v>
      </c>
      <c r="L1502" s="163" t="s">
        <v>6025</v>
      </c>
      <c r="M1502" s="163"/>
      <c r="N1502" s="163" t="s">
        <v>7626</v>
      </c>
      <c r="O1502" s="163"/>
      <c r="P1502" s="182" t="s">
        <v>461</v>
      </c>
      <c r="Q1502" s="163" t="s">
        <v>4062</v>
      </c>
      <c r="R1502" s="207" t="s">
        <v>5266</v>
      </c>
      <c r="S1502" s="355"/>
      <c r="T1502" s="182"/>
      <c r="U1502" s="182"/>
      <c r="V1502" s="182"/>
      <c r="W1502" s="321"/>
      <c r="X1502" s="653" t="s">
        <v>587</v>
      </c>
      <c r="Y1502" s="355"/>
      <c r="Z1502" s="185"/>
      <c r="AA1502" s="185"/>
      <c r="AB1502" s="33">
        <f t="shared" ca="1" si="31"/>
        <v>0.94224215225367747</v>
      </c>
      <c r="AC1502" s="813"/>
      <c r="AD1502" s="211" t="s">
        <v>16243</v>
      </c>
      <c r="AE1502" s="949" t="s">
        <v>12543</v>
      </c>
      <c r="AF1502" s="922">
        <f>IF(X1502=X1501,AF1501,0)+IF(ISNUMBER(I1502),IF(I1502&lt;1,I1502,I1502*VLOOKUP(J1502,Summary!$H$2:$I$9,2)),VLOOKUP(J1502,Summary!$J$2:$K$9,2)*IF(ISNUMBER(H1502),H1502,1))</f>
        <v>6.9097222222222213E-2</v>
      </c>
      <c r="AG1502" s="295">
        <v>1501</v>
      </c>
      <c r="AH1502" s="94"/>
      <c r="AI1502" s="94"/>
    </row>
    <row r="1503" spans="1:35" s="43" customFormat="1" ht="12" customHeight="1" x14ac:dyDescent="0.25">
      <c r="A1503" s="488" t="s">
        <v>15659</v>
      </c>
      <c r="B1503" s="488">
        <v>4</v>
      </c>
      <c r="C1503" s="488">
        <v>17</v>
      </c>
      <c r="D1503" s="185" t="s">
        <v>9968</v>
      </c>
      <c r="E1503" s="314" t="s">
        <v>9949</v>
      </c>
      <c r="F1503" s="183">
        <v>29587</v>
      </c>
      <c r="G1503" s="184"/>
      <c r="H1503" s="185">
        <v>1</v>
      </c>
      <c r="I1503" s="185">
        <v>4</v>
      </c>
      <c r="J1503" s="901" t="s">
        <v>1796</v>
      </c>
      <c r="K1503" s="163" t="s">
        <v>7626</v>
      </c>
      <c r="L1503" s="163" t="s">
        <v>9937</v>
      </c>
      <c r="M1503" s="163"/>
      <c r="N1503" s="163" t="s">
        <v>6026</v>
      </c>
      <c r="O1503" s="163"/>
      <c r="P1503" s="182" t="s">
        <v>461</v>
      </c>
      <c r="Q1503" s="163" t="s">
        <v>4062</v>
      </c>
      <c r="R1503" s="186" t="s">
        <v>9922</v>
      </c>
      <c r="S1503" s="355"/>
      <c r="T1503" s="182"/>
      <c r="U1503" s="182"/>
      <c r="V1503" s="182"/>
      <c r="W1503" s="314" t="s">
        <v>9949</v>
      </c>
      <c r="X1503" s="653" t="s">
        <v>587</v>
      </c>
      <c r="Y1503" s="355"/>
      <c r="Z1503" s="158"/>
      <c r="AA1503" s="185"/>
      <c r="AB1503" s="33">
        <f t="shared" ca="1" si="31"/>
        <v>0.88968157996105035</v>
      </c>
      <c r="AC1503" s="813"/>
      <c r="AD1503" s="211"/>
      <c r="AE1503" s="941"/>
      <c r="AF1503" s="922">
        <f>IF(X1503=X1502,AF1502,0)+IF(ISNUMBER(I1503),IF(I1503&lt;1,I1503,I1503*VLOOKUP(J1503,Summary!$H$2:$I$9,2)),VLOOKUP(J1503,Summary!$J$2:$K$9,2)*IF(ISNUMBER(H1503),H1503,1))</f>
        <v>7.0486111111111097E-2</v>
      </c>
      <c r="AG1503" s="290">
        <v>1502</v>
      </c>
      <c r="AH1503" s="94"/>
      <c r="AI1503" s="94"/>
    </row>
    <row r="1504" spans="1:35" s="43" customFormat="1" ht="12" customHeight="1" x14ac:dyDescent="0.25">
      <c r="A1504" s="488" t="s">
        <v>15659</v>
      </c>
      <c r="B1504" s="488">
        <v>4</v>
      </c>
      <c r="C1504" s="488">
        <v>10</v>
      </c>
      <c r="D1504" s="428" t="s">
        <v>6044</v>
      </c>
      <c r="E1504" s="325" t="s">
        <v>6016</v>
      </c>
      <c r="F1504" s="183">
        <v>29618</v>
      </c>
      <c r="G1504" s="183">
        <v>29646</v>
      </c>
      <c r="H1504" s="185">
        <v>2</v>
      </c>
      <c r="I1504" s="185">
        <v>16</v>
      </c>
      <c r="J1504" s="901" t="s">
        <v>1796</v>
      </c>
      <c r="K1504" s="163" t="s">
        <v>6031</v>
      </c>
      <c r="L1504" s="163" t="s">
        <v>6025</v>
      </c>
      <c r="M1504" s="163"/>
      <c r="N1504" s="163" t="s">
        <v>4061</v>
      </c>
      <c r="O1504" s="163"/>
      <c r="P1504" s="182" t="s">
        <v>461</v>
      </c>
      <c r="Q1504" s="163" t="s">
        <v>4062</v>
      </c>
      <c r="R1504" s="207" t="s">
        <v>5266</v>
      </c>
      <c r="S1504" s="355"/>
      <c r="T1504" s="182" t="s">
        <v>6335</v>
      </c>
      <c r="U1504" s="182"/>
      <c r="V1504" s="182"/>
      <c r="W1504" s="321"/>
      <c r="X1504" s="653" t="s">
        <v>587</v>
      </c>
      <c r="Y1504" s="355"/>
      <c r="Z1504" s="185"/>
      <c r="AA1504" s="185"/>
      <c r="AB1504" s="33">
        <f t="shared" ca="1" si="31"/>
        <v>0.25492140996107815</v>
      </c>
      <c r="AC1504" s="813"/>
      <c r="AD1504" s="211" t="s">
        <v>15033</v>
      </c>
      <c r="AE1504" s="949"/>
      <c r="AF1504" s="922">
        <f>IF(X1504=X1503,AF1503,0)+IF(ISNUMBER(I1504),IF(I1504&lt;1,I1504,I1504*VLOOKUP(J1504,Summary!$H$2:$I$9,2)),VLOOKUP(J1504,Summary!$J$2:$K$9,2)*IF(ISNUMBER(H1504),H1504,1))</f>
        <v>7.6041666666666646E-2</v>
      </c>
      <c r="AG1504" s="295">
        <v>1503</v>
      </c>
      <c r="AH1504" s="94"/>
      <c r="AI1504" s="94"/>
    </row>
    <row r="1505" spans="1:35" s="1" customFormat="1" ht="12" customHeight="1" x14ac:dyDescent="0.25">
      <c r="A1505" s="488" t="s">
        <v>15659</v>
      </c>
      <c r="B1505" s="488">
        <v>4</v>
      </c>
      <c r="C1505" s="488">
        <v>11</v>
      </c>
      <c r="D1505" s="428" t="s">
        <v>6045</v>
      </c>
      <c r="E1505" s="325" t="s">
        <v>6017</v>
      </c>
      <c r="F1505" s="183">
        <v>29677</v>
      </c>
      <c r="G1505" s="183"/>
      <c r="H1505" s="185">
        <v>1</v>
      </c>
      <c r="I1505" s="185">
        <v>9</v>
      </c>
      <c r="J1505" s="901" t="s">
        <v>1796</v>
      </c>
      <c r="K1505" s="163" t="s">
        <v>6031</v>
      </c>
      <c r="L1505" s="163" t="s">
        <v>6025</v>
      </c>
      <c r="M1505" s="163"/>
      <c r="N1505" s="163" t="s">
        <v>4061</v>
      </c>
      <c r="O1505" s="163"/>
      <c r="P1505" s="182" t="s">
        <v>461</v>
      </c>
      <c r="Q1505" s="163" t="s">
        <v>4062</v>
      </c>
      <c r="R1505" s="207" t="s">
        <v>5266</v>
      </c>
      <c r="S1505" s="355"/>
      <c r="T1505" s="182"/>
      <c r="U1505" s="182"/>
      <c r="V1505" s="182"/>
      <c r="W1505" s="325" t="s">
        <v>6017</v>
      </c>
      <c r="X1505" s="657" t="s">
        <v>587</v>
      </c>
      <c r="Y1505" s="355"/>
      <c r="Z1505" s="185"/>
      <c r="AA1505" s="185"/>
      <c r="AB1505" s="33">
        <f t="shared" ca="1" si="31"/>
        <v>0.68770252256264919</v>
      </c>
      <c r="AC1505" s="813"/>
      <c r="AD1505" s="211"/>
      <c r="AE1505" s="949"/>
      <c r="AF1505" s="922">
        <f>IF(X1505=X1504,AF1504,0)+IF(ISNUMBER(I1505),IF(I1505&lt;1,I1505,I1505*VLOOKUP(J1505,Summary!$H$2:$I$9,2)),VLOOKUP(J1505,Summary!$J$2:$K$9,2)*IF(ISNUMBER(H1505),H1505,1))</f>
        <v>7.9166666666666649E-2</v>
      </c>
      <c r="AG1505" s="295">
        <v>1504</v>
      </c>
      <c r="AH1505" s="94"/>
      <c r="AI1505" s="94"/>
    </row>
    <row r="1506" spans="1:35" s="29" customFormat="1" ht="12" customHeight="1" x14ac:dyDescent="0.25">
      <c r="A1506" s="494" t="s">
        <v>15659</v>
      </c>
      <c r="B1506" s="494">
        <v>4</v>
      </c>
      <c r="C1506" s="495">
        <v>0.2</v>
      </c>
      <c r="D1506" s="192" t="s">
        <v>9288</v>
      </c>
      <c r="E1506" s="317" t="s">
        <v>10254</v>
      </c>
      <c r="F1506" s="209">
        <v>41992</v>
      </c>
      <c r="G1506" s="191"/>
      <c r="H1506" s="192" t="s">
        <v>461</v>
      </c>
      <c r="I1506" s="753">
        <f>TIME(0,19,36)</f>
        <v>1.3611111111111114E-2</v>
      </c>
      <c r="J1506" s="903" t="s">
        <v>2755</v>
      </c>
      <c r="K1506" s="194" t="s">
        <v>5666</v>
      </c>
      <c r="L1506" s="194" t="s">
        <v>3365</v>
      </c>
      <c r="M1506" s="194" t="s">
        <v>9287</v>
      </c>
      <c r="N1506" s="194"/>
      <c r="O1506" s="194"/>
      <c r="P1506" s="190" t="s">
        <v>461</v>
      </c>
      <c r="Q1506" s="194" t="s">
        <v>3947</v>
      </c>
      <c r="R1506" s="193" t="s">
        <v>2722</v>
      </c>
      <c r="S1506" s="357"/>
      <c r="T1506" s="190"/>
      <c r="U1506" s="190"/>
      <c r="V1506" s="190"/>
      <c r="W1506" s="317" t="s">
        <v>10254</v>
      </c>
      <c r="X1506" s="649" t="s">
        <v>587</v>
      </c>
      <c r="Y1506" s="357" t="s">
        <v>5643</v>
      </c>
      <c r="Z1506" s="192">
        <v>999</v>
      </c>
      <c r="AA1506" s="192"/>
      <c r="AB1506" s="37">
        <f t="shared" ca="1" si="31"/>
        <v>0.33940644381447693</v>
      </c>
      <c r="AC1506" s="816"/>
      <c r="AD1506" s="817"/>
      <c r="AE1506" s="943"/>
      <c r="AF1506" s="924">
        <f>IF(X1506=X1505,AF1505,0)+IF(ISNUMBER(I1506),IF(I1506&lt;1,I1506,I1506*VLOOKUP(J1506,Summary!$H$2:$I$9,2)),VLOOKUP(J1506,Summary!$J$2:$K$9,2)*IF(ISNUMBER(H1506),H1506,1))</f>
        <v>9.2777777777777765E-2</v>
      </c>
      <c r="AG1506" s="292">
        <v>1505</v>
      </c>
      <c r="AH1506" s="94"/>
      <c r="AI1506" s="94"/>
    </row>
    <row r="1507" spans="1:35" s="22" customFormat="1" ht="12" customHeight="1" x14ac:dyDescent="0.2">
      <c r="A1507" s="484" t="s">
        <v>15659</v>
      </c>
      <c r="B1507" s="484">
        <v>4</v>
      </c>
      <c r="C1507" s="503">
        <v>1</v>
      </c>
      <c r="D1507" s="407" t="s">
        <v>15363</v>
      </c>
      <c r="E1507" s="315" t="s">
        <v>12700</v>
      </c>
      <c r="F1507" s="196">
        <v>43160</v>
      </c>
      <c r="G1507" s="170"/>
      <c r="H1507" s="170">
        <v>1</v>
      </c>
      <c r="I1507" s="746">
        <f>TIME(0,70,0)</f>
        <v>4.8611111111111112E-2</v>
      </c>
      <c r="J1507" s="899" t="s">
        <v>4706</v>
      </c>
      <c r="K1507" s="167" t="s">
        <v>5658</v>
      </c>
      <c r="L1507" s="167"/>
      <c r="M1507" s="167" t="s">
        <v>12701</v>
      </c>
      <c r="N1507" s="167"/>
      <c r="O1507" s="167"/>
      <c r="P1507" s="168" t="s">
        <v>12702</v>
      </c>
      <c r="Q1507" s="167" t="s">
        <v>3115</v>
      </c>
      <c r="R1507" s="172" t="s">
        <v>12703</v>
      </c>
      <c r="S1507" s="388" t="s">
        <v>12704</v>
      </c>
      <c r="T1507" s="351"/>
      <c r="U1507" s="168"/>
      <c r="V1507" s="168"/>
      <c r="W1507" s="312" t="s">
        <v>12700</v>
      </c>
      <c r="X1507" s="644" t="s">
        <v>587</v>
      </c>
      <c r="Y1507" s="352"/>
      <c r="Z1507" s="353"/>
      <c r="AA1507" s="353"/>
      <c r="AB1507" s="31">
        <f t="shared" ca="1" si="31"/>
        <v>8.7761512236891104E-2</v>
      </c>
      <c r="AC1507" s="810"/>
      <c r="AD1507" s="811"/>
      <c r="AE1507" s="940"/>
      <c r="AF1507" s="920">
        <f>IF(X1507=X1506,AF1506,0)+IF(ISNUMBER(I1507),IF(I1507&lt;1,I1507,I1507*VLOOKUP(J1507,Summary!$H$2:$I$9,2)),VLOOKUP(J1507,Summary!$J$2:$K$9,2)*IF(ISNUMBER(H1507),H1507,1))</f>
        <v>0.14138888888888887</v>
      </c>
      <c r="AG1507" s="287">
        <v>1506</v>
      </c>
      <c r="AH1507" s="94"/>
      <c r="AI1507" s="94"/>
    </row>
    <row r="1508" spans="1:35" s="7" customFormat="1" ht="12" customHeight="1" x14ac:dyDescent="0.25">
      <c r="A1508" s="488" t="s">
        <v>15659</v>
      </c>
      <c r="B1508" s="488">
        <v>4</v>
      </c>
      <c r="C1508" s="488"/>
      <c r="D1508" s="428" t="s">
        <v>6042</v>
      </c>
      <c r="E1508" s="325" t="s">
        <v>6015</v>
      </c>
      <c r="F1508" s="183">
        <v>34943</v>
      </c>
      <c r="G1508" s="183"/>
      <c r="H1508" s="185">
        <v>1</v>
      </c>
      <c r="I1508" s="185">
        <v>8</v>
      </c>
      <c r="J1508" s="901" t="s">
        <v>1796</v>
      </c>
      <c r="K1508" s="163" t="s">
        <v>2750</v>
      </c>
      <c r="L1508" s="163" t="s">
        <v>3835</v>
      </c>
      <c r="M1508" s="163" t="s">
        <v>6043</v>
      </c>
      <c r="N1508" s="163" t="s">
        <v>5251</v>
      </c>
      <c r="O1508" s="163"/>
      <c r="P1508" s="182" t="s">
        <v>7627</v>
      </c>
      <c r="Q1508" s="163" t="s">
        <v>4062</v>
      </c>
      <c r="R1508" s="186" t="s">
        <v>8669</v>
      </c>
      <c r="S1508" s="355"/>
      <c r="T1508" s="182"/>
      <c r="U1508" s="182"/>
      <c r="V1508" s="182"/>
      <c r="W1508" s="325" t="s">
        <v>6015</v>
      </c>
      <c r="X1508" s="657" t="s">
        <v>587</v>
      </c>
      <c r="Y1508" s="355" t="s">
        <v>6868</v>
      </c>
      <c r="Z1508" s="185">
        <v>999</v>
      </c>
      <c r="AA1508" s="185"/>
      <c r="AB1508" s="33">
        <f t="shared" ca="1" si="31"/>
        <v>4.1972220632141566E-2</v>
      </c>
      <c r="AC1508" s="813"/>
      <c r="AD1508" s="211" t="s">
        <v>15088</v>
      </c>
      <c r="AE1508" s="875"/>
      <c r="AF1508" s="922">
        <f>IF(X1508=X1507,AF1507,0)+IF(ISNUMBER(I1508),IF(I1508&lt;1,I1508,I1508*VLOOKUP(J1508,Summary!$H$2:$I$9,2)),VLOOKUP(J1508,Summary!$J$2:$K$9,2)*IF(ISNUMBER(H1508),H1508,1))</f>
        <v>0.14416666666666664</v>
      </c>
      <c r="AG1508" s="290">
        <v>1507</v>
      </c>
      <c r="AH1508" s="94"/>
      <c r="AI1508" s="94"/>
    </row>
    <row r="1509" spans="1:35" s="7" customFormat="1" ht="12" customHeight="1" x14ac:dyDescent="0.25">
      <c r="A1509" s="490" t="s">
        <v>15659</v>
      </c>
      <c r="B1509" s="490">
        <v>4</v>
      </c>
      <c r="C1509" s="490">
        <v>20.03</v>
      </c>
      <c r="D1509" s="434" t="s">
        <v>6834</v>
      </c>
      <c r="E1509" s="324" t="s">
        <v>3448</v>
      </c>
      <c r="F1509" s="174">
        <v>38961</v>
      </c>
      <c r="G1509" s="174"/>
      <c r="H1509" s="176">
        <v>1</v>
      </c>
      <c r="I1509" s="176">
        <v>16</v>
      </c>
      <c r="J1509" s="900" t="s">
        <v>2755</v>
      </c>
      <c r="K1509" s="164" t="s">
        <v>6833</v>
      </c>
      <c r="L1509" s="164" t="s">
        <v>461</v>
      </c>
      <c r="M1509" s="164"/>
      <c r="N1509" s="164" t="s">
        <v>7381</v>
      </c>
      <c r="O1509" s="164"/>
      <c r="P1509" s="173" t="s">
        <v>705</v>
      </c>
      <c r="Q1509" s="164" t="s">
        <v>3947</v>
      </c>
      <c r="R1509" s="179" t="s">
        <v>2723</v>
      </c>
      <c r="S1509" s="354"/>
      <c r="T1509" s="173"/>
      <c r="U1509" s="173"/>
      <c r="V1509" s="173"/>
      <c r="W1509" s="324" t="s">
        <v>3448</v>
      </c>
      <c r="X1509" s="656" t="s">
        <v>587</v>
      </c>
      <c r="Y1509" s="354"/>
      <c r="Z1509" s="176"/>
      <c r="AA1509" s="176"/>
      <c r="AB1509" s="32">
        <f t="shared" ca="1" si="31"/>
        <v>0.12556456569071206</v>
      </c>
      <c r="AC1509" s="812"/>
      <c r="AD1509" s="763"/>
      <c r="AE1509" s="951"/>
      <c r="AF1509" s="921">
        <f>IF(X1509=X1508,AF1508,0)+IF(ISNUMBER(I1509),IF(I1509&lt;1,I1509,I1509*VLOOKUP(J1509,Summary!$H$2:$I$9,2)),VLOOKUP(J1509,Summary!$J$2:$K$9,2)*IF(ISNUMBER(H1509),H1509,1))</f>
        <v>0.15527777777777774</v>
      </c>
      <c r="AG1509" s="288">
        <v>1508</v>
      </c>
      <c r="AH1509" s="94"/>
      <c r="AI1509" s="94"/>
    </row>
    <row r="1510" spans="1:35" s="7" customFormat="1" ht="12" customHeight="1" x14ac:dyDescent="0.25">
      <c r="A1510" s="490" t="s">
        <v>15659</v>
      </c>
      <c r="B1510" s="490">
        <v>4</v>
      </c>
      <c r="C1510" s="490">
        <v>24.08</v>
      </c>
      <c r="D1510" s="434" t="s">
        <v>6836</v>
      </c>
      <c r="E1510" s="324" t="s">
        <v>3449</v>
      </c>
      <c r="F1510" s="174">
        <v>39264</v>
      </c>
      <c r="G1510" s="174"/>
      <c r="H1510" s="176">
        <v>1</v>
      </c>
      <c r="I1510" s="176">
        <v>7</v>
      </c>
      <c r="J1510" s="900" t="s">
        <v>2755</v>
      </c>
      <c r="K1510" s="164" t="s">
        <v>6835</v>
      </c>
      <c r="L1510" s="164" t="s">
        <v>461</v>
      </c>
      <c r="M1510" s="164"/>
      <c r="N1510" s="164" t="s">
        <v>4425</v>
      </c>
      <c r="O1510" s="164"/>
      <c r="P1510" s="173" t="s">
        <v>5601</v>
      </c>
      <c r="Q1510" s="164" t="s">
        <v>3947</v>
      </c>
      <c r="R1510" s="179" t="s">
        <v>2723</v>
      </c>
      <c r="S1510" s="354"/>
      <c r="T1510" s="173"/>
      <c r="U1510" s="173"/>
      <c r="V1510" s="173"/>
      <c r="W1510" s="324" t="s">
        <v>3449</v>
      </c>
      <c r="X1510" s="656" t="s">
        <v>587</v>
      </c>
      <c r="Y1510" s="354"/>
      <c r="Z1510" s="176"/>
      <c r="AA1510" s="176"/>
      <c r="AB1510" s="32">
        <f t="shared" ca="1" si="31"/>
        <v>0.63985796008863716</v>
      </c>
      <c r="AC1510" s="812"/>
      <c r="AD1510" s="763"/>
      <c r="AE1510" s="951"/>
      <c r="AF1510" s="921">
        <f>IF(X1510=X1509,AF1509,0)+IF(ISNUMBER(I1510),IF(I1510&lt;1,I1510,I1510*VLOOKUP(J1510,Summary!$H$2:$I$9,2)),VLOOKUP(J1510,Summary!$J$2:$K$9,2)*IF(ISNUMBER(H1510),H1510,1))</f>
        <v>0.16013888888888886</v>
      </c>
      <c r="AG1510" s="288">
        <v>1509</v>
      </c>
      <c r="AH1510" s="94"/>
      <c r="AI1510" s="94"/>
    </row>
    <row r="1511" spans="1:35" s="1" customFormat="1" ht="12" customHeight="1" x14ac:dyDescent="0.25">
      <c r="A1511" s="488" t="s">
        <v>15659</v>
      </c>
      <c r="B1511" s="488">
        <v>4</v>
      </c>
      <c r="C1511" s="488">
        <v>12</v>
      </c>
      <c r="D1511" s="428" t="s">
        <v>6046</v>
      </c>
      <c r="E1511" s="325" t="s">
        <v>6018</v>
      </c>
      <c r="F1511" s="183">
        <v>29707</v>
      </c>
      <c r="G1511" s="183"/>
      <c r="H1511" s="185">
        <v>1</v>
      </c>
      <c r="I1511" s="185">
        <v>8</v>
      </c>
      <c r="J1511" s="901" t="s">
        <v>1796</v>
      </c>
      <c r="K1511" s="163" t="s">
        <v>6031</v>
      </c>
      <c r="L1511" s="163" t="s">
        <v>6025</v>
      </c>
      <c r="M1511" s="163"/>
      <c r="N1511" s="163" t="s">
        <v>4061</v>
      </c>
      <c r="O1511" s="163"/>
      <c r="P1511" s="182" t="s">
        <v>461</v>
      </c>
      <c r="Q1511" s="163" t="s">
        <v>4062</v>
      </c>
      <c r="R1511" s="207" t="s">
        <v>5266</v>
      </c>
      <c r="S1511" s="355"/>
      <c r="T1511" s="182"/>
      <c r="U1511" s="182"/>
      <c r="V1511" s="182"/>
      <c r="W1511" s="325" t="s">
        <v>6018</v>
      </c>
      <c r="X1511" s="657" t="s">
        <v>587</v>
      </c>
      <c r="Y1511" s="355"/>
      <c r="Z1511" s="185"/>
      <c r="AA1511" s="185"/>
      <c r="AB1511" s="33">
        <f t="shared" ca="1" si="31"/>
        <v>0.38512426881472983</v>
      </c>
      <c r="AC1511" s="813"/>
      <c r="AD1511" s="211" t="s">
        <v>16156</v>
      </c>
      <c r="AE1511" s="949" t="s">
        <v>3365</v>
      </c>
      <c r="AF1511" s="922">
        <f>IF(X1511=X1510,AF1510,0)+IF(ISNUMBER(I1511),IF(I1511&lt;1,I1511,I1511*VLOOKUP(J1511,Summary!$H$2:$I$9,2)),VLOOKUP(J1511,Summary!$J$2:$K$9,2)*IF(ISNUMBER(H1511),H1511,1))</f>
        <v>0.16291666666666663</v>
      </c>
      <c r="AG1511" s="295">
        <v>1510</v>
      </c>
      <c r="AH1511" s="94"/>
      <c r="AI1511" s="94"/>
    </row>
    <row r="1512" spans="1:35" s="3" customFormat="1" ht="12" customHeight="1" x14ac:dyDescent="0.25">
      <c r="A1512" s="488" t="s">
        <v>15659</v>
      </c>
      <c r="B1512" s="488">
        <v>4</v>
      </c>
      <c r="C1512" s="488">
        <v>13</v>
      </c>
      <c r="D1512" s="428" t="s">
        <v>6047</v>
      </c>
      <c r="E1512" s="325" t="s">
        <v>6019</v>
      </c>
      <c r="F1512" s="183">
        <v>29738</v>
      </c>
      <c r="G1512" s="183"/>
      <c r="H1512" s="185">
        <v>1</v>
      </c>
      <c r="I1512" s="185">
        <v>8</v>
      </c>
      <c r="J1512" s="901" t="s">
        <v>1796</v>
      </c>
      <c r="K1512" s="163" t="s">
        <v>6052</v>
      </c>
      <c r="L1512" s="163" t="s">
        <v>6025</v>
      </c>
      <c r="M1512" s="163"/>
      <c r="N1512" s="163" t="s">
        <v>4061</v>
      </c>
      <c r="O1512" s="163"/>
      <c r="P1512" s="182" t="s">
        <v>461</v>
      </c>
      <c r="Q1512" s="163" t="s">
        <v>4062</v>
      </c>
      <c r="R1512" s="207" t="s">
        <v>5266</v>
      </c>
      <c r="S1512" s="355"/>
      <c r="T1512" s="182"/>
      <c r="U1512" s="182"/>
      <c r="V1512" s="182"/>
      <c r="W1512" s="325" t="s">
        <v>6019</v>
      </c>
      <c r="X1512" s="657" t="s">
        <v>587</v>
      </c>
      <c r="Y1512" s="355"/>
      <c r="Z1512" s="185"/>
      <c r="AA1512" s="185"/>
      <c r="AB1512" s="33">
        <f t="shared" ca="1" si="31"/>
        <v>0.90391064006786981</v>
      </c>
      <c r="AC1512" s="813"/>
      <c r="AD1512" s="211"/>
      <c r="AE1512" s="949" t="s">
        <v>15093</v>
      </c>
      <c r="AF1512" s="922">
        <f>IF(X1512=X1511,AF1511,0)+IF(ISNUMBER(I1512),IF(I1512&lt;1,I1512,I1512*VLOOKUP(J1512,Summary!$H$2:$I$9,2)),VLOOKUP(J1512,Summary!$J$2:$K$9,2)*IF(ISNUMBER(H1512),H1512,1))</f>
        <v>0.16569444444444439</v>
      </c>
      <c r="AG1512" s="295">
        <v>1511</v>
      </c>
      <c r="AH1512" s="94"/>
      <c r="AI1512" s="94"/>
    </row>
    <row r="1513" spans="1:35" s="43" customFormat="1" ht="12" customHeight="1" x14ac:dyDescent="0.25">
      <c r="A1513" s="488" t="s">
        <v>15659</v>
      </c>
      <c r="B1513" s="488">
        <v>4</v>
      </c>
      <c r="C1513" s="488">
        <v>14</v>
      </c>
      <c r="D1513" s="428" t="s">
        <v>6048</v>
      </c>
      <c r="E1513" s="325" t="s">
        <v>6020</v>
      </c>
      <c r="F1513" s="183">
        <v>29768</v>
      </c>
      <c r="G1513" s="183">
        <v>29799</v>
      </c>
      <c r="H1513" s="185">
        <v>2</v>
      </c>
      <c r="I1513" s="185">
        <v>16</v>
      </c>
      <c r="J1513" s="901" t="s">
        <v>1796</v>
      </c>
      <c r="K1513" s="163" t="s">
        <v>6052</v>
      </c>
      <c r="L1513" s="163" t="s">
        <v>6025</v>
      </c>
      <c r="M1513" s="163"/>
      <c r="N1513" s="163" t="s">
        <v>4061</v>
      </c>
      <c r="O1513" s="163"/>
      <c r="P1513" s="182" t="s">
        <v>461</v>
      </c>
      <c r="Q1513" s="163" t="s">
        <v>4062</v>
      </c>
      <c r="R1513" s="207" t="s">
        <v>5266</v>
      </c>
      <c r="S1513" s="355"/>
      <c r="T1513" s="182"/>
      <c r="U1513" s="182"/>
      <c r="V1513" s="182"/>
      <c r="W1513" s="321"/>
      <c r="X1513" s="653" t="s">
        <v>587</v>
      </c>
      <c r="Y1513" s="355"/>
      <c r="Z1513" s="185"/>
      <c r="AA1513" s="185"/>
      <c r="AB1513" s="33">
        <f t="shared" ca="1" si="31"/>
        <v>0.7639480296903548</v>
      </c>
      <c r="AC1513" s="813"/>
      <c r="AD1513" s="211"/>
      <c r="AE1513" s="949"/>
      <c r="AF1513" s="922">
        <f>IF(X1513=X1512,AF1512,0)+IF(ISNUMBER(I1513),IF(I1513&lt;1,I1513,I1513*VLOOKUP(J1513,Summary!$H$2:$I$9,2)),VLOOKUP(J1513,Summary!$J$2:$K$9,2)*IF(ISNUMBER(H1513),H1513,1))</f>
        <v>0.17124999999999996</v>
      </c>
      <c r="AG1513" s="295">
        <v>1512</v>
      </c>
      <c r="AH1513" s="94"/>
      <c r="AI1513" s="94"/>
    </row>
    <row r="1514" spans="1:35" s="3" customFormat="1" ht="12" customHeight="1" x14ac:dyDescent="0.25">
      <c r="A1514" s="488" t="s">
        <v>15659</v>
      </c>
      <c r="B1514" s="488">
        <v>4</v>
      </c>
      <c r="C1514" s="488">
        <v>15</v>
      </c>
      <c r="D1514" s="428" t="s">
        <v>6049</v>
      </c>
      <c r="E1514" s="325" t="s">
        <v>6021</v>
      </c>
      <c r="F1514" s="183">
        <v>29830</v>
      </c>
      <c r="G1514" s="183">
        <v>29860</v>
      </c>
      <c r="H1514" s="185">
        <v>2</v>
      </c>
      <c r="I1514" s="185">
        <v>16</v>
      </c>
      <c r="J1514" s="901" t="s">
        <v>1796</v>
      </c>
      <c r="K1514" s="163" t="s">
        <v>6052</v>
      </c>
      <c r="L1514" s="163" t="s">
        <v>6025</v>
      </c>
      <c r="M1514" s="163"/>
      <c r="N1514" s="163" t="s">
        <v>4061</v>
      </c>
      <c r="O1514" s="163"/>
      <c r="P1514" s="182" t="s">
        <v>461</v>
      </c>
      <c r="Q1514" s="163" t="s">
        <v>4062</v>
      </c>
      <c r="R1514" s="207" t="s">
        <v>5266</v>
      </c>
      <c r="S1514" s="355"/>
      <c r="T1514" s="182"/>
      <c r="U1514" s="182"/>
      <c r="V1514" s="182"/>
      <c r="W1514" s="321"/>
      <c r="X1514" s="653" t="s">
        <v>587</v>
      </c>
      <c r="Y1514" s="355"/>
      <c r="Z1514" s="185"/>
      <c r="AA1514" s="185"/>
      <c r="AB1514" s="33">
        <f t="shared" ca="1" si="31"/>
        <v>0.46130879145457171</v>
      </c>
      <c r="AC1514" s="813"/>
      <c r="AD1514" s="211" t="s">
        <v>16466</v>
      </c>
      <c r="AE1514" s="949" t="s">
        <v>12543</v>
      </c>
      <c r="AF1514" s="922">
        <f>IF(X1514=X1513,AF1513,0)+IF(ISNUMBER(I1514),IF(I1514&lt;1,I1514,I1514*VLOOKUP(J1514,Summary!$H$2:$I$9,2)),VLOOKUP(J1514,Summary!$J$2:$K$9,2)*IF(ISNUMBER(H1514),H1514,1))</f>
        <v>0.17680555555555552</v>
      </c>
      <c r="AG1514" s="295">
        <v>1513</v>
      </c>
      <c r="AH1514" s="94"/>
      <c r="AI1514" s="94"/>
    </row>
    <row r="1515" spans="1:35" s="22" customFormat="1" ht="12" customHeight="1" x14ac:dyDescent="0.2">
      <c r="A1515" s="411" t="s">
        <v>15659</v>
      </c>
      <c r="B1515" s="411" t="s">
        <v>2650</v>
      </c>
      <c r="C1515" s="411">
        <v>28</v>
      </c>
      <c r="D1515" s="185" t="s">
        <v>9976</v>
      </c>
      <c r="E1515" s="314" t="s">
        <v>9959</v>
      </c>
      <c r="F1515" s="208">
        <v>30133</v>
      </c>
      <c r="G1515" s="184"/>
      <c r="H1515" s="185">
        <v>1</v>
      </c>
      <c r="I1515" s="185">
        <v>4</v>
      </c>
      <c r="J1515" s="901" t="s">
        <v>1796</v>
      </c>
      <c r="K1515" s="163" t="s">
        <v>6052</v>
      </c>
      <c r="L1515" s="163" t="s">
        <v>9987</v>
      </c>
      <c r="M1515" s="163"/>
      <c r="N1515" s="163" t="s">
        <v>4061</v>
      </c>
      <c r="O1515" s="163"/>
      <c r="P1515" s="182" t="s">
        <v>461</v>
      </c>
      <c r="Q1515" s="163" t="s">
        <v>4062</v>
      </c>
      <c r="R1515" s="186" t="s">
        <v>9922</v>
      </c>
      <c r="S1515" s="355"/>
      <c r="T1515" s="182"/>
      <c r="U1515" s="182"/>
      <c r="V1515" s="182"/>
      <c r="W1515" s="314" t="s">
        <v>9959</v>
      </c>
      <c r="X1515" s="646" t="s">
        <v>587</v>
      </c>
      <c r="Y1515" s="355"/>
      <c r="Z1515" s="158"/>
      <c r="AA1515" s="185"/>
      <c r="AB1515" s="33">
        <f t="shared" ca="1" si="31"/>
        <v>0.85191368283971425</v>
      </c>
      <c r="AC1515" s="813"/>
      <c r="AD1515" s="211"/>
      <c r="AE1515" s="941"/>
      <c r="AF1515" s="922">
        <f>IF(X1515=X1514,AF1514,0)+IF(ISNUMBER(I1515),IF(I1515&lt;1,I1515,I1515*VLOOKUP(J1515,Summary!$H$2:$I$9,2)),VLOOKUP(J1515,Summary!$J$2:$K$9,2)*IF(ISNUMBER(H1515),H1515,1))</f>
        <v>0.17819444444444441</v>
      </c>
      <c r="AG1515" s="290">
        <v>1514</v>
      </c>
      <c r="AH1515" s="94"/>
      <c r="AI1515" s="94"/>
    </row>
    <row r="1516" spans="1:35" s="43" customFormat="1" ht="12" customHeight="1" x14ac:dyDescent="0.25">
      <c r="A1516" s="411" t="s">
        <v>15659</v>
      </c>
      <c r="B1516" s="411" t="s">
        <v>2650</v>
      </c>
      <c r="C1516" s="411">
        <v>29</v>
      </c>
      <c r="D1516" s="185" t="s">
        <v>9976</v>
      </c>
      <c r="E1516" s="314" t="s">
        <v>9960</v>
      </c>
      <c r="F1516" s="208">
        <v>30133</v>
      </c>
      <c r="G1516" s="184"/>
      <c r="H1516" s="185">
        <v>1</v>
      </c>
      <c r="I1516" s="185">
        <v>4</v>
      </c>
      <c r="J1516" s="901" t="s">
        <v>1796</v>
      </c>
      <c r="K1516" s="163" t="s">
        <v>6052</v>
      </c>
      <c r="L1516" s="163" t="s">
        <v>6025</v>
      </c>
      <c r="M1516" s="163"/>
      <c r="N1516" s="163" t="s">
        <v>4061</v>
      </c>
      <c r="O1516" s="163"/>
      <c r="P1516" s="182" t="s">
        <v>461</v>
      </c>
      <c r="Q1516" s="163" t="s">
        <v>4062</v>
      </c>
      <c r="R1516" s="186" t="s">
        <v>9922</v>
      </c>
      <c r="S1516" s="355"/>
      <c r="T1516" s="182"/>
      <c r="U1516" s="182"/>
      <c r="V1516" s="182"/>
      <c r="W1516" s="314" t="s">
        <v>9960</v>
      </c>
      <c r="X1516" s="646" t="s">
        <v>587</v>
      </c>
      <c r="Y1516" s="355"/>
      <c r="Z1516" s="158"/>
      <c r="AA1516" s="185"/>
      <c r="AB1516" s="33">
        <f t="shared" ca="1" si="31"/>
        <v>0.46895792299859729</v>
      </c>
      <c r="AC1516" s="813"/>
      <c r="AD1516" s="211"/>
      <c r="AE1516" s="941"/>
      <c r="AF1516" s="922">
        <f>IF(X1516=X1515,AF1515,0)+IF(ISNUMBER(I1516),IF(I1516&lt;1,I1516,I1516*VLOOKUP(J1516,Summary!$H$2:$I$9,2)),VLOOKUP(J1516,Summary!$J$2:$K$9,2)*IF(ISNUMBER(H1516),H1516,1))</f>
        <v>0.17958333333333329</v>
      </c>
      <c r="AG1516" s="290">
        <v>1515</v>
      </c>
      <c r="AH1516" s="94"/>
      <c r="AI1516" s="94"/>
    </row>
    <row r="1517" spans="1:35" s="1" customFormat="1" ht="12" customHeight="1" x14ac:dyDescent="0.25">
      <c r="A1517" s="488" t="s">
        <v>15659</v>
      </c>
      <c r="B1517" s="488">
        <v>4</v>
      </c>
      <c r="C1517" s="488">
        <v>16</v>
      </c>
      <c r="D1517" s="428" t="s">
        <v>6050</v>
      </c>
      <c r="E1517" s="325" t="s">
        <v>10286</v>
      </c>
      <c r="F1517" s="183">
        <v>29891</v>
      </c>
      <c r="G1517" s="183">
        <v>29921</v>
      </c>
      <c r="H1517" s="185">
        <v>2</v>
      </c>
      <c r="I1517" s="185">
        <v>16</v>
      </c>
      <c r="J1517" s="901" t="s">
        <v>1796</v>
      </c>
      <c r="K1517" s="163" t="s">
        <v>6052</v>
      </c>
      <c r="L1517" s="163" t="s">
        <v>7093</v>
      </c>
      <c r="M1517" s="163"/>
      <c r="N1517" s="163" t="s">
        <v>4061</v>
      </c>
      <c r="O1517" s="163"/>
      <c r="P1517" s="182" t="s">
        <v>461</v>
      </c>
      <c r="Q1517" s="163" t="s">
        <v>4062</v>
      </c>
      <c r="R1517" s="207" t="s">
        <v>5266</v>
      </c>
      <c r="S1517" s="355"/>
      <c r="T1517" s="182"/>
      <c r="U1517" s="182"/>
      <c r="V1517" s="182"/>
      <c r="W1517" s="321"/>
      <c r="X1517" s="653" t="s">
        <v>587</v>
      </c>
      <c r="Y1517" s="355"/>
      <c r="Z1517" s="185"/>
      <c r="AA1517" s="185"/>
      <c r="AB1517" s="33">
        <f t="shared" ca="1" si="31"/>
        <v>0.11834305512991961</v>
      </c>
      <c r="AC1517" s="813"/>
      <c r="AD1517" s="211" t="s">
        <v>16202</v>
      </c>
      <c r="AE1517" s="949" t="s">
        <v>12543</v>
      </c>
      <c r="AF1517" s="922">
        <f>IF(X1517=X1516,AF1516,0)+IF(ISNUMBER(I1517),IF(I1517&lt;1,I1517,I1517*VLOOKUP(J1517,Summary!$H$2:$I$9,2)),VLOOKUP(J1517,Summary!$J$2:$K$9,2)*IF(ISNUMBER(H1517),H1517,1))</f>
        <v>0.18513888888888885</v>
      </c>
      <c r="AG1517" s="295">
        <v>1516</v>
      </c>
      <c r="AH1517" s="94"/>
      <c r="AI1517" s="94"/>
    </row>
    <row r="1518" spans="1:35" s="43" customFormat="1" ht="12" customHeight="1" x14ac:dyDescent="0.25">
      <c r="A1518" s="488" t="s">
        <v>15659</v>
      </c>
      <c r="B1518" s="488">
        <v>4</v>
      </c>
      <c r="C1518" s="488"/>
      <c r="D1518" s="428" t="s">
        <v>6042</v>
      </c>
      <c r="E1518" s="325" t="s">
        <v>10287</v>
      </c>
      <c r="F1518" s="183">
        <v>34943</v>
      </c>
      <c r="G1518" s="183"/>
      <c r="H1518" s="185">
        <v>1</v>
      </c>
      <c r="I1518" s="185">
        <v>8</v>
      </c>
      <c r="J1518" s="901" t="s">
        <v>1796</v>
      </c>
      <c r="K1518" s="163" t="s">
        <v>7374</v>
      </c>
      <c r="L1518" s="163" t="s">
        <v>3551</v>
      </c>
      <c r="M1518" s="163"/>
      <c r="N1518" s="163" t="s">
        <v>5251</v>
      </c>
      <c r="O1518" s="163"/>
      <c r="P1518" s="182" t="s">
        <v>7627</v>
      </c>
      <c r="Q1518" s="163" t="s">
        <v>4062</v>
      </c>
      <c r="R1518" s="186" t="s">
        <v>8669</v>
      </c>
      <c r="S1518" s="355"/>
      <c r="T1518" s="182"/>
      <c r="U1518" s="182"/>
      <c r="V1518" s="182"/>
      <c r="W1518" s="325" t="s">
        <v>6022</v>
      </c>
      <c r="X1518" s="657" t="s">
        <v>587</v>
      </c>
      <c r="Y1518" s="355" t="s">
        <v>6868</v>
      </c>
      <c r="Z1518" s="185">
        <v>999</v>
      </c>
      <c r="AA1518" s="185"/>
      <c r="AB1518" s="33">
        <f t="shared" ca="1" si="31"/>
        <v>0.28805010830409528</v>
      </c>
      <c r="AC1518" s="813"/>
      <c r="AD1518" s="211" t="s">
        <v>16202</v>
      </c>
      <c r="AE1518" s="949" t="s">
        <v>12543</v>
      </c>
      <c r="AF1518" s="922">
        <f>IF(X1518=X1517,AF1517,0)+IF(ISNUMBER(I1518),IF(I1518&lt;1,I1518,I1518*VLOOKUP(J1518,Summary!$H$2:$I$9,2)),VLOOKUP(J1518,Summary!$J$2:$K$9,2)*IF(ISNUMBER(H1518),H1518,1))</f>
        <v>0.18791666666666662</v>
      </c>
      <c r="AG1518" s="295">
        <v>1517</v>
      </c>
      <c r="AH1518" s="94"/>
      <c r="AI1518" s="94"/>
    </row>
    <row r="1519" spans="1:35" s="43" customFormat="1" ht="12" customHeight="1" x14ac:dyDescent="0.25">
      <c r="A1519" s="490" t="s">
        <v>15659</v>
      </c>
      <c r="B1519" s="490">
        <v>4</v>
      </c>
      <c r="C1519" s="490">
        <v>45</v>
      </c>
      <c r="D1519" s="176" t="s">
        <v>186</v>
      </c>
      <c r="E1519" s="313" t="s">
        <v>203</v>
      </c>
      <c r="F1519" s="174">
        <v>33848</v>
      </c>
      <c r="G1519" s="174"/>
      <c r="H1519" s="176">
        <v>1</v>
      </c>
      <c r="I1519" s="176">
        <v>2</v>
      </c>
      <c r="J1519" s="900" t="s">
        <v>2755</v>
      </c>
      <c r="K1519" s="164" t="s">
        <v>1088</v>
      </c>
      <c r="L1519" s="164" t="s">
        <v>6043</v>
      </c>
      <c r="M1519" s="164"/>
      <c r="N1519" s="164" t="s">
        <v>7375</v>
      </c>
      <c r="O1519" s="164"/>
      <c r="P1519" s="173" t="s">
        <v>189</v>
      </c>
      <c r="Q1519" s="164" t="s">
        <v>4062</v>
      </c>
      <c r="R1519" s="177" t="s">
        <v>4599</v>
      </c>
      <c r="S1519" s="354" t="s">
        <v>53</v>
      </c>
      <c r="T1519" s="173" t="s">
        <v>6335</v>
      </c>
      <c r="U1519" s="173"/>
      <c r="V1519" s="173"/>
      <c r="W1519" s="313" t="s">
        <v>203</v>
      </c>
      <c r="X1519" s="645" t="s">
        <v>587</v>
      </c>
      <c r="Y1519" s="354" t="s">
        <v>6868</v>
      </c>
      <c r="Z1519" s="176">
        <v>999</v>
      </c>
      <c r="AA1519" s="176"/>
      <c r="AB1519" s="32">
        <f t="shared" ca="1" si="31"/>
        <v>0.77923593637028132</v>
      </c>
      <c r="AC1519" s="812"/>
      <c r="AD1519" s="763"/>
      <c r="AE1519" s="807"/>
      <c r="AF1519" s="921">
        <f>IF(X1519=X1518,AF1518,0)+IF(ISNUMBER(I1519),IF(I1519&lt;1,I1519,I1519*VLOOKUP(J1519,Summary!$H$2:$I$9,2)),VLOOKUP(J1519,Summary!$J$2:$K$9,2)*IF(ISNUMBER(H1519),H1519,1))</f>
        <v>0.1893055555555555</v>
      </c>
      <c r="AG1519" s="289">
        <v>1518</v>
      </c>
      <c r="AH1519" s="94"/>
      <c r="AI1519" s="94"/>
    </row>
    <row r="1520" spans="1:35" s="43" customFormat="1" ht="12" customHeight="1" x14ac:dyDescent="0.25">
      <c r="A1520" s="488" t="s">
        <v>15659</v>
      </c>
      <c r="B1520" s="488">
        <v>4</v>
      </c>
      <c r="C1520" s="488">
        <v>17</v>
      </c>
      <c r="D1520" s="428" t="s">
        <v>6051</v>
      </c>
      <c r="E1520" s="325" t="s">
        <v>6023</v>
      </c>
      <c r="F1520" s="183">
        <v>29952</v>
      </c>
      <c r="G1520" s="183"/>
      <c r="H1520" s="185">
        <v>1</v>
      </c>
      <c r="I1520" s="185">
        <v>8</v>
      </c>
      <c r="J1520" s="901" t="s">
        <v>1796</v>
      </c>
      <c r="K1520" s="163" t="s">
        <v>6052</v>
      </c>
      <c r="L1520" s="163" t="s">
        <v>6025</v>
      </c>
      <c r="M1520" s="163"/>
      <c r="N1520" s="163" t="s">
        <v>4061</v>
      </c>
      <c r="O1520" s="163"/>
      <c r="P1520" s="182" t="s">
        <v>461</v>
      </c>
      <c r="Q1520" s="163" t="s">
        <v>4062</v>
      </c>
      <c r="R1520" s="207" t="s">
        <v>5266</v>
      </c>
      <c r="S1520" s="355"/>
      <c r="T1520" s="182"/>
      <c r="U1520" s="182"/>
      <c r="V1520" s="182"/>
      <c r="W1520" s="325" t="s">
        <v>6023</v>
      </c>
      <c r="X1520" s="657" t="s">
        <v>587</v>
      </c>
      <c r="Y1520" s="355"/>
      <c r="Z1520" s="185"/>
      <c r="AA1520" s="185"/>
      <c r="AB1520" s="33">
        <f t="shared" ca="1" si="31"/>
        <v>1.5065239868148339E-2</v>
      </c>
      <c r="AC1520" s="813"/>
      <c r="AD1520" s="211"/>
      <c r="AE1520" s="949"/>
      <c r="AF1520" s="922">
        <f>IF(X1520=X1519,AF1519,0)+IF(ISNUMBER(I1520),IF(I1520&lt;1,I1520,I1520*VLOOKUP(J1520,Summary!$H$2:$I$9,2)),VLOOKUP(J1520,Summary!$J$2:$K$9,2)*IF(ISNUMBER(H1520),H1520,1))</f>
        <v>0.19208333333333327</v>
      </c>
      <c r="AG1520" s="295">
        <v>1519</v>
      </c>
      <c r="AH1520" s="94"/>
      <c r="AI1520" s="94"/>
    </row>
    <row r="1521" spans="1:35" s="2" customFormat="1" ht="12" customHeight="1" x14ac:dyDescent="0.25">
      <c r="A1521" s="484" t="s">
        <v>15660</v>
      </c>
      <c r="B1521" s="484">
        <v>4</v>
      </c>
      <c r="C1521" s="505">
        <v>8.07</v>
      </c>
      <c r="D1521" s="407" t="s">
        <v>8020</v>
      </c>
      <c r="E1521" s="315" t="s">
        <v>8021</v>
      </c>
      <c r="F1521" s="169">
        <v>41640</v>
      </c>
      <c r="G1521" s="229"/>
      <c r="H1521" s="170">
        <v>4</v>
      </c>
      <c r="I1521" s="746">
        <f>TIME(2,27,34)</f>
        <v>0.10247685185185185</v>
      </c>
      <c r="J1521" s="899" t="s">
        <v>4706</v>
      </c>
      <c r="K1521" s="167" t="s">
        <v>6452</v>
      </c>
      <c r="L1521" s="167" t="s">
        <v>5662</v>
      </c>
      <c r="M1521" s="167" t="s">
        <v>8022</v>
      </c>
      <c r="N1521" s="167"/>
      <c r="O1521" s="167"/>
      <c r="P1521" s="168" t="s">
        <v>8023</v>
      </c>
      <c r="Q1521" s="167" t="s">
        <v>3947</v>
      </c>
      <c r="R1521" s="172" t="s">
        <v>3153</v>
      </c>
      <c r="S1521" s="388" t="s">
        <v>2610</v>
      </c>
      <c r="T1521" s="168" t="s">
        <v>2609</v>
      </c>
      <c r="U1521" s="168" t="s">
        <v>8024</v>
      </c>
      <c r="V1521" s="168"/>
      <c r="W1521" s="312" t="s">
        <v>10316</v>
      </c>
      <c r="X1521" s="644" t="s">
        <v>12331</v>
      </c>
      <c r="Y1521" s="352" t="s">
        <v>5643</v>
      </c>
      <c r="Z1521" s="353">
        <v>617</v>
      </c>
      <c r="AA1521" s="353">
        <v>3.5</v>
      </c>
      <c r="AB1521" s="31">
        <f t="shared" ca="1" si="31"/>
        <v>0.34378148761454552</v>
      </c>
      <c r="AC1521" s="810"/>
      <c r="AD1521" s="811"/>
      <c r="AE1521" s="940"/>
      <c r="AF1521" s="920">
        <f>IF(X1521=X1520,AF1520,0)+IF(ISNUMBER(I1521),IF(I1521&lt;1,I1521,I1521*VLOOKUP(J1521,Summary!$H$2:$I$9,2)),VLOOKUP(J1521,Summary!$J$2:$K$9,2)*IF(ISNUMBER(H1521),H1521,1))</f>
        <v>0.10247685185185185</v>
      </c>
      <c r="AG1521" s="287">
        <v>1520</v>
      </c>
      <c r="AH1521" s="94"/>
      <c r="AI1521" s="94"/>
    </row>
    <row r="1522" spans="1:35" s="43" customFormat="1" ht="12" customHeight="1" x14ac:dyDescent="0.25">
      <c r="A1522" s="490" t="s">
        <v>15660</v>
      </c>
      <c r="B1522" s="490">
        <v>4</v>
      </c>
      <c r="C1522" s="490">
        <v>29.13</v>
      </c>
      <c r="D1522" s="176" t="s">
        <v>2774</v>
      </c>
      <c r="E1522" s="313" t="s">
        <v>4099</v>
      </c>
      <c r="F1522" s="174">
        <v>39692</v>
      </c>
      <c r="G1522" s="174"/>
      <c r="H1522" s="176" t="s">
        <v>461</v>
      </c>
      <c r="I1522" s="176">
        <v>8</v>
      </c>
      <c r="J1522" s="900" t="s">
        <v>2755</v>
      </c>
      <c r="K1522" s="164" t="s">
        <v>4100</v>
      </c>
      <c r="L1522" s="164" t="s">
        <v>461</v>
      </c>
      <c r="M1522" s="164"/>
      <c r="N1522" s="164" t="s">
        <v>5664</v>
      </c>
      <c r="O1522" s="164"/>
      <c r="P1522" s="173" t="s">
        <v>6707</v>
      </c>
      <c r="Q1522" s="164" t="s">
        <v>3947</v>
      </c>
      <c r="R1522" s="177" t="s">
        <v>2723</v>
      </c>
      <c r="S1522" s="354" t="s">
        <v>2610</v>
      </c>
      <c r="T1522" s="173"/>
      <c r="U1522" s="173"/>
      <c r="V1522" s="173"/>
      <c r="W1522" s="313" t="s">
        <v>4099</v>
      </c>
      <c r="X1522" s="645" t="s">
        <v>12331</v>
      </c>
      <c r="Y1522" s="354"/>
      <c r="Z1522" s="176"/>
      <c r="AA1522" s="176"/>
      <c r="AB1522" s="32">
        <f t="shared" ca="1" si="31"/>
        <v>0.85098480753670025</v>
      </c>
      <c r="AC1522" s="812"/>
      <c r="AD1522" s="763"/>
      <c r="AE1522" s="807"/>
      <c r="AF1522" s="921">
        <f>IF(X1522=X1521,AF1521,0)+IF(ISNUMBER(I1522),IF(I1522&lt;1,I1522,I1522*VLOOKUP(J1522,Summary!$H$2:$I$9,2)),VLOOKUP(J1522,Summary!$J$2:$K$9,2)*IF(ISNUMBER(H1522),H1522,1))</f>
        <v>0.1080324074074074</v>
      </c>
      <c r="AG1522" s="289">
        <v>1521</v>
      </c>
      <c r="AH1522" s="94"/>
      <c r="AI1522" s="94"/>
    </row>
    <row r="1523" spans="1:35" s="43" customFormat="1" ht="12" customHeight="1" x14ac:dyDescent="0.25">
      <c r="A1523" s="484" t="s">
        <v>15660</v>
      </c>
      <c r="B1523" s="484">
        <v>4</v>
      </c>
      <c r="C1523" s="502">
        <v>6.1</v>
      </c>
      <c r="D1523" s="407" t="s">
        <v>12140</v>
      </c>
      <c r="E1523" s="315" t="s">
        <v>12149</v>
      </c>
      <c r="F1523" s="196">
        <v>42746</v>
      </c>
      <c r="G1523" s="170"/>
      <c r="H1523" s="170">
        <v>2</v>
      </c>
      <c r="I1523" s="747">
        <f>TIME(0,60,0)</f>
        <v>4.1666666666666664E-2</v>
      </c>
      <c r="J1523" s="899" t="s">
        <v>4706</v>
      </c>
      <c r="K1523" s="167" t="s">
        <v>543</v>
      </c>
      <c r="L1523" s="167" t="s">
        <v>4549</v>
      </c>
      <c r="M1523" s="167"/>
      <c r="N1523" s="167"/>
      <c r="O1523" s="167" t="s">
        <v>3295</v>
      </c>
      <c r="P1523" s="168" t="s">
        <v>12160</v>
      </c>
      <c r="Q1523" s="167" t="s">
        <v>3947</v>
      </c>
      <c r="R1523" s="172" t="s">
        <v>7162</v>
      </c>
      <c r="S1523" s="388" t="s">
        <v>2610</v>
      </c>
      <c r="T1523" s="168" t="s">
        <v>6335</v>
      </c>
      <c r="U1523" s="168" t="s">
        <v>5287</v>
      </c>
      <c r="V1523" s="168" t="s">
        <v>12158</v>
      </c>
      <c r="W1523" s="312"/>
      <c r="X1523" s="644" t="s">
        <v>12331</v>
      </c>
      <c r="Y1523" s="352"/>
      <c r="Z1523" s="353"/>
      <c r="AA1523" s="353"/>
      <c r="AB1523" s="31">
        <f t="shared" ca="1" si="31"/>
        <v>0.3519258741516923</v>
      </c>
      <c r="AC1523" s="810"/>
      <c r="AD1523" s="811"/>
      <c r="AE1523" s="940"/>
      <c r="AF1523" s="920">
        <f>IF(X1523=X1522,AF1522,0)+IF(ISNUMBER(I1523),IF(I1523&lt;1,I1523,I1523*VLOOKUP(J1523,Summary!$H$2:$I$9,2)),VLOOKUP(J1523,Summary!$J$2:$K$9,2)*IF(ISNUMBER(H1523),H1523,1))</f>
        <v>0.14969907407407407</v>
      </c>
      <c r="AG1523" s="287">
        <v>1522</v>
      </c>
      <c r="AH1523" s="94"/>
      <c r="AI1523" s="94"/>
    </row>
    <row r="1524" spans="1:35" s="43" customFormat="1" ht="12" customHeight="1" x14ac:dyDescent="0.25">
      <c r="A1524" s="484" t="s">
        <v>15660</v>
      </c>
      <c r="B1524" s="484">
        <v>4</v>
      </c>
      <c r="C1524" s="502">
        <v>6.2</v>
      </c>
      <c r="D1524" s="407" t="s">
        <v>12143</v>
      </c>
      <c r="E1524" s="315" t="s">
        <v>12150</v>
      </c>
      <c r="F1524" s="196">
        <v>42781</v>
      </c>
      <c r="G1524" s="170"/>
      <c r="H1524" s="170">
        <v>2</v>
      </c>
      <c r="I1524" s="747">
        <f>TIME(0,60,0)</f>
        <v>4.1666666666666664E-2</v>
      </c>
      <c r="J1524" s="899" t="s">
        <v>4706</v>
      </c>
      <c r="K1524" s="167" t="s">
        <v>5146</v>
      </c>
      <c r="L1524" s="167" t="s">
        <v>4549</v>
      </c>
      <c r="M1524" s="167"/>
      <c r="N1524" s="167"/>
      <c r="O1524" s="167" t="s">
        <v>3295</v>
      </c>
      <c r="P1524" s="168" t="s">
        <v>12161</v>
      </c>
      <c r="Q1524" s="167" t="s">
        <v>3947</v>
      </c>
      <c r="R1524" s="172" t="s">
        <v>7162</v>
      </c>
      <c r="S1524" s="388" t="s">
        <v>2610</v>
      </c>
      <c r="T1524" s="168" t="s">
        <v>6335</v>
      </c>
      <c r="U1524" s="168"/>
      <c r="V1524" s="168"/>
      <c r="W1524" s="312"/>
      <c r="X1524" s="644" t="s">
        <v>12331</v>
      </c>
      <c r="Y1524" s="352"/>
      <c r="Z1524" s="353"/>
      <c r="AA1524" s="353"/>
      <c r="AB1524" s="31">
        <f t="shared" ca="1" si="31"/>
        <v>0.2973565471019568</v>
      </c>
      <c r="AC1524" s="810"/>
      <c r="AD1524" s="811"/>
      <c r="AE1524" s="940"/>
      <c r="AF1524" s="920">
        <f>IF(X1524=X1523,AF1523,0)+IF(ISNUMBER(I1524),IF(I1524&lt;1,I1524,I1524*VLOOKUP(J1524,Summary!$H$2:$I$9,2)),VLOOKUP(J1524,Summary!$J$2:$K$9,2)*IF(ISNUMBER(H1524),H1524,1))</f>
        <v>0.19136574074074073</v>
      </c>
      <c r="AG1524" s="287">
        <v>1523</v>
      </c>
      <c r="AH1524" s="94"/>
      <c r="AI1524" s="94"/>
    </row>
    <row r="1525" spans="1:35" s="43" customFormat="1" ht="12" customHeight="1" x14ac:dyDescent="0.25">
      <c r="A1525" s="484" t="s">
        <v>15660</v>
      </c>
      <c r="B1525" s="484">
        <v>4</v>
      </c>
      <c r="C1525" s="502">
        <v>6.3</v>
      </c>
      <c r="D1525" s="407" t="s">
        <v>12144</v>
      </c>
      <c r="E1525" s="315" t="s">
        <v>12151</v>
      </c>
      <c r="F1525" s="196">
        <v>42816</v>
      </c>
      <c r="G1525" s="170"/>
      <c r="H1525" s="170">
        <v>2</v>
      </c>
      <c r="I1525" s="747">
        <f>TIME(0,60,0)</f>
        <v>4.1666666666666664E-2</v>
      </c>
      <c r="J1525" s="899" t="s">
        <v>4706</v>
      </c>
      <c r="K1525" s="167" t="s">
        <v>1643</v>
      </c>
      <c r="L1525" s="167" t="s">
        <v>4549</v>
      </c>
      <c r="M1525" s="167"/>
      <c r="N1525" s="167"/>
      <c r="O1525" s="167" t="s">
        <v>3295</v>
      </c>
      <c r="P1525" s="168" t="s">
        <v>12161</v>
      </c>
      <c r="Q1525" s="167" t="s">
        <v>3947</v>
      </c>
      <c r="R1525" s="172" t="s">
        <v>7162</v>
      </c>
      <c r="S1525" s="388" t="s">
        <v>2610</v>
      </c>
      <c r="T1525" s="168" t="s">
        <v>6335</v>
      </c>
      <c r="U1525" s="168"/>
      <c r="V1525" s="168"/>
      <c r="W1525" s="312"/>
      <c r="X1525" s="644" t="s">
        <v>12331</v>
      </c>
      <c r="Y1525" s="352"/>
      <c r="Z1525" s="353"/>
      <c r="AA1525" s="353"/>
      <c r="AB1525" s="31">
        <f t="shared" ca="1" si="31"/>
        <v>0.53821126206150516</v>
      </c>
      <c r="AC1525" s="810"/>
      <c r="AD1525" s="811"/>
      <c r="AE1525" s="940"/>
      <c r="AF1525" s="920">
        <f>IF(X1525=X1524,AF1524,0)+IF(ISNUMBER(I1525),IF(I1525&lt;1,I1525,I1525*VLOOKUP(J1525,Summary!$H$2:$I$9,2)),VLOOKUP(J1525,Summary!$J$2:$K$9,2)*IF(ISNUMBER(H1525),H1525,1))</f>
        <v>0.23303240740740738</v>
      </c>
      <c r="AG1525" s="287">
        <v>1524</v>
      </c>
      <c r="AH1525" s="94"/>
      <c r="AI1525" s="94"/>
    </row>
    <row r="1526" spans="1:35" s="43" customFormat="1" ht="12" customHeight="1" x14ac:dyDescent="0.25">
      <c r="A1526" s="490" t="s">
        <v>15660</v>
      </c>
      <c r="B1526" s="490">
        <v>4</v>
      </c>
      <c r="C1526" s="490">
        <v>58</v>
      </c>
      <c r="D1526" s="176" t="s">
        <v>7624</v>
      </c>
      <c r="E1526" s="313" t="s">
        <v>3487</v>
      </c>
      <c r="F1526" s="174">
        <v>34578</v>
      </c>
      <c r="G1526" s="174"/>
      <c r="H1526" s="176">
        <v>1</v>
      </c>
      <c r="I1526" s="176">
        <v>4</v>
      </c>
      <c r="J1526" s="900" t="s">
        <v>2755</v>
      </c>
      <c r="K1526" s="164" t="s">
        <v>4148</v>
      </c>
      <c r="L1526" s="164" t="s">
        <v>461</v>
      </c>
      <c r="M1526" s="164"/>
      <c r="N1526" s="164" t="s">
        <v>7626</v>
      </c>
      <c r="O1526" s="164"/>
      <c r="P1526" s="173" t="s">
        <v>7627</v>
      </c>
      <c r="Q1526" s="164" t="s">
        <v>4062</v>
      </c>
      <c r="R1526" s="177" t="s">
        <v>4599</v>
      </c>
      <c r="S1526" s="354" t="s">
        <v>2610</v>
      </c>
      <c r="T1526" s="173"/>
      <c r="U1526" s="173"/>
      <c r="V1526" s="173"/>
      <c r="W1526" s="313" t="s">
        <v>3487</v>
      </c>
      <c r="X1526" s="645" t="s">
        <v>12331</v>
      </c>
      <c r="Y1526" s="354" t="s">
        <v>6868</v>
      </c>
      <c r="Z1526" s="176">
        <v>999</v>
      </c>
      <c r="AA1526" s="176"/>
      <c r="AB1526" s="32">
        <f t="shared" ca="1" si="31"/>
        <v>0.65723382066200864</v>
      </c>
      <c r="AC1526" s="812"/>
      <c r="AD1526" s="763"/>
      <c r="AE1526" s="807"/>
      <c r="AF1526" s="921">
        <f>IF(X1526=X1525,AF1525,0)+IF(ISNUMBER(I1526),IF(I1526&lt;1,I1526,I1526*VLOOKUP(J1526,Summary!$H$2:$I$9,2)),VLOOKUP(J1526,Summary!$J$2:$K$9,2)*IF(ISNUMBER(H1526),H1526,1))</f>
        <v>0.23581018518518515</v>
      </c>
      <c r="AG1526" s="289">
        <v>1525</v>
      </c>
      <c r="AH1526" s="94"/>
      <c r="AI1526" s="94"/>
    </row>
    <row r="1527" spans="1:35" s="43" customFormat="1" ht="12" customHeight="1" x14ac:dyDescent="0.25">
      <c r="A1527" s="484" t="s">
        <v>15660</v>
      </c>
      <c r="B1527" s="484">
        <v>4</v>
      </c>
      <c r="C1527" s="502">
        <v>6.4</v>
      </c>
      <c r="D1527" s="407" t="s">
        <v>12145</v>
      </c>
      <c r="E1527" s="315" t="s">
        <v>12152</v>
      </c>
      <c r="F1527" s="196">
        <v>42845</v>
      </c>
      <c r="G1527" s="170"/>
      <c r="H1527" s="170">
        <v>2</v>
      </c>
      <c r="I1527" s="747">
        <f>TIME(0,60,0)</f>
        <v>4.1666666666666664E-2</v>
      </c>
      <c r="J1527" s="899" t="s">
        <v>4706</v>
      </c>
      <c r="K1527" s="167" t="s">
        <v>12163</v>
      </c>
      <c r="L1527" s="167" t="s">
        <v>4549</v>
      </c>
      <c r="M1527" s="167"/>
      <c r="N1527" s="167"/>
      <c r="O1527" s="167" t="s">
        <v>3295</v>
      </c>
      <c r="P1527" s="168" t="s">
        <v>12162</v>
      </c>
      <c r="Q1527" s="167" t="s">
        <v>3947</v>
      </c>
      <c r="R1527" s="172" t="s">
        <v>7162</v>
      </c>
      <c r="S1527" s="388" t="s">
        <v>2610</v>
      </c>
      <c r="T1527" s="168"/>
      <c r="U1527" s="168"/>
      <c r="V1527" s="168"/>
      <c r="W1527" s="312"/>
      <c r="X1527" s="644" t="s">
        <v>12331</v>
      </c>
      <c r="Y1527" s="352"/>
      <c r="Z1527" s="353"/>
      <c r="AA1527" s="353"/>
      <c r="AB1527" s="31">
        <f t="shared" ca="1" si="31"/>
        <v>0.37255354292635245</v>
      </c>
      <c r="AC1527" s="810"/>
      <c r="AD1527" s="811"/>
      <c r="AE1527" s="940"/>
      <c r="AF1527" s="920">
        <f>IF(X1527=X1526,AF1526,0)+IF(ISNUMBER(I1527),IF(I1527&lt;1,I1527,I1527*VLOOKUP(J1527,Summary!$H$2:$I$9,2)),VLOOKUP(J1527,Summary!$J$2:$K$9,2)*IF(ISNUMBER(H1527),H1527,1))</f>
        <v>0.27747685185185184</v>
      </c>
      <c r="AG1527" s="287">
        <v>1526</v>
      </c>
      <c r="AH1527" s="94"/>
      <c r="AI1527" s="94"/>
    </row>
    <row r="1528" spans="1:35" s="43" customFormat="1" ht="12" customHeight="1" x14ac:dyDescent="0.25">
      <c r="A1528" s="484" t="s">
        <v>15660</v>
      </c>
      <c r="B1528" s="484">
        <v>4</v>
      </c>
      <c r="C1528" s="502">
        <v>6.5</v>
      </c>
      <c r="D1528" s="407" t="s">
        <v>12146</v>
      </c>
      <c r="E1528" s="315" t="s">
        <v>12153</v>
      </c>
      <c r="F1528" s="196">
        <v>42872</v>
      </c>
      <c r="G1528" s="170"/>
      <c r="H1528" s="170">
        <v>2</v>
      </c>
      <c r="I1528" s="747">
        <f>TIME(0,60,0)</f>
        <v>4.1666666666666664E-2</v>
      </c>
      <c r="J1528" s="899" t="s">
        <v>4706</v>
      </c>
      <c r="K1528" s="167" t="s">
        <v>10079</v>
      </c>
      <c r="L1528" s="167" t="s">
        <v>4549</v>
      </c>
      <c r="M1528" s="167"/>
      <c r="N1528" s="167"/>
      <c r="O1528" s="167" t="s">
        <v>3295</v>
      </c>
      <c r="P1528" s="168" t="s">
        <v>12164</v>
      </c>
      <c r="Q1528" s="167" t="s">
        <v>3947</v>
      </c>
      <c r="R1528" s="172" t="s">
        <v>7162</v>
      </c>
      <c r="S1528" s="388" t="s">
        <v>2610</v>
      </c>
      <c r="T1528" s="168"/>
      <c r="U1528" s="168"/>
      <c r="V1528" s="168"/>
      <c r="W1528" s="312"/>
      <c r="X1528" s="644" t="s">
        <v>12331</v>
      </c>
      <c r="Y1528" s="352"/>
      <c r="Z1528" s="353"/>
      <c r="AA1528" s="353"/>
      <c r="AB1528" s="31">
        <f t="shared" ca="1" si="31"/>
        <v>0.34602654558021839</v>
      </c>
      <c r="AC1528" s="810"/>
      <c r="AD1528" s="811"/>
      <c r="AE1528" s="940"/>
      <c r="AF1528" s="920">
        <f>IF(X1528=X1527,AF1527,0)+IF(ISNUMBER(I1528),IF(I1528&lt;1,I1528,I1528*VLOOKUP(J1528,Summary!$H$2:$I$9,2)),VLOOKUP(J1528,Summary!$J$2:$K$9,2)*IF(ISNUMBER(H1528),H1528,1))</f>
        <v>0.31914351851851852</v>
      </c>
      <c r="AG1528" s="287">
        <v>1527</v>
      </c>
      <c r="AH1528" s="94"/>
      <c r="AI1528" s="94"/>
    </row>
    <row r="1529" spans="1:35" s="22" customFormat="1" ht="12" customHeight="1" x14ac:dyDescent="0.2">
      <c r="A1529" s="484" t="s">
        <v>15660</v>
      </c>
      <c r="B1529" s="484">
        <v>4</v>
      </c>
      <c r="C1529" s="502">
        <v>6.6</v>
      </c>
      <c r="D1529" s="407" t="s">
        <v>12147</v>
      </c>
      <c r="E1529" s="315" t="s">
        <v>12154</v>
      </c>
      <c r="F1529" s="196">
        <v>42900</v>
      </c>
      <c r="G1529" s="170"/>
      <c r="H1529" s="170">
        <v>2</v>
      </c>
      <c r="I1529" s="747">
        <f>TIME(0,60,0)</f>
        <v>4.1666666666666664E-2</v>
      </c>
      <c r="J1529" s="899" t="s">
        <v>4706</v>
      </c>
      <c r="K1529" s="167" t="s">
        <v>177</v>
      </c>
      <c r="L1529" s="167" t="s">
        <v>4549</v>
      </c>
      <c r="M1529" s="167"/>
      <c r="N1529" s="167"/>
      <c r="O1529" s="167" t="s">
        <v>3295</v>
      </c>
      <c r="P1529" s="168" t="s">
        <v>12165</v>
      </c>
      <c r="Q1529" s="167" t="s">
        <v>3947</v>
      </c>
      <c r="R1529" s="172" t="s">
        <v>7162</v>
      </c>
      <c r="S1529" s="388" t="s">
        <v>2610</v>
      </c>
      <c r="T1529" s="168"/>
      <c r="U1529" s="168"/>
      <c r="V1529" s="168"/>
      <c r="W1529" s="312"/>
      <c r="X1529" s="644" t="s">
        <v>12331</v>
      </c>
      <c r="Y1529" s="352"/>
      <c r="Z1529" s="353"/>
      <c r="AA1529" s="353"/>
      <c r="AB1529" s="31">
        <f t="shared" ca="1" si="31"/>
        <v>0.41114795459370634</v>
      </c>
      <c r="AC1529" s="810"/>
      <c r="AD1529" s="811"/>
      <c r="AE1529" s="940"/>
      <c r="AF1529" s="920">
        <f>IF(X1529=X1528,AF1528,0)+IF(ISNUMBER(I1529),IF(I1529&lt;1,I1529,I1529*VLOOKUP(J1529,Summary!$H$2:$I$9,2)),VLOOKUP(J1529,Summary!$J$2:$K$9,2)*IF(ISNUMBER(H1529),H1529,1))</f>
        <v>0.36081018518518521</v>
      </c>
      <c r="AG1529" s="287">
        <v>1528</v>
      </c>
      <c r="AH1529" s="94"/>
      <c r="AI1529" s="94"/>
    </row>
    <row r="1530" spans="1:35" s="43" customFormat="1" ht="12" customHeight="1" x14ac:dyDescent="0.25">
      <c r="A1530" s="484" t="s">
        <v>15660</v>
      </c>
      <c r="B1530" s="484">
        <v>4</v>
      </c>
      <c r="C1530" s="502">
        <v>6.7</v>
      </c>
      <c r="D1530" s="407" t="s">
        <v>12148</v>
      </c>
      <c r="E1530" s="315" t="s">
        <v>12155</v>
      </c>
      <c r="F1530" s="196">
        <v>42928</v>
      </c>
      <c r="G1530" s="170"/>
      <c r="H1530" s="170">
        <v>2</v>
      </c>
      <c r="I1530" s="747">
        <f>TIME(0,60,0)</f>
        <v>4.1666666666666664E-2</v>
      </c>
      <c r="J1530" s="899" t="s">
        <v>4706</v>
      </c>
      <c r="K1530" s="167" t="s">
        <v>6970</v>
      </c>
      <c r="L1530" s="167" t="s">
        <v>4549</v>
      </c>
      <c r="M1530" s="167"/>
      <c r="N1530" s="167"/>
      <c r="O1530" s="167" t="s">
        <v>3295</v>
      </c>
      <c r="P1530" s="168" t="s">
        <v>12166</v>
      </c>
      <c r="Q1530" s="167" t="s">
        <v>3947</v>
      </c>
      <c r="R1530" s="172" t="s">
        <v>7162</v>
      </c>
      <c r="S1530" s="388" t="s">
        <v>2610</v>
      </c>
      <c r="T1530" s="168"/>
      <c r="U1530" s="168"/>
      <c r="V1530" s="168"/>
      <c r="W1530" s="312"/>
      <c r="X1530" s="644" t="s">
        <v>12331</v>
      </c>
      <c r="Y1530" s="352"/>
      <c r="Z1530" s="353"/>
      <c r="AA1530" s="353"/>
      <c r="AB1530" s="31">
        <f t="shared" ca="1" si="31"/>
        <v>0.16853765690739619</v>
      </c>
      <c r="AC1530" s="810"/>
      <c r="AD1530" s="811"/>
      <c r="AE1530" s="940"/>
      <c r="AF1530" s="920">
        <f>IF(X1530=X1529,AF1529,0)+IF(ISNUMBER(I1530),IF(I1530&lt;1,I1530,I1530*VLOOKUP(J1530,Summary!$H$2:$I$9,2)),VLOOKUP(J1530,Summary!$J$2:$K$9,2)*IF(ISNUMBER(H1530),H1530,1))</f>
        <v>0.40247685185185189</v>
      </c>
      <c r="AG1530" s="287">
        <v>1529</v>
      </c>
      <c r="AH1530" s="94"/>
      <c r="AI1530" s="94"/>
    </row>
    <row r="1531" spans="1:35" s="43" customFormat="1" ht="12" customHeight="1" x14ac:dyDescent="0.25">
      <c r="A1531" s="490" t="s">
        <v>15660</v>
      </c>
      <c r="B1531" s="490">
        <v>4</v>
      </c>
      <c r="C1531" s="490">
        <v>19.059999999999999</v>
      </c>
      <c r="D1531" s="434" t="s">
        <v>3170</v>
      </c>
      <c r="E1531" s="324" t="s">
        <v>3167</v>
      </c>
      <c r="F1531" s="174">
        <v>38808</v>
      </c>
      <c r="G1531" s="175"/>
      <c r="H1531" s="176">
        <v>1</v>
      </c>
      <c r="I1531" s="176">
        <v>15</v>
      </c>
      <c r="J1531" s="900" t="s">
        <v>2755</v>
      </c>
      <c r="K1531" s="157" t="s">
        <v>3169</v>
      </c>
      <c r="L1531" s="157" t="s">
        <v>461</v>
      </c>
      <c r="M1531" s="157"/>
      <c r="N1531" s="164" t="s">
        <v>4552</v>
      </c>
      <c r="O1531" s="157"/>
      <c r="P1531" s="173" t="s">
        <v>5020</v>
      </c>
      <c r="Q1531" s="157" t="s">
        <v>3947</v>
      </c>
      <c r="R1531" s="179" t="s">
        <v>2723</v>
      </c>
      <c r="S1531" s="354" t="s">
        <v>2610</v>
      </c>
      <c r="T1531" s="173"/>
      <c r="U1531" s="173"/>
      <c r="V1531" s="173"/>
      <c r="W1531" s="324" t="s">
        <v>3167</v>
      </c>
      <c r="X1531" s="656" t="s">
        <v>12331</v>
      </c>
      <c r="Y1531" s="363"/>
      <c r="Z1531" s="364"/>
      <c r="AA1531" s="364"/>
      <c r="AB1531" s="32">
        <f t="shared" ca="1" si="31"/>
        <v>0.23164435065468059</v>
      </c>
      <c r="AC1531" s="812"/>
      <c r="AD1531" s="763"/>
      <c r="AE1531" s="951"/>
      <c r="AF1531" s="921">
        <f>IF(X1531=X1530,AF1530,0)+IF(ISNUMBER(I1531),IF(I1531&lt;1,I1531,I1531*VLOOKUP(J1531,Summary!$H$2:$I$9,2)),VLOOKUP(J1531,Summary!$J$2:$K$9,2)*IF(ISNUMBER(H1531),H1531,1))</f>
        <v>0.41289351851851858</v>
      </c>
      <c r="AG1531" s="288">
        <v>1530</v>
      </c>
      <c r="AH1531" s="94"/>
      <c r="AI1531" s="94"/>
    </row>
    <row r="1532" spans="1:35" s="2" customFormat="1" ht="12" customHeight="1" x14ac:dyDescent="0.25">
      <c r="A1532" s="494" t="s">
        <v>15660</v>
      </c>
      <c r="B1532" s="494">
        <v>4</v>
      </c>
      <c r="C1532" s="494">
        <v>28.16</v>
      </c>
      <c r="D1532" s="463" t="s">
        <v>3171</v>
      </c>
      <c r="E1532" s="330" t="s">
        <v>3168</v>
      </c>
      <c r="F1532" s="191">
        <v>39630</v>
      </c>
      <c r="G1532" s="191"/>
      <c r="H1532" s="192" t="s">
        <v>461</v>
      </c>
      <c r="I1532" s="192">
        <v>11</v>
      </c>
      <c r="J1532" s="903" t="s">
        <v>2755</v>
      </c>
      <c r="K1532" s="194" t="s">
        <v>1503</v>
      </c>
      <c r="L1532" s="194" t="s">
        <v>461</v>
      </c>
      <c r="M1532" s="194" t="s">
        <v>13152</v>
      </c>
      <c r="N1532" s="194" t="s">
        <v>185</v>
      </c>
      <c r="O1532" s="194"/>
      <c r="P1532" s="190" t="s">
        <v>6704</v>
      </c>
      <c r="Q1532" s="194" t="s">
        <v>3947</v>
      </c>
      <c r="R1532" s="221" t="s">
        <v>2723</v>
      </c>
      <c r="S1532" s="357" t="s">
        <v>2610</v>
      </c>
      <c r="T1532" s="190"/>
      <c r="U1532" s="190"/>
      <c r="V1532" s="190"/>
      <c r="W1532" s="330" t="s">
        <v>3168</v>
      </c>
      <c r="X1532" s="662" t="s">
        <v>12331</v>
      </c>
      <c r="Y1532" s="357"/>
      <c r="Z1532" s="192"/>
      <c r="AA1532" s="192"/>
      <c r="AB1532" s="37">
        <f t="shared" ca="1" si="31"/>
        <v>0.74059215923050958</v>
      </c>
      <c r="AC1532" s="816"/>
      <c r="AD1532" s="817"/>
      <c r="AE1532" s="955"/>
      <c r="AF1532" s="924">
        <f>IF(X1532=X1531,AF1531,0)+IF(ISNUMBER(I1532),IF(I1532&lt;1,I1532,I1532*VLOOKUP(J1532,Summary!$H$2:$I$9,2)),VLOOKUP(J1532,Summary!$J$2:$K$9,2)*IF(ISNUMBER(H1532),H1532,1))</f>
        <v>0.42053240740740749</v>
      </c>
      <c r="AG1532" s="298">
        <v>1531</v>
      </c>
      <c r="AH1532" s="94"/>
      <c r="AI1532" s="94"/>
    </row>
    <row r="1533" spans="1:35" s="29" customFormat="1" ht="12" customHeight="1" x14ac:dyDescent="0.25">
      <c r="A1533" s="487" t="s">
        <v>6958</v>
      </c>
      <c r="B1533" s="487">
        <v>4</v>
      </c>
      <c r="C1533" s="487">
        <v>109</v>
      </c>
      <c r="D1533" s="424" t="s">
        <v>6959</v>
      </c>
      <c r="E1533" s="319" t="s">
        <v>6960</v>
      </c>
      <c r="F1533" s="198">
        <v>29463</v>
      </c>
      <c r="G1533" s="198">
        <v>29484</v>
      </c>
      <c r="H1533" s="199">
        <v>4</v>
      </c>
      <c r="I1533" s="791">
        <f>TIME(0,23,33)+TIME(0,20,45)+TIME(0,21,21)+TIME(0,21,19)</f>
        <v>6.039351851851852E-2</v>
      </c>
      <c r="J1533" s="904" t="s">
        <v>1588</v>
      </c>
      <c r="K1533" s="200" t="s">
        <v>363</v>
      </c>
      <c r="L1533" s="200" t="s">
        <v>6961</v>
      </c>
      <c r="M1533" s="200"/>
      <c r="N1533" s="200" t="s">
        <v>6963</v>
      </c>
      <c r="O1533" s="200" t="s">
        <v>6962</v>
      </c>
      <c r="P1533" s="197" t="s">
        <v>461</v>
      </c>
      <c r="Q1533" s="200" t="s">
        <v>3946</v>
      </c>
      <c r="R1533" s="201" t="s">
        <v>5280</v>
      </c>
      <c r="S1533" s="390" t="s">
        <v>2610</v>
      </c>
      <c r="T1533" s="197" t="s">
        <v>6335</v>
      </c>
      <c r="U1533" s="197"/>
      <c r="V1533" s="197"/>
      <c r="W1533" s="318" t="s">
        <v>8715</v>
      </c>
      <c r="X1533" s="650" t="s">
        <v>12331</v>
      </c>
      <c r="Y1533" s="358" t="s">
        <v>6141</v>
      </c>
      <c r="Z1533" s="253">
        <v>283</v>
      </c>
      <c r="AA1533" s="253">
        <v>2.5</v>
      </c>
      <c r="AB1533" s="35">
        <f t="shared" ca="1" si="31"/>
        <v>0.24315526449610647</v>
      </c>
      <c r="AC1533" s="820"/>
      <c r="AD1533" s="821" t="s">
        <v>16164</v>
      </c>
      <c r="AE1533" s="944" t="s">
        <v>16075</v>
      </c>
      <c r="AF1533" s="925">
        <f>IF(X1533=X1532,AF1532,0)+IF(ISNUMBER(I1533),IF(I1533&lt;1,I1533,I1533*VLOOKUP(J1533,Summary!$H$2:$I$9,2)),VLOOKUP(J1533,Summary!$J$2:$K$9,2)*IF(ISNUMBER(H1533),H1533,1))</f>
        <v>0.48092592592592603</v>
      </c>
      <c r="AG1533" s="293">
        <v>1532</v>
      </c>
      <c r="AH1533" s="94"/>
      <c r="AI1533" s="94"/>
    </row>
    <row r="1534" spans="1:35" s="3" customFormat="1" ht="12" customHeight="1" x14ac:dyDescent="0.25">
      <c r="A1534" s="484">
        <v>18</v>
      </c>
      <c r="B1534" s="484">
        <v>4</v>
      </c>
      <c r="C1534" s="502">
        <v>6.8</v>
      </c>
      <c r="D1534" s="407" t="s">
        <v>12141</v>
      </c>
      <c r="E1534" s="315" t="s">
        <v>12156</v>
      </c>
      <c r="F1534" s="196">
        <v>42963</v>
      </c>
      <c r="G1534" s="170"/>
      <c r="H1534" s="170">
        <v>2</v>
      </c>
      <c r="I1534" s="747">
        <f>TIME(0,60,0)</f>
        <v>4.1666666666666664E-2</v>
      </c>
      <c r="J1534" s="899" t="s">
        <v>4706</v>
      </c>
      <c r="K1534" s="167" t="s">
        <v>941</v>
      </c>
      <c r="L1534" s="167" t="s">
        <v>4549</v>
      </c>
      <c r="M1534" s="167"/>
      <c r="N1534" s="167"/>
      <c r="O1534" s="167" t="s">
        <v>3295</v>
      </c>
      <c r="P1534" s="168" t="s">
        <v>12167</v>
      </c>
      <c r="Q1534" s="167" t="s">
        <v>3947</v>
      </c>
      <c r="R1534" s="172" t="s">
        <v>7162</v>
      </c>
      <c r="S1534" s="388" t="s">
        <v>2610</v>
      </c>
      <c r="T1534" s="168"/>
      <c r="U1534" s="168"/>
      <c r="V1534" s="168"/>
      <c r="W1534" s="312"/>
      <c r="X1534" s="644" t="s">
        <v>12331</v>
      </c>
      <c r="Y1534" s="352"/>
      <c r="Z1534" s="353"/>
      <c r="AA1534" s="353"/>
      <c r="AB1534" s="31">
        <f t="shared" ca="1" si="31"/>
        <v>0.85231788864908542</v>
      </c>
      <c r="AC1534" s="810"/>
      <c r="AD1534" s="811"/>
      <c r="AE1534" s="940"/>
      <c r="AF1534" s="920">
        <f>IF(X1534=X1533,AF1533,0)+IF(ISNUMBER(I1534),IF(I1534&lt;1,I1534,I1534*VLOOKUP(J1534,Summary!$H$2:$I$9,2)),VLOOKUP(J1534,Summary!$J$2:$K$9,2)*IF(ISNUMBER(H1534),H1534,1))</f>
        <v>0.52259259259259272</v>
      </c>
      <c r="AG1534" s="287">
        <v>1533</v>
      </c>
      <c r="AH1534" s="94"/>
      <c r="AI1534" s="94"/>
    </row>
    <row r="1535" spans="1:35" s="1" customFormat="1" ht="12" customHeight="1" x14ac:dyDescent="0.25">
      <c r="A1535" s="484">
        <v>18</v>
      </c>
      <c r="B1535" s="484">
        <v>4</v>
      </c>
      <c r="C1535" s="502">
        <v>6.9</v>
      </c>
      <c r="D1535" s="407" t="s">
        <v>12142</v>
      </c>
      <c r="E1535" s="315" t="s">
        <v>12157</v>
      </c>
      <c r="F1535" s="196">
        <v>42991</v>
      </c>
      <c r="G1535" s="170"/>
      <c r="H1535" s="170">
        <v>2</v>
      </c>
      <c r="I1535" s="747">
        <f>TIME(0,60,0)</f>
        <v>4.1666666666666664E-2</v>
      </c>
      <c r="J1535" s="899" t="s">
        <v>4706</v>
      </c>
      <c r="K1535" s="167" t="s">
        <v>941</v>
      </c>
      <c r="L1535" s="167" t="s">
        <v>4549</v>
      </c>
      <c r="M1535" s="167"/>
      <c r="N1535" s="167"/>
      <c r="O1535" s="167" t="s">
        <v>3295</v>
      </c>
      <c r="P1535" s="168" t="s">
        <v>12168</v>
      </c>
      <c r="Q1535" s="167" t="s">
        <v>3947</v>
      </c>
      <c r="R1535" s="172" t="s">
        <v>7162</v>
      </c>
      <c r="S1535" s="388" t="s">
        <v>2610</v>
      </c>
      <c r="T1535" s="168"/>
      <c r="U1535" s="168"/>
      <c r="V1535" s="168"/>
      <c r="W1535" s="312"/>
      <c r="X1535" s="644" t="s">
        <v>12331</v>
      </c>
      <c r="Y1535" s="352"/>
      <c r="Z1535" s="353"/>
      <c r="AA1535" s="353"/>
      <c r="AB1535" s="31">
        <f t="shared" ca="1" si="31"/>
        <v>0.46929225063508895</v>
      </c>
      <c r="AC1535" s="810"/>
      <c r="AD1535" s="811"/>
      <c r="AE1535" s="940"/>
      <c r="AF1535" s="920">
        <f>IF(X1535=X1534,AF1534,0)+IF(ISNUMBER(I1535),IF(I1535&lt;1,I1535,I1535*VLOOKUP(J1535,Summary!$H$2:$I$9,2)),VLOOKUP(J1535,Summary!$J$2:$K$9,2)*IF(ISNUMBER(H1535),H1535,1))</f>
        <v>0.56425925925925935</v>
      </c>
      <c r="AG1535" s="287">
        <v>1534</v>
      </c>
      <c r="AH1535" s="94"/>
      <c r="AI1535" s="94"/>
    </row>
    <row r="1536" spans="1:35" s="43" customFormat="1" ht="12" customHeight="1" x14ac:dyDescent="0.25">
      <c r="A1536" s="490">
        <v>18</v>
      </c>
      <c r="B1536" s="490">
        <v>4</v>
      </c>
      <c r="C1536" s="490">
        <v>14</v>
      </c>
      <c r="D1536" s="176" t="s">
        <v>864</v>
      </c>
      <c r="E1536" s="313" t="s">
        <v>836</v>
      </c>
      <c r="F1536" s="174">
        <v>36100</v>
      </c>
      <c r="G1536" s="175"/>
      <c r="H1536" s="176" t="s">
        <v>461</v>
      </c>
      <c r="I1536" s="176"/>
      <c r="J1536" s="900" t="s">
        <v>2755</v>
      </c>
      <c r="K1536" s="164" t="s">
        <v>4148</v>
      </c>
      <c r="L1536" s="164"/>
      <c r="M1536" s="164"/>
      <c r="N1536" s="164" t="s">
        <v>819</v>
      </c>
      <c r="O1536" s="164"/>
      <c r="P1536" s="178" t="s">
        <v>461</v>
      </c>
      <c r="Q1536" s="164" t="s">
        <v>820</v>
      </c>
      <c r="R1536" s="177" t="s">
        <v>895</v>
      </c>
      <c r="S1536" s="354" t="s">
        <v>913</v>
      </c>
      <c r="T1536" s="173" t="s">
        <v>6335</v>
      </c>
      <c r="U1536" s="173"/>
      <c r="V1536" s="173"/>
      <c r="W1536" s="313" t="s">
        <v>836</v>
      </c>
      <c r="X1536" s="645" t="s">
        <v>12331</v>
      </c>
      <c r="Y1536" s="354"/>
      <c r="Z1536" s="176"/>
      <c r="AA1536" s="176"/>
      <c r="AB1536" s="32">
        <f t="shared" ca="1" si="31"/>
        <v>0.6988990143149223</v>
      </c>
      <c r="AC1536" s="812"/>
      <c r="AD1536" s="763"/>
      <c r="AE1536" s="807"/>
      <c r="AF1536" s="921">
        <f>IF(X1536=X1535,AF1535,0)+IF(ISNUMBER(I1536),IF(I1536&lt;1,I1536,I1536*VLOOKUP(J1536,Summary!$H$2:$I$9,2)),VLOOKUP(J1536,Summary!$J$2:$K$9,2)*IF(ISNUMBER(H1536),H1536,1))</f>
        <v>0.58162037037037051</v>
      </c>
      <c r="AG1536" s="289">
        <v>1535</v>
      </c>
      <c r="AH1536" s="94"/>
      <c r="AI1536" s="94"/>
    </row>
    <row r="1537" spans="1:35" s="29" customFormat="1" ht="12" customHeight="1" x14ac:dyDescent="0.25">
      <c r="A1537" s="490">
        <v>18</v>
      </c>
      <c r="B1537" s="490">
        <v>4</v>
      </c>
      <c r="C1537" s="496">
        <v>4.0999999999999996</v>
      </c>
      <c r="D1537" s="434" t="s">
        <v>3174</v>
      </c>
      <c r="E1537" s="324" t="s">
        <v>3173</v>
      </c>
      <c r="F1537" s="174">
        <v>37591</v>
      </c>
      <c r="G1537" s="174"/>
      <c r="H1537" s="176">
        <v>1</v>
      </c>
      <c r="I1537" s="176">
        <v>17</v>
      </c>
      <c r="J1537" s="900" t="s">
        <v>2755</v>
      </c>
      <c r="K1537" s="164" t="s">
        <v>4425</v>
      </c>
      <c r="L1537" s="164" t="s">
        <v>461</v>
      </c>
      <c r="M1537" s="164"/>
      <c r="N1537" s="164" t="s">
        <v>4552</v>
      </c>
      <c r="O1537" s="164"/>
      <c r="P1537" s="173" t="s">
        <v>6556</v>
      </c>
      <c r="Q1537" s="164" t="s">
        <v>3947</v>
      </c>
      <c r="R1537" s="179" t="s">
        <v>2723</v>
      </c>
      <c r="S1537" s="354" t="s">
        <v>2610</v>
      </c>
      <c r="T1537" s="173"/>
      <c r="U1537" s="173"/>
      <c r="V1537" s="173"/>
      <c r="W1537" s="324" t="s">
        <v>3173</v>
      </c>
      <c r="X1537" s="656" t="s">
        <v>12331</v>
      </c>
      <c r="Y1537" s="354"/>
      <c r="Z1537" s="176"/>
      <c r="AA1537" s="176"/>
      <c r="AB1537" s="32">
        <f t="shared" ca="1" si="31"/>
        <v>0.54599179992834745</v>
      </c>
      <c r="AC1537" s="812"/>
      <c r="AD1537" s="763"/>
      <c r="AE1537" s="951"/>
      <c r="AF1537" s="921">
        <f>IF(X1537=X1536,AF1536,0)+IF(ISNUMBER(I1537),IF(I1537&lt;1,I1537,I1537*VLOOKUP(J1537,Summary!$H$2:$I$9,2)),VLOOKUP(J1537,Summary!$J$2:$K$9,2)*IF(ISNUMBER(H1537),H1537,1))</f>
        <v>0.59342592592592602</v>
      </c>
      <c r="AG1537" s="288">
        <v>1536</v>
      </c>
      <c r="AH1537" s="94"/>
      <c r="AI1537" s="94"/>
    </row>
    <row r="1538" spans="1:35" s="29" customFormat="1" ht="12" customHeight="1" x14ac:dyDescent="0.25">
      <c r="A1538" s="490">
        <v>18</v>
      </c>
      <c r="B1538" s="490">
        <v>4</v>
      </c>
      <c r="C1538" s="490">
        <v>8.11</v>
      </c>
      <c r="D1538" s="434" t="s">
        <v>5457</v>
      </c>
      <c r="E1538" s="324" t="s">
        <v>6328</v>
      </c>
      <c r="F1538" s="174">
        <v>37956</v>
      </c>
      <c r="G1538" s="174"/>
      <c r="H1538" s="176">
        <v>1</v>
      </c>
      <c r="I1538" s="176">
        <v>12</v>
      </c>
      <c r="J1538" s="900" t="s">
        <v>2755</v>
      </c>
      <c r="K1538" s="164" t="s">
        <v>2311</v>
      </c>
      <c r="L1538" s="164" t="s">
        <v>461</v>
      </c>
      <c r="M1538" s="164"/>
      <c r="N1538" s="164" t="s">
        <v>4996</v>
      </c>
      <c r="O1538" s="164"/>
      <c r="P1538" s="173" t="s">
        <v>2555</v>
      </c>
      <c r="Q1538" s="164" t="s">
        <v>3947</v>
      </c>
      <c r="R1538" s="179" t="s">
        <v>2723</v>
      </c>
      <c r="S1538" s="354" t="s">
        <v>2610</v>
      </c>
      <c r="T1538" s="173"/>
      <c r="U1538" s="173"/>
      <c r="V1538" s="173"/>
      <c r="W1538" s="324" t="s">
        <v>6328</v>
      </c>
      <c r="X1538" s="656" t="s">
        <v>12331</v>
      </c>
      <c r="Y1538" s="354"/>
      <c r="Z1538" s="176"/>
      <c r="AA1538" s="176"/>
      <c r="AB1538" s="32">
        <f t="shared" ref="AB1538:AB1601" ca="1" si="32">RAND()</f>
        <v>0.66253018849210055</v>
      </c>
      <c r="AC1538" s="812"/>
      <c r="AD1538" s="763"/>
      <c r="AE1538" s="951"/>
      <c r="AF1538" s="921">
        <f>IF(X1538=X1537,AF1537,0)+IF(ISNUMBER(I1538),IF(I1538&lt;1,I1538,I1538*VLOOKUP(J1538,Summary!$H$2:$I$9,2)),VLOOKUP(J1538,Summary!$J$2:$K$9,2)*IF(ISNUMBER(H1538),H1538,1))</f>
        <v>0.60175925925925933</v>
      </c>
      <c r="AG1538" s="288">
        <v>1537</v>
      </c>
      <c r="AH1538" s="94"/>
      <c r="AI1538" s="94"/>
    </row>
    <row r="1539" spans="1:35" s="22" customFormat="1" ht="12" customHeight="1" x14ac:dyDescent="0.25">
      <c r="A1539" s="490">
        <v>18</v>
      </c>
      <c r="B1539" s="490">
        <v>4</v>
      </c>
      <c r="C1539" s="490">
        <v>29.22</v>
      </c>
      <c r="D1539" s="176" t="s">
        <v>952</v>
      </c>
      <c r="E1539" s="313" t="s">
        <v>5352</v>
      </c>
      <c r="F1539" s="174">
        <v>39692</v>
      </c>
      <c r="G1539" s="174"/>
      <c r="H1539" s="176" t="s">
        <v>461</v>
      </c>
      <c r="I1539" s="176">
        <v>12</v>
      </c>
      <c r="J1539" s="900" t="s">
        <v>2755</v>
      </c>
      <c r="K1539" s="164" t="s">
        <v>5351</v>
      </c>
      <c r="L1539" s="164" t="s">
        <v>461</v>
      </c>
      <c r="M1539" s="164"/>
      <c r="N1539" s="164" t="s">
        <v>5664</v>
      </c>
      <c r="O1539" s="164"/>
      <c r="P1539" s="173" t="s">
        <v>6707</v>
      </c>
      <c r="Q1539" s="164" t="s">
        <v>3947</v>
      </c>
      <c r="R1539" s="177" t="s">
        <v>2723</v>
      </c>
      <c r="S1539" s="354" t="s">
        <v>2610</v>
      </c>
      <c r="T1539" s="173"/>
      <c r="U1539" s="173"/>
      <c r="V1539" s="173"/>
      <c r="W1539" s="313" t="s">
        <v>5352</v>
      </c>
      <c r="X1539" s="645" t="s">
        <v>12331</v>
      </c>
      <c r="Y1539" s="354"/>
      <c r="Z1539" s="176"/>
      <c r="AA1539" s="176"/>
      <c r="AB1539" s="32">
        <f t="shared" ca="1" si="32"/>
        <v>0.42311404098445438</v>
      </c>
      <c r="AC1539" s="812"/>
      <c r="AD1539" s="763"/>
      <c r="AE1539" s="807"/>
      <c r="AF1539" s="921">
        <f>IF(X1539=X1538,AF1538,0)+IF(ISNUMBER(I1539),IF(I1539&lt;1,I1539,I1539*VLOOKUP(J1539,Summary!$H$2:$I$9,2)),VLOOKUP(J1539,Summary!$J$2:$K$9,2)*IF(ISNUMBER(H1539),H1539,1))</f>
        <v>0.61009259259259263</v>
      </c>
      <c r="AG1539" s="289">
        <v>1538</v>
      </c>
      <c r="AH1539" s="94"/>
      <c r="AI1539" s="94"/>
    </row>
    <row r="1540" spans="1:35" s="29" customFormat="1" ht="12" customHeight="1" x14ac:dyDescent="0.25">
      <c r="A1540" s="487" t="s">
        <v>6958</v>
      </c>
      <c r="B1540" s="487">
        <v>4</v>
      </c>
      <c r="C1540" s="487">
        <v>110</v>
      </c>
      <c r="D1540" s="424" t="s">
        <v>6964</v>
      </c>
      <c r="E1540" s="319" t="s">
        <v>6965</v>
      </c>
      <c r="F1540" s="198">
        <v>29491</v>
      </c>
      <c r="G1540" s="198">
        <v>29512</v>
      </c>
      <c r="H1540" s="199">
        <v>4</v>
      </c>
      <c r="I1540" s="791">
        <f>TIME(0,24,43)+TIME(0,21,24)+TIME(0,21,19)+TIME(0,19,30)</f>
        <v>6.0370370370370373E-2</v>
      </c>
      <c r="J1540" s="904" t="s">
        <v>1588</v>
      </c>
      <c r="K1540" s="200" t="s">
        <v>6966</v>
      </c>
      <c r="L1540" s="200" t="s">
        <v>6967</v>
      </c>
      <c r="M1540" s="200"/>
      <c r="N1540" s="200" t="s">
        <v>6963</v>
      </c>
      <c r="O1540" s="200" t="s">
        <v>6962</v>
      </c>
      <c r="P1540" s="197" t="s">
        <v>461</v>
      </c>
      <c r="Q1540" s="200" t="s">
        <v>3946</v>
      </c>
      <c r="R1540" s="201" t="s">
        <v>5280</v>
      </c>
      <c r="S1540" s="390" t="s">
        <v>2610</v>
      </c>
      <c r="T1540" s="197" t="s">
        <v>6335</v>
      </c>
      <c r="U1540" s="197"/>
      <c r="V1540" s="197"/>
      <c r="W1540" s="318" t="s">
        <v>8716</v>
      </c>
      <c r="X1540" s="650" t="s">
        <v>12331</v>
      </c>
      <c r="Y1540" s="358" t="s">
        <v>6141</v>
      </c>
      <c r="Z1540" s="253">
        <v>268</v>
      </c>
      <c r="AA1540" s="253">
        <v>2.5</v>
      </c>
      <c r="AB1540" s="35">
        <f t="shared" ca="1" si="32"/>
        <v>0.87688800365574904</v>
      </c>
      <c r="AC1540" s="820"/>
      <c r="AD1540" s="821" t="s">
        <v>15990</v>
      </c>
      <c r="AE1540" s="944" t="s">
        <v>12543</v>
      </c>
      <c r="AF1540" s="925">
        <f>IF(X1540=X1539,AF1539,0)+IF(ISNUMBER(I1540),IF(I1540&lt;1,I1540,I1540*VLOOKUP(J1540,Summary!$H$2:$I$9,2)),VLOOKUP(J1540,Summary!$J$2:$K$9,2)*IF(ISNUMBER(H1540),H1540,1))</f>
        <v>0.67046296296296304</v>
      </c>
      <c r="AG1540" s="293">
        <v>1539</v>
      </c>
      <c r="AH1540" s="94"/>
      <c r="AI1540" s="94"/>
    </row>
    <row r="1541" spans="1:35" s="29" customFormat="1" ht="12" customHeight="1" x14ac:dyDescent="0.25">
      <c r="A1541" s="487" t="s">
        <v>6958</v>
      </c>
      <c r="B1541" s="487">
        <v>4</v>
      </c>
      <c r="C1541" s="487">
        <v>111</v>
      </c>
      <c r="D1541" s="424" t="s">
        <v>6968</v>
      </c>
      <c r="E1541" s="319" t="s">
        <v>6969</v>
      </c>
      <c r="F1541" s="198">
        <v>29519</v>
      </c>
      <c r="G1541" s="198">
        <v>29540</v>
      </c>
      <c r="H1541" s="199">
        <v>4</v>
      </c>
      <c r="I1541" s="791">
        <f>TIME(0,24,23)+TIME(0,22,11)+TIME(0,22, 0)+TIME(0,24,16)</f>
        <v>6.446759259259259E-2</v>
      </c>
      <c r="J1541" s="904" t="s">
        <v>1588</v>
      </c>
      <c r="K1541" s="200" t="s">
        <v>6970</v>
      </c>
      <c r="L1541" s="200" t="s">
        <v>2615</v>
      </c>
      <c r="M1541" s="200"/>
      <c r="N1541" s="200" t="s">
        <v>6963</v>
      </c>
      <c r="O1541" s="200" t="s">
        <v>6962</v>
      </c>
      <c r="P1541" s="197" t="s">
        <v>461</v>
      </c>
      <c r="Q1541" s="200" t="s">
        <v>3946</v>
      </c>
      <c r="R1541" s="201" t="s">
        <v>5280</v>
      </c>
      <c r="S1541" s="390" t="s">
        <v>2610</v>
      </c>
      <c r="T1541" s="197" t="s">
        <v>6335</v>
      </c>
      <c r="U1541" s="197" t="s">
        <v>7309</v>
      </c>
      <c r="V1541" s="197"/>
      <c r="W1541" s="318" t="s">
        <v>8717</v>
      </c>
      <c r="X1541" s="650" t="s">
        <v>12331</v>
      </c>
      <c r="Y1541" s="358" t="s">
        <v>6141</v>
      </c>
      <c r="Z1541" s="253">
        <v>234</v>
      </c>
      <c r="AA1541" s="253">
        <v>4</v>
      </c>
      <c r="AB1541" s="35">
        <f t="shared" ca="1" si="32"/>
        <v>0.923048680187462</v>
      </c>
      <c r="AC1541" s="820"/>
      <c r="AD1541" s="821" t="s">
        <v>461</v>
      </c>
      <c r="AE1541" s="944"/>
      <c r="AF1541" s="925">
        <f>IF(X1541=X1540,AF1540,0)+IF(ISNUMBER(I1541),IF(I1541&lt;1,I1541,I1541*VLOOKUP(J1541,Summary!$H$2:$I$9,2)),VLOOKUP(J1541,Summary!$J$2:$K$9,2)*IF(ISNUMBER(H1541),H1541,1))</f>
        <v>0.73493055555555564</v>
      </c>
      <c r="AG1541" s="293">
        <v>1540</v>
      </c>
      <c r="AH1541" s="94"/>
      <c r="AI1541" s="94"/>
    </row>
    <row r="1542" spans="1:35" s="43" customFormat="1" ht="12" customHeight="1" x14ac:dyDescent="0.25">
      <c r="A1542" s="487" t="s">
        <v>6958</v>
      </c>
      <c r="B1542" s="487">
        <v>4</v>
      </c>
      <c r="C1542" s="487">
        <v>112</v>
      </c>
      <c r="D1542" s="424" t="s">
        <v>2616</v>
      </c>
      <c r="E1542" s="319" t="s">
        <v>2617</v>
      </c>
      <c r="F1542" s="198">
        <v>29547</v>
      </c>
      <c r="G1542" s="198">
        <v>29568</v>
      </c>
      <c r="H1542" s="199">
        <v>4</v>
      </c>
      <c r="I1542" s="791">
        <f>TIME(0,22,24)+TIME(0,23,16)+TIME(0,24,13)+TIME(0,24,54)</f>
        <v>6.582175925925926E-2</v>
      </c>
      <c r="J1542" s="904" t="s">
        <v>1588</v>
      </c>
      <c r="K1542" s="200" t="s">
        <v>1088</v>
      </c>
      <c r="L1542" s="200" t="s">
        <v>2618</v>
      </c>
      <c r="M1542" s="200"/>
      <c r="N1542" s="200" t="s">
        <v>6963</v>
      </c>
      <c r="O1542" s="200" t="s">
        <v>6962</v>
      </c>
      <c r="P1542" s="197" t="s">
        <v>461</v>
      </c>
      <c r="Q1542" s="200" t="s">
        <v>3946</v>
      </c>
      <c r="R1542" s="201" t="s">
        <v>5280</v>
      </c>
      <c r="S1542" s="390" t="s">
        <v>2610</v>
      </c>
      <c r="T1542" s="197" t="s">
        <v>6335</v>
      </c>
      <c r="U1542" s="197" t="s">
        <v>7309</v>
      </c>
      <c r="V1542" s="197"/>
      <c r="W1542" s="318" t="s">
        <v>8718</v>
      </c>
      <c r="X1542" s="650" t="s">
        <v>12331</v>
      </c>
      <c r="Y1542" s="358" t="s">
        <v>6141</v>
      </c>
      <c r="Z1542" s="253">
        <v>54</v>
      </c>
      <c r="AA1542" s="253">
        <v>8</v>
      </c>
      <c r="AB1542" s="35">
        <f t="shared" ca="1" si="32"/>
        <v>0.14366763395017124</v>
      </c>
      <c r="AC1542" s="820"/>
      <c r="AD1542" s="821" t="s">
        <v>461</v>
      </c>
      <c r="AE1542" s="944"/>
      <c r="AF1542" s="925">
        <f>IF(X1542=X1541,AF1541,0)+IF(ISNUMBER(I1542),IF(I1542&lt;1,I1542,I1542*VLOOKUP(J1542,Summary!$H$2:$I$9,2)),VLOOKUP(J1542,Summary!$J$2:$K$9,2)*IF(ISNUMBER(H1542),H1542,1))</f>
        <v>0.8007523148148149</v>
      </c>
      <c r="AG1542" s="293">
        <v>1541</v>
      </c>
      <c r="AH1542" s="94"/>
      <c r="AI1542" s="94"/>
    </row>
    <row r="1543" spans="1:35" s="43" customFormat="1" ht="12" customHeight="1" x14ac:dyDescent="0.25">
      <c r="A1543" s="422">
        <v>18</v>
      </c>
      <c r="B1543" s="422" t="s">
        <v>2650</v>
      </c>
      <c r="C1543" s="422">
        <v>14.19</v>
      </c>
      <c r="D1543" s="176" t="s">
        <v>7635</v>
      </c>
      <c r="E1543" s="313" t="s">
        <v>2996</v>
      </c>
      <c r="F1543" s="174">
        <v>38322</v>
      </c>
      <c r="G1543" s="174"/>
      <c r="H1543" s="176">
        <v>1</v>
      </c>
      <c r="I1543" s="176">
        <v>4</v>
      </c>
      <c r="J1543" s="900" t="s">
        <v>2755</v>
      </c>
      <c r="K1543" s="164" t="s">
        <v>2997</v>
      </c>
      <c r="L1543" s="164" t="s">
        <v>461</v>
      </c>
      <c r="M1543" s="164"/>
      <c r="N1543" s="164" t="s">
        <v>3807</v>
      </c>
      <c r="O1543" s="164"/>
      <c r="P1543" s="173" t="s">
        <v>6565</v>
      </c>
      <c r="Q1543" s="164" t="s">
        <v>3947</v>
      </c>
      <c r="R1543" s="179" t="s">
        <v>2723</v>
      </c>
      <c r="S1543" s="354"/>
      <c r="T1543" s="173"/>
      <c r="U1543" s="173"/>
      <c r="V1543" s="173"/>
      <c r="W1543" s="313" t="s">
        <v>2996</v>
      </c>
      <c r="X1543" s="645" t="s">
        <v>12331</v>
      </c>
      <c r="Y1543" s="354"/>
      <c r="Z1543" s="176"/>
      <c r="AA1543" s="176"/>
      <c r="AB1543" s="32">
        <f t="shared" ca="1" si="32"/>
        <v>0.91459464387197731</v>
      </c>
      <c r="AC1543" s="812"/>
      <c r="AD1543" s="763" t="s">
        <v>461</v>
      </c>
      <c r="AE1543" s="807"/>
      <c r="AF1543" s="921">
        <f>IF(X1543=X1542,AF1542,0)+IF(ISNUMBER(I1543),IF(I1543&lt;1,I1543,I1543*VLOOKUP(J1543,Summary!$H$2:$I$9,2)),VLOOKUP(J1543,Summary!$J$2:$K$9,2)*IF(ISNUMBER(H1543),H1543,1))</f>
        <v>0.80353009259259267</v>
      </c>
      <c r="AG1543" s="289">
        <v>1542</v>
      </c>
      <c r="AH1543" s="94"/>
      <c r="AI1543" s="94"/>
    </row>
    <row r="1544" spans="1:35" s="29" customFormat="1" ht="12" customHeight="1" x14ac:dyDescent="0.25">
      <c r="A1544" s="484">
        <v>18</v>
      </c>
      <c r="B1544" s="484">
        <v>4</v>
      </c>
      <c r="C1544" s="505">
        <v>5.04</v>
      </c>
      <c r="D1544" s="407" t="s">
        <v>718</v>
      </c>
      <c r="E1544" s="315" t="s">
        <v>5661</v>
      </c>
      <c r="F1544" s="169">
        <v>40452</v>
      </c>
      <c r="G1544" s="229"/>
      <c r="H1544" s="170">
        <v>2</v>
      </c>
      <c r="I1544" s="746">
        <f>TIME(1,1,4)</f>
        <v>4.2407407407407401E-2</v>
      </c>
      <c r="J1544" s="899" t="s">
        <v>4706</v>
      </c>
      <c r="K1544" s="167" t="s">
        <v>6970</v>
      </c>
      <c r="L1544" s="167" t="s">
        <v>5662</v>
      </c>
      <c r="M1544" s="167" t="s">
        <v>8055</v>
      </c>
      <c r="N1544" s="167"/>
      <c r="O1544" s="167"/>
      <c r="P1544" s="168" t="s">
        <v>9193</v>
      </c>
      <c r="Q1544" s="167" t="s">
        <v>3947</v>
      </c>
      <c r="R1544" s="172" t="s">
        <v>3153</v>
      </c>
      <c r="S1544" s="388" t="s">
        <v>2610</v>
      </c>
      <c r="T1544" s="168" t="s">
        <v>6335</v>
      </c>
      <c r="U1544" s="168" t="s">
        <v>7309</v>
      </c>
      <c r="V1544" s="168"/>
      <c r="W1544" s="312" t="s">
        <v>10264</v>
      </c>
      <c r="X1544" s="644" t="s">
        <v>12331</v>
      </c>
      <c r="Y1544" s="352" t="s">
        <v>5398</v>
      </c>
      <c r="Z1544" s="353">
        <v>408</v>
      </c>
      <c r="AA1544" s="353">
        <v>4.5</v>
      </c>
      <c r="AB1544" s="31">
        <f t="shared" ca="1" si="32"/>
        <v>0.63184740409901063</v>
      </c>
      <c r="AC1544" s="810"/>
      <c r="AD1544" s="811" t="s">
        <v>461</v>
      </c>
      <c r="AE1544" s="940"/>
      <c r="AF1544" s="920">
        <f>IF(X1544=X1543,AF1543,0)+IF(ISNUMBER(I1544),IF(I1544&lt;1,I1544,I1544*VLOOKUP(J1544,Summary!$H$2:$I$9,2)),VLOOKUP(J1544,Summary!$J$2:$K$9,2)*IF(ISNUMBER(H1544),H1544,1))</f>
        <v>0.84593750000000012</v>
      </c>
      <c r="AG1544" s="287">
        <v>1543</v>
      </c>
      <c r="AH1544" s="94"/>
      <c r="AI1544" s="94"/>
    </row>
    <row r="1545" spans="1:35" s="29" customFormat="1" ht="12" customHeight="1" x14ac:dyDescent="0.25">
      <c r="A1545" s="490">
        <v>18</v>
      </c>
      <c r="B1545" s="490">
        <v>4</v>
      </c>
      <c r="C1545" s="490">
        <v>8.14</v>
      </c>
      <c r="D1545" s="434" t="s">
        <v>3182</v>
      </c>
      <c r="E1545" s="324" t="s">
        <v>3177</v>
      </c>
      <c r="F1545" s="174">
        <v>37956</v>
      </c>
      <c r="G1545" s="174"/>
      <c r="H1545" s="176">
        <v>1</v>
      </c>
      <c r="I1545" s="176">
        <v>11</v>
      </c>
      <c r="J1545" s="900" t="s">
        <v>2755</v>
      </c>
      <c r="K1545" s="164" t="s">
        <v>4996</v>
      </c>
      <c r="L1545" s="164" t="s">
        <v>461</v>
      </c>
      <c r="M1545" s="164"/>
      <c r="N1545" s="164" t="s">
        <v>4996</v>
      </c>
      <c r="O1545" s="164"/>
      <c r="P1545" s="173" t="s">
        <v>2555</v>
      </c>
      <c r="Q1545" s="164" t="s">
        <v>3947</v>
      </c>
      <c r="R1545" s="179" t="s">
        <v>2723</v>
      </c>
      <c r="S1545" s="354" t="s">
        <v>2610</v>
      </c>
      <c r="T1545" s="173"/>
      <c r="U1545" s="173" t="s">
        <v>7309</v>
      </c>
      <c r="V1545" s="173"/>
      <c r="W1545" s="324" t="s">
        <v>3177</v>
      </c>
      <c r="X1545" s="656" t="s">
        <v>12331</v>
      </c>
      <c r="Y1545" s="354"/>
      <c r="Z1545" s="176"/>
      <c r="AA1545" s="176"/>
      <c r="AB1545" s="32">
        <f t="shared" ca="1" si="32"/>
        <v>0.12334765992319452</v>
      </c>
      <c r="AC1545" s="812"/>
      <c r="AD1545" s="763" t="s">
        <v>461</v>
      </c>
      <c r="AE1545" s="951"/>
      <c r="AF1545" s="921">
        <f>IF(X1545=X1544,AF1544,0)+IF(ISNUMBER(I1545),IF(I1545&lt;1,I1545,I1545*VLOOKUP(J1545,Summary!$H$2:$I$9,2)),VLOOKUP(J1545,Summary!$J$2:$K$9,2)*IF(ISNUMBER(H1545),H1545,1))</f>
        <v>0.85357638888888898</v>
      </c>
      <c r="AG1545" s="288">
        <v>1544</v>
      </c>
      <c r="AH1545" s="94"/>
      <c r="AI1545" s="94"/>
    </row>
    <row r="1546" spans="1:35" s="29" customFormat="1" ht="12" customHeight="1" x14ac:dyDescent="0.25">
      <c r="A1546" s="494">
        <v>18</v>
      </c>
      <c r="B1546" s="494">
        <v>4</v>
      </c>
      <c r="C1546" s="495">
        <v>6.09</v>
      </c>
      <c r="D1546" s="192" t="s">
        <v>12169</v>
      </c>
      <c r="E1546" s="317" t="s">
        <v>12170</v>
      </c>
      <c r="F1546" s="209">
        <v>42642</v>
      </c>
      <c r="G1546" s="191"/>
      <c r="H1546" s="192">
        <v>1</v>
      </c>
      <c r="I1546" s="753">
        <f>TIME(0,43, 6)</f>
        <v>2.9930555555555557E-2</v>
      </c>
      <c r="J1546" s="903" t="s">
        <v>2755</v>
      </c>
      <c r="K1546" s="194" t="s">
        <v>4425</v>
      </c>
      <c r="L1546" s="194" t="s">
        <v>5662</v>
      </c>
      <c r="M1546" s="194" t="s">
        <v>12171</v>
      </c>
      <c r="N1546" s="194"/>
      <c r="O1546" s="194"/>
      <c r="P1546" s="190" t="s">
        <v>12172</v>
      </c>
      <c r="Q1546" s="194" t="s">
        <v>3947</v>
      </c>
      <c r="R1546" s="193" t="s">
        <v>2722</v>
      </c>
      <c r="S1546" s="357" t="s">
        <v>2610</v>
      </c>
      <c r="T1546" s="190" t="s">
        <v>6335</v>
      </c>
      <c r="U1546" s="190" t="s">
        <v>7309</v>
      </c>
      <c r="V1546" s="190"/>
      <c r="W1546" s="317" t="s">
        <v>12170</v>
      </c>
      <c r="X1546" s="649" t="s">
        <v>12331</v>
      </c>
      <c r="Y1546" s="357" t="s">
        <v>5643</v>
      </c>
      <c r="Z1546" s="192">
        <v>1</v>
      </c>
      <c r="AA1546" s="192">
        <v>10</v>
      </c>
      <c r="AB1546" s="37">
        <f t="shared" ca="1" si="32"/>
        <v>0.87980893821738815</v>
      </c>
      <c r="AC1546" s="816"/>
      <c r="AD1546" s="817" t="s">
        <v>461</v>
      </c>
      <c r="AE1546" s="943"/>
      <c r="AF1546" s="924">
        <f>IF(X1546=X1545,AF1545,0)+IF(ISNUMBER(I1546),IF(I1546&lt;1,I1546,I1546*VLOOKUP(J1546,Summary!$H$2:$I$9,2)),VLOOKUP(J1546,Summary!$J$2:$K$9,2)*IF(ISNUMBER(H1546),H1546,1))</f>
        <v>0.88350694444444455</v>
      </c>
      <c r="AG1546" s="292">
        <v>1545</v>
      </c>
      <c r="AH1546" s="94"/>
      <c r="AI1546" s="94"/>
    </row>
    <row r="1547" spans="1:35" s="29" customFormat="1" ht="12" customHeight="1" x14ac:dyDescent="0.25">
      <c r="A1547" s="490">
        <v>18</v>
      </c>
      <c r="B1547" s="490">
        <v>4</v>
      </c>
      <c r="C1547" s="490">
        <v>18</v>
      </c>
      <c r="D1547" s="434" t="s">
        <v>1308</v>
      </c>
      <c r="E1547" s="324" t="s">
        <v>4167</v>
      </c>
      <c r="F1547" s="175">
        <v>33373</v>
      </c>
      <c r="G1547" s="174"/>
      <c r="H1547" s="176">
        <v>1</v>
      </c>
      <c r="I1547" s="176">
        <v>4</v>
      </c>
      <c r="J1547" s="900" t="s">
        <v>2755</v>
      </c>
      <c r="K1547" s="164" t="s">
        <v>4168</v>
      </c>
      <c r="L1547" s="164" t="s">
        <v>4169</v>
      </c>
      <c r="M1547" s="164"/>
      <c r="N1547" s="164"/>
      <c r="O1547" s="164"/>
      <c r="P1547" s="173" t="s">
        <v>461</v>
      </c>
      <c r="Q1547" s="164" t="s">
        <v>4062</v>
      </c>
      <c r="R1547" s="179" t="s">
        <v>10250</v>
      </c>
      <c r="S1547" s="354" t="s">
        <v>2610</v>
      </c>
      <c r="T1547" s="173" t="s">
        <v>6335</v>
      </c>
      <c r="U1547" s="173" t="s">
        <v>7309</v>
      </c>
      <c r="V1547" s="173"/>
      <c r="W1547" s="324" t="s">
        <v>4167</v>
      </c>
      <c r="X1547" s="656" t="s">
        <v>12331</v>
      </c>
      <c r="Y1547" s="354"/>
      <c r="Z1547" s="176"/>
      <c r="AA1547" s="176"/>
      <c r="AB1547" s="32">
        <f t="shared" ca="1" si="32"/>
        <v>0.31623499167186941</v>
      </c>
      <c r="AC1547" s="812"/>
      <c r="AD1547" s="763" t="s">
        <v>461</v>
      </c>
      <c r="AE1547" s="951"/>
      <c r="AF1547" s="921">
        <f>IF(X1547=X1546,AF1546,0)+IF(ISNUMBER(I1547),IF(I1547&lt;1,I1547,I1547*VLOOKUP(J1547,Summary!$H$2:$I$9,2)),VLOOKUP(J1547,Summary!$J$2:$K$9,2)*IF(ISNUMBER(H1547),H1547,1))</f>
        <v>0.88628472222222232</v>
      </c>
      <c r="AG1547" s="288">
        <v>1546</v>
      </c>
      <c r="AH1547" s="94"/>
      <c r="AI1547" s="94"/>
    </row>
    <row r="1548" spans="1:35" s="22" customFormat="1" ht="12" customHeight="1" x14ac:dyDescent="0.25">
      <c r="A1548" s="487" t="s">
        <v>6958</v>
      </c>
      <c r="B1548" s="487">
        <v>4</v>
      </c>
      <c r="C1548" s="487">
        <v>113</v>
      </c>
      <c r="D1548" s="424" t="s">
        <v>2619</v>
      </c>
      <c r="E1548" s="319" t="s">
        <v>2620</v>
      </c>
      <c r="F1548" s="198">
        <v>29589</v>
      </c>
      <c r="G1548" s="198">
        <v>29610</v>
      </c>
      <c r="H1548" s="199">
        <v>4</v>
      </c>
      <c r="I1548" s="791">
        <f>TIME(0,22,54)+TIME(0,23,47)+TIME(0,22,15)+TIME(0,24,53)</f>
        <v>6.5150462962962966E-2</v>
      </c>
      <c r="J1548" s="904" t="s">
        <v>1588</v>
      </c>
      <c r="K1548" s="200" t="s">
        <v>2621</v>
      </c>
      <c r="L1548" s="200" t="s">
        <v>2622</v>
      </c>
      <c r="M1548" s="200"/>
      <c r="N1548" s="200" t="s">
        <v>6963</v>
      </c>
      <c r="O1548" s="200" t="s">
        <v>6962</v>
      </c>
      <c r="P1548" s="197" t="s">
        <v>461</v>
      </c>
      <c r="Q1548" s="200" t="s">
        <v>3946</v>
      </c>
      <c r="R1548" s="201" t="s">
        <v>5280</v>
      </c>
      <c r="S1548" s="390" t="s">
        <v>2610</v>
      </c>
      <c r="T1548" s="197" t="s">
        <v>6335</v>
      </c>
      <c r="U1548" s="197" t="s">
        <v>7309</v>
      </c>
      <c r="V1548" s="197"/>
      <c r="W1548" s="318" t="s">
        <v>8719</v>
      </c>
      <c r="X1548" s="650" t="s">
        <v>12331</v>
      </c>
      <c r="Y1548" s="358" t="s">
        <v>6141</v>
      </c>
      <c r="Z1548" s="253">
        <v>27</v>
      </c>
      <c r="AA1548" s="253">
        <v>9</v>
      </c>
      <c r="AB1548" s="35">
        <f t="shared" ca="1" si="32"/>
        <v>0.22084669790524114</v>
      </c>
      <c r="AC1548" s="820"/>
      <c r="AD1548" s="821" t="s">
        <v>461</v>
      </c>
      <c r="AE1548" s="944"/>
      <c r="AF1548" s="925">
        <f>IF(X1548=X1547,AF1547,0)+IF(ISNUMBER(I1548),IF(I1548&lt;1,I1548,I1548*VLOOKUP(J1548,Summary!$H$2:$I$9,2)),VLOOKUP(J1548,Summary!$J$2:$K$9,2)*IF(ISNUMBER(H1548),H1548,1))</f>
        <v>0.95143518518518533</v>
      </c>
      <c r="AG1548" s="293">
        <v>1547</v>
      </c>
      <c r="AH1548" s="94"/>
      <c r="AI1548" s="94"/>
    </row>
    <row r="1549" spans="1:35" s="22" customFormat="1" ht="12" customHeight="1" x14ac:dyDescent="0.2">
      <c r="A1549" s="510">
        <v>18</v>
      </c>
      <c r="B1549" s="406" t="s">
        <v>2650</v>
      </c>
      <c r="C1549" s="405">
        <v>2.06</v>
      </c>
      <c r="D1549" s="407" t="s">
        <v>11435</v>
      </c>
      <c r="E1549" s="315" t="s">
        <v>4652</v>
      </c>
      <c r="F1549" s="169">
        <v>36312</v>
      </c>
      <c r="G1549" s="196"/>
      <c r="H1549" s="170"/>
      <c r="I1549" s="747">
        <f>TIME(0,60,0)</f>
        <v>4.1666666666666664E-2</v>
      </c>
      <c r="J1549" s="899" t="s">
        <v>4706</v>
      </c>
      <c r="K1549" s="167" t="s">
        <v>7757</v>
      </c>
      <c r="L1549" s="167" t="s">
        <v>7757</v>
      </c>
      <c r="M1549" s="167"/>
      <c r="N1549" s="167"/>
      <c r="O1549" s="167"/>
      <c r="P1549" s="168" t="s">
        <v>461</v>
      </c>
      <c r="Q1549" s="167" t="s">
        <v>603</v>
      </c>
      <c r="R1549" s="172" t="s">
        <v>12842</v>
      </c>
      <c r="S1549" s="388" t="s">
        <v>1184</v>
      </c>
      <c r="T1549" s="168" t="s">
        <v>6335</v>
      </c>
      <c r="U1549" s="168"/>
      <c r="V1549" s="168"/>
      <c r="W1549" s="312"/>
      <c r="X1549" s="644" t="s">
        <v>12331</v>
      </c>
      <c r="Y1549" s="352"/>
      <c r="Z1549" s="353"/>
      <c r="AA1549" s="353"/>
      <c r="AB1549" s="31">
        <f t="shared" ca="1" si="32"/>
        <v>0.13195958076071568</v>
      </c>
      <c r="AC1549" s="810"/>
      <c r="AD1549" s="811"/>
      <c r="AE1549" s="940"/>
      <c r="AF1549" s="920">
        <f>IF(X1549=X1548,AF1548,0)+IF(ISNUMBER(I1549),IF(I1549&lt;1,I1549,I1549*VLOOKUP(J1549,Summary!$H$2:$I$9,2)),VLOOKUP(J1549,Summary!$J$2:$K$9,2)*IF(ISNUMBER(H1549),H1549,1))</f>
        <v>0.99310185185185196</v>
      </c>
      <c r="AG1549" s="287">
        <v>1548</v>
      </c>
      <c r="AH1549" s="94"/>
      <c r="AI1549" s="94"/>
    </row>
    <row r="1550" spans="1:35" s="29" customFormat="1" ht="12" customHeight="1" x14ac:dyDescent="0.25">
      <c r="A1550" s="510">
        <v>18</v>
      </c>
      <c r="B1550" s="406" t="s">
        <v>2650</v>
      </c>
      <c r="C1550" s="405">
        <v>2.09</v>
      </c>
      <c r="D1550" s="407" t="s">
        <v>11436</v>
      </c>
      <c r="E1550" s="315" t="s">
        <v>1185</v>
      </c>
      <c r="F1550" s="169">
        <v>36404</v>
      </c>
      <c r="G1550" s="196"/>
      <c r="H1550" s="170"/>
      <c r="I1550" s="747">
        <f>TIME(0,60,0)</f>
        <v>4.1666666666666664E-2</v>
      </c>
      <c r="J1550" s="899" t="s">
        <v>4706</v>
      </c>
      <c r="K1550" s="167" t="s">
        <v>1186</v>
      </c>
      <c r="L1550" s="167" t="s">
        <v>4640</v>
      </c>
      <c r="M1550" s="167"/>
      <c r="N1550" s="167"/>
      <c r="O1550" s="167"/>
      <c r="P1550" s="168" t="s">
        <v>461</v>
      </c>
      <c r="Q1550" s="167" t="s">
        <v>603</v>
      </c>
      <c r="R1550" s="172" t="s">
        <v>12842</v>
      </c>
      <c r="S1550" s="388" t="s">
        <v>1184</v>
      </c>
      <c r="T1550" s="168" t="s">
        <v>6335</v>
      </c>
      <c r="U1550" s="168"/>
      <c r="V1550" s="168"/>
      <c r="W1550" s="312"/>
      <c r="X1550" s="644" t="s">
        <v>12331</v>
      </c>
      <c r="Y1550" s="352"/>
      <c r="Z1550" s="353"/>
      <c r="AA1550" s="353"/>
      <c r="AB1550" s="31">
        <f t="shared" ca="1" si="32"/>
        <v>0.70014992669999754</v>
      </c>
      <c r="AC1550" s="810"/>
      <c r="AD1550" s="811"/>
      <c r="AE1550" s="940"/>
      <c r="AF1550" s="920">
        <f>IF(X1550=X1549,AF1549,0)+IF(ISNUMBER(I1550),IF(I1550&lt;1,I1550,I1550*VLOOKUP(J1550,Summary!$H$2:$I$9,2)),VLOOKUP(J1550,Summary!$J$2:$K$9,2)*IF(ISNUMBER(H1550),H1550,1))</f>
        <v>1.0347685185185187</v>
      </c>
      <c r="AG1550" s="287">
        <v>1549</v>
      </c>
      <c r="AH1550" s="94"/>
      <c r="AI1550" s="94"/>
    </row>
    <row r="1551" spans="1:35" s="27" customFormat="1" ht="12" customHeight="1" x14ac:dyDescent="0.25">
      <c r="A1551" s="490">
        <v>18</v>
      </c>
      <c r="B1551" s="490">
        <v>4</v>
      </c>
      <c r="C1551" s="490"/>
      <c r="D1551" s="434" t="s">
        <v>3184</v>
      </c>
      <c r="E1551" s="324" t="s">
        <v>1182</v>
      </c>
      <c r="F1551" s="174">
        <v>29830</v>
      </c>
      <c r="G1551" s="174"/>
      <c r="H1551" s="176" t="s">
        <v>461</v>
      </c>
      <c r="I1551" s="176">
        <v>7</v>
      </c>
      <c r="J1551" s="900" t="s">
        <v>2755</v>
      </c>
      <c r="K1551" s="164" t="s">
        <v>5784</v>
      </c>
      <c r="L1551" s="878" t="s">
        <v>461</v>
      </c>
      <c r="M1551" s="164"/>
      <c r="N1551" s="164"/>
      <c r="O1551" s="164"/>
      <c r="P1551" s="173" t="s">
        <v>3185</v>
      </c>
      <c r="Q1551" s="164" t="s">
        <v>4705</v>
      </c>
      <c r="R1551" s="179" t="s">
        <v>4600</v>
      </c>
      <c r="S1551" s="354"/>
      <c r="T1551" s="173" t="s">
        <v>6335</v>
      </c>
      <c r="U1551" s="173" t="s">
        <v>7309</v>
      </c>
      <c r="V1551" s="173"/>
      <c r="W1551" s="324" t="s">
        <v>1182</v>
      </c>
      <c r="X1551" s="656" t="s">
        <v>12331</v>
      </c>
      <c r="Y1551" s="354"/>
      <c r="Z1551" s="176"/>
      <c r="AA1551" s="176"/>
      <c r="AB1551" s="32">
        <f t="shared" ca="1" si="32"/>
        <v>0.60942461269420245</v>
      </c>
      <c r="AC1551" s="812"/>
      <c r="AD1551" s="763"/>
      <c r="AE1551" s="951"/>
      <c r="AF1551" s="921">
        <f>IF(X1551=X1550,AF1550,0)+IF(ISNUMBER(I1551),IF(I1551&lt;1,I1551,I1551*VLOOKUP(J1551,Summary!$H$2:$I$9,2)),VLOOKUP(J1551,Summary!$J$2:$K$9,2)*IF(ISNUMBER(H1551),H1551,1))</f>
        <v>1.0396296296296299</v>
      </c>
      <c r="AG1551" s="288">
        <v>1550</v>
      </c>
      <c r="AH1551" s="119"/>
      <c r="AI1551" s="119"/>
    </row>
    <row r="1552" spans="1:35" s="22" customFormat="1" ht="12" customHeight="1" x14ac:dyDescent="0.25">
      <c r="A1552" s="490">
        <v>18</v>
      </c>
      <c r="B1552" s="490">
        <v>4</v>
      </c>
      <c r="C1552" s="490">
        <v>30.01</v>
      </c>
      <c r="D1552" s="176" t="s">
        <v>5358</v>
      </c>
      <c r="E1552" s="313" t="s">
        <v>5372</v>
      </c>
      <c r="F1552" s="174">
        <v>39783</v>
      </c>
      <c r="G1552" s="174"/>
      <c r="H1552" s="176" t="s">
        <v>461</v>
      </c>
      <c r="I1552" s="176">
        <v>16</v>
      </c>
      <c r="J1552" s="900" t="s">
        <v>2755</v>
      </c>
      <c r="K1552" s="164" t="s">
        <v>4996</v>
      </c>
      <c r="L1552" s="164" t="s">
        <v>461</v>
      </c>
      <c r="M1552" s="164"/>
      <c r="N1552" s="164" t="s">
        <v>4944</v>
      </c>
      <c r="O1552" s="164"/>
      <c r="P1552" s="173" t="s">
        <v>6702</v>
      </c>
      <c r="Q1552" s="164" t="s">
        <v>3947</v>
      </c>
      <c r="R1552" s="177" t="s">
        <v>2723</v>
      </c>
      <c r="S1552" s="354"/>
      <c r="T1552" s="173"/>
      <c r="U1552" s="173" t="s">
        <v>7309</v>
      </c>
      <c r="V1552" s="173"/>
      <c r="W1552" s="313" t="s">
        <v>5372</v>
      </c>
      <c r="X1552" s="645" t="s">
        <v>12331</v>
      </c>
      <c r="Y1552" s="354"/>
      <c r="Z1552" s="176"/>
      <c r="AA1552" s="176"/>
      <c r="AB1552" s="32">
        <f t="shared" ca="1" si="32"/>
        <v>0.6875804244115582</v>
      </c>
      <c r="AC1552" s="812"/>
      <c r="AD1552" s="763"/>
      <c r="AE1552" s="807"/>
      <c r="AF1552" s="921">
        <f>IF(X1552=X1551,AF1551,0)+IF(ISNUMBER(I1552),IF(I1552&lt;1,I1552,I1552*VLOOKUP(J1552,Summary!$H$2:$I$9,2)),VLOOKUP(J1552,Summary!$J$2:$K$9,2)*IF(ISNUMBER(H1552),H1552,1))</f>
        <v>1.050740740740741</v>
      </c>
      <c r="AG1552" s="289">
        <v>1551</v>
      </c>
      <c r="AH1552" s="94"/>
      <c r="AI1552" s="94"/>
    </row>
    <row r="1553" spans="1:35" s="27" customFormat="1" ht="12" customHeight="1" x14ac:dyDescent="0.25">
      <c r="A1553" s="405">
        <v>18</v>
      </c>
      <c r="B1553" s="406" t="s">
        <v>2650</v>
      </c>
      <c r="C1553" s="405">
        <v>5.2</v>
      </c>
      <c r="D1553" s="407" t="s">
        <v>15790</v>
      </c>
      <c r="E1553" s="336" t="s">
        <v>15791</v>
      </c>
      <c r="F1553" s="196">
        <v>43487</v>
      </c>
      <c r="G1553" s="169"/>
      <c r="H1553" s="170">
        <v>1</v>
      </c>
      <c r="I1553" s="747">
        <f>TIME(0,60,0)</f>
        <v>4.1666666666666664E-2</v>
      </c>
      <c r="J1553" s="899" t="s">
        <v>4706</v>
      </c>
      <c r="K1553" s="167" t="s">
        <v>11784</v>
      </c>
      <c r="L1553" s="987" t="s">
        <v>2313</v>
      </c>
      <c r="M1553" s="167"/>
      <c r="N1553" s="167" t="s">
        <v>6452</v>
      </c>
      <c r="O1553" s="167" t="s">
        <v>3295</v>
      </c>
      <c r="P1553" s="168" t="s">
        <v>15785</v>
      </c>
      <c r="Q1553" s="167" t="s">
        <v>3947</v>
      </c>
      <c r="R1553" s="172" t="s">
        <v>10102</v>
      </c>
      <c r="S1553" s="388"/>
      <c r="T1553" s="168"/>
      <c r="U1553" s="168" t="s">
        <v>7344</v>
      </c>
      <c r="V1553" s="168"/>
      <c r="W1553" s="336" t="s">
        <v>15791</v>
      </c>
      <c r="X1553" s="644" t="s">
        <v>12331</v>
      </c>
      <c r="Y1553" s="352"/>
      <c r="Z1553" s="353"/>
      <c r="AA1553" s="353"/>
      <c r="AB1553" s="31">
        <f t="shared" ca="1" si="32"/>
        <v>0.43871017179610117</v>
      </c>
      <c r="AC1553" s="810"/>
      <c r="AD1553" s="811"/>
      <c r="AE1553" s="945"/>
      <c r="AF1553" s="920">
        <f>IF(X1553=X1552,AF1552,0)+IF(ISNUMBER(I1553),IF(I1553&lt;1,I1553,I1553*VLOOKUP(J1553,Summary!$H$2:$I$9,2)),VLOOKUP(J1553,Summary!$J$2:$K$9,2)*IF(ISNUMBER(H1553),H1553,1))</f>
        <v>1.0924074074074077</v>
      </c>
      <c r="AG1553" s="287">
        <v>1552</v>
      </c>
      <c r="AH1553" s="119"/>
      <c r="AI1553" s="119"/>
    </row>
    <row r="1554" spans="1:35" s="22" customFormat="1" ht="12" customHeight="1" x14ac:dyDescent="0.25">
      <c r="A1554" s="494">
        <v>18</v>
      </c>
      <c r="B1554" s="494">
        <v>4</v>
      </c>
      <c r="C1554" s="495">
        <v>8.1</v>
      </c>
      <c r="D1554" s="192" t="s">
        <v>15481</v>
      </c>
      <c r="E1554" s="317" t="s">
        <v>15482</v>
      </c>
      <c r="F1554" s="209">
        <v>43400</v>
      </c>
      <c r="G1554" s="191"/>
      <c r="H1554" s="192">
        <v>1</v>
      </c>
      <c r="I1554" s="796">
        <f>TIME(0,42, 0)</f>
        <v>2.9166666666666664E-2</v>
      </c>
      <c r="J1554" s="903" t="s">
        <v>2755</v>
      </c>
      <c r="K1554" s="194" t="s">
        <v>15483</v>
      </c>
      <c r="L1554" s="194" t="s">
        <v>5662</v>
      </c>
      <c r="M1554" s="194" t="s">
        <v>15483</v>
      </c>
      <c r="N1554" s="194" t="s">
        <v>5195</v>
      </c>
      <c r="O1554" s="194" t="s">
        <v>5195</v>
      </c>
      <c r="P1554" s="190" t="s">
        <v>15484</v>
      </c>
      <c r="Q1554" s="194" t="s">
        <v>3947</v>
      </c>
      <c r="R1554" s="193" t="s">
        <v>2722</v>
      </c>
      <c r="S1554" s="357"/>
      <c r="T1554" s="190"/>
      <c r="U1554" s="190"/>
      <c r="V1554" s="190"/>
      <c r="W1554" s="317" t="s">
        <v>15482</v>
      </c>
      <c r="X1554" s="649" t="s">
        <v>12331</v>
      </c>
      <c r="Y1554" s="357"/>
      <c r="Z1554" s="192"/>
      <c r="AA1554" s="192"/>
      <c r="AB1554" s="37">
        <f t="shared" ca="1" si="32"/>
        <v>0.93186646577840537</v>
      </c>
      <c r="AC1554" s="816"/>
      <c r="AD1554" s="817"/>
      <c r="AE1554" s="943"/>
      <c r="AF1554" s="924">
        <f>IF(X1554=X1553,AF1553,0)+IF(ISNUMBER(I1554),IF(I1554&lt;1,I1554,I1554*VLOOKUP(J1554,Summary!$H$2:$I$9,2)),VLOOKUP(J1554,Summary!$J$2:$K$9,2)*IF(ISNUMBER(H1554),H1554,1))</f>
        <v>1.1215740740740743</v>
      </c>
      <c r="AG1554" s="292">
        <v>1553</v>
      </c>
      <c r="AH1554" s="94"/>
      <c r="AI1554" s="94"/>
    </row>
    <row r="1555" spans="1:35" s="22" customFormat="1" ht="12" customHeight="1" x14ac:dyDescent="0.25">
      <c r="A1555" s="487" t="s">
        <v>6958</v>
      </c>
      <c r="B1555" s="487">
        <v>4</v>
      </c>
      <c r="C1555" s="487">
        <v>114</v>
      </c>
      <c r="D1555" s="424" t="s">
        <v>2623</v>
      </c>
      <c r="E1555" s="319" t="s">
        <v>2624</v>
      </c>
      <c r="F1555" s="198">
        <v>29617</v>
      </c>
      <c r="G1555" s="198">
        <v>29638</v>
      </c>
      <c r="H1555" s="199">
        <v>4</v>
      </c>
      <c r="I1555" s="791">
        <f>TIME(0,24, 5)+TIME(0,24,50)+TIME(0,23,49)+TIME(0,25,11)</f>
        <v>6.7997685185185175E-2</v>
      </c>
      <c r="J1555" s="904" t="s">
        <v>1588</v>
      </c>
      <c r="K1555" s="200" t="s">
        <v>2625</v>
      </c>
      <c r="L1555" s="200" t="s">
        <v>2626</v>
      </c>
      <c r="M1555" s="200"/>
      <c r="N1555" s="200" t="s">
        <v>6963</v>
      </c>
      <c r="O1555" s="200" t="s">
        <v>6962</v>
      </c>
      <c r="P1555" s="197" t="s">
        <v>461</v>
      </c>
      <c r="Q1555" s="200" t="s">
        <v>3946</v>
      </c>
      <c r="R1555" s="201" t="s">
        <v>5280</v>
      </c>
      <c r="S1555" s="390" t="s">
        <v>2607</v>
      </c>
      <c r="T1555" s="197"/>
      <c r="U1555" s="197" t="s">
        <v>7309</v>
      </c>
      <c r="V1555" s="197"/>
      <c r="W1555" s="318" t="s">
        <v>8720</v>
      </c>
      <c r="X1555" s="650" t="s">
        <v>12331</v>
      </c>
      <c r="Y1555" s="358" t="s">
        <v>6141</v>
      </c>
      <c r="Z1555" s="253">
        <v>121</v>
      </c>
      <c r="AA1555" s="253">
        <v>6.5</v>
      </c>
      <c r="AB1555" s="35">
        <f t="shared" ca="1" si="32"/>
        <v>0.69031583592017298</v>
      </c>
      <c r="AC1555" s="820"/>
      <c r="AD1555" s="821" t="s">
        <v>16007</v>
      </c>
      <c r="AE1555" s="944" t="s">
        <v>12543</v>
      </c>
      <c r="AF1555" s="925">
        <f>IF(X1555=X1554,AF1554,0)+IF(ISNUMBER(I1555),IF(I1555&lt;1,I1555,I1555*VLOOKUP(J1555,Summary!$H$2:$I$9,2)),VLOOKUP(J1555,Summary!$J$2:$K$9,2)*IF(ISNUMBER(H1555),H1555,1))</f>
        <v>1.1895717592592594</v>
      </c>
      <c r="AG1555" s="293">
        <v>1554</v>
      </c>
      <c r="AH1555" s="94"/>
      <c r="AI1555" s="94"/>
    </row>
    <row r="1556" spans="1:35" s="22" customFormat="1" ht="12" customHeight="1" x14ac:dyDescent="0.25">
      <c r="A1556" s="422">
        <v>18</v>
      </c>
      <c r="B1556" s="422" t="s">
        <v>2650</v>
      </c>
      <c r="C1556" s="422">
        <v>5.05</v>
      </c>
      <c r="D1556" s="434" t="s">
        <v>2231</v>
      </c>
      <c r="E1556" s="324" t="s">
        <v>6890</v>
      </c>
      <c r="F1556" s="174">
        <v>37681</v>
      </c>
      <c r="G1556" s="174"/>
      <c r="H1556" s="176">
        <v>1</v>
      </c>
      <c r="I1556" s="176">
        <v>17</v>
      </c>
      <c r="J1556" s="900" t="s">
        <v>2755</v>
      </c>
      <c r="K1556" s="164" t="s">
        <v>7375</v>
      </c>
      <c r="L1556" s="164" t="s">
        <v>461</v>
      </c>
      <c r="M1556" s="164"/>
      <c r="N1556" s="164" t="s">
        <v>4552</v>
      </c>
      <c r="O1556" s="164"/>
      <c r="P1556" s="173" t="s">
        <v>6556</v>
      </c>
      <c r="Q1556" s="164" t="s">
        <v>3947</v>
      </c>
      <c r="R1556" s="177" t="s">
        <v>2723</v>
      </c>
      <c r="S1556" s="354"/>
      <c r="T1556" s="173"/>
      <c r="U1556" s="173" t="s">
        <v>7309</v>
      </c>
      <c r="V1556" s="173"/>
      <c r="W1556" s="324" t="s">
        <v>6890</v>
      </c>
      <c r="X1556" s="656" t="s">
        <v>12331</v>
      </c>
      <c r="Y1556" s="363"/>
      <c r="Z1556" s="364"/>
      <c r="AA1556" s="364"/>
      <c r="AB1556" s="32">
        <f t="shared" ca="1" si="32"/>
        <v>0.18034966443510159</v>
      </c>
      <c r="AC1556" s="812"/>
      <c r="AD1556" s="763"/>
      <c r="AE1556" s="951"/>
      <c r="AF1556" s="921">
        <f>IF(X1556=X1555,AF1555,0)+IF(ISNUMBER(I1556),IF(I1556&lt;1,I1556,I1556*VLOOKUP(J1556,Summary!$H$2:$I$9,2)),VLOOKUP(J1556,Summary!$J$2:$K$9,2)*IF(ISNUMBER(H1556),H1556,1))</f>
        <v>1.201377314814815</v>
      </c>
      <c r="AG1556" s="288">
        <v>1555</v>
      </c>
      <c r="AH1556" s="94"/>
      <c r="AI1556" s="94"/>
    </row>
    <row r="1557" spans="1:35" s="22" customFormat="1" ht="12" customHeight="1" x14ac:dyDescent="0.25">
      <c r="A1557" s="490">
        <v>18</v>
      </c>
      <c r="B1557" s="490">
        <v>4</v>
      </c>
      <c r="C1557" s="490">
        <v>6.08</v>
      </c>
      <c r="D1557" s="434" t="s">
        <v>3183</v>
      </c>
      <c r="E1557" s="324" t="s">
        <v>3181</v>
      </c>
      <c r="F1557" s="174">
        <v>37773</v>
      </c>
      <c r="G1557" s="174"/>
      <c r="H1557" s="176">
        <v>1</v>
      </c>
      <c r="I1557" s="176">
        <v>13</v>
      </c>
      <c r="J1557" s="900" t="s">
        <v>2755</v>
      </c>
      <c r="K1557" s="164" t="s">
        <v>177</v>
      </c>
      <c r="L1557" s="164" t="s">
        <v>461</v>
      </c>
      <c r="M1557" s="164"/>
      <c r="N1557" s="164" t="s">
        <v>4996</v>
      </c>
      <c r="O1557" s="164"/>
      <c r="P1557" s="173" t="s">
        <v>4997</v>
      </c>
      <c r="Q1557" s="164" t="s">
        <v>3947</v>
      </c>
      <c r="R1557" s="179" t="s">
        <v>2723</v>
      </c>
      <c r="S1557" s="354"/>
      <c r="T1557" s="173"/>
      <c r="U1557" s="173" t="s">
        <v>7309</v>
      </c>
      <c r="V1557" s="173"/>
      <c r="W1557" s="324" t="s">
        <v>3181</v>
      </c>
      <c r="X1557" s="656" t="s">
        <v>12331</v>
      </c>
      <c r="Y1557" s="354"/>
      <c r="Z1557" s="176">
        <v>999</v>
      </c>
      <c r="AA1557" s="176"/>
      <c r="AB1557" s="32">
        <f t="shared" ca="1" si="32"/>
        <v>0.71500092295423034</v>
      </c>
      <c r="AC1557" s="812"/>
      <c r="AD1557" s="763"/>
      <c r="AE1557" s="951"/>
      <c r="AF1557" s="921">
        <f>IF(X1557=X1556,AF1556,0)+IF(ISNUMBER(I1557),IF(I1557&lt;1,I1557,I1557*VLOOKUP(J1557,Summary!$H$2:$I$9,2)),VLOOKUP(J1557,Summary!$J$2:$K$9,2)*IF(ISNUMBER(H1557),H1557,1))</f>
        <v>1.2104050925925929</v>
      </c>
      <c r="AG1557" s="288">
        <v>1556</v>
      </c>
      <c r="AH1557" s="94"/>
      <c r="AI1557" s="94"/>
    </row>
    <row r="1558" spans="1:35" s="43" customFormat="1" ht="12" customHeight="1" x14ac:dyDescent="0.25">
      <c r="A1558" s="494">
        <v>18</v>
      </c>
      <c r="B1558" s="494">
        <v>4</v>
      </c>
      <c r="C1558" s="495">
        <v>8.0399999999999991</v>
      </c>
      <c r="D1558" s="192" t="s">
        <v>14298</v>
      </c>
      <c r="E1558" s="317" t="s">
        <v>14299</v>
      </c>
      <c r="F1558" s="209">
        <v>43220</v>
      </c>
      <c r="G1558" s="191"/>
      <c r="H1558" s="192" t="s">
        <v>461</v>
      </c>
      <c r="I1558" s="753"/>
      <c r="J1558" s="903" t="s">
        <v>2755</v>
      </c>
      <c r="K1558" s="194" t="s">
        <v>7375</v>
      </c>
      <c r="L1558" s="194" t="s">
        <v>7375</v>
      </c>
      <c r="M1558" s="194" t="s">
        <v>14300</v>
      </c>
      <c r="N1558" s="194"/>
      <c r="O1558" s="194"/>
      <c r="P1558" s="190" t="s">
        <v>14301</v>
      </c>
      <c r="Q1558" s="194" t="s">
        <v>3947</v>
      </c>
      <c r="R1558" s="193" t="s">
        <v>2722</v>
      </c>
      <c r="S1558" s="357" t="s">
        <v>2610</v>
      </c>
      <c r="T1558" s="190"/>
      <c r="U1558" s="190" t="s">
        <v>7309</v>
      </c>
      <c r="V1558" s="190"/>
      <c r="W1558" s="317" t="s">
        <v>14299</v>
      </c>
      <c r="X1558" s="649" t="s">
        <v>12331</v>
      </c>
      <c r="Y1558" s="357"/>
      <c r="Z1558" s="192"/>
      <c r="AA1558" s="192"/>
      <c r="AB1558" s="37">
        <f t="shared" ca="1" si="32"/>
        <v>0.2215944086834637</v>
      </c>
      <c r="AC1558" s="816"/>
      <c r="AD1558" s="817"/>
      <c r="AE1558" s="943"/>
      <c r="AF1558" s="924">
        <f>IF(X1558=X1557,AF1557,0)+IF(ISNUMBER(I1558),IF(I1558&lt;1,I1558,I1558*VLOOKUP(J1558,Summary!$H$2:$I$9,2)),VLOOKUP(J1558,Summary!$J$2:$K$9,2)*IF(ISNUMBER(H1558),H1558,1))</f>
        <v>1.227766203703704</v>
      </c>
      <c r="AG1558" s="292">
        <v>1557</v>
      </c>
      <c r="AH1558" s="94"/>
      <c r="AI1558" s="94"/>
    </row>
    <row r="1559" spans="1:35" s="29" customFormat="1" ht="12" customHeight="1" x14ac:dyDescent="0.25">
      <c r="A1559" s="490">
        <v>18</v>
      </c>
      <c r="B1559" s="490">
        <v>4</v>
      </c>
      <c r="C1559" s="490"/>
      <c r="D1559" s="434" t="s">
        <v>3184</v>
      </c>
      <c r="E1559" s="324" t="s">
        <v>8649</v>
      </c>
      <c r="F1559" s="174">
        <v>29830</v>
      </c>
      <c r="G1559" s="174"/>
      <c r="H1559" s="176" t="s">
        <v>461</v>
      </c>
      <c r="I1559" s="176">
        <v>8</v>
      </c>
      <c r="J1559" s="900" t="s">
        <v>2755</v>
      </c>
      <c r="K1559" s="164" t="s">
        <v>5784</v>
      </c>
      <c r="L1559" s="164" t="s">
        <v>461</v>
      </c>
      <c r="M1559" s="164"/>
      <c r="N1559" s="164"/>
      <c r="O1559" s="164"/>
      <c r="P1559" s="173" t="s">
        <v>3185</v>
      </c>
      <c r="Q1559" s="164" t="s">
        <v>4705</v>
      </c>
      <c r="R1559" s="179" t="s">
        <v>4600</v>
      </c>
      <c r="S1559" s="354"/>
      <c r="T1559" s="173" t="s">
        <v>6335</v>
      </c>
      <c r="U1559" s="173" t="s">
        <v>7309</v>
      </c>
      <c r="V1559" s="173"/>
      <c r="W1559" s="324" t="s">
        <v>8649</v>
      </c>
      <c r="X1559" s="656" t="s">
        <v>12331</v>
      </c>
      <c r="Y1559" s="354"/>
      <c r="Z1559" s="176"/>
      <c r="AA1559" s="176"/>
      <c r="AB1559" s="32">
        <f t="shared" ca="1" si="32"/>
        <v>0.56619329399792795</v>
      </c>
      <c r="AC1559" s="812"/>
      <c r="AD1559" s="763"/>
      <c r="AE1559" s="951"/>
      <c r="AF1559" s="921">
        <f>IF(X1559=X1558,AF1558,0)+IF(ISNUMBER(I1559),IF(I1559&lt;1,I1559,I1559*VLOOKUP(J1559,Summary!$H$2:$I$9,2)),VLOOKUP(J1559,Summary!$J$2:$K$9,2)*IF(ISNUMBER(H1559),H1559,1))</f>
        <v>1.2333217592592596</v>
      </c>
      <c r="AG1559" s="288">
        <v>1558</v>
      </c>
      <c r="AH1559" s="94"/>
      <c r="AI1559" s="94"/>
    </row>
    <row r="1560" spans="1:35" s="29" customFormat="1" ht="12" customHeight="1" x14ac:dyDescent="0.25">
      <c r="A1560" s="490">
        <v>18</v>
      </c>
      <c r="B1560" s="490">
        <v>4</v>
      </c>
      <c r="C1560" s="490"/>
      <c r="D1560" s="434" t="s">
        <v>3184</v>
      </c>
      <c r="E1560" s="324" t="s">
        <v>3178</v>
      </c>
      <c r="F1560" s="174">
        <v>29830</v>
      </c>
      <c r="G1560" s="174"/>
      <c r="H1560" s="176" t="s">
        <v>461</v>
      </c>
      <c r="I1560" s="176">
        <v>6</v>
      </c>
      <c r="J1560" s="900" t="s">
        <v>2755</v>
      </c>
      <c r="K1560" s="164" t="s">
        <v>5784</v>
      </c>
      <c r="L1560" s="164" t="s">
        <v>461</v>
      </c>
      <c r="M1560" s="164"/>
      <c r="N1560" s="164"/>
      <c r="O1560" s="164"/>
      <c r="P1560" s="173" t="s">
        <v>3185</v>
      </c>
      <c r="Q1560" s="164" t="s">
        <v>4705</v>
      </c>
      <c r="R1560" s="179" t="s">
        <v>4600</v>
      </c>
      <c r="S1560" s="354"/>
      <c r="T1560" s="173" t="s">
        <v>6335</v>
      </c>
      <c r="U1560" s="173" t="s">
        <v>7309</v>
      </c>
      <c r="V1560" s="173"/>
      <c r="W1560" s="324" t="s">
        <v>3178</v>
      </c>
      <c r="X1560" s="656" t="s">
        <v>12331</v>
      </c>
      <c r="Y1560" s="354"/>
      <c r="Z1560" s="176"/>
      <c r="AA1560" s="176"/>
      <c r="AB1560" s="32">
        <f t="shared" ca="1" si="32"/>
        <v>0.60626243468834362</v>
      </c>
      <c r="AC1560" s="812"/>
      <c r="AD1560" s="763"/>
      <c r="AE1560" s="951"/>
      <c r="AF1560" s="921">
        <f>IF(X1560=X1559,AF1559,0)+IF(ISNUMBER(I1560),IF(I1560&lt;1,I1560,I1560*VLOOKUP(J1560,Summary!$H$2:$I$9,2)),VLOOKUP(J1560,Summary!$J$2:$K$9,2)*IF(ISNUMBER(H1560),H1560,1))</f>
        <v>1.2374884259259262</v>
      </c>
      <c r="AG1560" s="288">
        <v>1559</v>
      </c>
      <c r="AH1560" s="94"/>
      <c r="AI1560" s="94"/>
    </row>
    <row r="1561" spans="1:35" s="29" customFormat="1" ht="12" customHeight="1" x14ac:dyDescent="0.25">
      <c r="A1561" s="488">
        <v>18</v>
      </c>
      <c r="B1561" s="488">
        <v>4</v>
      </c>
      <c r="C1561" s="488"/>
      <c r="D1561" s="428" t="s">
        <v>3184</v>
      </c>
      <c r="E1561" s="325" t="s">
        <v>3179</v>
      </c>
      <c r="F1561" s="183">
        <v>29830</v>
      </c>
      <c r="G1561" s="183"/>
      <c r="H1561" s="185">
        <v>1</v>
      </c>
      <c r="I1561" s="185">
        <v>6</v>
      </c>
      <c r="J1561" s="901" t="s">
        <v>1796</v>
      </c>
      <c r="K1561" s="163" t="s">
        <v>3165</v>
      </c>
      <c r="L1561" s="163" t="s">
        <v>3166</v>
      </c>
      <c r="M1561" s="163"/>
      <c r="N1561" s="163"/>
      <c r="O1561" s="163"/>
      <c r="P1561" s="173" t="s">
        <v>3185</v>
      </c>
      <c r="Q1561" s="163" t="s">
        <v>4705</v>
      </c>
      <c r="R1561" s="207" t="s">
        <v>4600</v>
      </c>
      <c r="S1561" s="355"/>
      <c r="T1561" s="182" t="s">
        <v>6335</v>
      </c>
      <c r="U1561" s="173" t="s">
        <v>7309</v>
      </c>
      <c r="V1561" s="182"/>
      <c r="W1561" s="325" t="s">
        <v>3179</v>
      </c>
      <c r="X1561" s="657" t="s">
        <v>12331</v>
      </c>
      <c r="Y1561" s="355"/>
      <c r="Z1561" s="185"/>
      <c r="AA1561" s="185"/>
      <c r="AB1561" s="33">
        <f t="shared" ca="1" si="32"/>
        <v>0.46427213902534981</v>
      </c>
      <c r="AC1561" s="813"/>
      <c r="AD1561" s="211"/>
      <c r="AE1561" s="949"/>
      <c r="AF1561" s="922">
        <f>IF(X1561=X1560,AF1560,0)+IF(ISNUMBER(I1561),IF(I1561&lt;1,I1561,I1561*VLOOKUP(J1561,Summary!$H$2:$I$9,2)),VLOOKUP(J1561,Summary!$J$2:$K$9,2)*IF(ISNUMBER(H1561),H1561,1))</f>
        <v>1.2395717592592597</v>
      </c>
      <c r="AG1561" s="295">
        <v>1560</v>
      </c>
      <c r="AH1561" s="94"/>
      <c r="AI1561" s="94"/>
    </row>
    <row r="1562" spans="1:35" s="22" customFormat="1" ht="12" customHeight="1" x14ac:dyDescent="0.25">
      <c r="A1562" s="490">
        <v>18</v>
      </c>
      <c r="B1562" s="490">
        <v>4</v>
      </c>
      <c r="C1562" s="490"/>
      <c r="D1562" s="434" t="s">
        <v>3184</v>
      </c>
      <c r="E1562" s="324" t="s">
        <v>3180</v>
      </c>
      <c r="F1562" s="174">
        <v>29830</v>
      </c>
      <c r="G1562" s="174"/>
      <c r="H1562" s="176" t="s">
        <v>461</v>
      </c>
      <c r="I1562" s="176">
        <v>6</v>
      </c>
      <c r="J1562" s="900" t="s">
        <v>2755</v>
      </c>
      <c r="K1562" s="164" t="s">
        <v>5784</v>
      </c>
      <c r="L1562" s="164" t="s">
        <v>461</v>
      </c>
      <c r="M1562" s="164"/>
      <c r="N1562" s="164"/>
      <c r="O1562" s="164"/>
      <c r="P1562" s="173" t="s">
        <v>3185</v>
      </c>
      <c r="Q1562" s="164" t="s">
        <v>4705</v>
      </c>
      <c r="R1562" s="179" t="s">
        <v>4600</v>
      </c>
      <c r="S1562" s="354"/>
      <c r="T1562" s="173" t="s">
        <v>6335</v>
      </c>
      <c r="U1562" s="173" t="s">
        <v>7309</v>
      </c>
      <c r="V1562" s="173"/>
      <c r="W1562" s="324" t="s">
        <v>3180</v>
      </c>
      <c r="X1562" s="656" t="s">
        <v>12331</v>
      </c>
      <c r="Y1562" s="354"/>
      <c r="Z1562" s="176"/>
      <c r="AA1562" s="176"/>
      <c r="AB1562" s="32">
        <f t="shared" ca="1" si="32"/>
        <v>0.58191481665076494</v>
      </c>
      <c r="AC1562" s="812"/>
      <c r="AD1562" s="763"/>
      <c r="AE1562" s="951"/>
      <c r="AF1562" s="921">
        <f>IF(X1562=X1561,AF1561,0)+IF(ISNUMBER(I1562),IF(I1562&lt;1,I1562,I1562*VLOOKUP(J1562,Summary!$H$2:$I$9,2)),VLOOKUP(J1562,Summary!$J$2:$K$9,2)*IF(ISNUMBER(H1562),H1562,1))</f>
        <v>1.2437384259259263</v>
      </c>
      <c r="AG1562" s="288">
        <v>1561</v>
      </c>
      <c r="AH1562" s="94"/>
      <c r="AI1562" s="94"/>
    </row>
    <row r="1563" spans="1:35" s="43" customFormat="1" ht="12" customHeight="1" x14ac:dyDescent="0.25">
      <c r="A1563" s="487" t="s">
        <v>6958</v>
      </c>
      <c r="B1563" s="487">
        <v>4</v>
      </c>
      <c r="C1563" s="487">
        <v>115</v>
      </c>
      <c r="D1563" s="424" t="s">
        <v>2627</v>
      </c>
      <c r="E1563" s="319" t="s">
        <v>2361</v>
      </c>
      <c r="F1563" s="198">
        <v>29645</v>
      </c>
      <c r="G1563" s="198">
        <v>29666</v>
      </c>
      <c r="H1563" s="199">
        <v>4</v>
      </c>
      <c r="I1563" s="791">
        <f>TIME(0,24,32)+TIME(0,24, 3)+TIME(0,24,32)+TIME(0,25,10)</f>
        <v>6.8252314814814807E-2</v>
      </c>
      <c r="J1563" s="904" t="s">
        <v>1588</v>
      </c>
      <c r="K1563" s="200" t="s">
        <v>6963</v>
      </c>
      <c r="L1563" s="200" t="s">
        <v>2615</v>
      </c>
      <c r="M1563" s="200"/>
      <c r="N1563" s="200" t="s">
        <v>6963</v>
      </c>
      <c r="O1563" s="200" t="s">
        <v>6962</v>
      </c>
      <c r="P1563" s="197" t="s">
        <v>461</v>
      </c>
      <c r="Q1563" s="200" t="s">
        <v>3946</v>
      </c>
      <c r="R1563" s="201" t="s">
        <v>5280</v>
      </c>
      <c r="S1563" s="390" t="s">
        <v>2607</v>
      </c>
      <c r="T1563" s="197" t="s">
        <v>2320</v>
      </c>
      <c r="U1563" s="197" t="s">
        <v>7309</v>
      </c>
      <c r="V1563" s="197"/>
      <c r="W1563" s="318" t="s">
        <v>8721</v>
      </c>
      <c r="X1563" s="650" t="s">
        <v>12331</v>
      </c>
      <c r="Y1563" s="358" t="s">
        <v>6141</v>
      </c>
      <c r="Z1563" s="253">
        <v>209</v>
      </c>
      <c r="AA1563" s="253">
        <v>4.5</v>
      </c>
      <c r="AB1563" s="35">
        <f t="shared" ca="1" si="32"/>
        <v>0.34160381248819405</v>
      </c>
      <c r="AC1563" s="820"/>
      <c r="AD1563" s="821" t="s">
        <v>16008</v>
      </c>
      <c r="AE1563" s="944"/>
      <c r="AF1563" s="925">
        <f>IF(X1563=X1562,AF1562,0)+IF(ISNUMBER(I1563),IF(I1563&lt;1,I1563,I1563*VLOOKUP(J1563,Summary!$H$2:$I$9,2)),VLOOKUP(J1563,Summary!$J$2:$K$9,2)*IF(ISNUMBER(H1563),H1563,1))</f>
        <v>1.3119907407407412</v>
      </c>
      <c r="AG1563" s="293">
        <v>1562</v>
      </c>
      <c r="AH1563" s="94"/>
      <c r="AI1563" s="94"/>
    </row>
    <row r="1564" spans="1:35" s="22" customFormat="1" ht="12" customHeight="1" x14ac:dyDescent="0.2">
      <c r="A1564" s="411"/>
      <c r="B1564" s="411" t="s">
        <v>2650</v>
      </c>
      <c r="C1564" s="411">
        <v>13</v>
      </c>
      <c r="D1564" s="185" t="s">
        <v>9964</v>
      </c>
      <c r="E1564" s="314" t="s">
        <v>9945</v>
      </c>
      <c r="F1564" s="184">
        <v>29355</v>
      </c>
      <c r="G1564" s="184">
        <v>29377</v>
      </c>
      <c r="H1564" s="185">
        <v>4</v>
      </c>
      <c r="I1564" s="185">
        <v>8</v>
      </c>
      <c r="J1564" s="901" t="s">
        <v>1796</v>
      </c>
      <c r="K1564" s="163" t="s">
        <v>6031</v>
      </c>
      <c r="L1564" s="163" t="s">
        <v>9937</v>
      </c>
      <c r="M1564" s="163" t="s">
        <v>9980</v>
      </c>
      <c r="N1564" s="163" t="s">
        <v>6026</v>
      </c>
      <c r="O1564" s="163"/>
      <c r="P1564" s="182" t="s">
        <v>461</v>
      </c>
      <c r="Q1564" s="163" t="s">
        <v>4062</v>
      </c>
      <c r="R1564" s="186" t="s">
        <v>9922</v>
      </c>
      <c r="S1564" s="355"/>
      <c r="T1564" s="182"/>
      <c r="U1564" s="182"/>
      <c r="V1564" s="182"/>
      <c r="W1564" s="314"/>
      <c r="X1564" s="646" t="s">
        <v>12332</v>
      </c>
      <c r="Y1564" s="355"/>
      <c r="Z1564" s="158"/>
      <c r="AA1564" s="185"/>
      <c r="AB1564" s="33">
        <f t="shared" ca="1" si="32"/>
        <v>0.56008264913194372</v>
      </c>
      <c r="AC1564" s="813"/>
      <c r="AD1564" s="211" t="s">
        <v>15990</v>
      </c>
      <c r="AE1564" s="941" t="s">
        <v>12543</v>
      </c>
      <c r="AF1564" s="922">
        <f>IF(X1564=X1563,AF1563,0)+IF(ISNUMBER(I1564),IF(I1564&lt;1,I1564,I1564*VLOOKUP(J1564,Summary!$H$2:$I$9,2)),VLOOKUP(J1564,Summary!$J$2:$K$9,2)*IF(ISNUMBER(H1564),H1564,1))</f>
        <v>2.7777777777777779E-3</v>
      </c>
      <c r="AG1564" s="290">
        <v>1563</v>
      </c>
      <c r="AH1564" s="94"/>
      <c r="AI1564" s="94"/>
    </row>
    <row r="1565" spans="1:35" s="29" customFormat="1" ht="12" customHeight="1" x14ac:dyDescent="0.25">
      <c r="A1565" s="408"/>
      <c r="B1565" s="408" t="s">
        <v>2650</v>
      </c>
      <c r="C1565" s="408">
        <v>31</v>
      </c>
      <c r="D1565" s="176" t="s">
        <v>3472</v>
      </c>
      <c r="E1565" s="313" t="s">
        <v>3473</v>
      </c>
      <c r="F1565" s="175">
        <v>34465</v>
      </c>
      <c r="G1565" s="174"/>
      <c r="H1565" s="176">
        <v>1</v>
      </c>
      <c r="I1565" s="176">
        <v>1</v>
      </c>
      <c r="J1565" s="900" t="s">
        <v>2755</v>
      </c>
      <c r="K1565" s="164" t="s">
        <v>3588</v>
      </c>
      <c r="L1565" s="164"/>
      <c r="M1565" s="164"/>
      <c r="N1565" s="164" t="s">
        <v>7375</v>
      </c>
      <c r="O1565" s="164"/>
      <c r="P1565" s="173" t="s">
        <v>461</v>
      </c>
      <c r="Q1565" s="164" t="s">
        <v>4062</v>
      </c>
      <c r="R1565" s="177" t="s">
        <v>4599</v>
      </c>
      <c r="S1565" s="354"/>
      <c r="T1565" s="173"/>
      <c r="U1565" s="173"/>
      <c r="V1565" s="173"/>
      <c r="W1565" s="313" t="s">
        <v>3473</v>
      </c>
      <c r="X1565" s="645" t="s">
        <v>12332</v>
      </c>
      <c r="Y1565" s="354"/>
      <c r="Z1565" s="176"/>
      <c r="AA1565" s="176"/>
      <c r="AB1565" s="32">
        <f t="shared" ca="1" si="32"/>
        <v>0.93978409679494501</v>
      </c>
      <c r="AC1565" s="812"/>
      <c r="AD1565" s="763"/>
      <c r="AE1565" s="807"/>
      <c r="AF1565" s="921">
        <f>IF(X1565=X1564,AF1564,0)+IF(ISNUMBER(I1565),IF(I1565&lt;1,I1565,I1565*VLOOKUP(J1565,Summary!$H$2:$I$9,2)),VLOOKUP(J1565,Summary!$J$2:$K$9,2)*IF(ISNUMBER(H1565),H1565,1))</f>
        <v>3.4722222222222225E-3</v>
      </c>
      <c r="AG1565" s="289">
        <v>1564</v>
      </c>
      <c r="AH1565" s="94"/>
      <c r="AI1565" s="94"/>
    </row>
    <row r="1566" spans="1:35" s="1" customFormat="1" ht="12" customHeight="1" x14ac:dyDescent="0.25">
      <c r="A1566" s="422"/>
      <c r="B1566" s="422" t="s">
        <v>4457</v>
      </c>
      <c r="C1566" s="422">
        <v>4.08</v>
      </c>
      <c r="D1566" s="434" t="s">
        <v>4412</v>
      </c>
      <c r="E1566" s="324" t="s">
        <v>2227</v>
      </c>
      <c r="F1566" s="174">
        <v>37591</v>
      </c>
      <c r="G1566" s="174"/>
      <c r="H1566" s="176">
        <v>1</v>
      </c>
      <c r="I1566" s="176">
        <v>6</v>
      </c>
      <c r="J1566" s="900" t="s">
        <v>2755</v>
      </c>
      <c r="K1566" s="164" t="s">
        <v>5658</v>
      </c>
      <c r="L1566" s="164" t="s">
        <v>461</v>
      </c>
      <c r="M1566" s="164"/>
      <c r="N1566" s="164" t="s">
        <v>4552</v>
      </c>
      <c r="O1566" s="164"/>
      <c r="P1566" s="173" t="s">
        <v>6556</v>
      </c>
      <c r="Q1566" s="164" t="s">
        <v>3947</v>
      </c>
      <c r="R1566" s="177" t="s">
        <v>2723</v>
      </c>
      <c r="S1566" s="354"/>
      <c r="T1566" s="173" t="s">
        <v>6335</v>
      </c>
      <c r="U1566" s="173" t="s">
        <v>6335</v>
      </c>
      <c r="V1566" s="173"/>
      <c r="W1566" s="324" t="s">
        <v>2227</v>
      </c>
      <c r="X1566" s="656" t="s">
        <v>12332</v>
      </c>
      <c r="Y1566" s="354"/>
      <c r="Z1566" s="364"/>
      <c r="AA1566" s="364"/>
      <c r="AB1566" s="32">
        <f t="shared" ca="1" si="32"/>
        <v>7.5413281515211095E-2</v>
      </c>
      <c r="AC1566" s="812"/>
      <c r="AD1566" s="763"/>
      <c r="AE1566" s="951"/>
      <c r="AF1566" s="921">
        <f>IF(X1566=X1565,AF1565,0)+IF(ISNUMBER(I1566),IF(I1566&lt;1,I1566,I1566*VLOOKUP(J1566,Summary!$H$2:$I$9,2)),VLOOKUP(J1566,Summary!$J$2:$K$9,2)*IF(ISNUMBER(H1566),H1566,1))</f>
        <v>7.6388888888888895E-3</v>
      </c>
      <c r="AG1566" s="289">
        <v>1565</v>
      </c>
      <c r="AH1566" s="94"/>
      <c r="AI1566" s="94"/>
    </row>
    <row r="1567" spans="1:35" s="29" customFormat="1" ht="12" customHeight="1" x14ac:dyDescent="0.25">
      <c r="A1567" s="474"/>
      <c r="B1567" s="476" t="s">
        <v>4457</v>
      </c>
      <c r="C1567" s="475"/>
      <c r="D1567" s="424" t="s">
        <v>2693</v>
      </c>
      <c r="E1567" s="319" t="s">
        <v>7842</v>
      </c>
      <c r="F1567" s="198">
        <v>29948</v>
      </c>
      <c r="G1567" s="198"/>
      <c r="H1567" s="199">
        <v>1</v>
      </c>
      <c r="I1567" s="791">
        <f>TIME(0,49,56)</f>
        <v>3.4675925925925923E-2</v>
      </c>
      <c r="J1567" s="904" t="s">
        <v>1588</v>
      </c>
      <c r="K1567" s="200" t="s">
        <v>6967</v>
      </c>
      <c r="L1567" s="200" t="s">
        <v>2626</v>
      </c>
      <c r="M1567" s="200"/>
      <c r="N1567" s="200" t="s">
        <v>6424</v>
      </c>
      <c r="O1567" s="200" t="s">
        <v>6962</v>
      </c>
      <c r="P1567" s="197" t="s">
        <v>461</v>
      </c>
      <c r="Q1567" s="200" t="s">
        <v>3946</v>
      </c>
      <c r="R1567" s="201" t="s">
        <v>5273</v>
      </c>
      <c r="S1567" s="390" t="s">
        <v>53</v>
      </c>
      <c r="T1567" s="197" t="s">
        <v>6335</v>
      </c>
      <c r="U1567" s="197"/>
      <c r="V1567" s="197"/>
      <c r="W1567" s="319" t="s">
        <v>10120</v>
      </c>
      <c r="X1567" s="651" t="s">
        <v>12332</v>
      </c>
      <c r="Y1567" s="358" t="s">
        <v>7018</v>
      </c>
      <c r="Z1567" s="253">
        <v>293</v>
      </c>
      <c r="AA1567" s="253">
        <v>2</v>
      </c>
      <c r="AB1567" s="35">
        <f t="shared" ca="1" si="32"/>
        <v>0.37558469906108671</v>
      </c>
      <c r="AC1567" s="820"/>
      <c r="AD1567" s="821" t="s">
        <v>16010</v>
      </c>
      <c r="AE1567" s="944"/>
      <c r="AF1567" s="925">
        <f>IF(X1567=X1566,AF1566,0)+IF(ISNUMBER(I1567),IF(I1567&lt;1,I1567,I1567*VLOOKUP(J1567,Summary!$H$2:$I$9,2)),VLOOKUP(J1567,Summary!$J$2:$K$9,2)*IF(ISNUMBER(H1567),H1567,1))</f>
        <v>4.2314814814814812E-2</v>
      </c>
      <c r="AG1567" s="293">
        <v>1566</v>
      </c>
      <c r="AH1567" s="94"/>
      <c r="AI1567" s="94"/>
    </row>
    <row r="1568" spans="1:35" s="1" customFormat="1" ht="12" customHeight="1" x14ac:dyDescent="0.25">
      <c r="A1568" s="422"/>
      <c r="B1568" s="422" t="s">
        <v>4457</v>
      </c>
      <c r="C1568" s="422"/>
      <c r="D1568" s="434" t="s">
        <v>7841</v>
      </c>
      <c r="E1568" s="324" t="s">
        <v>7845</v>
      </c>
      <c r="F1568" s="174">
        <v>30195</v>
      </c>
      <c r="G1568" s="174"/>
      <c r="H1568" s="176" t="s">
        <v>461</v>
      </c>
      <c r="I1568" s="176">
        <v>6</v>
      </c>
      <c r="J1568" s="900" t="s">
        <v>2755</v>
      </c>
      <c r="K1568" s="164" t="s">
        <v>7844</v>
      </c>
      <c r="L1568" s="164" t="s">
        <v>7115</v>
      </c>
      <c r="M1568" s="164"/>
      <c r="N1568" s="164"/>
      <c r="O1568" s="164"/>
      <c r="P1568" s="173" t="s">
        <v>7843</v>
      </c>
      <c r="Q1568" s="164" t="s">
        <v>4705</v>
      </c>
      <c r="R1568" s="177" t="s">
        <v>4600</v>
      </c>
      <c r="S1568" s="354" t="s">
        <v>53</v>
      </c>
      <c r="T1568" s="173" t="s">
        <v>6335</v>
      </c>
      <c r="U1568" s="173"/>
      <c r="V1568" s="173"/>
      <c r="W1568" s="324" t="s">
        <v>7845</v>
      </c>
      <c r="X1568" s="656" t="s">
        <v>12332</v>
      </c>
      <c r="Y1568" s="354"/>
      <c r="Z1568" s="364"/>
      <c r="AA1568" s="364"/>
      <c r="AB1568" s="32">
        <f t="shared" ca="1" si="32"/>
        <v>0.45306433360633502</v>
      </c>
      <c r="AC1568" s="812"/>
      <c r="AD1568" s="763"/>
      <c r="AE1568" s="951"/>
      <c r="AF1568" s="921">
        <f>IF(X1568=X1567,AF1567,0)+IF(ISNUMBER(I1568),IF(I1568&lt;1,I1568,I1568*VLOOKUP(J1568,Summary!$H$2:$I$9,2)),VLOOKUP(J1568,Summary!$J$2:$K$9,2)*IF(ISNUMBER(H1568),H1568,1))</f>
        <v>4.6481481481481478E-2</v>
      </c>
      <c r="AG1568" s="289">
        <v>1567</v>
      </c>
      <c r="AH1568" s="94"/>
      <c r="AI1568" s="94"/>
    </row>
    <row r="1569" spans="1:35" s="29" customFormat="1" ht="12" customHeight="1" x14ac:dyDescent="0.25">
      <c r="A1569" s="422"/>
      <c r="B1569" s="422" t="s">
        <v>4457</v>
      </c>
      <c r="C1569" s="422"/>
      <c r="D1569" s="434" t="s">
        <v>7841</v>
      </c>
      <c r="E1569" s="324" t="s">
        <v>752</v>
      </c>
      <c r="F1569" s="174">
        <v>30195</v>
      </c>
      <c r="G1569" s="174"/>
      <c r="H1569" s="176" t="s">
        <v>461</v>
      </c>
      <c r="I1569" s="176">
        <v>6</v>
      </c>
      <c r="J1569" s="900" t="s">
        <v>2755</v>
      </c>
      <c r="K1569" s="164" t="s">
        <v>7844</v>
      </c>
      <c r="L1569" s="164" t="s">
        <v>7115</v>
      </c>
      <c r="M1569" s="164"/>
      <c r="N1569" s="164"/>
      <c r="O1569" s="164"/>
      <c r="P1569" s="173" t="s">
        <v>7843</v>
      </c>
      <c r="Q1569" s="164" t="s">
        <v>4705</v>
      </c>
      <c r="R1569" s="177" t="s">
        <v>4600</v>
      </c>
      <c r="S1569" s="354" t="s">
        <v>53</v>
      </c>
      <c r="T1569" s="173" t="s">
        <v>6335</v>
      </c>
      <c r="U1569" s="173"/>
      <c r="V1569" s="173"/>
      <c r="W1569" s="324" t="s">
        <v>752</v>
      </c>
      <c r="X1569" s="656" t="s">
        <v>12332</v>
      </c>
      <c r="Y1569" s="354"/>
      <c r="Z1569" s="364"/>
      <c r="AA1569" s="364"/>
      <c r="AB1569" s="32">
        <f t="shared" ca="1" si="32"/>
        <v>0.82395964951526524</v>
      </c>
      <c r="AC1569" s="812"/>
      <c r="AD1569" s="763"/>
      <c r="AE1569" s="951"/>
      <c r="AF1569" s="921">
        <f>IF(X1569=X1568,AF1568,0)+IF(ISNUMBER(I1569),IF(I1569&lt;1,I1569,I1569*VLOOKUP(J1569,Summary!$H$2:$I$9,2)),VLOOKUP(J1569,Summary!$J$2:$K$9,2)*IF(ISNUMBER(H1569),H1569,1))</f>
        <v>5.0648148148148144E-2</v>
      </c>
      <c r="AG1569" s="288">
        <v>1568</v>
      </c>
      <c r="AH1569" s="94"/>
      <c r="AI1569" s="94"/>
    </row>
    <row r="1570" spans="1:35" s="29" customFormat="1" ht="12" customHeight="1" x14ac:dyDescent="0.25">
      <c r="A1570" s="422"/>
      <c r="B1570" s="422" t="s">
        <v>4457</v>
      </c>
      <c r="C1570" s="422"/>
      <c r="D1570" s="434" t="s">
        <v>7841</v>
      </c>
      <c r="E1570" s="324" t="s">
        <v>753</v>
      </c>
      <c r="F1570" s="174">
        <v>30195</v>
      </c>
      <c r="G1570" s="174"/>
      <c r="H1570" s="176" t="s">
        <v>461</v>
      </c>
      <c r="I1570" s="176">
        <v>7</v>
      </c>
      <c r="J1570" s="900" t="s">
        <v>2755</v>
      </c>
      <c r="K1570" s="164" t="s">
        <v>7844</v>
      </c>
      <c r="L1570" s="164" t="s">
        <v>7115</v>
      </c>
      <c r="M1570" s="164"/>
      <c r="N1570" s="164"/>
      <c r="O1570" s="164"/>
      <c r="P1570" s="173" t="s">
        <v>7843</v>
      </c>
      <c r="Q1570" s="164" t="s">
        <v>4705</v>
      </c>
      <c r="R1570" s="177" t="s">
        <v>4600</v>
      </c>
      <c r="S1570" s="354" t="s">
        <v>53</v>
      </c>
      <c r="T1570" s="173" t="s">
        <v>6335</v>
      </c>
      <c r="U1570" s="173"/>
      <c r="V1570" s="173"/>
      <c r="W1570" s="324" t="s">
        <v>753</v>
      </c>
      <c r="X1570" s="656" t="s">
        <v>12332</v>
      </c>
      <c r="Y1570" s="354"/>
      <c r="Z1570" s="364"/>
      <c r="AA1570" s="364"/>
      <c r="AB1570" s="32">
        <f t="shared" ca="1" si="32"/>
        <v>8.7023841699507165E-2</v>
      </c>
      <c r="AC1570" s="812"/>
      <c r="AD1570" s="763"/>
      <c r="AE1570" s="951"/>
      <c r="AF1570" s="921">
        <f>IF(X1570=X1569,AF1569,0)+IF(ISNUMBER(I1570),IF(I1570&lt;1,I1570,I1570*VLOOKUP(J1570,Summary!$H$2:$I$9,2)),VLOOKUP(J1570,Summary!$J$2:$K$9,2)*IF(ISNUMBER(H1570),H1570,1))</f>
        <v>5.5509259259259258E-2</v>
      </c>
      <c r="AG1570" s="289">
        <v>1569</v>
      </c>
      <c r="AH1570" s="94"/>
      <c r="AI1570" s="94"/>
    </row>
    <row r="1571" spans="1:35" s="22" customFormat="1" ht="12" customHeight="1" x14ac:dyDescent="0.25">
      <c r="A1571" s="422"/>
      <c r="B1571" s="422" t="s">
        <v>4457</v>
      </c>
      <c r="C1571" s="422"/>
      <c r="D1571" s="434" t="s">
        <v>7841</v>
      </c>
      <c r="E1571" s="324" t="s">
        <v>754</v>
      </c>
      <c r="F1571" s="174">
        <v>30195</v>
      </c>
      <c r="G1571" s="174"/>
      <c r="H1571" s="176" t="s">
        <v>461</v>
      </c>
      <c r="I1571" s="176">
        <v>7</v>
      </c>
      <c r="J1571" s="900" t="s">
        <v>2755</v>
      </c>
      <c r="K1571" s="164" t="s">
        <v>7844</v>
      </c>
      <c r="L1571" s="164" t="s">
        <v>7115</v>
      </c>
      <c r="M1571" s="164"/>
      <c r="N1571" s="164"/>
      <c r="O1571" s="164"/>
      <c r="P1571" s="173" t="s">
        <v>7843</v>
      </c>
      <c r="Q1571" s="164" t="s">
        <v>4705</v>
      </c>
      <c r="R1571" s="177" t="s">
        <v>4600</v>
      </c>
      <c r="S1571" s="354" t="s">
        <v>53</v>
      </c>
      <c r="T1571" s="173" t="s">
        <v>6335</v>
      </c>
      <c r="U1571" s="173"/>
      <c r="V1571" s="173"/>
      <c r="W1571" s="324" t="s">
        <v>754</v>
      </c>
      <c r="X1571" s="656" t="s">
        <v>12332</v>
      </c>
      <c r="Y1571" s="354"/>
      <c r="Z1571" s="364"/>
      <c r="AA1571" s="364"/>
      <c r="AB1571" s="32">
        <f t="shared" ca="1" si="32"/>
        <v>0.13813186708495961</v>
      </c>
      <c r="AC1571" s="812"/>
      <c r="AD1571" s="763"/>
      <c r="AE1571" s="951"/>
      <c r="AF1571" s="921">
        <f>IF(X1571=X1570,AF1570,0)+IF(ISNUMBER(I1571),IF(I1571&lt;1,I1571,I1571*VLOOKUP(J1571,Summary!$H$2:$I$9,2)),VLOOKUP(J1571,Summary!$J$2:$K$9,2)*IF(ISNUMBER(H1571),H1571,1))</f>
        <v>6.0370370370370366E-2</v>
      </c>
      <c r="AG1571" s="288">
        <v>1570</v>
      </c>
      <c r="AH1571" s="94"/>
      <c r="AI1571" s="94"/>
    </row>
    <row r="1572" spans="1:35" s="43" customFormat="1" ht="12" customHeight="1" x14ac:dyDescent="0.25">
      <c r="A1572" s="422"/>
      <c r="B1572" s="422" t="s">
        <v>4457</v>
      </c>
      <c r="C1572" s="422"/>
      <c r="D1572" s="434" t="s">
        <v>7841</v>
      </c>
      <c r="E1572" s="324" t="s">
        <v>755</v>
      </c>
      <c r="F1572" s="174">
        <v>30195</v>
      </c>
      <c r="G1572" s="174"/>
      <c r="H1572" s="176" t="s">
        <v>461</v>
      </c>
      <c r="I1572" s="176">
        <v>7</v>
      </c>
      <c r="J1572" s="900" t="s">
        <v>2755</v>
      </c>
      <c r="K1572" s="164" t="s">
        <v>7844</v>
      </c>
      <c r="L1572" s="164" t="s">
        <v>7115</v>
      </c>
      <c r="M1572" s="164"/>
      <c r="N1572" s="164"/>
      <c r="O1572" s="164"/>
      <c r="P1572" s="173" t="s">
        <v>7843</v>
      </c>
      <c r="Q1572" s="164" t="s">
        <v>4705</v>
      </c>
      <c r="R1572" s="177" t="s">
        <v>4600</v>
      </c>
      <c r="S1572" s="354" t="s">
        <v>53</v>
      </c>
      <c r="T1572" s="173" t="s">
        <v>6335</v>
      </c>
      <c r="U1572" s="173"/>
      <c r="V1572" s="173"/>
      <c r="W1572" s="324" t="s">
        <v>755</v>
      </c>
      <c r="X1572" s="656" t="s">
        <v>12332</v>
      </c>
      <c r="Y1572" s="354"/>
      <c r="Z1572" s="364"/>
      <c r="AA1572" s="364"/>
      <c r="AB1572" s="32">
        <f t="shared" ca="1" si="32"/>
        <v>0.50809297404571885</v>
      </c>
      <c r="AC1572" s="812"/>
      <c r="AD1572" s="763"/>
      <c r="AE1572" s="951"/>
      <c r="AF1572" s="921">
        <f>IF(X1572=X1571,AF1571,0)+IF(ISNUMBER(I1572),IF(I1572&lt;1,I1572,I1572*VLOOKUP(J1572,Summary!$H$2:$I$9,2)),VLOOKUP(J1572,Summary!$J$2:$K$9,2)*IF(ISNUMBER(H1572),H1572,1))</f>
        <v>6.5231481481481474E-2</v>
      </c>
      <c r="AG1572" s="289">
        <v>1571</v>
      </c>
      <c r="AH1572" s="94"/>
      <c r="AI1572" s="94"/>
    </row>
    <row r="1573" spans="1:35" s="48" customFormat="1" ht="12" customHeight="1" x14ac:dyDescent="0.25">
      <c r="A1573" s="422"/>
      <c r="B1573" s="422" t="s">
        <v>4457</v>
      </c>
      <c r="C1573" s="422"/>
      <c r="D1573" s="434" t="s">
        <v>7841</v>
      </c>
      <c r="E1573" s="324" t="s">
        <v>756</v>
      </c>
      <c r="F1573" s="174">
        <v>30195</v>
      </c>
      <c r="G1573" s="174"/>
      <c r="H1573" s="176" t="s">
        <v>461</v>
      </c>
      <c r="I1573" s="176">
        <v>7</v>
      </c>
      <c r="J1573" s="900" t="s">
        <v>2755</v>
      </c>
      <c r="K1573" s="164" t="s">
        <v>7844</v>
      </c>
      <c r="L1573" s="164" t="s">
        <v>7115</v>
      </c>
      <c r="M1573" s="164"/>
      <c r="N1573" s="164"/>
      <c r="O1573" s="164"/>
      <c r="P1573" s="173" t="s">
        <v>7843</v>
      </c>
      <c r="Q1573" s="164" t="s">
        <v>4705</v>
      </c>
      <c r="R1573" s="177" t="s">
        <v>4600</v>
      </c>
      <c r="S1573" s="354" t="s">
        <v>53</v>
      </c>
      <c r="T1573" s="173" t="s">
        <v>6335</v>
      </c>
      <c r="U1573" s="173"/>
      <c r="V1573" s="173"/>
      <c r="W1573" s="324" t="s">
        <v>756</v>
      </c>
      <c r="X1573" s="656" t="s">
        <v>12332</v>
      </c>
      <c r="Y1573" s="354"/>
      <c r="Z1573" s="364"/>
      <c r="AA1573" s="364"/>
      <c r="AB1573" s="32">
        <f t="shared" ca="1" si="32"/>
        <v>0.61421772918067619</v>
      </c>
      <c r="AC1573" s="812"/>
      <c r="AD1573" s="763"/>
      <c r="AE1573" s="951"/>
      <c r="AF1573" s="921">
        <f>IF(X1573=X1572,AF1572,0)+IF(ISNUMBER(I1573),IF(I1573&lt;1,I1573,I1573*VLOOKUP(J1573,Summary!$H$2:$I$9,2)),VLOOKUP(J1573,Summary!$J$2:$K$9,2)*IF(ISNUMBER(H1573),H1573,1))</f>
        <v>7.0092592592592581E-2</v>
      </c>
      <c r="AG1573" s="288">
        <v>1572</v>
      </c>
      <c r="AH1573" s="94"/>
      <c r="AI1573" s="94"/>
    </row>
    <row r="1574" spans="1:35" s="9" customFormat="1" ht="12" customHeight="1" x14ac:dyDescent="0.25">
      <c r="A1574" s="408"/>
      <c r="B1574" s="408" t="s">
        <v>4457</v>
      </c>
      <c r="C1574" s="408">
        <v>12</v>
      </c>
      <c r="D1574" s="176" t="s">
        <v>862</v>
      </c>
      <c r="E1574" s="313" t="s">
        <v>835</v>
      </c>
      <c r="F1574" s="174">
        <v>36100</v>
      </c>
      <c r="G1574" s="175"/>
      <c r="H1574" s="176" t="s">
        <v>461</v>
      </c>
      <c r="I1574" s="176"/>
      <c r="J1574" s="900" t="s">
        <v>2755</v>
      </c>
      <c r="K1574" s="164" t="s">
        <v>898</v>
      </c>
      <c r="L1574" s="164"/>
      <c r="M1574" s="164"/>
      <c r="N1574" s="164" t="s">
        <v>819</v>
      </c>
      <c r="O1574" s="164"/>
      <c r="P1574" s="178" t="s">
        <v>461</v>
      </c>
      <c r="Q1574" s="164" t="s">
        <v>820</v>
      </c>
      <c r="R1574" s="177" t="s">
        <v>895</v>
      </c>
      <c r="S1574" s="354" t="s">
        <v>53</v>
      </c>
      <c r="T1574" s="173" t="s">
        <v>6335</v>
      </c>
      <c r="U1574" s="173"/>
      <c r="V1574" s="173"/>
      <c r="W1574" s="313" t="s">
        <v>835</v>
      </c>
      <c r="X1574" s="645" t="s">
        <v>12332</v>
      </c>
      <c r="Y1574" s="354"/>
      <c r="Z1574" s="176"/>
      <c r="AA1574" s="176"/>
      <c r="AB1574" s="32">
        <f t="shared" ca="1" si="32"/>
        <v>0.3851155363728197</v>
      </c>
      <c r="AC1574" s="812"/>
      <c r="AD1574" s="763"/>
      <c r="AE1574" s="807"/>
      <c r="AF1574" s="921">
        <f>IF(X1574=X1573,AF1573,0)+IF(ISNUMBER(I1574),IF(I1574&lt;1,I1574,I1574*VLOOKUP(J1574,Summary!$H$2:$I$9,2)),VLOOKUP(J1574,Summary!$J$2:$K$9,2)*IF(ISNUMBER(H1574),H1574,1))</f>
        <v>8.74537037037037E-2</v>
      </c>
      <c r="AG1574" s="289">
        <v>1573</v>
      </c>
      <c r="AH1574" s="94"/>
      <c r="AI1574" s="94"/>
    </row>
    <row r="1575" spans="1:35" s="7" customFormat="1" ht="12" customHeight="1" x14ac:dyDescent="0.25">
      <c r="A1575" s="422"/>
      <c r="B1575" s="422" t="s">
        <v>2650</v>
      </c>
      <c r="C1575" s="422">
        <v>24.21</v>
      </c>
      <c r="D1575" s="176" t="s">
        <v>1653</v>
      </c>
      <c r="E1575" s="313" t="s">
        <v>1654</v>
      </c>
      <c r="F1575" s="174">
        <v>39264</v>
      </c>
      <c r="G1575" s="174"/>
      <c r="H1575" s="176">
        <v>1</v>
      </c>
      <c r="I1575" s="176">
        <v>14</v>
      </c>
      <c r="J1575" s="900" t="s">
        <v>2755</v>
      </c>
      <c r="K1575" s="164" t="s">
        <v>5658</v>
      </c>
      <c r="L1575" s="164" t="s">
        <v>461</v>
      </c>
      <c r="M1575" s="164"/>
      <c r="N1575" s="164" t="s">
        <v>4425</v>
      </c>
      <c r="O1575" s="164"/>
      <c r="P1575" s="173" t="s">
        <v>5601</v>
      </c>
      <c r="Q1575" s="164" t="s">
        <v>3947</v>
      </c>
      <c r="R1575" s="177" t="s">
        <v>2723</v>
      </c>
      <c r="S1575" s="354"/>
      <c r="T1575" s="173"/>
      <c r="U1575" s="173"/>
      <c r="V1575" s="173"/>
      <c r="W1575" s="313" t="s">
        <v>1654</v>
      </c>
      <c r="X1575" s="645" t="s">
        <v>12332</v>
      </c>
      <c r="Y1575" s="354"/>
      <c r="Z1575" s="176"/>
      <c r="AA1575" s="176"/>
      <c r="AB1575" s="32">
        <f t="shared" ca="1" si="32"/>
        <v>7.5699566088087811E-2</v>
      </c>
      <c r="AC1575" s="812"/>
      <c r="AD1575" s="763"/>
      <c r="AE1575" s="807"/>
      <c r="AF1575" s="921">
        <f>IF(X1575=X1574,AF1574,0)+IF(ISNUMBER(I1575),IF(I1575&lt;1,I1575,I1575*VLOOKUP(J1575,Summary!$H$2:$I$9,2)),VLOOKUP(J1575,Summary!$J$2:$K$9,2)*IF(ISNUMBER(H1575),H1575,1))</f>
        <v>9.7175925925925916E-2</v>
      </c>
      <c r="AG1575" s="289">
        <v>1574</v>
      </c>
      <c r="AH1575" s="94"/>
      <c r="AI1575" s="94"/>
    </row>
    <row r="1576" spans="1:35" s="1" customFormat="1" ht="12" customHeight="1" x14ac:dyDescent="0.25">
      <c r="A1576" s="511" t="s">
        <v>2362</v>
      </c>
      <c r="B1576" s="511">
        <v>5</v>
      </c>
      <c r="C1576" s="511">
        <v>116</v>
      </c>
      <c r="D1576" s="424" t="s">
        <v>2363</v>
      </c>
      <c r="E1576" s="319" t="s">
        <v>2364</v>
      </c>
      <c r="F1576" s="198">
        <v>29955</v>
      </c>
      <c r="G1576" s="198">
        <v>29963</v>
      </c>
      <c r="H1576" s="199">
        <v>4</v>
      </c>
      <c r="I1576" s="791">
        <f>TIME(0,24,14)+TIME(0,24,13)+TIME(0,23,35)+TIME(0,24,12)</f>
        <v>6.682870370370371E-2</v>
      </c>
      <c r="J1576" s="904" t="s">
        <v>1588</v>
      </c>
      <c r="K1576" s="200" t="s">
        <v>6963</v>
      </c>
      <c r="L1576" s="200" t="s">
        <v>2365</v>
      </c>
      <c r="M1576" s="200"/>
      <c r="N1576" s="200" t="s">
        <v>2366</v>
      </c>
      <c r="O1576" s="200" t="s">
        <v>6962</v>
      </c>
      <c r="P1576" s="197" t="s">
        <v>461</v>
      </c>
      <c r="Q1576" s="200" t="s">
        <v>3946</v>
      </c>
      <c r="R1576" s="201" t="s">
        <v>5280</v>
      </c>
      <c r="S1576" s="390" t="s">
        <v>2607</v>
      </c>
      <c r="T1576" s="197" t="s">
        <v>2320</v>
      </c>
      <c r="U1576" s="197" t="s">
        <v>7309</v>
      </c>
      <c r="V1576" s="197"/>
      <c r="W1576" s="318" t="s">
        <v>8722</v>
      </c>
      <c r="X1576" s="650" t="s">
        <v>12332</v>
      </c>
      <c r="Y1576" s="358" t="s">
        <v>6141</v>
      </c>
      <c r="Z1576" s="253">
        <v>30</v>
      </c>
      <c r="AA1576" s="253">
        <v>9</v>
      </c>
      <c r="AB1576" s="35">
        <f t="shared" ca="1" si="32"/>
        <v>4.6351696755952299E-2</v>
      </c>
      <c r="AC1576" s="820"/>
      <c r="AD1576" s="821" t="s">
        <v>16007</v>
      </c>
      <c r="AE1576" s="944"/>
      <c r="AF1576" s="925">
        <f>IF(X1576=X1575,AF1575,0)+IF(ISNUMBER(I1576),IF(I1576&lt;1,I1576,I1576*VLOOKUP(J1576,Summary!$H$2:$I$9,2)),VLOOKUP(J1576,Summary!$J$2:$K$9,2)*IF(ISNUMBER(H1576),H1576,1))</f>
        <v>0.16400462962962964</v>
      </c>
      <c r="AG1576" s="293">
        <v>1575</v>
      </c>
      <c r="AH1576" s="94"/>
      <c r="AI1576" s="94"/>
    </row>
    <row r="1577" spans="1:35" s="10" customFormat="1" ht="12" customHeight="1" x14ac:dyDescent="0.25">
      <c r="A1577" s="514">
        <v>19</v>
      </c>
      <c r="B1577" s="514">
        <v>5</v>
      </c>
      <c r="C1577" s="514">
        <v>6.09</v>
      </c>
      <c r="D1577" s="434" t="s">
        <v>7095</v>
      </c>
      <c r="E1577" s="324" t="s">
        <v>7094</v>
      </c>
      <c r="F1577" s="174">
        <v>37773</v>
      </c>
      <c r="G1577" s="174"/>
      <c r="H1577" s="176">
        <v>1</v>
      </c>
      <c r="I1577" s="176">
        <v>10</v>
      </c>
      <c r="J1577" s="900" t="s">
        <v>2755</v>
      </c>
      <c r="K1577" s="164" t="s">
        <v>4996</v>
      </c>
      <c r="L1577" s="164" t="s">
        <v>461</v>
      </c>
      <c r="M1577" s="164"/>
      <c r="N1577" s="164" t="s">
        <v>4996</v>
      </c>
      <c r="O1577" s="164"/>
      <c r="P1577" s="173" t="s">
        <v>4997</v>
      </c>
      <c r="Q1577" s="164" t="s">
        <v>3947</v>
      </c>
      <c r="R1577" s="179" t="s">
        <v>2723</v>
      </c>
      <c r="S1577" s="354"/>
      <c r="T1577" s="173"/>
      <c r="U1577" s="173"/>
      <c r="V1577" s="173"/>
      <c r="W1577" s="324" t="s">
        <v>7094</v>
      </c>
      <c r="X1577" s="656" t="s">
        <v>12332</v>
      </c>
      <c r="Y1577" s="354"/>
      <c r="Z1577" s="176">
        <v>999</v>
      </c>
      <c r="AA1577" s="176"/>
      <c r="AB1577" s="32">
        <f t="shared" ca="1" si="32"/>
        <v>0.57204058129636659</v>
      </c>
      <c r="AC1577" s="812"/>
      <c r="AD1577" s="763"/>
      <c r="AE1577" s="951"/>
      <c r="AF1577" s="921">
        <f>IF(X1577=X1576,AF1576,0)+IF(ISNUMBER(I1577),IF(I1577&lt;1,I1577,I1577*VLOOKUP(J1577,Summary!$H$2:$I$9,2)),VLOOKUP(J1577,Summary!$J$2:$K$9,2)*IF(ISNUMBER(H1577),H1577,1))</f>
        <v>0.17094907407407409</v>
      </c>
      <c r="AG1577" s="288">
        <v>1576</v>
      </c>
      <c r="AH1577" s="94"/>
      <c r="AI1577" s="94"/>
    </row>
    <row r="1578" spans="1:35" s="7" customFormat="1" ht="12" customHeight="1" x14ac:dyDescent="0.25">
      <c r="A1578" s="512">
        <v>19</v>
      </c>
      <c r="B1578" s="512">
        <v>5</v>
      </c>
      <c r="C1578" s="513">
        <v>6.1</v>
      </c>
      <c r="D1578" s="407" t="s">
        <v>8519</v>
      </c>
      <c r="E1578" s="315" t="s">
        <v>8520</v>
      </c>
      <c r="F1578" s="196">
        <v>41863</v>
      </c>
      <c r="G1578" s="170"/>
      <c r="H1578" s="170">
        <v>4</v>
      </c>
      <c r="I1578" s="746">
        <f>TIME(1,49,21)</f>
        <v>7.5937500000000005E-2</v>
      </c>
      <c r="J1578" s="899" t="s">
        <v>4706</v>
      </c>
      <c r="K1578" s="167" t="s">
        <v>177</v>
      </c>
      <c r="L1578" s="167" t="s">
        <v>2313</v>
      </c>
      <c r="M1578" s="167"/>
      <c r="N1578" s="167"/>
      <c r="O1578" s="167"/>
      <c r="P1578" s="168" t="s">
        <v>8521</v>
      </c>
      <c r="Q1578" s="167" t="s">
        <v>3947</v>
      </c>
      <c r="R1578" s="172" t="s">
        <v>3147</v>
      </c>
      <c r="S1578" s="388" t="s">
        <v>2607</v>
      </c>
      <c r="T1578" s="168" t="s">
        <v>2320</v>
      </c>
      <c r="U1578" s="168" t="s">
        <v>7309</v>
      </c>
      <c r="V1578" s="168"/>
      <c r="W1578" s="312" t="s">
        <v>10090</v>
      </c>
      <c r="X1578" s="644" t="s">
        <v>12332</v>
      </c>
      <c r="Y1578" s="352" t="s">
        <v>5643</v>
      </c>
      <c r="Z1578" s="353">
        <v>40</v>
      </c>
      <c r="AA1578" s="353">
        <v>8.5</v>
      </c>
      <c r="AB1578" s="31">
        <f t="shared" ca="1" si="32"/>
        <v>0.62918110639289127</v>
      </c>
      <c r="AC1578" s="810"/>
      <c r="AD1578" s="811"/>
      <c r="AE1578" s="940"/>
      <c r="AF1578" s="920">
        <f>IF(X1578=X1577,AF1577,0)+IF(ISNUMBER(I1578),IF(I1578&lt;1,I1578,I1578*VLOOKUP(J1578,Summary!$H$2:$I$9,2)),VLOOKUP(J1578,Summary!$J$2:$K$9,2)*IF(ISNUMBER(H1578),H1578,1))</f>
        <v>0.24688657407407411</v>
      </c>
      <c r="AG1578" s="287">
        <v>1577</v>
      </c>
      <c r="AH1578" s="94"/>
      <c r="AI1578" s="94"/>
    </row>
    <row r="1579" spans="1:35" s="2" customFormat="1" ht="12" customHeight="1" x14ac:dyDescent="0.25">
      <c r="A1579" s="408"/>
      <c r="B1579" s="408" t="s">
        <v>2650</v>
      </c>
      <c r="C1579" s="408">
        <v>20</v>
      </c>
      <c r="D1579" s="176" t="s">
        <v>3591</v>
      </c>
      <c r="E1579" s="313" t="s">
        <v>3592</v>
      </c>
      <c r="F1579" s="175">
        <v>33933</v>
      </c>
      <c r="G1579" s="174"/>
      <c r="H1579" s="176">
        <v>1</v>
      </c>
      <c r="I1579" s="176">
        <v>1</v>
      </c>
      <c r="J1579" s="900" t="s">
        <v>2755</v>
      </c>
      <c r="K1579" s="164" t="s">
        <v>3593</v>
      </c>
      <c r="L1579" s="164" t="s">
        <v>3575</v>
      </c>
      <c r="M1579" s="164"/>
      <c r="N1579" s="164" t="s">
        <v>7375</v>
      </c>
      <c r="O1579" s="164"/>
      <c r="P1579" s="173" t="s">
        <v>461</v>
      </c>
      <c r="Q1579" s="164" t="s">
        <v>4062</v>
      </c>
      <c r="R1579" s="177" t="s">
        <v>4599</v>
      </c>
      <c r="S1579" s="354"/>
      <c r="T1579" s="173"/>
      <c r="U1579" s="173"/>
      <c r="V1579" s="173"/>
      <c r="W1579" s="313" t="s">
        <v>3592</v>
      </c>
      <c r="X1579" s="645" t="s">
        <v>12332</v>
      </c>
      <c r="Y1579" s="354"/>
      <c r="Z1579" s="176"/>
      <c r="AA1579" s="176"/>
      <c r="AB1579" s="32">
        <f t="shared" ca="1" si="32"/>
        <v>0.9156052086771499</v>
      </c>
      <c r="AC1579" s="812"/>
      <c r="AD1579" s="763"/>
      <c r="AE1579" s="807"/>
      <c r="AF1579" s="921">
        <f>IF(X1579=X1578,AF1578,0)+IF(ISNUMBER(I1579),IF(I1579&lt;1,I1579,I1579*VLOOKUP(J1579,Summary!$H$2:$I$9,2)),VLOOKUP(J1579,Summary!$J$2:$K$9,2)*IF(ISNUMBER(H1579),H1579,1))</f>
        <v>0.24758101851851855</v>
      </c>
      <c r="AG1579" s="289">
        <v>1578</v>
      </c>
      <c r="AH1579" s="94"/>
      <c r="AI1579" s="94"/>
    </row>
    <row r="1580" spans="1:35" s="22" customFormat="1" ht="12" customHeight="1" x14ac:dyDescent="0.25">
      <c r="A1580" s="514">
        <v>19</v>
      </c>
      <c r="B1580" s="514">
        <v>5</v>
      </c>
      <c r="C1580" s="514">
        <v>21.05</v>
      </c>
      <c r="D1580" s="434" t="s">
        <v>2804</v>
      </c>
      <c r="E1580" s="324" t="s">
        <v>7096</v>
      </c>
      <c r="F1580" s="174">
        <v>38991</v>
      </c>
      <c r="G1580" s="174"/>
      <c r="H1580" s="176">
        <v>1</v>
      </c>
      <c r="I1580" s="176">
        <v>22</v>
      </c>
      <c r="J1580" s="900" t="s">
        <v>2755</v>
      </c>
      <c r="K1580" s="164" t="s">
        <v>7097</v>
      </c>
      <c r="L1580" s="164" t="s">
        <v>461</v>
      </c>
      <c r="M1580" s="164"/>
      <c r="N1580" s="164" t="s">
        <v>5664</v>
      </c>
      <c r="O1580" s="164"/>
      <c r="P1580" s="173" t="s">
        <v>3325</v>
      </c>
      <c r="Q1580" s="164" t="s">
        <v>3947</v>
      </c>
      <c r="R1580" s="179" t="s">
        <v>2723</v>
      </c>
      <c r="S1580" s="354"/>
      <c r="T1580" s="173"/>
      <c r="U1580" s="173"/>
      <c r="V1580" s="173"/>
      <c r="W1580" s="324" t="s">
        <v>7096</v>
      </c>
      <c r="X1580" s="656" t="s">
        <v>12332</v>
      </c>
      <c r="Y1580" s="354"/>
      <c r="Z1580" s="176"/>
      <c r="AA1580" s="176"/>
      <c r="AB1580" s="32">
        <f t="shared" ca="1" si="32"/>
        <v>0.46103230804098461</v>
      </c>
      <c r="AC1580" s="812"/>
      <c r="AD1580" s="763"/>
      <c r="AE1580" s="951"/>
      <c r="AF1580" s="921">
        <f>IF(X1580=X1579,AF1579,0)+IF(ISNUMBER(I1580),IF(I1580&lt;1,I1580,I1580*VLOOKUP(J1580,Summary!$H$2:$I$9,2)),VLOOKUP(J1580,Summary!$J$2:$K$9,2)*IF(ISNUMBER(H1580),H1580,1))</f>
        <v>0.26285879629629633</v>
      </c>
      <c r="AG1580" s="288">
        <v>1579</v>
      </c>
      <c r="AH1580" s="94"/>
      <c r="AI1580" s="94"/>
    </row>
    <row r="1581" spans="1:35" s="1" customFormat="1" ht="12" customHeight="1" x14ac:dyDescent="0.25">
      <c r="A1581" s="512">
        <v>19</v>
      </c>
      <c r="B1581" s="512">
        <v>5</v>
      </c>
      <c r="C1581" s="512">
        <v>11</v>
      </c>
      <c r="D1581" s="407" t="s">
        <v>13156</v>
      </c>
      <c r="E1581" s="315" t="s">
        <v>2368</v>
      </c>
      <c r="F1581" s="196">
        <v>42719</v>
      </c>
      <c r="G1581" s="170"/>
      <c r="H1581" s="170">
        <v>2</v>
      </c>
      <c r="I1581" s="747">
        <f>TIME(0,120,0)</f>
        <v>8.3333333333333329E-2</v>
      </c>
      <c r="J1581" s="899" t="s">
        <v>4706</v>
      </c>
      <c r="K1581" s="167" t="s">
        <v>2311</v>
      </c>
      <c r="L1581" s="167" t="s">
        <v>10304</v>
      </c>
      <c r="M1581" s="167"/>
      <c r="N1581" s="167"/>
      <c r="O1581" s="167"/>
      <c r="P1581" s="168" t="s">
        <v>13159</v>
      </c>
      <c r="Q1581" s="167" t="s">
        <v>3947</v>
      </c>
      <c r="R1581" s="172" t="s">
        <v>9690</v>
      </c>
      <c r="S1581" s="388" t="s">
        <v>2607</v>
      </c>
      <c r="T1581" s="168" t="s">
        <v>13161</v>
      </c>
      <c r="U1581" s="168">
        <v>7</v>
      </c>
      <c r="V1581" s="168" t="s">
        <v>13160</v>
      </c>
      <c r="W1581" s="312"/>
      <c r="X1581" s="644" t="s">
        <v>12332</v>
      </c>
      <c r="Y1581" s="352"/>
      <c r="Z1581" s="353"/>
      <c r="AA1581" s="353"/>
      <c r="AB1581" s="31">
        <f t="shared" ca="1" si="32"/>
        <v>0.34008875367073543</v>
      </c>
      <c r="AC1581" s="810"/>
      <c r="AD1581" s="811" t="s">
        <v>16263</v>
      </c>
      <c r="AE1581" s="940"/>
      <c r="AF1581" s="920">
        <f>IF(X1581=X1580,AF1580,0)+IF(ISNUMBER(I1581),IF(I1581&lt;1,I1581,I1581*VLOOKUP(J1581,Summary!$H$2:$I$9,2)),VLOOKUP(J1581,Summary!$J$2:$K$9,2)*IF(ISNUMBER(H1581),H1581,1))</f>
        <v>0.34619212962962964</v>
      </c>
      <c r="AG1581" s="287">
        <v>1580</v>
      </c>
      <c r="AH1581" s="94"/>
      <c r="AI1581" s="94"/>
    </row>
    <row r="1582" spans="1:35" s="22" customFormat="1" ht="12" customHeight="1" x14ac:dyDescent="0.25">
      <c r="A1582" s="515" t="s">
        <v>2362</v>
      </c>
      <c r="B1582" s="515">
        <v>5</v>
      </c>
      <c r="C1582" s="515">
        <v>29</v>
      </c>
      <c r="D1582" s="417" t="s">
        <v>2367</v>
      </c>
      <c r="E1582" s="316" t="s">
        <v>2368</v>
      </c>
      <c r="F1582" s="187">
        <v>35400</v>
      </c>
      <c r="G1582" s="188"/>
      <c r="H1582" s="188" t="str">
        <f>IF(J1582="Book","n/a","")</f>
        <v>n/a</v>
      </c>
      <c r="I1582" s="188">
        <v>319</v>
      </c>
      <c r="J1582" s="902" t="s">
        <v>6868</v>
      </c>
      <c r="K1582" s="162" t="s">
        <v>2311</v>
      </c>
      <c r="L1582" s="162" t="str">
        <f>IF(J1582="Book","n/a","")</f>
        <v>n/a</v>
      </c>
      <c r="M1582" s="162"/>
      <c r="N1582" s="162"/>
      <c r="O1582" s="162"/>
      <c r="P1582" s="178" t="s">
        <v>8613</v>
      </c>
      <c r="Q1582" s="162" t="s">
        <v>601</v>
      </c>
      <c r="R1582" s="189" t="s">
        <v>2715</v>
      </c>
      <c r="S1582" s="366" t="s">
        <v>2607</v>
      </c>
      <c r="T1582" s="178" t="s">
        <v>2320</v>
      </c>
      <c r="U1582" s="178" t="s">
        <v>7309</v>
      </c>
      <c r="V1582" s="178"/>
      <c r="W1582" s="316" t="s">
        <v>2368</v>
      </c>
      <c r="X1582" s="648" t="s">
        <v>12332</v>
      </c>
      <c r="Y1582" s="356"/>
      <c r="Z1582" s="272">
        <v>74</v>
      </c>
      <c r="AA1582" s="272">
        <v>6</v>
      </c>
      <c r="AB1582" s="34">
        <f t="shared" ca="1" si="32"/>
        <v>4.4958202547951687E-2</v>
      </c>
      <c r="AC1582" s="814"/>
      <c r="AD1582" s="815" t="s">
        <v>16263</v>
      </c>
      <c r="AE1582" s="942"/>
      <c r="AF1582" s="923">
        <f>IF(X1582=X1581,AF1581,0)+IF(ISNUMBER(I1582),IF(I1582&lt;1,I1582,I1582*VLOOKUP(J1582,Summary!$H$2:$I$9,2)),VLOOKUP(J1582,Summary!$J$2:$K$9,2)*IF(ISNUMBER(H1582),H1582,1))</f>
        <v>0.56771990740740741</v>
      </c>
      <c r="AG1582" s="291">
        <v>1581</v>
      </c>
      <c r="AH1582" s="94"/>
      <c r="AI1582" s="94"/>
    </row>
    <row r="1583" spans="1:35" s="1" customFormat="1" ht="12" customHeight="1" x14ac:dyDescent="0.25">
      <c r="A1583" s="516">
        <v>19</v>
      </c>
      <c r="B1583" s="516">
        <v>5</v>
      </c>
      <c r="C1583" s="516"/>
      <c r="D1583" s="428" t="s">
        <v>7111</v>
      </c>
      <c r="E1583" s="325" t="s">
        <v>7116</v>
      </c>
      <c r="F1583" s="183">
        <v>30195</v>
      </c>
      <c r="G1583" s="183"/>
      <c r="H1583" s="185">
        <v>1</v>
      </c>
      <c r="I1583" s="185">
        <v>6</v>
      </c>
      <c r="J1583" s="901" t="s">
        <v>1796</v>
      </c>
      <c r="K1583" s="163" t="s">
        <v>7115</v>
      </c>
      <c r="L1583" s="163" t="s">
        <v>5784</v>
      </c>
      <c r="M1583" s="163"/>
      <c r="N1583" s="163"/>
      <c r="O1583" s="163"/>
      <c r="P1583" s="182" t="s">
        <v>7114</v>
      </c>
      <c r="Q1583" s="163" t="s">
        <v>4705</v>
      </c>
      <c r="R1583" s="207" t="s">
        <v>4600</v>
      </c>
      <c r="S1583" s="355" t="s">
        <v>2607</v>
      </c>
      <c r="T1583" s="182" t="s">
        <v>2320</v>
      </c>
      <c r="U1583" s="182" t="s">
        <v>7309</v>
      </c>
      <c r="V1583" s="182"/>
      <c r="W1583" s="325" t="s">
        <v>7116</v>
      </c>
      <c r="X1583" s="657" t="s">
        <v>12332</v>
      </c>
      <c r="Y1583" s="355"/>
      <c r="Z1583" s="185"/>
      <c r="AA1583" s="185"/>
      <c r="AB1583" s="33">
        <f t="shared" ca="1" si="32"/>
        <v>0.5799591813654984</v>
      </c>
      <c r="AC1583" s="813"/>
      <c r="AD1583" s="211"/>
      <c r="AE1583" s="949"/>
      <c r="AF1583" s="922">
        <f>IF(X1583=X1582,AF1582,0)+IF(ISNUMBER(I1583),IF(I1583&lt;1,I1583,I1583*VLOOKUP(J1583,Summary!$H$2:$I$9,2)),VLOOKUP(J1583,Summary!$J$2:$K$9,2)*IF(ISNUMBER(H1583),H1583,1))</f>
        <v>0.56980324074074074</v>
      </c>
      <c r="AG1583" s="295">
        <v>1582</v>
      </c>
      <c r="AH1583" s="94"/>
      <c r="AI1583" s="94"/>
    </row>
    <row r="1584" spans="1:35" s="1" customFormat="1" ht="12" customHeight="1" x14ac:dyDescent="0.25">
      <c r="A1584" s="517">
        <v>19</v>
      </c>
      <c r="B1584" s="517">
        <v>5</v>
      </c>
      <c r="C1584" s="518">
        <v>7.11</v>
      </c>
      <c r="D1584" s="192" t="s">
        <v>15288</v>
      </c>
      <c r="E1584" s="317" t="s">
        <v>12705</v>
      </c>
      <c r="F1584" s="209">
        <v>43046</v>
      </c>
      <c r="G1584" s="209"/>
      <c r="H1584" s="192">
        <v>1</v>
      </c>
      <c r="I1584" s="753">
        <f>TIME(0,36,28)</f>
        <v>2.5324074074074079E-2</v>
      </c>
      <c r="J1584" s="903" t="s">
        <v>2755</v>
      </c>
      <c r="K1584" s="194" t="s">
        <v>10219</v>
      </c>
      <c r="L1584" s="194" t="s">
        <v>5662</v>
      </c>
      <c r="M1584" s="194" t="s">
        <v>12171</v>
      </c>
      <c r="N1584" s="194"/>
      <c r="O1584" s="194"/>
      <c r="P1584" s="190" t="s">
        <v>12706</v>
      </c>
      <c r="Q1584" s="194" t="s">
        <v>3947</v>
      </c>
      <c r="R1584" s="193" t="s">
        <v>2722</v>
      </c>
      <c r="S1584" s="354" t="s">
        <v>2607</v>
      </c>
      <c r="T1584" s="190" t="s">
        <v>2320</v>
      </c>
      <c r="U1584" s="190" t="s">
        <v>7309</v>
      </c>
      <c r="V1584" s="190"/>
      <c r="W1584" s="317" t="s">
        <v>12705</v>
      </c>
      <c r="X1584" s="649" t="s">
        <v>12332</v>
      </c>
      <c r="Y1584" s="357" t="s">
        <v>5643</v>
      </c>
      <c r="Z1584" s="192"/>
      <c r="AA1584" s="192"/>
      <c r="AB1584" s="37">
        <f t="shared" ca="1" si="32"/>
        <v>0.315004149517498</v>
      </c>
      <c r="AC1584" s="816"/>
      <c r="AD1584" s="817"/>
      <c r="AE1584" s="943"/>
      <c r="AF1584" s="924">
        <f>IF(X1584=X1583,AF1583,0)+IF(ISNUMBER(I1584),IF(I1584&lt;1,I1584,I1584*VLOOKUP(J1584,Summary!$H$2:$I$9,2)),VLOOKUP(J1584,Summary!$J$2:$K$9,2)*IF(ISNUMBER(H1584),H1584,1))</f>
        <v>0.59512731481481485</v>
      </c>
      <c r="AG1584" s="292">
        <v>1583</v>
      </c>
      <c r="AH1584" s="94"/>
      <c r="AI1584" s="94"/>
    </row>
    <row r="1585" spans="1:35" s="1" customFormat="1" ht="12" customHeight="1" x14ac:dyDescent="0.25">
      <c r="A1585" s="514">
        <v>19</v>
      </c>
      <c r="B1585" s="514">
        <v>5</v>
      </c>
      <c r="C1585" s="514">
        <v>9.01</v>
      </c>
      <c r="D1585" s="434" t="s">
        <v>7100</v>
      </c>
      <c r="E1585" s="324" t="s">
        <v>7099</v>
      </c>
      <c r="F1585" s="174">
        <v>38047</v>
      </c>
      <c r="G1585" s="174"/>
      <c r="H1585" s="176">
        <v>1</v>
      </c>
      <c r="I1585" s="176">
        <v>18</v>
      </c>
      <c r="J1585" s="900" t="s">
        <v>2755</v>
      </c>
      <c r="K1585" s="164" t="s">
        <v>3430</v>
      </c>
      <c r="L1585" s="164" t="s">
        <v>461</v>
      </c>
      <c r="M1585" s="164"/>
      <c r="N1585" s="164" t="s">
        <v>7381</v>
      </c>
      <c r="O1585" s="164"/>
      <c r="P1585" s="173" t="s">
        <v>3431</v>
      </c>
      <c r="Q1585" s="164" t="s">
        <v>3947</v>
      </c>
      <c r="R1585" s="179" t="s">
        <v>2723</v>
      </c>
      <c r="S1585" s="354" t="s">
        <v>2607</v>
      </c>
      <c r="T1585" s="173" t="s">
        <v>2320</v>
      </c>
      <c r="U1585" s="173" t="s">
        <v>7309</v>
      </c>
      <c r="V1585" s="173"/>
      <c r="W1585" s="324" t="s">
        <v>7099</v>
      </c>
      <c r="X1585" s="656" t="s">
        <v>12332</v>
      </c>
      <c r="Y1585" s="354"/>
      <c r="Z1585" s="176">
        <v>999</v>
      </c>
      <c r="AA1585" s="176"/>
      <c r="AB1585" s="32">
        <f t="shared" ca="1" si="32"/>
        <v>0.38438425049322811</v>
      </c>
      <c r="AC1585" s="812"/>
      <c r="AD1585" s="763"/>
      <c r="AE1585" s="951"/>
      <c r="AF1585" s="921">
        <f>IF(X1585=X1584,AF1584,0)+IF(ISNUMBER(I1585),IF(I1585&lt;1,I1585,I1585*VLOOKUP(J1585,Summary!$H$2:$I$9,2)),VLOOKUP(J1585,Summary!$J$2:$K$9,2)*IF(ISNUMBER(H1585),H1585,1))</f>
        <v>0.6076273148148148</v>
      </c>
      <c r="AG1585" s="288">
        <v>1584</v>
      </c>
      <c r="AH1585" s="94"/>
      <c r="AI1585" s="94"/>
    </row>
    <row r="1586" spans="1:35" s="43" customFormat="1" ht="12" customHeight="1" x14ac:dyDescent="0.25">
      <c r="A1586" s="514">
        <v>19</v>
      </c>
      <c r="B1586" s="514">
        <v>5</v>
      </c>
      <c r="C1586" s="519">
        <v>20.100000000000001</v>
      </c>
      <c r="D1586" s="434" t="s">
        <v>5285</v>
      </c>
      <c r="E1586" s="324" t="s">
        <v>7101</v>
      </c>
      <c r="F1586" s="174">
        <v>38961</v>
      </c>
      <c r="G1586" s="174"/>
      <c r="H1586" s="176">
        <v>1</v>
      </c>
      <c r="I1586" s="176">
        <v>20</v>
      </c>
      <c r="J1586" s="900" t="s">
        <v>2755</v>
      </c>
      <c r="K1586" s="164" t="s">
        <v>5960</v>
      </c>
      <c r="L1586" s="164" t="s">
        <v>461</v>
      </c>
      <c r="M1586" s="164"/>
      <c r="N1586" s="164" t="s">
        <v>7381</v>
      </c>
      <c r="O1586" s="164"/>
      <c r="P1586" s="173" t="s">
        <v>705</v>
      </c>
      <c r="Q1586" s="164" t="s">
        <v>3947</v>
      </c>
      <c r="R1586" s="179" t="s">
        <v>2723</v>
      </c>
      <c r="S1586" s="354" t="s">
        <v>2607</v>
      </c>
      <c r="T1586" s="173" t="s">
        <v>2320</v>
      </c>
      <c r="U1586" s="173" t="s">
        <v>7309</v>
      </c>
      <c r="V1586" s="173"/>
      <c r="W1586" s="324" t="s">
        <v>7101</v>
      </c>
      <c r="X1586" s="656" t="s">
        <v>12332</v>
      </c>
      <c r="Y1586" s="354"/>
      <c r="Z1586" s="176"/>
      <c r="AA1586" s="176"/>
      <c r="AB1586" s="32">
        <f t="shared" ca="1" si="32"/>
        <v>0.61170602578672006</v>
      </c>
      <c r="AC1586" s="812"/>
      <c r="AD1586" s="763"/>
      <c r="AE1586" s="951"/>
      <c r="AF1586" s="921">
        <f>IF(X1586=X1585,AF1585,0)+IF(ISNUMBER(I1586),IF(I1586&lt;1,I1586,I1586*VLOOKUP(J1586,Summary!$H$2:$I$9,2)),VLOOKUP(J1586,Summary!$J$2:$K$9,2)*IF(ISNUMBER(H1586),H1586,1))</f>
        <v>0.62151620370370364</v>
      </c>
      <c r="AG1586" s="288">
        <v>1585</v>
      </c>
      <c r="AH1586" s="94"/>
      <c r="AI1586" s="94"/>
    </row>
    <row r="1587" spans="1:35" s="1" customFormat="1" ht="12" customHeight="1" x14ac:dyDescent="0.25">
      <c r="A1587" s="516">
        <v>19</v>
      </c>
      <c r="B1587" s="516">
        <v>5</v>
      </c>
      <c r="C1587" s="516">
        <v>5</v>
      </c>
      <c r="D1587" s="185" t="s">
        <v>8351</v>
      </c>
      <c r="E1587" s="314" t="s">
        <v>8352</v>
      </c>
      <c r="F1587" s="184">
        <v>41423</v>
      </c>
      <c r="G1587" s="184"/>
      <c r="H1587" s="185">
        <v>1</v>
      </c>
      <c r="I1587" s="185">
        <v>22</v>
      </c>
      <c r="J1587" s="901" t="s">
        <v>1796</v>
      </c>
      <c r="K1587" s="163" t="s">
        <v>8333</v>
      </c>
      <c r="L1587" s="163" t="s">
        <v>8353</v>
      </c>
      <c r="M1587" s="163"/>
      <c r="N1587" s="163" t="s">
        <v>6573</v>
      </c>
      <c r="O1587" s="163"/>
      <c r="P1587" s="182" t="s">
        <v>461</v>
      </c>
      <c r="Q1587" s="163" t="s">
        <v>5719</v>
      </c>
      <c r="R1587" s="186" t="s">
        <v>5718</v>
      </c>
      <c r="S1587" s="355" t="s">
        <v>2607</v>
      </c>
      <c r="T1587" s="182" t="s">
        <v>2320</v>
      </c>
      <c r="U1587" s="182" t="s">
        <v>7309</v>
      </c>
      <c r="V1587" s="182"/>
      <c r="W1587" s="314" t="s">
        <v>10149</v>
      </c>
      <c r="X1587" s="646" t="s">
        <v>12332</v>
      </c>
      <c r="Y1587" s="355" t="s">
        <v>6000</v>
      </c>
      <c r="Z1587" s="185">
        <v>999</v>
      </c>
      <c r="AA1587" s="185"/>
      <c r="AB1587" s="33">
        <f t="shared" ca="1" si="32"/>
        <v>0.84088489338901684</v>
      </c>
      <c r="AC1587" s="813"/>
      <c r="AD1587" s="211"/>
      <c r="AE1587" s="949"/>
      <c r="AF1587" s="922">
        <f>IF(X1587=X1586,AF1586,0)+IF(ISNUMBER(I1587),IF(I1587&lt;1,I1587,I1587*VLOOKUP(J1587,Summary!$H$2:$I$9,2)),VLOOKUP(J1587,Summary!$J$2:$K$9,2)*IF(ISNUMBER(H1587),H1587,1))</f>
        <v>0.6291550925925925</v>
      </c>
      <c r="AG1587" s="295">
        <v>1586</v>
      </c>
      <c r="AH1587" s="94"/>
      <c r="AI1587" s="94"/>
    </row>
    <row r="1588" spans="1:35" s="2" customFormat="1" ht="12" customHeight="1" x14ac:dyDescent="0.25">
      <c r="A1588" s="511" t="s">
        <v>2362</v>
      </c>
      <c r="B1588" s="511">
        <v>5</v>
      </c>
      <c r="C1588" s="511">
        <v>117</v>
      </c>
      <c r="D1588" s="424" t="s">
        <v>2369</v>
      </c>
      <c r="E1588" s="319" t="s">
        <v>2370</v>
      </c>
      <c r="F1588" s="198">
        <v>29969</v>
      </c>
      <c r="G1588" s="198">
        <v>29977</v>
      </c>
      <c r="H1588" s="199">
        <v>4</v>
      </c>
      <c r="I1588" s="791">
        <f>TIME(0,23,36)+TIME(0,24,11)+TIME(0,24, 9)+TIME(0,24,52)</f>
        <v>6.7222222222222225E-2</v>
      </c>
      <c r="J1588" s="904" t="s">
        <v>1588</v>
      </c>
      <c r="K1588" s="200" t="s">
        <v>6967</v>
      </c>
      <c r="L1588" s="200" t="s">
        <v>2626</v>
      </c>
      <c r="M1588" s="200"/>
      <c r="N1588" s="200" t="s">
        <v>6264</v>
      </c>
      <c r="O1588" s="200" t="s">
        <v>6962</v>
      </c>
      <c r="P1588" s="197" t="s">
        <v>461</v>
      </c>
      <c r="Q1588" s="200" t="s">
        <v>3946</v>
      </c>
      <c r="R1588" s="201" t="s">
        <v>5280</v>
      </c>
      <c r="S1588" s="390" t="s">
        <v>2607</v>
      </c>
      <c r="T1588" s="197" t="s">
        <v>2320</v>
      </c>
      <c r="U1588" s="197" t="s">
        <v>7309</v>
      </c>
      <c r="V1588" s="197"/>
      <c r="W1588" s="318" t="s">
        <v>8753</v>
      </c>
      <c r="X1588" s="650" t="s">
        <v>12332</v>
      </c>
      <c r="Y1588" s="358" t="s">
        <v>6141</v>
      </c>
      <c r="Z1588" s="253">
        <v>252</v>
      </c>
      <c r="AA1588" s="253">
        <v>3.5</v>
      </c>
      <c r="AB1588" s="35">
        <f t="shared" ca="1" si="32"/>
        <v>1.0317504213249284E-2</v>
      </c>
      <c r="AC1588" s="820"/>
      <c r="AD1588" s="821" t="s">
        <v>16008</v>
      </c>
      <c r="AE1588" s="944"/>
      <c r="AF1588" s="925">
        <f>IF(X1588=X1587,AF1587,0)+IF(ISNUMBER(I1588),IF(I1588&lt;1,I1588,I1588*VLOOKUP(J1588,Summary!$H$2:$I$9,2)),VLOOKUP(J1588,Summary!$J$2:$K$9,2)*IF(ISNUMBER(H1588),H1588,1))</f>
        <v>0.69637731481481469</v>
      </c>
      <c r="AG1588" s="293">
        <v>1587</v>
      </c>
      <c r="AH1588" s="94"/>
      <c r="AI1588" s="94"/>
    </row>
    <row r="1589" spans="1:35" s="2" customFormat="1" ht="12" customHeight="1" x14ac:dyDescent="0.25">
      <c r="A1589" s="511" t="s">
        <v>2362</v>
      </c>
      <c r="B1589" s="511">
        <v>5</v>
      </c>
      <c r="C1589" s="511">
        <v>118</v>
      </c>
      <c r="D1589" s="424" t="s">
        <v>6265</v>
      </c>
      <c r="E1589" s="319" t="s">
        <v>6266</v>
      </c>
      <c r="F1589" s="198">
        <v>29983</v>
      </c>
      <c r="G1589" s="198">
        <v>29991</v>
      </c>
      <c r="H1589" s="199">
        <v>4</v>
      </c>
      <c r="I1589" s="791">
        <f>TIME(0,24,50)+TIME(0,24,58)+TIME(0,24,17)+TIME(0,24,28)</f>
        <v>6.8437499999999998E-2</v>
      </c>
      <c r="J1589" s="904" t="s">
        <v>1588</v>
      </c>
      <c r="K1589" s="200" t="s">
        <v>6267</v>
      </c>
      <c r="L1589" s="200" t="s">
        <v>2615</v>
      </c>
      <c r="M1589" s="200"/>
      <c r="N1589" s="200" t="s">
        <v>2366</v>
      </c>
      <c r="O1589" s="200" t="s">
        <v>6962</v>
      </c>
      <c r="P1589" s="197" t="s">
        <v>461</v>
      </c>
      <c r="Q1589" s="200" t="s">
        <v>3946</v>
      </c>
      <c r="R1589" s="201" t="s">
        <v>5280</v>
      </c>
      <c r="S1589" s="390" t="s">
        <v>2607</v>
      </c>
      <c r="T1589" s="197" t="s">
        <v>2320</v>
      </c>
      <c r="U1589" s="197" t="s">
        <v>7309</v>
      </c>
      <c r="V1589" s="197"/>
      <c r="W1589" s="318" t="s">
        <v>9673</v>
      </c>
      <c r="X1589" s="650" t="s">
        <v>12332</v>
      </c>
      <c r="Y1589" s="358" t="s">
        <v>6141</v>
      </c>
      <c r="Z1589" s="253">
        <v>17</v>
      </c>
      <c r="AA1589" s="253">
        <v>9.5</v>
      </c>
      <c r="AB1589" s="35">
        <f t="shared" ca="1" si="32"/>
        <v>0.54196885708282827</v>
      </c>
      <c r="AC1589" s="820"/>
      <c r="AD1589" s="821" t="s">
        <v>16340</v>
      </c>
      <c r="AE1589" s="944" t="s">
        <v>3365</v>
      </c>
      <c r="AF1589" s="925">
        <f>IF(X1589=X1588,AF1588,0)+IF(ISNUMBER(I1589),IF(I1589&lt;1,I1589,I1589*VLOOKUP(J1589,Summary!$H$2:$I$9,2)),VLOOKUP(J1589,Summary!$J$2:$K$9,2)*IF(ISNUMBER(H1589),H1589,1))</f>
        <v>0.76481481481481473</v>
      </c>
      <c r="AG1589" s="293">
        <v>1588</v>
      </c>
      <c r="AH1589" s="94"/>
      <c r="AI1589" s="94"/>
    </row>
    <row r="1590" spans="1:35" s="43" customFormat="1" ht="12" customHeight="1" x14ac:dyDescent="0.25">
      <c r="A1590" s="517">
        <v>19</v>
      </c>
      <c r="B1590" s="517">
        <v>5</v>
      </c>
      <c r="C1590" s="518">
        <v>2.0499999999999998</v>
      </c>
      <c r="D1590" s="192" t="s">
        <v>3855</v>
      </c>
      <c r="E1590" s="317" t="s">
        <v>1978</v>
      </c>
      <c r="F1590" s="209">
        <v>40602</v>
      </c>
      <c r="G1590" s="209"/>
      <c r="H1590" s="192">
        <v>1</v>
      </c>
      <c r="I1590" s="753">
        <f>TIME(0,16,38)</f>
        <v>1.1550925925925925E-2</v>
      </c>
      <c r="J1590" s="903" t="s">
        <v>2755</v>
      </c>
      <c r="K1590" s="194" t="s">
        <v>1983</v>
      </c>
      <c r="L1590" s="194" t="s">
        <v>3426</v>
      </c>
      <c r="M1590" s="194" t="s">
        <v>497</v>
      </c>
      <c r="N1590" s="194"/>
      <c r="O1590" s="194"/>
      <c r="P1590" s="190" t="s">
        <v>6698</v>
      </c>
      <c r="Q1590" s="194" t="s">
        <v>3947</v>
      </c>
      <c r="R1590" s="193" t="s">
        <v>2722</v>
      </c>
      <c r="S1590" s="354"/>
      <c r="T1590" s="190"/>
      <c r="U1590" s="190"/>
      <c r="V1590" s="190"/>
      <c r="W1590" s="317" t="s">
        <v>1978</v>
      </c>
      <c r="X1590" s="649" t="s">
        <v>12332</v>
      </c>
      <c r="Y1590" s="357" t="s">
        <v>5643</v>
      </c>
      <c r="Z1590" s="192">
        <v>999</v>
      </c>
      <c r="AA1590" s="192"/>
      <c r="AB1590" s="37">
        <f t="shared" ca="1" si="32"/>
        <v>0.52984100769276021</v>
      </c>
      <c r="AC1590" s="816"/>
      <c r="AD1590" s="817"/>
      <c r="AE1590" s="943"/>
      <c r="AF1590" s="924">
        <f>IF(X1590=X1589,AF1589,0)+IF(ISNUMBER(I1590),IF(I1590&lt;1,I1590,I1590*VLOOKUP(J1590,Summary!$H$2:$I$9,2)),VLOOKUP(J1590,Summary!$J$2:$K$9,2)*IF(ISNUMBER(H1590),H1590,1))</f>
        <v>0.77636574074074061</v>
      </c>
      <c r="AG1590" s="292">
        <v>1589</v>
      </c>
      <c r="AH1590" s="94"/>
      <c r="AI1590" s="94"/>
    </row>
    <row r="1591" spans="1:35" s="43" customFormat="1" ht="12" customHeight="1" x14ac:dyDescent="0.25">
      <c r="A1591" s="511" t="s">
        <v>2362</v>
      </c>
      <c r="B1591" s="511">
        <v>5</v>
      </c>
      <c r="C1591" s="511">
        <v>119</v>
      </c>
      <c r="D1591" s="424" t="s">
        <v>6268</v>
      </c>
      <c r="E1591" s="319" t="s">
        <v>6269</v>
      </c>
      <c r="F1591" s="198">
        <v>29997</v>
      </c>
      <c r="G1591" s="198">
        <v>30005</v>
      </c>
      <c r="H1591" s="199">
        <v>4</v>
      </c>
      <c r="I1591" s="791">
        <f>TIME(0,24,11)+TIME(0,24,26)+TIME(0,24,24)+TIME(0,23,32)</f>
        <v>6.7048611111111114E-2</v>
      </c>
      <c r="J1591" s="904" t="s">
        <v>1588</v>
      </c>
      <c r="K1591" s="200" t="s">
        <v>2366</v>
      </c>
      <c r="L1591" s="200" t="s">
        <v>2618</v>
      </c>
      <c r="M1591" s="200"/>
      <c r="N1591" s="200" t="s">
        <v>6264</v>
      </c>
      <c r="O1591" s="200" t="s">
        <v>6962</v>
      </c>
      <c r="P1591" s="197" t="s">
        <v>461</v>
      </c>
      <c r="Q1591" s="200" t="s">
        <v>3946</v>
      </c>
      <c r="R1591" s="201" t="s">
        <v>5280</v>
      </c>
      <c r="S1591" s="390" t="s">
        <v>2607</v>
      </c>
      <c r="T1591" s="197" t="s">
        <v>2320</v>
      </c>
      <c r="U1591" s="197" t="s">
        <v>7309</v>
      </c>
      <c r="V1591" s="197"/>
      <c r="W1591" s="318" t="s">
        <v>9675</v>
      </c>
      <c r="X1591" s="650" t="s">
        <v>12332</v>
      </c>
      <c r="Y1591" s="358" t="s">
        <v>6141</v>
      </c>
      <c r="Z1591" s="253">
        <v>145</v>
      </c>
      <c r="AA1591" s="253">
        <v>5.5</v>
      </c>
      <c r="AB1591" s="35">
        <f t="shared" ca="1" si="32"/>
        <v>0.63488813846859982</v>
      </c>
      <c r="AC1591" s="820"/>
      <c r="AD1591" s="821" t="s">
        <v>15121</v>
      </c>
      <c r="AE1591" s="944"/>
      <c r="AF1591" s="925">
        <f>IF(X1591=X1590,AF1590,0)+IF(ISNUMBER(I1591),IF(I1591&lt;1,I1591,I1591*VLOOKUP(J1591,Summary!$H$2:$I$9,2)),VLOOKUP(J1591,Summary!$J$2:$K$9,2)*IF(ISNUMBER(H1591),H1591,1))</f>
        <v>0.84341435185185176</v>
      </c>
      <c r="AG1591" s="293">
        <v>1590</v>
      </c>
      <c r="AH1591" s="94"/>
      <c r="AI1591" s="94"/>
    </row>
    <row r="1592" spans="1:35" s="43" customFormat="1" ht="12" customHeight="1" x14ac:dyDescent="0.25">
      <c r="A1592" s="512">
        <v>19</v>
      </c>
      <c r="B1592" s="512">
        <v>5</v>
      </c>
      <c r="C1592" s="513">
        <v>5</v>
      </c>
      <c r="D1592" s="407" t="s">
        <v>2110</v>
      </c>
      <c r="E1592" s="315" t="s">
        <v>2111</v>
      </c>
      <c r="F1592" s="196">
        <v>41395</v>
      </c>
      <c r="G1592" s="170"/>
      <c r="H1592" s="170">
        <v>1</v>
      </c>
      <c r="I1592" s="746">
        <f>TIME(1,7,31)</f>
        <v>4.6886574074074074E-2</v>
      </c>
      <c r="J1592" s="899" t="s">
        <v>4706</v>
      </c>
      <c r="K1592" s="167" t="s">
        <v>176</v>
      </c>
      <c r="L1592" s="167" t="s">
        <v>6231</v>
      </c>
      <c r="M1592" s="167" t="s">
        <v>2112</v>
      </c>
      <c r="N1592" s="167"/>
      <c r="O1592" s="167"/>
      <c r="P1592" s="168" t="s">
        <v>2113</v>
      </c>
      <c r="Q1592" s="167" t="s">
        <v>2096</v>
      </c>
      <c r="R1592" s="172" t="s">
        <v>2092</v>
      </c>
      <c r="S1592" s="388" t="s">
        <v>2607</v>
      </c>
      <c r="T1592" s="168" t="s">
        <v>2320</v>
      </c>
      <c r="U1592" s="168" t="s">
        <v>7309</v>
      </c>
      <c r="V1592" s="168"/>
      <c r="W1592" s="312" t="s">
        <v>2111</v>
      </c>
      <c r="X1592" s="644" t="s">
        <v>12332</v>
      </c>
      <c r="Y1592" s="352" t="s">
        <v>5643</v>
      </c>
      <c r="Z1592" s="353">
        <v>450</v>
      </c>
      <c r="AA1592" s="353">
        <v>4.5</v>
      </c>
      <c r="AB1592" s="31">
        <f t="shared" ca="1" si="32"/>
        <v>0.63411684925387535</v>
      </c>
      <c r="AC1592" s="810"/>
      <c r="AD1592" s="811"/>
      <c r="AE1592" s="940"/>
      <c r="AF1592" s="920">
        <f>IF(X1592=X1591,AF1591,0)+IF(ISNUMBER(I1592),IF(I1592&lt;1,I1592,I1592*VLOOKUP(J1592,Summary!$H$2:$I$9,2)),VLOOKUP(J1592,Summary!$J$2:$K$9,2)*IF(ISNUMBER(H1592),H1592,1))</f>
        <v>0.8903009259259258</v>
      </c>
      <c r="AG1592" s="287">
        <v>1591</v>
      </c>
      <c r="AH1592" s="94"/>
      <c r="AI1592" s="94"/>
    </row>
    <row r="1593" spans="1:35" s="22" customFormat="1" ht="12" customHeight="1" x14ac:dyDescent="0.2">
      <c r="A1593" s="512">
        <v>19</v>
      </c>
      <c r="B1593" s="512">
        <v>5</v>
      </c>
      <c r="C1593" s="512">
        <v>221</v>
      </c>
      <c r="D1593" s="407"/>
      <c r="E1593" s="315" t="s">
        <v>12722</v>
      </c>
      <c r="F1593" s="196">
        <v>42745</v>
      </c>
      <c r="G1593" s="170"/>
      <c r="H1593" s="170">
        <v>4</v>
      </c>
      <c r="I1593" s="747">
        <f t="shared" ref="I1593:I1598" si="33">TIME(0,120,0)</f>
        <v>8.3333333333333329E-2</v>
      </c>
      <c r="J1593" s="899" t="s">
        <v>4706</v>
      </c>
      <c r="K1593" s="167" t="s">
        <v>6970</v>
      </c>
      <c r="L1593" s="167" t="s">
        <v>3296</v>
      </c>
      <c r="M1593" s="167"/>
      <c r="N1593" s="167"/>
      <c r="O1593" s="167" t="s">
        <v>3295</v>
      </c>
      <c r="P1593" s="168" t="s">
        <v>12727</v>
      </c>
      <c r="Q1593" s="167" t="s">
        <v>3947</v>
      </c>
      <c r="R1593" s="172" t="s">
        <v>3146</v>
      </c>
      <c r="S1593" s="388" t="s">
        <v>2607</v>
      </c>
      <c r="T1593" s="168" t="s">
        <v>2320</v>
      </c>
      <c r="U1593" s="168" t="s">
        <v>7309</v>
      </c>
      <c r="V1593" s="168"/>
      <c r="W1593" s="312"/>
      <c r="X1593" s="644" t="s">
        <v>12332</v>
      </c>
      <c r="Y1593" s="352"/>
      <c r="Z1593" s="353"/>
      <c r="AA1593" s="353"/>
      <c r="AB1593" s="31">
        <f t="shared" ca="1" si="32"/>
        <v>0.35857803645466158</v>
      </c>
      <c r="AC1593" s="810"/>
      <c r="AD1593" s="811"/>
      <c r="AE1593" s="940"/>
      <c r="AF1593" s="920">
        <f>IF(X1593=X1592,AF1592,0)+IF(ISNUMBER(I1593),IF(I1593&lt;1,I1593,I1593*VLOOKUP(J1593,Summary!$H$2:$I$9,2)),VLOOKUP(J1593,Summary!$J$2:$K$9,2)*IF(ISNUMBER(H1593),H1593,1))</f>
        <v>0.97363425925925917</v>
      </c>
      <c r="AG1593" s="287">
        <v>1592</v>
      </c>
      <c r="AH1593" s="94"/>
      <c r="AI1593" s="94"/>
    </row>
    <row r="1594" spans="1:35" s="2" customFormat="1" ht="12" customHeight="1" x14ac:dyDescent="0.25">
      <c r="A1594" s="512">
        <v>19</v>
      </c>
      <c r="B1594" s="512">
        <v>5</v>
      </c>
      <c r="C1594" s="512">
        <v>222</v>
      </c>
      <c r="D1594" s="407"/>
      <c r="E1594" s="315" t="s">
        <v>12723</v>
      </c>
      <c r="F1594" s="196">
        <v>42780</v>
      </c>
      <c r="G1594" s="170"/>
      <c r="H1594" s="170">
        <v>4</v>
      </c>
      <c r="I1594" s="747">
        <f t="shared" si="33"/>
        <v>8.3333333333333329E-2</v>
      </c>
      <c r="J1594" s="899" t="s">
        <v>4706</v>
      </c>
      <c r="K1594" s="167" t="s">
        <v>10079</v>
      </c>
      <c r="L1594" s="167" t="s">
        <v>3296</v>
      </c>
      <c r="M1594" s="167"/>
      <c r="N1594" s="167"/>
      <c r="O1594" s="167" t="s">
        <v>3295</v>
      </c>
      <c r="P1594" s="168" t="s">
        <v>12728</v>
      </c>
      <c r="Q1594" s="167" t="s">
        <v>3947</v>
      </c>
      <c r="R1594" s="172" t="s">
        <v>3146</v>
      </c>
      <c r="S1594" s="388" t="s">
        <v>2607</v>
      </c>
      <c r="T1594" s="168" t="s">
        <v>2320</v>
      </c>
      <c r="U1594" s="168" t="s">
        <v>7309</v>
      </c>
      <c r="V1594" s="168"/>
      <c r="W1594" s="312"/>
      <c r="X1594" s="644" t="s">
        <v>12332</v>
      </c>
      <c r="Y1594" s="352"/>
      <c r="Z1594" s="353"/>
      <c r="AA1594" s="353"/>
      <c r="AB1594" s="31">
        <f t="shared" ca="1" si="32"/>
        <v>0.43680987533804605</v>
      </c>
      <c r="AC1594" s="810"/>
      <c r="AD1594" s="811"/>
      <c r="AE1594" s="940"/>
      <c r="AF1594" s="920">
        <f>IF(X1594=X1593,AF1593,0)+IF(ISNUMBER(I1594),IF(I1594&lt;1,I1594,I1594*VLOOKUP(J1594,Summary!$H$2:$I$9,2)),VLOOKUP(J1594,Summary!$J$2:$K$9,2)*IF(ISNUMBER(H1594),H1594,1))</f>
        <v>1.0569675925925925</v>
      </c>
      <c r="AG1594" s="287">
        <v>1593</v>
      </c>
      <c r="AH1594" s="94"/>
      <c r="AI1594" s="94"/>
    </row>
    <row r="1595" spans="1:35" s="1" customFormat="1" ht="12" customHeight="1" x14ac:dyDescent="0.25">
      <c r="A1595" s="512">
        <v>19</v>
      </c>
      <c r="B1595" s="512">
        <v>5</v>
      </c>
      <c r="C1595" s="512">
        <v>223</v>
      </c>
      <c r="D1595" s="407"/>
      <c r="E1595" s="315" t="s">
        <v>12724</v>
      </c>
      <c r="F1595" s="196">
        <v>42815</v>
      </c>
      <c r="G1595" s="170"/>
      <c r="H1595" s="170">
        <v>4</v>
      </c>
      <c r="I1595" s="747">
        <f t="shared" si="33"/>
        <v>8.3333333333333329E-2</v>
      </c>
      <c r="J1595" s="899" t="s">
        <v>4706</v>
      </c>
      <c r="K1595" s="167" t="s">
        <v>10305</v>
      </c>
      <c r="L1595" s="167" t="s">
        <v>3296</v>
      </c>
      <c r="M1595" s="167"/>
      <c r="N1595" s="167"/>
      <c r="O1595" s="167" t="s">
        <v>3295</v>
      </c>
      <c r="P1595" s="168" t="s">
        <v>12729</v>
      </c>
      <c r="Q1595" s="167" t="s">
        <v>3947</v>
      </c>
      <c r="R1595" s="172" t="s">
        <v>3146</v>
      </c>
      <c r="S1595" s="388" t="s">
        <v>2607</v>
      </c>
      <c r="T1595" s="168" t="s">
        <v>2320</v>
      </c>
      <c r="U1595" s="168" t="s">
        <v>7309</v>
      </c>
      <c r="V1595" s="168"/>
      <c r="W1595" s="312"/>
      <c r="X1595" s="644" t="s">
        <v>12332</v>
      </c>
      <c r="Y1595" s="352"/>
      <c r="Z1595" s="353"/>
      <c r="AA1595" s="353"/>
      <c r="AB1595" s="31">
        <f t="shared" ca="1" si="32"/>
        <v>0.31613119324839811</v>
      </c>
      <c r="AC1595" s="810"/>
      <c r="AD1595" s="811"/>
      <c r="AE1595" s="940"/>
      <c r="AF1595" s="920">
        <f>IF(X1595=X1594,AF1594,0)+IF(ISNUMBER(I1595),IF(I1595&lt;1,I1595,I1595*VLOOKUP(J1595,Summary!$H$2:$I$9,2)),VLOOKUP(J1595,Summary!$J$2:$K$9,2)*IF(ISNUMBER(H1595),H1595,1))</f>
        <v>1.1403009259259258</v>
      </c>
      <c r="AG1595" s="287">
        <v>1594</v>
      </c>
      <c r="AH1595" s="94"/>
      <c r="AI1595" s="94"/>
    </row>
    <row r="1596" spans="1:35" s="6" customFormat="1" ht="12" customHeight="1" x14ac:dyDescent="0.25">
      <c r="A1596" s="512">
        <v>19</v>
      </c>
      <c r="B1596" s="512">
        <v>5</v>
      </c>
      <c r="C1596" s="512">
        <v>234</v>
      </c>
      <c r="D1596" s="407"/>
      <c r="E1596" s="315" t="s">
        <v>12725</v>
      </c>
      <c r="F1596" s="196">
        <v>43117</v>
      </c>
      <c r="G1596" s="170"/>
      <c r="H1596" s="170">
        <v>4</v>
      </c>
      <c r="I1596" s="747">
        <f t="shared" si="33"/>
        <v>8.3333333333333329E-2</v>
      </c>
      <c r="J1596" s="899" t="s">
        <v>4706</v>
      </c>
      <c r="K1596" s="167" t="s">
        <v>11343</v>
      </c>
      <c r="L1596" s="167" t="s">
        <v>3296</v>
      </c>
      <c r="M1596" s="167"/>
      <c r="N1596" s="167" t="s">
        <v>1826</v>
      </c>
      <c r="O1596" s="167" t="s">
        <v>3295</v>
      </c>
      <c r="P1596" s="168" t="s">
        <v>12733</v>
      </c>
      <c r="Q1596" s="167" t="s">
        <v>3947</v>
      </c>
      <c r="R1596" s="172" t="s">
        <v>3146</v>
      </c>
      <c r="S1596" s="388" t="s">
        <v>2607</v>
      </c>
      <c r="T1596" s="168" t="s">
        <v>2320</v>
      </c>
      <c r="U1596" s="168" t="s">
        <v>7309</v>
      </c>
      <c r="V1596" s="168"/>
      <c r="W1596" s="312"/>
      <c r="X1596" s="644" t="s">
        <v>12332</v>
      </c>
      <c r="Y1596" s="352"/>
      <c r="Z1596" s="353"/>
      <c r="AA1596" s="353"/>
      <c r="AB1596" s="31">
        <f t="shared" ca="1" si="32"/>
        <v>0.70227931012893363</v>
      </c>
      <c r="AC1596" s="810"/>
      <c r="AD1596" s="811"/>
      <c r="AE1596" s="940"/>
      <c r="AF1596" s="920">
        <f>IF(X1596=X1595,AF1595,0)+IF(ISNUMBER(I1596),IF(I1596&lt;1,I1596,I1596*VLOOKUP(J1596,Summary!$H$2:$I$9,2)),VLOOKUP(J1596,Summary!$J$2:$K$9,2)*IF(ISNUMBER(H1596),H1596,1))</f>
        <v>1.2236342592592591</v>
      </c>
      <c r="AG1596" s="287">
        <v>1595</v>
      </c>
      <c r="AH1596" s="94"/>
      <c r="AI1596" s="94"/>
    </row>
    <row r="1597" spans="1:35" s="43" customFormat="1" ht="12" customHeight="1" x14ac:dyDescent="0.25">
      <c r="A1597" s="512">
        <v>19</v>
      </c>
      <c r="B1597" s="512">
        <v>5</v>
      </c>
      <c r="C1597" s="512">
        <v>235</v>
      </c>
      <c r="D1597" s="407"/>
      <c r="E1597" s="315" t="s">
        <v>12726</v>
      </c>
      <c r="F1597" s="196">
        <v>43144</v>
      </c>
      <c r="G1597" s="170"/>
      <c r="H1597" s="170">
        <v>4</v>
      </c>
      <c r="I1597" s="747">
        <f t="shared" si="33"/>
        <v>8.3333333333333329E-2</v>
      </c>
      <c r="J1597" s="899" t="s">
        <v>4706</v>
      </c>
      <c r="K1597" s="167" t="s">
        <v>1643</v>
      </c>
      <c r="L1597" s="167" t="s">
        <v>3296</v>
      </c>
      <c r="M1597" s="167"/>
      <c r="N1597" s="167" t="s">
        <v>1826</v>
      </c>
      <c r="O1597" s="167" t="s">
        <v>3295</v>
      </c>
      <c r="P1597" s="168" t="s">
        <v>12734</v>
      </c>
      <c r="Q1597" s="167" t="s">
        <v>3947</v>
      </c>
      <c r="R1597" s="172" t="s">
        <v>3146</v>
      </c>
      <c r="S1597" s="388" t="s">
        <v>2607</v>
      </c>
      <c r="T1597" s="168" t="s">
        <v>2320</v>
      </c>
      <c r="U1597" s="168" t="s">
        <v>7309</v>
      </c>
      <c r="V1597" s="168"/>
      <c r="W1597" s="312"/>
      <c r="X1597" s="644" t="s">
        <v>12332</v>
      </c>
      <c r="Y1597" s="352"/>
      <c r="Z1597" s="353"/>
      <c r="AA1597" s="353"/>
      <c r="AB1597" s="31">
        <f t="shared" ca="1" si="32"/>
        <v>0.43617812855445681</v>
      </c>
      <c r="AC1597" s="810"/>
      <c r="AD1597" s="811"/>
      <c r="AE1597" s="940"/>
      <c r="AF1597" s="920">
        <f>IF(X1597=X1596,AF1596,0)+IF(ISNUMBER(I1597),IF(I1597&lt;1,I1597,I1597*VLOOKUP(J1597,Summary!$H$2:$I$9,2)),VLOOKUP(J1597,Summary!$J$2:$K$9,2)*IF(ISNUMBER(H1597),H1597,1))</f>
        <v>1.3069675925925923</v>
      </c>
      <c r="AG1597" s="287">
        <v>1596</v>
      </c>
      <c r="AH1597" s="94"/>
      <c r="AI1597" s="94"/>
    </row>
    <row r="1598" spans="1:35" s="43" customFormat="1" ht="12" customHeight="1" x14ac:dyDescent="0.25">
      <c r="A1598" s="512">
        <v>19</v>
      </c>
      <c r="B1598" s="512">
        <v>5</v>
      </c>
      <c r="C1598" s="512">
        <v>236</v>
      </c>
      <c r="D1598" s="407"/>
      <c r="E1598" s="315" t="s">
        <v>14296</v>
      </c>
      <c r="F1598" s="196">
        <v>43179</v>
      </c>
      <c r="G1598" s="170"/>
      <c r="H1598" s="170">
        <v>4</v>
      </c>
      <c r="I1598" s="747">
        <f t="shared" si="33"/>
        <v>8.3333333333333329E-2</v>
      </c>
      <c r="J1598" s="899" t="s">
        <v>4706</v>
      </c>
      <c r="K1598" s="167" t="s">
        <v>4146</v>
      </c>
      <c r="L1598" s="167" t="s">
        <v>3296</v>
      </c>
      <c r="M1598" s="167"/>
      <c r="N1598" s="167" t="s">
        <v>1826</v>
      </c>
      <c r="O1598" s="167" t="s">
        <v>3295</v>
      </c>
      <c r="P1598" s="168" t="s">
        <v>14297</v>
      </c>
      <c r="Q1598" s="167" t="s">
        <v>3947</v>
      </c>
      <c r="R1598" s="172" t="s">
        <v>3146</v>
      </c>
      <c r="S1598" s="388" t="s">
        <v>2607</v>
      </c>
      <c r="T1598" s="168" t="s">
        <v>2320</v>
      </c>
      <c r="U1598" s="168" t="s">
        <v>7309</v>
      </c>
      <c r="V1598" s="168"/>
      <c r="W1598" s="312"/>
      <c r="X1598" s="644" t="s">
        <v>12332</v>
      </c>
      <c r="Y1598" s="352"/>
      <c r="Z1598" s="353"/>
      <c r="AA1598" s="353"/>
      <c r="AB1598" s="31">
        <f t="shared" ca="1" si="32"/>
        <v>0.4531119419808366</v>
      </c>
      <c r="AC1598" s="810"/>
      <c r="AD1598" s="811"/>
      <c r="AE1598" s="940"/>
      <c r="AF1598" s="920">
        <f>IF(X1598=X1597,AF1597,0)+IF(ISNUMBER(I1598),IF(I1598&lt;1,I1598,I1598*VLOOKUP(J1598,Summary!$H$2:$I$9,2)),VLOOKUP(J1598,Summary!$J$2:$K$9,2)*IF(ISNUMBER(H1598),H1598,1))</f>
        <v>1.3903009259259256</v>
      </c>
      <c r="AG1598" s="287">
        <v>1597</v>
      </c>
      <c r="AH1598" s="94"/>
      <c r="AI1598" s="94"/>
    </row>
    <row r="1599" spans="1:35" s="9" customFormat="1" ht="12" customHeight="1" x14ac:dyDescent="0.25">
      <c r="A1599" s="514">
        <v>19</v>
      </c>
      <c r="B1599" s="514">
        <v>5</v>
      </c>
      <c r="C1599" s="514">
        <v>5.08</v>
      </c>
      <c r="D1599" s="434" t="s">
        <v>7107</v>
      </c>
      <c r="E1599" s="324" t="s">
        <v>7103</v>
      </c>
      <c r="F1599" s="174">
        <v>37681</v>
      </c>
      <c r="G1599" s="174"/>
      <c r="H1599" s="176">
        <v>1</v>
      </c>
      <c r="I1599" s="176">
        <v>13</v>
      </c>
      <c r="J1599" s="900" t="s">
        <v>2755</v>
      </c>
      <c r="K1599" s="164" t="s">
        <v>176</v>
      </c>
      <c r="L1599" s="164" t="s">
        <v>461</v>
      </c>
      <c r="M1599" s="164"/>
      <c r="N1599" s="164" t="s">
        <v>4552</v>
      </c>
      <c r="O1599" s="164"/>
      <c r="P1599" s="173" t="s">
        <v>6556</v>
      </c>
      <c r="Q1599" s="164" t="s">
        <v>3947</v>
      </c>
      <c r="R1599" s="177" t="s">
        <v>2723</v>
      </c>
      <c r="S1599" s="354" t="s">
        <v>2607</v>
      </c>
      <c r="T1599" s="173" t="s">
        <v>2320</v>
      </c>
      <c r="U1599" s="173" t="s">
        <v>7309</v>
      </c>
      <c r="V1599" s="173"/>
      <c r="W1599" s="324" t="s">
        <v>7103</v>
      </c>
      <c r="X1599" s="656" t="s">
        <v>12332</v>
      </c>
      <c r="Y1599" s="354"/>
      <c r="Z1599" s="176"/>
      <c r="AA1599" s="176"/>
      <c r="AB1599" s="32">
        <f t="shared" ca="1" si="32"/>
        <v>0.63114969592211512</v>
      </c>
      <c r="AC1599" s="812"/>
      <c r="AD1599" s="763"/>
      <c r="AE1599" s="951"/>
      <c r="AF1599" s="921">
        <f>IF(X1599=X1598,AF1598,0)+IF(ISNUMBER(I1599),IF(I1599&lt;1,I1599,I1599*VLOOKUP(J1599,Summary!$H$2:$I$9,2)),VLOOKUP(J1599,Summary!$J$2:$K$9,2)*IF(ISNUMBER(H1599),H1599,1))</f>
        <v>1.3993287037037034</v>
      </c>
      <c r="AG1599" s="288">
        <v>1598</v>
      </c>
      <c r="AH1599" s="94"/>
      <c r="AI1599" s="94"/>
    </row>
    <row r="1600" spans="1:35" s="1" customFormat="1" ht="12" customHeight="1" x14ac:dyDescent="0.25">
      <c r="A1600" s="515" t="s">
        <v>2362</v>
      </c>
      <c r="B1600" s="515">
        <v>5</v>
      </c>
      <c r="C1600" s="515">
        <v>26</v>
      </c>
      <c r="D1600" s="417" t="s">
        <v>6270</v>
      </c>
      <c r="E1600" s="316" t="s">
        <v>6271</v>
      </c>
      <c r="F1600" s="187">
        <v>36434</v>
      </c>
      <c r="G1600" s="188"/>
      <c r="H1600" s="188" t="str">
        <f>IF(J1600="Book","n/a","")</f>
        <v>n/a</v>
      </c>
      <c r="I1600" s="188">
        <v>252</v>
      </c>
      <c r="J1600" s="902" t="s">
        <v>6868</v>
      </c>
      <c r="K1600" s="162" t="s">
        <v>7375</v>
      </c>
      <c r="L1600" s="162" t="str">
        <f>IF(J1600="Book","n/a","")</f>
        <v>n/a</v>
      </c>
      <c r="M1600" s="162"/>
      <c r="N1600" s="162"/>
      <c r="O1600" s="162"/>
      <c r="P1600" s="178" t="s">
        <v>8951</v>
      </c>
      <c r="Q1600" s="162" t="s">
        <v>3953</v>
      </c>
      <c r="R1600" s="189" t="s">
        <v>2717</v>
      </c>
      <c r="S1600" s="366" t="s">
        <v>2607</v>
      </c>
      <c r="T1600" s="178" t="s">
        <v>2320</v>
      </c>
      <c r="U1600" s="178" t="s">
        <v>7309</v>
      </c>
      <c r="V1600" s="178"/>
      <c r="W1600" s="316" t="s">
        <v>6271</v>
      </c>
      <c r="X1600" s="648" t="s">
        <v>12332</v>
      </c>
      <c r="Y1600" s="356"/>
      <c r="Z1600" s="272"/>
      <c r="AA1600" s="272"/>
      <c r="AB1600" s="34">
        <f t="shared" ca="1" si="32"/>
        <v>0.58148040990586158</v>
      </c>
      <c r="AC1600" s="814"/>
      <c r="AD1600" s="815" t="s">
        <v>16195</v>
      </c>
      <c r="AE1600" s="942"/>
      <c r="AF1600" s="923">
        <f>IF(X1600=X1599,AF1599,0)+IF(ISNUMBER(I1600),IF(I1600&lt;1,I1600,I1600*VLOOKUP(J1600,Summary!$H$2:$I$9,2)),VLOOKUP(J1600,Summary!$J$2:$K$9,2)*IF(ISNUMBER(H1600),H1600,1))</f>
        <v>1.5743287037037035</v>
      </c>
      <c r="AG1600" s="291">
        <v>1599</v>
      </c>
      <c r="AH1600" s="94"/>
      <c r="AI1600" s="94"/>
    </row>
    <row r="1601" spans="1:35" s="22" customFormat="1" ht="12" customHeight="1" x14ac:dyDescent="0.2">
      <c r="A1601" s="411"/>
      <c r="B1601" s="411" t="s">
        <v>2650</v>
      </c>
      <c r="C1601" s="411">
        <v>21</v>
      </c>
      <c r="D1601" s="185" t="s">
        <v>9970</v>
      </c>
      <c r="E1601" s="314" t="s">
        <v>9953</v>
      </c>
      <c r="F1601" s="183">
        <v>29830</v>
      </c>
      <c r="G1601" s="184"/>
      <c r="H1601" s="185">
        <v>1</v>
      </c>
      <c r="I1601" s="185">
        <v>4</v>
      </c>
      <c r="J1601" s="901" t="s">
        <v>1796</v>
      </c>
      <c r="K1601" s="163" t="s">
        <v>7085</v>
      </c>
      <c r="L1601" s="163" t="s">
        <v>9983</v>
      </c>
      <c r="M1601" s="163"/>
      <c r="N1601" s="163" t="s">
        <v>6026</v>
      </c>
      <c r="O1601" s="163"/>
      <c r="P1601" s="182" t="s">
        <v>461</v>
      </c>
      <c r="Q1601" s="163" t="s">
        <v>4062</v>
      </c>
      <c r="R1601" s="186" t="s">
        <v>9922</v>
      </c>
      <c r="S1601" s="355"/>
      <c r="T1601" s="182"/>
      <c r="U1601" s="182"/>
      <c r="V1601" s="182"/>
      <c r="W1601" s="314" t="s">
        <v>9953</v>
      </c>
      <c r="X1601" s="646" t="s">
        <v>12332</v>
      </c>
      <c r="Y1601" s="355"/>
      <c r="Z1601" s="158"/>
      <c r="AA1601" s="185"/>
      <c r="AB1601" s="33">
        <f t="shared" ca="1" si="32"/>
        <v>0.21539866158094123</v>
      </c>
      <c r="AC1601" s="813"/>
      <c r="AD1601" s="211" t="s">
        <v>16622</v>
      </c>
      <c r="AE1601" s="941" t="s">
        <v>12543</v>
      </c>
      <c r="AF1601" s="922">
        <f>IF(X1601=X1600,AF1600,0)+IF(ISNUMBER(I1601),IF(I1601&lt;1,I1601,I1601*VLOOKUP(J1601,Summary!$H$2:$I$9,2)),VLOOKUP(J1601,Summary!$J$2:$K$9,2)*IF(ISNUMBER(H1601),H1601,1))</f>
        <v>1.5757175925925924</v>
      </c>
      <c r="AG1601" s="290">
        <v>1600</v>
      </c>
      <c r="AH1601" s="94"/>
      <c r="AI1601" s="94"/>
    </row>
    <row r="1602" spans="1:35" s="29" customFormat="1" ht="12" customHeight="1" x14ac:dyDescent="0.25">
      <c r="A1602" s="514">
        <v>19</v>
      </c>
      <c r="B1602" s="514">
        <v>5</v>
      </c>
      <c r="C1602" s="514"/>
      <c r="D1602" s="434" t="s">
        <v>3184</v>
      </c>
      <c r="E1602" s="324" t="s">
        <v>7112</v>
      </c>
      <c r="F1602" s="174">
        <v>29830</v>
      </c>
      <c r="G1602" s="174"/>
      <c r="H1602" s="176" t="s">
        <v>461</v>
      </c>
      <c r="I1602" s="176">
        <v>5</v>
      </c>
      <c r="J1602" s="900" t="s">
        <v>2755</v>
      </c>
      <c r="K1602" s="164" t="s">
        <v>5784</v>
      </c>
      <c r="L1602" s="164" t="s">
        <v>461</v>
      </c>
      <c r="M1602" s="164"/>
      <c r="N1602" s="164"/>
      <c r="O1602" s="164"/>
      <c r="P1602" s="173" t="s">
        <v>3185</v>
      </c>
      <c r="Q1602" s="164" t="s">
        <v>4705</v>
      </c>
      <c r="R1602" s="179" t="s">
        <v>4600</v>
      </c>
      <c r="S1602" s="354"/>
      <c r="T1602" s="173"/>
      <c r="U1602" s="173" t="s">
        <v>7309</v>
      </c>
      <c r="V1602" s="173"/>
      <c r="W1602" s="324" t="s">
        <v>7112</v>
      </c>
      <c r="X1602" s="656" t="s">
        <v>12332</v>
      </c>
      <c r="Y1602" s="354"/>
      <c r="Z1602" s="176"/>
      <c r="AA1602" s="176"/>
      <c r="AB1602" s="32">
        <f t="shared" ref="AB1602:AB1665" ca="1" si="34">RAND()</f>
        <v>0.40332440037512685</v>
      </c>
      <c r="AC1602" s="812"/>
      <c r="AD1602" s="763"/>
      <c r="AE1602" s="951"/>
      <c r="AF1602" s="921">
        <f>IF(X1602=X1601,AF1601,0)+IF(ISNUMBER(I1602),IF(I1602&lt;1,I1602,I1602*VLOOKUP(J1602,Summary!$H$2:$I$9,2)),VLOOKUP(J1602,Summary!$J$2:$K$9,2)*IF(ISNUMBER(H1602),H1602,1))</f>
        <v>1.5791898148148147</v>
      </c>
      <c r="AG1602" s="288">
        <v>1601</v>
      </c>
      <c r="AH1602" s="94"/>
      <c r="AI1602" s="94"/>
    </row>
    <row r="1603" spans="1:35" s="9" customFormat="1" ht="12" customHeight="1" x14ac:dyDescent="0.25">
      <c r="A1603" s="514">
        <v>19</v>
      </c>
      <c r="B1603" s="514">
        <v>5</v>
      </c>
      <c r="C1603" s="514"/>
      <c r="D1603" s="434" t="s">
        <v>3184</v>
      </c>
      <c r="E1603" s="324" t="s">
        <v>7113</v>
      </c>
      <c r="F1603" s="174">
        <v>29830</v>
      </c>
      <c r="G1603" s="174"/>
      <c r="H1603" s="176" t="s">
        <v>461</v>
      </c>
      <c r="I1603" s="176">
        <v>5</v>
      </c>
      <c r="J1603" s="900" t="s">
        <v>2755</v>
      </c>
      <c r="K1603" s="164" t="s">
        <v>5784</v>
      </c>
      <c r="L1603" s="164" t="s">
        <v>461</v>
      </c>
      <c r="M1603" s="164"/>
      <c r="N1603" s="164"/>
      <c r="O1603" s="164"/>
      <c r="P1603" s="173" t="s">
        <v>3185</v>
      </c>
      <c r="Q1603" s="164" t="s">
        <v>4705</v>
      </c>
      <c r="R1603" s="179" t="s">
        <v>4600</v>
      </c>
      <c r="S1603" s="354"/>
      <c r="T1603" s="173"/>
      <c r="U1603" s="173" t="s">
        <v>7309</v>
      </c>
      <c r="V1603" s="173"/>
      <c r="W1603" s="324" t="s">
        <v>7113</v>
      </c>
      <c r="X1603" s="656" t="s">
        <v>12332</v>
      </c>
      <c r="Y1603" s="354"/>
      <c r="Z1603" s="176"/>
      <c r="AA1603" s="176"/>
      <c r="AB1603" s="32">
        <f t="shared" ca="1" si="34"/>
        <v>0.38033660129316116</v>
      </c>
      <c r="AC1603" s="812"/>
      <c r="AD1603" s="763"/>
      <c r="AE1603" s="951"/>
      <c r="AF1603" s="921">
        <f>IF(X1603=X1602,AF1602,0)+IF(ISNUMBER(I1603),IF(I1603&lt;1,I1603,I1603*VLOOKUP(J1603,Summary!$H$2:$I$9,2)),VLOOKUP(J1603,Summary!$J$2:$K$9,2)*IF(ISNUMBER(H1603),H1603,1))</f>
        <v>1.582662037037037</v>
      </c>
      <c r="AG1603" s="288">
        <v>1602</v>
      </c>
      <c r="AH1603" s="94"/>
      <c r="AI1603" s="94"/>
    </row>
    <row r="1604" spans="1:35" s="1" customFormat="1" ht="12" customHeight="1" x14ac:dyDescent="0.25">
      <c r="A1604" s="511" t="s">
        <v>2362</v>
      </c>
      <c r="B1604" s="511">
        <v>5</v>
      </c>
      <c r="C1604" s="511">
        <v>120</v>
      </c>
      <c r="D1604" s="424" t="s">
        <v>6272</v>
      </c>
      <c r="E1604" s="319" t="s">
        <v>6273</v>
      </c>
      <c r="F1604" s="198">
        <v>30011</v>
      </c>
      <c r="G1604" s="198">
        <v>30012</v>
      </c>
      <c r="H1604" s="199">
        <v>2</v>
      </c>
      <c r="I1604" s="791">
        <f>TIME(0,24,56)+TIME(0,24,41)</f>
        <v>3.4456018518518518E-2</v>
      </c>
      <c r="J1604" s="904" t="s">
        <v>1588</v>
      </c>
      <c r="K1604" s="200" t="s">
        <v>6967</v>
      </c>
      <c r="L1604" s="200" t="s">
        <v>6274</v>
      </c>
      <c r="M1604" s="200"/>
      <c r="N1604" s="200" t="s">
        <v>2366</v>
      </c>
      <c r="O1604" s="200" t="s">
        <v>6962</v>
      </c>
      <c r="P1604" s="197" t="s">
        <v>461</v>
      </c>
      <c r="Q1604" s="200" t="s">
        <v>3946</v>
      </c>
      <c r="R1604" s="201" t="s">
        <v>5280</v>
      </c>
      <c r="S1604" s="390" t="s">
        <v>2607</v>
      </c>
      <c r="T1604" s="197" t="s">
        <v>2320</v>
      </c>
      <c r="U1604" s="197" t="s">
        <v>7309</v>
      </c>
      <c r="V1604" s="197"/>
      <c r="W1604" s="318" t="s">
        <v>9681</v>
      </c>
      <c r="X1604" s="650" t="s">
        <v>12332</v>
      </c>
      <c r="Y1604" s="358" t="s">
        <v>6141</v>
      </c>
      <c r="Z1604" s="253">
        <v>105</v>
      </c>
      <c r="AA1604" s="253">
        <v>6.5</v>
      </c>
      <c r="AB1604" s="35">
        <f t="shared" ca="1" si="34"/>
        <v>0.76367635917979204</v>
      </c>
      <c r="AC1604" s="820"/>
      <c r="AD1604" s="821" t="s">
        <v>16693</v>
      </c>
      <c r="AE1604" s="944"/>
      <c r="AF1604" s="925">
        <f>IF(X1604=X1603,AF1603,0)+IF(ISNUMBER(I1604),IF(I1604&lt;1,I1604,I1604*VLOOKUP(J1604,Summary!$H$2:$I$9,2)),VLOOKUP(J1604,Summary!$J$2:$K$9,2)*IF(ISNUMBER(H1604),H1604,1))</f>
        <v>1.6171180555555555</v>
      </c>
      <c r="AG1604" s="293">
        <v>1603</v>
      </c>
      <c r="AH1604" s="94"/>
      <c r="AI1604" s="94"/>
    </row>
    <row r="1605" spans="1:35" s="9" customFormat="1" ht="12" customHeight="1" x14ac:dyDescent="0.25">
      <c r="A1605" s="514">
        <v>19</v>
      </c>
      <c r="B1605" s="514">
        <v>5</v>
      </c>
      <c r="C1605" s="514">
        <v>14.04</v>
      </c>
      <c r="D1605" s="434" t="s">
        <v>7106</v>
      </c>
      <c r="E1605" s="324" t="s">
        <v>7102</v>
      </c>
      <c r="F1605" s="174">
        <v>38322</v>
      </c>
      <c r="G1605" s="174"/>
      <c r="H1605" s="176">
        <v>1</v>
      </c>
      <c r="I1605" s="176">
        <v>2</v>
      </c>
      <c r="J1605" s="900" t="s">
        <v>2755</v>
      </c>
      <c r="K1605" s="164" t="s">
        <v>7105</v>
      </c>
      <c r="L1605" s="164" t="s">
        <v>461</v>
      </c>
      <c r="M1605" s="164"/>
      <c r="N1605" s="164" t="s">
        <v>3807</v>
      </c>
      <c r="O1605" s="164"/>
      <c r="P1605" s="173" t="s">
        <v>6565</v>
      </c>
      <c r="Q1605" s="164" t="s">
        <v>3947</v>
      </c>
      <c r="R1605" s="179" t="s">
        <v>2723</v>
      </c>
      <c r="S1605" s="354" t="s">
        <v>2607</v>
      </c>
      <c r="T1605" s="173" t="s">
        <v>2320</v>
      </c>
      <c r="U1605" s="173" t="s">
        <v>7309</v>
      </c>
      <c r="V1605" s="173"/>
      <c r="W1605" s="324" t="s">
        <v>7102</v>
      </c>
      <c r="X1605" s="656" t="s">
        <v>12332</v>
      </c>
      <c r="Y1605" s="354"/>
      <c r="Z1605" s="176"/>
      <c r="AA1605" s="176"/>
      <c r="AB1605" s="32">
        <f t="shared" ca="1" si="34"/>
        <v>0.88293862603896345</v>
      </c>
      <c r="AC1605" s="812"/>
      <c r="AD1605" s="763"/>
      <c r="AE1605" s="951"/>
      <c r="AF1605" s="921">
        <f>IF(X1605=X1604,AF1604,0)+IF(ISNUMBER(I1605),IF(I1605&lt;1,I1605,I1605*VLOOKUP(J1605,Summary!$H$2:$I$9,2)),VLOOKUP(J1605,Summary!$J$2:$K$9,2)*IF(ISNUMBER(H1605),H1605,1))</f>
        <v>1.6185069444444444</v>
      </c>
      <c r="AG1605" s="288">
        <v>1604</v>
      </c>
      <c r="AH1605" s="94"/>
      <c r="AI1605" s="94"/>
    </row>
    <row r="1606" spans="1:35" s="9" customFormat="1" ht="12" customHeight="1" x14ac:dyDescent="0.25">
      <c r="A1606" s="512" t="s">
        <v>2362</v>
      </c>
      <c r="B1606" s="512">
        <v>5</v>
      </c>
      <c r="C1606" s="520">
        <v>3.06</v>
      </c>
      <c r="D1606" s="407" t="s">
        <v>3141</v>
      </c>
      <c r="E1606" s="315" t="s">
        <v>6275</v>
      </c>
      <c r="F1606" s="169">
        <v>39783</v>
      </c>
      <c r="G1606" s="170"/>
      <c r="H1606" s="170">
        <v>2</v>
      </c>
      <c r="I1606" s="746">
        <f>TIME(1,9,24)</f>
        <v>4.8194444444444449E-2</v>
      </c>
      <c r="J1606" s="899" t="s">
        <v>4706</v>
      </c>
      <c r="K1606" s="167" t="s">
        <v>2312</v>
      </c>
      <c r="L1606" s="167" t="s">
        <v>2313</v>
      </c>
      <c r="M1606" s="167" t="s">
        <v>8039</v>
      </c>
      <c r="N1606" s="167"/>
      <c r="O1606" s="167"/>
      <c r="P1606" s="168" t="s">
        <v>9169</v>
      </c>
      <c r="Q1606" s="167" t="s">
        <v>3947</v>
      </c>
      <c r="R1606" s="172" t="s">
        <v>3153</v>
      </c>
      <c r="S1606" s="388" t="s">
        <v>2607</v>
      </c>
      <c r="T1606" s="168" t="s">
        <v>2320</v>
      </c>
      <c r="U1606" s="168" t="s">
        <v>7309</v>
      </c>
      <c r="V1606" s="168"/>
      <c r="W1606" s="312" t="s">
        <v>10263</v>
      </c>
      <c r="X1606" s="644" t="s">
        <v>12332</v>
      </c>
      <c r="Y1606" s="352" t="s">
        <v>5398</v>
      </c>
      <c r="Z1606" s="353">
        <v>439</v>
      </c>
      <c r="AA1606" s="353">
        <v>4.5</v>
      </c>
      <c r="AB1606" s="31">
        <f t="shared" ca="1" si="34"/>
        <v>0.67788173792375706</v>
      </c>
      <c r="AC1606" s="810"/>
      <c r="AD1606" s="811"/>
      <c r="AE1606" s="940"/>
      <c r="AF1606" s="920">
        <f>IF(X1606=X1605,AF1605,0)+IF(ISNUMBER(I1606),IF(I1606&lt;1,I1606,I1606*VLOOKUP(J1606,Summary!$H$2:$I$9,2)),VLOOKUP(J1606,Summary!$J$2:$K$9,2)*IF(ISNUMBER(H1606),H1606,1))</f>
        <v>1.6667013888888889</v>
      </c>
      <c r="AG1606" s="287">
        <v>1605</v>
      </c>
      <c r="AH1606" s="94"/>
      <c r="AI1606" s="94"/>
    </row>
    <row r="1607" spans="1:35" s="9" customFormat="1" ht="12" customHeight="1" x14ac:dyDescent="0.25">
      <c r="A1607" s="514">
        <v>19</v>
      </c>
      <c r="B1607" s="514">
        <v>5</v>
      </c>
      <c r="C1607" s="514">
        <v>15</v>
      </c>
      <c r="D1607" s="176" t="s">
        <v>9774</v>
      </c>
      <c r="E1607" s="313" t="s">
        <v>9775</v>
      </c>
      <c r="F1607" s="175">
        <v>42159</v>
      </c>
      <c r="G1607" s="174"/>
      <c r="H1607" s="176" t="s">
        <v>461</v>
      </c>
      <c r="I1607" s="176"/>
      <c r="J1607" s="900" t="s">
        <v>2755</v>
      </c>
      <c r="K1607" s="164" t="s">
        <v>6970</v>
      </c>
      <c r="L1607" s="164" t="s">
        <v>461</v>
      </c>
      <c r="M1607" s="164"/>
      <c r="N1607" s="164"/>
      <c r="O1607" s="164"/>
      <c r="P1607" s="173" t="s">
        <v>9509</v>
      </c>
      <c r="Q1607" s="164" t="s">
        <v>3953</v>
      </c>
      <c r="R1607" s="177" t="s">
        <v>9510</v>
      </c>
      <c r="S1607" s="354" t="s">
        <v>2607</v>
      </c>
      <c r="T1607" s="173" t="s">
        <v>2320</v>
      </c>
      <c r="U1607" s="173" t="s">
        <v>7309</v>
      </c>
      <c r="V1607" s="173">
        <v>12</v>
      </c>
      <c r="W1607" s="313" t="s">
        <v>9775</v>
      </c>
      <c r="X1607" s="645" t="s">
        <v>12332</v>
      </c>
      <c r="Y1607" s="354"/>
      <c r="Z1607" s="157"/>
      <c r="AA1607" s="176"/>
      <c r="AB1607" s="32">
        <f t="shared" ca="1" si="34"/>
        <v>0.26280726565231505</v>
      </c>
      <c r="AC1607" s="812"/>
      <c r="AD1607" s="763"/>
      <c r="AE1607" s="807"/>
      <c r="AF1607" s="921">
        <f>IF(X1607=X1606,AF1606,0)+IF(ISNUMBER(I1607),IF(I1607&lt;1,I1607,I1607*VLOOKUP(J1607,Summary!$H$2:$I$9,2)),VLOOKUP(J1607,Summary!$J$2:$K$9,2)*IF(ISNUMBER(H1607),H1607,1))</f>
        <v>1.6840625</v>
      </c>
      <c r="AG1607" s="289">
        <v>1606</v>
      </c>
      <c r="AH1607" s="94"/>
      <c r="AI1607" s="94"/>
    </row>
    <row r="1608" spans="1:35" s="2" customFormat="1" ht="12" customHeight="1" x14ac:dyDescent="0.25">
      <c r="A1608" s="512">
        <v>19</v>
      </c>
      <c r="B1608" s="512">
        <v>5</v>
      </c>
      <c r="C1608" s="513">
        <v>6.2</v>
      </c>
      <c r="D1608" s="407" t="s">
        <v>8522</v>
      </c>
      <c r="E1608" s="315" t="s">
        <v>8523</v>
      </c>
      <c r="F1608" s="196">
        <v>41863</v>
      </c>
      <c r="G1608" s="170"/>
      <c r="H1608" s="170">
        <v>4</v>
      </c>
      <c r="I1608" s="746">
        <f>TIME(1,45,46)</f>
        <v>7.3449074074074069E-2</v>
      </c>
      <c r="J1608" s="899" t="s">
        <v>4706</v>
      </c>
      <c r="K1608" s="167" t="s">
        <v>5666</v>
      </c>
      <c r="L1608" s="167" t="s">
        <v>2313</v>
      </c>
      <c r="M1608" s="167"/>
      <c r="N1608" s="167"/>
      <c r="O1608" s="167"/>
      <c r="P1608" s="168" t="s">
        <v>8521</v>
      </c>
      <c r="Q1608" s="167" t="s">
        <v>3947</v>
      </c>
      <c r="R1608" s="172" t="s">
        <v>3147</v>
      </c>
      <c r="S1608" s="388" t="s">
        <v>2607</v>
      </c>
      <c r="T1608" s="168" t="s">
        <v>2320</v>
      </c>
      <c r="U1608" s="168" t="s">
        <v>7309</v>
      </c>
      <c r="V1608" s="168"/>
      <c r="W1608" s="312" t="s">
        <v>10089</v>
      </c>
      <c r="X1608" s="644" t="s">
        <v>12332</v>
      </c>
      <c r="Y1608" s="352" t="s">
        <v>5643</v>
      </c>
      <c r="Z1608" s="353">
        <v>315</v>
      </c>
      <c r="AA1608" s="353">
        <v>5.5</v>
      </c>
      <c r="AB1608" s="31">
        <f t="shared" ca="1" si="34"/>
        <v>7.8874780959670043E-2</v>
      </c>
      <c r="AC1608" s="810"/>
      <c r="AD1608" s="811"/>
      <c r="AE1608" s="940"/>
      <c r="AF1608" s="920">
        <f>IF(X1608=X1607,AF1607,0)+IF(ISNUMBER(I1608),IF(I1608&lt;1,I1608,I1608*VLOOKUP(J1608,Summary!$H$2:$I$9,2)),VLOOKUP(J1608,Summary!$J$2:$K$9,2)*IF(ISNUMBER(H1608),H1608,1))</f>
        <v>1.7575115740740741</v>
      </c>
      <c r="AG1608" s="287">
        <v>1607</v>
      </c>
      <c r="AH1608" s="94"/>
      <c r="AI1608" s="94"/>
    </row>
    <row r="1609" spans="1:35" s="27" customFormat="1" ht="12" customHeight="1" x14ac:dyDescent="0.25">
      <c r="A1609" s="517">
        <v>19</v>
      </c>
      <c r="B1609" s="517">
        <v>5</v>
      </c>
      <c r="C1609" s="518">
        <v>0</v>
      </c>
      <c r="D1609" s="192" t="s">
        <v>13147</v>
      </c>
      <c r="E1609" s="317" t="s">
        <v>10255</v>
      </c>
      <c r="F1609" s="191">
        <v>42278</v>
      </c>
      <c r="G1609" s="209"/>
      <c r="H1609" s="192" t="s">
        <v>461</v>
      </c>
      <c r="I1609" s="753">
        <f>TIME(0,31,42)</f>
        <v>2.2013888888888888E-2</v>
      </c>
      <c r="J1609" s="903" t="s">
        <v>2755</v>
      </c>
      <c r="K1609" s="194" t="s">
        <v>7757</v>
      </c>
      <c r="L1609" s="880" t="s">
        <v>5662</v>
      </c>
      <c r="M1609" s="194" t="s">
        <v>497</v>
      </c>
      <c r="N1609" s="194"/>
      <c r="O1609" s="194"/>
      <c r="P1609" s="190" t="s">
        <v>461</v>
      </c>
      <c r="Q1609" s="194" t="s">
        <v>3947</v>
      </c>
      <c r="R1609" s="193" t="s">
        <v>2722</v>
      </c>
      <c r="S1609" s="354" t="s">
        <v>2607</v>
      </c>
      <c r="T1609" s="190"/>
      <c r="U1609" s="190"/>
      <c r="V1609" s="190"/>
      <c r="W1609" s="317" t="s">
        <v>10255</v>
      </c>
      <c r="X1609" s="649" t="s">
        <v>12332</v>
      </c>
      <c r="Y1609" s="357" t="s">
        <v>5643</v>
      </c>
      <c r="Z1609" s="192">
        <v>33</v>
      </c>
      <c r="AA1609" s="192">
        <v>5</v>
      </c>
      <c r="AB1609" s="37">
        <f t="shared" ca="1" si="34"/>
        <v>0.83988718728006895</v>
      </c>
      <c r="AC1609" s="816"/>
      <c r="AD1609" s="817"/>
      <c r="AE1609" s="943"/>
      <c r="AF1609" s="924">
        <f>IF(X1609=X1608,AF1608,0)+IF(ISNUMBER(I1609),IF(I1609&lt;1,I1609,I1609*VLOOKUP(J1609,Summary!$H$2:$I$9,2)),VLOOKUP(J1609,Summary!$J$2:$K$9,2)*IF(ISNUMBER(H1609),H1609,1))</f>
        <v>1.7795254629629631</v>
      </c>
      <c r="AG1609" s="292">
        <v>1608</v>
      </c>
      <c r="AH1609" s="119"/>
      <c r="AI1609" s="119"/>
    </row>
    <row r="1610" spans="1:35" s="27" customFormat="1" ht="12" customHeight="1" x14ac:dyDescent="0.25">
      <c r="A1610" s="511" t="s">
        <v>2362</v>
      </c>
      <c r="B1610" s="511">
        <v>5</v>
      </c>
      <c r="C1610" s="511">
        <v>121</v>
      </c>
      <c r="D1610" s="424" t="s">
        <v>6276</v>
      </c>
      <c r="E1610" s="319" t="s">
        <v>6277</v>
      </c>
      <c r="F1610" s="198">
        <v>30018</v>
      </c>
      <c r="G1610" s="198">
        <v>30026</v>
      </c>
      <c r="H1610" s="199">
        <v>4</v>
      </c>
      <c r="I1610" s="791">
        <f>TIME(0,24,22)+TIME(0,24,23)+TIME(0,24,24)+TIME(0,24,28)</f>
        <v>6.7789351851851851E-2</v>
      </c>
      <c r="J1610" s="904" t="s">
        <v>1588</v>
      </c>
      <c r="K1610" s="200" t="s">
        <v>2366</v>
      </c>
      <c r="L1610" s="232" t="s">
        <v>2615</v>
      </c>
      <c r="M1610" s="200"/>
      <c r="N1610" s="200" t="s">
        <v>6264</v>
      </c>
      <c r="O1610" s="200" t="s">
        <v>6962</v>
      </c>
      <c r="P1610" s="197" t="s">
        <v>461</v>
      </c>
      <c r="Q1610" s="200" t="s">
        <v>3946</v>
      </c>
      <c r="R1610" s="201" t="s">
        <v>5280</v>
      </c>
      <c r="S1610" s="390" t="s">
        <v>2607</v>
      </c>
      <c r="T1610" s="197" t="s">
        <v>2320</v>
      </c>
      <c r="U1610" s="197" t="s">
        <v>7309</v>
      </c>
      <c r="V1610" s="197"/>
      <c r="W1610" s="318" t="s">
        <v>9682</v>
      </c>
      <c r="X1610" s="650" t="s">
        <v>12332</v>
      </c>
      <c r="Y1610" s="358" t="s">
        <v>6141</v>
      </c>
      <c r="Z1610" s="253">
        <v>195</v>
      </c>
      <c r="AA1610" s="253">
        <v>5</v>
      </c>
      <c r="AB1610" s="35">
        <f t="shared" ca="1" si="34"/>
        <v>0.37289690743885018</v>
      </c>
      <c r="AC1610" s="820"/>
      <c r="AD1610" s="824" t="s">
        <v>16239</v>
      </c>
      <c r="AE1610" s="944" t="s">
        <v>16075</v>
      </c>
      <c r="AF1610" s="925">
        <f>IF(X1610=X1609,AF1609,0)+IF(ISNUMBER(I1610),IF(I1610&lt;1,I1610,I1610*VLOOKUP(J1610,Summary!$H$2:$I$9,2)),VLOOKUP(J1610,Summary!$J$2:$K$9,2)*IF(ISNUMBER(H1610),H1610,1))</f>
        <v>1.8473148148148149</v>
      </c>
      <c r="AG1610" s="293">
        <v>1609</v>
      </c>
      <c r="AH1610" s="119"/>
      <c r="AI1610" s="119"/>
    </row>
    <row r="1611" spans="1:35" s="27" customFormat="1" ht="12" customHeight="1" x14ac:dyDescent="0.25">
      <c r="A1611" s="514">
        <v>19</v>
      </c>
      <c r="B1611" s="514">
        <v>5</v>
      </c>
      <c r="C1611" s="514">
        <v>19.07</v>
      </c>
      <c r="D1611" s="434" t="s">
        <v>7110</v>
      </c>
      <c r="E1611" s="324" t="s">
        <v>7108</v>
      </c>
      <c r="F1611" s="174">
        <v>38808</v>
      </c>
      <c r="G1611" s="174"/>
      <c r="H1611" s="176">
        <v>1</v>
      </c>
      <c r="I1611" s="176">
        <v>10</v>
      </c>
      <c r="J1611" s="900" t="s">
        <v>2755</v>
      </c>
      <c r="K1611" s="164" t="s">
        <v>7109</v>
      </c>
      <c r="L1611" s="878" t="s">
        <v>461</v>
      </c>
      <c r="M1611" s="164"/>
      <c r="N1611" s="164" t="s">
        <v>4552</v>
      </c>
      <c r="O1611" s="164"/>
      <c r="P1611" s="173" t="s">
        <v>5020</v>
      </c>
      <c r="Q1611" s="164" t="s">
        <v>3947</v>
      </c>
      <c r="R1611" s="179" t="s">
        <v>2723</v>
      </c>
      <c r="S1611" s="354" t="s">
        <v>2607</v>
      </c>
      <c r="T1611" s="173" t="s">
        <v>2320</v>
      </c>
      <c r="U1611" s="173"/>
      <c r="V1611" s="173"/>
      <c r="W1611" s="324" t="s">
        <v>7108</v>
      </c>
      <c r="X1611" s="656" t="s">
        <v>12332</v>
      </c>
      <c r="Y1611" s="354"/>
      <c r="Z1611" s="176"/>
      <c r="AA1611" s="176"/>
      <c r="AB1611" s="32">
        <f t="shared" ca="1" si="34"/>
        <v>0.54671611776339479</v>
      </c>
      <c r="AC1611" s="812"/>
      <c r="AD1611" s="763"/>
      <c r="AE1611" s="951"/>
      <c r="AF1611" s="921">
        <f>IF(X1611=X1610,AF1610,0)+IF(ISNUMBER(I1611),IF(I1611&lt;1,I1611,I1611*VLOOKUP(J1611,Summary!$H$2:$I$9,2)),VLOOKUP(J1611,Summary!$J$2:$K$9,2)*IF(ISNUMBER(H1611),H1611,1))</f>
        <v>1.8542592592592593</v>
      </c>
      <c r="AG1611" s="288">
        <v>1610</v>
      </c>
      <c r="AH1611" s="119"/>
      <c r="AI1611" s="119"/>
    </row>
    <row r="1612" spans="1:35" s="9" customFormat="1" ht="12" customHeight="1" x14ac:dyDescent="0.25">
      <c r="A1612" s="511" t="s">
        <v>2362</v>
      </c>
      <c r="B1612" s="511">
        <v>5</v>
      </c>
      <c r="C1612" s="511">
        <v>122</v>
      </c>
      <c r="D1612" s="424" t="s">
        <v>2852</v>
      </c>
      <c r="E1612" s="319" t="s">
        <v>2853</v>
      </c>
      <c r="F1612" s="198">
        <v>30032</v>
      </c>
      <c r="G1612" s="198">
        <v>30040</v>
      </c>
      <c r="H1612" s="199">
        <v>4</v>
      </c>
      <c r="I1612" s="791">
        <f>TIME(0,24,56)+TIME(0,23,58)+TIME(0,24,29)+TIME(0,24,30)</f>
        <v>6.7974537037037028E-2</v>
      </c>
      <c r="J1612" s="904" t="s">
        <v>1588</v>
      </c>
      <c r="K1612" s="200" t="s">
        <v>2615</v>
      </c>
      <c r="L1612" s="200" t="s">
        <v>6274</v>
      </c>
      <c r="M1612" s="200"/>
      <c r="N1612" s="200" t="s">
        <v>2366</v>
      </c>
      <c r="O1612" s="200" t="s">
        <v>6962</v>
      </c>
      <c r="P1612" s="197" t="s">
        <v>461</v>
      </c>
      <c r="Q1612" s="200" t="s">
        <v>3946</v>
      </c>
      <c r="R1612" s="201" t="s">
        <v>5280</v>
      </c>
      <c r="S1612" s="390" t="s">
        <v>2607</v>
      </c>
      <c r="T1612" s="197" t="s">
        <v>2320</v>
      </c>
      <c r="U1612" s="197"/>
      <c r="V1612" s="197"/>
      <c r="W1612" s="318" t="s">
        <v>9683</v>
      </c>
      <c r="X1612" s="650" t="s">
        <v>12332</v>
      </c>
      <c r="Y1612" s="358" t="s">
        <v>6141</v>
      </c>
      <c r="Z1612" s="253">
        <v>280</v>
      </c>
      <c r="AA1612" s="253">
        <v>2.5</v>
      </c>
      <c r="AB1612" s="35">
        <f t="shared" ca="1" si="34"/>
        <v>0.72652265610223532</v>
      </c>
      <c r="AC1612" s="820"/>
      <c r="AD1612" s="824" t="s">
        <v>15036</v>
      </c>
      <c r="AE1612" s="944" t="s">
        <v>12543</v>
      </c>
      <c r="AF1612" s="925">
        <f>IF(X1612=X1611,AF1611,0)+IF(ISNUMBER(I1612),IF(I1612&lt;1,I1612,I1612*VLOOKUP(J1612,Summary!$H$2:$I$9,2)),VLOOKUP(J1612,Summary!$J$2:$K$9,2)*IF(ISNUMBER(H1612),H1612,1))</f>
        <v>1.9222337962962963</v>
      </c>
      <c r="AG1612" s="293">
        <v>1611</v>
      </c>
      <c r="AH1612" s="94"/>
      <c r="AI1612" s="94"/>
    </row>
    <row r="1613" spans="1:35" s="27" customFormat="1" ht="12" customHeight="1" x14ac:dyDescent="0.25">
      <c r="A1613" s="515" t="s">
        <v>5152</v>
      </c>
      <c r="B1613" s="515">
        <v>5</v>
      </c>
      <c r="C1613" s="515">
        <v>65</v>
      </c>
      <c r="D1613" s="417" t="s">
        <v>2854</v>
      </c>
      <c r="E1613" s="316" t="s">
        <v>2855</v>
      </c>
      <c r="F1613" s="187">
        <v>38047</v>
      </c>
      <c r="G1613" s="188"/>
      <c r="H1613" s="188" t="str">
        <f>IF(J1613="Book","n/a","")</f>
        <v>n/a</v>
      </c>
      <c r="I1613" s="188">
        <v>288</v>
      </c>
      <c r="J1613" s="902" t="s">
        <v>6868</v>
      </c>
      <c r="K1613" s="162" t="s">
        <v>1746</v>
      </c>
      <c r="L1613" s="245" t="str">
        <f>IF(J1613="Book","n/a","")</f>
        <v>n/a</v>
      </c>
      <c r="M1613" s="162"/>
      <c r="N1613" s="162"/>
      <c r="O1613" s="162"/>
      <c r="P1613" s="178" t="s">
        <v>8989</v>
      </c>
      <c r="Q1613" s="162" t="s">
        <v>3953</v>
      </c>
      <c r="R1613" s="189" t="s">
        <v>2717</v>
      </c>
      <c r="S1613" s="366" t="s">
        <v>2607</v>
      </c>
      <c r="T1613" s="178"/>
      <c r="U1613" s="178"/>
      <c r="V1613" s="178"/>
      <c r="W1613" s="316" t="s">
        <v>2855</v>
      </c>
      <c r="X1613" s="648" t="s">
        <v>12463</v>
      </c>
      <c r="Y1613" s="356"/>
      <c r="Z1613" s="272"/>
      <c r="AA1613" s="272"/>
      <c r="AB1613" s="34">
        <f t="shared" ca="1" si="34"/>
        <v>0.61980758253102497</v>
      </c>
      <c r="AC1613" s="814"/>
      <c r="AD1613" s="815" t="s">
        <v>16597</v>
      </c>
      <c r="AE1613" s="942"/>
      <c r="AF1613" s="923">
        <f>IF(X1613=X1612,AF1612,0)+IF(ISNUMBER(I1613),IF(I1613&lt;1,I1613,I1613*VLOOKUP(J1613,Summary!$H$2:$I$9,2)),VLOOKUP(J1613,Summary!$J$2:$K$9,2)*IF(ISNUMBER(H1613),H1613,1))</f>
        <v>0.2</v>
      </c>
      <c r="AG1613" s="291">
        <v>1612</v>
      </c>
      <c r="AH1613" s="119"/>
      <c r="AI1613" s="119"/>
    </row>
    <row r="1614" spans="1:35" s="27" customFormat="1" ht="12" customHeight="1" x14ac:dyDescent="0.25">
      <c r="A1614" s="514" t="s">
        <v>5152</v>
      </c>
      <c r="B1614" s="514">
        <v>5</v>
      </c>
      <c r="C1614" s="519">
        <v>6.1</v>
      </c>
      <c r="D1614" s="434" t="s">
        <v>7120</v>
      </c>
      <c r="E1614" s="324" t="s">
        <v>7117</v>
      </c>
      <c r="F1614" s="174">
        <v>37773</v>
      </c>
      <c r="G1614" s="174"/>
      <c r="H1614" s="176">
        <v>1</v>
      </c>
      <c r="I1614" s="176">
        <v>16</v>
      </c>
      <c r="J1614" s="900" t="s">
        <v>2755</v>
      </c>
      <c r="K1614" s="164" t="s">
        <v>1942</v>
      </c>
      <c r="L1614" s="878" t="s">
        <v>461</v>
      </c>
      <c r="M1614" s="164"/>
      <c r="N1614" s="164" t="s">
        <v>4996</v>
      </c>
      <c r="O1614" s="164"/>
      <c r="P1614" s="173" t="s">
        <v>4997</v>
      </c>
      <c r="Q1614" s="164" t="s">
        <v>3947</v>
      </c>
      <c r="R1614" s="179" t="s">
        <v>2723</v>
      </c>
      <c r="S1614" s="354"/>
      <c r="T1614" s="173"/>
      <c r="U1614" s="173"/>
      <c r="V1614" s="173"/>
      <c r="W1614" s="324" t="s">
        <v>7117</v>
      </c>
      <c r="X1614" s="656" t="s">
        <v>12463</v>
      </c>
      <c r="Y1614" s="354"/>
      <c r="Z1614" s="176">
        <v>999</v>
      </c>
      <c r="AA1614" s="176"/>
      <c r="AB1614" s="32">
        <f t="shared" ca="1" si="34"/>
        <v>0.42017221639055591</v>
      </c>
      <c r="AC1614" s="812"/>
      <c r="AD1614" s="763"/>
      <c r="AE1614" s="951"/>
      <c r="AF1614" s="921">
        <f>IF(X1614=X1613,AF1613,0)+IF(ISNUMBER(I1614),IF(I1614&lt;1,I1614,I1614*VLOOKUP(J1614,Summary!$H$2:$I$9,2)),VLOOKUP(J1614,Summary!$J$2:$K$9,2)*IF(ISNUMBER(H1614),H1614,1))</f>
        <v>0.21111111111111111</v>
      </c>
      <c r="AG1614" s="288">
        <v>1613</v>
      </c>
      <c r="AH1614" s="119"/>
      <c r="AI1614" s="119"/>
    </row>
    <row r="1615" spans="1:35" s="27" customFormat="1" ht="12" customHeight="1" x14ac:dyDescent="0.25">
      <c r="A1615" s="514" t="s">
        <v>5152</v>
      </c>
      <c r="B1615" s="514">
        <v>5</v>
      </c>
      <c r="C1615" s="519">
        <v>13.05</v>
      </c>
      <c r="D1615" s="434" t="s">
        <v>7121</v>
      </c>
      <c r="E1615" s="324" t="s">
        <v>7118</v>
      </c>
      <c r="F1615" s="174">
        <v>38261</v>
      </c>
      <c r="G1615" s="174"/>
      <c r="H1615" s="176">
        <v>1</v>
      </c>
      <c r="I1615" s="176">
        <v>26</v>
      </c>
      <c r="J1615" s="900" t="s">
        <v>2755</v>
      </c>
      <c r="K1615" s="164" t="s">
        <v>4584</v>
      </c>
      <c r="L1615" s="878" t="s">
        <v>461</v>
      </c>
      <c r="M1615" s="164"/>
      <c r="N1615" s="164" t="s">
        <v>4996</v>
      </c>
      <c r="O1615" s="164"/>
      <c r="P1615" s="173" t="s">
        <v>1945</v>
      </c>
      <c r="Q1615" s="164" t="s">
        <v>3947</v>
      </c>
      <c r="R1615" s="179" t="s">
        <v>2723</v>
      </c>
      <c r="S1615" s="354"/>
      <c r="T1615" s="173"/>
      <c r="U1615" s="173"/>
      <c r="V1615" s="173"/>
      <c r="W1615" s="324" t="s">
        <v>7118</v>
      </c>
      <c r="X1615" s="656" t="s">
        <v>12463</v>
      </c>
      <c r="Y1615" s="354"/>
      <c r="Z1615" s="176"/>
      <c r="AA1615" s="176"/>
      <c r="AB1615" s="32">
        <f t="shared" ca="1" si="34"/>
        <v>0.4155033071422527</v>
      </c>
      <c r="AC1615" s="812"/>
      <c r="AD1615" s="763"/>
      <c r="AE1615" s="951"/>
      <c r="AF1615" s="921">
        <f>IF(X1615=X1614,AF1614,0)+IF(ISNUMBER(I1615),IF(I1615&lt;1,I1615,I1615*VLOOKUP(J1615,Summary!$H$2:$I$9,2)),VLOOKUP(J1615,Summary!$J$2:$K$9,2)*IF(ISNUMBER(H1615),H1615,1))</f>
        <v>0.22916666666666666</v>
      </c>
      <c r="AG1615" s="288">
        <v>1614</v>
      </c>
      <c r="AH1615" s="119"/>
      <c r="AI1615" s="119"/>
    </row>
    <row r="1616" spans="1:35" s="2" customFormat="1" ht="12" customHeight="1" x14ac:dyDescent="0.25">
      <c r="A1616" s="514" t="s">
        <v>5152</v>
      </c>
      <c r="B1616" s="514">
        <v>5</v>
      </c>
      <c r="C1616" s="519">
        <v>1.05</v>
      </c>
      <c r="D1616" s="434" t="s">
        <v>9247</v>
      </c>
      <c r="E1616" s="324" t="s">
        <v>9248</v>
      </c>
      <c r="F1616" s="175">
        <v>41417</v>
      </c>
      <c r="G1616" s="176"/>
      <c r="H1616" s="176">
        <v>1</v>
      </c>
      <c r="I1616" s="176">
        <v>34</v>
      </c>
      <c r="J1616" s="900" t="s">
        <v>2755</v>
      </c>
      <c r="K1616" s="164" t="s">
        <v>9249</v>
      </c>
      <c r="L1616" s="164" t="s">
        <v>461</v>
      </c>
      <c r="M1616" s="164"/>
      <c r="N1616" s="164"/>
      <c r="O1616" s="164"/>
      <c r="P1616" s="173" t="s">
        <v>9237</v>
      </c>
      <c r="Q1616" s="164" t="s">
        <v>9235</v>
      </c>
      <c r="R1616" s="179" t="s">
        <v>9236</v>
      </c>
      <c r="S1616" s="354" t="s">
        <v>2607</v>
      </c>
      <c r="T1616" s="173"/>
      <c r="U1616" s="173"/>
      <c r="V1616" s="173"/>
      <c r="W1616" s="324" t="s">
        <v>9248</v>
      </c>
      <c r="X1616" s="656" t="s">
        <v>12463</v>
      </c>
      <c r="Y1616" s="354" t="s">
        <v>6868</v>
      </c>
      <c r="Z1616" s="176"/>
      <c r="AA1616" s="176"/>
      <c r="AB1616" s="32">
        <f t="shared" ca="1" si="34"/>
        <v>0.16363879635537248</v>
      </c>
      <c r="AC1616" s="812"/>
      <c r="AD1616" s="763"/>
      <c r="AE1616" s="951"/>
      <c r="AF1616" s="921">
        <f>IF(X1616=X1615,AF1615,0)+IF(ISNUMBER(I1616),IF(I1616&lt;1,I1616,I1616*VLOOKUP(J1616,Summary!$H$2:$I$9,2)),VLOOKUP(J1616,Summary!$J$2:$K$9,2)*IF(ISNUMBER(H1616),H1616,1))</f>
        <v>0.25277777777777777</v>
      </c>
      <c r="AG1616" s="288">
        <v>1615</v>
      </c>
      <c r="AH1616" s="94"/>
      <c r="AI1616" s="94"/>
    </row>
    <row r="1617" spans="1:35" s="27" customFormat="1" ht="12" customHeight="1" x14ac:dyDescent="0.25">
      <c r="A1617" s="514" t="s">
        <v>5152</v>
      </c>
      <c r="B1617" s="514">
        <v>5</v>
      </c>
      <c r="C1617" s="519">
        <v>2.0699999999999998</v>
      </c>
      <c r="D1617" s="434" t="s">
        <v>7122</v>
      </c>
      <c r="E1617" s="324" t="s">
        <v>7119</v>
      </c>
      <c r="F1617" s="176">
        <v>1995</v>
      </c>
      <c r="G1617" s="176"/>
      <c r="H1617" s="176" t="s">
        <v>461</v>
      </c>
      <c r="I1617" s="176">
        <v>27</v>
      </c>
      <c r="J1617" s="900" t="s">
        <v>2755</v>
      </c>
      <c r="K1617" s="164" t="s">
        <v>4148</v>
      </c>
      <c r="L1617" s="878" t="s">
        <v>461</v>
      </c>
      <c r="M1617" s="164"/>
      <c r="N1617" s="164" t="s">
        <v>7001</v>
      </c>
      <c r="O1617" s="164"/>
      <c r="P1617" s="173" t="s">
        <v>6554</v>
      </c>
      <c r="Q1617" s="164" t="s">
        <v>6548</v>
      </c>
      <c r="R1617" s="179" t="s">
        <v>4598</v>
      </c>
      <c r="S1617" s="354" t="s">
        <v>2607</v>
      </c>
      <c r="T1617" s="173"/>
      <c r="U1617" s="173"/>
      <c r="V1617" s="173"/>
      <c r="W1617" s="324" t="s">
        <v>7119</v>
      </c>
      <c r="X1617" s="656" t="s">
        <v>12463</v>
      </c>
      <c r="Y1617" s="354" t="s">
        <v>6868</v>
      </c>
      <c r="Z1617" s="176">
        <v>57</v>
      </c>
      <c r="AA1617" s="176">
        <v>2</v>
      </c>
      <c r="AB1617" s="32">
        <f t="shared" ca="1" si="34"/>
        <v>0.1592169569998747</v>
      </c>
      <c r="AC1617" s="812"/>
      <c r="AD1617" s="763"/>
      <c r="AE1617" s="951"/>
      <c r="AF1617" s="921">
        <f>IF(X1617=X1616,AF1616,0)+IF(ISNUMBER(I1617),IF(I1617&lt;1,I1617,I1617*VLOOKUP(J1617,Summary!$H$2:$I$9,2)),VLOOKUP(J1617,Summary!$J$2:$K$9,2)*IF(ISNUMBER(H1617),H1617,1))</f>
        <v>0.27152777777777776</v>
      </c>
      <c r="AG1617" s="288">
        <v>1616</v>
      </c>
      <c r="AH1617" s="119"/>
      <c r="AI1617" s="119"/>
    </row>
    <row r="1618" spans="1:35" s="22" customFormat="1" ht="12" customHeight="1" x14ac:dyDescent="0.2">
      <c r="A1618" s="512" t="s">
        <v>5152</v>
      </c>
      <c r="B1618" s="512">
        <v>5</v>
      </c>
      <c r="C1618" s="512">
        <v>4</v>
      </c>
      <c r="D1618" s="407" t="s">
        <v>2856</v>
      </c>
      <c r="E1618" s="315" t="s">
        <v>2857</v>
      </c>
      <c r="F1618" s="169">
        <v>36526</v>
      </c>
      <c r="G1618" s="170"/>
      <c r="H1618" s="170">
        <v>4</v>
      </c>
      <c r="I1618" s="746">
        <f>TIME(1,54,47)</f>
        <v>7.9710648148148142E-2</v>
      </c>
      <c r="J1618" s="899" t="s">
        <v>4706</v>
      </c>
      <c r="K1618" s="167" t="s">
        <v>6237</v>
      </c>
      <c r="L1618" s="167" t="s">
        <v>7375</v>
      </c>
      <c r="M1618" s="167"/>
      <c r="N1618" s="167"/>
      <c r="O1618" s="167" t="s">
        <v>2909</v>
      </c>
      <c r="P1618" s="168"/>
      <c r="Q1618" s="167" t="s">
        <v>3947</v>
      </c>
      <c r="R1618" s="172" t="s">
        <v>3146</v>
      </c>
      <c r="S1618" s="388" t="s">
        <v>2607</v>
      </c>
      <c r="T1618" s="168"/>
      <c r="U1618" s="168"/>
      <c r="V1618" s="168"/>
      <c r="W1618" s="312" t="s">
        <v>8499</v>
      </c>
      <c r="X1618" s="644" t="s">
        <v>12463</v>
      </c>
      <c r="Y1618" s="352" t="s">
        <v>5643</v>
      </c>
      <c r="Z1618" s="353">
        <v>600</v>
      </c>
      <c r="AA1618" s="353">
        <v>3.5</v>
      </c>
      <c r="AB1618" s="31">
        <f t="shared" ca="1" si="34"/>
        <v>5.5642402084010834E-2</v>
      </c>
      <c r="AC1618" s="810"/>
      <c r="AD1618" s="821" t="s">
        <v>16044</v>
      </c>
      <c r="AE1618" s="940"/>
      <c r="AF1618" s="920">
        <f>IF(X1618=X1617,AF1617,0)+IF(ISNUMBER(I1618),IF(I1618&lt;1,I1618,I1618*VLOOKUP(J1618,Summary!$H$2:$I$9,2)),VLOOKUP(J1618,Summary!$J$2:$K$9,2)*IF(ISNUMBER(H1618),H1618,1))</f>
        <v>0.35123842592592591</v>
      </c>
      <c r="AG1618" s="287">
        <v>1617</v>
      </c>
      <c r="AH1618" s="94"/>
      <c r="AI1618" s="94"/>
    </row>
    <row r="1619" spans="1:35" s="27" customFormat="1" ht="12" customHeight="1" x14ac:dyDescent="0.25">
      <c r="A1619" s="512" t="s">
        <v>5152</v>
      </c>
      <c r="B1619" s="512">
        <v>5</v>
      </c>
      <c r="C1619" s="512">
        <v>91.1</v>
      </c>
      <c r="D1619" s="407" t="s">
        <v>4530</v>
      </c>
      <c r="E1619" s="315" t="s">
        <v>1743</v>
      </c>
      <c r="F1619" s="169">
        <v>39083</v>
      </c>
      <c r="G1619" s="170"/>
      <c r="H1619" s="170">
        <v>1</v>
      </c>
      <c r="I1619" s="746">
        <f>TIME(0,29,43)</f>
        <v>2.0636574074074075E-2</v>
      </c>
      <c r="J1619" s="899" t="s">
        <v>4706</v>
      </c>
      <c r="K1619" s="167" t="s">
        <v>3286</v>
      </c>
      <c r="L1619" s="167" t="s">
        <v>6231</v>
      </c>
      <c r="M1619" s="167"/>
      <c r="N1619" s="167"/>
      <c r="O1619" s="167"/>
      <c r="P1619" s="168"/>
      <c r="Q1619" s="167" t="s">
        <v>3947</v>
      </c>
      <c r="R1619" s="172" t="s">
        <v>3146</v>
      </c>
      <c r="S1619" s="388" t="s">
        <v>2607</v>
      </c>
      <c r="T1619" s="168"/>
      <c r="U1619" s="168"/>
      <c r="V1619" s="168"/>
      <c r="W1619" s="312" t="s">
        <v>9321</v>
      </c>
      <c r="X1619" s="644" t="s">
        <v>12463</v>
      </c>
      <c r="Y1619" s="352" t="s">
        <v>5398</v>
      </c>
      <c r="Z1619" s="353">
        <v>249</v>
      </c>
      <c r="AA1619" s="353">
        <v>5.5</v>
      </c>
      <c r="AB1619" s="31">
        <f t="shared" ca="1" si="34"/>
        <v>8.3620162208175697E-2</v>
      </c>
      <c r="AC1619" s="810"/>
      <c r="AD1619" s="811"/>
      <c r="AE1619" s="940"/>
      <c r="AF1619" s="920">
        <f>IF(X1619=X1618,AF1618,0)+IF(ISNUMBER(I1619),IF(I1619&lt;1,I1619,I1619*VLOOKUP(J1619,Summary!$H$2:$I$9,2)),VLOOKUP(J1619,Summary!$J$2:$K$9,2)*IF(ISNUMBER(H1619),H1619,1))</f>
        <v>0.37187500000000001</v>
      </c>
      <c r="AG1619" s="287">
        <v>1618</v>
      </c>
      <c r="AH1619" s="119"/>
      <c r="AI1619" s="119"/>
    </row>
    <row r="1620" spans="1:35" s="27" customFormat="1" ht="12" customHeight="1" x14ac:dyDescent="0.25">
      <c r="A1620" s="514" t="s">
        <v>5152</v>
      </c>
      <c r="B1620" s="514">
        <v>5</v>
      </c>
      <c r="C1620" s="519">
        <v>3.04</v>
      </c>
      <c r="D1620" s="434" t="s">
        <v>7125</v>
      </c>
      <c r="E1620" s="324" t="s">
        <v>7123</v>
      </c>
      <c r="F1620" s="176">
        <v>1996</v>
      </c>
      <c r="G1620" s="176"/>
      <c r="H1620" s="176" t="s">
        <v>461</v>
      </c>
      <c r="I1620" s="176"/>
      <c r="J1620" s="900" t="s">
        <v>2755</v>
      </c>
      <c r="K1620" s="164" t="s">
        <v>7124</v>
      </c>
      <c r="L1620" s="164" t="s">
        <v>461</v>
      </c>
      <c r="M1620" s="164"/>
      <c r="N1620" s="164" t="s">
        <v>333</v>
      </c>
      <c r="O1620" s="164"/>
      <c r="P1620" s="173" t="s">
        <v>3523</v>
      </c>
      <c r="Q1620" s="164" t="s">
        <v>6548</v>
      </c>
      <c r="R1620" s="179" t="s">
        <v>4598</v>
      </c>
      <c r="S1620" s="354" t="s">
        <v>2607</v>
      </c>
      <c r="T1620" s="173"/>
      <c r="U1620" s="173"/>
      <c r="V1620" s="173"/>
      <c r="W1620" s="324" t="s">
        <v>7123</v>
      </c>
      <c r="X1620" s="656" t="s">
        <v>12463</v>
      </c>
      <c r="Y1620" s="354" t="s">
        <v>6868</v>
      </c>
      <c r="Z1620" s="176">
        <v>36</v>
      </c>
      <c r="AA1620" s="176">
        <v>4.5</v>
      </c>
      <c r="AB1620" s="32">
        <f t="shared" ca="1" si="34"/>
        <v>0.76677679168459334</v>
      </c>
      <c r="AC1620" s="812"/>
      <c r="AD1620" s="763"/>
      <c r="AE1620" s="951"/>
      <c r="AF1620" s="921">
        <f>IF(X1620=X1619,AF1619,0)+IF(ISNUMBER(I1620),IF(I1620&lt;1,I1620,I1620*VLOOKUP(J1620,Summary!$H$2:$I$9,2)),VLOOKUP(J1620,Summary!$J$2:$K$9,2)*IF(ISNUMBER(H1620),H1620,1))</f>
        <v>0.38923611111111112</v>
      </c>
      <c r="AG1620" s="288">
        <v>1619</v>
      </c>
      <c r="AH1620" s="119"/>
      <c r="AI1620" s="119"/>
    </row>
    <row r="1621" spans="1:35" s="27" customFormat="1" ht="12" customHeight="1" x14ac:dyDescent="0.25">
      <c r="A1621" s="517" t="s">
        <v>5152</v>
      </c>
      <c r="B1621" s="517">
        <v>5</v>
      </c>
      <c r="C1621" s="518">
        <v>1.05</v>
      </c>
      <c r="D1621" s="192" t="s">
        <v>3850</v>
      </c>
      <c r="E1621" s="317" t="s">
        <v>2701</v>
      </c>
      <c r="F1621" s="191">
        <v>40483</v>
      </c>
      <c r="G1621" s="191"/>
      <c r="H1621" s="192">
        <v>1</v>
      </c>
      <c r="I1621" s="753">
        <f>TIME(0,14,43)</f>
        <v>1.0219907407407408E-2</v>
      </c>
      <c r="J1621" s="903" t="s">
        <v>2755</v>
      </c>
      <c r="K1621" s="194" t="s">
        <v>1987</v>
      </c>
      <c r="L1621" s="194" t="s">
        <v>3426</v>
      </c>
      <c r="M1621" s="194" t="s">
        <v>497</v>
      </c>
      <c r="N1621" s="194"/>
      <c r="O1621" s="194"/>
      <c r="P1621" s="190" t="s">
        <v>5599</v>
      </c>
      <c r="Q1621" s="194" t="s">
        <v>3947</v>
      </c>
      <c r="R1621" s="193" t="s">
        <v>2722</v>
      </c>
      <c r="S1621" s="357" t="s">
        <v>2607</v>
      </c>
      <c r="T1621" s="190"/>
      <c r="U1621" s="190"/>
      <c r="V1621" s="190"/>
      <c r="W1621" s="317" t="s">
        <v>2701</v>
      </c>
      <c r="X1621" s="649" t="s">
        <v>12463</v>
      </c>
      <c r="Y1621" s="357" t="s">
        <v>5643</v>
      </c>
      <c r="Z1621" s="192">
        <v>999</v>
      </c>
      <c r="AA1621" s="192"/>
      <c r="AB1621" s="37">
        <f t="shared" ca="1" si="34"/>
        <v>0.17287014379561672</v>
      </c>
      <c r="AC1621" s="816"/>
      <c r="AD1621" s="817"/>
      <c r="AE1621" s="943"/>
      <c r="AF1621" s="924">
        <f>IF(X1621=X1620,AF1620,0)+IF(ISNUMBER(I1621),IF(I1621&lt;1,I1621,I1621*VLOOKUP(J1621,Summary!$H$2:$I$9,2)),VLOOKUP(J1621,Summary!$J$2:$K$9,2)*IF(ISNUMBER(H1621),H1621,1))</f>
        <v>0.39945601851851853</v>
      </c>
      <c r="AG1621" s="292">
        <v>1620</v>
      </c>
      <c r="AH1621" s="119"/>
      <c r="AI1621" s="119"/>
    </row>
    <row r="1622" spans="1:35" s="1" customFormat="1" ht="12" customHeight="1" x14ac:dyDescent="0.25">
      <c r="A1622" s="512" t="s">
        <v>5152</v>
      </c>
      <c r="B1622" s="512">
        <v>5</v>
      </c>
      <c r="C1622" s="512">
        <v>10</v>
      </c>
      <c r="D1622" s="407" t="s">
        <v>7880</v>
      </c>
      <c r="E1622" s="315" t="s">
        <v>7881</v>
      </c>
      <c r="F1622" s="196">
        <v>36717</v>
      </c>
      <c r="G1622" s="170"/>
      <c r="H1622" s="170">
        <v>4</v>
      </c>
      <c r="I1622" s="746">
        <f>TIME(0,94,12)</f>
        <v>6.5416666666666665E-2</v>
      </c>
      <c r="J1622" s="899" t="s">
        <v>4706</v>
      </c>
      <c r="K1622" s="167" t="s">
        <v>2939</v>
      </c>
      <c r="L1622" s="167" t="s">
        <v>7375</v>
      </c>
      <c r="M1622" s="167"/>
      <c r="N1622" s="167"/>
      <c r="O1622" s="167" t="s">
        <v>2909</v>
      </c>
      <c r="P1622" s="168"/>
      <c r="Q1622" s="167" t="s">
        <v>3947</v>
      </c>
      <c r="R1622" s="172" t="s">
        <v>3146</v>
      </c>
      <c r="S1622" s="388" t="s">
        <v>2607</v>
      </c>
      <c r="T1622" s="168"/>
      <c r="U1622" s="168"/>
      <c r="V1622" s="168"/>
      <c r="W1622" s="312" t="s">
        <v>8729</v>
      </c>
      <c r="X1622" s="644" t="s">
        <v>12463</v>
      </c>
      <c r="Y1622" s="352" t="s">
        <v>5643</v>
      </c>
      <c r="Z1622" s="353">
        <v>491</v>
      </c>
      <c r="AA1622" s="353">
        <v>4</v>
      </c>
      <c r="AB1622" s="31">
        <f t="shared" ca="1" si="34"/>
        <v>0.33160440735586327</v>
      </c>
      <c r="AC1622" s="810"/>
      <c r="AD1622" s="825" t="s">
        <v>14971</v>
      </c>
      <c r="AE1622" s="940"/>
      <c r="AF1622" s="920">
        <f>IF(X1622=X1621,AF1621,0)+IF(ISNUMBER(I1622),IF(I1622&lt;1,I1622,I1622*VLOOKUP(J1622,Summary!$H$2:$I$9,2)),VLOOKUP(J1622,Summary!$J$2:$K$9,2)*IF(ISNUMBER(H1622),H1622,1))</f>
        <v>0.46487268518518521</v>
      </c>
      <c r="AG1622" s="287">
        <v>1621</v>
      </c>
      <c r="AH1622" s="94"/>
      <c r="AI1622" s="94"/>
    </row>
    <row r="1623" spans="1:35" s="27" customFormat="1" ht="12" customHeight="1" x14ac:dyDescent="0.25">
      <c r="A1623" s="512" t="s">
        <v>5152</v>
      </c>
      <c r="B1623" s="512">
        <v>5</v>
      </c>
      <c r="C1623" s="512">
        <v>15</v>
      </c>
      <c r="D1623" s="407" t="s">
        <v>7882</v>
      </c>
      <c r="E1623" s="315" t="s">
        <v>7883</v>
      </c>
      <c r="F1623" s="196">
        <v>36878</v>
      </c>
      <c r="G1623" s="170"/>
      <c r="H1623" s="170">
        <v>4</v>
      </c>
      <c r="I1623" s="746">
        <f>TIME(2,0,59)</f>
        <v>8.4016203703703704E-2</v>
      </c>
      <c r="J1623" s="899" t="s">
        <v>4706</v>
      </c>
      <c r="K1623" s="167" t="s">
        <v>4549</v>
      </c>
      <c r="L1623" s="876" t="s">
        <v>4549</v>
      </c>
      <c r="M1623" s="167"/>
      <c r="N1623" s="167"/>
      <c r="O1623" s="167" t="s">
        <v>2909</v>
      </c>
      <c r="P1623" s="168"/>
      <c r="Q1623" s="167" t="s">
        <v>3947</v>
      </c>
      <c r="R1623" s="172" t="s">
        <v>3146</v>
      </c>
      <c r="S1623" s="388" t="s">
        <v>2607</v>
      </c>
      <c r="T1623" s="168"/>
      <c r="U1623" s="168"/>
      <c r="V1623" s="168"/>
      <c r="W1623" s="312" t="s">
        <v>9586</v>
      </c>
      <c r="X1623" s="644" t="s">
        <v>12463</v>
      </c>
      <c r="Y1623" s="352" t="s">
        <v>5643</v>
      </c>
      <c r="Z1623" s="353">
        <v>375</v>
      </c>
      <c r="AA1623" s="353">
        <v>5</v>
      </c>
      <c r="AB1623" s="31">
        <f t="shared" ca="1" si="34"/>
        <v>0.23077565693768798</v>
      </c>
      <c r="AC1623" s="810"/>
      <c r="AD1623" s="811" t="s">
        <v>16433</v>
      </c>
      <c r="AE1623" s="940" t="s">
        <v>15093</v>
      </c>
      <c r="AF1623" s="920">
        <f>IF(X1623=X1622,AF1622,0)+IF(ISNUMBER(I1623),IF(I1623&lt;1,I1623,I1623*VLOOKUP(J1623,Summary!$H$2:$I$9,2)),VLOOKUP(J1623,Summary!$J$2:$K$9,2)*IF(ISNUMBER(H1623),H1623,1))</f>
        <v>0.54888888888888887</v>
      </c>
      <c r="AG1623" s="287">
        <v>1622</v>
      </c>
      <c r="AH1623" s="119"/>
      <c r="AI1623" s="119"/>
    </row>
    <row r="1624" spans="1:35" s="27" customFormat="1" ht="12" customHeight="1" x14ac:dyDescent="0.25">
      <c r="A1624" s="512" t="s">
        <v>5152</v>
      </c>
      <c r="B1624" s="512">
        <v>5</v>
      </c>
      <c r="C1624" s="512">
        <v>26</v>
      </c>
      <c r="D1624" s="407" t="s">
        <v>7884</v>
      </c>
      <c r="E1624" s="315" t="s">
        <v>7885</v>
      </c>
      <c r="F1624" s="196">
        <v>37221</v>
      </c>
      <c r="G1624" s="170"/>
      <c r="H1624" s="170">
        <v>4</v>
      </c>
      <c r="I1624" s="746">
        <f>TIME(1,47,31)</f>
        <v>7.4664351851851843E-2</v>
      </c>
      <c r="J1624" s="899" t="s">
        <v>4706</v>
      </c>
      <c r="K1624" s="167" t="s">
        <v>2311</v>
      </c>
      <c r="L1624" s="876" t="s">
        <v>7375</v>
      </c>
      <c r="M1624" s="167"/>
      <c r="N1624" s="167"/>
      <c r="O1624" s="167" t="s">
        <v>2909</v>
      </c>
      <c r="P1624" s="168"/>
      <c r="Q1624" s="167" t="s">
        <v>3947</v>
      </c>
      <c r="R1624" s="172" t="s">
        <v>3146</v>
      </c>
      <c r="S1624" s="388" t="s">
        <v>2607</v>
      </c>
      <c r="T1624" s="168"/>
      <c r="U1624" s="168"/>
      <c r="V1624" s="168"/>
      <c r="W1624" s="312" t="s">
        <v>8763</v>
      </c>
      <c r="X1624" s="644" t="s">
        <v>12463</v>
      </c>
      <c r="Y1624" s="352" t="s">
        <v>5643</v>
      </c>
      <c r="Z1624" s="353">
        <v>226</v>
      </c>
      <c r="AA1624" s="353">
        <v>6</v>
      </c>
      <c r="AB1624" s="31">
        <f t="shared" ca="1" si="34"/>
        <v>0.2267379261624658</v>
      </c>
      <c r="AC1624" s="810"/>
      <c r="AD1624" s="825" t="s">
        <v>15049</v>
      </c>
      <c r="AE1624" s="940" t="s">
        <v>12543</v>
      </c>
      <c r="AF1624" s="920">
        <f>IF(X1624=X1623,AF1623,0)+IF(ISNUMBER(I1624),IF(I1624&lt;1,I1624,I1624*VLOOKUP(J1624,Summary!$H$2:$I$9,2)),VLOOKUP(J1624,Summary!$J$2:$K$9,2)*IF(ISNUMBER(H1624),H1624,1))</f>
        <v>0.6235532407407407</v>
      </c>
      <c r="AG1624" s="287">
        <v>1623</v>
      </c>
      <c r="AH1624" s="119"/>
      <c r="AI1624" s="119"/>
    </row>
    <row r="1625" spans="1:35" s="43" customFormat="1" ht="12" customHeight="1" x14ac:dyDescent="0.25">
      <c r="A1625" s="514" t="s">
        <v>5152</v>
      </c>
      <c r="B1625" s="514">
        <v>5</v>
      </c>
      <c r="C1625" s="514">
        <v>1.1100000000000001</v>
      </c>
      <c r="D1625" s="434" t="s">
        <v>7128</v>
      </c>
      <c r="E1625" s="324" t="s">
        <v>7126</v>
      </c>
      <c r="F1625" s="174">
        <v>35855</v>
      </c>
      <c r="G1625" s="175"/>
      <c r="H1625" s="176">
        <v>1</v>
      </c>
      <c r="I1625" s="176">
        <v>28</v>
      </c>
      <c r="J1625" s="900" t="s">
        <v>2755</v>
      </c>
      <c r="K1625" s="157" t="s">
        <v>6236</v>
      </c>
      <c r="L1625" s="157" t="s">
        <v>461</v>
      </c>
      <c r="M1625" s="157"/>
      <c r="N1625" s="164" t="s">
        <v>6237</v>
      </c>
      <c r="O1625" s="157"/>
      <c r="P1625" s="173" t="s">
        <v>5042</v>
      </c>
      <c r="Q1625" s="157" t="s">
        <v>3953</v>
      </c>
      <c r="R1625" s="179" t="s">
        <v>2723</v>
      </c>
      <c r="S1625" s="354" t="s">
        <v>2607</v>
      </c>
      <c r="T1625" s="173"/>
      <c r="U1625" s="173"/>
      <c r="V1625" s="173"/>
      <c r="W1625" s="324" t="s">
        <v>7126</v>
      </c>
      <c r="X1625" s="656" t="s">
        <v>12463</v>
      </c>
      <c r="Y1625" s="354" t="s">
        <v>6868</v>
      </c>
      <c r="Z1625" s="176">
        <v>999</v>
      </c>
      <c r="AA1625" s="364"/>
      <c r="AB1625" s="32">
        <f t="shared" ca="1" si="34"/>
        <v>0.25830802676173936</v>
      </c>
      <c r="AC1625" s="812"/>
      <c r="AD1625" s="763"/>
      <c r="AE1625" s="951"/>
      <c r="AF1625" s="921">
        <f>IF(X1625=X1624,AF1624,0)+IF(ISNUMBER(I1625),IF(I1625&lt;1,I1625,I1625*VLOOKUP(J1625,Summary!$H$2:$I$9,2)),VLOOKUP(J1625,Summary!$J$2:$K$9,2)*IF(ISNUMBER(H1625),H1625,1))</f>
        <v>0.64299768518518519</v>
      </c>
      <c r="AG1625" s="288">
        <v>1624</v>
      </c>
      <c r="AH1625" s="94"/>
      <c r="AI1625" s="94"/>
    </row>
    <row r="1626" spans="1:35" s="3" customFormat="1" ht="12" customHeight="1" x14ac:dyDescent="0.25">
      <c r="A1626" s="514" t="s">
        <v>5152</v>
      </c>
      <c r="B1626" s="514">
        <v>5</v>
      </c>
      <c r="C1626" s="514">
        <v>2.0699999999999998</v>
      </c>
      <c r="D1626" s="434" t="s">
        <v>7129</v>
      </c>
      <c r="E1626" s="324" t="s">
        <v>7127</v>
      </c>
      <c r="F1626" s="174">
        <v>36220</v>
      </c>
      <c r="G1626" s="174"/>
      <c r="H1626" s="176">
        <v>1</v>
      </c>
      <c r="I1626" s="176">
        <v>28</v>
      </c>
      <c r="J1626" s="900" t="s">
        <v>2755</v>
      </c>
      <c r="K1626" s="164" t="s">
        <v>176</v>
      </c>
      <c r="L1626" s="164" t="s">
        <v>461</v>
      </c>
      <c r="M1626" s="164"/>
      <c r="N1626" s="164" t="s">
        <v>6237</v>
      </c>
      <c r="O1626" s="164"/>
      <c r="P1626" s="173" t="s">
        <v>6561</v>
      </c>
      <c r="Q1626" s="164" t="s">
        <v>3953</v>
      </c>
      <c r="R1626" s="179" t="s">
        <v>2723</v>
      </c>
      <c r="S1626" s="354" t="s">
        <v>2607</v>
      </c>
      <c r="T1626" s="173"/>
      <c r="U1626" s="173"/>
      <c r="V1626" s="173"/>
      <c r="W1626" s="324" t="s">
        <v>7127</v>
      </c>
      <c r="X1626" s="656" t="s">
        <v>12463</v>
      </c>
      <c r="Y1626" s="354" t="s">
        <v>6868</v>
      </c>
      <c r="Z1626" s="176">
        <v>999</v>
      </c>
      <c r="AA1626" s="176"/>
      <c r="AB1626" s="32">
        <f t="shared" ca="1" si="34"/>
        <v>0.12224635273708506</v>
      </c>
      <c r="AC1626" s="812"/>
      <c r="AD1626" s="763"/>
      <c r="AE1626" s="951"/>
      <c r="AF1626" s="921">
        <f>IF(X1626=X1625,AF1625,0)+IF(ISNUMBER(I1626),IF(I1626&lt;1,I1626,I1626*VLOOKUP(J1626,Summary!$H$2:$I$9,2)),VLOOKUP(J1626,Summary!$J$2:$K$9,2)*IF(ISNUMBER(H1626),H1626,1))</f>
        <v>0.66244212962962967</v>
      </c>
      <c r="AG1626" s="288">
        <v>1625</v>
      </c>
      <c r="AH1626" s="94"/>
      <c r="AI1626" s="94"/>
    </row>
    <row r="1627" spans="1:35" s="3" customFormat="1" ht="12" customHeight="1" x14ac:dyDescent="0.25">
      <c r="A1627" s="512" t="s">
        <v>5152</v>
      </c>
      <c r="B1627" s="512">
        <v>5</v>
      </c>
      <c r="C1627" s="512">
        <v>34</v>
      </c>
      <c r="D1627" s="407" t="s">
        <v>7886</v>
      </c>
      <c r="E1627" s="315" t="s">
        <v>7887</v>
      </c>
      <c r="F1627" s="196">
        <v>37462</v>
      </c>
      <c r="G1627" s="170"/>
      <c r="H1627" s="170">
        <v>4</v>
      </c>
      <c r="I1627" s="746">
        <f>TIME(2,0,57)</f>
        <v>8.3993055555555543E-2</v>
      </c>
      <c r="J1627" s="899" t="s">
        <v>4706</v>
      </c>
      <c r="K1627" s="167" t="s">
        <v>941</v>
      </c>
      <c r="L1627" s="167" t="s">
        <v>7375</v>
      </c>
      <c r="M1627" s="167"/>
      <c r="N1627" s="167"/>
      <c r="O1627" s="167" t="s">
        <v>2909</v>
      </c>
      <c r="P1627" s="168"/>
      <c r="Q1627" s="167" t="s">
        <v>3947</v>
      </c>
      <c r="R1627" s="172" t="s">
        <v>3146</v>
      </c>
      <c r="S1627" s="388" t="s">
        <v>2607</v>
      </c>
      <c r="T1627" s="168"/>
      <c r="U1627" s="168"/>
      <c r="V1627" s="168"/>
      <c r="W1627" s="312" t="s">
        <v>9587</v>
      </c>
      <c r="X1627" s="644" t="s">
        <v>12463</v>
      </c>
      <c r="Y1627" s="352" t="s">
        <v>5643</v>
      </c>
      <c r="Z1627" s="353">
        <v>7</v>
      </c>
      <c r="AA1627" s="353">
        <v>10</v>
      </c>
      <c r="AB1627" s="31">
        <f t="shared" ca="1" si="34"/>
        <v>2.9733887520822289E-2</v>
      </c>
      <c r="AC1627" s="810"/>
      <c r="AD1627" s="811" t="s">
        <v>15096</v>
      </c>
      <c r="AE1627" s="940" t="s">
        <v>3365</v>
      </c>
      <c r="AF1627" s="920">
        <f>IF(X1627=X1626,AF1626,0)+IF(ISNUMBER(I1627),IF(I1627&lt;1,I1627,I1627*VLOOKUP(J1627,Summary!$H$2:$I$9,2)),VLOOKUP(J1627,Summary!$J$2:$K$9,2)*IF(ISNUMBER(H1627),H1627,1))</f>
        <v>0.74643518518518526</v>
      </c>
      <c r="AG1627" s="287">
        <v>1626</v>
      </c>
      <c r="AH1627" s="94"/>
      <c r="AI1627" s="94"/>
    </row>
    <row r="1628" spans="1:35" s="3" customFormat="1" ht="12" customHeight="1" x14ac:dyDescent="0.25">
      <c r="A1628" s="514" t="s">
        <v>5152</v>
      </c>
      <c r="B1628" s="514">
        <v>5</v>
      </c>
      <c r="C1628" s="514">
        <v>7.06</v>
      </c>
      <c r="D1628" s="434" t="s">
        <v>7131</v>
      </c>
      <c r="E1628" s="324" t="s">
        <v>7130</v>
      </c>
      <c r="F1628" s="174">
        <v>37865</v>
      </c>
      <c r="G1628" s="174"/>
      <c r="H1628" s="176">
        <v>1</v>
      </c>
      <c r="I1628" s="176">
        <v>31</v>
      </c>
      <c r="J1628" s="900" t="s">
        <v>2755</v>
      </c>
      <c r="K1628" s="164" t="s">
        <v>3424</v>
      </c>
      <c r="L1628" s="164" t="s">
        <v>461</v>
      </c>
      <c r="M1628" s="164"/>
      <c r="N1628" s="164" t="s">
        <v>4552</v>
      </c>
      <c r="O1628" s="164"/>
      <c r="P1628" s="173" t="s">
        <v>6281</v>
      </c>
      <c r="Q1628" s="164" t="s">
        <v>3947</v>
      </c>
      <c r="R1628" s="179" t="s">
        <v>2723</v>
      </c>
      <c r="S1628" s="354" t="s">
        <v>2607</v>
      </c>
      <c r="T1628" s="173"/>
      <c r="U1628" s="173"/>
      <c r="V1628" s="173"/>
      <c r="W1628" s="324" t="s">
        <v>7130</v>
      </c>
      <c r="X1628" s="656" t="s">
        <v>12463</v>
      </c>
      <c r="Y1628" s="354"/>
      <c r="Z1628" s="176"/>
      <c r="AA1628" s="176"/>
      <c r="AB1628" s="32">
        <f t="shared" ca="1" si="34"/>
        <v>0.7634435909970736</v>
      </c>
      <c r="AC1628" s="812"/>
      <c r="AD1628" s="763"/>
      <c r="AE1628" s="951"/>
      <c r="AF1628" s="921">
        <f>IF(X1628=X1627,AF1627,0)+IF(ISNUMBER(I1628),IF(I1628&lt;1,I1628,I1628*VLOOKUP(J1628,Summary!$H$2:$I$9,2)),VLOOKUP(J1628,Summary!$J$2:$K$9,2)*IF(ISNUMBER(H1628),H1628,1))</f>
        <v>0.76796296296296307</v>
      </c>
      <c r="AG1628" s="288">
        <v>1627</v>
      </c>
      <c r="AH1628" s="94"/>
      <c r="AI1628" s="94"/>
    </row>
    <row r="1629" spans="1:35" s="43" customFormat="1" ht="12" customHeight="1" x14ac:dyDescent="0.25">
      <c r="A1629" s="512" t="s">
        <v>5152</v>
      </c>
      <c r="B1629" s="512">
        <v>5</v>
      </c>
      <c r="C1629" s="512">
        <v>44</v>
      </c>
      <c r="D1629" s="407" t="s">
        <v>7888</v>
      </c>
      <c r="E1629" s="315" t="s">
        <v>7889</v>
      </c>
      <c r="F1629" s="169">
        <v>37742</v>
      </c>
      <c r="G1629" s="170"/>
      <c r="H1629" s="170">
        <v>4</v>
      </c>
      <c r="I1629" s="746">
        <f>TIME(1,49,35)</f>
        <v>7.6099537037037035E-2</v>
      </c>
      <c r="J1629" s="899" t="s">
        <v>4706</v>
      </c>
      <c r="K1629" s="167" t="s">
        <v>4549</v>
      </c>
      <c r="L1629" s="167" t="s">
        <v>4549</v>
      </c>
      <c r="M1629" s="167"/>
      <c r="N1629" s="167"/>
      <c r="O1629" s="167" t="s">
        <v>2909</v>
      </c>
      <c r="P1629" s="168"/>
      <c r="Q1629" s="167" t="s">
        <v>3947</v>
      </c>
      <c r="R1629" s="172" t="s">
        <v>3146</v>
      </c>
      <c r="S1629" s="388" t="s">
        <v>2607</v>
      </c>
      <c r="T1629" s="168"/>
      <c r="U1629" s="168"/>
      <c r="V1629" s="168"/>
      <c r="W1629" s="312" t="s">
        <v>9176</v>
      </c>
      <c r="X1629" s="644" t="s">
        <v>12463</v>
      </c>
      <c r="Y1629" s="352" t="s">
        <v>5398</v>
      </c>
      <c r="Z1629" s="353">
        <v>69</v>
      </c>
      <c r="AA1629" s="353">
        <v>8</v>
      </c>
      <c r="AB1629" s="31">
        <f t="shared" ca="1" si="34"/>
        <v>0.77034088690900393</v>
      </c>
      <c r="AC1629" s="810"/>
      <c r="AD1629" s="811"/>
      <c r="AE1629" s="940"/>
      <c r="AF1629" s="920">
        <f>IF(X1629=X1628,AF1628,0)+IF(ISNUMBER(I1629),IF(I1629&lt;1,I1629,I1629*VLOOKUP(J1629,Summary!$H$2:$I$9,2)),VLOOKUP(J1629,Summary!$J$2:$K$9,2)*IF(ISNUMBER(H1629),H1629,1))</f>
        <v>0.84406250000000016</v>
      </c>
      <c r="AG1629" s="287">
        <v>1628</v>
      </c>
      <c r="AH1629" s="94"/>
      <c r="AI1629" s="94"/>
    </row>
    <row r="1630" spans="1:35" s="1" customFormat="1" ht="12" customHeight="1" x14ac:dyDescent="0.25">
      <c r="A1630" s="514" t="s">
        <v>5152</v>
      </c>
      <c r="B1630" s="514">
        <v>5</v>
      </c>
      <c r="C1630" s="514">
        <v>12.09</v>
      </c>
      <c r="D1630" s="434" t="s">
        <v>7135</v>
      </c>
      <c r="E1630" s="324" t="s">
        <v>7134</v>
      </c>
      <c r="F1630" s="174">
        <v>38261</v>
      </c>
      <c r="G1630" s="174"/>
      <c r="H1630" s="176">
        <v>1</v>
      </c>
      <c r="I1630" s="176">
        <v>30</v>
      </c>
      <c r="J1630" s="900" t="s">
        <v>2755</v>
      </c>
      <c r="K1630" s="164" t="s">
        <v>3430</v>
      </c>
      <c r="L1630" s="164" t="s">
        <v>461</v>
      </c>
      <c r="M1630" s="164"/>
      <c r="N1630" s="164" t="s">
        <v>7381</v>
      </c>
      <c r="O1630" s="164"/>
      <c r="P1630" s="173" t="s">
        <v>2756</v>
      </c>
      <c r="Q1630" s="164" t="s">
        <v>3947</v>
      </c>
      <c r="R1630" s="179" t="s">
        <v>2723</v>
      </c>
      <c r="S1630" s="354" t="s">
        <v>2607</v>
      </c>
      <c r="T1630" s="173"/>
      <c r="U1630" s="173"/>
      <c r="V1630" s="173"/>
      <c r="W1630" s="324" t="s">
        <v>7134</v>
      </c>
      <c r="X1630" s="656" t="s">
        <v>12463</v>
      </c>
      <c r="Y1630" s="354"/>
      <c r="Z1630" s="176"/>
      <c r="AA1630" s="176"/>
      <c r="AB1630" s="32">
        <f t="shared" ca="1" si="34"/>
        <v>0.77282782348266188</v>
      </c>
      <c r="AC1630" s="812"/>
      <c r="AD1630" s="763"/>
      <c r="AE1630" s="951"/>
      <c r="AF1630" s="921">
        <f>IF(X1630=X1629,AF1629,0)+IF(ISNUMBER(I1630),IF(I1630&lt;1,I1630,I1630*VLOOKUP(J1630,Summary!$H$2:$I$9,2)),VLOOKUP(J1630,Summary!$J$2:$K$9,2)*IF(ISNUMBER(H1630),H1630,1))</f>
        <v>0.86489583333333353</v>
      </c>
      <c r="AG1630" s="288">
        <v>1629</v>
      </c>
      <c r="AH1630" s="94"/>
      <c r="AI1630" s="94"/>
    </row>
    <row r="1631" spans="1:35" s="22" customFormat="1" ht="12" customHeight="1" x14ac:dyDescent="0.2">
      <c r="A1631" s="512" t="s">
        <v>5152</v>
      </c>
      <c r="B1631" s="512">
        <v>5</v>
      </c>
      <c r="C1631" s="512">
        <v>66</v>
      </c>
      <c r="D1631" s="407" t="s">
        <v>7890</v>
      </c>
      <c r="E1631" s="315" t="s">
        <v>7891</v>
      </c>
      <c r="F1631" s="169">
        <v>38384</v>
      </c>
      <c r="G1631" s="170"/>
      <c r="H1631" s="170">
        <v>6</v>
      </c>
      <c r="I1631" s="746">
        <f>TIME(1,59,13)</f>
        <v>8.2789351851851864E-2</v>
      </c>
      <c r="J1631" s="899" t="s">
        <v>4706</v>
      </c>
      <c r="K1631" s="167" t="s">
        <v>3285</v>
      </c>
      <c r="L1631" s="167" t="s">
        <v>7375</v>
      </c>
      <c r="M1631" s="167"/>
      <c r="N1631" s="167"/>
      <c r="O1631" s="167" t="s">
        <v>2909</v>
      </c>
      <c r="P1631" s="168"/>
      <c r="Q1631" s="167" t="s">
        <v>3947</v>
      </c>
      <c r="R1631" s="172" t="s">
        <v>3146</v>
      </c>
      <c r="S1631" s="388" t="s">
        <v>2607</v>
      </c>
      <c r="T1631" s="168"/>
      <c r="U1631" s="168"/>
      <c r="V1631" s="168"/>
      <c r="W1631" s="312" t="s">
        <v>9318</v>
      </c>
      <c r="X1631" s="644" t="s">
        <v>12463</v>
      </c>
      <c r="Y1631" s="352" t="s">
        <v>5398</v>
      </c>
      <c r="Z1631" s="353">
        <v>498</v>
      </c>
      <c r="AA1631" s="353">
        <v>4</v>
      </c>
      <c r="AB1631" s="31">
        <f t="shared" ca="1" si="34"/>
        <v>0.12702191077053904</v>
      </c>
      <c r="AC1631" s="810"/>
      <c r="AD1631" s="811" t="s">
        <v>16201</v>
      </c>
      <c r="AE1631" s="940" t="s">
        <v>12543</v>
      </c>
      <c r="AF1631" s="920">
        <f>IF(X1631=X1630,AF1630,0)+IF(ISNUMBER(I1631),IF(I1631&lt;1,I1631,I1631*VLOOKUP(J1631,Summary!$H$2:$I$9,2)),VLOOKUP(J1631,Summary!$J$2:$K$9,2)*IF(ISNUMBER(H1631),H1631,1))</f>
        <v>0.94768518518518541</v>
      </c>
      <c r="AG1631" s="287">
        <v>1630</v>
      </c>
      <c r="AH1631" s="94"/>
      <c r="AI1631" s="94"/>
    </row>
    <row r="1632" spans="1:35" s="29" customFormat="1" ht="12" customHeight="1" x14ac:dyDescent="0.25">
      <c r="A1632" s="514" t="s">
        <v>5152</v>
      </c>
      <c r="B1632" s="514">
        <v>5</v>
      </c>
      <c r="C1632" s="514">
        <v>15.05</v>
      </c>
      <c r="D1632" s="434" t="s">
        <v>7137</v>
      </c>
      <c r="E1632" s="324" t="s">
        <v>7136</v>
      </c>
      <c r="F1632" s="174">
        <v>38412</v>
      </c>
      <c r="G1632" s="174"/>
      <c r="H1632" s="176">
        <v>1</v>
      </c>
      <c r="I1632" s="176">
        <v>26</v>
      </c>
      <c r="J1632" s="900" t="s">
        <v>2755</v>
      </c>
      <c r="K1632" s="164" t="s">
        <v>4996</v>
      </c>
      <c r="L1632" s="164" t="s">
        <v>461</v>
      </c>
      <c r="M1632" s="164"/>
      <c r="N1632" s="164" t="s">
        <v>6997</v>
      </c>
      <c r="O1632" s="164"/>
      <c r="P1632" s="173" t="s">
        <v>6998</v>
      </c>
      <c r="Q1632" s="164" t="s">
        <v>3947</v>
      </c>
      <c r="R1632" s="179" t="s">
        <v>2723</v>
      </c>
      <c r="S1632" s="354" t="s">
        <v>2607</v>
      </c>
      <c r="T1632" s="173"/>
      <c r="U1632" s="173"/>
      <c r="V1632" s="173"/>
      <c r="W1632" s="324" t="s">
        <v>7136</v>
      </c>
      <c r="X1632" s="656" t="s">
        <v>12463</v>
      </c>
      <c r="Y1632" s="354"/>
      <c r="Z1632" s="176"/>
      <c r="AA1632" s="176"/>
      <c r="AB1632" s="32">
        <f t="shared" ca="1" si="34"/>
        <v>0.1124351611049228</v>
      </c>
      <c r="AC1632" s="812"/>
      <c r="AD1632" s="763"/>
      <c r="AE1632" s="951"/>
      <c r="AF1632" s="921">
        <f>IF(X1632=X1631,AF1631,0)+IF(ISNUMBER(I1632),IF(I1632&lt;1,I1632,I1632*VLOOKUP(J1632,Summary!$H$2:$I$9,2)),VLOOKUP(J1632,Summary!$J$2:$K$9,2)*IF(ISNUMBER(H1632),H1632,1))</f>
        <v>0.96574074074074101</v>
      </c>
      <c r="AG1632" s="288">
        <v>1631</v>
      </c>
      <c r="AH1632" s="94"/>
      <c r="AI1632" s="94"/>
    </row>
    <row r="1633" spans="1:35" s="43" customFormat="1" ht="12" customHeight="1" x14ac:dyDescent="0.25">
      <c r="A1633" s="514" t="s">
        <v>5152</v>
      </c>
      <c r="B1633" s="514">
        <v>5</v>
      </c>
      <c r="C1633" s="514">
        <v>17.059999999999999</v>
      </c>
      <c r="D1633" s="434" t="s">
        <v>7138</v>
      </c>
      <c r="E1633" s="324" t="s">
        <v>7132</v>
      </c>
      <c r="F1633" s="174">
        <v>38596</v>
      </c>
      <c r="G1633" s="174"/>
      <c r="H1633" s="176">
        <v>1</v>
      </c>
      <c r="I1633" s="176">
        <v>18</v>
      </c>
      <c r="J1633" s="900" t="s">
        <v>2755</v>
      </c>
      <c r="K1633" s="164" t="s">
        <v>6342</v>
      </c>
      <c r="L1633" s="164" t="s">
        <v>461</v>
      </c>
      <c r="M1633" s="164"/>
      <c r="N1633" s="164" t="s">
        <v>7375</v>
      </c>
      <c r="O1633" s="164"/>
      <c r="P1633" s="173" t="s">
        <v>2568</v>
      </c>
      <c r="Q1633" s="164" t="s">
        <v>3947</v>
      </c>
      <c r="R1633" s="179" t="s">
        <v>2723</v>
      </c>
      <c r="S1633" s="354" t="s">
        <v>2607</v>
      </c>
      <c r="T1633" s="173"/>
      <c r="U1633" s="173"/>
      <c r="V1633" s="173"/>
      <c r="W1633" s="324" t="s">
        <v>7132</v>
      </c>
      <c r="X1633" s="656" t="s">
        <v>12463</v>
      </c>
      <c r="Y1633" s="354"/>
      <c r="Z1633" s="176"/>
      <c r="AA1633" s="176"/>
      <c r="AB1633" s="32">
        <f t="shared" ca="1" si="34"/>
        <v>0.79912316660959848</v>
      </c>
      <c r="AC1633" s="812"/>
      <c r="AD1633" s="763"/>
      <c r="AE1633" s="951"/>
      <c r="AF1633" s="921">
        <f>IF(X1633=X1632,AF1632,0)+IF(ISNUMBER(I1633),IF(I1633&lt;1,I1633,I1633*VLOOKUP(J1633,Summary!$H$2:$I$9,2)),VLOOKUP(J1633,Summary!$J$2:$K$9,2)*IF(ISNUMBER(H1633),H1633,1))</f>
        <v>0.97824074074074097</v>
      </c>
      <c r="AG1633" s="288">
        <v>1632</v>
      </c>
      <c r="AH1633" s="94"/>
      <c r="AI1633" s="94"/>
    </row>
    <row r="1634" spans="1:35" s="43" customFormat="1" ht="12" customHeight="1" x14ac:dyDescent="0.25">
      <c r="A1634" s="514" t="s">
        <v>5152</v>
      </c>
      <c r="B1634" s="514">
        <v>5</v>
      </c>
      <c r="C1634" s="514">
        <v>18.09</v>
      </c>
      <c r="D1634" s="434" t="s">
        <v>7140</v>
      </c>
      <c r="E1634" s="324" t="s">
        <v>7133</v>
      </c>
      <c r="F1634" s="174">
        <v>38687</v>
      </c>
      <c r="G1634" s="174"/>
      <c r="H1634" s="176">
        <v>1</v>
      </c>
      <c r="I1634" s="176">
        <v>8</v>
      </c>
      <c r="J1634" s="900" t="s">
        <v>2755</v>
      </c>
      <c r="K1634" s="164" t="s">
        <v>7139</v>
      </c>
      <c r="L1634" s="164" t="s">
        <v>461</v>
      </c>
      <c r="M1634" s="164"/>
      <c r="N1634" s="164" t="s">
        <v>5664</v>
      </c>
      <c r="O1634" s="164"/>
      <c r="P1634" s="173" t="s">
        <v>5000</v>
      </c>
      <c r="Q1634" s="164" t="s">
        <v>3947</v>
      </c>
      <c r="R1634" s="179" t="s">
        <v>2723</v>
      </c>
      <c r="S1634" s="354" t="s">
        <v>2607</v>
      </c>
      <c r="T1634" s="173"/>
      <c r="U1634" s="173"/>
      <c r="V1634" s="173"/>
      <c r="W1634" s="324" t="s">
        <v>7133</v>
      </c>
      <c r="X1634" s="656" t="s">
        <v>12463</v>
      </c>
      <c r="Y1634" s="354"/>
      <c r="Z1634" s="176"/>
      <c r="AA1634" s="176"/>
      <c r="AB1634" s="32">
        <f t="shared" ca="1" si="34"/>
        <v>0.50505060745240726</v>
      </c>
      <c r="AC1634" s="812"/>
      <c r="AD1634" s="763"/>
      <c r="AE1634" s="951"/>
      <c r="AF1634" s="921">
        <f>IF(X1634=X1633,AF1633,0)+IF(ISNUMBER(I1634),IF(I1634&lt;1,I1634,I1634*VLOOKUP(J1634,Summary!$H$2:$I$9,2)),VLOOKUP(J1634,Summary!$J$2:$K$9,2)*IF(ISNUMBER(H1634),H1634,1))</f>
        <v>0.9837962962962965</v>
      </c>
      <c r="AG1634" s="288">
        <v>1633</v>
      </c>
      <c r="AH1634" s="94"/>
      <c r="AI1634" s="94"/>
    </row>
    <row r="1635" spans="1:35" s="43" customFormat="1" ht="12" customHeight="1" x14ac:dyDescent="0.25">
      <c r="A1635" s="512" t="s">
        <v>5152</v>
      </c>
      <c r="B1635" s="512">
        <v>5</v>
      </c>
      <c r="C1635" s="512">
        <v>91.2</v>
      </c>
      <c r="D1635" s="407" t="s">
        <v>4531</v>
      </c>
      <c r="E1635" s="315" t="s">
        <v>2646</v>
      </c>
      <c r="F1635" s="169">
        <v>39083</v>
      </c>
      <c r="G1635" s="170"/>
      <c r="H1635" s="170">
        <v>1</v>
      </c>
      <c r="I1635" s="746">
        <f>TIME(0,28,49)</f>
        <v>2.0011574074074074E-2</v>
      </c>
      <c r="J1635" s="899" t="s">
        <v>4706</v>
      </c>
      <c r="K1635" s="167" t="s">
        <v>3286</v>
      </c>
      <c r="L1635" s="167" t="s">
        <v>6231</v>
      </c>
      <c r="M1635" s="167"/>
      <c r="N1635" s="163" t="s">
        <v>4061</v>
      </c>
      <c r="O1635" s="167"/>
      <c r="P1635" s="168"/>
      <c r="Q1635" s="167" t="s">
        <v>3947</v>
      </c>
      <c r="R1635" s="172" t="s">
        <v>3146</v>
      </c>
      <c r="S1635" s="388" t="s">
        <v>2607</v>
      </c>
      <c r="T1635" s="168"/>
      <c r="U1635" s="168"/>
      <c r="V1635" s="168"/>
      <c r="W1635" s="312" t="s">
        <v>9322</v>
      </c>
      <c r="X1635" s="644" t="s">
        <v>12463</v>
      </c>
      <c r="Y1635" s="352" t="s">
        <v>5398</v>
      </c>
      <c r="Z1635" s="353">
        <v>227</v>
      </c>
      <c r="AA1635" s="353">
        <v>6</v>
      </c>
      <c r="AB1635" s="31">
        <f t="shared" ca="1" si="34"/>
        <v>0.67095279354883797</v>
      </c>
      <c r="AC1635" s="810"/>
      <c r="AD1635" s="811" t="s">
        <v>16551</v>
      </c>
      <c r="AE1635" s="940"/>
      <c r="AF1635" s="920">
        <f>IF(X1635=X1634,AF1634,0)+IF(ISNUMBER(I1635),IF(I1635&lt;1,I1635,I1635*VLOOKUP(J1635,Summary!$H$2:$I$9,2)),VLOOKUP(J1635,Summary!$J$2:$K$9,2)*IF(ISNUMBER(H1635),H1635,1))</f>
        <v>1.0038078703703706</v>
      </c>
      <c r="AG1635" s="287">
        <v>1634</v>
      </c>
      <c r="AH1635" s="94"/>
      <c r="AI1635" s="94"/>
    </row>
    <row r="1636" spans="1:35" s="22" customFormat="1" ht="12" customHeight="1" x14ac:dyDescent="0.2">
      <c r="A1636" s="516" t="s">
        <v>5152</v>
      </c>
      <c r="B1636" s="516">
        <v>5</v>
      </c>
      <c r="C1636" s="516">
        <v>18</v>
      </c>
      <c r="D1636" s="428" t="s">
        <v>7149</v>
      </c>
      <c r="E1636" s="325" t="s">
        <v>7160</v>
      </c>
      <c r="F1636" s="183">
        <v>29983</v>
      </c>
      <c r="G1636" s="183">
        <v>30164</v>
      </c>
      <c r="H1636" s="185">
        <v>7</v>
      </c>
      <c r="I1636" s="185">
        <v>56</v>
      </c>
      <c r="J1636" s="901" t="s">
        <v>1796</v>
      </c>
      <c r="K1636" s="163" t="s">
        <v>6052</v>
      </c>
      <c r="L1636" s="163" t="s">
        <v>6025</v>
      </c>
      <c r="M1636" s="163"/>
      <c r="N1636" s="163" t="s">
        <v>4061</v>
      </c>
      <c r="O1636" s="163"/>
      <c r="P1636" s="182" t="s">
        <v>461</v>
      </c>
      <c r="Q1636" s="163" t="s">
        <v>4062</v>
      </c>
      <c r="R1636" s="207" t="s">
        <v>5266</v>
      </c>
      <c r="S1636" s="355"/>
      <c r="T1636" s="182" t="s">
        <v>3625</v>
      </c>
      <c r="U1636" s="182" t="s">
        <v>3959</v>
      </c>
      <c r="V1636" s="182"/>
      <c r="W1636" s="321"/>
      <c r="X1636" s="653" t="s">
        <v>12463</v>
      </c>
      <c r="Y1636" s="355"/>
      <c r="Z1636" s="185"/>
      <c r="AA1636" s="185"/>
      <c r="AB1636" s="33">
        <f t="shared" ca="1" si="34"/>
        <v>0.52157732922140754</v>
      </c>
      <c r="AC1636" s="813"/>
      <c r="AD1636" s="211" t="s">
        <v>16014</v>
      </c>
      <c r="AE1636" s="949" t="s">
        <v>15840</v>
      </c>
      <c r="AF1636" s="922">
        <f>IF(X1636=X1635,AF1635,0)+IF(ISNUMBER(I1636),IF(I1636&lt;1,I1636,I1636*VLOOKUP(J1636,Summary!$H$2:$I$9,2)),VLOOKUP(J1636,Summary!$J$2:$K$9,2)*IF(ISNUMBER(H1636),H1636,1))</f>
        <v>1.0232523148148149</v>
      </c>
      <c r="AG1636" s="295">
        <v>1635</v>
      </c>
      <c r="AH1636" s="94"/>
      <c r="AI1636" s="94"/>
    </row>
    <row r="1637" spans="1:35" s="1" customFormat="1" ht="12" customHeight="1" x14ac:dyDescent="0.25">
      <c r="A1637" s="516" t="s">
        <v>5152</v>
      </c>
      <c r="B1637" s="516">
        <v>5</v>
      </c>
      <c r="C1637" s="516">
        <v>19</v>
      </c>
      <c r="D1637" s="428" t="s">
        <v>7150</v>
      </c>
      <c r="E1637" s="325" t="s">
        <v>7159</v>
      </c>
      <c r="F1637" s="183">
        <v>30195</v>
      </c>
      <c r="G1637" s="183">
        <v>30225</v>
      </c>
      <c r="H1637" s="185">
        <v>2</v>
      </c>
      <c r="I1637" s="185">
        <v>16</v>
      </c>
      <c r="J1637" s="901" t="s">
        <v>1796</v>
      </c>
      <c r="K1637" s="163" t="s">
        <v>6052</v>
      </c>
      <c r="L1637" s="163" t="s">
        <v>6025</v>
      </c>
      <c r="M1637" s="163"/>
      <c r="N1637" s="163" t="s">
        <v>4061</v>
      </c>
      <c r="O1637" s="163"/>
      <c r="P1637" s="182" t="s">
        <v>461</v>
      </c>
      <c r="Q1637" s="163" t="s">
        <v>4062</v>
      </c>
      <c r="R1637" s="207" t="s">
        <v>5266</v>
      </c>
      <c r="S1637" s="355"/>
      <c r="T1637" s="182"/>
      <c r="U1637" s="182"/>
      <c r="V1637" s="182"/>
      <c r="W1637" s="321"/>
      <c r="X1637" s="653" t="s">
        <v>12463</v>
      </c>
      <c r="Y1637" s="355"/>
      <c r="Z1637" s="185"/>
      <c r="AA1637" s="185"/>
      <c r="AB1637" s="33">
        <f t="shared" ca="1" si="34"/>
        <v>0.76255257861584536</v>
      </c>
      <c r="AC1637" s="813"/>
      <c r="AD1637" s="211" t="s">
        <v>16014</v>
      </c>
      <c r="AE1637" s="949" t="s">
        <v>12543</v>
      </c>
      <c r="AF1637" s="922">
        <f>IF(X1637=X1636,AF1636,0)+IF(ISNUMBER(I1637),IF(I1637&lt;1,I1637,I1637*VLOOKUP(J1637,Summary!$H$2:$I$9,2)),VLOOKUP(J1637,Summary!$J$2:$K$9,2)*IF(ISNUMBER(H1637),H1637,1))</f>
        <v>1.0288078703703705</v>
      </c>
      <c r="AG1637" s="295">
        <v>1636</v>
      </c>
      <c r="AH1637" s="94"/>
      <c r="AI1637" s="94"/>
    </row>
    <row r="1638" spans="1:35" s="43" customFormat="1" ht="12" customHeight="1" x14ac:dyDescent="0.25">
      <c r="A1638" s="516" t="s">
        <v>5152</v>
      </c>
      <c r="B1638" s="516">
        <v>5</v>
      </c>
      <c r="C1638" s="516">
        <v>20</v>
      </c>
      <c r="D1638" s="428" t="s">
        <v>7151</v>
      </c>
      <c r="E1638" s="325" t="s">
        <v>7158</v>
      </c>
      <c r="F1638" s="183">
        <v>30256</v>
      </c>
      <c r="G1638" s="183">
        <v>30407</v>
      </c>
      <c r="H1638" s="185">
        <v>6</v>
      </c>
      <c r="I1638" s="185">
        <v>48</v>
      </c>
      <c r="J1638" s="901" t="s">
        <v>1796</v>
      </c>
      <c r="K1638" s="163" t="s">
        <v>6052</v>
      </c>
      <c r="L1638" s="163" t="s">
        <v>2432</v>
      </c>
      <c r="M1638" s="163"/>
      <c r="N1638" s="163" t="s">
        <v>4061</v>
      </c>
      <c r="O1638" s="163"/>
      <c r="P1638" s="182" t="s">
        <v>461</v>
      </c>
      <c r="Q1638" s="163" t="s">
        <v>4062</v>
      </c>
      <c r="R1638" s="207" t="s">
        <v>5266</v>
      </c>
      <c r="S1638" s="355"/>
      <c r="T1638" s="182"/>
      <c r="U1638" s="182" t="s">
        <v>3959</v>
      </c>
      <c r="V1638" s="182"/>
      <c r="W1638" s="321"/>
      <c r="X1638" s="653" t="s">
        <v>12463</v>
      </c>
      <c r="Y1638" s="355"/>
      <c r="Z1638" s="185"/>
      <c r="AA1638" s="185"/>
      <c r="AB1638" s="33">
        <f t="shared" ca="1" si="34"/>
        <v>0.27052950085927674</v>
      </c>
      <c r="AC1638" s="813"/>
      <c r="AD1638" s="211" t="s">
        <v>16014</v>
      </c>
      <c r="AE1638" s="949" t="s">
        <v>12543</v>
      </c>
      <c r="AF1638" s="922">
        <f>IF(X1638=X1637,AF1637,0)+IF(ISNUMBER(I1638),IF(I1638&lt;1,I1638,I1638*VLOOKUP(J1638,Summary!$H$2:$I$9,2)),VLOOKUP(J1638,Summary!$J$2:$K$9,2)*IF(ISNUMBER(H1638),H1638,1))</f>
        <v>1.0454745370370371</v>
      </c>
      <c r="AG1638" s="295">
        <v>1637</v>
      </c>
      <c r="AH1638" s="94"/>
      <c r="AI1638" s="94"/>
    </row>
    <row r="1639" spans="1:35" s="43" customFormat="1" ht="12" customHeight="1" x14ac:dyDescent="0.25">
      <c r="A1639" s="512" t="s">
        <v>5152</v>
      </c>
      <c r="B1639" s="512">
        <v>5</v>
      </c>
      <c r="C1639" s="512">
        <v>93</v>
      </c>
      <c r="D1639" s="407" t="s">
        <v>7892</v>
      </c>
      <c r="E1639" s="315" t="s">
        <v>7893</v>
      </c>
      <c r="F1639" s="169">
        <v>39142</v>
      </c>
      <c r="G1639" s="170"/>
      <c r="H1639" s="170">
        <v>4</v>
      </c>
      <c r="I1639" s="746">
        <f>TIME(0,50,49)</f>
        <v>3.5289351851851856E-2</v>
      </c>
      <c r="J1639" s="899" t="s">
        <v>4706</v>
      </c>
      <c r="K1639" s="167" t="s">
        <v>6963</v>
      </c>
      <c r="L1639" s="167" t="s">
        <v>6231</v>
      </c>
      <c r="M1639" s="167"/>
      <c r="N1639" s="167"/>
      <c r="O1639" s="167"/>
      <c r="P1639" s="168"/>
      <c r="Q1639" s="167" t="s">
        <v>3947</v>
      </c>
      <c r="R1639" s="172" t="s">
        <v>3146</v>
      </c>
      <c r="S1639" s="388" t="s">
        <v>2607</v>
      </c>
      <c r="T1639" s="168"/>
      <c r="U1639" s="168"/>
      <c r="V1639" s="168"/>
      <c r="W1639" s="312" t="s">
        <v>9348</v>
      </c>
      <c r="X1639" s="644" t="s">
        <v>12463</v>
      </c>
      <c r="Y1639" s="352" t="s">
        <v>5643</v>
      </c>
      <c r="Z1639" s="353">
        <v>518</v>
      </c>
      <c r="AA1639" s="353">
        <v>4</v>
      </c>
      <c r="AB1639" s="31">
        <f t="shared" ca="1" si="34"/>
        <v>0.23382860903791058</v>
      </c>
      <c r="AC1639" s="810"/>
      <c r="AD1639" s="825" t="s">
        <v>16599</v>
      </c>
      <c r="AE1639" s="940" t="s">
        <v>16600</v>
      </c>
      <c r="AF1639" s="920">
        <f>IF(X1639=X1638,AF1638,0)+IF(ISNUMBER(I1639),IF(I1639&lt;1,I1639,I1639*VLOOKUP(J1639,Summary!$H$2:$I$9,2)),VLOOKUP(J1639,Summary!$J$2:$K$9,2)*IF(ISNUMBER(H1639),H1639,1))</f>
        <v>1.0807638888888889</v>
      </c>
      <c r="AG1639" s="287">
        <v>1638</v>
      </c>
      <c r="AH1639" s="94"/>
      <c r="AI1639" s="94"/>
    </row>
    <row r="1640" spans="1:35" s="3" customFormat="1" ht="12" customHeight="1" x14ac:dyDescent="0.25">
      <c r="A1640" s="512" t="s">
        <v>5152</v>
      </c>
      <c r="B1640" s="512">
        <v>5</v>
      </c>
      <c r="C1640" s="512">
        <v>91.3</v>
      </c>
      <c r="D1640" s="407" t="s">
        <v>4532</v>
      </c>
      <c r="E1640" s="315" t="s">
        <v>2647</v>
      </c>
      <c r="F1640" s="169">
        <v>39083</v>
      </c>
      <c r="G1640" s="170"/>
      <c r="H1640" s="170">
        <v>1</v>
      </c>
      <c r="I1640" s="746">
        <f>TIME(0,30,37)</f>
        <v>2.1261574074074075E-2</v>
      </c>
      <c r="J1640" s="899" t="s">
        <v>4706</v>
      </c>
      <c r="K1640" s="167" t="s">
        <v>3286</v>
      </c>
      <c r="L1640" s="167" t="s">
        <v>6231</v>
      </c>
      <c r="M1640" s="167"/>
      <c r="N1640" s="167"/>
      <c r="O1640" s="167"/>
      <c r="P1640" s="168"/>
      <c r="Q1640" s="167" t="s">
        <v>3947</v>
      </c>
      <c r="R1640" s="172" t="s">
        <v>3146</v>
      </c>
      <c r="S1640" s="388" t="s">
        <v>2607</v>
      </c>
      <c r="T1640" s="168"/>
      <c r="U1640" s="168"/>
      <c r="V1640" s="168"/>
      <c r="W1640" s="312" t="s">
        <v>9323</v>
      </c>
      <c r="X1640" s="644" t="s">
        <v>12463</v>
      </c>
      <c r="Y1640" s="352" t="s">
        <v>5398</v>
      </c>
      <c r="Z1640" s="353">
        <v>49</v>
      </c>
      <c r="AA1640" s="353">
        <v>8.5</v>
      </c>
      <c r="AB1640" s="31">
        <f t="shared" ca="1" si="34"/>
        <v>0.41648516835467664</v>
      </c>
      <c r="AC1640" s="810"/>
      <c r="AD1640" s="811"/>
      <c r="AE1640" s="940"/>
      <c r="AF1640" s="920">
        <f>IF(X1640=X1639,AF1639,0)+IF(ISNUMBER(I1640),IF(I1640&lt;1,I1640,I1640*VLOOKUP(J1640,Summary!$H$2:$I$9,2)),VLOOKUP(J1640,Summary!$J$2:$K$9,2)*IF(ISNUMBER(H1640),H1640,1))</f>
        <v>1.1020254629629629</v>
      </c>
      <c r="AG1640" s="287">
        <v>1639</v>
      </c>
      <c r="AH1640" s="94"/>
      <c r="AI1640" s="94"/>
    </row>
    <row r="1641" spans="1:35" s="27" customFormat="1" ht="12" customHeight="1" x14ac:dyDescent="0.25">
      <c r="A1641" s="512" t="s">
        <v>5152</v>
      </c>
      <c r="B1641" s="512">
        <v>5</v>
      </c>
      <c r="C1641" s="512">
        <v>6</v>
      </c>
      <c r="D1641" s="407" t="s">
        <v>7894</v>
      </c>
      <c r="E1641" s="315" t="s">
        <v>5151</v>
      </c>
      <c r="F1641" s="169">
        <v>39417</v>
      </c>
      <c r="G1641" s="170"/>
      <c r="H1641" s="170">
        <v>1</v>
      </c>
      <c r="I1641" s="746">
        <f>TIME(0,71,36)</f>
        <v>4.9722222222222216E-2</v>
      </c>
      <c r="J1641" s="899" t="s">
        <v>4706</v>
      </c>
      <c r="K1641" s="167" t="s">
        <v>6236</v>
      </c>
      <c r="L1641" s="167" t="s">
        <v>3296</v>
      </c>
      <c r="M1641" s="167"/>
      <c r="N1641" s="167"/>
      <c r="O1641" s="167"/>
      <c r="P1641" s="168" t="s">
        <v>8636</v>
      </c>
      <c r="Q1641" s="167" t="s">
        <v>3947</v>
      </c>
      <c r="R1641" s="172" t="s">
        <v>576</v>
      </c>
      <c r="S1641" s="388" t="s">
        <v>2607</v>
      </c>
      <c r="T1641" s="168"/>
      <c r="U1641" s="168"/>
      <c r="V1641" s="168"/>
      <c r="W1641" s="312" t="s">
        <v>5151</v>
      </c>
      <c r="X1641" s="644" t="s">
        <v>12463</v>
      </c>
      <c r="Y1641" s="352" t="s">
        <v>5398</v>
      </c>
      <c r="Z1641" s="353">
        <v>510</v>
      </c>
      <c r="AA1641" s="353">
        <v>4</v>
      </c>
      <c r="AB1641" s="31">
        <f t="shared" ca="1" si="34"/>
        <v>2.7919420165645192E-3</v>
      </c>
      <c r="AC1641" s="810"/>
      <c r="AD1641" s="811" t="s">
        <v>16487</v>
      </c>
      <c r="AE1641" s="940" t="s">
        <v>12543</v>
      </c>
      <c r="AF1641" s="920">
        <f>IF(X1641=X1640,AF1640,0)+IF(ISNUMBER(I1641),IF(I1641&lt;1,I1641,I1641*VLOOKUP(J1641,Summary!$H$2:$I$9,2)),VLOOKUP(J1641,Summary!$J$2:$K$9,2)*IF(ISNUMBER(H1641),H1641,1))</f>
        <v>1.1517476851851851</v>
      </c>
      <c r="AG1641" s="287">
        <v>1640</v>
      </c>
      <c r="AH1641" s="119"/>
      <c r="AI1641" s="119"/>
    </row>
    <row r="1642" spans="1:35" s="1" customFormat="1" ht="12" customHeight="1" x14ac:dyDescent="0.25">
      <c r="A1642" s="514" t="s">
        <v>5152</v>
      </c>
      <c r="B1642" s="514">
        <v>5</v>
      </c>
      <c r="C1642" s="514">
        <v>27.07</v>
      </c>
      <c r="D1642" s="434" t="s">
        <v>7148</v>
      </c>
      <c r="E1642" s="324" t="s">
        <v>7144</v>
      </c>
      <c r="F1642" s="174">
        <v>39569</v>
      </c>
      <c r="G1642" s="174"/>
      <c r="H1642" s="176" t="s">
        <v>461</v>
      </c>
      <c r="I1642" s="176">
        <v>20</v>
      </c>
      <c r="J1642" s="900" t="s">
        <v>2755</v>
      </c>
      <c r="K1642" s="164" t="s">
        <v>7147</v>
      </c>
      <c r="L1642" s="164" t="s">
        <v>461</v>
      </c>
      <c r="M1642" s="164"/>
      <c r="N1642" s="164" t="s">
        <v>7621</v>
      </c>
      <c r="O1642" s="164"/>
      <c r="P1642" s="173" t="s">
        <v>6705</v>
      </c>
      <c r="Q1642" s="164" t="s">
        <v>3947</v>
      </c>
      <c r="R1642" s="179" t="s">
        <v>2723</v>
      </c>
      <c r="S1642" s="354" t="s">
        <v>2607</v>
      </c>
      <c r="T1642" s="173"/>
      <c r="U1642" s="173"/>
      <c r="V1642" s="173"/>
      <c r="W1642" s="324" t="s">
        <v>7144</v>
      </c>
      <c r="X1642" s="656" t="s">
        <v>12463</v>
      </c>
      <c r="Y1642" s="354"/>
      <c r="Z1642" s="176"/>
      <c r="AA1642" s="176"/>
      <c r="AB1642" s="32">
        <f t="shared" ca="1" si="34"/>
        <v>0.80116361069386444</v>
      </c>
      <c r="AC1642" s="812"/>
      <c r="AD1642" s="763"/>
      <c r="AE1642" s="951"/>
      <c r="AF1642" s="921">
        <f>IF(X1642=X1641,AF1641,0)+IF(ISNUMBER(I1642),IF(I1642&lt;1,I1642,I1642*VLOOKUP(J1642,Summary!$H$2:$I$9,2)),VLOOKUP(J1642,Summary!$J$2:$K$9,2)*IF(ISNUMBER(H1642),H1642,1))</f>
        <v>1.165636574074074</v>
      </c>
      <c r="AG1642" s="288">
        <v>1641</v>
      </c>
      <c r="AH1642" s="94"/>
      <c r="AI1642" s="94"/>
    </row>
    <row r="1643" spans="1:35" s="1" customFormat="1" ht="12" customHeight="1" x14ac:dyDescent="0.25">
      <c r="A1643" s="517" t="s">
        <v>5152</v>
      </c>
      <c r="B1643" s="517">
        <v>5</v>
      </c>
      <c r="C1643" s="517">
        <v>28.08</v>
      </c>
      <c r="D1643" s="463" t="s">
        <v>7146</v>
      </c>
      <c r="E1643" s="330" t="s">
        <v>7145</v>
      </c>
      <c r="F1643" s="191">
        <v>39630</v>
      </c>
      <c r="G1643" s="191"/>
      <c r="H1643" s="192" t="s">
        <v>461</v>
      </c>
      <c r="I1643" s="192">
        <v>12</v>
      </c>
      <c r="J1643" s="903" t="s">
        <v>2755</v>
      </c>
      <c r="K1643" s="194" t="s">
        <v>4132</v>
      </c>
      <c r="L1643" s="194" t="s">
        <v>461</v>
      </c>
      <c r="M1643" s="194" t="s">
        <v>13152</v>
      </c>
      <c r="N1643" s="194" t="s">
        <v>185</v>
      </c>
      <c r="O1643" s="194"/>
      <c r="P1643" s="190" t="s">
        <v>6704</v>
      </c>
      <c r="Q1643" s="194" t="s">
        <v>3947</v>
      </c>
      <c r="R1643" s="221" t="s">
        <v>2723</v>
      </c>
      <c r="S1643" s="357" t="s">
        <v>2607</v>
      </c>
      <c r="T1643" s="190"/>
      <c r="U1643" s="190"/>
      <c r="V1643" s="190"/>
      <c r="W1643" s="330" t="s">
        <v>7145</v>
      </c>
      <c r="X1643" s="662" t="s">
        <v>12463</v>
      </c>
      <c r="Y1643" s="357"/>
      <c r="Z1643" s="192"/>
      <c r="AA1643" s="192"/>
      <c r="AB1643" s="37">
        <f t="shared" ca="1" si="34"/>
        <v>0.21256511973977033</v>
      </c>
      <c r="AC1643" s="816"/>
      <c r="AD1643" s="817"/>
      <c r="AE1643" s="955"/>
      <c r="AF1643" s="924">
        <f>IF(X1643=X1642,AF1642,0)+IF(ISNUMBER(I1643),IF(I1643&lt;1,I1643,I1643*VLOOKUP(J1643,Summary!$H$2:$I$9,2)),VLOOKUP(J1643,Summary!$J$2:$K$9,2)*IF(ISNUMBER(H1643),H1643,1))</f>
        <v>1.1739699074074073</v>
      </c>
      <c r="AG1643" s="298">
        <v>1642</v>
      </c>
      <c r="AH1643" s="94"/>
      <c r="AI1643" s="94"/>
    </row>
    <row r="1644" spans="1:35" s="43" customFormat="1" ht="12" customHeight="1" x14ac:dyDescent="0.25">
      <c r="A1644" s="512" t="s">
        <v>5161</v>
      </c>
      <c r="B1644" s="512">
        <v>5</v>
      </c>
      <c r="C1644" s="512">
        <v>107</v>
      </c>
      <c r="D1644" s="407" t="s">
        <v>5153</v>
      </c>
      <c r="E1644" s="315" t="s">
        <v>5154</v>
      </c>
      <c r="F1644" s="169">
        <v>39539</v>
      </c>
      <c r="G1644" s="170"/>
      <c r="H1644" s="170">
        <v>4</v>
      </c>
      <c r="I1644" s="746">
        <f>TIME(1,38,49)</f>
        <v>6.8622685185185189E-2</v>
      </c>
      <c r="J1644" s="899" t="s">
        <v>4706</v>
      </c>
      <c r="K1644" s="167" t="s">
        <v>177</v>
      </c>
      <c r="L1644" s="167" t="s">
        <v>3296</v>
      </c>
      <c r="M1644" s="167"/>
      <c r="N1644" s="167"/>
      <c r="O1644" s="167"/>
      <c r="P1644" s="168"/>
      <c r="Q1644" s="167" t="s">
        <v>3947</v>
      </c>
      <c r="R1644" s="172" t="s">
        <v>3146</v>
      </c>
      <c r="S1644" s="388" t="s">
        <v>2607</v>
      </c>
      <c r="T1644" s="168" t="s">
        <v>7310</v>
      </c>
      <c r="U1644" s="168"/>
      <c r="V1644" s="168"/>
      <c r="W1644" s="312" t="s">
        <v>9558</v>
      </c>
      <c r="X1644" s="644" t="s">
        <v>15946</v>
      </c>
      <c r="Y1644" s="352" t="s">
        <v>5643</v>
      </c>
      <c r="Z1644" s="353">
        <v>72</v>
      </c>
      <c r="AA1644" s="353">
        <v>8</v>
      </c>
      <c r="AB1644" s="31">
        <f t="shared" ca="1" si="34"/>
        <v>0.32815876695733071</v>
      </c>
      <c r="AC1644" s="810"/>
      <c r="AD1644" s="811" t="s">
        <v>16607</v>
      </c>
      <c r="AE1644" s="940" t="s">
        <v>16608</v>
      </c>
      <c r="AF1644" s="920">
        <f>IF(X1644=X1643,AF1643,0)+IF(ISNUMBER(I1644),IF(I1644&lt;1,I1644,I1644*VLOOKUP(J1644,Summary!$H$2:$I$9,2)),VLOOKUP(J1644,Summary!$J$2:$K$9,2)*IF(ISNUMBER(H1644),H1644,1))</f>
        <v>6.8622685185185189E-2</v>
      </c>
      <c r="AG1644" s="287">
        <v>1643</v>
      </c>
      <c r="AH1644" s="94"/>
      <c r="AI1644" s="94"/>
    </row>
    <row r="1645" spans="1:35" s="43" customFormat="1" ht="12" customHeight="1" x14ac:dyDescent="0.25">
      <c r="A1645" s="512" t="s">
        <v>5161</v>
      </c>
      <c r="B1645" s="512">
        <v>5</v>
      </c>
      <c r="C1645" s="512">
        <v>110</v>
      </c>
      <c r="D1645" s="407" t="s">
        <v>5155</v>
      </c>
      <c r="E1645" s="315" t="s">
        <v>5156</v>
      </c>
      <c r="F1645" s="169">
        <v>39630</v>
      </c>
      <c r="G1645" s="170"/>
      <c r="H1645" s="170">
        <v>4</v>
      </c>
      <c r="I1645" s="746">
        <f>TIME(1,41,26)</f>
        <v>7.0439814814814816E-2</v>
      </c>
      <c r="J1645" s="899" t="s">
        <v>4706</v>
      </c>
      <c r="K1645" s="167" t="s">
        <v>5658</v>
      </c>
      <c r="L1645" s="167" t="s">
        <v>3296</v>
      </c>
      <c r="M1645" s="167"/>
      <c r="N1645" s="167"/>
      <c r="O1645" s="167"/>
      <c r="P1645" s="168"/>
      <c r="Q1645" s="167" t="s">
        <v>3947</v>
      </c>
      <c r="R1645" s="172" t="s">
        <v>3146</v>
      </c>
      <c r="S1645" s="388" t="s">
        <v>2607</v>
      </c>
      <c r="T1645" s="168" t="s">
        <v>7310</v>
      </c>
      <c r="U1645" s="168" t="s">
        <v>7309</v>
      </c>
      <c r="V1645" s="168"/>
      <c r="W1645" s="312" t="s">
        <v>9560</v>
      </c>
      <c r="X1645" s="644" t="s">
        <v>15946</v>
      </c>
      <c r="Y1645" s="352" t="s">
        <v>5643</v>
      </c>
      <c r="Z1645" s="353">
        <v>571</v>
      </c>
      <c r="AA1645" s="353">
        <v>3.5</v>
      </c>
      <c r="AB1645" s="31">
        <f t="shared" ca="1" si="34"/>
        <v>0.43165099365358661</v>
      </c>
      <c r="AC1645" s="810"/>
      <c r="AD1645" s="825" t="s">
        <v>16609</v>
      </c>
      <c r="AE1645" s="940" t="s">
        <v>16610</v>
      </c>
      <c r="AF1645" s="920">
        <f>IF(X1645=X1644,AF1644,0)+IF(ISNUMBER(I1645),IF(I1645&lt;1,I1645,I1645*VLOOKUP(J1645,Summary!$H$2:$I$9,2)),VLOOKUP(J1645,Summary!$J$2:$K$9,2)*IF(ISNUMBER(H1645),H1645,1))</f>
        <v>0.13906250000000001</v>
      </c>
      <c r="AG1645" s="287">
        <v>1644</v>
      </c>
      <c r="AH1645" s="94"/>
      <c r="AI1645" s="94"/>
    </row>
    <row r="1646" spans="1:35" s="1" customFormat="1" ht="12" customHeight="1" x14ac:dyDescent="0.25">
      <c r="A1646" s="405" t="s">
        <v>5161</v>
      </c>
      <c r="B1646" s="406" t="s">
        <v>2650</v>
      </c>
      <c r="C1646" s="405">
        <v>6.0030000000000001</v>
      </c>
      <c r="D1646" s="407" t="s">
        <v>5461</v>
      </c>
      <c r="E1646" s="315" t="s">
        <v>4317</v>
      </c>
      <c r="F1646" s="169">
        <v>40026</v>
      </c>
      <c r="G1646" s="170"/>
      <c r="H1646" s="170">
        <v>4</v>
      </c>
      <c r="I1646" s="746">
        <f>TIME(0,39,28)</f>
        <v>2.7407407407407408E-2</v>
      </c>
      <c r="J1646" s="899" t="s">
        <v>4706</v>
      </c>
      <c r="K1646" s="167" t="s">
        <v>941</v>
      </c>
      <c r="L1646" s="167" t="s">
        <v>5662</v>
      </c>
      <c r="M1646" s="167" t="s">
        <v>8062</v>
      </c>
      <c r="N1646" s="167"/>
      <c r="O1646" s="167"/>
      <c r="P1646" s="168" t="s">
        <v>9202</v>
      </c>
      <c r="Q1646" s="167" t="s">
        <v>3947</v>
      </c>
      <c r="R1646" s="172" t="s">
        <v>3153</v>
      </c>
      <c r="S1646" s="388" t="s">
        <v>7310</v>
      </c>
      <c r="T1646" s="168" t="s">
        <v>2597</v>
      </c>
      <c r="U1646" s="168" t="s">
        <v>2605</v>
      </c>
      <c r="V1646" s="168"/>
      <c r="W1646" s="312" t="s">
        <v>10167</v>
      </c>
      <c r="X1646" s="644" t="s">
        <v>15946</v>
      </c>
      <c r="Y1646" s="352" t="s">
        <v>5643</v>
      </c>
      <c r="Z1646" s="353">
        <v>533</v>
      </c>
      <c r="AA1646" s="353">
        <v>4</v>
      </c>
      <c r="AB1646" s="31">
        <f t="shared" ca="1" si="34"/>
        <v>0.48997852422007326</v>
      </c>
      <c r="AC1646" s="810"/>
      <c r="AD1646" s="811" t="s">
        <v>14929</v>
      </c>
      <c r="AE1646" s="940"/>
      <c r="AF1646" s="920">
        <f>IF(X1646=X1645,AF1645,0)+IF(ISNUMBER(I1646),IF(I1646&lt;1,I1646,I1646*VLOOKUP(J1646,Summary!$H$2:$I$9,2)),VLOOKUP(J1646,Summary!$J$2:$K$9,2)*IF(ISNUMBER(H1646),H1646,1))</f>
        <v>0.16646990740740741</v>
      </c>
      <c r="AG1646" s="287">
        <v>1645</v>
      </c>
      <c r="AH1646" s="94"/>
      <c r="AI1646" s="94"/>
    </row>
    <row r="1647" spans="1:35" s="27" customFormat="1" ht="12" customHeight="1" x14ac:dyDescent="0.25">
      <c r="A1647" s="512" t="s">
        <v>5161</v>
      </c>
      <c r="B1647" s="512">
        <v>5</v>
      </c>
      <c r="C1647" s="512">
        <v>113.1</v>
      </c>
      <c r="D1647" s="407" t="s">
        <v>5157</v>
      </c>
      <c r="E1647" s="315" t="s">
        <v>5158</v>
      </c>
      <c r="F1647" s="196">
        <v>39721</v>
      </c>
      <c r="G1647" s="170"/>
      <c r="H1647" s="170">
        <v>3</v>
      </c>
      <c r="I1647" s="746">
        <f>TIME(1,13,53)</f>
        <v>5.1307870370370372E-2</v>
      </c>
      <c r="J1647" s="899" t="s">
        <v>4706</v>
      </c>
      <c r="K1647" s="167" t="s">
        <v>941</v>
      </c>
      <c r="L1647" s="167" t="s">
        <v>3296</v>
      </c>
      <c r="M1647" s="167"/>
      <c r="N1647" s="167"/>
      <c r="O1647" s="167"/>
      <c r="P1647" s="168"/>
      <c r="Q1647" s="167" t="s">
        <v>3947</v>
      </c>
      <c r="R1647" s="172" t="s">
        <v>3146</v>
      </c>
      <c r="S1647" s="388" t="s">
        <v>2607</v>
      </c>
      <c r="T1647" s="168" t="s">
        <v>7310</v>
      </c>
      <c r="U1647" s="168"/>
      <c r="V1647" s="168"/>
      <c r="W1647" s="312" t="s">
        <v>9559</v>
      </c>
      <c r="X1647" s="644" t="s">
        <v>15946</v>
      </c>
      <c r="Y1647" s="352" t="s">
        <v>5643</v>
      </c>
      <c r="Z1647" s="353">
        <v>464</v>
      </c>
      <c r="AA1647" s="353">
        <v>4.5</v>
      </c>
      <c r="AB1647" s="31">
        <f t="shared" ca="1" si="34"/>
        <v>0.83060574228299011</v>
      </c>
      <c r="AC1647" s="810"/>
      <c r="AD1647" s="811"/>
      <c r="AE1647" s="940"/>
      <c r="AF1647" s="920">
        <f>IF(X1647=X1646,AF1646,0)+IF(ISNUMBER(I1647),IF(I1647&lt;1,I1647,I1647*VLOOKUP(J1647,Summary!$H$2:$I$9,2)),VLOOKUP(J1647,Summary!$J$2:$K$9,2)*IF(ISNUMBER(H1647),H1647,1))</f>
        <v>0.21777777777777779</v>
      </c>
      <c r="AG1647" s="287">
        <v>1646</v>
      </c>
      <c r="AH1647" s="119"/>
      <c r="AI1647" s="119"/>
    </row>
    <row r="1648" spans="1:35" s="3" customFormat="1" ht="12" customHeight="1" x14ac:dyDescent="0.25">
      <c r="A1648" s="512" t="s">
        <v>5161</v>
      </c>
      <c r="B1648" s="512">
        <v>5</v>
      </c>
      <c r="C1648" s="512">
        <v>113.2</v>
      </c>
      <c r="D1648" s="407" t="s">
        <v>5159</v>
      </c>
      <c r="E1648" s="315" t="s">
        <v>5160</v>
      </c>
      <c r="F1648" s="196">
        <v>39721</v>
      </c>
      <c r="G1648" s="170"/>
      <c r="H1648" s="170">
        <v>1</v>
      </c>
      <c r="I1648" s="746">
        <f>TIME(0,26,46)</f>
        <v>1.8587962962962962E-2</v>
      </c>
      <c r="J1648" s="899" t="s">
        <v>4706</v>
      </c>
      <c r="K1648" s="167" t="s">
        <v>177</v>
      </c>
      <c r="L1648" s="167" t="s">
        <v>3296</v>
      </c>
      <c r="M1648" s="167"/>
      <c r="N1648" s="167"/>
      <c r="O1648" s="167"/>
      <c r="P1648" s="168"/>
      <c r="Q1648" s="167" t="s">
        <v>3947</v>
      </c>
      <c r="R1648" s="172" t="s">
        <v>3146</v>
      </c>
      <c r="S1648" s="388" t="s">
        <v>2607</v>
      </c>
      <c r="T1648" s="168" t="s">
        <v>7310</v>
      </c>
      <c r="U1648" s="168"/>
      <c r="V1648" s="168"/>
      <c r="W1648" s="312" t="s">
        <v>5160</v>
      </c>
      <c r="X1648" s="644" t="s">
        <v>15946</v>
      </c>
      <c r="Y1648" s="352" t="s">
        <v>5643</v>
      </c>
      <c r="Z1648" s="353">
        <v>240</v>
      </c>
      <c r="AA1648" s="353">
        <v>5.5</v>
      </c>
      <c r="AB1648" s="31">
        <f t="shared" ca="1" si="34"/>
        <v>0.36656600421829788</v>
      </c>
      <c r="AC1648" s="810"/>
      <c r="AD1648" s="825" t="s">
        <v>14584</v>
      </c>
      <c r="AE1648" s="940" t="s">
        <v>15093</v>
      </c>
      <c r="AF1648" s="920">
        <f>IF(X1648=X1647,AF1647,0)+IF(ISNUMBER(I1648),IF(I1648&lt;1,I1648,I1648*VLOOKUP(J1648,Summary!$H$2:$I$9,2)),VLOOKUP(J1648,Summary!$J$2:$K$9,2)*IF(ISNUMBER(H1648),H1648,1))</f>
        <v>0.23636574074074077</v>
      </c>
      <c r="AG1648" s="287">
        <v>1647</v>
      </c>
      <c r="AH1648" s="94"/>
      <c r="AI1648" s="94"/>
    </row>
    <row r="1649" spans="1:36" s="43" customFormat="1" ht="12" customHeight="1" x14ac:dyDescent="0.25">
      <c r="A1649" s="514" t="s">
        <v>6883</v>
      </c>
      <c r="B1649" s="514">
        <v>5</v>
      </c>
      <c r="C1649" s="514">
        <v>29.03</v>
      </c>
      <c r="D1649" s="176" t="s">
        <v>2416</v>
      </c>
      <c r="E1649" s="313" t="s">
        <v>2783</v>
      </c>
      <c r="F1649" s="174">
        <v>39692</v>
      </c>
      <c r="G1649" s="174"/>
      <c r="H1649" s="176" t="s">
        <v>461</v>
      </c>
      <c r="I1649" s="176">
        <v>6</v>
      </c>
      <c r="J1649" s="900" t="s">
        <v>2755</v>
      </c>
      <c r="K1649" s="164" t="s">
        <v>4042</v>
      </c>
      <c r="L1649" s="164" t="s">
        <v>461</v>
      </c>
      <c r="M1649" s="164"/>
      <c r="N1649" s="164" t="s">
        <v>5664</v>
      </c>
      <c r="O1649" s="164"/>
      <c r="P1649" s="173" t="s">
        <v>6707</v>
      </c>
      <c r="Q1649" s="164" t="s">
        <v>3947</v>
      </c>
      <c r="R1649" s="177" t="s">
        <v>2723</v>
      </c>
      <c r="S1649" s="354" t="s">
        <v>2607</v>
      </c>
      <c r="T1649" s="173"/>
      <c r="U1649" s="173"/>
      <c r="V1649" s="173"/>
      <c r="W1649" s="313" t="s">
        <v>2783</v>
      </c>
      <c r="X1649" s="645" t="s">
        <v>15946</v>
      </c>
      <c r="Y1649" s="354"/>
      <c r="Z1649" s="176"/>
      <c r="AA1649" s="176"/>
      <c r="AB1649" s="32">
        <f t="shared" ca="1" si="34"/>
        <v>0.45697317841747309</v>
      </c>
      <c r="AC1649" s="812"/>
      <c r="AD1649" s="763"/>
      <c r="AE1649" s="807"/>
      <c r="AF1649" s="921">
        <f>IF(X1649=X1648,AF1648,0)+IF(ISNUMBER(I1649),IF(I1649&lt;1,I1649,I1649*VLOOKUP(J1649,Summary!$H$2:$I$9,2)),VLOOKUP(J1649,Summary!$J$2:$K$9,2)*IF(ISNUMBER(H1649),H1649,1))</f>
        <v>0.24053240740740744</v>
      </c>
      <c r="AG1649" s="289">
        <v>1648</v>
      </c>
      <c r="AH1649" s="94"/>
      <c r="AI1649" s="94"/>
    </row>
    <row r="1650" spans="1:36" s="2" customFormat="1" ht="12" customHeight="1" x14ac:dyDescent="0.25">
      <c r="A1650" s="512" t="s">
        <v>6883</v>
      </c>
      <c r="B1650" s="512">
        <v>5</v>
      </c>
      <c r="C1650" s="512">
        <v>127</v>
      </c>
      <c r="D1650" s="407" t="s">
        <v>5162</v>
      </c>
      <c r="E1650" s="315" t="s">
        <v>5163</v>
      </c>
      <c r="F1650" s="169">
        <v>40087</v>
      </c>
      <c r="G1650" s="170"/>
      <c r="H1650" s="170">
        <v>4</v>
      </c>
      <c r="I1650" s="746">
        <f>TIME(1,55,49)</f>
        <v>8.0428240740740745E-2</v>
      </c>
      <c r="J1650" s="899" t="s">
        <v>4706</v>
      </c>
      <c r="K1650" s="167" t="s">
        <v>7374</v>
      </c>
      <c r="L1650" s="167" t="s">
        <v>3296</v>
      </c>
      <c r="M1650" s="167"/>
      <c r="N1650" s="167"/>
      <c r="O1650" s="167"/>
      <c r="P1650" s="168"/>
      <c r="Q1650" s="167" t="s">
        <v>3947</v>
      </c>
      <c r="R1650" s="172" t="s">
        <v>3146</v>
      </c>
      <c r="S1650" s="388" t="s">
        <v>2607</v>
      </c>
      <c r="T1650" s="168"/>
      <c r="U1650" s="168"/>
      <c r="V1650" s="168"/>
      <c r="W1650" s="312" t="s">
        <v>15676</v>
      </c>
      <c r="X1650" s="644" t="s">
        <v>15946</v>
      </c>
      <c r="Y1650" s="352" t="s">
        <v>5643</v>
      </c>
      <c r="Z1650" s="353">
        <v>73</v>
      </c>
      <c r="AA1650" s="353">
        <v>8</v>
      </c>
      <c r="AB1650" s="31">
        <f t="shared" ca="1" si="34"/>
        <v>0.11063805433383356</v>
      </c>
      <c r="AC1650" s="810"/>
      <c r="AD1650" s="811" t="s">
        <v>16654</v>
      </c>
      <c r="AE1650" s="940"/>
      <c r="AF1650" s="920">
        <f>IF(X1650=X1649,AF1649,0)+IF(ISNUMBER(I1650),IF(I1650&lt;1,I1650,I1650*VLOOKUP(J1650,Summary!$H$2:$I$9,2)),VLOOKUP(J1650,Summary!$J$2:$K$9,2)*IF(ISNUMBER(H1650),H1650,1))</f>
        <v>0.32096064814814818</v>
      </c>
      <c r="AG1650" s="287">
        <v>1649</v>
      </c>
      <c r="AH1650" s="94"/>
      <c r="AI1650" s="94"/>
    </row>
    <row r="1651" spans="1:36" s="1" customFormat="1" ht="12" customHeight="1" x14ac:dyDescent="0.25">
      <c r="A1651" s="512" t="s">
        <v>6883</v>
      </c>
      <c r="B1651" s="512">
        <v>5</v>
      </c>
      <c r="C1651" s="512">
        <v>128</v>
      </c>
      <c r="D1651" s="407" t="s">
        <v>5164</v>
      </c>
      <c r="E1651" s="315" t="s">
        <v>5165</v>
      </c>
      <c r="F1651" s="169">
        <v>40118</v>
      </c>
      <c r="G1651" s="170"/>
      <c r="H1651" s="170">
        <v>4</v>
      </c>
      <c r="I1651" s="746">
        <f>TIME(1,47,14)</f>
        <v>7.4467592592592599E-2</v>
      </c>
      <c r="J1651" s="899" t="s">
        <v>4706</v>
      </c>
      <c r="K1651" s="167" t="s">
        <v>177</v>
      </c>
      <c r="L1651" s="167" t="s">
        <v>3296</v>
      </c>
      <c r="M1651" s="167"/>
      <c r="N1651" s="167"/>
      <c r="O1651" s="167"/>
      <c r="P1651" s="168"/>
      <c r="Q1651" s="167" t="s">
        <v>3947</v>
      </c>
      <c r="R1651" s="172" t="s">
        <v>3146</v>
      </c>
      <c r="S1651" s="388" t="s">
        <v>2607</v>
      </c>
      <c r="T1651" s="168"/>
      <c r="U1651" s="168"/>
      <c r="V1651" s="168"/>
      <c r="W1651" s="312" t="s">
        <v>10257</v>
      </c>
      <c r="X1651" s="644" t="s">
        <v>15946</v>
      </c>
      <c r="Y1651" s="352" t="s">
        <v>5643</v>
      </c>
      <c r="Z1651" s="353">
        <v>273</v>
      </c>
      <c r="AA1651" s="353">
        <v>5.5</v>
      </c>
      <c r="AB1651" s="31">
        <f t="shared" ca="1" si="34"/>
        <v>1.540963072122814E-3</v>
      </c>
      <c r="AC1651" s="810"/>
      <c r="AD1651" s="811" t="s">
        <v>15872</v>
      </c>
      <c r="AE1651" s="940" t="s">
        <v>15093</v>
      </c>
      <c r="AF1651" s="920">
        <f>IF(X1651=X1650,AF1650,0)+IF(ISNUMBER(I1651),IF(I1651&lt;1,I1651,I1651*VLOOKUP(J1651,Summary!$H$2:$I$9,2)),VLOOKUP(J1651,Summary!$J$2:$K$9,2)*IF(ISNUMBER(H1651),H1651,1))</f>
        <v>0.39542824074074079</v>
      </c>
      <c r="AG1651" s="287">
        <v>1650</v>
      </c>
      <c r="AH1651" s="94"/>
      <c r="AI1651" s="94"/>
    </row>
    <row r="1652" spans="1:36" s="1" customFormat="1" ht="12" customHeight="1" x14ac:dyDescent="0.25">
      <c r="A1652" s="512" t="s">
        <v>6883</v>
      </c>
      <c r="B1652" s="512">
        <v>5</v>
      </c>
      <c r="C1652" s="512">
        <v>129</v>
      </c>
      <c r="D1652" s="407" t="s">
        <v>5166</v>
      </c>
      <c r="E1652" s="315" t="s">
        <v>2124</v>
      </c>
      <c r="F1652" s="169">
        <v>40148</v>
      </c>
      <c r="G1652" s="170"/>
      <c r="H1652" s="170">
        <v>4</v>
      </c>
      <c r="I1652" s="746">
        <f>TIME(1,47,38)</f>
        <v>7.4745370370370365E-2</v>
      </c>
      <c r="J1652" s="899" t="s">
        <v>4706</v>
      </c>
      <c r="K1652" s="167" t="s">
        <v>4033</v>
      </c>
      <c r="L1652" s="167" t="s">
        <v>3296</v>
      </c>
      <c r="M1652" s="167"/>
      <c r="N1652" s="167"/>
      <c r="O1652" s="167"/>
      <c r="P1652" s="168"/>
      <c r="Q1652" s="167" t="s">
        <v>3947</v>
      </c>
      <c r="R1652" s="172" t="s">
        <v>3146</v>
      </c>
      <c r="S1652" s="388" t="s">
        <v>2607</v>
      </c>
      <c r="T1652" s="168"/>
      <c r="U1652" s="168"/>
      <c r="V1652" s="168"/>
      <c r="W1652" s="312" t="s">
        <v>10363</v>
      </c>
      <c r="X1652" s="644" t="s">
        <v>15946</v>
      </c>
      <c r="Y1652" s="352" t="s">
        <v>5643</v>
      </c>
      <c r="Z1652" s="353">
        <v>520</v>
      </c>
      <c r="AA1652" s="353">
        <v>4</v>
      </c>
      <c r="AB1652" s="31">
        <f t="shared" ca="1" si="34"/>
        <v>0.17340283777887455</v>
      </c>
      <c r="AC1652" s="810"/>
      <c r="AD1652" s="811" t="s">
        <v>16484</v>
      </c>
      <c r="AE1652" s="940" t="s">
        <v>12543</v>
      </c>
      <c r="AF1652" s="920">
        <f>IF(X1652=X1651,AF1651,0)+IF(ISNUMBER(I1652),IF(I1652&lt;1,I1652,I1652*VLOOKUP(J1652,Summary!$H$2:$I$9,2)),VLOOKUP(J1652,Summary!$J$2:$K$9,2)*IF(ISNUMBER(H1652),H1652,1))</f>
        <v>0.47017361111111117</v>
      </c>
      <c r="AG1652" s="287">
        <v>1651</v>
      </c>
      <c r="AH1652" s="94"/>
      <c r="AI1652" s="94"/>
    </row>
    <row r="1653" spans="1:36" s="1" customFormat="1" ht="12" customHeight="1" x14ac:dyDescent="0.25">
      <c r="A1653" s="512" t="s">
        <v>6883</v>
      </c>
      <c r="B1653" s="512">
        <v>5</v>
      </c>
      <c r="C1653" s="512">
        <v>142.1</v>
      </c>
      <c r="D1653" s="407" t="s">
        <v>6323</v>
      </c>
      <c r="E1653" s="315" t="s">
        <v>6322</v>
      </c>
      <c r="F1653" s="169">
        <v>40513</v>
      </c>
      <c r="G1653" s="170"/>
      <c r="H1653" s="170">
        <v>1</v>
      </c>
      <c r="I1653" s="746">
        <f>TIME(0,27,34)</f>
        <v>1.9143518518518518E-2</v>
      </c>
      <c r="J1653" s="899" t="s">
        <v>4706</v>
      </c>
      <c r="K1653" s="167" t="s">
        <v>1033</v>
      </c>
      <c r="L1653" s="167" t="s">
        <v>2313</v>
      </c>
      <c r="M1653" s="167"/>
      <c r="N1653" s="167"/>
      <c r="O1653" s="167"/>
      <c r="P1653" s="168"/>
      <c r="Q1653" s="167" t="s">
        <v>3947</v>
      </c>
      <c r="R1653" s="172" t="s">
        <v>3146</v>
      </c>
      <c r="S1653" s="388" t="s">
        <v>2607</v>
      </c>
      <c r="T1653" s="168"/>
      <c r="U1653" s="168"/>
      <c r="V1653" s="168"/>
      <c r="W1653" s="312" t="s">
        <v>6322</v>
      </c>
      <c r="X1653" s="644" t="s">
        <v>15946</v>
      </c>
      <c r="Y1653" s="352" t="s">
        <v>5643</v>
      </c>
      <c r="Z1653" s="353">
        <v>545</v>
      </c>
      <c r="AA1653" s="353">
        <v>3.5</v>
      </c>
      <c r="AB1653" s="31">
        <f t="shared" ca="1" si="34"/>
        <v>0.72752792016258139</v>
      </c>
      <c r="AC1653" s="810"/>
      <c r="AD1653" s="811" t="s">
        <v>15119</v>
      </c>
      <c r="AE1653" s="940"/>
      <c r="AF1653" s="920">
        <f>IF(X1653=X1652,AF1652,0)+IF(ISNUMBER(I1653),IF(I1653&lt;1,I1653,I1653*VLOOKUP(J1653,Summary!$H$2:$I$9,2)),VLOOKUP(J1653,Summary!$J$2:$K$9,2)*IF(ISNUMBER(H1653),H1653,1))</f>
        <v>0.4893171296296297</v>
      </c>
      <c r="AG1653" s="287">
        <v>1652</v>
      </c>
      <c r="AH1653" s="94"/>
      <c r="AI1653" s="94"/>
    </row>
    <row r="1654" spans="1:36" s="43" customFormat="1" ht="12" customHeight="1" x14ac:dyDescent="0.25">
      <c r="A1654" s="512" t="s">
        <v>6883</v>
      </c>
      <c r="B1654" s="512">
        <v>5</v>
      </c>
      <c r="C1654" s="512">
        <v>142.19999999999999</v>
      </c>
      <c r="D1654" s="407" t="s">
        <v>6324</v>
      </c>
      <c r="E1654" s="315" t="s">
        <v>6327</v>
      </c>
      <c r="F1654" s="169">
        <v>40513</v>
      </c>
      <c r="G1654" s="170"/>
      <c r="H1654" s="170">
        <v>1</v>
      </c>
      <c r="I1654" s="746">
        <f>TIME(0,23,45)</f>
        <v>1.6493055555555556E-2</v>
      </c>
      <c r="J1654" s="899" t="s">
        <v>4706</v>
      </c>
      <c r="K1654" s="167" t="s">
        <v>4331</v>
      </c>
      <c r="L1654" s="167" t="s">
        <v>2313</v>
      </c>
      <c r="M1654" s="167"/>
      <c r="N1654" s="167"/>
      <c r="O1654" s="167"/>
      <c r="P1654" s="168"/>
      <c r="Q1654" s="167" t="s">
        <v>3947</v>
      </c>
      <c r="R1654" s="172" t="s">
        <v>3146</v>
      </c>
      <c r="S1654" s="388" t="s">
        <v>2607</v>
      </c>
      <c r="T1654" s="168"/>
      <c r="U1654" s="168"/>
      <c r="V1654" s="168"/>
      <c r="W1654" s="312" t="s">
        <v>6327</v>
      </c>
      <c r="X1654" s="644" t="s">
        <v>15946</v>
      </c>
      <c r="Y1654" s="352" t="s">
        <v>5643</v>
      </c>
      <c r="Z1654" s="353">
        <v>660</v>
      </c>
      <c r="AA1654" s="353">
        <v>2.5</v>
      </c>
      <c r="AB1654" s="31">
        <f t="shared" ca="1" si="34"/>
        <v>0.8820017152281201</v>
      </c>
      <c r="AC1654" s="810"/>
      <c r="AD1654" s="811" t="s">
        <v>16358</v>
      </c>
      <c r="AE1654" s="940" t="s">
        <v>16359</v>
      </c>
      <c r="AF1654" s="920">
        <f>IF(X1654=X1653,AF1653,0)+IF(ISNUMBER(I1654),IF(I1654&lt;1,I1654,I1654*VLOOKUP(J1654,Summary!$H$2:$I$9,2)),VLOOKUP(J1654,Summary!$J$2:$K$9,2)*IF(ISNUMBER(H1654),H1654,1))</f>
        <v>0.50581018518518528</v>
      </c>
      <c r="AG1654" s="287">
        <v>1653</v>
      </c>
      <c r="AH1654" s="94"/>
      <c r="AI1654" s="94"/>
    </row>
    <row r="1655" spans="1:36" s="6" customFormat="1" ht="12" customHeight="1" x14ac:dyDescent="0.25">
      <c r="A1655" s="512" t="s">
        <v>6883</v>
      </c>
      <c r="B1655" s="512">
        <v>5</v>
      </c>
      <c r="C1655" s="512">
        <v>142.30000000000001</v>
      </c>
      <c r="D1655" s="407" t="s">
        <v>6325</v>
      </c>
      <c r="E1655" s="315" t="s">
        <v>6328</v>
      </c>
      <c r="F1655" s="169">
        <v>40513</v>
      </c>
      <c r="G1655" s="170"/>
      <c r="H1655" s="170">
        <v>1</v>
      </c>
      <c r="I1655" s="746">
        <f>TIME(0,28,10)</f>
        <v>1.9560185185185184E-2</v>
      </c>
      <c r="J1655" s="899" t="s">
        <v>4706</v>
      </c>
      <c r="K1655" s="167" t="s">
        <v>6330</v>
      </c>
      <c r="L1655" s="167" t="s">
        <v>2313</v>
      </c>
      <c r="M1655" s="167"/>
      <c r="N1655" s="167"/>
      <c r="O1655" s="167"/>
      <c r="P1655" s="168"/>
      <c r="Q1655" s="167" t="s">
        <v>3947</v>
      </c>
      <c r="R1655" s="172" t="s">
        <v>3146</v>
      </c>
      <c r="S1655" s="388" t="s">
        <v>2607</v>
      </c>
      <c r="T1655" s="168"/>
      <c r="U1655" s="168"/>
      <c r="V1655" s="168"/>
      <c r="W1655" s="312" t="s">
        <v>6328</v>
      </c>
      <c r="X1655" s="644" t="s">
        <v>15946</v>
      </c>
      <c r="Y1655" s="352" t="s">
        <v>5643</v>
      </c>
      <c r="Z1655" s="353">
        <v>255</v>
      </c>
      <c r="AA1655" s="353">
        <v>5.5</v>
      </c>
      <c r="AB1655" s="31">
        <f t="shared" ca="1" si="34"/>
        <v>0.84125457093016687</v>
      </c>
      <c r="AC1655" s="810"/>
      <c r="AD1655" s="811" t="s">
        <v>16153</v>
      </c>
      <c r="AE1655" s="940" t="s">
        <v>3365</v>
      </c>
      <c r="AF1655" s="920">
        <f>IF(X1655=X1654,AF1654,0)+IF(ISNUMBER(I1655),IF(I1655&lt;1,I1655,I1655*VLOOKUP(J1655,Summary!$H$2:$I$9,2)),VLOOKUP(J1655,Summary!$J$2:$K$9,2)*IF(ISNUMBER(H1655),H1655,1))</f>
        <v>0.52537037037037049</v>
      </c>
      <c r="AG1655" s="287">
        <v>1654</v>
      </c>
      <c r="AH1655" s="94"/>
      <c r="AI1655" s="94"/>
    </row>
    <row r="1656" spans="1:36" s="22" customFormat="1" ht="12" customHeight="1" x14ac:dyDescent="0.25">
      <c r="A1656" s="512" t="s">
        <v>6883</v>
      </c>
      <c r="B1656" s="512">
        <v>5</v>
      </c>
      <c r="C1656" s="512">
        <v>142.4</v>
      </c>
      <c r="D1656" s="407" t="s">
        <v>6326</v>
      </c>
      <c r="E1656" s="315" t="s">
        <v>6329</v>
      </c>
      <c r="F1656" s="169">
        <v>40513</v>
      </c>
      <c r="G1656" s="170"/>
      <c r="H1656" s="170">
        <v>1</v>
      </c>
      <c r="I1656" s="746">
        <f>TIME(0,32,10)</f>
        <v>2.2337962962962962E-2</v>
      </c>
      <c r="J1656" s="899" t="s">
        <v>4706</v>
      </c>
      <c r="K1656" s="167" t="s">
        <v>5666</v>
      </c>
      <c r="L1656" s="167" t="s">
        <v>2313</v>
      </c>
      <c r="M1656" s="167"/>
      <c r="N1656" s="167"/>
      <c r="O1656" s="167"/>
      <c r="P1656" s="168"/>
      <c r="Q1656" s="167" t="s">
        <v>3947</v>
      </c>
      <c r="R1656" s="172" t="s">
        <v>3146</v>
      </c>
      <c r="S1656" s="388" t="s">
        <v>2607</v>
      </c>
      <c r="T1656" s="168"/>
      <c r="U1656" s="168"/>
      <c r="V1656" s="168"/>
      <c r="W1656" s="312" t="s">
        <v>6329</v>
      </c>
      <c r="X1656" s="644" t="s">
        <v>15946</v>
      </c>
      <c r="Y1656" s="352" t="s">
        <v>5643</v>
      </c>
      <c r="Z1656" s="353">
        <v>70</v>
      </c>
      <c r="AA1656" s="353">
        <v>8</v>
      </c>
      <c r="AB1656" s="31">
        <f t="shared" ca="1" si="34"/>
        <v>0.75760752276074073</v>
      </c>
      <c r="AC1656" s="810"/>
      <c r="AD1656" s="811" t="s">
        <v>15838</v>
      </c>
      <c r="AE1656" s="940"/>
      <c r="AF1656" s="920">
        <f>IF(X1656=X1655,AF1655,0)+IF(ISNUMBER(I1656),IF(I1656&lt;1,I1656,I1656*VLOOKUP(J1656,Summary!$H$2:$I$9,2)),VLOOKUP(J1656,Summary!$J$2:$K$9,2)*IF(ISNUMBER(H1656),H1656,1))</f>
        <v>0.54770833333333346</v>
      </c>
      <c r="AG1656" s="287">
        <v>1655</v>
      </c>
      <c r="AH1656" s="94"/>
      <c r="AI1656" s="94"/>
      <c r="AJ1656" s="2"/>
    </row>
    <row r="1657" spans="1:36" s="2" customFormat="1" ht="12" customHeight="1" x14ac:dyDescent="0.25">
      <c r="A1657" s="512" t="s">
        <v>6883</v>
      </c>
      <c r="B1657" s="512">
        <v>5</v>
      </c>
      <c r="C1657" s="512">
        <v>168</v>
      </c>
      <c r="D1657" s="407" t="s">
        <v>2014</v>
      </c>
      <c r="E1657" s="315" t="s">
        <v>2012</v>
      </c>
      <c r="F1657" s="169">
        <v>41244</v>
      </c>
      <c r="G1657" s="170"/>
      <c r="H1657" s="170">
        <v>4</v>
      </c>
      <c r="I1657" s="746">
        <f>TIME(1,59,20)</f>
        <v>8.2870370370370372E-2</v>
      </c>
      <c r="J1657" s="899" t="s">
        <v>4706</v>
      </c>
      <c r="K1657" s="167" t="s">
        <v>2015</v>
      </c>
      <c r="L1657" s="167" t="s">
        <v>3296</v>
      </c>
      <c r="M1657" s="167"/>
      <c r="N1657" s="167"/>
      <c r="O1657" s="167"/>
      <c r="P1657" s="168" t="s">
        <v>2013</v>
      </c>
      <c r="Q1657" s="167" t="s">
        <v>3947</v>
      </c>
      <c r="R1657" s="172" t="s">
        <v>3146</v>
      </c>
      <c r="S1657" s="388" t="s">
        <v>2607</v>
      </c>
      <c r="T1657" s="168"/>
      <c r="U1657" s="168"/>
      <c r="V1657" s="168"/>
      <c r="W1657" s="312" t="s">
        <v>15309</v>
      </c>
      <c r="X1657" s="644" t="s">
        <v>15946</v>
      </c>
      <c r="Y1657" s="352" t="s">
        <v>5643</v>
      </c>
      <c r="Z1657" s="353">
        <v>538</v>
      </c>
      <c r="AA1657" s="353">
        <v>4</v>
      </c>
      <c r="AB1657" s="31">
        <f t="shared" ca="1" si="34"/>
        <v>0.78203610529360912</v>
      </c>
      <c r="AC1657" s="810"/>
      <c r="AD1657" s="811"/>
      <c r="AE1657" s="940"/>
      <c r="AF1657" s="920">
        <f>IF(X1657=X1656,AF1656,0)+IF(ISNUMBER(I1657),IF(I1657&lt;1,I1657,I1657*VLOOKUP(J1657,Summary!$H$2:$I$9,2)),VLOOKUP(J1657,Summary!$J$2:$K$9,2)*IF(ISNUMBER(H1657),H1657,1))</f>
        <v>0.63057870370370384</v>
      </c>
      <c r="AG1657" s="287">
        <v>1656</v>
      </c>
      <c r="AH1657" s="94"/>
      <c r="AI1657" s="94"/>
    </row>
    <row r="1658" spans="1:36" s="2" customFormat="1" ht="12" customHeight="1" x14ac:dyDescent="0.25">
      <c r="A1658" s="512" t="s">
        <v>6883</v>
      </c>
      <c r="B1658" s="512">
        <v>5</v>
      </c>
      <c r="C1658" s="512">
        <v>178</v>
      </c>
      <c r="D1658" s="407"/>
      <c r="E1658" s="315" t="s">
        <v>8138</v>
      </c>
      <c r="F1658" s="169">
        <v>41518</v>
      </c>
      <c r="G1658" s="170"/>
      <c r="H1658" s="170">
        <v>4</v>
      </c>
      <c r="I1658" s="746">
        <f>TIME(1,41,46)</f>
        <v>7.0671296296296301E-2</v>
      </c>
      <c r="J1658" s="899" t="s">
        <v>4706</v>
      </c>
      <c r="K1658" s="167" t="s">
        <v>6353</v>
      </c>
      <c r="L1658" s="167" t="s">
        <v>3296</v>
      </c>
      <c r="M1658" s="167"/>
      <c r="N1658" s="167"/>
      <c r="O1658" s="167"/>
      <c r="P1658" s="168" t="s">
        <v>8139</v>
      </c>
      <c r="Q1658" s="167" t="s">
        <v>3947</v>
      </c>
      <c r="R1658" s="172" t="s">
        <v>3146</v>
      </c>
      <c r="S1658" s="388" t="s">
        <v>2607</v>
      </c>
      <c r="T1658" s="168"/>
      <c r="U1658" s="168"/>
      <c r="V1658" s="168"/>
      <c r="W1658" s="312" t="s">
        <v>10260</v>
      </c>
      <c r="X1658" s="644" t="s">
        <v>15946</v>
      </c>
      <c r="Y1658" s="352" t="s">
        <v>5643</v>
      </c>
      <c r="Z1658" s="353">
        <v>54</v>
      </c>
      <c r="AA1658" s="353">
        <v>8.5</v>
      </c>
      <c r="AB1658" s="31">
        <f t="shared" ca="1" si="34"/>
        <v>0.62154073203946814</v>
      </c>
      <c r="AC1658" s="810"/>
      <c r="AD1658" s="811"/>
      <c r="AE1658" s="940"/>
      <c r="AF1658" s="920">
        <f>IF(X1658=X1657,AF1657,0)+IF(ISNUMBER(I1658),IF(I1658&lt;1,I1658,I1658*VLOOKUP(J1658,Summary!$H$2:$I$9,2)),VLOOKUP(J1658,Summary!$J$2:$K$9,2)*IF(ISNUMBER(H1658),H1658,1))</f>
        <v>0.70125000000000015</v>
      </c>
      <c r="AG1658" s="287">
        <v>1657</v>
      </c>
      <c r="AH1658" s="94"/>
      <c r="AI1658" s="94"/>
    </row>
    <row r="1659" spans="1:36" s="2" customFormat="1" ht="12" customHeight="1" x14ac:dyDescent="0.25">
      <c r="A1659" s="512" t="s">
        <v>6883</v>
      </c>
      <c r="B1659" s="512">
        <v>5</v>
      </c>
      <c r="C1659" s="512">
        <v>185</v>
      </c>
      <c r="D1659" s="407" t="s">
        <v>9360</v>
      </c>
      <c r="E1659" s="315" t="s">
        <v>9354</v>
      </c>
      <c r="F1659" s="196">
        <v>41740</v>
      </c>
      <c r="G1659" s="170"/>
      <c r="H1659" s="170">
        <v>4</v>
      </c>
      <c r="I1659" s="747">
        <f>TIME(0,120,0)</f>
        <v>8.3333333333333329E-2</v>
      </c>
      <c r="J1659" s="899" t="s">
        <v>4706</v>
      </c>
      <c r="K1659" s="167" t="s">
        <v>4033</v>
      </c>
      <c r="L1659" s="167" t="s">
        <v>2313</v>
      </c>
      <c r="M1659" s="167"/>
      <c r="N1659" s="167"/>
      <c r="O1659" s="167"/>
      <c r="P1659" s="168" t="s">
        <v>9356</v>
      </c>
      <c r="Q1659" s="167" t="s">
        <v>3947</v>
      </c>
      <c r="R1659" s="172" t="s">
        <v>3146</v>
      </c>
      <c r="S1659" s="388" t="s">
        <v>2607</v>
      </c>
      <c r="T1659" s="168" t="s">
        <v>9353</v>
      </c>
      <c r="U1659" s="168"/>
      <c r="V1659" s="168"/>
      <c r="W1659" s="312"/>
      <c r="X1659" s="644" t="s">
        <v>15946</v>
      </c>
      <c r="Y1659" s="352"/>
      <c r="Z1659" s="353"/>
      <c r="AA1659" s="353"/>
      <c r="AB1659" s="31">
        <f t="shared" ca="1" si="34"/>
        <v>0.52823793274661701</v>
      </c>
      <c r="AC1659" s="810"/>
      <c r="AD1659" s="811"/>
      <c r="AE1659" s="940"/>
      <c r="AF1659" s="920">
        <f>IF(X1659=X1658,AF1658,0)+IF(ISNUMBER(I1659),IF(I1659&lt;1,I1659,I1659*VLOOKUP(J1659,Summary!$H$2:$I$9,2)),VLOOKUP(J1659,Summary!$J$2:$K$9,2)*IF(ISNUMBER(H1659),H1659,1))</f>
        <v>0.78458333333333352</v>
      </c>
      <c r="AG1659" s="287">
        <v>1658</v>
      </c>
      <c r="AH1659" s="94"/>
      <c r="AI1659" s="94"/>
    </row>
    <row r="1660" spans="1:36" s="43" customFormat="1" ht="12" customHeight="1" x14ac:dyDescent="0.25">
      <c r="A1660" s="512" t="s">
        <v>6883</v>
      </c>
      <c r="B1660" s="512">
        <v>5</v>
      </c>
      <c r="C1660" s="512">
        <v>186</v>
      </c>
      <c r="D1660" s="407" t="s">
        <v>9359</v>
      </c>
      <c r="E1660" s="315" t="s">
        <v>9355</v>
      </c>
      <c r="F1660" s="196">
        <v>41773</v>
      </c>
      <c r="G1660" s="170"/>
      <c r="H1660" s="170">
        <v>4</v>
      </c>
      <c r="I1660" s="747">
        <f>TIME(0,120,0)</f>
        <v>8.3333333333333329E-2</v>
      </c>
      <c r="J1660" s="899" t="s">
        <v>4706</v>
      </c>
      <c r="K1660" s="167" t="s">
        <v>9357</v>
      </c>
      <c r="L1660" s="167" t="s">
        <v>2313</v>
      </c>
      <c r="M1660" s="167"/>
      <c r="N1660" s="167"/>
      <c r="O1660" s="167"/>
      <c r="P1660" s="168" t="s">
        <v>9358</v>
      </c>
      <c r="Q1660" s="167" t="s">
        <v>3947</v>
      </c>
      <c r="R1660" s="172" t="s">
        <v>3146</v>
      </c>
      <c r="S1660" s="388" t="s">
        <v>2607</v>
      </c>
      <c r="T1660" s="168" t="s">
        <v>9353</v>
      </c>
      <c r="U1660" s="168"/>
      <c r="V1660" s="168"/>
      <c r="W1660" s="312"/>
      <c r="X1660" s="644" t="s">
        <v>15946</v>
      </c>
      <c r="Y1660" s="352"/>
      <c r="Z1660" s="353"/>
      <c r="AA1660" s="353"/>
      <c r="AB1660" s="31">
        <f t="shared" ca="1" si="34"/>
        <v>0.79650960497933943</v>
      </c>
      <c r="AC1660" s="810"/>
      <c r="AD1660" s="811"/>
      <c r="AE1660" s="940"/>
      <c r="AF1660" s="920">
        <f>IF(X1660=X1659,AF1659,0)+IF(ISNUMBER(I1660),IF(I1660&lt;1,I1660,I1660*VLOOKUP(J1660,Summary!$H$2:$I$9,2)),VLOOKUP(J1660,Summary!$J$2:$K$9,2)*IF(ISNUMBER(H1660),H1660,1))</f>
        <v>0.86791666666666689</v>
      </c>
      <c r="AG1660" s="287">
        <v>1659</v>
      </c>
      <c r="AH1660" s="94"/>
      <c r="AI1660" s="94"/>
    </row>
    <row r="1661" spans="1:36" s="2" customFormat="1" ht="12" customHeight="1" x14ac:dyDescent="0.25">
      <c r="A1661" s="512" t="s">
        <v>6883</v>
      </c>
      <c r="B1661" s="512">
        <v>5</v>
      </c>
      <c r="C1661" s="512">
        <v>187</v>
      </c>
      <c r="D1661" s="407" t="s">
        <v>9361</v>
      </c>
      <c r="E1661" s="315" t="s">
        <v>1547</v>
      </c>
      <c r="F1661" s="196">
        <v>41808</v>
      </c>
      <c r="G1661" s="170"/>
      <c r="H1661" s="170">
        <v>4</v>
      </c>
      <c r="I1661" s="747">
        <f>TIME(0,120,0)</f>
        <v>8.3333333333333329E-2</v>
      </c>
      <c r="J1661" s="899" t="s">
        <v>4706</v>
      </c>
      <c r="K1661" s="167" t="s">
        <v>6237</v>
      </c>
      <c r="L1661" s="167" t="s">
        <v>2313</v>
      </c>
      <c r="M1661" s="167"/>
      <c r="N1661" s="167"/>
      <c r="O1661" s="167"/>
      <c r="P1661" s="168" t="s">
        <v>9362</v>
      </c>
      <c r="Q1661" s="167" t="s">
        <v>3947</v>
      </c>
      <c r="R1661" s="172" t="s">
        <v>3146</v>
      </c>
      <c r="S1661" s="388" t="s">
        <v>2607</v>
      </c>
      <c r="T1661" s="168" t="s">
        <v>9353</v>
      </c>
      <c r="U1661" s="168"/>
      <c r="V1661" s="168"/>
      <c r="W1661" s="312"/>
      <c r="X1661" s="644" t="s">
        <v>15946</v>
      </c>
      <c r="Y1661" s="352"/>
      <c r="Z1661" s="353"/>
      <c r="AA1661" s="353"/>
      <c r="AB1661" s="31">
        <f t="shared" ca="1" si="34"/>
        <v>0.23372817973530557</v>
      </c>
      <c r="AC1661" s="810"/>
      <c r="AD1661" s="811"/>
      <c r="AE1661" s="940"/>
      <c r="AF1661" s="920">
        <f>IF(X1661=X1660,AF1660,0)+IF(ISNUMBER(I1661),IF(I1661&lt;1,I1661,I1661*VLOOKUP(J1661,Summary!$H$2:$I$9,2)),VLOOKUP(J1661,Summary!$J$2:$K$9,2)*IF(ISNUMBER(H1661),H1661,1))</f>
        <v>0.95125000000000026</v>
      </c>
      <c r="AG1661" s="287">
        <v>1660</v>
      </c>
      <c r="AH1661" s="94"/>
      <c r="AI1661" s="94"/>
    </row>
    <row r="1662" spans="1:36" s="43" customFormat="1" ht="12" customHeight="1" x14ac:dyDescent="0.25">
      <c r="A1662" s="512" t="s">
        <v>6883</v>
      </c>
      <c r="B1662" s="512">
        <v>5</v>
      </c>
      <c r="C1662" s="512">
        <v>224.1</v>
      </c>
      <c r="D1662" s="407"/>
      <c r="E1662" s="315" t="s">
        <v>12730</v>
      </c>
      <c r="F1662" s="196">
        <v>42844</v>
      </c>
      <c r="G1662" s="170"/>
      <c r="H1662" s="170">
        <v>2</v>
      </c>
      <c r="I1662" s="747">
        <f>TIME(0,60,0)</f>
        <v>4.1666666666666664E-2</v>
      </c>
      <c r="J1662" s="899" t="s">
        <v>4706</v>
      </c>
      <c r="K1662" s="167" t="s">
        <v>6237</v>
      </c>
      <c r="L1662" s="167" t="s">
        <v>2313</v>
      </c>
      <c r="M1662" s="167"/>
      <c r="N1662" s="167"/>
      <c r="O1662" s="167" t="s">
        <v>3295</v>
      </c>
      <c r="P1662" s="168" t="s">
        <v>12732</v>
      </c>
      <c r="Q1662" s="167" t="s">
        <v>3947</v>
      </c>
      <c r="R1662" s="172" t="s">
        <v>3146</v>
      </c>
      <c r="S1662" s="388" t="s">
        <v>2607</v>
      </c>
      <c r="T1662" s="168"/>
      <c r="U1662" s="168"/>
      <c r="V1662" s="168"/>
      <c r="W1662" s="312"/>
      <c r="X1662" s="644" t="s">
        <v>15946</v>
      </c>
      <c r="Y1662" s="352"/>
      <c r="Z1662" s="353"/>
      <c r="AA1662" s="353"/>
      <c r="AB1662" s="31">
        <f t="shared" ca="1" si="34"/>
        <v>0.95081142464096613</v>
      </c>
      <c r="AC1662" s="810"/>
      <c r="AD1662" s="811"/>
      <c r="AE1662" s="940"/>
      <c r="AF1662" s="920">
        <f>IF(X1662=X1661,AF1661,0)+IF(ISNUMBER(I1662),IF(I1662&lt;1,I1662,I1662*VLOOKUP(J1662,Summary!$H$2:$I$9,2)),VLOOKUP(J1662,Summary!$J$2:$K$9,2)*IF(ISNUMBER(H1662),H1662,1))</f>
        <v>0.99291666666666689</v>
      </c>
      <c r="AG1662" s="287">
        <v>1661</v>
      </c>
      <c r="AH1662" s="94"/>
      <c r="AI1662" s="94"/>
    </row>
    <row r="1663" spans="1:36" s="43" customFormat="1" ht="12" customHeight="1" x14ac:dyDescent="0.25">
      <c r="A1663" s="512" t="s">
        <v>6883</v>
      </c>
      <c r="B1663" s="512">
        <v>5</v>
      </c>
      <c r="C1663" s="512">
        <v>224.2</v>
      </c>
      <c r="D1663" s="407"/>
      <c r="E1663" s="315" t="s">
        <v>12731</v>
      </c>
      <c r="F1663" s="196">
        <v>42844</v>
      </c>
      <c r="G1663" s="170"/>
      <c r="H1663" s="170">
        <v>2</v>
      </c>
      <c r="I1663" s="747">
        <f>TIME(0,60,0)</f>
        <v>4.1666666666666664E-2</v>
      </c>
      <c r="J1663" s="899" t="s">
        <v>4706</v>
      </c>
      <c r="K1663" s="167" t="s">
        <v>1826</v>
      </c>
      <c r="L1663" s="167" t="s">
        <v>2313</v>
      </c>
      <c r="M1663" s="167"/>
      <c r="N1663" s="167"/>
      <c r="O1663" s="167" t="s">
        <v>3295</v>
      </c>
      <c r="P1663" s="168" t="s">
        <v>12732</v>
      </c>
      <c r="Q1663" s="167" t="s">
        <v>3947</v>
      </c>
      <c r="R1663" s="172" t="s">
        <v>3146</v>
      </c>
      <c r="S1663" s="388" t="s">
        <v>2607</v>
      </c>
      <c r="T1663" s="168"/>
      <c r="U1663" s="168"/>
      <c r="V1663" s="168"/>
      <c r="W1663" s="312"/>
      <c r="X1663" s="644" t="s">
        <v>15946</v>
      </c>
      <c r="Y1663" s="352"/>
      <c r="Z1663" s="353"/>
      <c r="AA1663" s="353"/>
      <c r="AB1663" s="31">
        <f t="shared" ca="1" si="34"/>
        <v>0.212179793620904</v>
      </c>
      <c r="AC1663" s="810"/>
      <c r="AD1663" s="811"/>
      <c r="AE1663" s="940"/>
      <c r="AF1663" s="920">
        <f>IF(X1663=X1662,AF1662,0)+IF(ISNUMBER(I1663),IF(I1663&lt;1,I1663,I1663*VLOOKUP(J1663,Summary!$H$2:$I$9,2)),VLOOKUP(J1663,Summary!$J$2:$K$9,2)*IF(ISNUMBER(H1663),H1663,1))</f>
        <v>1.0345833333333336</v>
      </c>
      <c r="AG1663" s="287">
        <v>1662</v>
      </c>
      <c r="AH1663" s="94"/>
      <c r="AI1663" s="94"/>
    </row>
    <row r="1664" spans="1:36" s="29" customFormat="1" ht="12" customHeight="1" x14ac:dyDescent="0.25">
      <c r="A1664" s="511" t="s">
        <v>5167</v>
      </c>
      <c r="B1664" s="511">
        <v>5</v>
      </c>
      <c r="C1664" s="511">
        <v>123</v>
      </c>
      <c r="D1664" s="424" t="s">
        <v>5488</v>
      </c>
      <c r="E1664" s="319" t="s">
        <v>5489</v>
      </c>
      <c r="F1664" s="198">
        <v>30319</v>
      </c>
      <c r="G1664" s="198">
        <v>30328</v>
      </c>
      <c r="H1664" s="199">
        <v>4</v>
      </c>
      <c r="I1664" s="791">
        <f>TIME(0,24,37)+TIME(0,24,42)+TIME(0,24,37)+TIME(0,24,28)</f>
        <v>6.8333333333333329E-2</v>
      </c>
      <c r="J1664" s="904" t="s">
        <v>1588</v>
      </c>
      <c r="K1664" s="200" t="s">
        <v>2625</v>
      </c>
      <c r="L1664" s="200" t="s">
        <v>6274</v>
      </c>
      <c r="M1664" s="200"/>
      <c r="N1664" s="200" t="s">
        <v>2366</v>
      </c>
      <c r="O1664" s="200" t="s">
        <v>6962</v>
      </c>
      <c r="P1664" s="197" t="s">
        <v>461</v>
      </c>
      <c r="Q1664" s="200" t="s">
        <v>3946</v>
      </c>
      <c r="R1664" s="201" t="s">
        <v>5280</v>
      </c>
      <c r="S1664" s="390" t="s">
        <v>2607</v>
      </c>
      <c r="T1664" s="197" t="s">
        <v>2320</v>
      </c>
      <c r="U1664" s="197"/>
      <c r="V1664" s="197"/>
      <c r="W1664" s="318" t="s">
        <v>9684</v>
      </c>
      <c r="X1664" s="650" t="s">
        <v>14577</v>
      </c>
      <c r="Y1664" s="358" t="s">
        <v>6141</v>
      </c>
      <c r="Z1664" s="253">
        <v>287</v>
      </c>
      <c r="AA1664" s="253">
        <v>2</v>
      </c>
      <c r="AB1664" s="35">
        <f t="shared" ca="1" si="34"/>
        <v>8.3014389958491308E-2</v>
      </c>
      <c r="AC1664" s="820"/>
      <c r="AD1664" s="821" t="s">
        <v>16014</v>
      </c>
      <c r="AE1664" s="944" t="s">
        <v>12543</v>
      </c>
      <c r="AF1664" s="925">
        <f>IF(X1664=X1663,AF1663,0)+IF(ISNUMBER(I1664),IF(I1664&lt;1,I1664,I1664*VLOOKUP(J1664,Summary!$H$2:$I$9,2)),VLOOKUP(J1664,Summary!$J$2:$K$9,2)*IF(ISNUMBER(H1664),H1664,1))</f>
        <v>6.8333333333333329E-2</v>
      </c>
      <c r="AG1664" s="293">
        <v>1663</v>
      </c>
      <c r="AH1664" s="94"/>
      <c r="AI1664" s="94"/>
    </row>
    <row r="1665" spans="1:35" s="29" customFormat="1" ht="12" customHeight="1" x14ac:dyDescent="0.25">
      <c r="A1665" s="512">
        <v>20</v>
      </c>
      <c r="B1665" s="512">
        <v>5</v>
      </c>
      <c r="C1665" s="512">
        <v>208</v>
      </c>
      <c r="D1665" s="407"/>
      <c r="E1665" s="315" t="s">
        <v>10276</v>
      </c>
      <c r="F1665" s="196">
        <v>42380</v>
      </c>
      <c r="G1665" s="170"/>
      <c r="H1665" s="170">
        <v>4</v>
      </c>
      <c r="I1665" s="747">
        <f>TIME(0,120,0)</f>
        <v>8.3333333333333329E-2</v>
      </c>
      <c r="J1665" s="899" t="s">
        <v>4706</v>
      </c>
      <c r="K1665" s="167" t="s">
        <v>177</v>
      </c>
      <c r="L1665" s="167" t="s">
        <v>10304</v>
      </c>
      <c r="M1665" s="167"/>
      <c r="N1665" s="167"/>
      <c r="O1665" s="167"/>
      <c r="P1665" s="168" t="s">
        <v>10306</v>
      </c>
      <c r="Q1665" s="167" t="s">
        <v>3947</v>
      </c>
      <c r="R1665" s="172" t="s">
        <v>3146</v>
      </c>
      <c r="S1665" s="388" t="s">
        <v>2607</v>
      </c>
      <c r="T1665" s="168" t="s">
        <v>2320</v>
      </c>
      <c r="U1665" s="168"/>
      <c r="V1665" s="168"/>
      <c r="W1665" s="312"/>
      <c r="X1665" s="644" t="s">
        <v>14577</v>
      </c>
      <c r="Y1665" s="352" t="s">
        <v>5643</v>
      </c>
      <c r="Z1665" s="353"/>
      <c r="AA1665" s="353"/>
      <c r="AB1665" s="31">
        <f t="shared" ca="1" si="34"/>
        <v>0.20713477433663197</v>
      </c>
      <c r="AC1665" s="810"/>
      <c r="AD1665" s="811"/>
      <c r="AE1665" s="940"/>
      <c r="AF1665" s="920">
        <f>IF(X1665=X1664,AF1664,0)+IF(ISNUMBER(I1665),IF(I1665&lt;1,I1665,I1665*VLOOKUP(J1665,Summary!$H$2:$I$9,2)),VLOOKUP(J1665,Summary!$J$2:$K$9,2)*IF(ISNUMBER(H1665),H1665,1))</f>
        <v>0.15166666666666667</v>
      </c>
      <c r="AG1665" s="287">
        <v>1664</v>
      </c>
      <c r="AH1665" s="94"/>
      <c r="AI1665" s="94"/>
    </row>
    <row r="1666" spans="1:35" s="29" customFormat="1" ht="12" customHeight="1" x14ac:dyDescent="0.25">
      <c r="A1666" s="514">
        <v>20</v>
      </c>
      <c r="B1666" s="514">
        <v>5</v>
      </c>
      <c r="C1666" s="514">
        <v>29.12</v>
      </c>
      <c r="D1666" s="176" t="s">
        <v>2773</v>
      </c>
      <c r="E1666" s="313" t="s">
        <v>4097</v>
      </c>
      <c r="F1666" s="174">
        <v>39692</v>
      </c>
      <c r="G1666" s="174"/>
      <c r="H1666" s="176" t="s">
        <v>461</v>
      </c>
      <c r="I1666" s="176">
        <v>6</v>
      </c>
      <c r="J1666" s="900" t="s">
        <v>2755</v>
      </c>
      <c r="K1666" s="164" t="s">
        <v>4098</v>
      </c>
      <c r="L1666" s="164" t="s">
        <v>461</v>
      </c>
      <c r="M1666" s="164"/>
      <c r="N1666" s="164" t="s">
        <v>5664</v>
      </c>
      <c r="O1666" s="164"/>
      <c r="P1666" s="173" t="s">
        <v>6707</v>
      </c>
      <c r="Q1666" s="164" t="s">
        <v>3947</v>
      </c>
      <c r="R1666" s="177" t="s">
        <v>2723</v>
      </c>
      <c r="S1666" s="354"/>
      <c r="T1666" s="173"/>
      <c r="U1666" s="173"/>
      <c r="V1666" s="173"/>
      <c r="W1666" s="313" t="s">
        <v>4097</v>
      </c>
      <c r="X1666" s="645" t="s">
        <v>14577</v>
      </c>
      <c r="Y1666" s="354"/>
      <c r="Z1666" s="176"/>
      <c r="AA1666" s="176"/>
      <c r="AB1666" s="32">
        <f t="shared" ref="AB1666:AB1729" ca="1" si="35">RAND()</f>
        <v>0.985557976188142</v>
      </c>
      <c r="AC1666" s="812"/>
      <c r="AD1666" s="763"/>
      <c r="AE1666" s="807"/>
      <c r="AF1666" s="921">
        <f>IF(X1666=X1665,AF1665,0)+IF(ISNUMBER(I1666),IF(I1666&lt;1,I1666,I1666*VLOOKUP(J1666,Summary!$H$2:$I$9,2)),VLOOKUP(J1666,Summary!$J$2:$K$9,2)*IF(ISNUMBER(H1666),H1666,1))</f>
        <v>0.15583333333333335</v>
      </c>
      <c r="AG1666" s="289">
        <v>1665</v>
      </c>
      <c r="AH1666" s="94"/>
      <c r="AI1666" s="94"/>
    </row>
    <row r="1667" spans="1:35" s="22" customFormat="1" ht="12" customHeight="1" x14ac:dyDescent="0.2">
      <c r="A1667" s="512" t="s">
        <v>5167</v>
      </c>
      <c r="B1667" s="512">
        <v>5</v>
      </c>
      <c r="C1667" s="512">
        <v>47</v>
      </c>
      <c r="D1667" s="407" t="s">
        <v>5492</v>
      </c>
      <c r="E1667" s="315" t="s">
        <v>5493</v>
      </c>
      <c r="F1667" s="169">
        <v>37834</v>
      </c>
      <c r="G1667" s="170"/>
      <c r="H1667" s="170">
        <v>4</v>
      </c>
      <c r="I1667" s="746">
        <f>TIME(2,22,52)</f>
        <v>9.9212962962962961E-2</v>
      </c>
      <c r="J1667" s="899" t="s">
        <v>4706</v>
      </c>
      <c r="K1667" s="167" t="s">
        <v>3284</v>
      </c>
      <c r="L1667" s="167" t="s">
        <v>7375</v>
      </c>
      <c r="M1667" s="167"/>
      <c r="N1667" s="167"/>
      <c r="O1667" s="167" t="s">
        <v>2909</v>
      </c>
      <c r="P1667" s="168"/>
      <c r="Q1667" s="167" t="s">
        <v>3947</v>
      </c>
      <c r="R1667" s="172" t="s">
        <v>3146</v>
      </c>
      <c r="S1667" s="388"/>
      <c r="T1667" s="168"/>
      <c r="U1667" s="168"/>
      <c r="V1667" s="168"/>
      <c r="W1667" s="312" t="s">
        <v>9291</v>
      </c>
      <c r="X1667" s="644" t="s">
        <v>14577</v>
      </c>
      <c r="Y1667" s="352" t="s">
        <v>5643</v>
      </c>
      <c r="Z1667" s="353">
        <v>74</v>
      </c>
      <c r="AA1667" s="353">
        <v>8</v>
      </c>
      <c r="AB1667" s="31">
        <f t="shared" ca="1" si="35"/>
        <v>0.61323508241539115</v>
      </c>
      <c r="AC1667" s="810"/>
      <c r="AD1667" s="811"/>
      <c r="AE1667" s="940"/>
      <c r="AF1667" s="920">
        <f>IF(X1667=X1666,AF1666,0)+IF(ISNUMBER(I1667),IF(I1667&lt;1,I1667,I1667*VLOOKUP(J1667,Summary!$H$2:$I$9,2)),VLOOKUP(J1667,Summary!$J$2:$K$9,2)*IF(ISNUMBER(H1667),H1667,1))</f>
        <v>0.25504629629629633</v>
      </c>
      <c r="AG1667" s="287">
        <v>1666</v>
      </c>
      <c r="AH1667" s="94"/>
      <c r="AI1667" s="94"/>
    </row>
    <row r="1668" spans="1:35" s="43" customFormat="1" ht="12" customHeight="1" x14ac:dyDescent="0.25">
      <c r="A1668" s="512">
        <v>20</v>
      </c>
      <c r="B1668" s="512">
        <v>5</v>
      </c>
      <c r="C1668" s="512">
        <v>165</v>
      </c>
      <c r="D1668" s="407" t="s">
        <v>1997</v>
      </c>
      <c r="E1668" s="315" t="s">
        <v>1998</v>
      </c>
      <c r="F1668" s="169">
        <v>41153</v>
      </c>
      <c r="G1668" s="170"/>
      <c r="H1668" s="170">
        <v>4</v>
      </c>
      <c r="I1668" s="746">
        <f>TIME(1,50,42)</f>
        <v>7.6875000000000013E-2</v>
      </c>
      <c r="J1668" s="899" t="s">
        <v>4706</v>
      </c>
      <c r="K1668" s="167" t="s">
        <v>5666</v>
      </c>
      <c r="L1668" s="167" t="s">
        <v>2313</v>
      </c>
      <c r="M1668" s="167"/>
      <c r="N1668" s="167"/>
      <c r="O1668" s="167" t="s">
        <v>2500</v>
      </c>
      <c r="P1668" s="168" t="s">
        <v>2001</v>
      </c>
      <c r="Q1668" s="167" t="s">
        <v>3947</v>
      </c>
      <c r="R1668" s="172" t="s">
        <v>3146</v>
      </c>
      <c r="S1668" s="388"/>
      <c r="T1668" s="168"/>
      <c r="U1668" s="168"/>
      <c r="V1668" s="168"/>
      <c r="W1668" s="312" t="s">
        <v>11416</v>
      </c>
      <c r="X1668" s="644" t="s">
        <v>14577</v>
      </c>
      <c r="Y1668" s="352" t="s">
        <v>5643</v>
      </c>
      <c r="Z1668" s="353">
        <v>462</v>
      </c>
      <c r="AA1668" s="353">
        <v>4.5</v>
      </c>
      <c r="AB1668" s="31">
        <f t="shared" ca="1" si="35"/>
        <v>0.4680675072397843</v>
      </c>
      <c r="AC1668" s="810"/>
      <c r="AD1668" s="811"/>
      <c r="AE1668" s="940"/>
      <c r="AF1668" s="920">
        <f>IF(X1668=X1667,AF1667,0)+IF(ISNUMBER(I1668),IF(I1668&lt;1,I1668,I1668*VLOOKUP(J1668,Summary!$H$2:$I$9,2)),VLOOKUP(J1668,Summary!$J$2:$K$9,2)*IF(ISNUMBER(H1668),H1668,1))</f>
        <v>0.33192129629629635</v>
      </c>
      <c r="AG1668" s="287">
        <v>1667</v>
      </c>
      <c r="AH1668" s="94"/>
      <c r="AI1668" s="94"/>
    </row>
    <row r="1669" spans="1:35" s="2" customFormat="1" ht="12" customHeight="1" x14ac:dyDescent="0.25">
      <c r="A1669" s="512">
        <v>20</v>
      </c>
      <c r="B1669" s="512">
        <v>5</v>
      </c>
      <c r="C1669" s="512">
        <v>3.1</v>
      </c>
      <c r="D1669" s="407" t="s">
        <v>12707</v>
      </c>
      <c r="E1669" s="336" t="s">
        <v>12708</v>
      </c>
      <c r="F1669" s="196">
        <v>43123</v>
      </c>
      <c r="G1669" s="169"/>
      <c r="H1669" s="170">
        <v>1</v>
      </c>
      <c r="I1669" s="747">
        <f>TIME(0,60,0)</f>
        <v>4.1666666666666664E-2</v>
      </c>
      <c r="J1669" s="899" t="s">
        <v>4706</v>
      </c>
      <c r="K1669" s="167" t="s">
        <v>3284</v>
      </c>
      <c r="L1669" s="167" t="s">
        <v>2313</v>
      </c>
      <c r="M1669" s="167"/>
      <c r="N1669" s="167"/>
      <c r="O1669" s="167" t="s">
        <v>3295</v>
      </c>
      <c r="P1669" s="168" t="s">
        <v>12709</v>
      </c>
      <c r="Q1669" s="167" t="s">
        <v>3947</v>
      </c>
      <c r="R1669" s="172" t="s">
        <v>10102</v>
      </c>
      <c r="S1669" s="388"/>
      <c r="T1669" s="168"/>
      <c r="U1669" s="168" t="s">
        <v>7344</v>
      </c>
      <c r="V1669" s="168"/>
      <c r="W1669" s="336" t="s">
        <v>12708</v>
      </c>
      <c r="X1669" s="644" t="s">
        <v>14577</v>
      </c>
      <c r="Y1669" s="352"/>
      <c r="Z1669" s="353"/>
      <c r="AA1669" s="353"/>
      <c r="AB1669" s="31">
        <f t="shared" ca="1" si="35"/>
        <v>0.1850631037796463</v>
      </c>
      <c r="AC1669" s="810"/>
      <c r="AD1669" s="811"/>
      <c r="AE1669" s="945"/>
      <c r="AF1669" s="920">
        <f>IF(X1669=X1668,AF1668,0)+IF(ISNUMBER(I1669),IF(I1669&lt;1,I1669,I1669*VLOOKUP(J1669,Summary!$H$2:$I$9,2)),VLOOKUP(J1669,Summary!$J$2:$K$9,2)*IF(ISNUMBER(H1669),H1669,1))</f>
        <v>0.37358796296296304</v>
      </c>
      <c r="AG1669" s="287">
        <v>1668</v>
      </c>
      <c r="AH1669" s="94"/>
      <c r="AI1669" s="94"/>
    </row>
    <row r="1670" spans="1:35" s="43" customFormat="1" ht="12" customHeight="1" x14ac:dyDescent="0.25">
      <c r="A1670" s="512">
        <v>20</v>
      </c>
      <c r="B1670" s="512">
        <v>5</v>
      </c>
      <c r="C1670" s="512">
        <v>3.2</v>
      </c>
      <c r="D1670" s="407" t="s">
        <v>12710</v>
      </c>
      <c r="E1670" s="336" t="s">
        <v>12715</v>
      </c>
      <c r="F1670" s="196">
        <v>43123</v>
      </c>
      <c r="G1670" s="169"/>
      <c r="H1670" s="170">
        <v>1</v>
      </c>
      <c r="I1670" s="747">
        <f>TIME(0,60,0)</f>
        <v>4.1666666666666664E-2</v>
      </c>
      <c r="J1670" s="899" t="s">
        <v>4706</v>
      </c>
      <c r="K1670" s="167" t="s">
        <v>4552</v>
      </c>
      <c r="L1670" s="167" t="s">
        <v>2313</v>
      </c>
      <c r="M1670" s="167"/>
      <c r="N1670" s="167"/>
      <c r="O1670" s="167" t="s">
        <v>3295</v>
      </c>
      <c r="P1670" s="168" t="s">
        <v>12709</v>
      </c>
      <c r="Q1670" s="167" t="s">
        <v>3947</v>
      </c>
      <c r="R1670" s="172" t="s">
        <v>10102</v>
      </c>
      <c r="S1670" s="388"/>
      <c r="T1670" s="168"/>
      <c r="U1670" s="168" t="s">
        <v>7344</v>
      </c>
      <c r="V1670" s="168"/>
      <c r="W1670" s="336" t="s">
        <v>12715</v>
      </c>
      <c r="X1670" s="644" t="s">
        <v>14577</v>
      </c>
      <c r="Y1670" s="352"/>
      <c r="Z1670" s="353"/>
      <c r="AA1670" s="353"/>
      <c r="AB1670" s="31">
        <f t="shared" ca="1" si="35"/>
        <v>0.55235144635779054</v>
      </c>
      <c r="AC1670" s="810"/>
      <c r="AD1670" s="811"/>
      <c r="AE1670" s="945"/>
      <c r="AF1670" s="920">
        <f>IF(X1670=X1669,AF1669,0)+IF(ISNUMBER(I1670),IF(I1670&lt;1,I1670,I1670*VLOOKUP(J1670,Summary!$H$2:$I$9,2)),VLOOKUP(J1670,Summary!$J$2:$K$9,2)*IF(ISNUMBER(H1670),H1670,1))</f>
        <v>0.41525462962962972</v>
      </c>
      <c r="AG1670" s="287">
        <v>1669</v>
      </c>
      <c r="AH1670" s="94"/>
      <c r="AI1670" s="94"/>
    </row>
    <row r="1671" spans="1:35" s="1" customFormat="1" ht="12" customHeight="1" x14ac:dyDescent="0.25">
      <c r="A1671" s="512">
        <v>20</v>
      </c>
      <c r="B1671" s="512">
        <v>5</v>
      </c>
      <c r="C1671" s="512">
        <v>3.3</v>
      </c>
      <c r="D1671" s="407" t="s">
        <v>12711</v>
      </c>
      <c r="E1671" s="336" t="s">
        <v>12713</v>
      </c>
      <c r="F1671" s="196">
        <v>43123</v>
      </c>
      <c r="G1671" s="169"/>
      <c r="H1671" s="170">
        <v>1</v>
      </c>
      <c r="I1671" s="747">
        <f>TIME(0,60,0)</f>
        <v>4.1666666666666664E-2</v>
      </c>
      <c r="J1671" s="899" t="s">
        <v>4706</v>
      </c>
      <c r="K1671" s="167" t="s">
        <v>5666</v>
      </c>
      <c r="L1671" s="167" t="s">
        <v>2313</v>
      </c>
      <c r="M1671" s="167"/>
      <c r="N1671" s="167"/>
      <c r="O1671" s="167" t="s">
        <v>3295</v>
      </c>
      <c r="P1671" s="168" t="s">
        <v>12709</v>
      </c>
      <c r="Q1671" s="167" t="s">
        <v>3947</v>
      </c>
      <c r="R1671" s="172" t="s">
        <v>10102</v>
      </c>
      <c r="S1671" s="388"/>
      <c r="T1671" s="168"/>
      <c r="U1671" s="168" t="s">
        <v>7344</v>
      </c>
      <c r="V1671" s="168"/>
      <c r="W1671" s="336" t="s">
        <v>12713</v>
      </c>
      <c r="X1671" s="644" t="s">
        <v>14577</v>
      </c>
      <c r="Y1671" s="352"/>
      <c r="Z1671" s="353"/>
      <c r="AA1671" s="353"/>
      <c r="AB1671" s="31">
        <f t="shared" ca="1" si="35"/>
        <v>0.71742145876659513</v>
      </c>
      <c r="AC1671" s="810"/>
      <c r="AD1671" s="811"/>
      <c r="AE1671" s="945"/>
      <c r="AF1671" s="920">
        <f>IF(X1671=X1670,AF1670,0)+IF(ISNUMBER(I1671),IF(I1671&lt;1,I1671,I1671*VLOOKUP(J1671,Summary!$H$2:$I$9,2)),VLOOKUP(J1671,Summary!$J$2:$K$9,2)*IF(ISNUMBER(H1671),H1671,1))</f>
        <v>0.45692129629629641</v>
      </c>
      <c r="AG1671" s="287">
        <v>1670</v>
      </c>
      <c r="AH1671" s="94"/>
      <c r="AI1671" s="94"/>
    </row>
    <row r="1672" spans="1:35" s="43" customFormat="1" ht="12" customHeight="1" x14ac:dyDescent="0.25">
      <c r="A1672" s="512">
        <v>20</v>
      </c>
      <c r="B1672" s="512">
        <v>5</v>
      </c>
      <c r="C1672" s="512">
        <v>3.4</v>
      </c>
      <c r="D1672" s="407" t="s">
        <v>12712</v>
      </c>
      <c r="E1672" s="336" t="s">
        <v>12714</v>
      </c>
      <c r="F1672" s="196">
        <v>43123</v>
      </c>
      <c r="G1672" s="169"/>
      <c r="H1672" s="170">
        <v>1</v>
      </c>
      <c r="I1672" s="747">
        <f>TIME(0,60,0)</f>
        <v>4.1666666666666664E-2</v>
      </c>
      <c r="J1672" s="899" t="s">
        <v>4706</v>
      </c>
      <c r="K1672" s="167" t="s">
        <v>6452</v>
      </c>
      <c r="L1672" s="167" t="s">
        <v>2313</v>
      </c>
      <c r="M1672" s="167"/>
      <c r="N1672" s="167"/>
      <c r="O1672" s="167" t="s">
        <v>3295</v>
      </c>
      <c r="P1672" s="168" t="s">
        <v>12709</v>
      </c>
      <c r="Q1672" s="167" t="s">
        <v>3947</v>
      </c>
      <c r="R1672" s="172" t="s">
        <v>10102</v>
      </c>
      <c r="S1672" s="388"/>
      <c r="T1672" s="168"/>
      <c r="U1672" s="168" t="s">
        <v>7344</v>
      </c>
      <c r="V1672" s="168"/>
      <c r="W1672" s="336" t="s">
        <v>12714</v>
      </c>
      <c r="X1672" s="644" t="s">
        <v>14577</v>
      </c>
      <c r="Y1672" s="352"/>
      <c r="Z1672" s="353"/>
      <c r="AA1672" s="353"/>
      <c r="AB1672" s="31">
        <f t="shared" ca="1" si="35"/>
        <v>0.48543369520829449</v>
      </c>
      <c r="AC1672" s="810"/>
      <c r="AD1672" s="811"/>
      <c r="AE1672" s="945"/>
      <c r="AF1672" s="920">
        <f>IF(X1672=X1671,AF1671,0)+IF(ISNUMBER(I1672),IF(I1672&lt;1,I1672,I1672*VLOOKUP(J1672,Summary!$H$2:$I$9,2)),VLOOKUP(J1672,Summary!$J$2:$K$9,2)*IF(ISNUMBER(H1672),H1672,1))</f>
        <v>0.49858796296296309</v>
      </c>
      <c r="AG1672" s="287">
        <v>1671</v>
      </c>
      <c r="AH1672" s="94"/>
      <c r="AI1672" s="94"/>
    </row>
    <row r="1673" spans="1:35" s="2" customFormat="1" ht="12" customHeight="1" x14ac:dyDescent="0.25">
      <c r="A1673" s="512">
        <v>20</v>
      </c>
      <c r="B1673" s="512">
        <v>5</v>
      </c>
      <c r="C1673" s="512">
        <v>3.1</v>
      </c>
      <c r="D1673" s="407" t="s">
        <v>1469</v>
      </c>
      <c r="E1673" s="315" t="s">
        <v>1467</v>
      </c>
      <c r="F1673" s="169">
        <v>40817</v>
      </c>
      <c r="G1673" s="170"/>
      <c r="H1673" s="170">
        <v>4</v>
      </c>
      <c r="I1673" s="746">
        <f>TIME(1,57,26)</f>
        <v>8.1550925925925929E-2</v>
      </c>
      <c r="J1673" s="899" t="s">
        <v>4706</v>
      </c>
      <c r="K1673" s="167" t="s">
        <v>1468</v>
      </c>
      <c r="L1673" s="167" t="s">
        <v>2313</v>
      </c>
      <c r="M1673" s="167"/>
      <c r="N1673" s="167" t="s">
        <v>5666</v>
      </c>
      <c r="O1673" s="167" t="s">
        <v>2500</v>
      </c>
      <c r="P1673" s="168" t="s">
        <v>8900</v>
      </c>
      <c r="Q1673" s="167" t="s">
        <v>3947</v>
      </c>
      <c r="R1673" s="172" t="s">
        <v>6992</v>
      </c>
      <c r="S1673" s="388" t="s">
        <v>2607</v>
      </c>
      <c r="T1673" s="168" t="s">
        <v>2320</v>
      </c>
      <c r="U1673" s="168"/>
      <c r="V1673" s="168"/>
      <c r="W1673" s="312" t="s">
        <v>9623</v>
      </c>
      <c r="X1673" s="644" t="s">
        <v>14577</v>
      </c>
      <c r="Y1673" s="352" t="s">
        <v>5398</v>
      </c>
      <c r="Z1673" s="353">
        <v>203</v>
      </c>
      <c r="AA1673" s="353">
        <v>6</v>
      </c>
      <c r="AB1673" s="31">
        <f t="shared" ca="1" si="35"/>
        <v>0.79112107361349615</v>
      </c>
      <c r="AC1673" s="810"/>
      <c r="AD1673" s="811"/>
      <c r="AE1673" s="940"/>
      <c r="AF1673" s="920">
        <f>IF(X1673=X1672,AF1672,0)+IF(ISNUMBER(I1673),IF(I1673&lt;1,I1673,I1673*VLOOKUP(J1673,Summary!$H$2:$I$9,2)),VLOOKUP(J1673,Summary!$J$2:$K$9,2)*IF(ISNUMBER(H1673),H1673,1))</f>
        <v>0.58013888888888898</v>
      </c>
      <c r="AG1673" s="287">
        <v>1672</v>
      </c>
      <c r="AH1673" s="94"/>
      <c r="AI1673" s="94"/>
    </row>
    <row r="1674" spans="1:35" s="2" customFormat="1" ht="12" customHeight="1" x14ac:dyDescent="0.25">
      <c r="A1674" s="515" t="s">
        <v>5167</v>
      </c>
      <c r="B1674" s="515">
        <v>5</v>
      </c>
      <c r="C1674" s="515">
        <v>58</v>
      </c>
      <c r="D1674" s="417" t="s">
        <v>5494</v>
      </c>
      <c r="E1674" s="316" t="s">
        <v>5495</v>
      </c>
      <c r="F1674" s="187">
        <v>37591</v>
      </c>
      <c r="G1674" s="188"/>
      <c r="H1674" s="188" t="str">
        <f>IF(J1674="Book","n/a","")</f>
        <v>n/a</v>
      </c>
      <c r="I1674" s="188">
        <v>288</v>
      </c>
      <c r="J1674" s="902" t="s">
        <v>6868</v>
      </c>
      <c r="K1674" s="162" t="s">
        <v>4032</v>
      </c>
      <c r="L1674" s="162" t="str">
        <f>IF(J1674="Book","n/a","")</f>
        <v>n/a</v>
      </c>
      <c r="M1674" s="162"/>
      <c r="N1674" s="162"/>
      <c r="O1674" s="162"/>
      <c r="P1674" s="178" t="s">
        <v>8982</v>
      </c>
      <c r="Q1674" s="162" t="s">
        <v>3953</v>
      </c>
      <c r="R1674" s="189" t="s">
        <v>2717</v>
      </c>
      <c r="S1674" s="366" t="s">
        <v>2607</v>
      </c>
      <c r="T1674" s="178" t="s">
        <v>2320</v>
      </c>
      <c r="U1674" s="178"/>
      <c r="V1674" s="178"/>
      <c r="W1674" s="316" t="s">
        <v>5495</v>
      </c>
      <c r="X1674" s="648" t="s">
        <v>14577</v>
      </c>
      <c r="Y1674" s="356"/>
      <c r="Z1674" s="272"/>
      <c r="AA1674" s="272"/>
      <c r="AB1674" s="34">
        <f t="shared" ca="1" si="35"/>
        <v>0.76797097188819419</v>
      </c>
      <c r="AC1674" s="814"/>
      <c r="AD1674" s="815" t="s">
        <v>16189</v>
      </c>
      <c r="AE1674" s="942"/>
      <c r="AF1674" s="923">
        <f>IF(X1674=X1673,AF1673,0)+IF(ISNUMBER(I1674),IF(I1674&lt;1,I1674,I1674*VLOOKUP(J1674,Summary!$H$2:$I$9,2)),VLOOKUP(J1674,Summary!$J$2:$K$9,2)*IF(ISNUMBER(H1674),H1674,1))</f>
        <v>0.78013888888888894</v>
      </c>
      <c r="AG1674" s="291">
        <v>1673</v>
      </c>
      <c r="AH1674" s="94"/>
      <c r="AI1674" s="94"/>
    </row>
    <row r="1675" spans="1:35" s="2" customFormat="1" ht="12" customHeight="1" x14ac:dyDescent="0.25">
      <c r="A1675" s="512">
        <v>20</v>
      </c>
      <c r="B1675" s="512">
        <v>5</v>
      </c>
      <c r="C1675" s="512">
        <v>3.2</v>
      </c>
      <c r="D1675" s="407" t="s">
        <v>5326</v>
      </c>
      <c r="E1675" s="315" t="s">
        <v>5328</v>
      </c>
      <c r="F1675" s="169">
        <v>40848</v>
      </c>
      <c r="G1675" s="170"/>
      <c r="H1675" s="170">
        <v>4</v>
      </c>
      <c r="I1675" s="746">
        <f>TIME(1,40,11)</f>
        <v>6.957175925925925E-2</v>
      </c>
      <c r="J1675" s="899" t="s">
        <v>4706</v>
      </c>
      <c r="K1675" s="167" t="s">
        <v>5330</v>
      </c>
      <c r="L1675" s="167" t="s">
        <v>2313</v>
      </c>
      <c r="M1675" s="167"/>
      <c r="N1675" s="167" t="s">
        <v>5666</v>
      </c>
      <c r="O1675" s="167" t="s">
        <v>2500</v>
      </c>
      <c r="P1675" s="168" t="s">
        <v>4914</v>
      </c>
      <c r="Q1675" s="167" t="s">
        <v>3947</v>
      </c>
      <c r="R1675" s="172" t="s">
        <v>6992</v>
      </c>
      <c r="S1675" s="388" t="s">
        <v>2607</v>
      </c>
      <c r="T1675" s="168" t="s">
        <v>2320</v>
      </c>
      <c r="U1675" s="168"/>
      <c r="V1675" s="168"/>
      <c r="W1675" s="312" t="s">
        <v>9624</v>
      </c>
      <c r="X1675" s="644" t="s">
        <v>14577</v>
      </c>
      <c r="Y1675" s="352" t="s">
        <v>5643</v>
      </c>
      <c r="Z1675" s="353">
        <v>564</v>
      </c>
      <c r="AA1675" s="353">
        <v>3.5</v>
      </c>
      <c r="AB1675" s="31">
        <f t="shared" ca="1" si="35"/>
        <v>0.12493930579095325</v>
      </c>
      <c r="AC1675" s="810"/>
      <c r="AD1675" s="811" t="s">
        <v>16014</v>
      </c>
      <c r="AE1675" s="940" t="s">
        <v>12543</v>
      </c>
      <c r="AF1675" s="920">
        <f>IF(X1675=X1674,AF1674,0)+IF(ISNUMBER(I1675),IF(I1675&lt;1,I1675,I1675*VLOOKUP(J1675,Summary!$H$2:$I$9,2)),VLOOKUP(J1675,Summary!$J$2:$K$9,2)*IF(ISNUMBER(H1675),H1675,1))</f>
        <v>0.84971064814814823</v>
      </c>
      <c r="AG1675" s="287">
        <v>1674</v>
      </c>
      <c r="AH1675" s="94"/>
      <c r="AI1675" s="94"/>
    </row>
    <row r="1676" spans="1:35" s="2" customFormat="1" ht="12" customHeight="1" x14ac:dyDescent="0.25">
      <c r="A1676" s="512">
        <v>20</v>
      </c>
      <c r="B1676" s="512">
        <v>5</v>
      </c>
      <c r="C1676" s="512">
        <v>3.3</v>
      </c>
      <c r="D1676" s="407" t="s">
        <v>5327</v>
      </c>
      <c r="E1676" s="315" t="s">
        <v>5329</v>
      </c>
      <c r="F1676" s="169">
        <v>40878</v>
      </c>
      <c r="G1676" s="170"/>
      <c r="H1676" s="170">
        <v>4</v>
      </c>
      <c r="I1676" s="746">
        <f>TIME(2,9,43)</f>
        <v>9.0081018518518519E-2</v>
      </c>
      <c r="J1676" s="899" t="s">
        <v>4706</v>
      </c>
      <c r="K1676" s="167" t="s">
        <v>5331</v>
      </c>
      <c r="L1676" s="167" t="s">
        <v>2313</v>
      </c>
      <c r="M1676" s="167"/>
      <c r="N1676" s="167" t="s">
        <v>5666</v>
      </c>
      <c r="O1676" s="167" t="s">
        <v>2500</v>
      </c>
      <c r="P1676" s="168" t="s">
        <v>4915</v>
      </c>
      <c r="Q1676" s="167" t="s">
        <v>3947</v>
      </c>
      <c r="R1676" s="172" t="s">
        <v>6992</v>
      </c>
      <c r="S1676" s="388" t="s">
        <v>2607</v>
      </c>
      <c r="T1676" s="168" t="s">
        <v>2320</v>
      </c>
      <c r="U1676" s="168"/>
      <c r="V1676" s="168"/>
      <c r="W1676" s="312" t="s">
        <v>9625</v>
      </c>
      <c r="X1676" s="644" t="s">
        <v>14577</v>
      </c>
      <c r="Y1676" s="352" t="s">
        <v>5643</v>
      </c>
      <c r="Z1676" s="353">
        <v>333</v>
      </c>
      <c r="AA1676" s="353">
        <v>5</v>
      </c>
      <c r="AB1676" s="31">
        <f t="shared" ca="1" si="35"/>
        <v>0.96771329976875653</v>
      </c>
      <c r="AC1676" s="810"/>
      <c r="AD1676" s="811" t="s">
        <v>16475</v>
      </c>
      <c r="AE1676" s="940" t="s">
        <v>3365</v>
      </c>
      <c r="AF1676" s="920">
        <f>IF(X1676=X1675,AF1675,0)+IF(ISNUMBER(I1676),IF(I1676&lt;1,I1676,I1676*VLOOKUP(J1676,Summary!$H$2:$I$9,2)),VLOOKUP(J1676,Summary!$J$2:$K$9,2)*IF(ISNUMBER(H1676),H1676,1))</f>
        <v>0.9397916666666668</v>
      </c>
      <c r="AG1676" s="287">
        <v>1675</v>
      </c>
      <c r="AH1676" s="94"/>
      <c r="AI1676" s="94"/>
    </row>
    <row r="1677" spans="1:35" s="2" customFormat="1" ht="12" customHeight="1" x14ac:dyDescent="0.25">
      <c r="A1677" s="514">
        <v>20</v>
      </c>
      <c r="B1677" s="514">
        <v>5</v>
      </c>
      <c r="C1677" s="514">
        <v>1.0900000000000001</v>
      </c>
      <c r="D1677" s="434" t="s">
        <v>5812</v>
      </c>
      <c r="E1677" s="324" t="s">
        <v>3626</v>
      </c>
      <c r="F1677" s="176">
        <v>1994</v>
      </c>
      <c r="G1677" s="176"/>
      <c r="H1677" s="176">
        <v>1</v>
      </c>
      <c r="I1677" s="176">
        <v>23</v>
      </c>
      <c r="J1677" s="900" t="s">
        <v>2755</v>
      </c>
      <c r="K1677" s="164" t="s">
        <v>3807</v>
      </c>
      <c r="L1677" s="164" t="s">
        <v>461</v>
      </c>
      <c r="M1677" s="164"/>
      <c r="N1677" s="164" t="s">
        <v>7001</v>
      </c>
      <c r="O1677" s="164"/>
      <c r="P1677" s="173" t="s">
        <v>7002</v>
      </c>
      <c r="Q1677" s="164" t="s">
        <v>6548</v>
      </c>
      <c r="R1677" s="179" t="s">
        <v>4598</v>
      </c>
      <c r="S1677" s="354" t="s">
        <v>2607</v>
      </c>
      <c r="T1677" s="173" t="s">
        <v>2320</v>
      </c>
      <c r="U1677" s="173"/>
      <c r="V1677" s="173"/>
      <c r="W1677" s="324" t="s">
        <v>3626</v>
      </c>
      <c r="X1677" s="656" t="s">
        <v>14577</v>
      </c>
      <c r="Y1677" s="354" t="s">
        <v>6868</v>
      </c>
      <c r="Z1677" s="176">
        <v>999</v>
      </c>
      <c r="AA1677" s="176"/>
      <c r="AB1677" s="32">
        <f t="shared" ca="1" si="35"/>
        <v>0.90120991136135475</v>
      </c>
      <c r="AC1677" s="812"/>
      <c r="AD1677" s="763"/>
      <c r="AE1677" s="951"/>
      <c r="AF1677" s="921">
        <f>IF(X1677=X1676,AF1676,0)+IF(ISNUMBER(I1677),IF(I1677&lt;1,I1677,I1677*VLOOKUP(J1677,Summary!$H$2:$I$9,2)),VLOOKUP(J1677,Summary!$J$2:$K$9,2)*IF(ISNUMBER(H1677),H1677,1))</f>
        <v>0.95576388888888908</v>
      </c>
      <c r="AG1677" s="288">
        <v>1676</v>
      </c>
      <c r="AH1677" s="94"/>
      <c r="AI1677" s="94"/>
    </row>
    <row r="1678" spans="1:35" s="2" customFormat="1" ht="12" customHeight="1" x14ac:dyDescent="0.25">
      <c r="A1678" s="515" t="s">
        <v>5167</v>
      </c>
      <c r="B1678" s="515">
        <v>5</v>
      </c>
      <c r="C1678" s="515">
        <v>22</v>
      </c>
      <c r="D1678" s="417" t="s">
        <v>5496</v>
      </c>
      <c r="E1678" s="316" t="s">
        <v>5497</v>
      </c>
      <c r="F1678" s="187">
        <v>35186</v>
      </c>
      <c r="G1678" s="188"/>
      <c r="H1678" s="188" t="str">
        <f>IF(J1678="Book","n/a","")</f>
        <v>n/a</v>
      </c>
      <c r="I1678" s="188">
        <v>256</v>
      </c>
      <c r="J1678" s="902" t="s">
        <v>6868</v>
      </c>
      <c r="K1678" s="162" t="s">
        <v>543</v>
      </c>
      <c r="L1678" s="162" t="str">
        <f>IF(J1678="Book","n/a","")</f>
        <v>n/a</v>
      </c>
      <c r="M1678" s="162"/>
      <c r="N1678" s="162"/>
      <c r="O1678" s="162"/>
      <c r="P1678" s="178" t="s">
        <v>8607</v>
      </c>
      <c r="Q1678" s="162" t="s">
        <v>601</v>
      </c>
      <c r="R1678" s="189" t="s">
        <v>2715</v>
      </c>
      <c r="S1678" s="366" t="s">
        <v>2607</v>
      </c>
      <c r="T1678" s="178" t="s">
        <v>2320</v>
      </c>
      <c r="U1678" s="178"/>
      <c r="V1678" s="178"/>
      <c r="W1678" s="316" t="s">
        <v>5497</v>
      </c>
      <c r="X1678" s="648" t="s">
        <v>14577</v>
      </c>
      <c r="Y1678" s="366" t="s">
        <v>2174</v>
      </c>
      <c r="Z1678" s="272">
        <v>14</v>
      </c>
      <c r="AA1678" s="272">
        <v>9</v>
      </c>
      <c r="AB1678" s="34">
        <f t="shared" ca="1" si="35"/>
        <v>0.56135667190638994</v>
      </c>
      <c r="AC1678" s="814"/>
      <c r="AD1678" s="815" t="s">
        <v>16648</v>
      </c>
      <c r="AE1678" s="942"/>
      <c r="AF1678" s="923">
        <f>IF(X1678=X1677,AF1677,0)+IF(ISNUMBER(I1678),IF(I1678&lt;1,I1678,I1678*VLOOKUP(J1678,Summary!$H$2:$I$9,2)),VLOOKUP(J1678,Summary!$J$2:$K$9,2)*IF(ISNUMBER(H1678),H1678,1))</f>
        <v>1.1335416666666669</v>
      </c>
      <c r="AG1678" s="291">
        <v>1677</v>
      </c>
      <c r="AH1678" s="94"/>
      <c r="AI1678" s="94"/>
    </row>
    <row r="1679" spans="1:35" s="2" customFormat="1" ht="12" customHeight="1" x14ac:dyDescent="0.25">
      <c r="A1679" s="515" t="s">
        <v>5167</v>
      </c>
      <c r="B1679" s="515">
        <v>5</v>
      </c>
      <c r="C1679" s="515">
        <v>13</v>
      </c>
      <c r="D1679" s="417" t="s">
        <v>5498</v>
      </c>
      <c r="E1679" s="316" t="s">
        <v>5499</v>
      </c>
      <c r="F1679" s="187">
        <v>35977</v>
      </c>
      <c r="G1679" s="188"/>
      <c r="H1679" s="188" t="str">
        <f>IF(J1679="Book","n/a","")</f>
        <v>n/a</v>
      </c>
      <c r="I1679" s="188">
        <v>288</v>
      </c>
      <c r="J1679" s="902" t="s">
        <v>6868</v>
      </c>
      <c r="K1679" s="162" t="s">
        <v>6356</v>
      </c>
      <c r="L1679" s="162" t="str">
        <f>IF(J1679="Book","n/a","")</f>
        <v>n/a</v>
      </c>
      <c r="M1679" s="162"/>
      <c r="N1679" s="162"/>
      <c r="O1679" s="162"/>
      <c r="P1679" s="178" t="s">
        <v>8938</v>
      </c>
      <c r="Q1679" s="162" t="s">
        <v>3953</v>
      </c>
      <c r="R1679" s="189" t="s">
        <v>2717</v>
      </c>
      <c r="S1679" s="366" t="s">
        <v>2607</v>
      </c>
      <c r="T1679" s="178" t="s">
        <v>2320</v>
      </c>
      <c r="U1679" s="178"/>
      <c r="V1679" s="178"/>
      <c r="W1679" s="316" t="s">
        <v>5499</v>
      </c>
      <c r="X1679" s="648" t="s">
        <v>14577</v>
      </c>
      <c r="Y1679" s="356" t="s">
        <v>6868</v>
      </c>
      <c r="Z1679" s="272"/>
      <c r="AA1679" s="272"/>
      <c r="AB1679" s="34">
        <f t="shared" ca="1" si="35"/>
        <v>0.10861864677818767</v>
      </c>
      <c r="AC1679" s="814"/>
      <c r="AD1679" s="815" t="s">
        <v>16490</v>
      </c>
      <c r="AE1679" s="942" t="s">
        <v>12543</v>
      </c>
      <c r="AF1679" s="923">
        <f>IF(X1679=X1678,AF1678,0)+IF(ISNUMBER(I1679),IF(I1679&lt;1,I1679,I1679*VLOOKUP(J1679,Summary!$H$2:$I$9,2)),VLOOKUP(J1679,Summary!$J$2:$K$9,2)*IF(ISNUMBER(H1679),H1679,1))</f>
        <v>1.3335416666666668</v>
      </c>
      <c r="AG1679" s="291">
        <v>1678</v>
      </c>
      <c r="AH1679" s="94"/>
      <c r="AI1679" s="94"/>
    </row>
    <row r="1680" spans="1:35" s="2" customFormat="1" ht="12" customHeight="1" x14ac:dyDescent="0.25">
      <c r="A1680" s="512">
        <v>20</v>
      </c>
      <c r="B1680" s="512">
        <v>5</v>
      </c>
      <c r="C1680" s="512">
        <v>209</v>
      </c>
      <c r="D1680" s="407"/>
      <c r="E1680" s="315" t="s">
        <v>10275</v>
      </c>
      <c r="F1680" s="196">
        <v>42417</v>
      </c>
      <c r="G1680" s="170"/>
      <c r="H1680" s="170">
        <v>4</v>
      </c>
      <c r="I1680" s="747">
        <f>TIME(0,120,0)</f>
        <v>8.3333333333333329E-2</v>
      </c>
      <c r="J1680" s="899" t="s">
        <v>4706</v>
      </c>
      <c r="K1680" s="167" t="s">
        <v>2983</v>
      </c>
      <c r="L1680" s="167" t="s">
        <v>2313</v>
      </c>
      <c r="M1680" s="167"/>
      <c r="N1680" s="167"/>
      <c r="O1680" s="167"/>
      <c r="P1680" s="168" t="s">
        <v>10307</v>
      </c>
      <c r="Q1680" s="167" t="s">
        <v>3947</v>
      </c>
      <c r="R1680" s="172" t="s">
        <v>3146</v>
      </c>
      <c r="S1680" s="388" t="s">
        <v>2607</v>
      </c>
      <c r="T1680" s="168" t="s">
        <v>2320</v>
      </c>
      <c r="U1680" s="168"/>
      <c r="V1680" s="168"/>
      <c r="W1680" s="312"/>
      <c r="X1680" s="644" t="s">
        <v>14577</v>
      </c>
      <c r="Y1680" s="352" t="s">
        <v>5643</v>
      </c>
      <c r="Z1680" s="353"/>
      <c r="AA1680" s="353"/>
      <c r="AB1680" s="31">
        <f t="shared" ca="1" si="35"/>
        <v>0.89356192602617068</v>
      </c>
      <c r="AC1680" s="810"/>
      <c r="AD1680" s="811"/>
      <c r="AE1680" s="940"/>
      <c r="AF1680" s="920">
        <f>IF(X1680=X1679,AF1679,0)+IF(ISNUMBER(I1680),IF(I1680&lt;1,I1680,I1680*VLOOKUP(J1680,Summary!$H$2:$I$9,2)),VLOOKUP(J1680,Summary!$J$2:$K$9,2)*IF(ISNUMBER(H1680),H1680,1))</f>
        <v>1.4168750000000001</v>
      </c>
      <c r="AG1680" s="287">
        <v>1679</v>
      </c>
      <c r="AH1680" s="94"/>
      <c r="AI1680" s="94"/>
    </row>
    <row r="1681" spans="1:35" s="1" customFormat="1" ht="12" customHeight="1" x14ac:dyDescent="0.25">
      <c r="A1681" s="512">
        <v>20</v>
      </c>
      <c r="B1681" s="512">
        <v>5</v>
      </c>
      <c r="C1681" s="512">
        <v>210</v>
      </c>
      <c r="D1681" s="407"/>
      <c r="E1681" s="315" t="s">
        <v>10274</v>
      </c>
      <c r="F1681" s="196">
        <v>42444</v>
      </c>
      <c r="G1681" s="170"/>
      <c r="H1681" s="170">
        <v>4</v>
      </c>
      <c r="I1681" s="747">
        <f>TIME(0,120,0)</f>
        <v>8.3333333333333329E-2</v>
      </c>
      <c r="J1681" s="899" t="s">
        <v>4706</v>
      </c>
      <c r="K1681" s="167" t="s">
        <v>5658</v>
      </c>
      <c r="L1681" s="167" t="s">
        <v>10304</v>
      </c>
      <c r="M1681" s="167"/>
      <c r="N1681" s="167"/>
      <c r="O1681" s="167"/>
      <c r="P1681" s="168" t="s">
        <v>10308</v>
      </c>
      <c r="Q1681" s="167" t="s">
        <v>3947</v>
      </c>
      <c r="R1681" s="172" t="s">
        <v>3146</v>
      </c>
      <c r="S1681" s="388" t="s">
        <v>2607</v>
      </c>
      <c r="T1681" s="168" t="s">
        <v>2320</v>
      </c>
      <c r="U1681" s="168"/>
      <c r="V1681" s="168"/>
      <c r="W1681" s="312"/>
      <c r="X1681" s="644" t="s">
        <v>14577</v>
      </c>
      <c r="Y1681" s="352" t="s">
        <v>5643</v>
      </c>
      <c r="Z1681" s="353"/>
      <c r="AA1681" s="353"/>
      <c r="AB1681" s="31">
        <f t="shared" ca="1" si="35"/>
        <v>0.51256727132198032</v>
      </c>
      <c r="AC1681" s="810"/>
      <c r="AD1681" s="811"/>
      <c r="AE1681" s="940"/>
      <c r="AF1681" s="920">
        <f>IF(X1681=X1680,AF1680,0)+IF(ISNUMBER(I1681),IF(I1681&lt;1,I1681,I1681*VLOOKUP(J1681,Summary!$H$2:$I$9,2)),VLOOKUP(J1681,Summary!$J$2:$K$9,2)*IF(ISNUMBER(H1681),H1681,1))</f>
        <v>1.5002083333333334</v>
      </c>
      <c r="AG1681" s="287">
        <v>1680</v>
      </c>
      <c r="AH1681" s="94"/>
      <c r="AI1681" s="94"/>
    </row>
    <row r="1682" spans="1:35" s="1" customFormat="1" ht="12" customHeight="1" x14ac:dyDescent="0.25">
      <c r="A1682" s="517">
        <v>20</v>
      </c>
      <c r="B1682" s="517">
        <v>5</v>
      </c>
      <c r="C1682" s="518">
        <v>5.05</v>
      </c>
      <c r="D1682" s="192" t="s">
        <v>9418</v>
      </c>
      <c r="E1682" s="317" t="s">
        <v>9419</v>
      </c>
      <c r="F1682" s="191">
        <v>42125</v>
      </c>
      <c r="G1682" s="191"/>
      <c r="H1682" s="192">
        <v>1</v>
      </c>
      <c r="I1682" s="753">
        <f>TIME(0,33,35)</f>
        <v>2.3321759259259261E-2</v>
      </c>
      <c r="J1682" s="903" t="s">
        <v>2755</v>
      </c>
      <c r="K1682" s="194" t="s">
        <v>5195</v>
      </c>
      <c r="L1682" s="194" t="s">
        <v>5662</v>
      </c>
      <c r="M1682" s="194" t="s">
        <v>9420</v>
      </c>
      <c r="N1682" s="194"/>
      <c r="O1682" s="194"/>
      <c r="P1682" s="190" t="s">
        <v>9421</v>
      </c>
      <c r="Q1682" s="194" t="s">
        <v>3947</v>
      </c>
      <c r="R1682" s="193" t="s">
        <v>2722</v>
      </c>
      <c r="S1682" s="357" t="s">
        <v>2607</v>
      </c>
      <c r="T1682" s="190" t="s">
        <v>2320</v>
      </c>
      <c r="U1682" s="190"/>
      <c r="V1682" s="190"/>
      <c r="W1682" s="317" t="s">
        <v>9419</v>
      </c>
      <c r="X1682" s="649" t="s">
        <v>14577</v>
      </c>
      <c r="Y1682" s="357" t="s">
        <v>5643</v>
      </c>
      <c r="Z1682" s="192">
        <v>37</v>
      </c>
      <c r="AA1682" s="192">
        <v>4.5</v>
      </c>
      <c r="AB1682" s="37">
        <f t="shared" ca="1" si="35"/>
        <v>0.8348238586050607</v>
      </c>
      <c r="AC1682" s="816"/>
      <c r="AD1682" s="817"/>
      <c r="AE1682" s="943"/>
      <c r="AF1682" s="924">
        <f>IF(X1682=X1681,AF1681,0)+IF(ISNUMBER(I1682),IF(I1682&lt;1,I1682,I1682*VLOOKUP(J1682,Summary!$H$2:$I$9,2)),VLOOKUP(J1682,Summary!$J$2:$K$9,2)*IF(ISNUMBER(H1682),H1682,1))</f>
        <v>1.5235300925925925</v>
      </c>
      <c r="AG1682" s="292">
        <v>1681</v>
      </c>
      <c r="AH1682" s="94"/>
      <c r="AI1682" s="94"/>
    </row>
    <row r="1683" spans="1:35" s="2" customFormat="1" ht="12" customHeight="1" x14ac:dyDescent="0.25">
      <c r="A1683" s="514">
        <v>20</v>
      </c>
      <c r="B1683" s="514">
        <v>5</v>
      </c>
      <c r="C1683" s="514"/>
      <c r="D1683" s="434" t="s">
        <v>7111</v>
      </c>
      <c r="E1683" s="324" t="s">
        <v>2860</v>
      </c>
      <c r="F1683" s="174">
        <v>30195</v>
      </c>
      <c r="G1683" s="174"/>
      <c r="H1683" s="176" t="s">
        <v>461</v>
      </c>
      <c r="I1683" s="176">
        <v>9</v>
      </c>
      <c r="J1683" s="900" t="s">
        <v>2755</v>
      </c>
      <c r="K1683" s="164" t="s">
        <v>7115</v>
      </c>
      <c r="L1683" s="164" t="s">
        <v>5784</v>
      </c>
      <c r="M1683" s="164"/>
      <c r="N1683" s="164"/>
      <c r="O1683" s="164"/>
      <c r="P1683" s="173" t="s">
        <v>7114</v>
      </c>
      <c r="Q1683" s="164" t="s">
        <v>4705</v>
      </c>
      <c r="R1683" s="179" t="s">
        <v>4600</v>
      </c>
      <c r="S1683" s="354" t="s">
        <v>2607</v>
      </c>
      <c r="T1683" s="173" t="s">
        <v>2320</v>
      </c>
      <c r="U1683" s="173"/>
      <c r="V1683" s="173"/>
      <c r="W1683" s="324" t="s">
        <v>2860</v>
      </c>
      <c r="X1683" s="656" t="s">
        <v>14577</v>
      </c>
      <c r="Y1683" s="354"/>
      <c r="Z1683" s="176"/>
      <c r="AA1683" s="176"/>
      <c r="AB1683" s="32">
        <f t="shared" ca="1" si="35"/>
        <v>0.91615800757810828</v>
      </c>
      <c r="AC1683" s="812"/>
      <c r="AD1683" s="763"/>
      <c r="AE1683" s="951"/>
      <c r="AF1683" s="921">
        <f>IF(X1683=X1682,AF1682,0)+IF(ISNUMBER(I1683),IF(I1683&lt;1,I1683,I1683*VLOOKUP(J1683,Summary!$H$2:$I$9,2)),VLOOKUP(J1683,Summary!$J$2:$K$9,2)*IF(ISNUMBER(H1683),H1683,1))</f>
        <v>1.5297800925925926</v>
      </c>
      <c r="AG1683" s="289">
        <v>1682</v>
      </c>
      <c r="AH1683" s="94"/>
      <c r="AI1683" s="94"/>
    </row>
    <row r="1684" spans="1:35" s="43" customFormat="1" ht="12" customHeight="1" x14ac:dyDescent="0.25">
      <c r="A1684" s="514">
        <v>20</v>
      </c>
      <c r="B1684" s="514">
        <v>5</v>
      </c>
      <c r="C1684" s="514"/>
      <c r="D1684" s="434" t="s">
        <v>7111</v>
      </c>
      <c r="E1684" s="324" t="s">
        <v>2861</v>
      </c>
      <c r="F1684" s="174">
        <v>30195</v>
      </c>
      <c r="G1684" s="174"/>
      <c r="H1684" s="176" t="s">
        <v>461</v>
      </c>
      <c r="I1684" s="176">
        <v>6</v>
      </c>
      <c r="J1684" s="900" t="s">
        <v>2755</v>
      </c>
      <c r="K1684" s="164" t="s">
        <v>7115</v>
      </c>
      <c r="L1684" s="164" t="s">
        <v>5784</v>
      </c>
      <c r="M1684" s="164"/>
      <c r="N1684" s="164"/>
      <c r="O1684" s="164"/>
      <c r="P1684" s="173" t="s">
        <v>7114</v>
      </c>
      <c r="Q1684" s="164" t="s">
        <v>4705</v>
      </c>
      <c r="R1684" s="179" t="s">
        <v>4600</v>
      </c>
      <c r="S1684" s="354" t="s">
        <v>2607</v>
      </c>
      <c r="T1684" s="173" t="s">
        <v>2320</v>
      </c>
      <c r="U1684" s="173"/>
      <c r="V1684" s="173"/>
      <c r="W1684" s="324" t="s">
        <v>2861</v>
      </c>
      <c r="X1684" s="656" t="s">
        <v>14577</v>
      </c>
      <c r="Y1684" s="354"/>
      <c r="Z1684" s="176"/>
      <c r="AA1684" s="176"/>
      <c r="AB1684" s="32">
        <f t="shared" ca="1" si="35"/>
        <v>9.8251717810125982E-2</v>
      </c>
      <c r="AC1684" s="812"/>
      <c r="AD1684" s="763"/>
      <c r="AE1684" s="951"/>
      <c r="AF1684" s="921">
        <f>IF(X1684=X1683,AF1683,0)+IF(ISNUMBER(I1684),IF(I1684&lt;1,I1684,I1684*VLOOKUP(J1684,Summary!$H$2:$I$9,2)),VLOOKUP(J1684,Summary!$J$2:$K$9,2)*IF(ISNUMBER(H1684),H1684,1))</f>
        <v>1.5339467592592593</v>
      </c>
      <c r="AG1684" s="288">
        <v>1683</v>
      </c>
      <c r="AH1684" s="94"/>
      <c r="AI1684" s="94"/>
    </row>
    <row r="1685" spans="1:35" s="1" customFormat="1" ht="12" customHeight="1" x14ac:dyDescent="0.25">
      <c r="A1685" s="514">
        <v>20</v>
      </c>
      <c r="B1685" s="514">
        <v>5</v>
      </c>
      <c r="C1685" s="514"/>
      <c r="D1685" s="434" t="s">
        <v>7111</v>
      </c>
      <c r="E1685" s="324" t="s">
        <v>2862</v>
      </c>
      <c r="F1685" s="174">
        <v>30195</v>
      </c>
      <c r="G1685" s="174"/>
      <c r="H1685" s="176" t="s">
        <v>461</v>
      </c>
      <c r="I1685" s="176">
        <v>7</v>
      </c>
      <c r="J1685" s="900" t="s">
        <v>2755</v>
      </c>
      <c r="K1685" s="164" t="s">
        <v>7115</v>
      </c>
      <c r="L1685" s="164" t="s">
        <v>5784</v>
      </c>
      <c r="M1685" s="164"/>
      <c r="N1685" s="164"/>
      <c r="O1685" s="164"/>
      <c r="P1685" s="173" t="s">
        <v>7114</v>
      </c>
      <c r="Q1685" s="164" t="s">
        <v>4705</v>
      </c>
      <c r="R1685" s="179" t="s">
        <v>4600</v>
      </c>
      <c r="S1685" s="354" t="s">
        <v>2607</v>
      </c>
      <c r="T1685" s="173" t="s">
        <v>2320</v>
      </c>
      <c r="U1685" s="173"/>
      <c r="V1685" s="173"/>
      <c r="W1685" s="324" t="s">
        <v>2862</v>
      </c>
      <c r="X1685" s="656" t="s">
        <v>14577</v>
      </c>
      <c r="Y1685" s="354"/>
      <c r="Z1685" s="176"/>
      <c r="AA1685" s="176"/>
      <c r="AB1685" s="32">
        <f t="shared" ca="1" si="35"/>
        <v>0.44921438014245663</v>
      </c>
      <c r="AC1685" s="812"/>
      <c r="AD1685" s="763"/>
      <c r="AE1685" s="951"/>
      <c r="AF1685" s="921">
        <f>IF(X1685=X1684,AF1684,0)+IF(ISNUMBER(I1685),IF(I1685&lt;1,I1685,I1685*VLOOKUP(J1685,Summary!$H$2:$I$9,2)),VLOOKUP(J1685,Summary!$J$2:$K$9,2)*IF(ISNUMBER(H1685),H1685,1))</f>
        <v>1.5388078703703705</v>
      </c>
      <c r="AG1685" s="289">
        <v>1684</v>
      </c>
      <c r="AH1685" s="94"/>
      <c r="AI1685" s="94"/>
    </row>
    <row r="1686" spans="1:35" s="1" customFormat="1" ht="12" customHeight="1" x14ac:dyDescent="0.25">
      <c r="A1686" s="514">
        <v>20</v>
      </c>
      <c r="B1686" s="514">
        <v>5</v>
      </c>
      <c r="C1686" s="514"/>
      <c r="D1686" s="434" t="s">
        <v>7111</v>
      </c>
      <c r="E1686" s="324" t="s">
        <v>2863</v>
      </c>
      <c r="F1686" s="174">
        <v>30195</v>
      </c>
      <c r="G1686" s="174"/>
      <c r="H1686" s="176" t="s">
        <v>461</v>
      </c>
      <c r="I1686" s="176">
        <v>6</v>
      </c>
      <c r="J1686" s="900" t="s">
        <v>2755</v>
      </c>
      <c r="K1686" s="164" t="s">
        <v>7115</v>
      </c>
      <c r="L1686" s="164" t="s">
        <v>5784</v>
      </c>
      <c r="M1686" s="164"/>
      <c r="N1686" s="164"/>
      <c r="O1686" s="164"/>
      <c r="P1686" s="173" t="s">
        <v>7114</v>
      </c>
      <c r="Q1686" s="164" t="s">
        <v>4705</v>
      </c>
      <c r="R1686" s="179" t="s">
        <v>4600</v>
      </c>
      <c r="S1686" s="354" t="s">
        <v>2607</v>
      </c>
      <c r="T1686" s="173" t="s">
        <v>2320</v>
      </c>
      <c r="U1686" s="173"/>
      <c r="V1686" s="173"/>
      <c r="W1686" s="324" t="s">
        <v>2863</v>
      </c>
      <c r="X1686" s="656" t="s">
        <v>14577</v>
      </c>
      <c r="Y1686" s="354"/>
      <c r="Z1686" s="176"/>
      <c r="AA1686" s="176"/>
      <c r="AB1686" s="32">
        <f t="shared" ca="1" si="35"/>
        <v>0.43231815941268947</v>
      </c>
      <c r="AC1686" s="812"/>
      <c r="AD1686" s="763"/>
      <c r="AE1686" s="951"/>
      <c r="AF1686" s="921">
        <f>IF(X1686=X1685,AF1685,0)+IF(ISNUMBER(I1686),IF(I1686&lt;1,I1686,I1686*VLOOKUP(J1686,Summary!$H$2:$I$9,2)),VLOOKUP(J1686,Summary!$J$2:$K$9,2)*IF(ISNUMBER(H1686),H1686,1))</f>
        <v>1.5429745370370371</v>
      </c>
      <c r="AG1686" s="288">
        <v>1685</v>
      </c>
      <c r="AH1686" s="94"/>
      <c r="AI1686" s="94"/>
    </row>
    <row r="1687" spans="1:35" s="1" customFormat="1" ht="12" customHeight="1" x14ac:dyDescent="0.25">
      <c r="A1687" s="514">
        <v>20</v>
      </c>
      <c r="B1687" s="514">
        <v>5</v>
      </c>
      <c r="C1687" s="514"/>
      <c r="D1687" s="434" t="s">
        <v>7111</v>
      </c>
      <c r="E1687" s="324" t="s">
        <v>2864</v>
      </c>
      <c r="F1687" s="174">
        <v>30195</v>
      </c>
      <c r="G1687" s="174"/>
      <c r="H1687" s="176" t="s">
        <v>461</v>
      </c>
      <c r="I1687" s="176">
        <v>5</v>
      </c>
      <c r="J1687" s="900" t="s">
        <v>2755</v>
      </c>
      <c r="K1687" s="164" t="s">
        <v>7115</v>
      </c>
      <c r="L1687" s="164" t="s">
        <v>5784</v>
      </c>
      <c r="M1687" s="164"/>
      <c r="N1687" s="164"/>
      <c r="O1687" s="164"/>
      <c r="P1687" s="173" t="s">
        <v>7114</v>
      </c>
      <c r="Q1687" s="164" t="s">
        <v>4705</v>
      </c>
      <c r="R1687" s="179" t="s">
        <v>4600</v>
      </c>
      <c r="S1687" s="354" t="s">
        <v>2607</v>
      </c>
      <c r="T1687" s="173" t="s">
        <v>2320</v>
      </c>
      <c r="U1687" s="173"/>
      <c r="V1687" s="173"/>
      <c r="W1687" s="324" t="s">
        <v>2864</v>
      </c>
      <c r="X1687" s="656" t="s">
        <v>14577</v>
      </c>
      <c r="Y1687" s="354"/>
      <c r="Z1687" s="176"/>
      <c r="AA1687" s="176"/>
      <c r="AB1687" s="32">
        <f t="shared" ca="1" si="35"/>
        <v>8.7529312908933954E-2</v>
      </c>
      <c r="AC1687" s="812"/>
      <c r="AD1687" s="763"/>
      <c r="AE1687" s="951"/>
      <c r="AF1687" s="921">
        <f>IF(X1687=X1686,AF1686,0)+IF(ISNUMBER(I1687),IF(I1687&lt;1,I1687,I1687*VLOOKUP(J1687,Summary!$H$2:$I$9,2)),VLOOKUP(J1687,Summary!$J$2:$K$9,2)*IF(ISNUMBER(H1687),H1687,1))</f>
        <v>1.5464467592592595</v>
      </c>
      <c r="AG1687" s="288">
        <v>1686</v>
      </c>
      <c r="AH1687" s="94"/>
      <c r="AI1687" s="94"/>
    </row>
    <row r="1688" spans="1:35" s="1" customFormat="1" ht="12" customHeight="1" x14ac:dyDescent="0.25">
      <c r="A1688" s="514">
        <v>20</v>
      </c>
      <c r="B1688" s="514">
        <v>5</v>
      </c>
      <c r="C1688" s="514"/>
      <c r="D1688" s="434" t="s">
        <v>7111</v>
      </c>
      <c r="E1688" s="324" t="s">
        <v>2865</v>
      </c>
      <c r="F1688" s="174">
        <v>30195</v>
      </c>
      <c r="G1688" s="174"/>
      <c r="H1688" s="176" t="s">
        <v>461</v>
      </c>
      <c r="I1688" s="176">
        <v>7</v>
      </c>
      <c r="J1688" s="900" t="s">
        <v>2755</v>
      </c>
      <c r="K1688" s="164" t="s">
        <v>7115</v>
      </c>
      <c r="L1688" s="164" t="s">
        <v>5784</v>
      </c>
      <c r="M1688" s="164"/>
      <c r="N1688" s="164"/>
      <c r="O1688" s="164"/>
      <c r="P1688" s="173" t="s">
        <v>7114</v>
      </c>
      <c r="Q1688" s="164" t="s">
        <v>4705</v>
      </c>
      <c r="R1688" s="179" t="s">
        <v>4600</v>
      </c>
      <c r="S1688" s="354" t="s">
        <v>2607</v>
      </c>
      <c r="T1688" s="173" t="s">
        <v>2320</v>
      </c>
      <c r="U1688" s="173"/>
      <c r="V1688" s="173"/>
      <c r="W1688" s="324" t="s">
        <v>2865</v>
      </c>
      <c r="X1688" s="656" t="s">
        <v>14577</v>
      </c>
      <c r="Y1688" s="354"/>
      <c r="Z1688" s="176"/>
      <c r="AA1688" s="176"/>
      <c r="AB1688" s="32">
        <f t="shared" ca="1" si="35"/>
        <v>0.84721658279314194</v>
      </c>
      <c r="AC1688" s="812"/>
      <c r="AD1688" s="763"/>
      <c r="AE1688" s="951"/>
      <c r="AF1688" s="921">
        <f>IF(X1688=X1687,AF1687,0)+IF(ISNUMBER(I1688),IF(I1688&lt;1,I1688,I1688*VLOOKUP(J1688,Summary!$H$2:$I$9,2)),VLOOKUP(J1688,Summary!$J$2:$K$9,2)*IF(ISNUMBER(H1688),H1688,1))</f>
        <v>1.5513078703703707</v>
      </c>
      <c r="AG1688" s="289">
        <v>1687</v>
      </c>
      <c r="AH1688" s="94"/>
      <c r="AI1688" s="94"/>
    </row>
    <row r="1689" spans="1:35" s="22" customFormat="1" ht="12" customHeight="1" x14ac:dyDescent="0.25">
      <c r="A1689" s="514">
        <v>20</v>
      </c>
      <c r="B1689" s="514">
        <v>5</v>
      </c>
      <c r="C1689" s="514">
        <v>6.11</v>
      </c>
      <c r="D1689" s="434" t="s">
        <v>2357</v>
      </c>
      <c r="E1689" s="324" t="s">
        <v>2356</v>
      </c>
      <c r="F1689" s="174">
        <v>37773</v>
      </c>
      <c r="G1689" s="174"/>
      <c r="H1689" s="176">
        <v>1</v>
      </c>
      <c r="I1689" s="176">
        <v>12</v>
      </c>
      <c r="J1689" s="900" t="s">
        <v>2755</v>
      </c>
      <c r="K1689" s="164" t="s">
        <v>6997</v>
      </c>
      <c r="L1689" s="164" t="s">
        <v>461</v>
      </c>
      <c r="M1689" s="164"/>
      <c r="N1689" s="164" t="s">
        <v>4996</v>
      </c>
      <c r="O1689" s="164"/>
      <c r="P1689" s="173" t="s">
        <v>4997</v>
      </c>
      <c r="Q1689" s="164" t="s">
        <v>3947</v>
      </c>
      <c r="R1689" s="179" t="s">
        <v>2723</v>
      </c>
      <c r="S1689" s="354" t="s">
        <v>2607</v>
      </c>
      <c r="T1689" s="173" t="s">
        <v>2320</v>
      </c>
      <c r="U1689" s="173"/>
      <c r="V1689" s="173"/>
      <c r="W1689" s="324" t="s">
        <v>2356</v>
      </c>
      <c r="X1689" s="656" t="s">
        <v>14577</v>
      </c>
      <c r="Y1689" s="354"/>
      <c r="Z1689" s="176">
        <v>999</v>
      </c>
      <c r="AA1689" s="176"/>
      <c r="AB1689" s="32">
        <f t="shared" ca="1" si="35"/>
        <v>0.79696558732841449</v>
      </c>
      <c r="AC1689" s="812"/>
      <c r="AD1689" s="763"/>
      <c r="AE1689" s="951"/>
      <c r="AF1689" s="921">
        <f>IF(X1689=X1688,AF1688,0)+IF(ISNUMBER(I1689),IF(I1689&lt;1,I1689,I1689*VLOOKUP(J1689,Summary!$H$2:$I$9,2)),VLOOKUP(J1689,Summary!$J$2:$K$9,2)*IF(ISNUMBER(H1689),H1689,1))</f>
        <v>1.559641203703704</v>
      </c>
      <c r="AG1689" s="288">
        <v>1688</v>
      </c>
      <c r="AH1689" s="94"/>
      <c r="AI1689" s="94"/>
    </row>
    <row r="1690" spans="1:35" s="3" customFormat="1" ht="12" customHeight="1" x14ac:dyDescent="0.25">
      <c r="A1690" s="514">
        <v>20</v>
      </c>
      <c r="B1690" s="514">
        <v>5</v>
      </c>
      <c r="C1690" s="514">
        <v>8.07</v>
      </c>
      <c r="D1690" s="434" t="s">
        <v>2358</v>
      </c>
      <c r="E1690" s="324" t="s">
        <v>2355</v>
      </c>
      <c r="F1690" s="174">
        <v>37956</v>
      </c>
      <c r="G1690" s="174"/>
      <c r="H1690" s="176">
        <v>1</v>
      </c>
      <c r="I1690" s="176">
        <v>7</v>
      </c>
      <c r="J1690" s="900" t="s">
        <v>2755</v>
      </c>
      <c r="K1690" s="164" t="s">
        <v>7800</v>
      </c>
      <c r="L1690" s="164" t="s">
        <v>461</v>
      </c>
      <c r="M1690" s="164"/>
      <c r="N1690" s="164" t="s">
        <v>4996</v>
      </c>
      <c r="O1690" s="164"/>
      <c r="P1690" s="173" t="s">
        <v>2555</v>
      </c>
      <c r="Q1690" s="164" t="s">
        <v>3947</v>
      </c>
      <c r="R1690" s="179" t="s">
        <v>2723</v>
      </c>
      <c r="S1690" s="354" t="s">
        <v>2607</v>
      </c>
      <c r="T1690" s="173" t="s">
        <v>2320</v>
      </c>
      <c r="U1690" s="173"/>
      <c r="V1690" s="173"/>
      <c r="W1690" s="324" t="s">
        <v>2355</v>
      </c>
      <c r="X1690" s="656" t="s">
        <v>14577</v>
      </c>
      <c r="Y1690" s="354"/>
      <c r="Z1690" s="176"/>
      <c r="AA1690" s="176"/>
      <c r="AB1690" s="32">
        <f t="shared" ca="1" si="35"/>
        <v>0.13595876350026814</v>
      </c>
      <c r="AC1690" s="812"/>
      <c r="AD1690" s="763"/>
      <c r="AE1690" s="951"/>
      <c r="AF1690" s="921">
        <f>IF(X1690=X1689,AF1689,0)+IF(ISNUMBER(I1690),IF(I1690&lt;1,I1690,I1690*VLOOKUP(J1690,Summary!$H$2:$I$9,2)),VLOOKUP(J1690,Summary!$J$2:$K$9,2)*IF(ISNUMBER(H1690),H1690,1))</f>
        <v>1.5645023148148152</v>
      </c>
      <c r="AG1690" s="288">
        <v>1689</v>
      </c>
      <c r="AH1690" s="94"/>
      <c r="AI1690" s="94"/>
    </row>
    <row r="1691" spans="1:35" s="3" customFormat="1" ht="12" customHeight="1" x14ac:dyDescent="0.25">
      <c r="A1691" s="514">
        <v>20</v>
      </c>
      <c r="B1691" s="514">
        <v>5</v>
      </c>
      <c r="C1691" s="514">
        <v>27.04</v>
      </c>
      <c r="D1691" s="434" t="s">
        <v>2360</v>
      </c>
      <c r="E1691" s="324" t="s">
        <v>2354</v>
      </c>
      <c r="F1691" s="174">
        <v>39569</v>
      </c>
      <c r="G1691" s="174"/>
      <c r="H1691" s="176" t="s">
        <v>461</v>
      </c>
      <c r="I1691" s="176">
        <v>24</v>
      </c>
      <c r="J1691" s="900" t="s">
        <v>2755</v>
      </c>
      <c r="K1691" s="164" t="s">
        <v>2359</v>
      </c>
      <c r="L1691" s="164" t="s">
        <v>461</v>
      </c>
      <c r="M1691" s="164"/>
      <c r="N1691" s="164" t="s">
        <v>7621</v>
      </c>
      <c r="O1691" s="164"/>
      <c r="P1691" s="173" t="s">
        <v>6705</v>
      </c>
      <c r="Q1691" s="164" t="s">
        <v>3947</v>
      </c>
      <c r="R1691" s="179" t="s">
        <v>2723</v>
      </c>
      <c r="S1691" s="354" t="s">
        <v>2607</v>
      </c>
      <c r="T1691" s="173" t="s">
        <v>2320</v>
      </c>
      <c r="U1691" s="173"/>
      <c r="V1691" s="173"/>
      <c r="W1691" s="324" t="s">
        <v>2354</v>
      </c>
      <c r="X1691" s="656" t="s">
        <v>14577</v>
      </c>
      <c r="Y1691" s="354"/>
      <c r="Z1691" s="176"/>
      <c r="AA1691" s="176"/>
      <c r="AB1691" s="32">
        <f t="shared" ca="1" si="35"/>
        <v>0.74843962087293858</v>
      </c>
      <c r="AC1691" s="812"/>
      <c r="AD1691" s="763"/>
      <c r="AE1691" s="951"/>
      <c r="AF1691" s="921">
        <f>IF(X1691=X1690,AF1690,0)+IF(ISNUMBER(I1691),IF(I1691&lt;1,I1691,I1691*VLOOKUP(J1691,Summary!$H$2:$I$9,2)),VLOOKUP(J1691,Summary!$J$2:$K$9,2)*IF(ISNUMBER(H1691),H1691,1))</f>
        <v>1.5811689814814818</v>
      </c>
      <c r="AG1691" s="288">
        <v>1690</v>
      </c>
      <c r="AH1691" s="94"/>
      <c r="AI1691" s="94"/>
    </row>
    <row r="1692" spans="1:35" s="3" customFormat="1" ht="12" customHeight="1" x14ac:dyDescent="0.25">
      <c r="A1692" s="514">
        <v>20</v>
      </c>
      <c r="B1692" s="514">
        <v>5</v>
      </c>
      <c r="C1692" s="514">
        <v>23.18</v>
      </c>
      <c r="D1692" s="434" t="s">
        <v>2859</v>
      </c>
      <c r="E1692" s="324" t="s">
        <v>2353</v>
      </c>
      <c r="F1692" s="174">
        <v>39234</v>
      </c>
      <c r="G1692" s="175"/>
      <c r="H1692" s="176">
        <v>1</v>
      </c>
      <c r="I1692" s="176">
        <v>23</v>
      </c>
      <c r="J1692" s="900" t="s">
        <v>2755</v>
      </c>
      <c r="K1692" s="157" t="s">
        <v>2858</v>
      </c>
      <c r="L1692" s="157" t="s">
        <v>461</v>
      </c>
      <c r="M1692" s="157"/>
      <c r="N1692" s="157" t="s">
        <v>804</v>
      </c>
      <c r="O1692" s="157"/>
      <c r="P1692" s="173" t="s">
        <v>6700</v>
      </c>
      <c r="Q1692" s="164" t="s">
        <v>3947</v>
      </c>
      <c r="R1692" s="179" t="s">
        <v>2723</v>
      </c>
      <c r="S1692" s="354" t="s">
        <v>2607</v>
      </c>
      <c r="T1692" s="173" t="s">
        <v>2320</v>
      </c>
      <c r="U1692" s="173"/>
      <c r="V1692" s="173"/>
      <c r="W1692" s="324" t="s">
        <v>2353</v>
      </c>
      <c r="X1692" s="656" t="s">
        <v>14577</v>
      </c>
      <c r="Y1692" s="363"/>
      <c r="Z1692" s="364"/>
      <c r="AA1692" s="364"/>
      <c r="AB1692" s="32">
        <f t="shared" ca="1" si="35"/>
        <v>0.91712439704763493</v>
      </c>
      <c r="AC1692" s="812"/>
      <c r="AD1692" s="763"/>
      <c r="AE1692" s="951"/>
      <c r="AF1692" s="921">
        <f>IF(X1692=X1691,AF1691,0)+IF(ISNUMBER(I1692),IF(I1692&lt;1,I1692,I1692*VLOOKUP(J1692,Summary!$H$2:$I$9,2)),VLOOKUP(J1692,Summary!$J$2:$K$9,2)*IF(ISNUMBER(H1692),H1692,1))</f>
        <v>1.597141203703704</v>
      </c>
      <c r="AG1692" s="288">
        <v>1691</v>
      </c>
      <c r="AH1692" s="94"/>
      <c r="AI1692" s="94"/>
    </row>
    <row r="1693" spans="1:35" s="3" customFormat="1" ht="12" customHeight="1" x14ac:dyDescent="0.25">
      <c r="A1693" s="517">
        <v>20</v>
      </c>
      <c r="B1693" s="517">
        <v>5</v>
      </c>
      <c r="C1693" s="518">
        <v>4.05</v>
      </c>
      <c r="D1693" s="192" t="s">
        <v>408</v>
      </c>
      <c r="E1693" s="317" t="s">
        <v>422</v>
      </c>
      <c r="F1693" s="209">
        <v>40786</v>
      </c>
      <c r="G1693" s="209"/>
      <c r="H1693" s="192">
        <v>1</v>
      </c>
      <c r="I1693" s="753">
        <f>TIME(0,17,31)</f>
        <v>1.2164351851851852E-2</v>
      </c>
      <c r="J1693" s="903" t="s">
        <v>2755</v>
      </c>
      <c r="K1693" s="194" t="s">
        <v>1033</v>
      </c>
      <c r="L1693" s="194" t="s">
        <v>3426</v>
      </c>
      <c r="M1693" s="194" t="s">
        <v>497</v>
      </c>
      <c r="N1693" s="194"/>
      <c r="O1693" s="194"/>
      <c r="P1693" s="190" t="s">
        <v>5598</v>
      </c>
      <c r="Q1693" s="194" t="s">
        <v>3947</v>
      </c>
      <c r="R1693" s="193" t="s">
        <v>2722</v>
      </c>
      <c r="S1693" s="354" t="s">
        <v>2607</v>
      </c>
      <c r="T1693" s="173" t="s">
        <v>2320</v>
      </c>
      <c r="U1693" s="190"/>
      <c r="V1693" s="190"/>
      <c r="W1693" s="317" t="s">
        <v>422</v>
      </c>
      <c r="X1693" s="649" t="s">
        <v>14577</v>
      </c>
      <c r="Y1693" s="357" t="s">
        <v>5643</v>
      </c>
      <c r="Z1693" s="192">
        <v>999</v>
      </c>
      <c r="AA1693" s="192"/>
      <c r="AB1693" s="37">
        <f t="shared" ca="1" si="35"/>
        <v>0.60096971405241628</v>
      </c>
      <c r="AC1693" s="816"/>
      <c r="AD1693" s="817"/>
      <c r="AE1693" s="943"/>
      <c r="AF1693" s="924">
        <f>IF(X1693=X1692,AF1692,0)+IF(ISNUMBER(I1693),IF(I1693&lt;1,I1693,I1693*VLOOKUP(J1693,Summary!$H$2:$I$9,2)),VLOOKUP(J1693,Summary!$J$2:$K$9,2)*IF(ISNUMBER(H1693),H1693,1))</f>
        <v>1.609305555555556</v>
      </c>
      <c r="AG1693" s="292">
        <v>1692</v>
      </c>
      <c r="AH1693" s="94"/>
      <c r="AI1693" s="94"/>
    </row>
    <row r="1694" spans="1:35" s="1" customFormat="1" ht="12" customHeight="1" x14ac:dyDescent="0.25">
      <c r="A1694" s="517">
        <v>20</v>
      </c>
      <c r="B1694" s="517">
        <v>5</v>
      </c>
      <c r="C1694" s="518">
        <v>8.11</v>
      </c>
      <c r="D1694" s="192" t="s">
        <v>15737</v>
      </c>
      <c r="E1694" s="317" t="s">
        <v>15738</v>
      </c>
      <c r="F1694" s="209">
        <v>43433</v>
      </c>
      <c r="G1694" s="191"/>
      <c r="H1694" s="192">
        <v>1</v>
      </c>
      <c r="I1694" s="796">
        <f>TIME(0,36,0)</f>
        <v>2.4999999999999998E-2</v>
      </c>
      <c r="J1694" s="903" t="s">
        <v>2755</v>
      </c>
      <c r="K1694" s="194" t="s">
        <v>2308</v>
      </c>
      <c r="L1694" s="194" t="s">
        <v>5662</v>
      </c>
      <c r="M1694" s="194" t="s">
        <v>9420</v>
      </c>
      <c r="N1694" s="194" t="s">
        <v>5195</v>
      </c>
      <c r="O1694" s="194" t="s">
        <v>5195</v>
      </c>
      <c r="P1694" s="190" t="s">
        <v>15739</v>
      </c>
      <c r="Q1694" s="194" t="s">
        <v>3947</v>
      </c>
      <c r="R1694" s="193" t="s">
        <v>2722</v>
      </c>
      <c r="S1694" s="357" t="s">
        <v>2607</v>
      </c>
      <c r="T1694" s="190" t="s">
        <v>2320</v>
      </c>
      <c r="U1694" s="190"/>
      <c r="V1694" s="190"/>
      <c r="W1694" s="317" t="s">
        <v>15738</v>
      </c>
      <c r="X1694" s="649" t="s">
        <v>14577</v>
      </c>
      <c r="Y1694" s="357" t="s">
        <v>5643</v>
      </c>
      <c r="Z1694" s="806"/>
      <c r="AA1694" s="806"/>
      <c r="AB1694" s="37">
        <f t="shared" ca="1" si="35"/>
        <v>7.9922370906988727E-2</v>
      </c>
      <c r="AC1694" s="816"/>
      <c r="AD1694" s="817"/>
      <c r="AE1694" s="943"/>
      <c r="AF1694" s="924">
        <f>IF(X1694=X1693,AF1693,0)+IF(ISNUMBER(I1694),IF(I1694&lt;1,I1694,I1694*VLOOKUP(J1694,Summary!$H$2:$I$9,2)),VLOOKUP(J1694,Summary!$J$2:$K$9,2)*IF(ISNUMBER(H1694),H1694,1))</f>
        <v>1.6343055555555559</v>
      </c>
      <c r="AG1694" s="292">
        <v>1693</v>
      </c>
      <c r="AH1694" s="94"/>
      <c r="AI1694" s="94"/>
    </row>
    <row r="1695" spans="1:35" s="3" customFormat="1" ht="12" customHeight="1" x14ac:dyDescent="0.25">
      <c r="A1695" s="511" t="s">
        <v>5167</v>
      </c>
      <c r="B1695" s="511">
        <v>5</v>
      </c>
      <c r="C1695" s="511">
        <v>124</v>
      </c>
      <c r="D1695" s="424" t="s">
        <v>5500</v>
      </c>
      <c r="E1695" s="319" t="s">
        <v>5501</v>
      </c>
      <c r="F1695" s="198">
        <v>30334</v>
      </c>
      <c r="G1695" s="198">
        <v>30342</v>
      </c>
      <c r="H1695" s="199">
        <v>4</v>
      </c>
      <c r="I1695" s="791">
        <f>TIME(0,24,26)+TIME(0,24,35)+TIME(0,24,29)+TIME(0,24,29)</f>
        <v>6.8043981481481483E-2</v>
      </c>
      <c r="J1695" s="904" t="s">
        <v>1588</v>
      </c>
      <c r="K1695" s="200" t="s">
        <v>6267</v>
      </c>
      <c r="L1695" s="200" t="s">
        <v>2365</v>
      </c>
      <c r="M1695" s="200"/>
      <c r="N1695" s="200" t="s">
        <v>2366</v>
      </c>
      <c r="O1695" s="200" t="s">
        <v>6962</v>
      </c>
      <c r="P1695" s="197" t="s">
        <v>461</v>
      </c>
      <c r="Q1695" s="200" t="s">
        <v>3946</v>
      </c>
      <c r="R1695" s="201" t="s">
        <v>5280</v>
      </c>
      <c r="S1695" s="390" t="s">
        <v>2607</v>
      </c>
      <c r="T1695" s="197" t="s">
        <v>2320</v>
      </c>
      <c r="U1695" s="197"/>
      <c r="V1695" s="197"/>
      <c r="W1695" s="318" t="s">
        <v>9674</v>
      </c>
      <c r="X1695" s="650" t="s">
        <v>14577</v>
      </c>
      <c r="Y1695" s="358" t="s">
        <v>6141</v>
      </c>
      <c r="Z1695" s="253">
        <v>104</v>
      </c>
      <c r="AA1695" s="253">
        <v>7</v>
      </c>
      <c r="AB1695" s="35">
        <f t="shared" ca="1" si="35"/>
        <v>0.99335697546049773</v>
      </c>
      <c r="AC1695" s="820"/>
      <c r="AD1695" s="821" t="s">
        <v>16361</v>
      </c>
      <c r="AE1695" s="944" t="s">
        <v>15062</v>
      </c>
      <c r="AF1695" s="925">
        <f>IF(X1695=X1694,AF1694,0)+IF(ISNUMBER(I1695),IF(I1695&lt;1,I1695,I1695*VLOOKUP(J1695,Summary!$H$2:$I$9,2)),VLOOKUP(J1695,Summary!$J$2:$K$9,2)*IF(ISNUMBER(H1695),H1695,1))</f>
        <v>1.7023495370370374</v>
      </c>
      <c r="AG1695" s="293">
        <v>1694</v>
      </c>
      <c r="AH1695" s="94"/>
      <c r="AI1695" s="94"/>
    </row>
    <row r="1696" spans="1:35" s="43" customFormat="1" ht="12" customHeight="1" x14ac:dyDescent="0.25">
      <c r="A1696" s="408"/>
      <c r="B1696" s="408" t="s">
        <v>2650</v>
      </c>
      <c r="C1696" s="408">
        <v>12</v>
      </c>
      <c r="D1696" s="176" t="s">
        <v>9813</v>
      </c>
      <c r="E1696" s="313" t="s">
        <v>9814</v>
      </c>
      <c r="F1696" s="175">
        <v>41802</v>
      </c>
      <c r="G1696" s="174"/>
      <c r="H1696" s="176">
        <v>1</v>
      </c>
      <c r="I1696" s="176">
        <v>5</v>
      </c>
      <c r="J1696" s="900" t="s">
        <v>2755</v>
      </c>
      <c r="K1696" s="164" t="s">
        <v>9281</v>
      </c>
      <c r="L1696" s="164" t="s">
        <v>461</v>
      </c>
      <c r="M1696" s="164"/>
      <c r="N1696" s="164" t="s">
        <v>543</v>
      </c>
      <c r="O1696" s="164"/>
      <c r="P1696" s="173" t="s">
        <v>9278</v>
      </c>
      <c r="Q1696" s="164" t="s">
        <v>3953</v>
      </c>
      <c r="R1696" s="177" t="s">
        <v>9279</v>
      </c>
      <c r="S1696" s="354"/>
      <c r="T1696" s="173"/>
      <c r="U1696" s="173"/>
      <c r="V1696" s="173"/>
      <c r="W1696" s="313" t="s">
        <v>9814</v>
      </c>
      <c r="X1696" s="645" t="s">
        <v>14577</v>
      </c>
      <c r="Y1696" s="354" t="s">
        <v>6868</v>
      </c>
      <c r="Z1696" s="176"/>
      <c r="AA1696" s="176"/>
      <c r="AB1696" s="32">
        <f t="shared" ca="1" si="35"/>
        <v>0.85601980730201821</v>
      </c>
      <c r="AC1696" s="812"/>
      <c r="AD1696" s="763"/>
      <c r="AE1696" s="807"/>
      <c r="AF1696" s="921">
        <f>IF(X1696=X1695,AF1695,0)+IF(ISNUMBER(I1696),IF(I1696&lt;1,I1696,I1696*VLOOKUP(J1696,Summary!$H$2:$I$9,2)),VLOOKUP(J1696,Summary!$J$2:$K$9,2)*IF(ISNUMBER(H1696),H1696,1))</f>
        <v>1.7058217592592597</v>
      </c>
      <c r="AG1696" s="289">
        <v>1695</v>
      </c>
      <c r="AH1696" s="94"/>
      <c r="AI1696" s="94"/>
    </row>
    <row r="1697" spans="1:35" s="2" customFormat="1" ht="12" customHeight="1" x14ac:dyDescent="0.25">
      <c r="A1697" s="516">
        <v>20</v>
      </c>
      <c r="B1697" s="516">
        <v>5</v>
      </c>
      <c r="C1697" s="516"/>
      <c r="D1697" s="428" t="s">
        <v>7624</v>
      </c>
      <c r="E1697" s="325" t="s">
        <v>6500</v>
      </c>
      <c r="F1697" s="183">
        <v>34578</v>
      </c>
      <c r="G1697" s="183"/>
      <c r="H1697" s="185">
        <v>1</v>
      </c>
      <c r="I1697" s="185">
        <v>8</v>
      </c>
      <c r="J1697" s="901" t="s">
        <v>1796</v>
      </c>
      <c r="K1697" s="163" t="s">
        <v>3807</v>
      </c>
      <c r="L1697" s="163" t="s">
        <v>2866</v>
      </c>
      <c r="M1697" s="163"/>
      <c r="N1697" s="163" t="s">
        <v>7626</v>
      </c>
      <c r="O1697" s="163"/>
      <c r="P1697" s="182" t="s">
        <v>7627</v>
      </c>
      <c r="Q1697" s="163" t="s">
        <v>4062</v>
      </c>
      <c r="R1697" s="186" t="s">
        <v>8669</v>
      </c>
      <c r="S1697" s="355" t="s">
        <v>2607</v>
      </c>
      <c r="T1697" s="182" t="s">
        <v>2320</v>
      </c>
      <c r="U1697" s="182"/>
      <c r="V1697" s="182"/>
      <c r="W1697" s="325" t="s">
        <v>6500</v>
      </c>
      <c r="X1697" s="657" t="s">
        <v>14577</v>
      </c>
      <c r="Y1697" s="355" t="s">
        <v>6868</v>
      </c>
      <c r="Z1697" s="185">
        <v>999</v>
      </c>
      <c r="AA1697" s="185"/>
      <c r="AB1697" s="33">
        <f t="shared" ca="1" si="35"/>
        <v>0.59518428582012006</v>
      </c>
      <c r="AC1697" s="813"/>
      <c r="AD1697" s="211"/>
      <c r="AE1697" s="949"/>
      <c r="AF1697" s="922">
        <f>IF(X1697=X1696,AF1696,0)+IF(ISNUMBER(I1697),IF(I1697&lt;1,I1697,I1697*VLOOKUP(J1697,Summary!$H$2:$I$9,2)),VLOOKUP(J1697,Summary!$J$2:$K$9,2)*IF(ISNUMBER(H1697),H1697,1))</f>
        <v>1.7085995370370375</v>
      </c>
      <c r="AG1697" s="295">
        <v>1696</v>
      </c>
      <c r="AH1697" s="94"/>
      <c r="AI1697" s="94"/>
    </row>
    <row r="1698" spans="1:35" s="3" customFormat="1" ht="12" customHeight="1" x14ac:dyDescent="0.25">
      <c r="A1698" s="515" t="s">
        <v>5167</v>
      </c>
      <c r="B1698" s="515">
        <v>5</v>
      </c>
      <c r="C1698" s="515">
        <v>1</v>
      </c>
      <c r="D1698" s="417" t="s">
        <v>5502</v>
      </c>
      <c r="E1698" s="316" t="s">
        <v>5503</v>
      </c>
      <c r="F1698" s="187">
        <v>34516</v>
      </c>
      <c r="G1698" s="188"/>
      <c r="H1698" s="188" t="str">
        <f>IF(J1698="Book","n/a","")</f>
        <v>n/a</v>
      </c>
      <c r="I1698" s="188">
        <v>238</v>
      </c>
      <c r="J1698" s="902" t="s">
        <v>6868</v>
      </c>
      <c r="K1698" s="162" t="s">
        <v>3807</v>
      </c>
      <c r="L1698" s="162" t="str">
        <f>IF(J1698="Book","n/a","")</f>
        <v>n/a</v>
      </c>
      <c r="M1698" s="162"/>
      <c r="N1698" s="162"/>
      <c r="O1698" s="162"/>
      <c r="P1698" s="178" t="s">
        <v>8586</v>
      </c>
      <c r="Q1698" s="162" t="s">
        <v>601</v>
      </c>
      <c r="R1698" s="189" t="s">
        <v>2715</v>
      </c>
      <c r="S1698" s="366" t="s">
        <v>2607</v>
      </c>
      <c r="T1698" s="178" t="s">
        <v>2320</v>
      </c>
      <c r="U1698" s="178"/>
      <c r="V1698" s="178"/>
      <c r="W1698" s="316" t="s">
        <v>5503</v>
      </c>
      <c r="X1698" s="648" t="s">
        <v>14577</v>
      </c>
      <c r="Y1698" s="356" t="s">
        <v>6868</v>
      </c>
      <c r="Z1698" s="272">
        <v>111</v>
      </c>
      <c r="AA1698" s="272">
        <v>5</v>
      </c>
      <c r="AB1698" s="34">
        <f t="shared" ca="1" si="35"/>
        <v>0.74350352530571973</v>
      </c>
      <c r="AC1698" s="814"/>
      <c r="AD1698" s="815" t="s">
        <v>16042</v>
      </c>
      <c r="AE1698" s="942"/>
      <c r="AF1698" s="923">
        <f>IF(X1698=X1697,AF1697,0)+IF(ISNUMBER(I1698),IF(I1698&lt;1,I1698,I1698*VLOOKUP(J1698,Summary!$H$2:$I$9,2)),VLOOKUP(J1698,Summary!$J$2:$K$9,2)*IF(ISNUMBER(H1698),H1698,1))</f>
        <v>1.8738773148148153</v>
      </c>
      <c r="AG1698" s="291">
        <v>1697</v>
      </c>
      <c r="AH1698" s="94"/>
      <c r="AI1698" s="94"/>
    </row>
    <row r="1699" spans="1:35" s="43" customFormat="1" ht="12" customHeight="1" x14ac:dyDescent="0.25">
      <c r="A1699" s="511" t="s">
        <v>5167</v>
      </c>
      <c r="B1699" s="511">
        <v>5</v>
      </c>
      <c r="C1699" s="511">
        <v>125</v>
      </c>
      <c r="D1699" s="424" t="s">
        <v>5504</v>
      </c>
      <c r="E1699" s="319" t="s">
        <v>5505</v>
      </c>
      <c r="F1699" s="198">
        <v>30348</v>
      </c>
      <c r="G1699" s="198">
        <v>30356</v>
      </c>
      <c r="H1699" s="199">
        <v>4</v>
      </c>
      <c r="I1699" s="791">
        <f>TIME(0,24, 3)+TIME(0,24,33)+TIME(0,24,32)+TIME(0,24,33)</f>
        <v>6.7835648148148159E-2</v>
      </c>
      <c r="J1699" s="904" t="s">
        <v>1588</v>
      </c>
      <c r="K1699" s="200" t="s">
        <v>2615</v>
      </c>
      <c r="L1699" s="200" t="s">
        <v>2618</v>
      </c>
      <c r="M1699" s="200"/>
      <c r="N1699" s="200" t="s">
        <v>2366</v>
      </c>
      <c r="O1699" s="200" t="s">
        <v>6962</v>
      </c>
      <c r="P1699" s="197" t="s">
        <v>461</v>
      </c>
      <c r="Q1699" s="200" t="s">
        <v>3946</v>
      </c>
      <c r="R1699" s="201" t="s">
        <v>5280</v>
      </c>
      <c r="S1699" s="390" t="s">
        <v>2607</v>
      </c>
      <c r="T1699" s="197" t="s">
        <v>2320</v>
      </c>
      <c r="U1699" s="197" t="s">
        <v>2322</v>
      </c>
      <c r="V1699" s="197" t="s">
        <v>2597</v>
      </c>
      <c r="W1699" s="318" t="s">
        <v>8723</v>
      </c>
      <c r="X1699" s="650" t="s">
        <v>14577</v>
      </c>
      <c r="Y1699" s="358" t="s">
        <v>6141</v>
      </c>
      <c r="Z1699" s="253">
        <v>138</v>
      </c>
      <c r="AA1699" s="253">
        <v>6</v>
      </c>
      <c r="AB1699" s="35">
        <f t="shared" ca="1" si="35"/>
        <v>0.66543417165957008</v>
      </c>
      <c r="AC1699" s="820"/>
      <c r="AD1699" s="821" t="s">
        <v>15996</v>
      </c>
      <c r="AE1699" s="944"/>
      <c r="AF1699" s="925">
        <f>IF(X1699=X1698,AF1698,0)+IF(ISNUMBER(I1699),IF(I1699&lt;1,I1699,I1699*VLOOKUP(J1699,Summary!$H$2:$I$9,2)),VLOOKUP(J1699,Summary!$J$2:$K$9,2)*IF(ISNUMBER(H1699),H1699,1))</f>
        <v>1.9417129629629635</v>
      </c>
      <c r="AG1699" s="293">
        <v>1698</v>
      </c>
      <c r="AH1699" s="94"/>
      <c r="AI1699" s="94"/>
    </row>
    <row r="1700" spans="1:35" s="43" customFormat="1" ht="12" customHeight="1" x14ac:dyDescent="0.25">
      <c r="A1700" s="517">
        <v>20</v>
      </c>
      <c r="B1700" s="517">
        <v>5</v>
      </c>
      <c r="C1700" s="518">
        <v>6.01</v>
      </c>
      <c r="D1700" s="192" t="s">
        <v>12716</v>
      </c>
      <c r="E1700" s="317" t="s">
        <v>12717</v>
      </c>
      <c r="F1700" s="209">
        <v>42397</v>
      </c>
      <c r="G1700" s="209"/>
      <c r="H1700" s="192">
        <v>1</v>
      </c>
      <c r="I1700" s="753">
        <f>TIME(0,33,56)</f>
        <v>2.3564814814814813E-2</v>
      </c>
      <c r="J1700" s="903" t="s">
        <v>2755</v>
      </c>
      <c r="K1700" s="194" t="s">
        <v>10100</v>
      </c>
      <c r="L1700" s="194" t="s">
        <v>5662</v>
      </c>
      <c r="M1700" s="194" t="s">
        <v>12718</v>
      </c>
      <c r="N1700" s="194"/>
      <c r="O1700" s="194"/>
      <c r="P1700" s="190" t="s">
        <v>12719</v>
      </c>
      <c r="Q1700" s="194" t="s">
        <v>3947</v>
      </c>
      <c r="R1700" s="193" t="s">
        <v>2722</v>
      </c>
      <c r="S1700" s="354" t="s">
        <v>2607</v>
      </c>
      <c r="T1700" s="173" t="s">
        <v>2320</v>
      </c>
      <c r="U1700" s="190" t="s">
        <v>2322</v>
      </c>
      <c r="V1700" s="190"/>
      <c r="W1700" s="317" t="s">
        <v>12717</v>
      </c>
      <c r="X1700" s="649" t="s">
        <v>14577</v>
      </c>
      <c r="Y1700" s="357" t="s">
        <v>5643</v>
      </c>
      <c r="Z1700" s="192">
        <v>8</v>
      </c>
      <c r="AA1700" s="192">
        <v>7.5</v>
      </c>
      <c r="AB1700" s="37">
        <f t="shared" ca="1" si="35"/>
        <v>0.89906464904989203</v>
      </c>
      <c r="AC1700" s="816"/>
      <c r="AD1700" s="817"/>
      <c r="AE1700" s="943"/>
      <c r="AF1700" s="924">
        <f>IF(X1700=X1699,AF1699,0)+IF(ISNUMBER(I1700),IF(I1700&lt;1,I1700,I1700*VLOOKUP(J1700,Summary!$H$2:$I$9,2)),VLOOKUP(J1700,Summary!$J$2:$K$9,2)*IF(ISNUMBER(H1700),H1700,1))</f>
        <v>1.9652777777777783</v>
      </c>
      <c r="AG1700" s="292">
        <v>1699</v>
      </c>
      <c r="AH1700" s="94"/>
      <c r="AI1700" s="94"/>
    </row>
    <row r="1701" spans="1:35" s="22" customFormat="1" ht="12" customHeight="1" x14ac:dyDescent="0.2">
      <c r="A1701" s="516">
        <v>20</v>
      </c>
      <c r="B1701" s="516">
        <v>5</v>
      </c>
      <c r="C1701" s="516">
        <v>0.05</v>
      </c>
      <c r="D1701" s="185" t="s">
        <v>15381</v>
      </c>
      <c r="E1701" s="314" t="s">
        <v>15382</v>
      </c>
      <c r="F1701" s="184">
        <v>43369</v>
      </c>
      <c r="G1701" s="184"/>
      <c r="H1701" s="185">
        <v>1</v>
      </c>
      <c r="I1701" s="185">
        <v>5</v>
      </c>
      <c r="J1701" s="901" t="s">
        <v>1796</v>
      </c>
      <c r="K1701" s="163" t="s">
        <v>2675</v>
      </c>
      <c r="L1701" s="163" t="s">
        <v>3365</v>
      </c>
      <c r="M1701" s="163" t="s">
        <v>3365</v>
      </c>
      <c r="N1701" s="163"/>
      <c r="O1701" s="163"/>
      <c r="P1701" s="182" t="s">
        <v>461</v>
      </c>
      <c r="Q1701" s="163" t="s">
        <v>7076</v>
      </c>
      <c r="R1701" s="186" t="s">
        <v>15386</v>
      </c>
      <c r="S1701" s="355" t="s">
        <v>2607</v>
      </c>
      <c r="T1701" s="182" t="s">
        <v>2320</v>
      </c>
      <c r="U1701" s="182" t="s">
        <v>2322</v>
      </c>
      <c r="V1701" s="182"/>
      <c r="W1701" s="314" t="s">
        <v>15382</v>
      </c>
      <c r="X1701" s="657" t="s">
        <v>14577</v>
      </c>
      <c r="Y1701" s="355"/>
      <c r="Z1701" s="185"/>
      <c r="AA1701" s="185"/>
      <c r="AB1701" s="33">
        <f t="shared" ca="1" si="35"/>
        <v>0.87738668541531561</v>
      </c>
      <c r="AC1701" s="813"/>
      <c r="AD1701" s="819"/>
      <c r="AE1701" s="875"/>
      <c r="AF1701" s="922">
        <f>IF(X1701=X1700,AF1700,0)+IF(ISNUMBER(I1701),IF(I1701&lt;1,I1701,I1701*VLOOKUP(J1701,Summary!$H$2:$I$9,2)),VLOOKUP(J1701,Summary!$J$2:$K$9,2)*IF(ISNUMBER(H1701),H1701,1))</f>
        <v>1.9670138888888895</v>
      </c>
      <c r="AG1701" s="290">
        <v>1700</v>
      </c>
      <c r="AH1701" s="94"/>
      <c r="AI1701" s="94"/>
    </row>
    <row r="1702" spans="1:35" s="43" customFormat="1" ht="12" customHeight="1" x14ac:dyDescent="0.25">
      <c r="A1702" s="511" t="s">
        <v>5167</v>
      </c>
      <c r="B1702" s="511">
        <v>5</v>
      </c>
      <c r="C1702" s="511">
        <v>126</v>
      </c>
      <c r="D1702" s="424" t="s">
        <v>5506</v>
      </c>
      <c r="E1702" s="319" t="s">
        <v>5507</v>
      </c>
      <c r="F1702" s="198">
        <v>30362</v>
      </c>
      <c r="G1702" s="198">
        <v>30370</v>
      </c>
      <c r="H1702" s="199">
        <v>4</v>
      </c>
      <c r="I1702" s="791">
        <f>TIME(0,24,58)+TIME(0,24,40)+TIME(0,24,39)+TIME(0,24,49)</f>
        <v>6.8819444444444433E-2</v>
      </c>
      <c r="J1702" s="904" t="s">
        <v>1588</v>
      </c>
      <c r="K1702" s="200" t="s">
        <v>2621</v>
      </c>
      <c r="L1702" s="200" t="s">
        <v>5508</v>
      </c>
      <c r="M1702" s="200"/>
      <c r="N1702" s="200" t="s">
        <v>2366</v>
      </c>
      <c r="O1702" s="200" t="s">
        <v>6962</v>
      </c>
      <c r="P1702" s="197" t="s">
        <v>461</v>
      </c>
      <c r="Q1702" s="200" t="s">
        <v>3946</v>
      </c>
      <c r="R1702" s="201" t="s">
        <v>5280</v>
      </c>
      <c r="S1702" s="390" t="s">
        <v>2607</v>
      </c>
      <c r="T1702" s="197" t="s">
        <v>2320</v>
      </c>
      <c r="U1702" s="197" t="s">
        <v>2322</v>
      </c>
      <c r="V1702" s="197"/>
      <c r="W1702" s="318" t="s">
        <v>9688</v>
      </c>
      <c r="X1702" s="650" t="s">
        <v>14577</v>
      </c>
      <c r="Y1702" s="358" t="s">
        <v>6141</v>
      </c>
      <c r="Z1702" s="253">
        <v>259</v>
      </c>
      <c r="AA1702" s="253">
        <v>3</v>
      </c>
      <c r="AB1702" s="35">
        <f t="shared" ca="1" si="35"/>
        <v>0.87590505349598391</v>
      </c>
      <c r="AC1702" s="820"/>
      <c r="AD1702" s="821" t="s">
        <v>16363</v>
      </c>
      <c r="AE1702" s="944" t="s">
        <v>3365</v>
      </c>
      <c r="AF1702" s="925">
        <f>IF(X1702=X1701,AF1701,0)+IF(ISNUMBER(I1702),IF(I1702&lt;1,I1702,I1702*VLOOKUP(J1702,Summary!$H$2:$I$9,2)),VLOOKUP(J1702,Summary!$J$2:$K$9,2)*IF(ISNUMBER(H1702),H1702,1))</f>
        <v>2.035833333333334</v>
      </c>
      <c r="AG1702" s="293">
        <v>1701</v>
      </c>
      <c r="AH1702" s="94"/>
      <c r="AI1702" s="94"/>
    </row>
    <row r="1703" spans="1:35" s="43" customFormat="1" ht="12" customHeight="1" x14ac:dyDescent="0.25">
      <c r="A1703" s="511" t="s">
        <v>5167</v>
      </c>
      <c r="B1703" s="511">
        <v>5</v>
      </c>
      <c r="C1703" s="511">
        <v>127</v>
      </c>
      <c r="D1703" s="424" t="s">
        <v>5509</v>
      </c>
      <c r="E1703" s="319" t="s">
        <v>5510</v>
      </c>
      <c r="F1703" s="198">
        <v>30376</v>
      </c>
      <c r="G1703" s="198">
        <v>30384</v>
      </c>
      <c r="H1703" s="199">
        <v>4</v>
      </c>
      <c r="I1703" s="791">
        <f>TIME(0,24,12)+TIME(0,24,23)+TIME(0,24,38)+TIME(0,24,34)</f>
        <v>6.7905092592592586E-2</v>
      </c>
      <c r="J1703" s="904" t="s">
        <v>1588</v>
      </c>
      <c r="K1703" s="200" t="s">
        <v>5511</v>
      </c>
      <c r="L1703" s="200" t="s">
        <v>2365</v>
      </c>
      <c r="M1703" s="200"/>
      <c r="N1703" s="200" t="s">
        <v>2366</v>
      </c>
      <c r="O1703" s="200" t="s">
        <v>6962</v>
      </c>
      <c r="P1703" s="197" t="s">
        <v>461</v>
      </c>
      <c r="Q1703" s="200" t="s">
        <v>3946</v>
      </c>
      <c r="R1703" s="201" t="s">
        <v>5280</v>
      </c>
      <c r="S1703" s="390"/>
      <c r="T1703" s="197" t="s">
        <v>2320</v>
      </c>
      <c r="U1703" s="197" t="s">
        <v>2322</v>
      </c>
      <c r="V1703" s="197"/>
      <c r="W1703" s="318" t="s">
        <v>9665</v>
      </c>
      <c r="X1703" s="650" t="s">
        <v>14577</v>
      </c>
      <c r="Y1703" s="358" t="s">
        <v>6141</v>
      </c>
      <c r="Z1703" s="253">
        <v>103</v>
      </c>
      <c r="AA1703" s="253">
        <v>7</v>
      </c>
      <c r="AB1703" s="35">
        <f t="shared" ca="1" si="35"/>
        <v>0.69572624032380381</v>
      </c>
      <c r="AC1703" s="820"/>
      <c r="AD1703" s="821"/>
      <c r="AE1703" s="944"/>
      <c r="AF1703" s="925">
        <f>IF(X1703=X1702,AF1702,0)+IF(ISNUMBER(I1703),IF(I1703&lt;1,I1703,I1703*VLOOKUP(J1703,Summary!$H$2:$I$9,2)),VLOOKUP(J1703,Summary!$J$2:$K$9,2)*IF(ISNUMBER(H1703),H1703,1))</f>
        <v>2.1037384259259264</v>
      </c>
      <c r="AG1703" s="293">
        <v>1702</v>
      </c>
      <c r="AH1703" s="94"/>
      <c r="AI1703" s="94"/>
    </row>
    <row r="1704" spans="1:35" s="43" customFormat="1" ht="12" customHeight="1" x14ac:dyDescent="0.25">
      <c r="A1704" s="512" t="s">
        <v>15661</v>
      </c>
      <c r="B1704" s="512">
        <v>5</v>
      </c>
      <c r="C1704" s="512">
        <v>11</v>
      </c>
      <c r="D1704" s="407" t="s">
        <v>3293</v>
      </c>
      <c r="E1704" s="315" t="s">
        <v>3294</v>
      </c>
      <c r="F1704" s="169">
        <v>40238</v>
      </c>
      <c r="G1704" s="170"/>
      <c r="H1704" s="170">
        <v>2</v>
      </c>
      <c r="I1704" s="746">
        <f>TIME(1,9,32)</f>
        <v>4.8287037037037038E-2</v>
      </c>
      <c r="J1704" s="899" t="s">
        <v>4706</v>
      </c>
      <c r="K1704" s="167" t="s">
        <v>4033</v>
      </c>
      <c r="L1704" s="167" t="s">
        <v>5662</v>
      </c>
      <c r="M1704" s="167"/>
      <c r="N1704" s="167"/>
      <c r="O1704" s="167" t="s">
        <v>3295</v>
      </c>
      <c r="P1704" s="168" t="s">
        <v>461</v>
      </c>
      <c r="Q1704" s="167" t="s">
        <v>3947</v>
      </c>
      <c r="R1704" s="172" t="s">
        <v>4315</v>
      </c>
      <c r="S1704" s="388"/>
      <c r="T1704" s="168" t="s">
        <v>2320</v>
      </c>
      <c r="U1704" s="168" t="s">
        <v>2322</v>
      </c>
      <c r="V1704" s="168"/>
      <c r="W1704" s="312" t="s">
        <v>12091</v>
      </c>
      <c r="X1704" s="644" t="s">
        <v>12333</v>
      </c>
      <c r="Y1704" s="352" t="s">
        <v>5643</v>
      </c>
      <c r="Z1704" s="353">
        <v>370</v>
      </c>
      <c r="AA1704" s="353">
        <v>5</v>
      </c>
      <c r="AB1704" s="31">
        <f t="shared" ca="1" si="35"/>
        <v>0.71967355543982969</v>
      </c>
      <c r="AC1704" s="810"/>
      <c r="AD1704" s="811" t="s">
        <v>16661</v>
      </c>
      <c r="AE1704" s="940"/>
      <c r="AF1704" s="920">
        <f>IF(X1704=X1703,AF1703,0)+IF(ISNUMBER(I1704),IF(I1704&lt;1,I1704,I1704*VLOOKUP(J1704,Summary!$H$2:$I$9,2)),VLOOKUP(J1704,Summary!$J$2:$K$9,2)*IF(ISNUMBER(H1704),H1704,1))</f>
        <v>4.8287037037037038E-2</v>
      </c>
      <c r="AG1704" s="287">
        <v>1703</v>
      </c>
      <c r="AH1704" s="94"/>
      <c r="AI1704" s="94"/>
    </row>
    <row r="1705" spans="1:35" s="43" customFormat="1" ht="12" customHeight="1" x14ac:dyDescent="0.25">
      <c r="A1705" s="474"/>
      <c r="B1705" s="507" t="s">
        <v>2650</v>
      </c>
      <c r="C1705" s="474">
        <v>2</v>
      </c>
      <c r="D1705" s="417"/>
      <c r="E1705" s="316" t="s">
        <v>6255</v>
      </c>
      <c r="F1705" s="187">
        <v>31686</v>
      </c>
      <c r="G1705" s="188"/>
      <c r="H1705" s="188" t="str">
        <f>IF(J1705="Book","n/a","")</f>
        <v>n/a</v>
      </c>
      <c r="I1705" s="188">
        <v>148</v>
      </c>
      <c r="J1705" s="902" t="s">
        <v>6868</v>
      </c>
      <c r="K1705" s="162" t="s">
        <v>6256</v>
      </c>
      <c r="L1705" s="162" t="str">
        <f>IF(J1705="Book","n/a","")</f>
        <v>n/a</v>
      </c>
      <c r="M1705" s="162"/>
      <c r="N1705" s="162"/>
      <c r="O1705" s="162"/>
      <c r="P1705" s="178" t="s">
        <v>8872</v>
      </c>
      <c r="Q1705" s="162" t="s">
        <v>604</v>
      </c>
      <c r="R1705" s="189" t="s">
        <v>6990</v>
      </c>
      <c r="S1705" s="366"/>
      <c r="T1705" s="178" t="s">
        <v>2606</v>
      </c>
      <c r="U1705" s="178"/>
      <c r="V1705" s="178"/>
      <c r="W1705" s="316" t="s">
        <v>6255</v>
      </c>
      <c r="X1705" s="648" t="s">
        <v>12333</v>
      </c>
      <c r="Y1705" s="356"/>
      <c r="Z1705" s="272"/>
      <c r="AA1705" s="272"/>
      <c r="AB1705" s="34">
        <f t="shared" ca="1" si="35"/>
        <v>0.71239270535506105</v>
      </c>
      <c r="AC1705" s="814"/>
      <c r="AD1705" s="815" t="s">
        <v>16024</v>
      </c>
      <c r="AE1705" s="942" t="s">
        <v>12543</v>
      </c>
      <c r="AF1705" s="923">
        <f>IF(X1705=X1704,AF1704,0)+IF(ISNUMBER(I1705),IF(I1705&lt;1,I1705,I1705*VLOOKUP(J1705,Summary!$H$2:$I$9,2)),VLOOKUP(J1705,Summary!$J$2:$K$9,2)*IF(ISNUMBER(H1705),H1705,1))</f>
        <v>0.15106481481481482</v>
      </c>
      <c r="AG1705" s="291">
        <v>1704</v>
      </c>
      <c r="AH1705" s="94"/>
      <c r="AI1705" s="94"/>
    </row>
    <row r="1706" spans="1:35" s="26" customFormat="1" ht="12" customHeight="1" x14ac:dyDescent="0.2">
      <c r="A1706" s="512" t="s">
        <v>15661</v>
      </c>
      <c r="B1706" s="512">
        <v>5</v>
      </c>
      <c r="C1706" s="512">
        <v>136</v>
      </c>
      <c r="D1706" s="407" t="s">
        <v>3287</v>
      </c>
      <c r="E1706" s="315" t="s">
        <v>3297</v>
      </c>
      <c r="F1706" s="169">
        <v>40360</v>
      </c>
      <c r="G1706" s="170"/>
      <c r="H1706" s="170">
        <v>4</v>
      </c>
      <c r="I1706" s="746">
        <f>TIME(1,53,10)</f>
        <v>7.8587962962962957E-2</v>
      </c>
      <c r="J1706" s="899" t="s">
        <v>4706</v>
      </c>
      <c r="K1706" s="167" t="s">
        <v>177</v>
      </c>
      <c r="L1706" s="167" t="s">
        <v>3296</v>
      </c>
      <c r="M1706" s="167"/>
      <c r="N1706" s="167"/>
      <c r="O1706" s="167" t="s">
        <v>2500</v>
      </c>
      <c r="P1706" s="168"/>
      <c r="Q1706" s="167" t="s">
        <v>3947</v>
      </c>
      <c r="R1706" s="172" t="s">
        <v>3146</v>
      </c>
      <c r="S1706" s="388" t="s">
        <v>2607</v>
      </c>
      <c r="T1706" s="168" t="s">
        <v>2320</v>
      </c>
      <c r="U1706" s="168" t="s">
        <v>2322</v>
      </c>
      <c r="V1706" s="168"/>
      <c r="W1706" s="312" t="s">
        <v>9829</v>
      </c>
      <c r="X1706" s="644" t="s">
        <v>12333</v>
      </c>
      <c r="Y1706" s="352" t="s">
        <v>5643</v>
      </c>
      <c r="Z1706" s="353">
        <v>164</v>
      </c>
      <c r="AA1706" s="353">
        <v>6.5</v>
      </c>
      <c r="AB1706" s="31">
        <f t="shared" ca="1" si="35"/>
        <v>4.4850049309790863E-2</v>
      </c>
      <c r="AC1706" s="810"/>
      <c r="AD1706" s="811" t="s">
        <v>16369</v>
      </c>
      <c r="AE1706" s="940" t="s">
        <v>15062</v>
      </c>
      <c r="AF1706" s="920">
        <f>IF(X1706=X1705,AF1705,0)+IF(ISNUMBER(I1706),IF(I1706&lt;1,I1706,I1706*VLOOKUP(J1706,Summary!$H$2:$I$9,2)),VLOOKUP(J1706,Summary!$J$2:$K$9,2)*IF(ISNUMBER(H1706),H1706,1))</f>
        <v>0.22965277777777776</v>
      </c>
      <c r="AG1706" s="287">
        <v>1705</v>
      </c>
      <c r="AH1706" s="94"/>
      <c r="AI1706" s="94"/>
    </row>
    <row r="1707" spans="1:35" s="43" customFormat="1" ht="12" customHeight="1" x14ac:dyDescent="0.25">
      <c r="A1707" s="512" t="s">
        <v>15661</v>
      </c>
      <c r="B1707" s="512">
        <v>5</v>
      </c>
      <c r="C1707" s="512">
        <v>137</v>
      </c>
      <c r="D1707" s="407" t="s">
        <v>3288</v>
      </c>
      <c r="E1707" s="315" t="s">
        <v>3298</v>
      </c>
      <c r="F1707" s="169">
        <v>40391</v>
      </c>
      <c r="G1707" s="170"/>
      <c r="H1707" s="170">
        <v>4</v>
      </c>
      <c r="I1707" s="746">
        <f>TIME(1,47,35)</f>
        <v>7.4710648148148151E-2</v>
      </c>
      <c r="J1707" s="899" t="s">
        <v>4706</v>
      </c>
      <c r="K1707" s="167" t="s">
        <v>6237</v>
      </c>
      <c r="L1707" s="167" t="s">
        <v>3296</v>
      </c>
      <c r="M1707" s="167"/>
      <c r="N1707" s="167"/>
      <c r="O1707" s="167" t="s">
        <v>2500</v>
      </c>
      <c r="P1707" s="168"/>
      <c r="Q1707" s="167" t="s">
        <v>3947</v>
      </c>
      <c r="R1707" s="172" t="s">
        <v>3146</v>
      </c>
      <c r="S1707" s="388" t="s">
        <v>2607</v>
      </c>
      <c r="T1707" s="168" t="s">
        <v>2320</v>
      </c>
      <c r="U1707" s="168" t="s">
        <v>2322</v>
      </c>
      <c r="V1707" s="168"/>
      <c r="W1707" s="312" t="s">
        <v>9830</v>
      </c>
      <c r="X1707" s="644" t="s">
        <v>12333</v>
      </c>
      <c r="Y1707" s="352" t="s">
        <v>5643</v>
      </c>
      <c r="Z1707" s="353">
        <v>367</v>
      </c>
      <c r="AA1707" s="353">
        <v>5</v>
      </c>
      <c r="AB1707" s="31">
        <f t="shared" ca="1" si="35"/>
        <v>0.29892399816510862</v>
      </c>
      <c r="AC1707" s="810"/>
      <c r="AD1707" s="811" t="s">
        <v>16314</v>
      </c>
      <c r="AE1707" s="940" t="s">
        <v>12543</v>
      </c>
      <c r="AF1707" s="920">
        <f>IF(X1707=X1706,AF1706,0)+IF(ISNUMBER(I1707),IF(I1707&lt;1,I1707,I1707*VLOOKUP(J1707,Summary!$H$2:$I$9,2)),VLOOKUP(J1707,Summary!$J$2:$K$9,2)*IF(ISNUMBER(H1707),H1707,1))</f>
        <v>0.30436342592592591</v>
      </c>
      <c r="AG1707" s="287">
        <v>1706</v>
      </c>
      <c r="AH1707" s="94"/>
      <c r="AI1707" s="94"/>
    </row>
    <row r="1708" spans="1:35" s="43" customFormat="1" ht="12" customHeight="1" x14ac:dyDescent="0.25">
      <c r="A1708" s="512" t="s">
        <v>15661</v>
      </c>
      <c r="B1708" s="512">
        <v>5</v>
      </c>
      <c r="C1708" s="512">
        <v>138</v>
      </c>
      <c r="D1708" s="407" t="s">
        <v>3289</v>
      </c>
      <c r="E1708" s="315" t="s">
        <v>3299</v>
      </c>
      <c r="F1708" s="169">
        <v>40422</v>
      </c>
      <c r="G1708" s="170"/>
      <c r="H1708" s="170">
        <v>4</v>
      </c>
      <c r="I1708" s="746">
        <f>TIME(1,52,20)</f>
        <v>7.8009259259259264E-2</v>
      </c>
      <c r="J1708" s="899" t="s">
        <v>4706</v>
      </c>
      <c r="K1708" s="167" t="s">
        <v>941</v>
      </c>
      <c r="L1708" s="167" t="s">
        <v>3296</v>
      </c>
      <c r="M1708" s="167"/>
      <c r="N1708" s="167"/>
      <c r="O1708" s="167" t="s">
        <v>2500</v>
      </c>
      <c r="P1708" s="168"/>
      <c r="Q1708" s="167" t="s">
        <v>3947</v>
      </c>
      <c r="R1708" s="172" t="s">
        <v>3146</v>
      </c>
      <c r="S1708" s="388" t="s">
        <v>2607</v>
      </c>
      <c r="T1708" s="168" t="s">
        <v>2320</v>
      </c>
      <c r="U1708" s="168" t="s">
        <v>2322</v>
      </c>
      <c r="V1708" s="168"/>
      <c r="W1708" s="312" t="s">
        <v>9921</v>
      </c>
      <c r="X1708" s="644" t="s">
        <v>12333</v>
      </c>
      <c r="Y1708" s="352" t="s">
        <v>5643</v>
      </c>
      <c r="Z1708" s="353">
        <v>159</v>
      </c>
      <c r="AA1708" s="353">
        <v>6.5</v>
      </c>
      <c r="AB1708" s="31">
        <f t="shared" ca="1" si="35"/>
        <v>1.0715303399896459E-2</v>
      </c>
      <c r="AC1708" s="810"/>
      <c r="AD1708" s="811" t="s">
        <v>16154</v>
      </c>
      <c r="AE1708" s="940" t="s">
        <v>3365</v>
      </c>
      <c r="AF1708" s="920">
        <f>IF(X1708=X1707,AF1707,0)+IF(ISNUMBER(I1708),IF(I1708&lt;1,I1708,I1708*VLOOKUP(J1708,Summary!$H$2:$I$9,2)),VLOOKUP(J1708,Summary!$J$2:$K$9,2)*IF(ISNUMBER(H1708),H1708,1))</f>
        <v>0.38237268518518519</v>
      </c>
      <c r="AG1708" s="287">
        <v>1707</v>
      </c>
      <c r="AH1708" s="94"/>
      <c r="AI1708" s="94"/>
    </row>
    <row r="1709" spans="1:35" s="43" customFormat="1" ht="12" customHeight="1" x14ac:dyDescent="0.25">
      <c r="A1709" s="512" t="s">
        <v>15661</v>
      </c>
      <c r="B1709" s="512">
        <v>5</v>
      </c>
      <c r="C1709" s="512">
        <v>146</v>
      </c>
      <c r="D1709" s="407" t="s">
        <v>3290</v>
      </c>
      <c r="E1709" s="315" t="s">
        <v>3300</v>
      </c>
      <c r="F1709" s="169">
        <v>40634</v>
      </c>
      <c r="G1709" s="170"/>
      <c r="H1709" s="170">
        <v>4</v>
      </c>
      <c r="I1709" s="746">
        <f>TIME(1,59,23)</f>
        <v>8.2905092592592586E-2</v>
      </c>
      <c r="J1709" s="899" t="s">
        <v>4706</v>
      </c>
      <c r="K1709" s="167" t="s">
        <v>7374</v>
      </c>
      <c r="L1709" s="167" t="s">
        <v>2313</v>
      </c>
      <c r="M1709" s="167"/>
      <c r="N1709" s="167"/>
      <c r="O1709" s="167" t="s">
        <v>2500</v>
      </c>
      <c r="P1709" s="168"/>
      <c r="Q1709" s="167" t="s">
        <v>3947</v>
      </c>
      <c r="R1709" s="172" t="s">
        <v>3146</v>
      </c>
      <c r="S1709" s="388" t="s">
        <v>2607</v>
      </c>
      <c r="T1709" s="168" t="s">
        <v>2320</v>
      </c>
      <c r="U1709" s="168" t="s">
        <v>2322</v>
      </c>
      <c r="V1709" s="168"/>
      <c r="W1709" s="312" t="s">
        <v>10111</v>
      </c>
      <c r="X1709" s="644" t="s">
        <v>12333</v>
      </c>
      <c r="Y1709" s="352" t="s">
        <v>5643</v>
      </c>
      <c r="Z1709" s="353">
        <v>43</v>
      </c>
      <c r="AA1709" s="353">
        <v>8.5</v>
      </c>
      <c r="AB1709" s="31">
        <f t="shared" ca="1" si="35"/>
        <v>0.14882072105445843</v>
      </c>
      <c r="AC1709" s="810"/>
      <c r="AD1709" s="811" t="s">
        <v>16484</v>
      </c>
      <c r="AE1709" s="940" t="s">
        <v>3365</v>
      </c>
      <c r="AF1709" s="920">
        <f>IF(X1709=X1708,AF1708,0)+IF(ISNUMBER(I1709),IF(I1709&lt;1,I1709,I1709*VLOOKUP(J1709,Summary!$H$2:$I$9,2)),VLOOKUP(J1709,Summary!$J$2:$K$9,2)*IF(ISNUMBER(H1709),H1709,1))</f>
        <v>0.46527777777777779</v>
      </c>
      <c r="AG1709" s="287">
        <v>1708</v>
      </c>
      <c r="AH1709" s="94"/>
      <c r="AI1709" s="94"/>
    </row>
    <row r="1710" spans="1:35" s="43" customFormat="1" ht="12" customHeight="1" x14ac:dyDescent="0.25">
      <c r="A1710" s="512" t="s">
        <v>15661</v>
      </c>
      <c r="B1710" s="512">
        <v>5</v>
      </c>
      <c r="C1710" s="512">
        <v>147</v>
      </c>
      <c r="D1710" s="407" t="s">
        <v>3291</v>
      </c>
      <c r="E1710" s="315" t="s">
        <v>3301</v>
      </c>
      <c r="F1710" s="169">
        <v>40664</v>
      </c>
      <c r="G1710" s="170"/>
      <c r="H1710" s="170">
        <v>4</v>
      </c>
      <c r="I1710" s="746">
        <f>TIME(1,46,46)</f>
        <v>7.4143518518518511E-2</v>
      </c>
      <c r="J1710" s="899" t="s">
        <v>4706</v>
      </c>
      <c r="K1710" s="167" t="s">
        <v>6237</v>
      </c>
      <c r="L1710" s="167" t="s">
        <v>2313</v>
      </c>
      <c r="M1710" s="167"/>
      <c r="N1710" s="167"/>
      <c r="O1710" s="167" t="s">
        <v>2500</v>
      </c>
      <c r="P1710" s="168"/>
      <c r="Q1710" s="167" t="s">
        <v>3947</v>
      </c>
      <c r="R1710" s="172" t="s">
        <v>3146</v>
      </c>
      <c r="S1710" s="388" t="s">
        <v>2607</v>
      </c>
      <c r="T1710" s="168" t="s">
        <v>2320</v>
      </c>
      <c r="U1710" s="168" t="s">
        <v>2322</v>
      </c>
      <c r="V1710" s="168"/>
      <c r="W1710" s="312" t="s">
        <v>10112</v>
      </c>
      <c r="X1710" s="644" t="s">
        <v>12333</v>
      </c>
      <c r="Y1710" s="352" t="s">
        <v>5643</v>
      </c>
      <c r="Z1710" s="353">
        <v>150</v>
      </c>
      <c r="AA1710" s="353">
        <v>6.5</v>
      </c>
      <c r="AB1710" s="31">
        <f t="shared" ca="1" si="35"/>
        <v>5.3923337566263996E-2</v>
      </c>
      <c r="AC1710" s="810"/>
      <c r="AD1710" s="811" t="s">
        <v>16014</v>
      </c>
      <c r="AE1710" s="940"/>
      <c r="AF1710" s="920">
        <f>IF(X1710=X1709,AF1709,0)+IF(ISNUMBER(I1710),IF(I1710&lt;1,I1710,I1710*VLOOKUP(J1710,Summary!$H$2:$I$9,2)),VLOOKUP(J1710,Summary!$J$2:$K$9,2)*IF(ISNUMBER(H1710),H1710,1))</f>
        <v>0.53942129629629632</v>
      </c>
      <c r="AG1710" s="287">
        <v>1709</v>
      </c>
      <c r="AH1710" s="94"/>
      <c r="AI1710" s="94"/>
    </row>
    <row r="1711" spans="1:35" s="22" customFormat="1" ht="12" customHeight="1" x14ac:dyDescent="0.2">
      <c r="A1711" s="512" t="s">
        <v>15661</v>
      </c>
      <c r="B1711" s="512">
        <v>5</v>
      </c>
      <c r="C1711" s="512">
        <v>148</v>
      </c>
      <c r="D1711" s="407" t="s">
        <v>3292</v>
      </c>
      <c r="E1711" s="315" t="s">
        <v>3302</v>
      </c>
      <c r="F1711" s="169">
        <v>40695</v>
      </c>
      <c r="G1711" s="170"/>
      <c r="H1711" s="170">
        <v>4</v>
      </c>
      <c r="I1711" s="746">
        <f>TIME(1,47,39)</f>
        <v>7.4756944444444445E-2</v>
      </c>
      <c r="J1711" s="899" t="s">
        <v>4706</v>
      </c>
      <c r="K1711" s="167" t="s">
        <v>3303</v>
      </c>
      <c r="L1711" s="167" t="s">
        <v>2313</v>
      </c>
      <c r="M1711" s="167"/>
      <c r="N1711" s="167"/>
      <c r="O1711" s="167" t="s">
        <v>2500</v>
      </c>
      <c r="P1711" s="168"/>
      <c r="Q1711" s="167" t="s">
        <v>3947</v>
      </c>
      <c r="R1711" s="172" t="s">
        <v>3146</v>
      </c>
      <c r="S1711" s="388" t="s">
        <v>2607</v>
      </c>
      <c r="T1711" s="168" t="s">
        <v>2320</v>
      </c>
      <c r="U1711" s="168" t="s">
        <v>2322</v>
      </c>
      <c r="V1711" s="168"/>
      <c r="W1711" s="312" t="s">
        <v>10113</v>
      </c>
      <c r="X1711" s="644" t="s">
        <v>12333</v>
      </c>
      <c r="Y1711" s="352" t="s">
        <v>5643</v>
      </c>
      <c r="Z1711" s="353">
        <v>550</v>
      </c>
      <c r="AA1711" s="353">
        <v>3.5</v>
      </c>
      <c r="AB1711" s="31">
        <f t="shared" ca="1" si="35"/>
        <v>0.47211764471988993</v>
      </c>
      <c r="AC1711" s="810"/>
      <c r="AD1711" s="811" t="s">
        <v>16015</v>
      </c>
      <c r="AE1711" s="940"/>
      <c r="AF1711" s="920">
        <f>IF(X1711=X1710,AF1710,0)+IF(ISNUMBER(I1711),IF(I1711&lt;1,I1711,I1711*VLOOKUP(J1711,Summary!$H$2:$I$9,2)),VLOOKUP(J1711,Summary!$J$2:$K$9,2)*IF(ISNUMBER(H1711),H1711,1))</f>
        <v>0.61417824074074079</v>
      </c>
      <c r="AG1711" s="287">
        <v>1710</v>
      </c>
      <c r="AH1711" s="94"/>
      <c r="AI1711" s="94"/>
    </row>
    <row r="1712" spans="1:35" s="22" customFormat="1" ht="12" customHeight="1" x14ac:dyDescent="0.2">
      <c r="A1712" s="512" t="s">
        <v>15661</v>
      </c>
      <c r="B1712" s="512">
        <v>5</v>
      </c>
      <c r="C1712" s="512">
        <v>159</v>
      </c>
      <c r="D1712" s="407" t="s">
        <v>3160</v>
      </c>
      <c r="E1712" s="315" t="s">
        <v>6522</v>
      </c>
      <c r="F1712" s="169">
        <v>41000</v>
      </c>
      <c r="G1712" s="170"/>
      <c r="H1712" s="170">
        <v>4</v>
      </c>
      <c r="I1712" s="746">
        <f>TIME(1,57,23)</f>
        <v>8.1516203703703702E-2</v>
      </c>
      <c r="J1712" s="899" t="s">
        <v>4706</v>
      </c>
      <c r="K1712" s="167" t="s">
        <v>3296</v>
      </c>
      <c r="L1712" s="167" t="s">
        <v>3296</v>
      </c>
      <c r="M1712" s="167"/>
      <c r="N1712" s="167"/>
      <c r="O1712" s="167" t="s">
        <v>2500</v>
      </c>
      <c r="P1712" s="168" t="s">
        <v>5392</v>
      </c>
      <c r="Q1712" s="167" t="s">
        <v>3947</v>
      </c>
      <c r="R1712" s="172" t="s">
        <v>3146</v>
      </c>
      <c r="S1712" s="388" t="s">
        <v>2607</v>
      </c>
      <c r="T1712" s="168" t="s">
        <v>2320</v>
      </c>
      <c r="U1712" s="168" t="s">
        <v>2322</v>
      </c>
      <c r="V1712" s="168"/>
      <c r="W1712" s="312" t="s">
        <v>10185</v>
      </c>
      <c r="X1712" s="644" t="s">
        <v>12333</v>
      </c>
      <c r="Y1712" s="352" t="s">
        <v>5643</v>
      </c>
      <c r="Z1712" s="353">
        <v>267</v>
      </c>
      <c r="AA1712" s="353">
        <v>5.5</v>
      </c>
      <c r="AB1712" s="31">
        <f t="shared" ca="1" si="35"/>
        <v>0.81330887101396343</v>
      </c>
      <c r="AC1712" s="810"/>
      <c r="AD1712" s="811"/>
      <c r="AE1712" s="940"/>
      <c r="AF1712" s="920">
        <f>IF(X1712=X1711,AF1711,0)+IF(ISNUMBER(I1712),IF(I1712&lt;1,I1712,I1712*VLOOKUP(J1712,Summary!$H$2:$I$9,2)),VLOOKUP(J1712,Summary!$J$2:$K$9,2)*IF(ISNUMBER(H1712),H1712,1))</f>
        <v>0.6956944444444445</v>
      </c>
      <c r="AG1712" s="287">
        <v>1711</v>
      </c>
      <c r="AH1712" s="94"/>
      <c r="AI1712" s="94"/>
    </row>
    <row r="1713" spans="1:35" s="1" customFormat="1" ht="12" customHeight="1" x14ac:dyDescent="0.25">
      <c r="A1713" s="512" t="s">
        <v>15661</v>
      </c>
      <c r="B1713" s="512">
        <v>5</v>
      </c>
      <c r="C1713" s="512">
        <v>160</v>
      </c>
      <c r="D1713" s="407" t="s">
        <v>3161</v>
      </c>
      <c r="E1713" s="315" t="s">
        <v>3158</v>
      </c>
      <c r="F1713" s="169">
        <v>41030</v>
      </c>
      <c r="G1713" s="170"/>
      <c r="H1713" s="170">
        <v>4</v>
      </c>
      <c r="I1713" s="746">
        <f>TIME(1,41,48)</f>
        <v>7.0694444444444449E-2</v>
      </c>
      <c r="J1713" s="899" t="s">
        <v>4706</v>
      </c>
      <c r="K1713" s="167" t="s">
        <v>6353</v>
      </c>
      <c r="L1713" s="167" t="s">
        <v>2313</v>
      </c>
      <c r="M1713" s="167"/>
      <c r="N1713" s="167"/>
      <c r="O1713" s="167" t="s">
        <v>2500</v>
      </c>
      <c r="P1713" s="168" t="s">
        <v>5393</v>
      </c>
      <c r="Q1713" s="167" t="s">
        <v>3947</v>
      </c>
      <c r="R1713" s="172" t="s">
        <v>3146</v>
      </c>
      <c r="S1713" s="388" t="s">
        <v>2607</v>
      </c>
      <c r="T1713" s="168" t="s">
        <v>2320</v>
      </c>
      <c r="U1713" s="168" t="s">
        <v>2322</v>
      </c>
      <c r="V1713" s="168"/>
      <c r="W1713" s="312" t="s">
        <v>12098</v>
      </c>
      <c r="X1713" s="644" t="s">
        <v>12333</v>
      </c>
      <c r="Y1713" s="352" t="s">
        <v>5643</v>
      </c>
      <c r="Z1713" s="353">
        <v>295</v>
      </c>
      <c r="AA1713" s="353">
        <v>5.5</v>
      </c>
      <c r="AB1713" s="31">
        <f t="shared" ca="1" si="35"/>
        <v>0.28828327673659493</v>
      </c>
      <c r="AC1713" s="810"/>
      <c r="AD1713" s="811"/>
      <c r="AE1713" s="940"/>
      <c r="AF1713" s="920">
        <f>IF(X1713=X1712,AF1712,0)+IF(ISNUMBER(I1713),IF(I1713&lt;1,I1713,I1713*VLOOKUP(J1713,Summary!$H$2:$I$9,2)),VLOOKUP(J1713,Summary!$J$2:$K$9,2)*IF(ISNUMBER(H1713),H1713,1))</f>
        <v>0.76638888888888901</v>
      </c>
      <c r="AG1713" s="287">
        <v>1712</v>
      </c>
      <c r="AH1713" s="94"/>
      <c r="AI1713" s="94"/>
    </row>
    <row r="1714" spans="1:35" s="1" customFormat="1" ht="12" customHeight="1" x14ac:dyDescent="0.25">
      <c r="A1714" s="512" t="s">
        <v>15661</v>
      </c>
      <c r="B1714" s="512">
        <v>5</v>
      </c>
      <c r="C1714" s="512">
        <v>161</v>
      </c>
      <c r="D1714" s="407" t="s">
        <v>2018</v>
      </c>
      <c r="E1714" s="315" t="s">
        <v>3159</v>
      </c>
      <c r="F1714" s="169">
        <v>41061</v>
      </c>
      <c r="G1714" s="170"/>
      <c r="H1714" s="170">
        <v>4</v>
      </c>
      <c r="I1714" s="746">
        <f>TIME(1,54,56)</f>
        <v>7.9814814814814811E-2</v>
      </c>
      <c r="J1714" s="899" t="s">
        <v>4706</v>
      </c>
      <c r="K1714" s="167" t="s">
        <v>941</v>
      </c>
      <c r="L1714" s="167" t="s">
        <v>2313</v>
      </c>
      <c r="M1714" s="167"/>
      <c r="N1714" s="167"/>
      <c r="O1714" s="167" t="s">
        <v>2500</v>
      </c>
      <c r="P1714" s="168" t="s">
        <v>5394</v>
      </c>
      <c r="Q1714" s="167" t="s">
        <v>3947</v>
      </c>
      <c r="R1714" s="172" t="s">
        <v>3146</v>
      </c>
      <c r="S1714" s="388" t="s">
        <v>2607</v>
      </c>
      <c r="T1714" s="168" t="s">
        <v>2320</v>
      </c>
      <c r="U1714" s="168" t="s">
        <v>2322</v>
      </c>
      <c r="V1714" s="168"/>
      <c r="W1714" s="312" t="s">
        <v>10196</v>
      </c>
      <c r="X1714" s="644" t="s">
        <v>12333</v>
      </c>
      <c r="Y1714" s="352" t="s">
        <v>5643</v>
      </c>
      <c r="Z1714" s="353">
        <v>361</v>
      </c>
      <c r="AA1714" s="353">
        <v>5</v>
      </c>
      <c r="AB1714" s="31">
        <f t="shared" ca="1" si="35"/>
        <v>0.8229688618762051</v>
      </c>
      <c r="AC1714" s="810"/>
      <c r="AD1714" s="811"/>
      <c r="AE1714" s="940"/>
      <c r="AF1714" s="920">
        <f>IF(X1714=X1713,AF1713,0)+IF(ISNUMBER(I1714),IF(I1714&lt;1,I1714,I1714*VLOOKUP(J1714,Summary!$H$2:$I$9,2)),VLOOKUP(J1714,Summary!$J$2:$K$9,2)*IF(ISNUMBER(H1714),H1714,1))</f>
        <v>0.84620370370370379</v>
      </c>
      <c r="AG1714" s="287">
        <v>1713</v>
      </c>
      <c r="AH1714" s="94"/>
      <c r="AI1714" s="94"/>
    </row>
    <row r="1715" spans="1:35" s="3" customFormat="1" ht="12" customHeight="1" x14ac:dyDescent="0.25">
      <c r="A1715" s="517" t="s">
        <v>15661</v>
      </c>
      <c r="B1715" s="517">
        <v>5</v>
      </c>
      <c r="C1715" s="518">
        <v>0.27</v>
      </c>
      <c r="D1715" s="192" t="s">
        <v>13140</v>
      </c>
      <c r="E1715" s="317" t="s">
        <v>12720</v>
      </c>
      <c r="F1715" s="209">
        <v>42534</v>
      </c>
      <c r="G1715" s="209"/>
      <c r="H1715" s="192" t="s">
        <v>461</v>
      </c>
      <c r="I1715" s="753"/>
      <c r="J1715" s="903" t="s">
        <v>2755</v>
      </c>
      <c r="K1715" s="194" t="s">
        <v>12721</v>
      </c>
      <c r="L1715" s="194" t="s">
        <v>10635</v>
      </c>
      <c r="M1715" s="194" t="s">
        <v>9290</v>
      </c>
      <c r="N1715" s="194"/>
      <c r="O1715" s="194"/>
      <c r="P1715" s="190" t="s">
        <v>461</v>
      </c>
      <c r="Q1715" s="194" t="s">
        <v>3947</v>
      </c>
      <c r="R1715" s="193" t="s">
        <v>2722</v>
      </c>
      <c r="S1715" s="354" t="s">
        <v>2607</v>
      </c>
      <c r="T1715" s="173" t="s">
        <v>2320</v>
      </c>
      <c r="U1715" s="190" t="s">
        <v>2322</v>
      </c>
      <c r="V1715" s="190"/>
      <c r="W1715" s="317" t="s">
        <v>12720</v>
      </c>
      <c r="X1715" s="649" t="s">
        <v>12333</v>
      </c>
      <c r="Y1715" s="357"/>
      <c r="Z1715" s="192"/>
      <c r="AA1715" s="192"/>
      <c r="AB1715" s="37">
        <f t="shared" ca="1" si="35"/>
        <v>0.59711916421188482</v>
      </c>
      <c r="AC1715" s="816"/>
      <c r="AD1715" s="817"/>
      <c r="AE1715" s="943"/>
      <c r="AF1715" s="924">
        <f>IF(X1715=X1714,AF1714,0)+IF(ISNUMBER(I1715),IF(I1715&lt;1,I1715,I1715*VLOOKUP(J1715,Summary!$H$2:$I$9,2)),VLOOKUP(J1715,Summary!$J$2:$K$9,2)*IF(ISNUMBER(H1715),H1715,1))</f>
        <v>0.86356481481481495</v>
      </c>
      <c r="AG1715" s="292">
        <v>1714</v>
      </c>
      <c r="AH1715" s="94"/>
      <c r="AI1715" s="94"/>
    </row>
    <row r="1716" spans="1:35" s="29" customFormat="1" ht="12" customHeight="1" x14ac:dyDescent="0.25">
      <c r="A1716" s="512" t="s">
        <v>15661</v>
      </c>
      <c r="B1716" s="512">
        <v>5</v>
      </c>
      <c r="C1716" s="512">
        <v>172</v>
      </c>
      <c r="D1716" s="407"/>
      <c r="E1716" s="315" t="s">
        <v>8121</v>
      </c>
      <c r="F1716" s="169">
        <v>41365</v>
      </c>
      <c r="G1716" s="170"/>
      <c r="H1716" s="170">
        <v>4</v>
      </c>
      <c r="I1716" s="746">
        <f>TIME(1,57,59)</f>
        <v>8.1932870370370378E-2</v>
      </c>
      <c r="J1716" s="899" t="s">
        <v>4706</v>
      </c>
      <c r="K1716" s="167" t="s">
        <v>941</v>
      </c>
      <c r="L1716" s="167" t="s">
        <v>2313</v>
      </c>
      <c r="M1716" s="167"/>
      <c r="N1716" s="167"/>
      <c r="O1716" s="167" t="s">
        <v>2500</v>
      </c>
      <c r="P1716" s="168" t="s">
        <v>8122</v>
      </c>
      <c r="Q1716" s="167" t="s">
        <v>3947</v>
      </c>
      <c r="R1716" s="172" t="s">
        <v>3146</v>
      </c>
      <c r="S1716" s="388" t="s">
        <v>2607</v>
      </c>
      <c r="T1716" s="168" t="s">
        <v>2320</v>
      </c>
      <c r="U1716" s="168" t="s">
        <v>2322</v>
      </c>
      <c r="V1716" s="168"/>
      <c r="W1716" s="312" t="s">
        <v>12099</v>
      </c>
      <c r="X1716" s="644" t="s">
        <v>12333</v>
      </c>
      <c r="Y1716" s="352" t="s">
        <v>5643</v>
      </c>
      <c r="Z1716" s="353">
        <v>672</v>
      </c>
      <c r="AA1716" s="353">
        <v>2</v>
      </c>
      <c r="AB1716" s="31">
        <f t="shared" ca="1" si="35"/>
        <v>0.99304747411730898</v>
      </c>
      <c r="AC1716" s="810"/>
      <c r="AD1716" s="811"/>
      <c r="AE1716" s="940"/>
      <c r="AF1716" s="920">
        <f>IF(X1716=X1715,AF1715,0)+IF(ISNUMBER(I1716),IF(I1716&lt;1,I1716,I1716*VLOOKUP(J1716,Summary!$H$2:$I$9,2)),VLOOKUP(J1716,Summary!$J$2:$K$9,2)*IF(ISNUMBER(H1716),H1716,1))</f>
        <v>0.94549768518518529</v>
      </c>
      <c r="AG1716" s="287">
        <v>1715</v>
      </c>
      <c r="AH1716" s="94"/>
      <c r="AI1716" s="94"/>
    </row>
    <row r="1717" spans="1:35" s="1" customFormat="1" ht="12" customHeight="1" x14ac:dyDescent="0.25">
      <c r="A1717" s="512" t="s">
        <v>15661</v>
      </c>
      <c r="B1717" s="512">
        <v>5</v>
      </c>
      <c r="C1717" s="512">
        <v>173</v>
      </c>
      <c r="D1717" s="407"/>
      <c r="E1717" s="315" t="s">
        <v>8123</v>
      </c>
      <c r="F1717" s="196">
        <v>41402</v>
      </c>
      <c r="G1717" s="170"/>
      <c r="H1717" s="170">
        <v>4</v>
      </c>
      <c r="I1717" s="746">
        <f>TIME(1,44,57)</f>
        <v>7.2881944444444444E-2</v>
      </c>
      <c r="J1717" s="899" t="s">
        <v>4706</v>
      </c>
      <c r="K1717" s="167" t="s">
        <v>5658</v>
      </c>
      <c r="L1717" s="167" t="s">
        <v>2313</v>
      </c>
      <c r="M1717" s="167"/>
      <c r="N1717" s="167"/>
      <c r="O1717" s="167" t="s">
        <v>2500</v>
      </c>
      <c r="P1717" s="168" t="s">
        <v>8124</v>
      </c>
      <c r="Q1717" s="167" t="s">
        <v>3947</v>
      </c>
      <c r="R1717" s="172" t="s">
        <v>3146</v>
      </c>
      <c r="S1717" s="388" t="s">
        <v>2607</v>
      </c>
      <c r="T1717" s="168" t="s">
        <v>2320</v>
      </c>
      <c r="U1717" s="168" t="s">
        <v>2322</v>
      </c>
      <c r="V1717" s="168"/>
      <c r="W1717" s="312" t="s">
        <v>10259</v>
      </c>
      <c r="X1717" s="644" t="s">
        <v>12333</v>
      </c>
      <c r="Y1717" s="352" t="s">
        <v>5643</v>
      </c>
      <c r="Z1717" s="353">
        <v>262</v>
      </c>
      <c r="AA1717" s="353">
        <v>5.5</v>
      </c>
      <c r="AB1717" s="31">
        <f t="shared" ca="1" si="35"/>
        <v>0.88038229807721391</v>
      </c>
      <c r="AC1717" s="810"/>
      <c r="AD1717" s="811"/>
      <c r="AE1717" s="940"/>
      <c r="AF1717" s="920">
        <f>IF(X1717=X1716,AF1716,0)+IF(ISNUMBER(I1717),IF(I1717&lt;1,I1717,I1717*VLOOKUP(J1717,Summary!$H$2:$I$9,2)),VLOOKUP(J1717,Summary!$J$2:$K$9,2)*IF(ISNUMBER(H1717),H1717,1))</f>
        <v>1.0183796296296297</v>
      </c>
      <c r="AG1717" s="287">
        <v>1716</v>
      </c>
      <c r="AH1717" s="94"/>
      <c r="AI1717" s="94"/>
    </row>
    <row r="1718" spans="1:35" s="1" customFormat="1" ht="12" customHeight="1" x14ac:dyDescent="0.25">
      <c r="A1718" s="512" t="s">
        <v>15661</v>
      </c>
      <c r="B1718" s="512">
        <v>5</v>
      </c>
      <c r="C1718" s="512">
        <v>174</v>
      </c>
      <c r="D1718" s="407"/>
      <c r="E1718" s="315" t="s">
        <v>8125</v>
      </c>
      <c r="F1718" s="196">
        <v>41436</v>
      </c>
      <c r="G1718" s="170"/>
      <c r="H1718" s="170">
        <v>4</v>
      </c>
      <c r="I1718" s="746">
        <f>TIME(1,57,2)</f>
        <v>8.1273148148148136E-2</v>
      </c>
      <c r="J1718" s="899" t="s">
        <v>4706</v>
      </c>
      <c r="K1718" s="167" t="s">
        <v>177</v>
      </c>
      <c r="L1718" s="167" t="s">
        <v>2313</v>
      </c>
      <c r="M1718" s="167"/>
      <c r="N1718" s="167"/>
      <c r="O1718" s="167" t="s">
        <v>2500</v>
      </c>
      <c r="P1718" s="168" t="s">
        <v>8126</v>
      </c>
      <c r="Q1718" s="167" t="s">
        <v>3947</v>
      </c>
      <c r="R1718" s="172" t="s">
        <v>3146</v>
      </c>
      <c r="S1718" s="388" t="s">
        <v>2607</v>
      </c>
      <c r="T1718" s="168" t="s">
        <v>2320</v>
      </c>
      <c r="U1718" s="168" t="s">
        <v>2322</v>
      </c>
      <c r="V1718" s="168"/>
      <c r="W1718" s="312" t="s">
        <v>10319</v>
      </c>
      <c r="X1718" s="644" t="s">
        <v>12333</v>
      </c>
      <c r="Y1718" s="352" t="s">
        <v>5643</v>
      </c>
      <c r="Z1718" s="353">
        <v>466</v>
      </c>
      <c r="AA1718" s="353">
        <v>4.5</v>
      </c>
      <c r="AB1718" s="31">
        <f t="shared" ca="1" si="35"/>
        <v>0.38933192050141519</v>
      </c>
      <c r="AC1718" s="810"/>
      <c r="AD1718" s="811"/>
      <c r="AE1718" s="940"/>
      <c r="AF1718" s="920">
        <f>IF(X1718=X1717,AF1717,0)+IF(ISNUMBER(I1718),IF(I1718&lt;1,I1718,I1718*VLOOKUP(J1718,Summary!$H$2:$I$9,2)),VLOOKUP(J1718,Summary!$J$2:$K$9,2)*IF(ISNUMBER(H1718),H1718,1))</f>
        <v>1.0996527777777778</v>
      </c>
      <c r="AG1718" s="287">
        <v>1717</v>
      </c>
      <c r="AH1718" s="94"/>
      <c r="AI1718" s="94"/>
    </row>
    <row r="1719" spans="1:35" s="2" customFormat="1" ht="12" customHeight="1" x14ac:dyDescent="0.25">
      <c r="A1719" s="512" t="s">
        <v>15661</v>
      </c>
      <c r="B1719" s="512">
        <v>5</v>
      </c>
      <c r="C1719" s="512">
        <v>195</v>
      </c>
      <c r="D1719" s="407"/>
      <c r="E1719" s="315" t="s">
        <v>9388</v>
      </c>
      <c r="F1719" s="169">
        <v>42005</v>
      </c>
      <c r="G1719" s="170"/>
      <c r="H1719" s="170">
        <v>4</v>
      </c>
      <c r="I1719" s="746">
        <f>TIME(1,32,43)</f>
        <v>6.4386574074074068E-2</v>
      </c>
      <c r="J1719" s="899" t="s">
        <v>4706</v>
      </c>
      <c r="K1719" s="167" t="s">
        <v>6970</v>
      </c>
      <c r="L1719" s="167" t="s">
        <v>2313</v>
      </c>
      <c r="M1719" s="167"/>
      <c r="N1719" s="167"/>
      <c r="O1719" s="167" t="s">
        <v>2500</v>
      </c>
      <c r="P1719" s="168" t="s">
        <v>9390</v>
      </c>
      <c r="Q1719" s="167" t="s">
        <v>3947</v>
      </c>
      <c r="R1719" s="172" t="s">
        <v>3146</v>
      </c>
      <c r="S1719" s="388" t="s">
        <v>2607</v>
      </c>
      <c r="T1719" s="168" t="s">
        <v>2320</v>
      </c>
      <c r="U1719" s="168" t="s">
        <v>2322</v>
      </c>
      <c r="V1719" s="168"/>
      <c r="W1719" s="312" t="s">
        <v>12100</v>
      </c>
      <c r="X1719" s="644" t="s">
        <v>12333</v>
      </c>
      <c r="Y1719" s="352" t="s">
        <v>5643</v>
      </c>
      <c r="Z1719" s="353">
        <v>673</v>
      </c>
      <c r="AA1719" s="353">
        <v>2</v>
      </c>
      <c r="AB1719" s="31">
        <f t="shared" ca="1" si="35"/>
        <v>0.27357455095269378</v>
      </c>
      <c r="AC1719" s="810"/>
      <c r="AD1719" s="811"/>
      <c r="AE1719" s="940"/>
      <c r="AF1719" s="920">
        <f>IF(X1719=X1718,AF1718,0)+IF(ISNUMBER(I1719),IF(I1719&lt;1,I1719,I1719*VLOOKUP(J1719,Summary!$H$2:$I$9,2)),VLOOKUP(J1719,Summary!$J$2:$K$9,2)*IF(ISNUMBER(H1719),H1719,1))</f>
        <v>1.1640393518518519</v>
      </c>
      <c r="AG1719" s="287">
        <v>1718</v>
      </c>
      <c r="AH1719" s="94"/>
      <c r="AI1719" s="94"/>
    </row>
    <row r="1720" spans="1:35" s="22" customFormat="1" ht="12" customHeight="1" x14ac:dyDescent="0.2">
      <c r="A1720" s="512" t="s">
        <v>15661</v>
      </c>
      <c r="B1720" s="512">
        <v>5</v>
      </c>
      <c r="C1720" s="512">
        <v>196</v>
      </c>
      <c r="D1720" s="407"/>
      <c r="E1720" s="315" t="s">
        <v>6980</v>
      </c>
      <c r="F1720" s="169">
        <v>42036</v>
      </c>
      <c r="G1720" s="170"/>
      <c r="H1720" s="170">
        <v>4</v>
      </c>
      <c r="I1720" s="746">
        <f>TIME(1,44,34)</f>
        <v>7.2615740740740745E-2</v>
      </c>
      <c r="J1720" s="899" t="s">
        <v>4706</v>
      </c>
      <c r="K1720" s="167" t="s">
        <v>6452</v>
      </c>
      <c r="L1720" s="167" t="s">
        <v>2313</v>
      </c>
      <c r="M1720" s="167"/>
      <c r="N1720" s="167"/>
      <c r="O1720" s="167" t="s">
        <v>2500</v>
      </c>
      <c r="P1720" s="168" t="s">
        <v>9391</v>
      </c>
      <c r="Q1720" s="167" t="s">
        <v>3947</v>
      </c>
      <c r="R1720" s="172" t="s">
        <v>3146</v>
      </c>
      <c r="S1720" s="388" t="s">
        <v>2607</v>
      </c>
      <c r="T1720" s="168" t="s">
        <v>2320</v>
      </c>
      <c r="U1720" s="168" t="s">
        <v>2322</v>
      </c>
      <c r="V1720" s="168"/>
      <c r="W1720" s="312" t="s">
        <v>15311</v>
      </c>
      <c r="X1720" s="644" t="s">
        <v>12333</v>
      </c>
      <c r="Y1720" s="352" t="s">
        <v>5643</v>
      </c>
      <c r="Z1720" s="353">
        <v>286</v>
      </c>
      <c r="AA1720" s="353">
        <v>5.5</v>
      </c>
      <c r="AB1720" s="31">
        <f t="shared" ca="1" si="35"/>
        <v>0.60547530038980313</v>
      </c>
      <c r="AC1720" s="810"/>
      <c r="AD1720" s="811"/>
      <c r="AE1720" s="940"/>
      <c r="AF1720" s="920">
        <f>IF(X1720=X1719,AF1719,0)+IF(ISNUMBER(I1720),IF(I1720&lt;1,I1720,I1720*VLOOKUP(J1720,Summary!$H$2:$I$9,2)),VLOOKUP(J1720,Summary!$J$2:$K$9,2)*IF(ISNUMBER(H1720),H1720,1))</f>
        <v>1.2366550925925928</v>
      </c>
      <c r="AG1720" s="287">
        <v>1719</v>
      </c>
      <c r="AH1720" s="94"/>
      <c r="AI1720" s="94"/>
    </row>
    <row r="1721" spans="1:35" s="22" customFormat="1" ht="12" customHeight="1" x14ac:dyDescent="0.2">
      <c r="A1721" s="512" t="s">
        <v>15661</v>
      </c>
      <c r="B1721" s="512">
        <v>5</v>
      </c>
      <c r="C1721" s="512">
        <v>197</v>
      </c>
      <c r="D1721" s="407"/>
      <c r="E1721" s="315" t="s">
        <v>9389</v>
      </c>
      <c r="F1721" s="169">
        <v>42064</v>
      </c>
      <c r="G1721" s="170"/>
      <c r="H1721" s="170">
        <v>4</v>
      </c>
      <c r="I1721" s="746">
        <f>TIME(1,42,3)</f>
        <v>7.0868055555555545E-2</v>
      </c>
      <c r="J1721" s="899" t="s">
        <v>4706</v>
      </c>
      <c r="K1721" s="167" t="s">
        <v>177</v>
      </c>
      <c r="L1721" s="167" t="s">
        <v>2313</v>
      </c>
      <c r="M1721" s="167"/>
      <c r="N1721" s="167"/>
      <c r="O1721" s="167" t="s">
        <v>2500</v>
      </c>
      <c r="P1721" s="168" t="s">
        <v>9392</v>
      </c>
      <c r="Q1721" s="167" t="s">
        <v>3947</v>
      </c>
      <c r="R1721" s="172" t="s">
        <v>3146</v>
      </c>
      <c r="S1721" s="388" t="s">
        <v>2607</v>
      </c>
      <c r="T1721" s="168" t="s">
        <v>2320</v>
      </c>
      <c r="U1721" s="168" t="s">
        <v>2322</v>
      </c>
      <c r="V1721" s="168"/>
      <c r="W1721" s="312" t="s">
        <v>15313</v>
      </c>
      <c r="X1721" s="644" t="s">
        <v>12333</v>
      </c>
      <c r="Y1721" s="352" t="s">
        <v>5643</v>
      </c>
      <c r="Z1721" s="353">
        <v>540</v>
      </c>
      <c r="AA1721" s="353">
        <v>4</v>
      </c>
      <c r="AB1721" s="31">
        <f t="shared" ca="1" si="35"/>
        <v>0.81985982824951986</v>
      </c>
      <c r="AC1721" s="810"/>
      <c r="AD1721" s="811"/>
      <c r="AE1721" s="940"/>
      <c r="AF1721" s="920">
        <f>IF(X1721=X1720,AF1720,0)+IF(ISNUMBER(I1721),IF(I1721&lt;1,I1721,I1721*VLOOKUP(J1721,Summary!$H$2:$I$9,2)),VLOOKUP(J1721,Summary!$J$2:$K$9,2)*IF(ISNUMBER(H1721),H1721,1))</f>
        <v>1.3075231481481484</v>
      </c>
      <c r="AG1721" s="287">
        <v>1720</v>
      </c>
      <c r="AH1721" s="94"/>
      <c r="AI1721" s="94"/>
    </row>
    <row r="1722" spans="1:35" s="22" customFormat="1" ht="12" customHeight="1" x14ac:dyDescent="0.25">
      <c r="A1722" s="514" t="s">
        <v>15661</v>
      </c>
      <c r="B1722" s="514">
        <v>5</v>
      </c>
      <c r="C1722" s="514">
        <v>28.04</v>
      </c>
      <c r="D1722" s="434" t="s">
        <v>2869</v>
      </c>
      <c r="E1722" s="324" t="s">
        <v>2868</v>
      </c>
      <c r="F1722" s="174">
        <v>39630</v>
      </c>
      <c r="G1722" s="174"/>
      <c r="H1722" s="176" t="s">
        <v>461</v>
      </c>
      <c r="I1722" s="176">
        <v>18</v>
      </c>
      <c r="J1722" s="900" t="s">
        <v>2755</v>
      </c>
      <c r="K1722" s="164" t="s">
        <v>342</v>
      </c>
      <c r="L1722" s="164" t="s">
        <v>461</v>
      </c>
      <c r="M1722" s="164"/>
      <c r="N1722" s="164" t="s">
        <v>185</v>
      </c>
      <c r="O1722" s="164"/>
      <c r="P1722" s="173" t="s">
        <v>6704</v>
      </c>
      <c r="Q1722" s="164" t="s">
        <v>3947</v>
      </c>
      <c r="R1722" s="179" t="s">
        <v>2723</v>
      </c>
      <c r="S1722" s="354"/>
      <c r="T1722" s="173" t="s">
        <v>2320</v>
      </c>
      <c r="U1722" s="173" t="s">
        <v>2322</v>
      </c>
      <c r="V1722" s="173"/>
      <c r="W1722" s="324" t="s">
        <v>2868</v>
      </c>
      <c r="X1722" s="656" t="s">
        <v>12333</v>
      </c>
      <c r="Y1722" s="354"/>
      <c r="Z1722" s="176"/>
      <c r="AA1722" s="176"/>
      <c r="AB1722" s="32">
        <f t="shared" ca="1" si="35"/>
        <v>0.75999672120765271</v>
      </c>
      <c r="AC1722" s="812"/>
      <c r="AD1722" s="763"/>
      <c r="AE1722" s="951"/>
      <c r="AF1722" s="921">
        <f>IF(X1722=X1721,AF1721,0)+IF(ISNUMBER(I1722),IF(I1722&lt;1,I1722,I1722*VLOOKUP(J1722,Summary!$H$2:$I$9,2)),VLOOKUP(J1722,Summary!$J$2:$K$9,2)*IF(ISNUMBER(H1722),H1722,1))</f>
        <v>1.3200231481481484</v>
      </c>
      <c r="AG1722" s="288">
        <v>1721</v>
      </c>
      <c r="AH1722" s="94"/>
      <c r="AI1722" s="94"/>
    </row>
    <row r="1723" spans="1:35" s="22" customFormat="1" ht="12" customHeight="1" x14ac:dyDescent="0.25">
      <c r="A1723" s="511" t="s">
        <v>15661</v>
      </c>
      <c r="B1723" s="511">
        <v>5</v>
      </c>
      <c r="C1723" s="511">
        <v>128</v>
      </c>
      <c r="D1723" s="424" t="s">
        <v>5512</v>
      </c>
      <c r="E1723" s="319" t="s">
        <v>5513</v>
      </c>
      <c r="F1723" s="198">
        <v>30390</v>
      </c>
      <c r="G1723" s="198">
        <v>30391</v>
      </c>
      <c r="H1723" s="199">
        <v>2</v>
      </c>
      <c r="I1723" s="791">
        <f>TIME(0,24,48)+TIME(0,24,27)</f>
        <v>3.4201388888888892E-2</v>
      </c>
      <c r="J1723" s="904" t="s">
        <v>1588</v>
      </c>
      <c r="K1723" s="200" t="s">
        <v>6967</v>
      </c>
      <c r="L1723" s="200" t="s">
        <v>5514</v>
      </c>
      <c r="M1723" s="200"/>
      <c r="N1723" s="200" t="s">
        <v>2366</v>
      </c>
      <c r="O1723" s="200" t="s">
        <v>6962</v>
      </c>
      <c r="P1723" s="197" t="s">
        <v>461</v>
      </c>
      <c r="Q1723" s="200" t="s">
        <v>3946</v>
      </c>
      <c r="R1723" s="201" t="s">
        <v>5280</v>
      </c>
      <c r="S1723" s="390"/>
      <c r="T1723" s="197" t="s">
        <v>2320</v>
      </c>
      <c r="U1723" s="197" t="s">
        <v>2322</v>
      </c>
      <c r="V1723" s="197" t="s">
        <v>2323</v>
      </c>
      <c r="W1723" s="318" t="s">
        <v>9666</v>
      </c>
      <c r="X1723" s="650" t="s">
        <v>12333</v>
      </c>
      <c r="Y1723" s="358" t="s">
        <v>6141</v>
      </c>
      <c r="Z1723" s="253">
        <v>192</v>
      </c>
      <c r="AA1723" s="253">
        <v>5</v>
      </c>
      <c r="AB1723" s="35">
        <f t="shared" ca="1" si="35"/>
        <v>0.47585773192421887</v>
      </c>
      <c r="AC1723" s="820"/>
      <c r="AD1723" s="821" t="s">
        <v>15078</v>
      </c>
      <c r="AE1723" s="944"/>
      <c r="AF1723" s="925">
        <f>IF(X1723=X1722,AF1722,0)+IF(ISNUMBER(I1723),IF(I1723&lt;1,I1723,I1723*VLOOKUP(J1723,Summary!$H$2:$I$9,2)),VLOOKUP(J1723,Summary!$J$2:$K$9,2)*IF(ISNUMBER(H1723),H1723,1))</f>
        <v>1.3542245370370372</v>
      </c>
      <c r="AG1723" s="293">
        <v>1722</v>
      </c>
      <c r="AH1723" s="94"/>
      <c r="AI1723" s="94"/>
    </row>
    <row r="1724" spans="1:35" s="2" customFormat="1" ht="12" customHeight="1" x14ac:dyDescent="0.25">
      <c r="A1724" s="514" t="s">
        <v>15661</v>
      </c>
      <c r="B1724" s="514">
        <v>5</v>
      </c>
      <c r="C1724" s="514">
        <v>13</v>
      </c>
      <c r="D1724" s="176" t="s">
        <v>12806</v>
      </c>
      <c r="E1724" s="313" t="s">
        <v>12807</v>
      </c>
      <c r="F1724" s="174">
        <v>31837</v>
      </c>
      <c r="G1724" s="174"/>
      <c r="H1724" s="176">
        <v>1</v>
      </c>
      <c r="I1724" s="176">
        <v>3</v>
      </c>
      <c r="J1724" s="900" t="s">
        <v>2755</v>
      </c>
      <c r="K1724" s="164" t="s">
        <v>12808</v>
      </c>
      <c r="L1724" s="164" t="s">
        <v>461</v>
      </c>
      <c r="M1724" s="164"/>
      <c r="N1724" s="164" t="s">
        <v>3421</v>
      </c>
      <c r="O1724" s="164"/>
      <c r="P1724" s="173" t="s">
        <v>461</v>
      </c>
      <c r="Q1724" s="164" t="s">
        <v>4062</v>
      </c>
      <c r="R1724" s="177" t="s">
        <v>10250</v>
      </c>
      <c r="S1724" s="354"/>
      <c r="T1724" s="173" t="s">
        <v>2320</v>
      </c>
      <c r="U1724" s="173" t="s">
        <v>2322</v>
      </c>
      <c r="V1724" s="173" t="s">
        <v>2323</v>
      </c>
      <c r="W1724" s="313" t="s">
        <v>12807</v>
      </c>
      <c r="X1724" s="656" t="s">
        <v>12333</v>
      </c>
      <c r="Y1724" s="354"/>
      <c r="Z1724" s="176"/>
      <c r="AA1724" s="176"/>
      <c r="AB1724" s="32">
        <f t="shared" ca="1" si="35"/>
        <v>0.41926275285395898</v>
      </c>
      <c r="AC1724" s="812"/>
      <c r="AD1724" s="763"/>
      <c r="AE1724" s="807"/>
      <c r="AF1724" s="921">
        <f>IF(X1724=X1723,AF1723,0)+IF(ISNUMBER(I1724),IF(I1724&lt;1,I1724,I1724*VLOOKUP(J1724,Summary!$H$2:$I$9,2)),VLOOKUP(J1724,Summary!$J$2:$K$9,2)*IF(ISNUMBER(H1724),H1724,1))</f>
        <v>1.3563078703703706</v>
      </c>
      <c r="AG1724" s="289">
        <v>1723</v>
      </c>
      <c r="AH1724" s="94"/>
      <c r="AI1724" s="94"/>
    </row>
    <row r="1725" spans="1:35" s="1" customFormat="1" ht="12" customHeight="1" x14ac:dyDescent="0.25">
      <c r="A1725" s="515" t="s">
        <v>15661</v>
      </c>
      <c r="B1725" s="515">
        <v>5</v>
      </c>
      <c r="C1725" s="515">
        <v>4</v>
      </c>
      <c r="D1725" s="417" t="s">
        <v>2814</v>
      </c>
      <c r="E1725" s="316" t="s">
        <v>5515</v>
      </c>
      <c r="F1725" s="187">
        <v>34639</v>
      </c>
      <c r="G1725" s="188"/>
      <c r="H1725" s="188" t="str">
        <f>IF(J1725="Book","n/a","")</f>
        <v>n/a</v>
      </c>
      <c r="I1725" s="188">
        <v>296</v>
      </c>
      <c r="J1725" s="902" t="s">
        <v>6868</v>
      </c>
      <c r="K1725" s="162" t="s">
        <v>4031</v>
      </c>
      <c r="L1725" s="162" t="str">
        <f>IF(J1725="Book","n/a","")</f>
        <v>n/a</v>
      </c>
      <c r="M1725" s="162"/>
      <c r="N1725" s="162"/>
      <c r="O1725" s="162"/>
      <c r="P1725" s="178" t="s">
        <v>8589</v>
      </c>
      <c r="Q1725" s="162" t="s">
        <v>601</v>
      </c>
      <c r="R1725" s="189" t="s">
        <v>2715</v>
      </c>
      <c r="S1725" s="366"/>
      <c r="T1725" s="178" t="s">
        <v>2320</v>
      </c>
      <c r="U1725" s="178" t="s">
        <v>2322</v>
      </c>
      <c r="V1725" s="178" t="s">
        <v>2323</v>
      </c>
      <c r="W1725" s="316" t="s">
        <v>5515</v>
      </c>
      <c r="X1725" s="648" t="s">
        <v>12333</v>
      </c>
      <c r="Y1725" s="356"/>
      <c r="Z1725" s="272">
        <v>195</v>
      </c>
      <c r="AA1725" s="272">
        <v>3</v>
      </c>
      <c r="AB1725" s="34">
        <f t="shared" ca="1" si="35"/>
        <v>0.50359644738522558</v>
      </c>
      <c r="AC1725" s="814"/>
      <c r="AD1725" s="815" t="s">
        <v>16477</v>
      </c>
      <c r="AE1725" s="942"/>
      <c r="AF1725" s="923">
        <f>IF(X1725=X1724,AF1724,0)+IF(ISNUMBER(I1725),IF(I1725&lt;1,I1725,I1725*VLOOKUP(J1725,Summary!$H$2:$I$9,2)),VLOOKUP(J1725,Summary!$J$2:$K$9,2)*IF(ISNUMBER(H1725),H1725,1))</f>
        <v>1.5618634259259261</v>
      </c>
      <c r="AG1725" s="291">
        <v>1724</v>
      </c>
      <c r="AH1725" s="94"/>
      <c r="AI1725" s="94"/>
    </row>
    <row r="1726" spans="1:35" s="1" customFormat="1" ht="12" customHeight="1" x14ac:dyDescent="0.25">
      <c r="A1726" s="512" t="s">
        <v>15661</v>
      </c>
      <c r="B1726" s="512">
        <v>5</v>
      </c>
      <c r="C1726" s="512">
        <v>247</v>
      </c>
      <c r="D1726" s="407"/>
      <c r="E1726" s="315" t="s">
        <v>15939</v>
      </c>
      <c r="F1726" s="196">
        <v>43480</v>
      </c>
      <c r="G1726" s="170"/>
      <c r="H1726" s="170">
        <v>4</v>
      </c>
      <c r="I1726" s="747">
        <f>TIME(0,120,0)</f>
        <v>8.3333333333333329E-2</v>
      </c>
      <c r="J1726" s="899" t="s">
        <v>4706</v>
      </c>
      <c r="K1726" s="167" t="s">
        <v>2479</v>
      </c>
      <c r="L1726" s="167" t="s">
        <v>2313</v>
      </c>
      <c r="M1726" s="167"/>
      <c r="N1726" s="167" t="s">
        <v>7374</v>
      </c>
      <c r="O1726" s="167" t="s">
        <v>179</v>
      </c>
      <c r="P1726" s="168" t="s">
        <v>15940</v>
      </c>
      <c r="Q1726" s="167" t="s">
        <v>3947</v>
      </c>
      <c r="R1726" s="172" t="s">
        <v>3146</v>
      </c>
      <c r="S1726" s="388"/>
      <c r="T1726" s="168" t="s">
        <v>2320</v>
      </c>
      <c r="U1726" s="168" t="s">
        <v>2322</v>
      </c>
      <c r="V1726" s="168" t="s">
        <v>2323</v>
      </c>
      <c r="W1726" s="312"/>
      <c r="X1726" s="647" t="s">
        <v>12333</v>
      </c>
      <c r="Y1726" s="352"/>
      <c r="Z1726" s="353"/>
      <c r="AA1726" s="353"/>
      <c r="AB1726" s="31">
        <f t="shared" ca="1" si="35"/>
        <v>0.61884822333336154</v>
      </c>
      <c r="AC1726" s="810"/>
      <c r="AD1726" s="811"/>
      <c r="AE1726" s="940"/>
      <c r="AF1726" s="920">
        <f>IF(X1726=X1725,AF1725,0)+IF(ISNUMBER(I1726),IF(I1726&lt;1,I1726,I1726*VLOOKUP(J1726,Summary!$H$2:$I$9,2)),VLOOKUP(J1726,Summary!$J$2:$K$9,2)*IF(ISNUMBER(H1726),H1726,1))</f>
        <v>1.6451967592592593</v>
      </c>
      <c r="AG1726" s="287">
        <v>1725</v>
      </c>
      <c r="AH1726" s="94"/>
      <c r="AI1726" s="94"/>
    </row>
    <row r="1727" spans="1:35" s="1" customFormat="1" ht="12" customHeight="1" x14ac:dyDescent="0.25">
      <c r="A1727" s="512" t="s">
        <v>15661</v>
      </c>
      <c r="B1727" s="512">
        <v>5</v>
      </c>
      <c r="C1727" s="512">
        <v>248.1</v>
      </c>
      <c r="D1727" s="407"/>
      <c r="E1727" s="315" t="s">
        <v>15941</v>
      </c>
      <c r="F1727" s="196">
        <v>43508</v>
      </c>
      <c r="G1727" s="170"/>
      <c r="H1727" s="170">
        <v>2</v>
      </c>
      <c r="I1727" s="747">
        <f>TIME(0,60,0)</f>
        <v>4.1666666666666664E-2</v>
      </c>
      <c r="J1727" s="899" t="s">
        <v>4706</v>
      </c>
      <c r="K1727" s="167" t="s">
        <v>10304</v>
      </c>
      <c r="L1727" s="167" t="s">
        <v>2313</v>
      </c>
      <c r="M1727" s="167"/>
      <c r="N1727" s="167" t="s">
        <v>7374</v>
      </c>
      <c r="O1727" s="167" t="s">
        <v>179</v>
      </c>
      <c r="P1727" s="168" t="s">
        <v>15943</v>
      </c>
      <c r="Q1727" s="167" t="s">
        <v>3947</v>
      </c>
      <c r="R1727" s="172" t="s">
        <v>3146</v>
      </c>
      <c r="S1727" s="388"/>
      <c r="T1727" s="168" t="s">
        <v>2320</v>
      </c>
      <c r="U1727" s="168" t="s">
        <v>2322</v>
      </c>
      <c r="V1727" s="168" t="s">
        <v>2323</v>
      </c>
      <c r="W1727" s="312"/>
      <c r="X1727" s="647" t="s">
        <v>12333</v>
      </c>
      <c r="Y1727" s="352"/>
      <c r="Z1727" s="353"/>
      <c r="AA1727" s="353"/>
      <c r="AB1727" s="31">
        <f t="shared" ca="1" si="35"/>
        <v>0.74568876467253842</v>
      </c>
      <c r="AC1727" s="810"/>
      <c r="AD1727" s="811"/>
      <c r="AE1727" s="940"/>
      <c r="AF1727" s="920">
        <f>IF(X1727=X1726,AF1726,0)+IF(ISNUMBER(I1727),IF(I1727&lt;1,I1727,I1727*VLOOKUP(J1727,Summary!$H$2:$I$9,2)),VLOOKUP(J1727,Summary!$J$2:$K$9,2)*IF(ISNUMBER(H1727),H1727,1))</f>
        <v>1.6868634259259261</v>
      </c>
      <c r="AG1727" s="287">
        <v>1726</v>
      </c>
      <c r="AH1727" s="94"/>
      <c r="AI1727" s="94"/>
    </row>
    <row r="1728" spans="1:35" s="1" customFormat="1" ht="12" customHeight="1" x14ac:dyDescent="0.25">
      <c r="A1728" s="512" t="s">
        <v>15661</v>
      </c>
      <c r="B1728" s="512">
        <v>5</v>
      </c>
      <c r="C1728" s="512">
        <v>248.2</v>
      </c>
      <c r="D1728" s="407"/>
      <c r="E1728" s="315" t="s">
        <v>15942</v>
      </c>
      <c r="F1728" s="196">
        <v>43508</v>
      </c>
      <c r="G1728" s="170"/>
      <c r="H1728" s="170">
        <v>2</v>
      </c>
      <c r="I1728" s="747">
        <f>TIME(0,60,0)</f>
        <v>4.1666666666666664E-2</v>
      </c>
      <c r="J1728" s="899" t="s">
        <v>4706</v>
      </c>
      <c r="K1728" s="167" t="s">
        <v>6353</v>
      </c>
      <c r="L1728" s="167" t="s">
        <v>2313</v>
      </c>
      <c r="M1728" s="167"/>
      <c r="N1728" s="167" t="s">
        <v>7374</v>
      </c>
      <c r="O1728" s="167" t="s">
        <v>179</v>
      </c>
      <c r="P1728" s="168" t="s">
        <v>15943</v>
      </c>
      <c r="Q1728" s="167" t="s">
        <v>3947</v>
      </c>
      <c r="R1728" s="172" t="s">
        <v>3146</v>
      </c>
      <c r="S1728" s="388"/>
      <c r="T1728" s="168" t="s">
        <v>2320</v>
      </c>
      <c r="U1728" s="168" t="s">
        <v>2322</v>
      </c>
      <c r="V1728" s="168" t="s">
        <v>2323</v>
      </c>
      <c r="W1728" s="312"/>
      <c r="X1728" s="647" t="s">
        <v>12333</v>
      </c>
      <c r="Y1728" s="352"/>
      <c r="Z1728" s="353"/>
      <c r="AA1728" s="353"/>
      <c r="AB1728" s="31">
        <f t="shared" ca="1" si="35"/>
        <v>0.60333292333653654</v>
      </c>
      <c r="AC1728" s="810"/>
      <c r="AD1728" s="811"/>
      <c r="AE1728" s="940"/>
      <c r="AF1728" s="920">
        <f>IF(X1728=X1727,AF1727,0)+IF(ISNUMBER(I1728),IF(I1728&lt;1,I1728,I1728*VLOOKUP(J1728,Summary!$H$2:$I$9,2)),VLOOKUP(J1728,Summary!$J$2:$K$9,2)*IF(ISNUMBER(H1728),H1728,1))</f>
        <v>1.7285300925925928</v>
      </c>
      <c r="AG1728" s="287">
        <v>1727</v>
      </c>
      <c r="AH1728" s="94"/>
      <c r="AI1728" s="94"/>
    </row>
    <row r="1729" spans="1:35" s="1" customFormat="1" ht="12" customHeight="1" x14ac:dyDescent="0.25">
      <c r="A1729" s="512" t="s">
        <v>15661</v>
      </c>
      <c r="B1729" s="512">
        <v>5</v>
      </c>
      <c r="C1729" s="512">
        <v>249</v>
      </c>
      <c r="D1729" s="407"/>
      <c r="E1729" s="315" t="s">
        <v>15944</v>
      </c>
      <c r="F1729" s="196">
        <v>43536</v>
      </c>
      <c r="G1729" s="170"/>
      <c r="H1729" s="170">
        <v>4</v>
      </c>
      <c r="I1729" s="747">
        <f>TIME(0,120,0)</f>
        <v>8.3333333333333329E-2</v>
      </c>
      <c r="J1729" s="899" t="s">
        <v>4706</v>
      </c>
      <c r="K1729" s="167" t="s">
        <v>177</v>
      </c>
      <c r="L1729" s="167" t="s">
        <v>2313</v>
      </c>
      <c r="M1729" s="167"/>
      <c r="N1729" s="167" t="s">
        <v>7374</v>
      </c>
      <c r="O1729" s="167" t="s">
        <v>179</v>
      </c>
      <c r="P1729" s="168" t="s">
        <v>15945</v>
      </c>
      <c r="Q1729" s="167" t="s">
        <v>3947</v>
      </c>
      <c r="R1729" s="172" t="s">
        <v>3146</v>
      </c>
      <c r="S1729" s="388"/>
      <c r="T1729" s="168" t="s">
        <v>2320</v>
      </c>
      <c r="U1729" s="168" t="s">
        <v>2322</v>
      </c>
      <c r="V1729" s="168" t="s">
        <v>2323</v>
      </c>
      <c r="W1729" s="312"/>
      <c r="X1729" s="647" t="s">
        <v>12333</v>
      </c>
      <c r="Y1729" s="352"/>
      <c r="Z1729" s="353"/>
      <c r="AA1729" s="353"/>
      <c r="AB1729" s="31">
        <f t="shared" ca="1" si="35"/>
        <v>0.31423590206078034</v>
      </c>
      <c r="AC1729" s="810"/>
      <c r="AD1729" s="811"/>
      <c r="AE1729" s="940"/>
      <c r="AF1729" s="920">
        <f>IF(X1729=X1728,AF1728,0)+IF(ISNUMBER(I1729),IF(I1729&lt;1,I1729,I1729*VLOOKUP(J1729,Summary!$H$2:$I$9,2)),VLOOKUP(J1729,Summary!$J$2:$K$9,2)*IF(ISNUMBER(H1729),H1729,1))</f>
        <v>1.8118634259259261</v>
      </c>
      <c r="AG1729" s="287">
        <v>1728</v>
      </c>
      <c r="AH1729" s="94"/>
      <c r="AI1729" s="94"/>
    </row>
    <row r="1730" spans="1:35" s="2" customFormat="1" ht="12" customHeight="1" x14ac:dyDescent="0.25">
      <c r="A1730" s="511" t="s">
        <v>15661</v>
      </c>
      <c r="B1730" s="511">
        <v>5</v>
      </c>
      <c r="C1730" s="511">
        <v>129</v>
      </c>
      <c r="D1730" s="424" t="s">
        <v>5516</v>
      </c>
      <c r="E1730" s="319" t="s">
        <v>4291</v>
      </c>
      <c r="F1730" s="198">
        <v>30643</v>
      </c>
      <c r="G1730" s="198"/>
      <c r="H1730" s="199">
        <v>1</v>
      </c>
      <c r="I1730" s="791">
        <f>TIME(0,90,23)</f>
        <v>6.2766203703703713E-2</v>
      </c>
      <c r="J1730" s="904" t="s">
        <v>1588</v>
      </c>
      <c r="K1730" s="200" t="s">
        <v>1088</v>
      </c>
      <c r="L1730" s="200" t="s">
        <v>2618</v>
      </c>
      <c r="M1730" s="200"/>
      <c r="N1730" s="200" t="s">
        <v>2366</v>
      </c>
      <c r="O1730" s="200" t="s">
        <v>6962</v>
      </c>
      <c r="P1730" s="197" t="s">
        <v>461</v>
      </c>
      <c r="Q1730" s="200" t="s">
        <v>3946</v>
      </c>
      <c r="R1730" s="201" t="s">
        <v>5280</v>
      </c>
      <c r="S1730" s="390"/>
      <c r="T1730" s="197" t="s">
        <v>2320</v>
      </c>
      <c r="U1730" s="197" t="s">
        <v>2322</v>
      </c>
      <c r="V1730" s="197" t="s">
        <v>2123</v>
      </c>
      <c r="W1730" s="318" t="s">
        <v>4291</v>
      </c>
      <c r="X1730" s="650" t="s">
        <v>12333</v>
      </c>
      <c r="Y1730" s="358" t="s">
        <v>6141</v>
      </c>
      <c r="Z1730" s="253">
        <v>170</v>
      </c>
      <c r="AA1730" s="253">
        <v>5</v>
      </c>
      <c r="AB1730" s="35">
        <f t="shared" ref="AB1730:AB1793" ca="1" si="36">RAND()</f>
        <v>0.87493694236185082</v>
      </c>
      <c r="AC1730" s="820"/>
      <c r="AD1730" s="821"/>
      <c r="AE1730" s="944"/>
      <c r="AF1730" s="925">
        <f>IF(X1730=X1729,AF1729,0)+IF(ISNUMBER(I1730),IF(I1730&lt;1,I1730,I1730*VLOOKUP(J1730,Summary!$H$2:$I$9,2)),VLOOKUP(J1730,Summary!$J$2:$K$9,2)*IF(ISNUMBER(H1730),H1730,1))</f>
        <v>1.8746296296296299</v>
      </c>
      <c r="AG1730" s="293">
        <v>1729</v>
      </c>
      <c r="AH1730" s="94"/>
      <c r="AI1730" s="94"/>
    </row>
    <row r="1731" spans="1:35" s="2" customFormat="1" ht="12" customHeight="1" x14ac:dyDescent="0.25">
      <c r="A1731" s="512" t="s">
        <v>15661</v>
      </c>
      <c r="B1731" s="512">
        <v>5</v>
      </c>
      <c r="C1731" s="512">
        <v>10</v>
      </c>
      <c r="D1731" s="407" t="s">
        <v>11114</v>
      </c>
      <c r="E1731" s="315" t="s">
        <v>6501</v>
      </c>
      <c r="F1731" s="169">
        <v>40878</v>
      </c>
      <c r="G1731" s="170"/>
      <c r="H1731" s="170">
        <v>1</v>
      </c>
      <c r="I1731" s="746">
        <f>TIME(0,57,37)</f>
        <v>4.0011574074074074E-2</v>
      </c>
      <c r="J1731" s="899" t="s">
        <v>4706</v>
      </c>
      <c r="K1731" s="167" t="s">
        <v>6353</v>
      </c>
      <c r="L1731" s="167" t="s">
        <v>2313</v>
      </c>
      <c r="M1731" s="167"/>
      <c r="N1731" s="167"/>
      <c r="O1731" s="167"/>
      <c r="P1731" s="168" t="s">
        <v>461</v>
      </c>
      <c r="Q1731" s="167" t="s">
        <v>3947</v>
      </c>
      <c r="R1731" s="172" t="s">
        <v>576</v>
      </c>
      <c r="S1731" s="388" t="s">
        <v>2607</v>
      </c>
      <c r="T1731" s="168" t="s">
        <v>6502</v>
      </c>
      <c r="U1731" s="168" t="s">
        <v>2330</v>
      </c>
      <c r="V1731" s="168" t="s">
        <v>2605</v>
      </c>
      <c r="W1731" s="315" t="s">
        <v>6501</v>
      </c>
      <c r="X1731" s="647" t="s">
        <v>12333</v>
      </c>
      <c r="Y1731" s="352" t="s">
        <v>5643</v>
      </c>
      <c r="Z1731" s="353">
        <v>256</v>
      </c>
      <c r="AA1731" s="353">
        <v>5.5</v>
      </c>
      <c r="AB1731" s="31">
        <f t="shared" ca="1" si="36"/>
        <v>0.76809213806114229</v>
      </c>
      <c r="AC1731" s="810"/>
      <c r="AD1731" s="811"/>
      <c r="AE1731" s="940"/>
      <c r="AF1731" s="920">
        <f>IF(X1731=X1730,AF1730,0)+IF(ISNUMBER(I1731),IF(I1731&lt;1,I1731,I1731*VLOOKUP(J1731,Summary!$H$2:$I$9,2)),VLOOKUP(J1731,Summary!$J$2:$K$9,2)*IF(ISNUMBER(H1731),H1731,1))</f>
        <v>1.9146412037037039</v>
      </c>
      <c r="AG1731" s="287">
        <v>1730</v>
      </c>
      <c r="AH1731" s="94"/>
      <c r="AI1731" s="94"/>
    </row>
    <row r="1732" spans="1:35" s="22" customFormat="1" ht="12" customHeight="1" x14ac:dyDescent="0.25">
      <c r="A1732" s="422"/>
      <c r="B1732" s="422" t="s">
        <v>2650</v>
      </c>
      <c r="C1732" s="422">
        <v>14.16</v>
      </c>
      <c r="D1732" s="434" t="s">
        <v>7637</v>
      </c>
      <c r="E1732" s="324" t="s">
        <v>3000</v>
      </c>
      <c r="F1732" s="174">
        <v>38322</v>
      </c>
      <c r="G1732" s="174"/>
      <c r="H1732" s="176">
        <v>1</v>
      </c>
      <c r="I1732" s="176">
        <v>10</v>
      </c>
      <c r="J1732" s="900" t="s">
        <v>2755</v>
      </c>
      <c r="K1732" s="164" t="s">
        <v>5122</v>
      </c>
      <c r="L1732" s="164" t="s">
        <v>461</v>
      </c>
      <c r="M1732" s="164"/>
      <c r="N1732" s="164" t="s">
        <v>3807</v>
      </c>
      <c r="O1732" s="164"/>
      <c r="P1732" s="173" t="s">
        <v>6565</v>
      </c>
      <c r="Q1732" s="164" t="s">
        <v>3947</v>
      </c>
      <c r="R1732" s="179" t="s">
        <v>2723</v>
      </c>
      <c r="S1732" s="354"/>
      <c r="T1732" s="173"/>
      <c r="U1732" s="173"/>
      <c r="V1732" s="173"/>
      <c r="W1732" s="324" t="s">
        <v>3000</v>
      </c>
      <c r="X1732" s="656" t="s">
        <v>12333</v>
      </c>
      <c r="Y1732" s="354"/>
      <c r="Z1732" s="176"/>
      <c r="AA1732" s="176"/>
      <c r="AB1732" s="32">
        <f t="shared" ca="1" si="36"/>
        <v>0.68604641059977756</v>
      </c>
      <c r="AC1732" s="812"/>
      <c r="AD1732" s="763"/>
      <c r="AE1732" s="951"/>
      <c r="AF1732" s="921">
        <f>IF(X1732=X1731,AF1731,0)+IF(ISNUMBER(I1732),IF(I1732&lt;1,I1732,I1732*VLOOKUP(J1732,Summary!$H$2:$I$9,2)),VLOOKUP(J1732,Summary!$J$2:$K$9,2)*IF(ISNUMBER(H1732),H1732,1))</f>
        <v>1.9215856481481484</v>
      </c>
      <c r="AG1732" s="288">
        <v>1731</v>
      </c>
      <c r="AH1732" s="94"/>
      <c r="AI1732" s="94"/>
    </row>
    <row r="1733" spans="1:35" s="2" customFormat="1" ht="12" customHeight="1" x14ac:dyDescent="0.25">
      <c r="A1733" s="514" t="s">
        <v>15661</v>
      </c>
      <c r="B1733" s="514">
        <v>5</v>
      </c>
      <c r="C1733" s="514">
        <v>16</v>
      </c>
      <c r="D1733" s="176" t="s">
        <v>866</v>
      </c>
      <c r="E1733" s="313" t="s">
        <v>4053</v>
      </c>
      <c r="F1733" s="174">
        <v>36100</v>
      </c>
      <c r="G1733" s="175"/>
      <c r="H1733" s="176" t="s">
        <v>461</v>
      </c>
      <c r="I1733" s="176"/>
      <c r="J1733" s="900" t="s">
        <v>2755</v>
      </c>
      <c r="K1733" s="164" t="s">
        <v>4031</v>
      </c>
      <c r="L1733" s="164"/>
      <c r="M1733" s="164"/>
      <c r="N1733" s="164" t="s">
        <v>819</v>
      </c>
      <c r="O1733" s="164"/>
      <c r="P1733" s="178" t="s">
        <v>461</v>
      </c>
      <c r="Q1733" s="164" t="s">
        <v>820</v>
      </c>
      <c r="R1733" s="177" t="s">
        <v>895</v>
      </c>
      <c r="S1733" s="354"/>
      <c r="T1733" s="173" t="s">
        <v>2320</v>
      </c>
      <c r="U1733" s="173" t="s">
        <v>2322</v>
      </c>
      <c r="V1733" s="173" t="s">
        <v>2323</v>
      </c>
      <c r="W1733" s="313" t="s">
        <v>4053</v>
      </c>
      <c r="X1733" s="645" t="s">
        <v>12333</v>
      </c>
      <c r="Y1733" s="354"/>
      <c r="Z1733" s="176"/>
      <c r="AA1733" s="176"/>
      <c r="AB1733" s="32">
        <f t="shared" ca="1" si="36"/>
        <v>0.72708419267716928</v>
      </c>
      <c r="AC1733" s="812"/>
      <c r="AD1733" s="763"/>
      <c r="AE1733" s="807"/>
      <c r="AF1733" s="921">
        <f>IF(X1733=X1732,AF1732,0)+IF(ISNUMBER(I1733),IF(I1733&lt;1,I1733,I1733*VLOOKUP(J1733,Summary!$H$2:$I$9,2)),VLOOKUP(J1733,Summary!$J$2:$K$9,2)*IF(ISNUMBER(H1733),H1733,1))</f>
        <v>1.9389467592592595</v>
      </c>
      <c r="AG1733" s="289">
        <v>1732</v>
      </c>
      <c r="AH1733" s="94"/>
      <c r="AI1733" s="94"/>
    </row>
    <row r="1734" spans="1:35" s="2" customFormat="1" ht="12" customHeight="1" x14ac:dyDescent="0.25">
      <c r="A1734" s="514" t="s">
        <v>15661</v>
      </c>
      <c r="B1734" s="514">
        <v>5</v>
      </c>
      <c r="C1734" s="519">
        <v>5.0999999999999996</v>
      </c>
      <c r="D1734" s="434" t="s">
        <v>1910</v>
      </c>
      <c r="E1734" s="324" t="s">
        <v>5440</v>
      </c>
      <c r="F1734" s="174">
        <v>37681</v>
      </c>
      <c r="G1734" s="174"/>
      <c r="H1734" s="176">
        <v>1</v>
      </c>
      <c r="I1734" s="176">
        <v>13</v>
      </c>
      <c r="J1734" s="900" t="s">
        <v>2755</v>
      </c>
      <c r="K1734" s="164" t="s">
        <v>6564</v>
      </c>
      <c r="L1734" s="164" t="s">
        <v>461</v>
      </c>
      <c r="M1734" s="164"/>
      <c r="N1734" s="164" t="s">
        <v>4552</v>
      </c>
      <c r="O1734" s="164"/>
      <c r="P1734" s="173" t="s">
        <v>6556</v>
      </c>
      <c r="Q1734" s="164" t="s">
        <v>3947</v>
      </c>
      <c r="R1734" s="177" t="s">
        <v>2723</v>
      </c>
      <c r="S1734" s="354"/>
      <c r="T1734" s="173" t="s">
        <v>2320</v>
      </c>
      <c r="U1734" s="173" t="s">
        <v>2322</v>
      </c>
      <c r="V1734" s="173"/>
      <c r="W1734" s="324" t="s">
        <v>5440</v>
      </c>
      <c r="X1734" s="656" t="s">
        <v>12334</v>
      </c>
      <c r="Y1734" s="354"/>
      <c r="Z1734" s="176"/>
      <c r="AA1734" s="176"/>
      <c r="AB1734" s="32">
        <f t="shared" ca="1" si="36"/>
        <v>0.98147337412932345</v>
      </c>
      <c r="AC1734" s="812"/>
      <c r="AD1734" s="763"/>
      <c r="AE1734" s="951"/>
      <c r="AF1734" s="921">
        <f>IF(X1734=X1733,AF1733,0)+IF(ISNUMBER(I1734),IF(I1734&lt;1,I1734,I1734*VLOOKUP(J1734,Summary!$H$2:$I$9,2)),VLOOKUP(J1734,Summary!$J$2:$K$9,2)*IF(ISNUMBER(H1734),H1734,1))</f>
        <v>9.0277777777777787E-3</v>
      </c>
      <c r="AG1734" s="288">
        <v>1733</v>
      </c>
      <c r="AH1734" s="94"/>
      <c r="AI1734" s="94"/>
    </row>
    <row r="1735" spans="1:35" s="1" customFormat="1" ht="12" customHeight="1" x14ac:dyDescent="0.25">
      <c r="A1735" s="514" t="s">
        <v>15661</v>
      </c>
      <c r="B1735" s="514">
        <v>5</v>
      </c>
      <c r="C1735" s="514">
        <v>19.079999999999998</v>
      </c>
      <c r="D1735" s="434" t="s">
        <v>1913</v>
      </c>
      <c r="E1735" s="324" t="s">
        <v>1908</v>
      </c>
      <c r="F1735" s="174">
        <v>38808</v>
      </c>
      <c r="G1735" s="174"/>
      <c r="H1735" s="176">
        <v>1</v>
      </c>
      <c r="I1735" s="176">
        <v>20</v>
      </c>
      <c r="J1735" s="900" t="s">
        <v>2755</v>
      </c>
      <c r="K1735" s="164" t="s">
        <v>2312</v>
      </c>
      <c r="L1735" s="164" t="s">
        <v>461</v>
      </c>
      <c r="M1735" s="164"/>
      <c r="N1735" s="164" t="s">
        <v>4552</v>
      </c>
      <c r="O1735" s="164"/>
      <c r="P1735" s="173" t="s">
        <v>5020</v>
      </c>
      <c r="Q1735" s="164" t="s">
        <v>3947</v>
      </c>
      <c r="R1735" s="179" t="s">
        <v>2723</v>
      </c>
      <c r="S1735" s="354"/>
      <c r="T1735" s="173" t="s">
        <v>2320</v>
      </c>
      <c r="U1735" s="173" t="s">
        <v>2322</v>
      </c>
      <c r="V1735" s="173"/>
      <c r="W1735" s="324" t="s">
        <v>1908</v>
      </c>
      <c r="X1735" s="656" t="s">
        <v>12334</v>
      </c>
      <c r="Y1735" s="354"/>
      <c r="Z1735" s="176"/>
      <c r="AA1735" s="176"/>
      <c r="AB1735" s="32">
        <f t="shared" ca="1" si="36"/>
        <v>0.23432464149502186</v>
      </c>
      <c r="AC1735" s="812"/>
      <c r="AD1735" s="763"/>
      <c r="AE1735" s="951"/>
      <c r="AF1735" s="921">
        <f>IF(X1735=X1734,AF1734,0)+IF(ISNUMBER(I1735),IF(I1735&lt;1,I1735,I1735*VLOOKUP(J1735,Summary!$H$2:$I$9,2)),VLOOKUP(J1735,Summary!$J$2:$K$9,2)*IF(ISNUMBER(H1735),H1735,1))</f>
        <v>2.2916666666666669E-2</v>
      </c>
      <c r="AG1735" s="288">
        <v>1734</v>
      </c>
      <c r="AH1735" s="94"/>
      <c r="AI1735" s="94"/>
    </row>
    <row r="1736" spans="1:35" s="1" customFormat="1" ht="12" customHeight="1" x14ac:dyDescent="0.25">
      <c r="A1736" s="514" t="s">
        <v>15661</v>
      </c>
      <c r="B1736" s="514">
        <v>5</v>
      </c>
      <c r="C1736" s="514">
        <v>5</v>
      </c>
      <c r="D1736" s="176" t="s">
        <v>13279</v>
      </c>
      <c r="E1736" s="313" t="s">
        <v>13280</v>
      </c>
      <c r="F1736" s="175">
        <v>42649</v>
      </c>
      <c r="G1736" s="174"/>
      <c r="H1736" s="176" t="s">
        <v>461</v>
      </c>
      <c r="I1736" s="176"/>
      <c r="J1736" s="900" t="s">
        <v>2755</v>
      </c>
      <c r="K1736" s="164" t="s">
        <v>1935</v>
      </c>
      <c r="L1736" s="164" t="s">
        <v>13281</v>
      </c>
      <c r="M1736" s="164"/>
      <c r="N1736" s="164"/>
      <c r="O1736" s="164"/>
      <c r="P1736" s="173" t="s">
        <v>12400</v>
      </c>
      <c r="Q1736" s="164" t="s">
        <v>3953</v>
      </c>
      <c r="R1736" s="177" t="s">
        <v>13260</v>
      </c>
      <c r="S1736" s="354"/>
      <c r="T1736" s="173" t="s">
        <v>2320</v>
      </c>
      <c r="U1736" s="173" t="s">
        <v>2322</v>
      </c>
      <c r="V1736" s="173"/>
      <c r="W1736" s="313" t="s">
        <v>13280</v>
      </c>
      <c r="X1736" s="656" t="s">
        <v>12334</v>
      </c>
      <c r="Y1736" s="354"/>
      <c r="Z1736" s="176"/>
      <c r="AA1736" s="176"/>
      <c r="AB1736" s="32">
        <f t="shared" ca="1" si="36"/>
        <v>0.77519646655364949</v>
      </c>
      <c r="AC1736" s="812"/>
      <c r="AD1736" s="763"/>
      <c r="AE1736" s="807"/>
      <c r="AF1736" s="921">
        <f>IF(X1736=X1735,AF1735,0)+IF(ISNUMBER(I1736),IF(I1736&lt;1,I1736,I1736*VLOOKUP(J1736,Summary!$H$2:$I$9,2)),VLOOKUP(J1736,Summary!$J$2:$K$9,2)*IF(ISNUMBER(H1736),H1736,1))</f>
        <v>4.027777777777778E-2</v>
      </c>
      <c r="AG1736" s="289">
        <v>1735</v>
      </c>
      <c r="AH1736" s="94"/>
      <c r="AI1736" s="94"/>
    </row>
    <row r="1737" spans="1:35" s="1" customFormat="1" ht="12" customHeight="1" x14ac:dyDescent="0.25">
      <c r="A1737" s="512" t="s">
        <v>15661</v>
      </c>
      <c r="B1737" s="512">
        <v>5</v>
      </c>
      <c r="C1737" s="520">
        <v>4.05</v>
      </c>
      <c r="D1737" s="407" t="s">
        <v>711</v>
      </c>
      <c r="E1737" s="315" t="s">
        <v>4292</v>
      </c>
      <c r="F1737" s="169">
        <v>40118</v>
      </c>
      <c r="G1737" s="170"/>
      <c r="H1737" s="170">
        <v>2</v>
      </c>
      <c r="I1737" s="746">
        <f>TIME(0,59,55)</f>
        <v>4.1608796296296297E-2</v>
      </c>
      <c r="J1737" s="899" t="s">
        <v>4706</v>
      </c>
      <c r="K1737" s="167" t="s">
        <v>5658</v>
      </c>
      <c r="L1737" s="167" t="s">
        <v>2314</v>
      </c>
      <c r="M1737" s="167" t="s">
        <v>8047</v>
      </c>
      <c r="N1737" s="167"/>
      <c r="O1737" s="167"/>
      <c r="P1737" s="168" t="s">
        <v>9182</v>
      </c>
      <c r="Q1737" s="167" t="s">
        <v>3947</v>
      </c>
      <c r="R1737" s="172" t="s">
        <v>3153</v>
      </c>
      <c r="S1737" s="388"/>
      <c r="T1737" s="168" t="s">
        <v>2320</v>
      </c>
      <c r="U1737" s="168" t="s">
        <v>2322</v>
      </c>
      <c r="V1737" s="168"/>
      <c r="W1737" s="312" t="s">
        <v>9525</v>
      </c>
      <c r="X1737" s="644" t="s">
        <v>12334</v>
      </c>
      <c r="Y1737" s="352" t="s">
        <v>5398</v>
      </c>
      <c r="Z1737" s="353">
        <v>268</v>
      </c>
      <c r="AA1737" s="353">
        <v>5.5</v>
      </c>
      <c r="AB1737" s="31">
        <f t="shared" ca="1" si="36"/>
        <v>0.5150996982872621</v>
      </c>
      <c r="AC1737" s="810"/>
      <c r="AD1737" s="811" t="s">
        <v>461</v>
      </c>
      <c r="AE1737" s="940"/>
      <c r="AF1737" s="920">
        <f>IF(X1737=X1736,AF1736,0)+IF(ISNUMBER(I1737),IF(I1737&lt;1,I1737,I1737*VLOOKUP(J1737,Summary!$H$2:$I$9,2)),VLOOKUP(J1737,Summary!$J$2:$K$9,2)*IF(ISNUMBER(H1737),H1737,1))</f>
        <v>8.188657407407407E-2</v>
      </c>
      <c r="AG1737" s="287">
        <v>1736</v>
      </c>
      <c r="AH1737" s="94"/>
      <c r="AI1737" s="94"/>
    </row>
    <row r="1738" spans="1:35" s="1" customFormat="1" ht="12" customHeight="1" x14ac:dyDescent="0.25">
      <c r="A1738" s="405"/>
      <c r="B1738" s="406" t="s">
        <v>2650</v>
      </c>
      <c r="C1738" s="405"/>
      <c r="D1738" s="407"/>
      <c r="E1738" s="315" t="s">
        <v>14191</v>
      </c>
      <c r="F1738" s="196">
        <v>41550</v>
      </c>
      <c r="G1738" s="170"/>
      <c r="H1738" s="170">
        <v>1</v>
      </c>
      <c r="I1738" s="746">
        <f>TIME(0,45,0)</f>
        <v>3.125E-2</v>
      </c>
      <c r="J1738" s="899" t="s">
        <v>4706</v>
      </c>
      <c r="K1738" s="167" t="s">
        <v>5658</v>
      </c>
      <c r="L1738" s="167" t="s">
        <v>179</v>
      </c>
      <c r="M1738" s="167"/>
      <c r="N1738" s="167"/>
      <c r="O1738" s="167" t="s">
        <v>179</v>
      </c>
      <c r="P1738" s="168"/>
      <c r="Q1738" s="167" t="s">
        <v>3948</v>
      </c>
      <c r="R1738" s="172" t="s">
        <v>14192</v>
      </c>
      <c r="S1738" s="388"/>
      <c r="T1738" s="168"/>
      <c r="U1738" s="168"/>
      <c r="V1738" s="168"/>
      <c r="W1738" s="315" t="s">
        <v>14191</v>
      </c>
      <c r="X1738" s="644" t="s">
        <v>12334</v>
      </c>
      <c r="Y1738" s="352"/>
      <c r="Z1738" s="353"/>
      <c r="AA1738" s="353"/>
      <c r="AB1738" s="31">
        <f t="shared" ca="1" si="36"/>
        <v>0.55740964494685408</v>
      </c>
      <c r="AC1738" s="810"/>
      <c r="AD1738" s="811"/>
      <c r="AE1738" s="940"/>
      <c r="AF1738" s="920">
        <f>IF(X1738=X1737,AF1737,0)+IF(ISNUMBER(I1738),IF(I1738&lt;1,I1738,I1738*VLOOKUP(J1738,Summary!$H$2:$I$9,2)),VLOOKUP(J1738,Summary!$J$2:$K$9,2)*IF(ISNUMBER(H1738),H1738,1))</f>
        <v>0.11313657407407407</v>
      </c>
      <c r="AG1738" s="287">
        <v>1737</v>
      </c>
      <c r="AH1738" s="94"/>
      <c r="AI1738" s="94"/>
    </row>
    <row r="1739" spans="1:35" s="1" customFormat="1" ht="12" customHeight="1" x14ac:dyDescent="0.25">
      <c r="A1739" s="511" t="s">
        <v>4293</v>
      </c>
      <c r="B1739" s="511">
        <v>5</v>
      </c>
      <c r="C1739" s="511">
        <v>130</v>
      </c>
      <c r="D1739" s="424" t="s">
        <v>4294</v>
      </c>
      <c r="E1739" s="319" t="s">
        <v>1528</v>
      </c>
      <c r="F1739" s="198">
        <v>30686</v>
      </c>
      <c r="G1739" s="198">
        <v>30694</v>
      </c>
      <c r="H1739" s="199">
        <v>4</v>
      </c>
      <c r="I1739" s="791">
        <f>TIME(0,24,48)+TIME(0,24, 4)+TIME(0,24, 2)+TIME(0,24,25)</f>
        <v>6.7581018518518512E-2</v>
      </c>
      <c r="J1739" s="904" t="s">
        <v>1588</v>
      </c>
      <c r="K1739" s="200" t="s">
        <v>2625</v>
      </c>
      <c r="L1739" s="200" t="s">
        <v>5750</v>
      </c>
      <c r="M1739" s="200"/>
      <c r="N1739" s="200" t="s">
        <v>2366</v>
      </c>
      <c r="O1739" s="200" t="s">
        <v>6962</v>
      </c>
      <c r="P1739" s="197" t="s">
        <v>461</v>
      </c>
      <c r="Q1739" s="200" t="s">
        <v>3946</v>
      </c>
      <c r="R1739" s="201" t="s">
        <v>5280</v>
      </c>
      <c r="S1739" s="390"/>
      <c r="T1739" s="197" t="s">
        <v>2320</v>
      </c>
      <c r="U1739" s="197" t="s">
        <v>2322</v>
      </c>
      <c r="V1739" s="197"/>
      <c r="W1739" s="318" t="s">
        <v>9685</v>
      </c>
      <c r="X1739" s="650" t="s">
        <v>12334</v>
      </c>
      <c r="Y1739" s="358" t="s">
        <v>6141</v>
      </c>
      <c r="Z1739" s="253">
        <v>274</v>
      </c>
      <c r="AA1739" s="253">
        <v>2.5</v>
      </c>
      <c r="AB1739" s="35">
        <f t="shared" ca="1" si="36"/>
        <v>0.73003836871147787</v>
      </c>
      <c r="AC1739" s="820"/>
      <c r="AD1739" s="821" t="s">
        <v>16104</v>
      </c>
      <c r="AE1739" s="944" t="s">
        <v>12543</v>
      </c>
      <c r="AF1739" s="925">
        <f>IF(X1739=X1738,AF1738,0)+IF(ISNUMBER(I1739),IF(I1739&lt;1,I1739,I1739*VLOOKUP(J1739,Summary!$H$2:$I$9,2)),VLOOKUP(J1739,Summary!$J$2:$K$9,2)*IF(ISNUMBER(H1739),H1739,1))</f>
        <v>0.18071759259259257</v>
      </c>
      <c r="AG1739" s="293">
        <v>1738</v>
      </c>
      <c r="AH1739" s="94"/>
      <c r="AI1739" s="94"/>
    </row>
    <row r="1740" spans="1:35" s="1" customFormat="1" ht="12" customHeight="1" x14ac:dyDescent="0.25">
      <c r="A1740" s="515" t="s">
        <v>4293</v>
      </c>
      <c r="B1740" s="515">
        <v>5</v>
      </c>
      <c r="C1740" s="515">
        <v>20</v>
      </c>
      <c r="D1740" s="417" t="s">
        <v>1529</v>
      </c>
      <c r="E1740" s="316" t="s">
        <v>1530</v>
      </c>
      <c r="F1740" s="187">
        <v>36220</v>
      </c>
      <c r="G1740" s="188"/>
      <c r="H1740" s="188" t="str">
        <f>IF(J1740="Book","n/a","")</f>
        <v>n/a</v>
      </c>
      <c r="I1740" s="188">
        <v>288</v>
      </c>
      <c r="J1740" s="902" t="s">
        <v>6868</v>
      </c>
      <c r="K1740" s="162" t="s">
        <v>4033</v>
      </c>
      <c r="L1740" s="162" t="str">
        <f>IF(J1740="Book","n/a","")</f>
        <v>n/a</v>
      </c>
      <c r="M1740" s="162"/>
      <c r="N1740" s="162"/>
      <c r="O1740" s="162"/>
      <c r="P1740" s="178" t="s">
        <v>8945</v>
      </c>
      <c r="Q1740" s="162" t="s">
        <v>3953</v>
      </c>
      <c r="R1740" s="189" t="s">
        <v>2717</v>
      </c>
      <c r="S1740" s="366"/>
      <c r="T1740" s="178" t="s">
        <v>2320</v>
      </c>
      <c r="U1740" s="178" t="s">
        <v>2322</v>
      </c>
      <c r="V1740" s="178"/>
      <c r="W1740" s="316" t="s">
        <v>1530</v>
      </c>
      <c r="X1740" s="648" t="s">
        <v>12334</v>
      </c>
      <c r="Y1740" s="356"/>
      <c r="Z1740" s="272"/>
      <c r="AA1740" s="272"/>
      <c r="AB1740" s="34">
        <f t="shared" ca="1" si="36"/>
        <v>0.1675578741136704</v>
      </c>
      <c r="AC1740" s="814"/>
      <c r="AD1740" s="815" t="s">
        <v>15824</v>
      </c>
      <c r="AE1740" s="942" t="s">
        <v>3234</v>
      </c>
      <c r="AF1740" s="923">
        <f>IF(X1740=X1739,AF1739,0)+IF(ISNUMBER(I1740),IF(I1740&lt;1,I1740,I1740*VLOOKUP(J1740,Summary!$H$2:$I$9,2)),VLOOKUP(J1740,Summary!$J$2:$K$9,2)*IF(ISNUMBER(H1740),H1740,1))</f>
        <v>0.38071759259259258</v>
      </c>
      <c r="AG1740" s="291">
        <v>1739</v>
      </c>
      <c r="AH1740" s="94"/>
      <c r="AI1740" s="94"/>
    </row>
    <row r="1741" spans="1:35" s="1" customFormat="1" ht="12" customHeight="1" x14ac:dyDescent="0.25">
      <c r="A1741" s="514">
        <v>21</v>
      </c>
      <c r="B1741" s="514">
        <v>5</v>
      </c>
      <c r="C1741" s="514"/>
      <c r="D1741" s="434" t="s">
        <v>1916</v>
      </c>
      <c r="E1741" s="324" t="s">
        <v>1917</v>
      </c>
      <c r="F1741" s="174">
        <v>30560</v>
      </c>
      <c r="G1741" s="174"/>
      <c r="H1741" s="176" t="s">
        <v>461</v>
      </c>
      <c r="I1741" s="176">
        <v>6</v>
      </c>
      <c r="J1741" s="900" t="s">
        <v>2755</v>
      </c>
      <c r="K1741" s="164" t="s">
        <v>5784</v>
      </c>
      <c r="L1741" s="164" t="s">
        <v>461</v>
      </c>
      <c r="M1741" s="164"/>
      <c r="N1741" s="164"/>
      <c r="O1741" s="164"/>
      <c r="P1741" s="173" t="s">
        <v>1922</v>
      </c>
      <c r="Q1741" s="164" t="s">
        <v>4705</v>
      </c>
      <c r="R1741" s="179" t="s">
        <v>4600</v>
      </c>
      <c r="S1741" s="354"/>
      <c r="T1741" s="173" t="s">
        <v>2320</v>
      </c>
      <c r="U1741" s="173" t="s">
        <v>2322</v>
      </c>
      <c r="V1741" s="173"/>
      <c r="W1741" s="324" t="s">
        <v>1917</v>
      </c>
      <c r="X1741" s="656" t="s">
        <v>12334</v>
      </c>
      <c r="Y1741" s="354"/>
      <c r="Z1741" s="176"/>
      <c r="AA1741" s="176"/>
      <c r="AB1741" s="32">
        <f t="shared" ca="1" si="36"/>
        <v>0.33504338716392013</v>
      </c>
      <c r="AC1741" s="812"/>
      <c r="AD1741" s="763"/>
      <c r="AE1741" s="951"/>
      <c r="AF1741" s="921">
        <f>IF(X1741=X1740,AF1740,0)+IF(ISNUMBER(I1741),IF(I1741&lt;1,I1741,I1741*VLOOKUP(J1741,Summary!$H$2:$I$9,2)),VLOOKUP(J1741,Summary!$J$2:$K$9,2)*IF(ISNUMBER(H1741),H1741,1))</f>
        <v>0.38488425925925923</v>
      </c>
      <c r="AG1741" s="288">
        <v>1740</v>
      </c>
      <c r="AH1741" s="94"/>
      <c r="AI1741" s="94"/>
    </row>
    <row r="1742" spans="1:35" s="22" customFormat="1" ht="12" customHeight="1" x14ac:dyDescent="0.25">
      <c r="A1742" s="514">
        <v>21</v>
      </c>
      <c r="B1742" s="514">
        <v>5</v>
      </c>
      <c r="C1742" s="514"/>
      <c r="D1742" s="434" t="s">
        <v>1916</v>
      </c>
      <c r="E1742" s="324" t="s">
        <v>1918</v>
      </c>
      <c r="F1742" s="174">
        <v>30560</v>
      </c>
      <c r="G1742" s="174"/>
      <c r="H1742" s="176" t="s">
        <v>461</v>
      </c>
      <c r="I1742" s="176">
        <v>6</v>
      </c>
      <c r="J1742" s="900" t="s">
        <v>2755</v>
      </c>
      <c r="K1742" s="164" t="s">
        <v>5784</v>
      </c>
      <c r="L1742" s="164" t="s">
        <v>461</v>
      </c>
      <c r="M1742" s="164"/>
      <c r="N1742" s="164"/>
      <c r="O1742" s="164"/>
      <c r="P1742" s="173" t="s">
        <v>1922</v>
      </c>
      <c r="Q1742" s="164" t="s">
        <v>4705</v>
      </c>
      <c r="R1742" s="179" t="s">
        <v>4600</v>
      </c>
      <c r="S1742" s="354"/>
      <c r="T1742" s="173" t="s">
        <v>2320</v>
      </c>
      <c r="U1742" s="173" t="s">
        <v>2322</v>
      </c>
      <c r="V1742" s="173"/>
      <c r="W1742" s="324" t="s">
        <v>1918</v>
      </c>
      <c r="X1742" s="656" t="s">
        <v>12334</v>
      </c>
      <c r="Y1742" s="354"/>
      <c r="Z1742" s="176"/>
      <c r="AA1742" s="176"/>
      <c r="AB1742" s="32">
        <f t="shared" ca="1" si="36"/>
        <v>0.56776072902225216</v>
      </c>
      <c r="AC1742" s="812"/>
      <c r="AD1742" s="763"/>
      <c r="AE1742" s="951"/>
      <c r="AF1742" s="921">
        <f>IF(X1742=X1741,AF1741,0)+IF(ISNUMBER(I1742),IF(I1742&lt;1,I1742,I1742*VLOOKUP(J1742,Summary!$H$2:$I$9,2)),VLOOKUP(J1742,Summary!$J$2:$K$9,2)*IF(ISNUMBER(H1742),H1742,1))</f>
        <v>0.38905092592592588</v>
      </c>
      <c r="AG1742" s="288">
        <v>1741</v>
      </c>
      <c r="AH1742" s="94"/>
      <c r="AI1742" s="94"/>
    </row>
    <row r="1743" spans="1:35" s="57" customFormat="1" ht="12" customHeight="1" x14ac:dyDescent="0.25">
      <c r="A1743" s="514">
        <v>21</v>
      </c>
      <c r="B1743" s="514">
        <v>5</v>
      </c>
      <c r="C1743" s="514"/>
      <c r="D1743" s="434" t="s">
        <v>1916</v>
      </c>
      <c r="E1743" s="324" t="s">
        <v>1919</v>
      </c>
      <c r="F1743" s="174">
        <v>30560</v>
      </c>
      <c r="G1743" s="174"/>
      <c r="H1743" s="176" t="s">
        <v>461</v>
      </c>
      <c r="I1743" s="176">
        <v>6</v>
      </c>
      <c r="J1743" s="900" t="s">
        <v>2755</v>
      </c>
      <c r="K1743" s="164" t="s">
        <v>5784</v>
      </c>
      <c r="L1743" s="164" t="s">
        <v>461</v>
      </c>
      <c r="M1743" s="164"/>
      <c r="N1743" s="164"/>
      <c r="O1743" s="164"/>
      <c r="P1743" s="173" t="s">
        <v>1922</v>
      </c>
      <c r="Q1743" s="164" t="s">
        <v>4705</v>
      </c>
      <c r="R1743" s="179" t="s">
        <v>4600</v>
      </c>
      <c r="S1743" s="354"/>
      <c r="T1743" s="173" t="s">
        <v>2320</v>
      </c>
      <c r="U1743" s="173" t="s">
        <v>2322</v>
      </c>
      <c r="V1743" s="173"/>
      <c r="W1743" s="324" t="s">
        <v>1919</v>
      </c>
      <c r="X1743" s="656" t="s">
        <v>12334</v>
      </c>
      <c r="Y1743" s="354"/>
      <c r="Z1743" s="176"/>
      <c r="AA1743" s="176"/>
      <c r="AB1743" s="32">
        <f t="shared" ca="1" si="36"/>
        <v>0.4372066692758747</v>
      </c>
      <c r="AC1743" s="812"/>
      <c r="AD1743" s="763"/>
      <c r="AE1743" s="951"/>
      <c r="AF1743" s="921">
        <f>IF(X1743=X1742,AF1742,0)+IF(ISNUMBER(I1743),IF(I1743&lt;1,I1743,I1743*VLOOKUP(J1743,Summary!$H$2:$I$9,2)),VLOOKUP(J1743,Summary!$J$2:$K$9,2)*IF(ISNUMBER(H1743),H1743,1))</f>
        <v>0.39321759259259254</v>
      </c>
      <c r="AG1743" s="288">
        <v>1742</v>
      </c>
      <c r="AH1743" s="94"/>
      <c r="AI1743" s="94"/>
    </row>
    <row r="1744" spans="1:35" s="22" customFormat="1" ht="12" customHeight="1" x14ac:dyDescent="0.25">
      <c r="A1744" s="517">
        <v>21</v>
      </c>
      <c r="B1744" s="517">
        <v>5</v>
      </c>
      <c r="C1744" s="517">
        <v>5</v>
      </c>
      <c r="D1744" s="192" t="s">
        <v>12644</v>
      </c>
      <c r="E1744" s="317" t="s">
        <v>12645</v>
      </c>
      <c r="F1744" s="209">
        <v>42985</v>
      </c>
      <c r="G1744" s="192"/>
      <c r="H1744" s="192" t="s">
        <v>461</v>
      </c>
      <c r="I1744" s="192"/>
      <c r="J1744" s="903" t="s">
        <v>2755</v>
      </c>
      <c r="K1744" s="194" t="s">
        <v>1935</v>
      </c>
      <c r="L1744" s="194" t="s">
        <v>12629</v>
      </c>
      <c r="M1744" s="194" t="s">
        <v>12635</v>
      </c>
      <c r="N1744" s="194"/>
      <c r="O1744" s="194"/>
      <c r="P1744" s="190" t="s">
        <v>12632</v>
      </c>
      <c r="Q1744" s="194" t="s">
        <v>3954</v>
      </c>
      <c r="R1744" s="193" t="s">
        <v>12631</v>
      </c>
      <c r="S1744" s="357"/>
      <c r="T1744" s="190" t="s">
        <v>2320</v>
      </c>
      <c r="U1744" s="190" t="s">
        <v>2322</v>
      </c>
      <c r="V1744" s="190" t="s">
        <v>2323</v>
      </c>
      <c r="W1744" s="317" t="s">
        <v>12645</v>
      </c>
      <c r="X1744" s="649" t="s">
        <v>12334</v>
      </c>
      <c r="Y1744" s="357"/>
      <c r="Z1744" s="192"/>
      <c r="AA1744" s="192"/>
      <c r="AB1744" s="37">
        <f t="shared" ca="1" si="36"/>
        <v>0.6415174072795139</v>
      </c>
      <c r="AC1744" s="816"/>
      <c r="AD1744" s="817"/>
      <c r="AE1744" s="943"/>
      <c r="AF1744" s="924">
        <f>IF(X1744=X1743,AF1743,0)+IF(ISNUMBER(I1744),IF(I1744&lt;1,I1744,I1744*VLOOKUP(J1744,Summary!$H$2:$I$9,2)),VLOOKUP(J1744,Summary!$J$2:$K$9,2)*IF(ISNUMBER(H1744),H1744,1))</f>
        <v>0.41057870370370364</v>
      </c>
      <c r="AG1744" s="292">
        <v>1743</v>
      </c>
      <c r="AH1744" s="94"/>
      <c r="AI1744" s="94"/>
    </row>
    <row r="1745" spans="1:35" s="1" customFormat="1" ht="12" customHeight="1" x14ac:dyDescent="0.25">
      <c r="A1745" s="511" t="s">
        <v>4293</v>
      </c>
      <c r="B1745" s="511">
        <v>5</v>
      </c>
      <c r="C1745" s="511">
        <v>131</v>
      </c>
      <c r="D1745" s="424" t="s">
        <v>1531</v>
      </c>
      <c r="E1745" s="319" t="s">
        <v>1532</v>
      </c>
      <c r="F1745" s="198">
        <v>30700</v>
      </c>
      <c r="G1745" s="198">
        <v>30701</v>
      </c>
      <c r="H1745" s="199">
        <v>2</v>
      </c>
      <c r="I1745" s="791">
        <f>TIME(0,25,18)+TIME(0,24,47)</f>
        <v>3.4780092592592599E-2</v>
      </c>
      <c r="J1745" s="904" t="s">
        <v>1588</v>
      </c>
      <c r="K1745" s="200" t="s">
        <v>1533</v>
      </c>
      <c r="L1745" s="200" t="s">
        <v>1534</v>
      </c>
      <c r="M1745" s="200"/>
      <c r="N1745" s="200" t="s">
        <v>2366</v>
      </c>
      <c r="O1745" s="200" t="s">
        <v>6962</v>
      </c>
      <c r="P1745" s="197" t="s">
        <v>461</v>
      </c>
      <c r="Q1745" s="200" t="s">
        <v>3946</v>
      </c>
      <c r="R1745" s="201" t="s">
        <v>5280</v>
      </c>
      <c r="S1745" s="390"/>
      <c r="T1745" s="197" t="s">
        <v>2320</v>
      </c>
      <c r="U1745" s="197" t="s">
        <v>2322</v>
      </c>
      <c r="V1745" s="197" t="s">
        <v>2323</v>
      </c>
      <c r="W1745" s="318" t="s">
        <v>9663</v>
      </c>
      <c r="X1745" s="650" t="s">
        <v>12334</v>
      </c>
      <c r="Y1745" s="358" t="s">
        <v>6141</v>
      </c>
      <c r="Z1745" s="253">
        <v>266</v>
      </c>
      <c r="AA1745" s="253">
        <v>3</v>
      </c>
      <c r="AB1745" s="35">
        <f t="shared" ca="1" si="36"/>
        <v>0.19924749841716394</v>
      </c>
      <c r="AC1745" s="820"/>
      <c r="AD1745" s="821" t="s">
        <v>16017</v>
      </c>
      <c r="AE1745" s="944"/>
      <c r="AF1745" s="925">
        <f>IF(X1745=X1744,AF1744,0)+IF(ISNUMBER(I1745),IF(I1745&lt;1,I1745,I1745*VLOOKUP(J1745,Summary!$H$2:$I$9,2)),VLOOKUP(J1745,Summary!$J$2:$K$9,2)*IF(ISNUMBER(H1745),H1745,1))</f>
        <v>0.44535879629629627</v>
      </c>
      <c r="AG1745" s="293">
        <v>1744</v>
      </c>
      <c r="AH1745" s="94"/>
      <c r="AI1745" s="94"/>
    </row>
    <row r="1746" spans="1:35" s="3" customFormat="1" ht="12" customHeight="1" x14ac:dyDescent="0.25">
      <c r="A1746" s="512"/>
      <c r="B1746" s="512">
        <v>5</v>
      </c>
      <c r="C1746" s="512">
        <v>211</v>
      </c>
      <c r="D1746" s="407"/>
      <c r="E1746" s="315" t="s">
        <v>10273</v>
      </c>
      <c r="F1746" s="196">
        <v>42472</v>
      </c>
      <c r="G1746" s="170"/>
      <c r="H1746" s="170">
        <v>4</v>
      </c>
      <c r="I1746" s="746">
        <f>TIME(1,53,32)</f>
        <v>7.8842592592592589E-2</v>
      </c>
      <c r="J1746" s="899" t="s">
        <v>4706</v>
      </c>
      <c r="K1746" s="167" t="s">
        <v>7374</v>
      </c>
      <c r="L1746" s="167" t="s">
        <v>10304</v>
      </c>
      <c r="M1746" s="167"/>
      <c r="N1746" s="167"/>
      <c r="O1746" s="167"/>
      <c r="P1746" s="168" t="s">
        <v>10309</v>
      </c>
      <c r="Q1746" s="167" t="s">
        <v>3947</v>
      </c>
      <c r="R1746" s="172" t="s">
        <v>3146</v>
      </c>
      <c r="S1746" s="388"/>
      <c r="T1746" s="168"/>
      <c r="U1746" s="168"/>
      <c r="V1746" s="168"/>
      <c r="W1746" s="312" t="s">
        <v>12049</v>
      </c>
      <c r="X1746" s="644" t="s">
        <v>12334</v>
      </c>
      <c r="Y1746" s="352" t="s">
        <v>5643</v>
      </c>
      <c r="Z1746" s="353">
        <v>342</v>
      </c>
      <c r="AA1746" s="353">
        <v>5</v>
      </c>
      <c r="AB1746" s="31">
        <f t="shared" ca="1" si="36"/>
        <v>0.32627878180703407</v>
      </c>
      <c r="AC1746" s="810"/>
      <c r="AD1746" s="811"/>
      <c r="AE1746" s="940"/>
      <c r="AF1746" s="920">
        <f>IF(X1746=X1745,AF1745,0)+IF(ISNUMBER(I1746),IF(I1746&lt;1,I1746,I1746*VLOOKUP(J1746,Summary!$H$2:$I$9,2)),VLOOKUP(J1746,Summary!$J$2:$K$9,2)*IF(ISNUMBER(H1746),H1746,1))</f>
        <v>0.5242013888888889</v>
      </c>
      <c r="AG1746" s="287">
        <v>1745</v>
      </c>
      <c r="AH1746" s="94"/>
      <c r="AI1746" s="94"/>
    </row>
    <row r="1747" spans="1:35" s="2" customFormat="1" ht="12" customHeight="1" x14ac:dyDescent="0.25">
      <c r="A1747" s="515" t="s">
        <v>4293</v>
      </c>
      <c r="B1747" s="515">
        <v>5</v>
      </c>
      <c r="C1747" s="515">
        <v>37</v>
      </c>
      <c r="D1747" s="417" t="s">
        <v>1535</v>
      </c>
      <c r="E1747" s="316" t="s">
        <v>3530</v>
      </c>
      <c r="F1747" s="187">
        <v>36831</v>
      </c>
      <c r="G1747" s="188"/>
      <c r="H1747" s="188" t="str">
        <f>IF(J1747="Book","n/a","")</f>
        <v>n/a</v>
      </c>
      <c r="I1747" s="188">
        <v>288</v>
      </c>
      <c r="J1747" s="902" t="s">
        <v>6868</v>
      </c>
      <c r="K1747" s="162" t="s">
        <v>6233</v>
      </c>
      <c r="L1747" s="162" t="str">
        <f>IF(J1747="Book","n/a","")</f>
        <v>n/a</v>
      </c>
      <c r="M1747" s="162"/>
      <c r="N1747" s="162"/>
      <c r="O1747" s="162"/>
      <c r="P1747" s="178" t="s">
        <v>8962</v>
      </c>
      <c r="Q1747" s="162" t="s">
        <v>3953</v>
      </c>
      <c r="R1747" s="189" t="s">
        <v>2717</v>
      </c>
      <c r="S1747" s="366"/>
      <c r="T1747" s="178" t="s">
        <v>2320</v>
      </c>
      <c r="U1747" s="178" t="s">
        <v>2322</v>
      </c>
      <c r="V1747" s="178"/>
      <c r="W1747" s="316" t="s">
        <v>3530</v>
      </c>
      <c r="X1747" s="648" t="s">
        <v>12334</v>
      </c>
      <c r="Y1747" s="356"/>
      <c r="Z1747" s="272"/>
      <c r="AA1747" s="272"/>
      <c r="AB1747" s="34">
        <f t="shared" ca="1" si="36"/>
        <v>0.62614607163929892</v>
      </c>
      <c r="AC1747" s="814"/>
      <c r="AD1747" s="815" t="s">
        <v>16095</v>
      </c>
      <c r="AE1747" s="942"/>
      <c r="AF1747" s="923">
        <f>IF(X1747=X1746,AF1746,0)+IF(ISNUMBER(I1747),IF(I1747&lt;1,I1747,I1747*VLOOKUP(J1747,Summary!$H$2:$I$9,2)),VLOOKUP(J1747,Summary!$J$2:$K$9,2)*IF(ISNUMBER(H1747),H1747,1))</f>
        <v>0.72420138888888896</v>
      </c>
      <c r="AG1747" s="291">
        <v>1746</v>
      </c>
      <c r="AH1747" s="94"/>
      <c r="AI1747" s="94"/>
    </row>
    <row r="1748" spans="1:35" s="43" customFormat="1" ht="12" customHeight="1" x14ac:dyDescent="0.25">
      <c r="A1748" s="516">
        <v>21</v>
      </c>
      <c r="B1748" s="516">
        <v>5</v>
      </c>
      <c r="C1748" s="516">
        <v>21</v>
      </c>
      <c r="D1748" s="428" t="s">
        <v>7152</v>
      </c>
      <c r="E1748" s="325" t="s">
        <v>7157</v>
      </c>
      <c r="F1748" s="183">
        <v>30437</v>
      </c>
      <c r="G1748" s="183">
        <v>30468</v>
      </c>
      <c r="H1748" s="185">
        <v>2</v>
      </c>
      <c r="I1748" s="185">
        <v>8</v>
      </c>
      <c r="J1748" s="901" t="s">
        <v>1796</v>
      </c>
      <c r="K1748" s="163" t="s">
        <v>6052</v>
      </c>
      <c r="L1748" s="163" t="s">
        <v>7161</v>
      </c>
      <c r="M1748" s="163"/>
      <c r="N1748" s="163" t="s">
        <v>4061</v>
      </c>
      <c r="O1748" s="163"/>
      <c r="P1748" s="182" t="s">
        <v>461</v>
      </c>
      <c r="Q1748" s="163" t="s">
        <v>4062</v>
      </c>
      <c r="R1748" s="207" t="s">
        <v>5266</v>
      </c>
      <c r="S1748" s="355"/>
      <c r="T1748" s="182"/>
      <c r="U1748" s="182"/>
      <c r="V1748" s="182"/>
      <c r="W1748" s="321"/>
      <c r="X1748" s="653" t="s">
        <v>12334</v>
      </c>
      <c r="Y1748" s="355"/>
      <c r="Z1748" s="185"/>
      <c r="AA1748" s="185"/>
      <c r="AB1748" s="33">
        <f t="shared" ca="1" si="36"/>
        <v>0.32011172924951969</v>
      </c>
      <c r="AC1748" s="813"/>
      <c r="AD1748" s="826" t="s">
        <v>14972</v>
      </c>
      <c r="AE1748" s="962" t="s">
        <v>12542</v>
      </c>
      <c r="AF1748" s="922">
        <f>IF(X1748=X1747,AF1747,0)+IF(ISNUMBER(I1748),IF(I1748&lt;1,I1748,I1748*VLOOKUP(J1748,Summary!$H$2:$I$9,2)),VLOOKUP(J1748,Summary!$J$2:$K$9,2)*IF(ISNUMBER(H1748),H1748,1))</f>
        <v>0.72697916666666673</v>
      </c>
      <c r="AG1748" s="295">
        <v>1747</v>
      </c>
      <c r="AH1748" s="94"/>
      <c r="AI1748" s="94"/>
    </row>
    <row r="1749" spans="1:35" s="43" customFormat="1" ht="12" customHeight="1" x14ac:dyDescent="0.25">
      <c r="A1749" s="516">
        <v>21</v>
      </c>
      <c r="B1749" s="516">
        <v>5</v>
      </c>
      <c r="C1749" s="516">
        <v>22</v>
      </c>
      <c r="D1749" s="428" t="s">
        <v>7153</v>
      </c>
      <c r="E1749" s="325" t="s">
        <v>7156</v>
      </c>
      <c r="F1749" s="183">
        <v>30498</v>
      </c>
      <c r="G1749" s="183">
        <v>30651</v>
      </c>
      <c r="H1749" s="185">
        <v>6</v>
      </c>
      <c r="I1749" s="185">
        <v>48</v>
      </c>
      <c r="J1749" s="901" t="s">
        <v>1796</v>
      </c>
      <c r="K1749" s="163" t="s">
        <v>6052</v>
      </c>
      <c r="L1749" s="163" t="s">
        <v>7161</v>
      </c>
      <c r="M1749" s="163"/>
      <c r="N1749" s="163" t="s">
        <v>4061</v>
      </c>
      <c r="O1749" s="163"/>
      <c r="P1749" s="182" t="s">
        <v>461</v>
      </c>
      <c r="Q1749" s="163" t="s">
        <v>4062</v>
      </c>
      <c r="R1749" s="207" t="s">
        <v>5266</v>
      </c>
      <c r="S1749" s="355"/>
      <c r="T1749" s="182" t="s">
        <v>2433</v>
      </c>
      <c r="U1749" s="182"/>
      <c r="V1749" s="182"/>
      <c r="W1749" s="321"/>
      <c r="X1749" s="653" t="s">
        <v>12334</v>
      </c>
      <c r="Y1749" s="355"/>
      <c r="Z1749" s="185"/>
      <c r="AA1749" s="185"/>
      <c r="AB1749" s="33">
        <f t="shared" ca="1" si="36"/>
        <v>0.28926092854628616</v>
      </c>
      <c r="AC1749" s="813"/>
      <c r="AD1749" s="826" t="s">
        <v>16517</v>
      </c>
      <c r="AE1749" s="962" t="s">
        <v>12542</v>
      </c>
      <c r="AF1749" s="922">
        <f>IF(X1749=X1748,AF1748,0)+IF(ISNUMBER(I1749),IF(I1749&lt;1,I1749,I1749*VLOOKUP(J1749,Summary!$H$2:$I$9,2)),VLOOKUP(J1749,Summary!$J$2:$K$9,2)*IF(ISNUMBER(H1749),H1749,1))</f>
        <v>0.74364583333333345</v>
      </c>
      <c r="AG1749" s="295">
        <v>1748</v>
      </c>
      <c r="AH1749" s="94"/>
      <c r="AI1749" s="94"/>
    </row>
    <row r="1750" spans="1:35" s="2" customFormat="1" ht="12" customHeight="1" x14ac:dyDescent="0.25">
      <c r="A1750" s="516">
        <v>21</v>
      </c>
      <c r="B1750" s="516">
        <v>5</v>
      </c>
      <c r="C1750" s="516">
        <v>23</v>
      </c>
      <c r="D1750" s="428" t="s">
        <v>7154</v>
      </c>
      <c r="E1750" s="325" t="s">
        <v>7155</v>
      </c>
      <c r="F1750" s="183">
        <v>30682</v>
      </c>
      <c r="G1750" s="183">
        <v>30773</v>
      </c>
      <c r="H1750" s="185">
        <v>3</v>
      </c>
      <c r="I1750" s="185">
        <v>24</v>
      </c>
      <c r="J1750" s="901" t="s">
        <v>1796</v>
      </c>
      <c r="K1750" s="163" t="s">
        <v>6052</v>
      </c>
      <c r="L1750" s="163" t="s">
        <v>2431</v>
      </c>
      <c r="M1750" s="163"/>
      <c r="N1750" s="163" t="s">
        <v>4061</v>
      </c>
      <c r="O1750" s="163"/>
      <c r="P1750" s="182" t="s">
        <v>461</v>
      </c>
      <c r="Q1750" s="163" t="s">
        <v>4062</v>
      </c>
      <c r="R1750" s="207" t="s">
        <v>5266</v>
      </c>
      <c r="S1750" s="355"/>
      <c r="T1750" s="182" t="s">
        <v>2433</v>
      </c>
      <c r="U1750" s="182"/>
      <c r="V1750" s="182"/>
      <c r="W1750" s="321"/>
      <c r="X1750" s="653" t="s">
        <v>12334</v>
      </c>
      <c r="Y1750" s="355"/>
      <c r="Z1750" s="185"/>
      <c r="AA1750" s="185"/>
      <c r="AB1750" s="33">
        <f t="shared" ca="1" si="36"/>
        <v>0.51977427114778851</v>
      </c>
      <c r="AC1750" s="813"/>
      <c r="AD1750" s="826" t="s">
        <v>16467</v>
      </c>
      <c r="AE1750" s="962" t="s">
        <v>16468</v>
      </c>
      <c r="AF1750" s="922">
        <f>IF(X1750=X1749,AF1749,0)+IF(ISNUMBER(I1750),IF(I1750&lt;1,I1750,I1750*VLOOKUP(J1750,Summary!$H$2:$I$9,2)),VLOOKUP(J1750,Summary!$J$2:$K$9,2)*IF(ISNUMBER(H1750),H1750,1))</f>
        <v>0.75197916666666675</v>
      </c>
      <c r="AG1750" s="295">
        <v>1749</v>
      </c>
      <c r="AH1750" s="94"/>
      <c r="AI1750" s="94"/>
    </row>
    <row r="1751" spans="1:35" s="10" customFormat="1" ht="12" customHeight="1" x14ac:dyDescent="0.25">
      <c r="A1751" s="408">
        <v>21</v>
      </c>
      <c r="B1751" s="408" t="s">
        <v>2650</v>
      </c>
      <c r="C1751" s="408">
        <v>5</v>
      </c>
      <c r="D1751" s="176" t="s">
        <v>4162</v>
      </c>
      <c r="E1751" s="313" t="s">
        <v>4056</v>
      </c>
      <c r="F1751" s="175">
        <v>33345</v>
      </c>
      <c r="G1751" s="175"/>
      <c r="H1751" s="176">
        <v>1</v>
      </c>
      <c r="I1751" s="176">
        <v>1</v>
      </c>
      <c r="J1751" s="900" t="s">
        <v>2755</v>
      </c>
      <c r="K1751" s="164" t="s">
        <v>4163</v>
      </c>
      <c r="L1751" s="164" t="s">
        <v>4164</v>
      </c>
      <c r="M1751" s="164"/>
      <c r="N1751" s="164" t="s">
        <v>561</v>
      </c>
      <c r="O1751" s="164"/>
      <c r="P1751" s="173" t="s">
        <v>461</v>
      </c>
      <c r="Q1751" s="164" t="s">
        <v>4062</v>
      </c>
      <c r="R1751" s="177" t="s">
        <v>4599</v>
      </c>
      <c r="S1751" s="354"/>
      <c r="T1751" s="173" t="s">
        <v>5287</v>
      </c>
      <c r="U1751" s="173" t="s">
        <v>5288</v>
      </c>
      <c r="V1751" s="173"/>
      <c r="W1751" s="313" t="s">
        <v>4056</v>
      </c>
      <c r="X1751" s="645" t="s">
        <v>12334</v>
      </c>
      <c r="Y1751" s="354"/>
      <c r="Z1751" s="176"/>
      <c r="AA1751" s="176"/>
      <c r="AB1751" s="32">
        <f t="shared" ca="1" si="36"/>
        <v>0.64411514269075676</v>
      </c>
      <c r="AC1751" s="812"/>
      <c r="AD1751" s="763"/>
      <c r="AE1751" s="807"/>
      <c r="AF1751" s="921">
        <f>IF(X1751=X1750,AF1750,0)+IF(ISNUMBER(I1751),IF(I1751&lt;1,I1751,I1751*VLOOKUP(J1751,Summary!$H$2:$I$9,2)),VLOOKUP(J1751,Summary!$J$2:$K$9,2)*IF(ISNUMBER(H1751),H1751,1))</f>
        <v>0.7526736111111112</v>
      </c>
      <c r="AG1751" s="289">
        <v>1750</v>
      </c>
      <c r="AH1751" s="94"/>
      <c r="AI1751" s="94"/>
    </row>
    <row r="1752" spans="1:35" s="10" customFormat="1" ht="12" customHeight="1" x14ac:dyDescent="0.25">
      <c r="A1752" s="514">
        <v>21</v>
      </c>
      <c r="B1752" s="514">
        <v>5</v>
      </c>
      <c r="C1752" s="514"/>
      <c r="D1752" s="176" t="s">
        <v>4334</v>
      </c>
      <c r="E1752" s="313" t="s">
        <v>4057</v>
      </c>
      <c r="F1752" s="174">
        <v>25082</v>
      </c>
      <c r="G1752" s="210"/>
      <c r="H1752" s="176">
        <v>1</v>
      </c>
      <c r="I1752" s="176">
        <v>7</v>
      </c>
      <c r="J1752" s="900" t="s">
        <v>2755</v>
      </c>
      <c r="K1752" s="164" t="s">
        <v>4061</v>
      </c>
      <c r="L1752" s="164" t="s">
        <v>818</v>
      </c>
      <c r="M1752" s="164"/>
      <c r="N1752" s="763"/>
      <c r="O1752" s="164"/>
      <c r="P1752" s="173" t="s">
        <v>461</v>
      </c>
      <c r="Q1752" s="164" t="s">
        <v>4062</v>
      </c>
      <c r="R1752" s="177" t="s">
        <v>10250</v>
      </c>
      <c r="S1752" s="354"/>
      <c r="T1752" s="173"/>
      <c r="U1752" s="173"/>
      <c r="V1752" s="173"/>
      <c r="W1752" s="313" t="s">
        <v>4057</v>
      </c>
      <c r="X1752" s="645" t="s">
        <v>12334</v>
      </c>
      <c r="Y1752" s="354" t="s">
        <v>1796</v>
      </c>
      <c r="Z1752" s="176">
        <v>999</v>
      </c>
      <c r="AA1752" s="176"/>
      <c r="AB1752" s="32">
        <f t="shared" ca="1" si="36"/>
        <v>0.5062276986964428</v>
      </c>
      <c r="AC1752" s="812"/>
      <c r="AD1752" s="763"/>
      <c r="AE1752" s="807"/>
      <c r="AF1752" s="921">
        <f>IF(X1752=X1751,AF1751,0)+IF(ISNUMBER(I1752),IF(I1752&lt;1,I1752,I1752*VLOOKUP(J1752,Summary!$H$2:$I$9,2)),VLOOKUP(J1752,Summary!$J$2:$K$9,2)*IF(ISNUMBER(H1752),H1752,1))</f>
        <v>0.75753472222222229</v>
      </c>
      <c r="AG1752" s="289">
        <v>1751</v>
      </c>
      <c r="AH1752" s="94"/>
      <c r="AI1752" s="94"/>
    </row>
    <row r="1753" spans="1:35" s="1" customFormat="1" ht="12" customHeight="1" x14ac:dyDescent="0.25">
      <c r="A1753" s="514">
        <v>21</v>
      </c>
      <c r="B1753" s="514">
        <v>5</v>
      </c>
      <c r="C1753" s="514">
        <v>14.27</v>
      </c>
      <c r="D1753" s="434" t="s">
        <v>1909</v>
      </c>
      <c r="E1753" s="324" t="s">
        <v>5439</v>
      </c>
      <c r="F1753" s="174">
        <v>38322</v>
      </c>
      <c r="G1753" s="174"/>
      <c r="H1753" s="176">
        <v>1</v>
      </c>
      <c r="I1753" s="176">
        <v>8</v>
      </c>
      <c r="J1753" s="900" t="s">
        <v>2755</v>
      </c>
      <c r="K1753" s="164" t="s">
        <v>7124</v>
      </c>
      <c r="L1753" s="164" t="s">
        <v>461</v>
      </c>
      <c r="M1753" s="164"/>
      <c r="N1753" s="164" t="s">
        <v>3807</v>
      </c>
      <c r="O1753" s="164"/>
      <c r="P1753" s="173" t="s">
        <v>6565</v>
      </c>
      <c r="Q1753" s="164" t="s">
        <v>3947</v>
      </c>
      <c r="R1753" s="179" t="s">
        <v>2723</v>
      </c>
      <c r="S1753" s="354"/>
      <c r="T1753" s="173" t="s">
        <v>2320</v>
      </c>
      <c r="U1753" s="173" t="s">
        <v>2322</v>
      </c>
      <c r="V1753" s="173"/>
      <c r="W1753" s="324" t="s">
        <v>5439</v>
      </c>
      <c r="X1753" s="656" t="s">
        <v>12334</v>
      </c>
      <c r="Y1753" s="354"/>
      <c r="Z1753" s="176"/>
      <c r="AA1753" s="176"/>
      <c r="AB1753" s="32">
        <f t="shared" ca="1" si="36"/>
        <v>0.87194944034340716</v>
      </c>
      <c r="AC1753" s="812"/>
      <c r="AD1753" s="763"/>
      <c r="AE1753" s="951"/>
      <c r="AF1753" s="921">
        <f>IF(X1753=X1752,AF1752,0)+IF(ISNUMBER(I1753),IF(I1753&lt;1,I1753,I1753*VLOOKUP(J1753,Summary!$H$2:$I$9,2)),VLOOKUP(J1753,Summary!$J$2:$K$9,2)*IF(ISNUMBER(H1753),H1753,1))</f>
        <v>0.76309027777777783</v>
      </c>
      <c r="AG1753" s="288">
        <v>1752</v>
      </c>
      <c r="AH1753" s="94"/>
      <c r="AI1753" s="94"/>
    </row>
    <row r="1754" spans="1:35" s="43" customFormat="1" ht="12" customHeight="1" x14ac:dyDescent="0.25">
      <c r="A1754" s="514">
        <v>21</v>
      </c>
      <c r="B1754" s="514">
        <v>5</v>
      </c>
      <c r="C1754" s="514">
        <v>23.13</v>
      </c>
      <c r="D1754" s="434" t="s">
        <v>7143</v>
      </c>
      <c r="E1754" s="324" t="s">
        <v>7142</v>
      </c>
      <c r="F1754" s="174">
        <v>39234</v>
      </c>
      <c r="G1754" s="174"/>
      <c r="H1754" s="176">
        <v>1</v>
      </c>
      <c r="I1754" s="176">
        <v>5</v>
      </c>
      <c r="J1754" s="900" t="s">
        <v>2755</v>
      </c>
      <c r="K1754" s="164" t="s">
        <v>7141</v>
      </c>
      <c r="L1754" s="164" t="s">
        <v>461</v>
      </c>
      <c r="M1754" s="164"/>
      <c r="N1754" s="164" t="s">
        <v>804</v>
      </c>
      <c r="O1754" s="164"/>
      <c r="P1754" s="173" t="s">
        <v>6700</v>
      </c>
      <c r="Q1754" s="164" t="s">
        <v>3947</v>
      </c>
      <c r="R1754" s="179" t="s">
        <v>2723</v>
      </c>
      <c r="S1754" s="354"/>
      <c r="T1754" s="173"/>
      <c r="U1754" s="173"/>
      <c r="V1754" s="173"/>
      <c r="W1754" s="324" t="s">
        <v>7142</v>
      </c>
      <c r="X1754" s="656" t="s">
        <v>12334</v>
      </c>
      <c r="Y1754" s="354"/>
      <c r="Z1754" s="176"/>
      <c r="AA1754" s="176"/>
      <c r="AB1754" s="32">
        <f t="shared" ca="1" si="36"/>
        <v>0.96099061212967296</v>
      </c>
      <c r="AC1754" s="812"/>
      <c r="AD1754" s="763"/>
      <c r="AE1754" s="951"/>
      <c r="AF1754" s="921">
        <f>IF(X1754=X1753,AF1753,0)+IF(ISNUMBER(I1754),IF(I1754&lt;1,I1754,I1754*VLOOKUP(J1754,Summary!$H$2:$I$9,2)),VLOOKUP(J1754,Summary!$J$2:$K$9,2)*IF(ISNUMBER(H1754),H1754,1))</f>
        <v>0.76656250000000004</v>
      </c>
      <c r="AG1754" s="288">
        <v>1753</v>
      </c>
      <c r="AH1754" s="94"/>
      <c r="AI1754" s="94"/>
    </row>
    <row r="1755" spans="1:35" s="43" customFormat="1" ht="12" customHeight="1" x14ac:dyDescent="0.25">
      <c r="A1755" s="512">
        <v>21</v>
      </c>
      <c r="B1755" s="512">
        <v>5</v>
      </c>
      <c r="C1755" s="512">
        <v>9</v>
      </c>
      <c r="D1755" s="407" t="s">
        <v>5490</v>
      </c>
      <c r="E1755" s="315" t="s">
        <v>5491</v>
      </c>
      <c r="F1755" s="196">
        <v>39513</v>
      </c>
      <c r="G1755" s="170"/>
      <c r="H1755" s="170">
        <v>1</v>
      </c>
      <c r="I1755" s="746">
        <f>TIME(0,54,18)</f>
        <v>3.770833333333333E-2</v>
      </c>
      <c r="J1755" s="899" t="s">
        <v>4706</v>
      </c>
      <c r="K1755" s="167" t="s">
        <v>7757</v>
      </c>
      <c r="L1755" s="167" t="s">
        <v>3296</v>
      </c>
      <c r="M1755" s="167"/>
      <c r="N1755" s="167"/>
      <c r="O1755" s="167" t="s">
        <v>3295</v>
      </c>
      <c r="P1755" s="168" t="s">
        <v>461</v>
      </c>
      <c r="Q1755" s="167" t="s">
        <v>3947</v>
      </c>
      <c r="R1755" s="172" t="s">
        <v>4315</v>
      </c>
      <c r="S1755" s="388"/>
      <c r="T1755" s="168"/>
      <c r="U1755" s="168"/>
      <c r="V1755" s="168"/>
      <c r="W1755" s="312" t="s">
        <v>5491</v>
      </c>
      <c r="X1755" s="644" t="s">
        <v>12334</v>
      </c>
      <c r="Y1755" s="352" t="s">
        <v>5643</v>
      </c>
      <c r="Z1755" s="353">
        <v>210</v>
      </c>
      <c r="AA1755" s="353">
        <v>6</v>
      </c>
      <c r="AB1755" s="31">
        <f t="shared" ca="1" si="36"/>
        <v>0.8668382731935268</v>
      </c>
      <c r="AC1755" s="810"/>
      <c r="AD1755" s="811" t="s">
        <v>14583</v>
      </c>
      <c r="AE1755" s="940"/>
      <c r="AF1755" s="920">
        <f>IF(X1755=X1754,AF1754,0)+IF(ISNUMBER(I1755),IF(I1755&lt;1,I1755,I1755*VLOOKUP(J1755,Summary!$H$2:$I$9,2)),VLOOKUP(J1755,Summary!$J$2:$K$9,2)*IF(ISNUMBER(H1755),H1755,1))</f>
        <v>0.80427083333333338</v>
      </c>
      <c r="AG1755" s="287">
        <v>1754</v>
      </c>
      <c r="AH1755" s="94"/>
      <c r="AI1755" s="94"/>
    </row>
    <row r="1756" spans="1:35" s="2" customFormat="1" ht="12" customHeight="1" x14ac:dyDescent="0.25">
      <c r="A1756" s="512">
        <v>21</v>
      </c>
      <c r="B1756" s="512">
        <v>5</v>
      </c>
      <c r="C1756" s="512">
        <v>200</v>
      </c>
      <c r="D1756" s="407"/>
      <c r="E1756" s="315" t="s">
        <v>9397</v>
      </c>
      <c r="F1756" s="169">
        <v>42156</v>
      </c>
      <c r="G1756" s="170"/>
      <c r="H1756" s="170">
        <v>4</v>
      </c>
      <c r="I1756" s="746">
        <f>TIME(1,59,3)</f>
        <v>8.2673611111111114E-2</v>
      </c>
      <c r="J1756" s="899" t="s">
        <v>4706</v>
      </c>
      <c r="K1756" s="167" t="s">
        <v>6353</v>
      </c>
      <c r="L1756" s="167" t="s">
        <v>3296</v>
      </c>
      <c r="M1756" s="167"/>
      <c r="N1756" s="167"/>
      <c r="O1756" s="167"/>
      <c r="P1756" s="168" t="s">
        <v>9398</v>
      </c>
      <c r="Q1756" s="167" t="s">
        <v>3947</v>
      </c>
      <c r="R1756" s="172" t="s">
        <v>3146</v>
      </c>
      <c r="S1756" s="388" t="s">
        <v>2329</v>
      </c>
      <c r="T1756" s="168"/>
      <c r="U1756" s="168"/>
      <c r="V1756" s="168" t="s">
        <v>2330</v>
      </c>
      <c r="W1756" s="312" t="s">
        <v>9410</v>
      </c>
      <c r="X1756" s="644" t="s">
        <v>12334</v>
      </c>
      <c r="Y1756" s="352" t="s">
        <v>5643</v>
      </c>
      <c r="Z1756" s="353">
        <v>271</v>
      </c>
      <c r="AA1756" s="353">
        <v>5.5</v>
      </c>
      <c r="AB1756" s="40">
        <f t="shared" ca="1" si="36"/>
        <v>0.82810697319307702</v>
      </c>
      <c r="AC1756" s="810"/>
      <c r="AD1756" s="811"/>
      <c r="AE1756" s="940"/>
      <c r="AF1756" s="920">
        <f>IF(X1756=X1755,AF1755,0)+IF(ISNUMBER(I1756),IF(I1756&lt;1,I1756,I1756*VLOOKUP(J1756,Summary!$H$2:$I$9,2)),VLOOKUP(J1756,Summary!$J$2:$K$9,2)*IF(ISNUMBER(H1756),H1756,1))</f>
        <v>0.88694444444444454</v>
      </c>
      <c r="AG1756" s="287">
        <v>1755</v>
      </c>
      <c r="AH1756" s="94"/>
      <c r="AI1756" s="94"/>
    </row>
    <row r="1757" spans="1:35" s="43" customFormat="1" ht="12" customHeight="1" x14ac:dyDescent="0.25">
      <c r="A1757" s="514">
        <v>21</v>
      </c>
      <c r="B1757" s="514">
        <v>5</v>
      </c>
      <c r="C1757" s="514"/>
      <c r="D1757" s="434" t="s">
        <v>1916</v>
      </c>
      <c r="E1757" s="324" t="s">
        <v>1921</v>
      </c>
      <c r="F1757" s="174">
        <v>30560</v>
      </c>
      <c r="G1757" s="174"/>
      <c r="H1757" s="176" t="s">
        <v>461</v>
      </c>
      <c r="I1757" s="176">
        <v>5</v>
      </c>
      <c r="J1757" s="900" t="s">
        <v>2755</v>
      </c>
      <c r="K1757" s="164" t="s">
        <v>5784</v>
      </c>
      <c r="L1757" s="164" t="s">
        <v>461</v>
      </c>
      <c r="M1757" s="164"/>
      <c r="N1757" s="164"/>
      <c r="O1757" s="164"/>
      <c r="P1757" s="173" t="s">
        <v>1922</v>
      </c>
      <c r="Q1757" s="164" t="s">
        <v>4705</v>
      </c>
      <c r="R1757" s="179" t="s">
        <v>4600</v>
      </c>
      <c r="S1757" s="354"/>
      <c r="T1757" s="173"/>
      <c r="U1757" s="173"/>
      <c r="V1757" s="173"/>
      <c r="W1757" s="324" t="s">
        <v>1921</v>
      </c>
      <c r="X1757" s="656" t="s">
        <v>12334</v>
      </c>
      <c r="Y1757" s="354"/>
      <c r="Z1757" s="176"/>
      <c r="AA1757" s="176"/>
      <c r="AB1757" s="32">
        <f t="shared" ca="1" si="36"/>
        <v>2.7494516862045737E-2</v>
      </c>
      <c r="AC1757" s="812"/>
      <c r="AD1757" s="763"/>
      <c r="AE1757" s="951"/>
      <c r="AF1757" s="921">
        <f>IF(X1757=X1756,AF1756,0)+IF(ISNUMBER(I1757),IF(I1757&lt;1,I1757,I1757*VLOOKUP(J1757,Summary!$H$2:$I$9,2)),VLOOKUP(J1757,Summary!$J$2:$K$9,2)*IF(ISNUMBER(H1757),H1757,1))</f>
        <v>0.89041666666666675</v>
      </c>
      <c r="AG1757" s="288">
        <v>1756</v>
      </c>
      <c r="AH1757" s="94"/>
      <c r="AI1757" s="94"/>
    </row>
    <row r="1758" spans="1:35" s="43" customFormat="1" ht="12" customHeight="1" x14ac:dyDescent="0.25">
      <c r="A1758" s="512">
        <v>21</v>
      </c>
      <c r="B1758" s="512">
        <v>5</v>
      </c>
      <c r="C1758" s="512">
        <v>1.1000000000000001</v>
      </c>
      <c r="D1758" s="407" t="s">
        <v>10839</v>
      </c>
      <c r="E1758" s="336" t="s">
        <v>10840</v>
      </c>
      <c r="F1758" s="196">
        <v>42579</v>
      </c>
      <c r="G1758" s="169"/>
      <c r="H1758" s="170">
        <v>1</v>
      </c>
      <c r="I1758" s="746">
        <f>TIME(0,54,56)</f>
        <v>3.8148148148148146E-2</v>
      </c>
      <c r="J1758" s="899" t="s">
        <v>4706</v>
      </c>
      <c r="K1758" s="167" t="s">
        <v>10079</v>
      </c>
      <c r="L1758" s="167" t="s">
        <v>3296</v>
      </c>
      <c r="M1758" s="167"/>
      <c r="N1758" s="167"/>
      <c r="O1758" s="167"/>
      <c r="P1758" s="168" t="s">
        <v>10834</v>
      </c>
      <c r="Q1758" s="167" t="s">
        <v>3947</v>
      </c>
      <c r="R1758" s="172" t="s">
        <v>14260</v>
      </c>
      <c r="S1758" s="388"/>
      <c r="T1758" s="168"/>
      <c r="U1758" s="168"/>
      <c r="V1758" s="168"/>
      <c r="W1758" s="336" t="s">
        <v>10840</v>
      </c>
      <c r="X1758" s="668" t="s">
        <v>12334</v>
      </c>
      <c r="Y1758" s="352" t="s">
        <v>5643</v>
      </c>
      <c r="Z1758" s="353">
        <v>484</v>
      </c>
      <c r="AA1758" s="353">
        <v>4</v>
      </c>
      <c r="AB1758" s="31">
        <f t="shared" ca="1" si="36"/>
        <v>0.29080860664238684</v>
      </c>
      <c r="AC1758" s="810"/>
      <c r="AD1758" s="811"/>
      <c r="AE1758" s="945"/>
      <c r="AF1758" s="920">
        <f>IF(X1758=X1757,AF1757,0)+IF(ISNUMBER(I1758),IF(I1758&lt;1,I1758,I1758*VLOOKUP(J1758,Summary!$H$2:$I$9,2)),VLOOKUP(J1758,Summary!$J$2:$K$9,2)*IF(ISNUMBER(H1758),H1758,1))</f>
        <v>0.9285648148148149</v>
      </c>
      <c r="AG1758" s="287">
        <v>1757</v>
      </c>
      <c r="AH1758" s="94"/>
      <c r="AI1758" s="94"/>
    </row>
    <row r="1759" spans="1:35" s="22" customFormat="1" ht="12" customHeight="1" x14ac:dyDescent="0.25">
      <c r="A1759" s="514">
        <v>21</v>
      </c>
      <c r="B1759" s="514">
        <v>5</v>
      </c>
      <c r="C1759" s="514">
        <v>13</v>
      </c>
      <c r="D1759" s="176" t="s">
        <v>15540</v>
      </c>
      <c r="E1759" s="313" t="s">
        <v>15541</v>
      </c>
      <c r="F1759" s="175">
        <v>43384</v>
      </c>
      <c r="G1759" s="174"/>
      <c r="H1759" s="176">
        <v>1</v>
      </c>
      <c r="I1759" s="176"/>
      <c r="J1759" s="900" t="s">
        <v>2755</v>
      </c>
      <c r="K1759" s="164" t="s">
        <v>15498</v>
      </c>
      <c r="L1759" s="164" t="s">
        <v>461</v>
      </c>
      <c r="M1759" s="164"/>
      <c r="N1759" s="164"/>
      <c r="O1759" s="164"/>
      <c r="P1759" s="173" t="s">
        <v>15499</v>
      </c>
      <c r="Q1759" s="164" t="s">
        <v>3953</v>
      </c>
      <c r="R1759" s="179" t="s">
        <v>15500</v>
      </c>
      <c r="S1759" s="354"/>
      <c r="T1759" s="173"/>
      <c r="U1759" s="173"/>
      <c r="V1759" s="173"/>
      <c r="W1759" s="313" t="s">
        <v>15541</v>
      </c>
      <c r="X1759" s="645" t="s">
        <v>12334</v>
      </c>
      <c r="Y1759" s="354"/>
      <c r="Z1759" s="176"/>
      <c r="AA1759" s="176"/>
      <c r="AB1759" s="32">
        <f t="shared" ca="1" si="36"/>
        <v>0.36386457272418793</v>
      </c>
      <c r="AC1759" s="812"/>
      <c r="AD1759" s="763"/>
      <c r="AE1759" s="807"/>
      <c r="AF1759" s="921">
        <f>IF(X1759=X1758,AF1758,0)+IF(ISNUMBER(I1759),IF(I1759&lt;1,I1759,I1759*VLOOKUP(J1759,Summary!$H$2:$I$9,2)),VLOOKUP(J1759,Summary!$J$2:$K$9,2)*IF(ISNUMBER(H1759),H1759,1))</f>
        <v>0.94592592592592606</v>
      </c>
      <c r="AG1759" s="288">
        <v>1758</v>
      </c>
      <c r="AH1759" s="94"/>
      <c r="AI1759" s="94"/>
    </row>
    <row r="1760" spans="1:35" s="22" customFormat="1" ht="12" customHeight="1" x14ac:dyDescent="0.2">
      <c r="A1760" s="512">
        <v>21</v>
      </c>
      <c r="B1760" s="512">
        <v>5</v>
      </c>
      <c r="C1760" s="512">
        <v>237</v>
      </c>
      <c r="D1760" s="407"/>
      <c r="E1760" s="315" t="s">
        <v>14294</v>
      </c>
      <c r="F1760" s="196">
        <v>43207</v>
      </c>
      <c r="G1760" s="170"/>
      <c r="H1760" s="170">
        <v>4</v>
      </c>
      <c r="I1760" s="747">
        <f>TIME(0,120,0)</f>
        <v>8.3333333333333329E-2</v>
      </c>
      <c r="J1760" s="899" t="s">
        <v>4706</v>
      </c>
      <c r="K1760" s="167" t="s">
        <v>179</v>
      </c>
      <c r="L1760" s="167" t="s">
        <v>10304</v>
      </c>
      <c r="M1760" s="167"/>
      <c r="N1760" s="167" t="s">
        <v>7374</v>
      </c>
      <c r="O1760" s="167" t="s">
        <v>6231</v>
      </c>
      <c r="P1760" s="168" t="s">
        <v>14295</v>
      </c>
      <c r="Q1760" s="167" t="s">
        <v>3947</v>
      </c>
      <c r="R1760" s="172" t="s">
        <v>3146</v>
      </c>
      <c r="S1760" s="388"/>
      <c r="T1760" s="168"/>
      <c r="U1760" s="168"/>
      <c r="V1760" s="168"/>
      <c r="W1760" s="312"/>
      <c r="X1760" s="644" t="s">
        <v>12334</v>
      </c>
      <c r="Y1760" s="352"/>
      <c r="Z1760" s="353"/>
      <c r="AA1760" s="353"/>
      <c r="AB1760" s="40">
        <f t="shared" ca="1" si="36"/>
        <v>0.1103974046427223</v>
      </c>
      <c r="AC1760" s="810"/>
      <c r="AD1760" s="811"/>
      <c r="AE1760" s="940"/>
      <c r="AF1760" s="920">
        <f>IF(X1760=X1759,AF1759,0)+IF(ISNUMBER(I1760),IF(I1760&lt;1,I1760,I1760*VLOOKUP(J1760,Summary!$H$2:$I$9,2)),VLOOKUP(J1760,Summary!$J$2:$K$9,2)*IF(ISNUMBER(H1760),H1760,1))</f>
        <v>1.0292592592592593</v>
      </c>
      <c r="AG1760" s="287">
        <v>1759</v>
      </c>
      <c r="AH1760" s="94"/>
      <c r="AI1760" s="94"/>
    </row>
    <row r="1761" spans="1:35" s="29" customFormat="1" ht="12" customHeight="1" x14ac:dyDescent="0.25">
      <c r="A1761" s="514">
        <v>21</v>
      </c>
      <c r="B1761" s="514">
        <v>5</v>
      </c>
      <c r="C1761" s="514">
        <v>5</v>
      </c>
      <c r="D1761" s="176" t="s">
        <v>9795</v>
      </c>
      <c r="E1761" s="313" t="s">
        <v>9796</v>
      </c>
      <c r="F1761" s="175">
        <v>41802</v>
      </c>
      <c r="G1761" s="174"/>
      <c r="H1761" s="176">
        <v>1</v>
      </c>
      <c r="I1761" s="176">
        <v>4</v>
      </c>
      <c r="J1761" s="900" t="s">
        <v>2755</v>
      </c>
      <c r="K1761" s="164" t="s">
        <v>9281</v>
      </c>
      <c r="L1761" s="164" t="s">
        <v>461</v>
      </c>
      <c r="M1761" s="164"/>
      <c r="N1761" s="164" t="s">
        <v>543</v>
      </c>
      <c r="O1761" s="164"/>
      <c r="P1761" s="173" t="s">
        <v>9278</v>
      </c>
      <c r="Q1761" s="164" t="s">
        <v>3953</v>
      </c>
      <c r="R1761" s="177" t="s">
        <v>9279</v>
      </c>
      <c r="S1761" s="354"/>
      <c r="T1761" s="173"/>
      <c r="U1761" s="173"/>
      <c r="V1761" s="173"/>
      <c r="W1761" s="313" t="s">
        <v>9796</v>
      </c>
      <c r="X1761" s="645" t="s">
        <v>12334</v>
      </c>
      <c r="Y1761" s="354" t="s">
        <v>6868</v>
      </c>
      <c r="Z1761" s="176"/>
      <c r="AA1761" s="176"/>
      <c r="AB1761" s="32">
        <f t="shared" ca="1" si="36"/>
        <v>0.27387839093851651</v>
      </c>
      <c r="AC1761" s="812"/>
      <c r="AD1761" s="763"/>
      <c r="AE1761" s="807"/>
      <c r="AF1761" s="921">
        <f>IF(X1761=X1760,AF1760,0)+IF(ISNUMBER(I1761),IF(I1761&lt;1,I1761,I1761*VLOOKUP(J1761,Summary!$H$2:$I$9,2)),VLOOKUP(J1761,Summary!$J$2:$K$9,2)*IF(ISNUMBER(H1761),H1761,1))</f>
        <v>1.0320370370370371</v>
      </c>
      <c r="AG1761" s="289">
        <v>1760</v>
      </c>
      <c r="AH1761" s="94"/>
      <c r="AI1761" s="94"/>
    </row>
    <row r="1762" spans="1:35" s="29" customFormat="1" ht="12" customHeight="1" x14ac:dyDescent="0.25">
      <c r="A1762" s="512" t="s">
        <v>4293</v>
      </c>
      <c r="B1762" s="512">
        <v>5</v>
      </c>
      <c r="C1762" s="512">
        <v>2.2000000000000002</v>
      </c>
      <c r="D1762" s="407" t="s">
        <v>12735</v>
      </c>
      <c r="E1762" s="315" t="s">
        <v>12736</v>
      </c>
      <c r="F1762" s="196">
        <v>42943</v>
      </c>
      <c r="G1762" s="170"/>
      <c r="H1762" s="170">
        <v>1</v>
      </c>
      <c r="I1762" s="747">
        <f>TIME(0,60,0)</f>
        <v>4.1666666666666664E-2</v>
      </c>
      <c r="J1762" s="899" t="s">
        <v>4706</v>
      </c>
      <c r="K1762" s="167" t="s">
        <v>179</v>
      </c>
      <c r="L1762" s="167" t="s">
        <v>3296</v>
      </c>
      <c r="M1762" s="167"/>
      <c r="N1762" s="167"/>
      <c r="O1762" s="167" t="s">
        <v>3295</v>
      </c>
      <c r="P1762" s="168" t="s">
        <v>12696</v>
      </c>
      <c r="Q1762" s="167" t="s">
        <v>3947</v>
      </c>
      <c r="R1762" s="172" t="s">
        <v>14260</v>
      </c>
      <c r="S1762" s="388"/>
      <c r="T1762" s="168"/>
      <c r="U1762" s="168"/>
      <c r="V1762" s="168"/>
      <c r="W1762" s="312" t="s">
        <v>12736</v>
      </c>
      <c r="X1762" s="644" t="s">
        <v>12334</v>
      </c>
      <c r="Y1762" s="352"/>
      <c r="Z1762" s="353"/>
      <c r="AA1762" s="353"/>
      <c r="AB1762" s="31">
        <f t="shared" ca="1" si="36"/>
        <v>0.54386154782290208</v>
      </c>
      <c r="AC1762" s="810"/>
      <c r="AD1762" s="811"/>
      <c r="AE1762" s="940"/>
      <c r="AF1762" s="920">
        <f>IF(X1762=X1761,AF1761,0)+IF(ISNUMBER(I1762),IF(I1762&lt;1,I1762,I1762*VLOOKUP(J1762,Summary!$H$2:$I$9,2)),VLOOKUP(J1762,Summary!$J$2:$K$9,2)*IF(ISNUMBER(H1762),H1762,1))</f>
        <v>1.0737037037037038</v>
      </c>
      <c r="AG1762" s="287">
        <v>1761</v>
      </c>
      <c r="AH1762" s="94"/>
      <c r="AI1762" s="94"/>
    </row>
    <row r="1763" spans="1:35" s="2" customFormat="1" ht="12" customHeight="1" x14ac:dyDescent="0.25">
      <c r="A1763" s="516">
        <v>21</v>
      </c>
      <c r="B1763" s="516">
        <v>5</v>
      </c>
      <c r="C1763" s="516">
        <v>71</v>
      </c>
      <c r="D1763" s="428" t="s">
        <v>1915</v>
      </c>
      <c r="E1763" s="325" t="s">
        <v>1914</v>
      </c>
      <c r="F1763" s="183">
        <v>34547</v>
      </c>
      <c r="G1763" s="183">
        <v>34578</v>
      </c>
      <c r="H1763" s="185">
        <v>3</v>
      </c>
      <c r="I1763" s="185">
        <v>21</v>
      </c>
      <c r="J1763" s="901" t="s">
        <v>1796</v>
      </c>
      <c r="K1763" s="163" t="s">
        <v>3451</v>
      </c>
      <c r="L1763" s="163" t="s">
        <v>3835</v>
      </c>
      <c r="M1763" s="163"/>
      <c r="N1763" s="163" t="s">
        <v>7375</v>
      </c>
      <c r="O1763" s="163"/>
      <c r="P1763" s="182" t="s">
        <v>461</v>
      </c>
      <c r="Q1763" s="163" t="s">
        <v>4062</v>
      </c>
      <c r="R1763" s="207" t="s">
        <v>5266</v>
      </c>
      <c r="S1763" s="355"/>
      <c r="T1763" s="182" t="s">
        <v>2320</v>
      </c>
      <c r="U1763" s="182" t="s">
        <v>2322</v>
      </c>
      <c r="V1763" s="182"/>
      <c r="W1763" s="321"/>
      <c r="X1763" s="653" t="s">
        <v>12334</v>
      </c>
      <c r="Y1763" s="355"/>
      <c r="Z1763" s="185"/>
      <c r="AA1763" s="185"/>
      <c r="AB1763" s="33">
        <f t="shared" ca="1" si="36"/>
        <v>0.82024286015903591</v>
      </c>
      <c r="AC1763" s="813"/>
      <c r="AD1763" s="211" t="s">
        <v>16080</v>
      </c>
      <c r="AE1763" s="941"/>
      <c r="AF1763" s="922">
        <f>IF(X1763=X1762,AF1762,0)+IF(ISNUMBER(I1763),IF(I1763&lt;1,I1763,I1763*VLOOKUP(J1763,Summary!$H$2:$I$9,2)),VLOOKUP(J1763,Summary!$J$2:$K$9,2)*IF(ISNUMBER(H1763),H1763,1))</f>
        <v>1.0809953703703705</v>
      </c>
      <c r="AG1763" s="290">
        <v>1762</v>
      </c>
      <c r="AH1763" s="94"/>
      <c r="AI1763" s="94"/>
    </row>
    <row r="1764" spans="1:35" s="22" customFormat="1" ht="12" customHeight="1" x14ac:dyDescent="0.25">
      <c r="A1764" s="514">
        <v>21</v>
      </c>
      <c r="B1764" s="514">
        <v>5</v>
      </c>
      <c r="C1764" s="514"/>
      <c r="D1764" s="434" t="s">
        <v>1916</v>
      </c>
      <c r="E1764" s="324" t="s">
        <v>1920</v>
      </c>
      <c r="F1764" s="174">
        <v>30560</v>
      </c>
      <c r="G1764" s="174"/>
      <c r="H1764" s="176" t="s">
        <v>461</v>
      </c>
      <c r="I1764" s="176">
        <v>8</v>
      </c>
      <c r="J1764" s="900" t="s">
        <v>2755</v>
      </c>
      <c r="K1764" s="164" t="s">
        <v>5784</v>
      </c>
      <c r="L1764" s="164" t="s">
        <v>461</v>
      </c>
      <c r="M1764" s="164"/>
      <c r="N1764" s="164"/>
      <c r="O1764" s="164"/>
      <c r="P1764" s="173" t="s">
        <v>1922</v>
      </c>
      <c r="Q1764" s="164" t="s">
        <v>4705</v>
      </c>
      <c r="R1764" s="179" t="s">
        <v>4600</v>
      </c>
      <c r="S1764" s="354"/>
      <c r="T1764" s="173" t="s">
        <v>2320</v>
      </c>
      <c r="U1764" s="173" t="s">
        <v>2322</v>
      </c>
      <c r="V1764" s="173"/>
      <c r="W1764" s="324" t="s">
        <v>1920</v>
      </c>
      <c r="X1764" s="656" t="s">
        <v>12334</v>
      </c>
      <c r="Y1764" s="354"/>
      <c r="Z1764" s="176"/>
      <c r="AA1764" s="176"/>
      <c r="AB1764" s="32">
        <f t="shared" ca="1" si="36"/>
        <v>0.27461672046268271</v>
      </c>
      <c r="AC1764" s="812"/>
      <c r="AD1764" s="763"/>
      <c r="AE1764" s="951"/>
      <c r="AF1764" s="921">
        <f>IF(X1764=X1763,AF1763,0)+IF(ISNUMBER(I1764),IF(I1764&lt;1,I1764,I1764*VLOOKUP(J1764,Summary!$H$2:$I$9,2)),VLOOKUP(J1764,Summary!$J$2:$K$9,2)*IF(ISNUMBER(H1764),H1764,1))</f>
        <v>1.0865509259259261</v>
      </c>
      <c r="AG1764" s="288">
        <v>1763</v>
      </c>
      <c r="AH1764" s="94"/>
      <c r="AI1764" s="94"/>
    </row>
    <row r="1765" spans="1:35" s="43" customFormat="1" ht="12" customHeight="1" x14ac:dyDescent="0.25">
      <c r="A1765" s="514">
        <v>21</v>
      </c>
      <c r="B1765" s="514">
        <v>5</v>
      </c>
      <c r="C1765" s="514"/>
      <c r="D1765" s="434" t="s">
        <v>12741</v>
      </c>
      <c r="E1765" s="324" t="s">
        <v>12739</v>
      </c>
      <c r="F1765" s="174">
        <v>30621</v>
      </c>
      <c r="G1765" s="174"/>
      <c r="H1765" s="176" t="s">
        <v>461</v>
      </c>
      <c r="I1765" s="176"/>
      <c r="J1765" s="900" t="s">
        <v>2755</v>
      </c>
      <c r="K1765" s="164" t="s">
        <v>2366</v>
      </c>
      <c r="L1765" s="164" t="s">
        <v>12740</v>
      </c>
      <c r="M1765" s="164"/>
      <c r="N1765" s="164"/>
      <c r="O1765" s="164"/>
      <c r="P1765" s="173" t="s">
        <v>461</v>
      </c>
      <c r="Q1765" s="164" t="s">
        <v>4929</v>
      </c>
      <c r="R1765" s="179" t="s">
        <v>12737</v>
      </c>
      <c r="S1765" s="354" t="s">
        <v>2326</v>
      </c>
      <c r="T1765" s="173" t="s">
        <v>2320</v>
      </c>
      <c r="U1765" s="173" t="s">
        <v>2322</v>
      </c>
      <c r="V1765" s="173"/>
      <c r="W1765" s="324" t="s">
        <v>12739</v>
      </c>
      <c r="X1765" s="656" t="s">
        <v>12334</v>
      </c>
      <c r="Y1765" s="354"/>
      <c r="Z1765" s="176"/>
      <c r="AA1765" s="176"/>
      <c r="AB1765" s="32">
        <f t="shared" ca="1" si="36"/>
        <v>0.31135812756252057</v>
      </c>
      <c r="AC1765" s="812"/>
      <c r="AD1765" s="763"/>
      <c r="AE1765" s="951"/>
      <c r="AF1765" s="921">
        <f>IF(X1765=X1764,AF1764,0)+IF(ISNUMBER(I1765),IF(I1765&lt;1,I1765,I1765*VLOOKUP(J1765,Summary!$H$2:$I$9,2)),VLOOKUP(J1765,Summary!$J$2:$K$9,2)*IF(ISNUMBER(H1765),H1765,1))</f>
        <v>1.1039120370370372</v>
      </c>
      <c r="AG1765" s="288">
        <v>1764</v>
      </c>
      <c r="AH1765" s="94"/>
      <c r="AI1765" s="94"/>
    </row>
    <row r="1766" spans="1:35" s="2" customFormat="1" ht="12" customHeight="1" x14ac:dyDescent="0.25">
      <c r="A1766" s="514">
        <v>21</v>
      </c>
      <c r="B1766" s="514">
        <v>5</v>
      </c>
      <c r="C1766" s="514">
        <v>20.05</v>
      </c>
      <c r="D1766" s="434" t="s">
        <v>2871</v>
      </c>
      <c r="E1766" s="324" t="s">
        <v>2867</v>
      </c>
      <c r="F1766" s="174">
        <v>38961</v>
      </c>
      <c r="G1766" s="174"/>
      <c r="H1766" s="176">
        <v>1</v>
      </c>
      <c r="I1766" s="176">
        <v>24</v>
      </c>
      <c r="J1766" s="900" t="s">
        <v>2755</v>
      </c>
      <c r="K1766" s="164" t="s">
        <v>2870</v>
      </c>
      <c r="L1766" s="164" t="s">
        <v>461</v>
      </c>
      <c r="M1766" s="164"/>
      <c r="N1766" s="164" t="s">
        <v>7381</v>
      </c>
      <c r="O1766" s="164"/>
      <c r="P1766" s="173" t="s">
        <v>705</v>
      </c>
      <c r="Q1766" s="164" t="s">
        <v>3947</v>
      </c>
      <c r="R1766" s="179" t="s">
        <v>2723</v>
      </c>
      <c r="S1766" s="354"/>
      <c r="T1766" s="173" t="s">
        <v>2320</v>
      </c>
      <c r="U1766" s="173" t="s">
        <v>2322</v>
      </c>
      <c r="V1766" s="173"/>
      <c r="W1766" s="324" t="s">
        <v>2867</v>
      </c>
      <c r="X1766" s="656" t="s">
        <v>12334</v>
      </c>
      <c r="Y1766" s="354"/>
      <c r="Z1766" s="176"/>
      <c r="AA1766" s="176"/>
      <c r="AB1766" s="32">
        <f t="shared" ca="1" si="36"/>
        <v>0.83529533737914163</v>
      </c>
      <c r="AC1766" s="812"/>
      <c r="AD1766" s="763"/>
      <c r="AE1766" s="951"/>
      <c r="AF1766" s="921">
        <f>IF(X1766=X1765,AF1765,0)+IF(ISNUMBER(I1766),IF(I1766&lt;1,I1766,I1766*VLOOKUP(J1766,Summary!$H$2:$I$9,2)),VLOOKUP(J1766,Summary!$J$2:$K$9,2)*IF(ISNUMBER(H1766),H1766,1))</f>
        <v>1.1205787037037038</v>
      </c>
      <c r="AG1766" s="288">
        <v>1765</v>
      </c>
      <c r="AH1766" s="94"/>
      <c r="AI1766" s="94"/>
    </row>
    <row r="1767" spans="1:35" s="43" customFormat="1" ht="12" customHeight="1" x14ac:dyDescent="0.25">
      <c r="A1767" s="517">
        <v>21</v>
      </c>
      <c r="B1767" s="517">
        <v>5</v>
      </c>
      <c r="C1767" s="517">
        <v>10.06</v>
      </c>
      <c r="D1767" s="463" t="s">
        <v>1911</v>
      </c>
      <c r="E1767" s="330" t="s">
        <v>5441</v>
      </c>
      <c r="F1767" s="191">
        <v>38139</v>
      </c>
      <c r="G1767" s="191"/>
      <c r="H1767" s="192">
        <v>1</v>
      </c>
      <c r="I1767" s="192">
        <v>12</v>
      </c>
      <c r="J1767" s="903" t="s">
        <v>2755</v>
      </c>
      <c r="K1767" s="194" t="s">
        <v>177</v>
      </c>
      <c r="L1767" s="194" t="s">
        <v>461</v>
      </c>
      <c r="M1767" s="194" t="s">
        <v>13150</v>
      </c>
      <c r="N1767" s="194" t="s">
        <v>4996</v>
      </c>
      <c r="O1767" s="194"/>
      <c r="P1767" s="190" t="s">
        <v>5669</v>
      </c>
      <c r="Q1767" s="194" t="s">
        <v>3947</v>
      </c>
      <c r="R1767" s="221" t="s">
        <v>2723</v>
      </c>
      <c r="S1767" s="357"/>
      <c r="T1767" s="190" t="s">
        <v>2320</v>
      </c>
      <c r="U1767" s="190" t="s">
        <v>2322</v>
      </c>
      <c r="V1767" s="190"/>
      <c r="W1767" s="330" t="s">
        <v>5441</v>
      </c>
      <c r="X1767" s="662" t="s">
        <v>12334</v>
      </c>
      <c r="Y1767" s="357"/>
      <c r="Z1767" s="192">
        <v>999</v>
      </c>
      <c r="AA1767" s="192"/>
      <c r="AB1767" s="37">
        <f t="shared" ca="1" si="36"/>
        <v>0.66093848013728851</v>
      </c>
      <c r="AC1767" s="816"/>
      <c r="AD1767" s="817"/>
      <c r="AE1767" s="955"/>
      <c r="AF1767" s="924">
        <f>IF(X1767=X1766,AF1766,0)+IF(ISNUMBER(I1767),IF(I1767&lt;1,I1767,I1767*VLOOKUP(J1767,Summary!$H$2:$I$9,2)),VLOOKUP(J1767,Summary!$J$2:$K$9,2)*IF(ISNUMBER(H1767),H1767,1))</f>
        <v>1.1289120370370371</v>
      </c>
      <c r="AG1767" s="298">
        <v>1766</v>
      </c>
      <c r="AH1767" s="94"/>
      <c r="AI1767" s="94"/>
    </row>
    <row r="1768" spans="1:35" s="1" customFormat="1" ht="12" customHeight="1" x14ac:dyDescent="0.25">
      <c r="A1768" s="514">
        <v>21</v>
      </c>
      <c r="B1768" s="514">
        <v>5</v>
      </c>
      <c r="C1768" s="514">
        <v>11.13</v>
      </c>
      <c r="D1768" s="434" t="s">
        <v>1912</v>
      </c>
      <c r="E1768" s="324" t="s">
        <v>1907</v>
      </c>
      <c r="F1768" s="174">
        <v>38200</v>
      </c>
      <c r="G1768" s="174"/>
      <c r="H1768" s="176">
        <v>1</v>
      </c>
      <c r="I1768" s="176">
        <v>16</v>
      </c>
      <c r="J1768" s="900" t="s">
        <v>2755</v>
      </c>
      <c r="K1768" s="164" t="s">
        <v>1482</v>
      </c>
      <c r="L1768" s="164" t="s">
        <v>461</v>
      </c>
      <c r="M1768" s="164"/>
      <c r="N1768" s="164" t="s">
        <v>7375</v>
      </c>
      <c r="O1768" s="164"/>
      <c r="P1768" s="173" t="s">
        <v>2559</v>
      </c>
      <c r="Q1768" s="164" t="s">
        <v>3947</v>
      </c>
      <c r="R1768" s="179" t="s">
        <v>2723</v>
      </c>
      <c r="S1768" s="354"/>
      <c r="T1768" s="173" t="s">
        <v>2320</v>
      </c>
      <c r="U1768" s="173" t="s">
        <v>2322</v>
      </c>
      <c r="V1768" s="173"/>
      <c r="W1768" s="324" t="s">
        <v>1907</v>
      </c>
      <c r="X1768" s="656" t="s">
        <v>12334</v>
      </c>
      <c r="Y1768" s="354"/>
      <c r="Z1768" s="176">
        <v>999</v>
      </c>
      <c r="AA1768" s="176"/>
      <c r="AB1768" s="32">
        <f t="shared" ca="1" si="36"/>
        <v>2.5521466444632268E-2</v>
      </c>
      <c r="AC1768" s="812"/>
      <c r="AD1768" s="763"/>
      <c r="AE1768" s="951"/>
      <c r="AF1768" s="921">
        <f>IF(X1768=X1767,AF1767,0)+IF(ISNUMBER(I1768),IF(I1768&lt;1,I1768,I1768*VLOOKUP(J1768,Summary!$H$2:$I$9,2)),VLOOKUP(J1768,Summary!$J$2:$K$9,2)*IF(ISNUMBER(H1768),H1768,1))</f>
        <v>1.1400231481481482</v>
      </c>
      <c r="AG1768" s="288">
        <v>1767</v>
      </c>
      <c r="AH1768" s="94"/>
      <c r="AI1768" s="94"/>
    </row>
    <row r="1769" spans="1:35" s="43" customFormat="1" ht="12" customHeight="1" x14ac:dyDescent="0.25">
      <c r="A1769" s="514">
        <v>21</v>
      </c>
      <c r="B1769" s="514">
        <v>5</v>
      </c>
      <c r="C1769" s="514">
        <v>18.04</v>
      </c>
      <c r="D1769" s="434" t="s">
        <v>4769</v>
      </c>
      <c r="E1769" s="324" t="s">
        <v>1926</v>
      </c>
      <c r="F1769" s="174">
        <v>38687</v>
      </c>
      <c r="G1769" s="174"/>
      <c r="H1769" s="176">
        <v>1</v>
      </c>
      <c r="I1769" s="176">
        <v>16</v>
      </c>
      <c r="J1769" s="900" t="s">
        <v>2755</v>
      </c>
      <c r="K1769" s="164" t="s">
        <v>4768</v>
      </c>
      <c r="L1769" s="164" t="s">
        <v>461</v>
      </c>
      <c r="M1769" s="164"/>
      <c r="N1769" s="164" t="s">
        <v>5664</v>
      </c>
      <c r="O1769" s="164"/>
      <c r="P1769" s="173" t="s">
        <v>5000</v>
      </c>
      <c r="Q1769" s="164" t="s">
        <v>3947</v>
      </c>
      <c r="R1769" s="179" t="s">
        <v>2723</v>
      </c>
      <c r="S1769" s="354"/>
      <c r="T1769" s="173" t="s">
        <v>2320</v>
      </c>
      <c r="U1769" s="173" t="s">
        <v>2322</v>
      </c>
      <c r="V1769" s="173"/>
      <c r="W1769" s="324" t="s">
        <v>1926</v>
      </c>
      <c r="X1769" s="656" t="s">
        <v>12334</v>
      </c>
      <c r="Y1769" s="354"/>
      <c r="Z1769" s="176"/>
      <c r="AA1769" s="176"/>
      <c r="AB1769" s="32">
        <f t="shared" ca="1" si="36"/>
        <v>4.8639552324650115E-2</v>
      </c>
      <c r="AC1769" s="812"/>
      <c r="AD1769" s="763"/>
      <c r="AE1769" s="951"/>
      <c r="AF1769" s="921">
        <f>IF(X1769=X1768,AF1768,0)+IF(ISNUMBER(I1769),IF(I1769&lt;1,I1769,I1769*VLOOKUP(J1769,Summary!$H$2:$I$9,2)),VLOOKUP(J1769,Summary!$J$2:$K$9,2)*IF(ISNUMBER(H1769),H1769,1))</f>
        <v>1.1511342592592593</v>
      </c>
      <c r="AG1769" s="288">
        <v>1768</v>
      </c>
      <c r="AH1769" s="94"/>
      <c r="AI1769" s="94"/>
    </row>
    <row r="1770" spans="1:35" s="43" customFormat="1" ht="12" customHeight="1" x14ac:dyDescent="0.25">
      <c r="A1770" s="514">
        <v>21</v>
      </c>
      <c r="B1770" s="514">
        <v>5</v>
      </c>
      <c r="C1770" s="514">
        <v>31.07</v>
      </c>
      <c r="D1770" s="176" t="s">
        <v>617</v>
      </c>
      <c r="E1770" s="313" t="s">
        <v>627</v>
      </c>
      <c r="F1770" s="174">
        <v>39873</v>
      </c>
      <c r="G1770" s="174"/>
      <c r="H1770" s="176" t="s">
        <v>461</v>
      </c>
      <c r="I1770" s="176">
        <v>20</v>
      </c>
      <c r="J1770" s="900" t="s">
        <v>2755</v>
      </c>
      <c r="K1770" s="164" t="s">
        <v>624</v>
      </c>
      <c r="L1770" s="164" t="s">
        <v>461</v>
      </c>
      <c r="M1770" s="164"/>
      <c r="N1770" s="164" t="s">
        <v>1805</v>
      </c>
      <c r="O1770" s="164"/>
      <c r="P1770" s="173" t="s">
        <v>6699</v>
      </c>
      <c r="Q1770" s="164" t="s">
        <v>3947</v>
      </c>
      <c r="R1770" s="177" t="s">
        <v>2723</v>
      </c>
      <c r="S1770" s="354"/>
      <c r="T1770" s="173" t="s">
        <v>2320</v>
      </c>
      <c r="U1770" s="173" t="s">
        <v>2322</v>
      </c>
      <c r="V1770" s="173" t="s">
        <v>2323</v>
      </c>
      <c r="W1770" s="313" t="s">
        <v>627</v>
      </c>
      <c r="X1770" s="645" t="s">
        <v>12334</v>
      </c>
      <c r="Y1770" s="354"/>
      <c r="Z1770" s="176"/>
      <c r="AA1770" s="176"/>
      <c r="AB1770" s="32">
        <f t="shared" ca="1" si="36"/>
        <v>0.45828709917987331</v>
      </c>
      <c r="AC1770" s="812"/>
      <c r="AD1770" s="763"/>
      <c r="AE1770" s="807"/>
      <c r="AF1770" s="921">
        <f>IF(X1770=X1769,AF1769,0)+IF(ISNUMBER(I1770),IF(I1770&lt;1,I1770,I1770*VLOOKUP(J1770,Summary!$H$2:$I$9,2)),VLOOKUP(J1770,Summary!$J$2:$K$9,2)*IF(ISNUMBER(H1770),H1770,1))</f>
        <v>1.1650231481481481</v>
      </c>
      <c r="AG1770" s="289">
        <v>1769</v>
      </c>
      <c r="AH1770" s="94"/>
      <c r="AI1770" s="94"/>
    </row>
    <row r="1771" spans="1:35" s="43" customFormat="1" ht="12" customHeight="1" x14ac:dyDescent="0.25">
      <c r="A1771" s="516">
        <v>21</v>
      </c>
      <c r="B1771" s="516">
        <v>5</v>
      </c>
      <c r="C1771" s="516">
        <v>2.3199999999999998</v>
      </c>
      <c r="D1771" s="428" t="s">
        <v>6580</v>
      </c>
      <c r="E1771" s="325" t="s">
        <v>6581</v>
      </c>
      <c r="F1771" s="183">
        <v>39722</v>
      </c>
      <c r="G1771" s="183"/>
      <c r="H1771" s="185">
        <v>1</v>
      </c>
      <c r="I1771" s="185">
        <v>7</v>
      </c>
      <c r="J1771" s="901" t="s">
        <v>1796</v>
      </c>
      <c r="K1771" s="163" t="s">
        <v>3303</v>
      </c>
      <c r="L1771" s="163" t="s">
        <v>6579</v>
      </c>
      <c r="M1771" s="158"/>
      <c r="N1771" s="158" t="s">
        <v>6573</v>
      </c>
      <c r="O1771" s="158"/>
      <c r="P1771" s="182" t="s">
        <v>461</v>
      </c>
      <c r="Q1771" s="158" t="s">
        <v>5719</v>
      </c>
      <c r="R1771" s="207" t="s">
        <v>5718</v>
      </c>
      <c r="S1771" s="355"/>
      <c r="T1771" s="182" t="s">
        <v>2320</v>
      </c>
      <c r="U1771" s="182" t="s">
        <v>2322</v>
      </c>
      <c r="V1771" s="182"/>
      <c r="W1771" s="321"/>
      <c r="X1771" s="653" t="s">
        <v>12334</v>
      </c>
      <c r="Y1771" s="355" t="s">
        <v>6000</v>
      </c>
      <c r="Z1771" s="362">
        <v>999</v>
      </c>
      <c r="AA1771" s="362"/>
      <c r="AB1771" s="33">
        <f t="shared" ca="1" si="36"/>
        <v>0.19695382943148421</v>
      </c>
      <c r="AC1771" s="813"/>
      <c r="AD1771" s="211" t="s">
        <v>15085</v>
      </c>
      <c r="AE1771" s="949" t="s">
        <v>12543</v>
      </c>
      <c r="AF1771" s="922">
        <f>IF(X1771=X1770,AF1770,0)+IF(ISNUMBER(I1771),IF(I1771&lt;1,I1771,I1771*VLOOKUP(J1771,Summary!$H$2:$I$9,2)),VLOOKUP(J1771,Summary!$J$2:$K$9,2)*IF(ISNUMBER(H1771),H1771,1))</f>
        <v>1.1674537037037036</v>
      </c>
      <c r="AG1771" s="295">
        <v>1770</v>
      </c>
      <c r="AH1771" s="94"/>
      <c r="AI1771" s="94"/>
    </row>
    <row r="1772" spans="1:35" s="2" customFormat="1" ht="12" customHeight="1" x14ac:dyDescent="0.25">
      <c r="A1772" s="511" t="s">
        <v>4293</v>
      </c>
      <c r="B1772" s="511">
        <v>5</v>
      </c>
      <c r="C1772" s="511">
        <v>132</v>
      </c>
      <c r="D1772" s="424" t="s">
        <v>3531</v>
      </c>
      <c r="E1772" s="319" t="s">
        <v>3532</v>
      </c>
      <c r="F1772" s="198">
        <v>30707</v>
      </c>
      <c r="G1772" s="198">
        <v>30715</v>
      </c>
      <c r="H1772" s="199">
        <v>4</v>
      </c>
      <c r="I1772" s="791">
        <f>TIME(0,24,39)+TIME(0,24,35)+TIME(0,24,30)+TIME(0,24,26)</f>
        <v>6.8171296296296285E-2</v>
      </c>
      <c r="J1772" s="904" t="s">
        <v>1588</v>
      </c>
      <c r="K1772" s="200" t="s">
        <v>6963</v>
      </c>
      <c r="L1772" s="200" t="s">
        <v>6274</v>
      </c>
      <c r="M1772" s="200"/>
      <c r="N1772" s="200" t="s">
        <v>2366</v>
      </c>
      <c r="O1772" s="200" t="s">
        <v>6962</v>
      </c>
      <c r="P1772" s="197" t="s">
        <v>461</v>
      </c>
      <c r="Q1772" s="200" t="s">
        <v>3946</v>
      </c>
      <c r="R1772" s="201" t="s">
        <v>5280</v>
      </c>
      <c r="S1772" s="390"/>
      <c r="T1772" s="197" t="s">
        <v>2320</v>
      </c>
      <c r="U1772" s="197" t="s">
        <v>2322</v>
      </c>
      <c r="V1772" s="197"/>
      <c r="W1772" s="318" t="s">
        <v>9687</v>
      </c>
      <c r="X1772" s="650" t="s">
        <v>12334</v>
      </c>
      <c r="Y1772" s="358" t="s">
        <v>6141</v>
      </c>
      <c r="Z1772" s="253">
        <v>147</v>
      </c>
      <c r="AA1772" s="253">
        <v>5.5</v>
      </c>
      <c r="AB1772" s="35">
        <f t="shared" ca="1" si="36"/>
        <v>4.0475759644047482E-3</v>
      </c>
      <c r="AC1772" s="820"/>
      <c r="AD1772" s="821" t="s">
        <v>16518</v>
      </c>
      <c r="AE1772" s="944" t="s">
        <v>12543</v>
      </c>
      <c r="AF1772" s="925">
        <f>IF(X1772=X1771,AF1771,0)+IF(ISNUMBER(I1772),IF(I1772&lt;1,I1772,I1772*VLOOKUP(J1772,Summary!$H$2:$I$9,2)),VLOOKUP(J1772,Summary!$J$2:$K$9,2)*IF(ISNUMBER(H1772),H1772,1))</f>
        <v>1.235625</v>
      </c>
      <c r="AG1772" s="293">
        <v>1771</v>
      </c>
      <c r="AH1772" s="94"/>
      <c r="AI1772" s="94"/>
    </row>
    <row r="1773" spans="1:35" s="3" customFormat="1" ht="12" customHeight="1" x14ac:dyDescent="0.25">
      <c r="A1773" s="514">
        <v>21</v>
      </c>
      <c r="B1773" s="514">
        <v>5</v>
      </c>
      <c r="C1773" s="514">
        <v>19.09</v>
      </c>
      <c r="D1773" s="434" t="s">
        <v>4766</v>
      </c>
      <c r="E1773" s="324" t="s">
        <v>1924</v>
      </c>
      <c r="F1773" s="174">
        <v>38808</v>
      </c>
      <c r="G1773" s="174"/>
      <c r="H1773" s="176">
        <v>1</v>
      </c>
      <c r="I1773" s="176">
        <v>29</v>
      </c>
      <c r="J1773" s="900" t="s">
        <v>2755</v>
      </c>
      <c r="K1773" s="164" t="s">
        <v>4765</v>
      </c>
      <c r="L1773" s="164" t="s">
        <v>461</v>
      </c>
      <c r="M1773" s="164"/>
      <c r="N1773" s="164" t="s">
        <v>4552</v>
      </c>
      <c r="O1773" s="164"/>
      <c r="P1773" s="173" t="s">
        <v>5020</v>
      </c>
      <c r="Q1773" s="164" t="s">
        <v>3947</v>
      </c>
      <c r="R1773" s="179" t="s">
        <v>2723</v>
      </c>
      <c r="S1773" s="354"/>
      <c r="T1773" s="173" t="s">
        <v>2320</v>
      </c>
      <c r="U1773" s="173" t="s">
        <v>2322</v>
      </c>
      <c r="V1773" s="173"/>
      <c r="W1773" s="324" t="s">
        <v>1924</v>
      </c>
      <c r="X1773" s="656" t="s">
        <v>12334</v>
      </c>
      <c r="Y1773" s="354"/>
      <c r="Z1773" s="176"/>
      <c r="AA1773" s="176"/>
      <c r="AB1773" s="32">
        <f t="shared" ca="1" si="36"/>
        <v>0.62459208169139746</v>
      </c>
      <c r="AC1773" s="812"/>
      <c r="AD1773" s="763"/>
      <c r="AE1773" s="951"/>
      <c r="AF1773" s="921">
        <f>IF(X1773=X1772,AF1772,0)+IF(ISNUMBER(I1773),IF(I1773&lt;1,I1773,I1773*VLOOKUP(J1773,Summary!$H$2:$I$9,2)),VLOOKUP(J1773,Summary!$J$2:$K$9,2)*IF(ISNUMBER(H1773),H1773,1))</f>
        <v>1.2557638888888889</v>
      </c>
      <c r="AG1773" s="288">
        <v>1772</v>
      </c>
      <c r="AH1773" s="94"/>
      <c r="AI1773" s="94"/>
    </row>
    <row r="1774" spans="1:35" s="10" customFormat="1" ht="12" customHeight="1" x14ac:dyDescent="0.25">
      <c r="A1774" s="512">
        <v>21</v>
      </c>
      <c r="B1774" s="512">
        <v>5</v>
      </c>
      <c r="C1774" s="512">
        <v>230</v>
      </c>
      <c r="D1774" s="407"/>
      <c r="E1774" s="315" t="s">
        <v>12744</v>
      </c>
      <c r="F1774" s="196">
        <v>42990</v>
      </c>
      <c r="G1774" s="170"/>
      <c r="H1774" s="170">
        <v>4</v>
      </c>
      <c r="I1774" s="747">
        <f>TIME(0,120,0)</f>
        <v>8.3333333333333329E-2</v>
      </c>
      <c r="J1774" s="899" t="s">
        <v>4706</v>
      </c>
      <c r="K1774" s="167" t="s">
        <v>6353</v>
      </c>
      <c r="L1774" s="167" t="s">
        <v>12662</v>
      </c>
      <c r="M1774" s="167"/>
      <c r="N1774" s="167"/>
      <c r="O1774" s="167" t="s">
        <v>3295</v>
      </c>
      <c r="P1774" s="168" t="s">
        <v>12745</v>
      </c>
      <c r="Q1774" s="167" t="s">
        <v>3947</v>
      </c>
      <c r="R1774" s="172" t="s">
        <v>3146</v>
      </c>
      <c r="S1774" s="388" t="s">
        <v>2608</v>
      </c>
      <c r="T1774" s="168" t="s">
        <v>2320</v>
      </c>
      <c r="U1774" s="168"/>
      <c r="V1774" s="168"/>
      <c r="W1774" s="312" t="s">
        <v>15310</v>
      </c>
      <c r="X1774" s="644" t="s">
        <v>12334</v>
      </c>
      <c r="Y1774" s="352" t="s">
        <v>2798</v>
      </c>
      <c r="Z1774" s="353">
        <v>281</v>
      </c>
      <c r="AA1774" s="353">
        <v>5.5</v>
      </c>
      <c r="AB1774" s="31">
        <f t="shared" ca="1" si="36"/>
        <v>0.96383211224630194</v>
      </c>
      <c r="AC1774" s="810"/>
      <c r="AD1774" s="811"/>
      <c r="AE1774" s="940"/>
      <c r="AF1774" s="920">
        <f>IF(X1774=X1773,AF1773,0)+IF(ISNUMBER(I1774),IF(I1774&lt;1,I1774,I1774*VLOOKUP(J1774,Summary!$H$2:$I$9,2)),VLOOKUP(J1774,Summary!$J$2:$K$9,2)*IF(ISNUMBER(H1774),H1774,1))</f>
        <v>1.3390972222222222</v>
      </c>
      <c r="AG1774" s="287">
        <v>1773</v>
      </c>
      <c r="AH1774" s="94"/>
      <c r="AI1774" s="94"/>
    </row>
    <row r="1775" spans="1:35" s="2" customFormat="1" ht="12" customHeight="1" x14ac:dyDescent="0.25">
      <c r="A1775" s="514">
        <v>21</v>
      </c>
      <c r="B1775" s="514">
        <v>5</v>
      </c>
      <c r="C1775" s="514">
        <v>51</v>
      </c>
      <c r="D1775" s="176" t="s">
        <v>558</v>
      </c>
      <c r="E1775" s="313" t="s">
        <v>4054</v>
      </c>
      <c r="F1775" s="174">
        <v>34213</v>
      </c>
      <c r="G1775" s="174"/>
      <c r="H1775" s="176">
        <v>1</v>
      </c>
      <c r="I1775" s="176">
        <v>5</v>
      </c>
      <c r="J1775" s="900" t="s">
        <v>2755</v>
      </c>
      <c r="K1775" s="164" t="s">
        <v>4964</v>
      </c>
      <c r="L1775" s="164" t="s">
        <v>461</v>
      </c>
      <c r="M1775" s="164"/>
      <c r="N1775" s="164"/>
      <c r="O1775" s="164"/>
      <c r="P1775" s="173" t="s">
        <v>2413</v>
      </c>
      <c r="Q1775" s="164" t="s">
        <v>4062</v>
      </c>
      <c r="R1775" s="177" t="s">
        <v>4599</v>
      </c>
      <c r="S1775" s="354"/>
      <c r="T1775" s="173" t="s">
        <v>2320</v>
      </c>
      <c r="U1775" s="173"/>
      <c r="V1775" s="173"/>
      <c r="W1775" s="313" t="s">
        <v>4054</v>
      </c>
      <c r="X1775" s="645" t="s">
        <v>12334</v>
      </c>
      <c r="Y1775" s="354"/>
      <c r="Z1775" s="176"/>
      <c r="AA1775" s="176"/>
      <c r="AB1775" s="32">
        <f t="shared" ca="1" si="36"/>
        <v>6.9465080091067666E-2</v>
      </c>
      <c r="AC1775" s="812"/>
      <c r="AD1775" s="763"/>
      <c r="AE1775" s="807"/>
      <c r="AF1775" s="921">
        <f>IF(X1775=X1774,AF1774,0)+IF(ISNUMBER(I1775),IF(I1775&lt;1,I1775,I1775*VLOOKUP(J1775,Summary!$H$2:$I$9,2)),VLOOKUP(J1775,Summary!$J$2:$K$9,2)*IF(ISNUMBER(H1775),H1775,1))</f>
        <v>1.3425694444444445</v>
      </c>
      <c r="AG1775" s="289">
        <v>1774</v>
      </c>
      <c r="AH1775" s="94"/>
      <c r="AI1775" s="94"/>
    </row>
    <row r="1776" spans="1:35" s="43" customFormat="1" ht="12" customHeight="1" x14ac:dyDescent="0.25">
      <c r="A1776" s="514">
        <v>21</v>
      </c>
      <c r="B1776" s="514">
        <v>5</v>
      </c>
      <c r="C1776" s="514">
        <v>25.23</v>
      </c>
      <c r="D1776" s="434" t="s">
        <v>4767</v>
      </c>
      <c r="E1776" s="324" t="s">
        <v>1923</v>
      </c>
      <c r="F1776" s="174">
        <v>39417</v>
      </c>
      <c r="G1776" s="174"/>
      <c r="H1776" s="176">
        <v>1</v>
      </c>
      <c r="I1776" s="176">
        <v>10</v>
      </c>
      <c r="J1776" s="900" t="s">
        <v>2755</v>
      </c>
      <c r="K1776" s="164" t="s">
        <v>4425</v>
      </c>
      <c r="L1776" s="164" t="s">
        <v>461</v>
      </c>
      <c r="M1776" s="164"/>
      <c r="N1776" s="164" t="s">
        <v>5146</v>
      </c>
      <c r="O1776" s="164"/>
      <c r="P1776" s="173" t="s">
        <v>6701</v>
      </c>
      <c r="Q1776" s="164" t="s">
        <v>3947</v>
      </c>
      <c r="R1776" s="179" t="s">
        <v>2723</v>
      </c>
      <c r="S1776" s="354"/>
      <c r="T1776" s="173" t="s">
        <v>2320</v>
      </c>
      <c r="U1776" s="173"/>
      <c r="V1776" s="173"/>
      <c r="W1776" s="324" t="s">
        <v>1923</v>
      </c>
      <c r="X1776" s="656" t="s">
        <v>12334</v>
      </c>
      <c r="Y1776" s="354"/>
      <c r="Z1776" s="176"/>
      <c r="AA1776" s="176"/>
      <c r="AB1776" s="32">
        <f t="shared" ca="1" si="36"/>
        <v>0.46919454898212887</v>
      </c>
      <c r="AC1776" s="812"/>
      <c r="AD1776" s="763"/>
      <c r="AE1776" s="951"/>
      <c r="AF1776" s="921">
        <f>IF(X1776=X1775,AF1775,0)+IF(ISNUMBER(I1776),IF(I1776&lt;1,I1776,I1776*VLOOKUP(J1776,Summary!$H$2:$I$9,2)),VLOOKUP(J1776,Summary!$J$2:$K$9,2)*IF(ISNUMBER(H1776),H1776,1))</f>
        <v>1.3495138888888889</v>
      </c>
      <c r="AG1776" s="288">
        <v>1775</v>
      </c>
      <c r="AH1776" s="94"/>
      <c r="AI1776" s="94"/>
    </row>
    <row r="1777" spans="1:36" s="43" customFormat="1" ht="12" customHeight="1" x14ac:dyDescent="0.25">
      <c r="A1777" s="512" t="s">
        <v>4293</v>
      </c>
      <c r="B1777" s="512">
        <v>5</v>
      </c>
      <c r="C1777" s="512">
        <v>1</v>
      </c>
      <c r="D1777" s="407" t="s">
        <v>3533</v>
      </c>
      <c r="E1777" s="315" t="s">
        <v>3534</v>
      </c>
      <c r="F1777" s="169">
        <v>37288</v>
      </c>
      <c r="G1777" s="170"/>
      <c r="H1777" s="170">
        <v>2</v>
      </c>
      <c r="I1777" s="746">
        <f>TIME(0,90,21)</f>
        <v>6.2743055555555552E-2</v>
      </c>
      <c r="J1777" s="899" t="s">
        <v>4706</v>
      </c>
      <c r="K1777" s="167" t="s">
        <v>5658</v>
      </c>
      <c r="L1777" s="167" t="s">
        <v>7375</v>
      </c>
      <c r="M1777" s="167"/>
      <c r="N1777" s="167"/>
      <c r="O1777" s="167" t="s">
        <v>2909</v>
      </c>
      <c r="P1777" s="168" t="s">
        <v>9128</v>
      </c>
      <c r="Q1777" s="167" t="s">
        <v>3947</v>
      </c>
      <c r="R1777" s="172" t="s">
        <v>2239</v>
      </c>
      <c r="S1777" s="388"/>
      <c r="T1777" s="168"/>
      <c r="U1777" s="168"/>
      <c r="V1777" s="168" t="s">
        <v>3535</v>
      </c>
      <c r="W1777" s="312" t="s">
        <v>11126</v>
      </c>
      <c r="X1777" s="644" t="s">
        <v>12334</v>
      </c>
      <c r="Y1777" s="352" t="s">
        <v>5398</v>
      </c>
      <c r="Z1777" s="353">
        <v>591</v>
      </c>
      <c r="AA1777" s="353">
        <v>3.5</v>
      </c>
      <c r="AB1777" s="31">
        <f t="shared" ca="1" si="36"/>
        <v>0.15537148764752595</v>
      </c>
      <c r="AC1777" s="810"/>
      <c r="AD1777" s="825" t="s">
        <v>15070</v>
      </c>
      <c r="AE1777" s="940" t="s">
        <v>12543</v>
      </c>
      <c r="AF1777" s="920">
        <f>IF(X1777=X1776,AF1776,0)+IF(ISNUMBER(I1777),IF(I1777&lt;1,I1777,I1777*VLOOKUP(J1777,Summary!$H$2:$I$9,2)),VLOOKUP(J1777,Summary!$J$2:$K$9,2)*IF(ISNUMBER(H1777),H1777,1))</f>
        <v>1.4122569444444444</v>
      </c>
      <c r="AG1777" s="287">
        <v>1776</v>
      </c>
      <c r="AH1777" s="94"/>
      <c r="AI1777" s="94"/>
    </row>
    <row r="1778" spans="1:36" s="22" customFormat="1" ht="12" customHeight="1" x14ac:dyDescent="0.25">
      <c r="A1778" s="514">
        <v>21</v>
      </c>
      <c r="B1778" s="514">
        <v>5</v>
      </c>
      <c r="C1778" s="514"/>
      <c r="D1778" s="434" t="s">
        <v>1916</v>
      </c>
      <c r="E1778" s="324" t="s">
        <v>1925</v>
      </c>
      <c r="F1778" s="174">
        <v>30560</v>
      </c>
      <c r="G1778" s="174"/>
      <c r="H1778" s="176" t="s">
        <v>461</v>
      </c>
      <c r="I1778" s="176">
        <v>7</v>
      </c>
      <c r="J1778" s="900" t="s">
        <v>2755</v>
      </c>
      <c r="K1778" s="164" t="s">
        <v>5784</v>
      </c>
      <c r="L1778" s="164" t="s">
        <v>461</v>
      </c>
      <c r="M1778" s="164"/>
      <c r="N1778" s="164"/>
      <c r="O1778" s="164"/>
      <c r="P1778" s="173" t="s">
        <v>1922</v>
      </c>
      <c r="Q1778" s="164" t="s">
        <v>4705</v>
      </c>
      <c r="R1778" s="179" t="s">
        <v>4600</v>
      </c>
      <c r="S1778" s="354"/>
      <c r="T1778" s="173" t="s">
        <v>2320</v>
      </c>
      <c r="U1778" s="173"/>
      <c r="V1778" s="173"/>
      <c r="W1778" s="324" t="s">
        <v>1925</v>
      </c>
      <c r="X1778" s="656" t="s">
        <v>12334</v>
      </c>
      <c r="Y1778" s="354"/>
      <c r="Z1778" s="176"/>
      <c r="AA1778" s="176"/>
      <c r="AB1778" s="32">
        <f t="shared" ca="1" si="36"/>
        <v>0.49776192293453503</v>
      </c>
      <c r="AC1778" s="812"/>
      <c r="AD1778" s="763"/>
      <c r="AE1778" s="951"/>
      <c r="AF1778" s="921">
        <f>IF(X1778=X1777,AF1777,0)+IF(ISNUMBER(I1778),IF(I1778&lt;1,I1778,I1778*VLOOKUP(J1778,Summary!$H$2:$I$9,2)),VLOOKUP(J1778,Summary!$J$2:$K$9,2)*IF(ISNUMBER(H1778),H1778,1))</f>
        <v>1.4171180555555556</v>
      </c>
      <c r="AG1778" s="288">
        <v>1777</v>
      </c>
      <c r="AH1778" s="94"/>
      <c r="AI1778" s="94"/>
    </row>
    <row r="1779" spans="1:36" s="2" customFormat="1" ht="12" customHeight="1" x14ac:dyDescent="0.25">
      <c r="A1779" s="514">
        <v>21</v>
      </c>
      <c r="B1779" s="514">
        <v>5</v>
      </c>
      <c r="C1779" s="514">
        <v>14.11</v>
      </c>
      <c r="D1779" s="434" t="s">
        <v>6562</v>
      </c>
      <c r="E1779" s="324" t="s">
        <v>1927</v>
      </c>
      <c r="F1779" s="174">
        <v>38322</v>
      </c>
      <c r="G1779" s="174"/>
      <c r="H1779" s="176">
        <v>1</v>
      </c>
      <c r="I1779" s="176">
        <v>12</v>
      </c>
      <c r="J1779" s="900" t="s">
        <v>2755</v>
      </c>
      <c r="K1779" s="164" t="s">
        <v>4770</v>
      </c>
      <c r="L1779" s="164" t="s">
        <v>461</v>
      </c>
      <c r="M1779" s="164"/>
      <c r="N1779" s="164" t="s">
        <v>3807</v>
      </c>
      <c r="O1779" s="164"/>
      <c r="P1779" s="173" t="s">
        <v>6565</v>
      </c>
      <c r="Q1779" s="164" t="s">
        <v>3947</v>
      </c>
      <c r="R1779" s="179" t="s">
        <v>2723</v>
      </c>
      <c r="S1779" s="354"/>
      <c r="T1779" s="173" t="s">
        <v>2320</v>
      </c>
      <c r="U1779" s="173" t="s">
        <v>2322</v>
      </c>
      <c r="V1779" s="173"/>
      <c r="W1779" s="324" t="s">
        <v>1927</v>
      </c>
      <c r="X1779" s="656" t="s">
        <v>12334</v>
      </c>
      <c r="Y1779" s="354"/>
      <c r="Z1779" s="176"/>
      <c r="AA1779" s="176"/>
      <c r="AB1779" s="32">
        <f t="shared" ca="1" si="36"/>
        <v>0.65831410819679059</v>
      </c>
      <c r="AC1779" s="812"/>
      <c r="AD1779" s="763"/>
      <c r="AE1779" s="951"/>
      <c r="AF1779" s="921">
        <f>IF(X1779=X1778,AF1778,0)+IF(ISNUMBER(I1779),IF(I1779&lt;1,I1779,I1779*VLOOKUP(J1779,Summary!$H$2:$I$9,2)),VLOOKUP(J1779,Summary!$J$2:$K$9,2)*IF(ISNUMBER(H1779),H1779,1))</f>
        <v>1.4254513888888889</v>
      </c>
      <c r="AG1779" s="288">
        <v>1778</v>
      </c>
      <c r="AH1779" s="94"/>
      <c r="AI1779" s="94"/>
    </row>
    <row r="1780" spans="1:36" s="3" customFormat="1" ht="12" customHeight="1" x14ac:dyDescent="0.25">
      <c r="A1780" s="511" t="s">
        <v>4293</v>
      </c>
      <c r="B1780" s="511">
        <v>5</v>
      </c>
      <c r="C1780" s="511">
        <v>133</v>
      </c>
      <c r="D1780" s="424" t="s">
        <v>3536</v>
      </c>
      <c r="E1780" s="319" t="s">
        <v>5572</v>
      </c>
      <c r="F1780" s="198">
        <v>30720</v>
      </c>
      <c r="G1780" s="198">
        <v>30727</v>
      </c>
      <c r="H1780" s="199">
        <v>2</v>
      </c>
      <c r="I1780" s="791">
        <f>TIME(0,46,24)+TIME(0,46,52)</f>
        <v>6.4768518518518517E-2</v>
      </c>
      <c r="J1780" s="904" t="s">
        <v>1588</v>
      </c>
      <c r="K1780" s="200" t="s">
        <v>2366</v>
      </c>
      <c r="L1780" s="200" t="s">
        <v>5573</v>
      </c>
      <c r="M1780" s="200"/>
      <c r="N1780" s="200" t="s">
        <v>2366</v>
      </c>
      <c r="O1780" s="200" t="s">
        <v>6962</v>
      </c>
      <c r="P1780" s="197" t="s">
        <v>461</v>
      </c>
      <c r="Q1780" s="200" t="s">
        <v>3946</v>
      </c>
      <c r="R1780" s="201" t="s">
        <v>5280</v>
      </c>
      <c r="S1780" s="390"/>
      <c r="T1780" s="197" t="s">
        <v>2320</v>
      </c>
      <c r="U1780" s="197" t="s">
        <v>2322</v>
      </c>
      <c r="V1780" s="197"/>
      <c r="W1780" s="318" t="s">
        <v>9686</v>
      </c>
      <c r="X1780" s="650" t="s">
        <v>12334</v>
      </c>
      <c r="Y1780" s="358" t="s">
        <v>6141</v>
      </c>
      <c r="Z1780" s="253">
        <v>290</v>
      </c>
      <c r="AA1780" s="253">
        <v>2</v>
      </c>
      <c r="AB1780" s="35">
        <f t="shared" ca="1" si="36"/>
        <v>0.18618173046057118</v>
      </c>
      <c r="AC1780" s="820"/>
      <c r="AD1780" s="821" t="s">
        <v>16412</v>
      </c>
      <c r="AE1780" s="944" t="s">
        <v>16118</v>
      </c>
      <c r="AF1780" s="925">
        <f>IF(X1780=X1779,AF1779,0)+IF(ISNUMBER(I1780),IF(I1780&lt;1,I1780,I1780*VLOOKUP(J1780,Summary!$H$2:$I$9,2)),VLOOKUP(J1780,Summary!$J$2:$K$9,2)*IF(ISNUMBER(H1780),H1780,1))</f>
        <v>1.4902199074074074</v>
      </c>
      <c r="AG1780" s="293">
        <v>1779</v>
      </c>
      <c r="AH1780" s="94"/>
      <c r="AI1780" s="94"/>
    </row>
    <row r="1781" spans="1:36" s="1" customFormat="1" ht="12" customHeight="1" x14ac:dyDescent="0.25">
      <c r="A1781" s="408"/>
      <c r="B1781" s="408" t="s">
        <v>2650</v>
      </c>
      <c r="C1781" s="408">
        <v>2</v>
      </c>
      <c r="D1781" s="434" t="s">
        <v>4153</v>
      </c>
      <c r="E1781" s="324" t="s">
        <v>4154</v>
      </c>
      <c r="F1781" s="175">
        <v>33233</v>
      </c>
      <c r="G1781" s="174"/>
      <c r="H1781" s="176">
        <v>1</v>
      </c>
      <c r="I1781" s="176">
        <v>2</v>
      </c>
      <c r="J1781" s="900" t="s">
        <v>2755</v>
      </c>
      <c r="K1781" s="164" t="s">
        <v>3807</v>
      </c>
      <c r="L1781" s="164" t="s">
        <v>4155</v>
      </c>
      <c r="M1781" s="164"/>
      <c r="N1781" s="164" t="s">
        <v>3421</v>
      </c>
      <c r="O1781" s="164"/>
      <c r="P1781" s="173" t="s">
        <v>461</v>
      </c>
      <c r="Q1781" s="164" t="s">
        <v>4062</v>
      </c>
      <c r="R1781" s="177" t="s">
        <v>4599</v>
      </c>
      <c r="S1781" s="354"/>
      <c r="T1781" s="173"/>
      <c r="U1781" s="173"/>
      <c r="V1781" s="173"/>
      <c r="W1781" s="324" t="s">
        <v>4154</v>
      </c>
      <c r="X1781" s="656" t="s">
        <v>12334</v>
      </c>
      <c r="Y1781" s="354"/>
      <c r="Z1781" s="176"/>
      <c r="AA1781" s="176"/>
      <c r="AB1781" s="32">
        <f t="shared" ca="1" si="36"/>
        <v>0.7084134741817657</v>
      </c>
      <c r="AC1781" s="812"/>
      <c r="AD1781" s="763"/>
      <c r="AE1781" s="951"/>
      <c r="AF1781" s="921">
        <f>IF(X1781=X1780,AF1780,0)+IF(ISNUMBER(I1781),IF(I1781&lt;1,I1781,I1781*VLOOKUP(J1781,Summary!$H$2:$I$9,2)),VLOOKUP(J1781,Summary!$J$2:$K$9,2)*IF(ISNUMBER(H1781),H1781,1))</f>
        <v>1.4916087962962963</v>
      </c>
      <c r="AG1781" s="288">
        <v>1780</v>
      </c>
      <c r="AH1781" s="94"/>
      <c r="AI1781" s="94"/>
      <c r="AJ1781" s="6"/>
    </row>
    <row r="1782" spans="1:36" s="2" customFormat="1" ht="12" customHeight="1" x14ac:dyDescent="0.25">
      <c r="A1782" s="515" t="s">
        <v>2350</v>
      </c>
      <c r="B1782" s="515">
        <v>5</v>
      </c>
      <c r="C1782" s="515">
        <v>17</v>
      </c>
      <c r="D1782" s="417" t="s">
        <v>5574</v>
      </c>
      <c r="E1782" s="316" t="s">
        <v>5575</v>
      </c>
      <c r="F1782" s="187">
        <v>35034</v>
      </c>
      <c r="G1782" s="188"/>
      <c r="H1782" s="188" t="str">
        <f>IF(J1782="Book","n/a","")</f>
        <v>n/a</v>
      </c>
      <c r="I1782" s="188">
        <v>281</v>
      </c>
      <c r="J1782" s="902" t="s">
        <v>6868</v>
      </c>
      <c r="K1782" s="162" t="s">
        <v>6234</v>
      </c>
      <c r="L1782" s="162" t="str">
        <f>IF(J1782="Book","n/a","")</f>
        <v>n/a</v>
      </c>
      <c r="M1782" s="162"/>
      <c r="N1782" s="162"/>
      <c r="O1782" s="162"/>
      <c r="P1782" s="178" t="s">
        <v>8602</v>
      </c>
      <c r="Q1782" s="162" t="s">
        <v>601</v>
      </c>
      <c r="R1782" s="189" t="s">
        <v>2715</v>
      </c>
      <c r="S1782" s="366"/>
      <c r="T1782" s="178"/>
      <c r="U1782" s="178" t="s">
        <v>2322</v>
      </c>
      <c r="V1782" s="178"/>
      <c r="W1782" s="316" t="s">
        <v>5575</v>
      </c>
      <c r="X1782" s="648" t="s">
        <v>4188</v>
      </c>
      <c r="Y1782" s="356" t="s">
        <v>6868</v>
      </c>
      <c r="Z1782" s="272">
        <v>146</v>
      </c>
      <c r="AA1782" s="272">
        <v>4.5</v>
      </c>
      <c r="AB1782" s="34">
        <f t="shared" ca="1" si="36"/>
        <v>0.77958061167402548</v>
      </c>
      <c r="AC1782" s="814"/>
      <c r="AD1782" s="815" t="s">
        <v>16183</v>
      </c>
      <c r="AE1782" s="942"/>
      <c r="AF1782" s="923">
        <f>IF(X1782=X1781,AF1781,0)+IF(ISNUMBER(I1782),IF(I1782&lt;1,I1782,I1782*VLOOKUP(J1782,Summary!$H$2:$I$9,2)),VLOOKUP(J1782,Summary!$J$2:$K$9,2)*IF(ISNUMBER(H1782),H1782,1))</f>
        <v>0.19513888888888889</v>
      </c>
      <c r="AG1782" s="291">
        <v>1781</v>
      </c>
      <c r="AH1782" s="94"/>
      <c r="AI1782" s="94"/>
    </row>
    <row r="1783" spans="1:36" s="43" customFormat="1" ht="12" customHeight="1" x14ac:dyDescent="0.25">
      <c r="A1783" s="514" t="s">
        <v>2350</v>
      </c>
      <c r="B1783" s="514">
        <v>5</v>
      </c>
      <c r="C1783" s="519">
        <v>3.1</v>
      </c>
      <c r="D1783" s="434" t="s">
        <v>4764</v>
      </c>
      <c r="E1783" s="324" t="s">
        <v>4763</v>
      </c>
      <c r="F1783" s="176">
        <v>1996</v>
      </c>
      <c r="G1783" s="176"/>
      <c r="H1783" s="176" t="s">
        <v>461</v>
      </c>
      <c r="I1783" s="176"/>
      <c r="J1783" s="900" t="s">
        <v>2755</v>
      </c>
      <c r="K1783" s="164" t="s">
        <v>4031</v>
      </c>
      <c r="L1783" s="164" t="s">
        <v>461</v>
      </c>
      <c r="M1783" s="164"/>
      <c r="N1783" s="164" t="s">
        <v>333</v>
      </c>
      <c r="O1783" s="164"/>
      <c r="P1783" s="173" t="s">
        <v>3523</v>
      </c>
      <c r="Q1783" s="164" t="s">
        <v>6548</v>
      </c>
      <c r="R1783" s="179" t="s">
        <v>4598</v>
      </c>
      <c r="S1783" s="354"/>
      <c r="T1783" s="173"/>
      <c r="U1783" s="173" t="s">
        <v>2322</v>
      </c>
      <c r="V1783" s="173"/>
      <c r="W1783" s="324" t="s">
        <v>4763</v>
      </c>
      <c r="X1783" s="656" t="s">
        <v>4188</v>
      </c>
      <c r="Y1783" s="354" t="s">
        <v>6868</v>
      </c>
      <c r="Z1783" s="176">
        <v>28</v>
      </c>
      <c r="AA1783" s="176">
        <v>5.5</v>
      </c>
      <c r="AB1783" s="32">
        <f t="shared" ca="1" si="36"/>
        <v>0.22493056696593916</v>
      </c>
      <c r="AC1783" s="812"/>
      <c r="AD1783" s="763"/>
      <c r="AE1783" s="951"/>
      <c r="AF1783" s="921">
        <f>IF(X1783=X1782,AF1782,0)+IF(ISNUMBER(I1783),IF(I1783&lt;1,I1783,I1783*VLOOKUP(J1783,Summary!$H$2:$I$9,2)),VLOOKUP(J1783,Summary!$J$2:$K$9,2)*IF(ISNUMBER(H1783),H1783,1))</f>
        <v>0.21249999999999999</v>
      </c>
      <c r="AG1783" s="288">
        <v>1782</v>
      </c>
      <c r="AH1783" s="94"/>
      <c r="AI1783" s="94"/>
    </row>
    <row r="1784" spans="1:36" s="3" customFormat="1" ht="12" customHeight="1" x14ac:dyDescent="0.25">
      <c r="A1784" s="514" t="s">
        <v>2350</v>
      </c>
      <c r="B1784" s="514">
        <v>5</v>
      </c>
      <c r="C1784" s="514"/>
      <c r="D1784" s="434" t="s">
        <v>1916</v>
      </c>
      <c r="E1784" s="324" t="s">
        <v>1928</v>
      </c>
      <c r="F1784" s="174">
        <v>30560</v>
      </c>
      <c r="G1784" s="174"/>
      <c r="H1784" s="176" t="s">
        <v>461</v>
      </c>
      <c r="I1784" s="176">
        <v>7</v>
      </c>
      <c r="J1784" s="900" t="s">
        <v>2755</v>
      </c>
      <c r="K1784" s="164" t="s">
        <v>5784</v>
      </c>
      <c r="L1784" s="164" t="s">
        <v>461</v>
      </c>
      <c r="M1784" s="164"/>
      <c r="N1784" s="164"/>
      <c r="O1784" s="164"/>
      <c r="P1784" s="173" t="s">
        <v>1922</v>
      </c>
      <c r="Q1784" s="164" t="s">
        <v>4705</v>
      </c>
      <c r="R1784" s="179" t="s">
        <v>4600</v>
      </c>
      <c r="S1784" s="354"/>
      <c r="T1784" s="173"/>
      <c r="U1784" s="173" t="s">
        <v>2322</v>
      </c>
      <c r="V1784" s="173"/>
      <c r="W1784" s="324" t="s">
        <v>1928</v>
      </c>
      <c r="X1784" s="656" t="s">
        <v>4188</v>
      </c>
      <c r="Y1784" s="354"/>
      <c r="Z1784" s="176"/>
      <c r="AA1784" s="176"/>
      <c r="AB1784" s="32">
        <f t="shared" ca="1" si="36"/>
        <v>0.3520757586412212</v>
      </c>
      <c r="AC1784" s="812"/>
      <c r="AD1784" s="763"/>
      <c r="AE1784" s="951"/>
      <c r="AF1784" s="921">
        <f>IF(X1784=X1783,AF1783,0)+IF(ISNUMBER(I1784),IF(I1784&lt;1,I1784,I1784*VLOOKUP(J1784,Summary!$H$2:$I$9,2)),VLOOKUP(J1784,Summary!$J$2:$K$9,2)*IF(ISNUMBER(H1784),H1784,1))</f>
        <v>0.21736111111111112</v>
      </c>
      <c r="AG1784" s="288">
        <v>1783</v>
      </c>
      <c r="AH1784" s="94"/>
      <c r="AI1784" s="94"/>
    </row>
    <row r="1785" spans="1:36" s="3" customFormat="1" ht="12" customHeight="1" x14ac:dyDescent="0.25">
      <c r="A1785" s="514" t="s">
        <v>2350</v>
      </c>
      <c r="B1785" s="514">
        <v>5</v>
      </c>
      <c r="C1785" s="514">
        <v>59</v>
      </c>
      <c r="D1785" s="176" t="s">
        <v>7624</v>
      </c>
      <c r="E1785" s="313" t="s">
        <v>4055</v>
      </c>
      <c r="F1785" s="174">
        <v>34578</v>
      </c>
      <c r="G1785" s="174"/>
      <c r="H1785" s="176">
        <v>1</v>
      </c>
      <c r="I1785" s="176">
        <v>4</v>
      </c>
      <c r="J1785" s="900" t="s">
        <v>2755</v>
      </c>
      <c r="K1785" s="164" t="s">
        <v>176</v>
      </c>
      <c r="L1785" s="164" t="s">
        <v>461</v>
      </c>
      <c r="M1785" s="164"/>
      <c r="N1785" s="164" t="s">
        <v>7626</v>
      </c>
      <c r="O1785" s="164"/>
      <c r="P1785" s="173" t="s">
        <v>7627</v>
      </c>
      <c r="Q1785" s="164" t="s">
        <v>4062</v>
      </c>
      <c r="R1785" s="177" t="s">
        <v>4599</v>
      </c>
      <c r="S1785" s="354"/>
      <c r="T1785" s="173"/>
      <c r="U1785" s="173" t="s">
        <v>2322</v>
      </c>
      <c r="V1785" s="173"/>
      <c r="W1785" s="313" t="s">
        <v>4055</v>
      </c>
      <c r="X1785" s="645" t="s">
        <v>4188</v>
      </c>
      <c r="Y1785" s="354" t="s">
        <v>6868</v>
      </c>
      <c r="Z1785" s="176">
        <v>999</v>
      </c>
      <c r="AA1785" s="176"/>
      <c r="AB1785" s="32">
        <f t="shared" ca="1" si="36"/>
        <v>5.8591813350125865E-2</v>
      </c>
      <c r="AC1785" s="812"/>
      <c r="AD1785" s="763"/>
      <c r="AE1785" s="807"/>
      <c r="AF1785" s="921">
        <f>IF(X1785=X1784,AF1784,0)+IF(ISNUMBER(I1785),IF(I1785&lt;1,I1785,I1785*VLOOKUP(J1785,Summary!$H$2:$I$9,2)),VLOOKUP(J1785,Summary!$J$2:$K$9,2)*IF(ISNUMBER(H1785),H1785,1))</f>
        <v>0.22013888888888888</v>
      </c>
      <c r="AG1785" s="289">
        <v>1784</v>
      </c>
      <c r="AH1785" s="94"/>
      <c r="AI1785" s="94"/>
    </row>
    <row r="1786" spans="1:36" s="43" customFormat="1" ht="12" customHeight="1" x14ac:dyDescent="0.25">
      <c r="A1786" s="512" t="s">
        <v>2350</v>
      </c>
      <c r="B1786" s="512">
        <v>5</v>
      </c>
      <c r="C1786" s="512">
        <v>2</v>
      </c>
      <c r="D1786" s="407" t="s">
        <v>5576</v>
      </c>
      <c r="E1786" s="315" t="s">
        <v>5577</v>
      </c>
      <c r="F1786" s="196">
        <v>36437</v>
      </c>
      <c r="G1786" s="170"/>
      <c r="H1786" s="170">
        <v>4</v>
      </c>
      <c r="I1786" s="746">
        <f>TIME(0,89,24)</f>
        <v>6.2083333333333331E-2</v>
      </c>
      <c r="J1786" s="899" t="s">
        <v>4706</v>
      </c>
      <c r="K1786" s="167" t="s">
        <v>4964</v>
      </c>
      <c r="L1786" s="167" t="s">
        <v>4549</v>
      </c>
      <c r="M1786" s="167"/>
      <c r="N1786" s="167"/>
      <c r="O1786" s="167" t="s">
        <v>2909</v>
      </c>
      <c r="P1786" s="168"/>
      <c r="Q1786" s="167" t="s">
        <v>3947</v>
      </c>
      <c r="R1786" s="172" t="s">
        <v>3146</v>
      </c>
      <c r="S1786" s="388"/>
      <c r="T1786" s="168"/>
      <c r="U1786" s="168" t="s">
        <v>2322</v>
      </c>
      <c r="V1786" s="168"/>
      <c r="W1786" s="312" t="s">
        <v>8726</v>
      </c>
      <c r="X1786" s="644" t="s">
        <v>4188</v>
      </c>
      <c r="Y1786" s="352" t="s">
        <v>5643</v>
      </c>
      <c r="Z1786" s="353">
        <v>213</v>
      </c>
      <c r="AA1786" s="353">
        <v>6</v>
      </c>
      <c r="AB1786" s="31">
        <f t="shared" ca="1" si="36"/>
        <v>0.12757270175425872</v>
      </c>
      <c r="AC1786" s="810"/>
      <c r="AD1786" s="811" t="s">
        <v>16550</v>
      </c>
      <c r="AE1786" s="940"/>
      <c r="AF1786" s="920">
        <f>IF(X1786=X1785,AF1785,0)+IF(ISNUMBER(I1786),IF(I1786&lt;1,I1786,I1786*VLOOKUP(J1786,Summary!$H$2:$I$9,2)),VLOOKUP(J1786,Summary!$J$2:$K$9,2)*IF(ISNUMBER(H1786),H1786,1))</f>
        <v>0.28222222222222221</v>
      </c>
      <c r="AG1786" s="287">
        <v>1785</v>
      </c>
      <c r="AH1786" s="94"/>
      <c r="AI1786" s="94"/>
    </row>
    <row r="1787" spans="1:36" s="43" customFormat="1" ht="12" customHeight="1" x14ac:dyDescent="0.25">
      <c r="A1787" s="515" t="s">
        <v>2350</v>
      </c>
      <c r="B1787" s="515">
        <v>5</v>
      </c>
      <c r="C1787" s="515">
        <v>34</v>
      </c>
      <c r="D1787" s="417" t="s">
        <v>5578</v>
      </c>
      <c r="E1787" s="316" t="s">
        <v>5579</v>
      </c>
      <c r="F1787" s="187">
        <v>36739</v>
      </c>
      <c r="G1787" s="188"/>
      <c r="H1787" s="188" t="str">
        <f>IF(J1787="Book","n/a","")</f>
        <v>n/a</v>
      </c>
      <c r="I1787" s="188">
        <v>283</v>
      </c>
      <c r="J1787" s="902" t="s">
        <v>6868</v>
      </c>
      <c r="K1787" s="162" t="s">
        <v>181</v>
      </c>
      <c r="L1787" s="162" t="str">
        <f>IF(J1787="Book","n/a","")</f>
        <v>n/a</v>
      </c>
      <c r="M1787" s="162"/>
      <c r="N1787" s="162"/>
      <c r="O1787" s="162"/>
      <c r="P1787" s="178" t="s">
        <v>8959</v>
      </c>
      <c r="Q1787" s="162" t="s">
        <v>3953</v>
      </c>
      <c r="R1787" s="189" t="s">
        <v>2717</v>
      </c>
      <c r="S1787" s="366"/>
      <c r="T1787" s="178"/>
      <c r="U1787" s="178" t="s">
        <v>2322</v>
      </c>
      <c r="V1787" s="178" t="s">
        <v>2323</v>
      </c>
      <c r="W1787" s="316" t="s">
        <v>5579</v>
      </c>
      <c r="X1787" s="648" t="s">
        <v>4188</v>
      </c>
      <c r="Y1787" s="356"/>
      <c r="Z1787" s="272"/>
      <c r="AA1787" s="272"/>
      <c r="AB1787" s="34">
        <f t="shared" ca="1" si="36"/>
        <v>0.57569172433374727</v>
      </c>
      <c r="AC1787" s="814"/>
      <c r="AD1787" s="815" t="s">
        <v>16621</v>
      </c>
      <c r="AE1787" s="942" t="s">
        <v>16424</v>
      </c>
      <c r="AF1787" s="923">
        <f>IF(X1787=X1786,AF1786,0)+IF(ISNUMBER(I1787),IF(I1787&lt;1,I1787,I1787*VLOOKUP(J1787,Summary!$H$2:$I$9,2)),VLOOKUP(J1787,Summary!$J$2:$K$9,2)*IF(ISNUMBER(H1787),H1787,1))</f>
        <v>0.47875000000000001</v>
      </c>
      <c r="AG1787" s="291">
        <v>1786</v>
      </c>
      <c r="AH1787" s="94"/>
      <c r="AI1787" s="94"/>
    </row>
    <row r="1788" spans="1:36" s="3" customFormat="1" ht="12" customHeight="1" x14ac:dyDescent="0.25">
      <c r="A1788" s="512" t="s">
        <v>2350</v>
      </c>
      <c r="B1788" s="512">
        <v>5</v>
      </c>
      <c r="C1788" s="512">
        <v>20</v>
      </c>
      <c r="D1788" s="407" t="s">
        <v>5580</v>
      </c>
      <c r="E1788" s="315" t="s">
        <v>5581</v>
      </c>
      <c r="F1788" s="196">
        <v>37032</v>
      </c>
      <c r="G1788" s="170"/>
      <c r="H1788" s="170">
        <v>4</v>
      </c>
      <c r="I1788" s="746">
        <f>TIME(2,16,59)</f>
        <v>9.5127314814814803E-2</v>
      </c>
      <c r="J1788" s="899" t="s">
        <v>4706</v>
      </c>
      <c r="K1788" s="167" t="s">
        <v>941</v>
      </c>
      <c r="L1788" s="167" t="s">
        <v>2910</v>
      </c>
      <c r="M1788" s="167"/>
      <c r="N1788" s="167"/>
      <c r="O1788" s="167" t="s">
        <v>2909</v>
      </c>
      <c r="P1788" s="168"/>
      <c r="Q1788" s="167" t="s">
        <v>3947</v>
      </c>
      <c r="R1788" s="172" t="s">
        <v>3146</v>
      </c>
      <c r="S1788" s="388"/>
      <c r="T1788" s="168"/>
      <c r="U1788" s="168" t="s">
        <v>2322</v>
      </c>
      <c r="V1788" s="168"/>
      <c r="W1788" s="312" t="s">
        <v>8668</v>
      </c>
      <c r="X1788" s="644" t="s">
        <v>4188</v>
      </c>
      <c r="Y1788" s="352" t="s">
        <v>5643</v>
      </c>
      <c r="Z1788" s="353">
        <v>12</v>
      </c>
      <c r="AA1788" s="353">
        <v>9.5</v>
      </c>
      <c r="AB1788" s="31">
        <f t="shared" ca="1" si="36"/>
        <v>0.92611861539522011</v>
      </c>
      <c r="AC1788" s="810"/>
      <c r="AD1788" s="811" t="s">
        <v>16103</v>
      </c>
      <c r="AE1788" s="940"/>
      <c r="AF1788" s="920">
        <f>IF(X1788=X1787,AF1787,0)+IF(ISNUMBER(I1788),IF(I1788&lt;1,I1788,I1788*VLOOKUP(J1788,Summary!$H$2:$I$9,2)),VLOOKUP(J1788,Summary!$J$2:$K$9,2)*IF(ISNUMBER(H1788),H1788,1))</f>
        <v>0.57387731481481485</v>
      </c>
      <c r="AG1788" s="287">
        <v>1787</v>
      </c>
      <c r="AH1788" s="94"/>
      <c r="AI1788" s="94"/>
    </row>
    <row r="1789" spans="1:36" s="10" customFormat="1" ht="12" customHeight="1" x14ac:dyDescent="0.25">
      <c r="A1789" s="514" t="s">
        <v>2350</v>
      </c>
      <c r="B1789" s="514">
        <v>5</v>
      </c>
      <c r="C1789" s="514">
        <v>9.11</v>
      </c>
      <c r="D1789" s="434" t="s">
        <v>7254</v>
      </c>
      <c r="E1789" s="324" t="s">
        <v>4771</v>
      </c>
      <c r="F1789" s="174">
        <v>38047</v>
      </c>
      <c r="G1789" s="174"/>
      <c r="H1789" s="176">
        <v>1</v>
      </c>
      <c r="I1789" s="176">
        <v>18</v>
      </c>
      <c r="J1789" s="900" t="s">
        <v>2755</v>
      </c>
      <c r="K1789" s="164" t="s">
        <v>4996</v>
      </c>
      <c r="L1789" s="164" t="s">
        <v>461</v>
      </c>
      <c r="M1789" s="164"/>
      <c r="N1789" s="164" t="s">
        <v>7381</v>
      </c>
      <c r="O1789" s="164"/>
      <c r="P1789" s="173" t="s">
        <v>3431</v>
      </c>
      <c r="Q1789" s="164" t="s">
        <v>3947</v>
      </c>
      <c r="R1789" s="179" t="s">
        <v>2723</v>
      </c>
      <c r="S1789" s="354"/>
      <c r="T1789" s="173"/>
      <c r="U1789" s="173" t="s">
        <v>2322</v>
      </c>
      <c r="V1789" s="173"/>
      <c r="W1789" s="324" t="s">
        <v>4771</v>
      </c>
      <c r="X1789" s="656" t="s">
        <v>4188</v>
      </c>
      <c r="Y1789" s="354"/>
      <c r="Z1789" s="176">
        <v>999</v>
      </c>
      <c r="AA1789" s="176"/>
      <c r="AB1789" s="32">
        <f t="shared" ca="1" si="36"/>
        <v>0.26353218078321561</v>
      </c>
      <c r="AC1789" s="812"/>
      <c r="AD1789" s="763"/>
      <c r="AE1789" s="951"/>
      <c r="AF1789" s="921">
        <f>IF(X1789=X1788,AF1788,0)+IF(ISNUMBER(I1789),IF(I1789&lt;1,I1789,I1789*VLOOKUP(J1789,Summary!$H$2:$I$9,2)),VLOOKUP(J1789,Summary!$J$2:$K$9,2)*IF(ISNUMBER(H1789),H1789,1))</f>
        <v>0.58637731481481481</v>
      </c>
      <c r="AG1789" s="288">
        <v>1788</v>
      </c>
      <c r="AH1789" s="94"/>
      <c r="AI1789" s="94"/>
    </row>
    <row r="1790" spans="1:36" s="3" customFormat="1" ht="12" customHeight="1" x14ac:dyDescent="0.25">
      <c r="A1790" s="514" t="s">
        <v>2350</v>
      </c>
      <c r="B1790" s="514">
        <v>5</v>
      </c>
      <c r="C1790" s="514">
        <v>10.039999999999999</v>
      </c>
      <c r="D1790" s="434" t="s">
        <v>7250</v>
      </c>
      <c r="E1790" s="324" t="s">
        <v>4772</v>
      </c>
      <c r="F1790" s="174">
        <v>38139</v>
      </c>
      <c r="G1790" s="174"/>
      <c r="H1790" s="176">
        <v>1</v>
      </c>
      <c r="I1790" s="176">
        <v>6</v>
      </c>
      <c r="J1790" s="900" t="s">
        <v>2755</v>
      </c>
      <c r="K1790" s="164" t="s">
        <v>7381</v>
      </c>
      <c r="L1790" s="164" t="s">
        <v>461</v>
      </c>
      <c r="M1790" s="164"/>
      <c r="N1790" s="164" t="s">
        <v>4996</v>
      </c>
      <c r="O1790" s="164"/>
      <c r="P1790" s="173" t="s">
        <v>5669</v>
      </c>
      <c r="Q1790" s="164" t="s">
        <v>3947</v>
      </c>
      <c r="R1790" s="179" t="s">
        <v>2723</v>
      </c>
      <c r="S1790" s="354"/>
      <c r="T1790" s="173"/>
      <c r="U1790" s="173" t="s">
        <v>2322</v>
      </c>
      <c r="V1790" s="173"/>
      <c r="W1790" s="324" t="s">
        <v>4772</v>
      </c>
      <c r="X1790" s="656" t="s">
        <v>4188</v>
      </c>
      <c r="Y1790" s="354"/>
      <c r="Z1790" s="176">
        <v>999</v>
      </c>
      <c r="AA1790" s="176"/>
      <c r="AB1790" s="32">
        <f t="shared" ca="1" si="36"/>
        <v>0.14894553397638133</v>
      </c>
      <c r="AC1790" s="812"/>
      <c r="AD1790" s="763"/>
      <c r="AE1790" s="951"/>
      <c r="AF1790" s="921">
        <f>IF(X1790=X1789,AF1789,0)+IF(ISNUMBER(I1790),IF(I1790&lt;1,I1790,I1790*VLOOKUP(J1790,Summary!$H$2:$I$9,2)),VLOOKUP(J1790,Summary!$J$2:$K$9,2)*IF(ISNUMBER(H1790),H1790,1))</f>
        <v>0.59054398148148146</v>
      </c>
      <c r="AG1790" s="288">
        <v>1789</v>
      </c>
      <c r="AH1790" s="94"/>
      <c r="AI1790" s="94"/>
    </row>
    <row r="1791" spans="1:36" s="26" customFormat="1" ht="12" customHeight="1" x14ac:dyDescent="0.25">
      <c r="A1791" s="514" t="s">
        <v>2350</v>
      </c>
      <c r="B1791" s="514">
        <v>5</v>
      </c>
      <c r="C1791" s="514">
        <v>12.05</v>
      </c>
      <c r="D1791" s="434" t="s">
        <v>7253</v>
      </c>
      <c r="E1791" s="324" t="s">
        <v>4773</v>
      </c>
      <c r="F1791" s="174">
        <v>38261</v>
      </c>
      <c r="G1791" s="174"/>
      <c r="H1791" s="176">
        <v>1</v>
      </c>
      <c r="I1791" s="176">
        <v>20</v>
      </c>
      <c r="J1791" s="900" t="s">
        <v>2755</v>
      </c>
      <c r="K1791" s="164" t="s">
        <v>7252</v>
      </c>
      <c r="L1791" s="164" t="s">
        <v>461</v>
      </c>
      <c r="M1791" s="164"/>
      <c r="N1791" s="164" t="s">
        <v>7381</v>
      </c>
      <c r="O1791" s="164"/>
      <c r="P1791" s="173" t="s">
        <v>2756</v>
      </c>
      <c r="Q1791" s="164" t="s">
        <v>3947</v>
      </c>
      <c r="R1791" s="179" t="s">
        <v>2723</v>
      </c>
      <c r="S1791" s="354"/>
      <c r="T1791" s="173"/>
      <c r="U1791" s="173" t="s">
        <v>2322</v>
      </c>
      <c r="V1791" s="173"/>
      <c r="W1791" s="324" t="s">
        <v>4773</v>
      </c>
      <c r="X1791" s="656" t="s">
        <v>4188</v>
      </c>
      <c r="Y1791" s="354"/>
      <c r="Z1791" s="176"/>
      <c r="AA1791" s="176"/>
      <c r="AB1791" s="32">
        <f t="shared" ca="1" si="36"/>
        <v>0.55394623987473923</v>
      </c>
      <c r="AC1791" s="812"/>
      <c r="AD1791" s="763"/>
      <c r="AE1791" s="951"/>
      <c r="AF1791" s="921">
        <f>IF(X1791=X1790,AF1790,0)+IF(ISNUMBER(I1791),IF(I1791&lt;1,I1791,I1791*VLOOKUP(J1791,Summary!$H$2:$I$9,2)),VLOOKUP(J1791,Summary!$J$2:$K$9,2)*IF(ISNUMBER(H1791),H1791,1))</f>
        <v>0.6044328703703703</v>
      </c>
      <c r="AG1791" s="288">
        <v>1790</v>
      </c>
      <c r="AH1791" s="94"/>
      <c r="AI1791" s="94"/>
    </row>
    <row r="1792" spans="1:36" s="43" customFormat="1" ht="12" customHeight="1" x14ac:dyDescent="0.25">
      <c r="A1792" s="514" t="s">
        <v>2350</v>
      </c>
      <c r="B1792" s="514">
        <v>5</v>
      </c>
      <c r="C1792" s="514">
        <v>16.12</v>
      </c>
      <c r="D1792" s="434" t="s">
        <v>7256</v>
      </c>
      <c r="E1792" s="324" t="s">
        <v>4774</v>
      </c>
      <c r="F1792" s="174">
        <v>38473</v>
      </c>
      <c r="G1792" s="174"/>
      <c r="H1792" s="176">
        <v>1</v>
      </c>
      <c r="I1792" s="176">
        <v>14</v>
      </c>
      <c r="J1792" s="900" t="s">
        <v>2755</v>
      </c>
      <c r="K1792" s="164" t="s">
        <v>7255</v>
      </c>
      <c r="L1792" s="164" t="s">
        <v>461</v>
      </c>
      <c r="M1792" s="164"/>
      <c r="N1792" s="164" t="s">
        <v>7381</v>
      </c>
      <c r="O1792" s="164"/>
      <c r="P1792" s="173" t="s">
        <v>1652</v>
      </c>
      <c r="Q1792" s="164" t="s">
        <v>3947</v>
      </c>
      <c r="R1792" s="179" t="s">
        <v>2723</v>
      </c>
      <c r="S1792" s="354"/>
      <c r="T1792" s="173"/>
      <c r="U1792" s="173" t="s">
        <v>2322</v>
      </c>
      <c r="V1792" s="173"/>
      <c r="W1792" s="324" t="s">
        <v>4774</v>
      </c>
      <c r="X1792" s="656" t="s">
        <v>4188</v>
      </c>
      <c r="Y1792" s="354"/>
      <c r="Z1792" s="176"/>
      <c r="AA1792" s="176"/>
      <c r="AB1792" s="32">
        <f t="shared" ca="1" si="36"/>
        <v>0.67196116393899985</v>
      </c>
      <c r="AC1792" s="812"/>
      <c r="AD1792" s="763"/>
      <c r="AE1792" s="951"/>
      <c r="AF1792" s="921">
        <f>IF(X1792=X1791,AF1791,0)+IF(ISNUMBER(I1792),IF(I1792&lt;1,I1792,I1792*VLOOKUP(J1792,Summary!$H$2:$I$9,2)),VLOOKUP(J1792,Summary!$J$2:$K$9,2)*IF(ISNUMBER(H1792),H1792,1))</f>
        <v>0.61415509259259249</v>
      </c>
      <c r="AG1792" s="288">
        <v>1791</v>
      </c>
      <c r="AH1792" s="94"/>
      <c r="AI1792" s="94"/>
    </row>
    <row r="1793" spans="1:35" s="43" customFormat="1" ht="12" customHeight="1" x14ac:dyDescent="0.25">
      <c r="A1793" s="512" t="s">
        <v>2350</v>
      </c>
      <c r="B1793" s="512">
        <v>5</v>
      </c>
      <c r="C1793" s="512">
        <v>76</v>
      </c>
      <c r="D1793" s="407" t="s">
        <v>5582</v>
      </c>
      <c r="E1793" s="315" t="s">
        <v>5583</v>
      </c>
      <c r="F1793" s="169">
        <v>38657</v>
      </c>
      <c r="G1793" s="170"/>
      <c r="H1793" s="170">
        <v>4</v>
      </c>
      <c r="I1793" s="746">
        <f>TIME(2,7,33)</f>
        <v>8.8576388888888899E-2</v>
      </c>
      <c r="J1793" s="899" t="s">
        <v>4706</v>
      </c>
      <c r="K1793" s="167" t="s">
        <v>178</v>
      </c>
      <c r="L1793" s="167" t="s">
        <v>7375</v>
      </c>
      <c r="M1793" s="167"/>
      <c r="N1793" s="167"/>
      <c r="O1793" s="167" t="s">
        <v>2909</v>
      </c>
      <c r="P1793" s="168"/>
      <c r="Q1793" s="167" t="s">
        <v>3947</v>
      </c>
      <c r="R1793" s="172" t="s">
        <v>3146</v>
      </c>
      <c r="S1793" s="388"/>
      <c r="T1793" s="168"/>
      <c r="U1793" s="168" t="s">
        <v>2322</v>
      </c>
      <c r="V1793" s="168"/>
      <c r="W1793" s="312" t="s">
        <v>9334</v>
      </c>
      <c r="X1793" s="644" t="s">
        <v>4188</v>
      </c>
      <c r="Y1793" s="352" t="s">
        <v>5398</v>
      </c>
      <c r="Z1793" s="353">
        <v>113</v>
      </c>
      <c r="AA1793" s="353">
        <v>7</v>
      </c>
      <c r="AB1793" s="31">
        <f t="shared" ca="1" si="36"/>
        <v>0.4152800438890718</v>
      </c>
      <c r="AC1793" s="810"/>
      <c r="AD1793" s="811" t="s">
        <v>16090</v>
      </c>
      <c r="AE1793" s="940" t="s">
        <v>12543</v>
      </c>
      <c r="AF1793" s="920">
        <f>IF(X1793=X1792,AF1792,0)+IF(ISNUMBER(I1793),IF(I1793&lt;1,I1793,I1793*VLOOKUP(J1793,Summary!$H$2:$I$9,2)),VLOOKUP(J1793,Summary!$J$2:$K$9,2)*IF(ISNUMBER(H1793),H1793,1))</f>
        <v>0.70273148148148135</v>
      </c>
      <c r="AG1793" s="287">
        <v>1792</v>
      </c>
      <c r="AH1793" s="94"/>
      <c r="AI1793" s="94"/>
    </row>
    <row r="1794" spans="1:35" s="1" customFormat="1" ht="12" customHeight="1" x14ac:dyDescent="0.25">
      <c r="A1794" s="514" t="s">
        <v>2350</v>
      </c>
      <c r="B1794" s="514">
        <v>5</v>
      </c>
      <c r="C1794" s="514">
        <v>18.149999999999999</v>
      </c>
      <c r="D1794" s="434" t="s">
        <v>7249</v>
      </c>
      <c r="E1794" s="324" t="s">
        <v>467</v>
      </c>
      <c r="F1794" s="174">
        <v>38687</v>
      </c>
      <c r="G1794" s="174"/>
      <c r="H1794" s="176">
        <v>1</v>
      </c>
      <c r="I1794" s="176">
        <v>8</v>
      </c>
      <c r="J1794" s="900" t="s">
        <v>2755</v>
      </c>
      <c r="K1794" s="164" t="s">
        <v>4581</v>
      </c>
      <c r="L1794" s="164" t="s">
        <v>461</v>
      </c>
      <c r="M1794" s="164"/>
      <c r="N1794" s="164" t="s">
        <v>5664</v>
      </c>
      <c r="O1794" s="164"/>
      <c r="P1794" s="173" t="s">
        <v>5000</v>
      </c>
      <c r="Q1794" s="164" t="s">
        <v>3947</v>
      </c>
      <c r="R1794" s="179" t="s">
        <v>2723</v>
      </c>
      <c r="S1794" s="354"/>
      <c r="T1794" s="173"/>
      <c r="U1794" s="173" t="s">
        <v>2322</v>
      </c>
      <c r="V1794" s="173"/>
      <c r="W1794" s="324" t="s">
        <v>467</v>
      </c>
      <c r="X1794" s="656" t="s">
        <v>4188</v>
      </c>
      <c r="Y1794" s="354"/>
      <c r="Z1794" s="176"/>
      <c r="AA1794" s="176"/>
      <c r="AB1794" s="32">
        <f t="shared" ref="AB1794:AB1857" ca="1" si="37">RAND()</f>
        <v>0.278414752050824</v>
      </c>
      <c r="AC1794" s="812"/>
      <c r="AD1794" s="763"/>
      <c r="AE1794" s="951"/>
      <c r="AF1794" s="921">
        <f>IF(X1794=X1793,AF1793,0)+IF(ISNUMBER(I1794),IF(I1794&lt;1,I1794,I1794*VLOOKUP(J1794,Summary!$H$2:$I$9,2)),VLOOKUP(J1794,Summary!$J$2:$K$9,2)*IF(ISNUMBER(H1794),H1794,1))</f>
        <v>0.70828703703703688</v>
      </c>
      <c r="AG1794" s="288">
        <v>1793</v>
      </c>
      <c r="AH1794" s="94"/>
      <c r="AI1794" s="94"/>
    </row>
    <row r="1795" spans="1:35" s="43" customFormat="1" ht="12" customHeight="1" x14ac:dyDescent="0.25">
      <c r="A1795" s="514" t="s">
        <v>2350</v>
      </c>
      <c r="B1795" s="514">
        <v>5</v>
      </c>
      <c r="C1795" s="514">
        <v>24.05</v>
      </c>
      <c r="D1795" s="434" t="s">
        <v>7263</v>
      </c>
      <c r="E1795" s="324" t="s">
        <v>468</v>
      </c>
      <c r="F1795" s="174">
        <v>39264</v>
      </c>
      <c r="G1795" s="174"/>
      <c r="H1795" s="176">
        <v>1</v>
      </c>
      <c r="I1795" s="176">
        <v>6</v>
      </c>
      <c r="J1795" s="900" t="s">
        <v>2755</v>
      </c>
      <c r="K1795" s="164" t="s">
        <v>7454</v>
      </c>
      <c r="L1795" s="164" t="s">
        <v>461</v>
      </c>
      <c r="M1795" s="164"/>
      <c r="N1795" s="164" t="s">
        <v>4425</v>
      </c>
      <c r="O1795" s="164"/>
      <c r="P1795" s="173" t="s">
        <v>5601</v>
      </c>
      <c r="Q1795" s="164" t="s">
        <v>3947</v>
      </c>
      <c r="R1795" s="179" t="s">
        <v>2723</v>
      </c>
      <c r="S1795" s="354"/>
      <c r="T1795" s="173"/>
      <c r="U1795" s="173" t="s">
        <v>2322</v>
      </c>
      <c r="V1795" s="173"/>
      <c r="W1795" s="324" t="s">
        <v>468</v>
      </c>
      <c r="X1795" s="656" t="s">
        <v>4188</v>
      </c>
      <c r="Y1795" s="354"/>
      <c r="Z1795" s="176"/>
      <c r="AA1795" s="176"/>
      <c r="AB1795" s="32">
        <f t="shared" ca="1" si="37"/>
        <v>0.23019624030557428</v>
      </c>
      <c r="AC1795" s="812"/>
      <c r="AD1795" s="763"/>
      <c r="AE1795" s="951"/>
      <c r="AF1795" s="921">
        <f>IF(X1795=X1794,AF1794,0)+IF(ISNUMBER(I1795),IF(I1795&lt;1,I1795,I1795*VLOOKUP(J1795,Summary!$H$2:$I$9,2)),VLOOKUP(J1795,Summary!$J$2:$K$9,2)*IF(ISNUMBER(H1795),H1795,1))</f>
        <v>0.71245370370370353</v>
      </c>
      <c r="AG1795" s="288">
        <v>1794</v>
      </c>
      <c r="AH1795" s="94"/>
      <c r="AI1795" s="94"/>
    </row>
    <row r="1796" spans="1:35" s="1" customFormat="1" ht="12" customHeight="1" x14ac:dyDescent="0.25">
      <c r="A1796" s="514" t="s">
        <v>2350</v>
      </c>
      <c r="B1796" s="514">
        <v>5</v>
      </c>
      <c r="C1796" s="514">
        <v>24.14</v>
      </c>
      <c r="D1796" s="434" t="s">
        <v>7257</v>
      </c>
      <c r="E1796" s="324" t="s">
        <v>469</v>
      </c>
      <c r="F1796" s="174">
        <v>39264</v>
      </c>
      <c r="G1796" s="174"/>
      <c r="H1796" s="176">
        <v>1</v>
      </c>
      <c r="I1796" s="176">
        <v>15</v>
      </c>
      <c r="J1796" s="900" t="s">
        <v>2755</v>
      </c>
      <c r="K1796" s="164" t="s">
        <v>178</v>
      </c>
      <c r="L1796" s="164" t="s">
        <v>461</v>
      </c>
      <c r="M1796" s="164"/>
      <c r="N1796" s="164" t="s">
        <v>4425</v>
      </c>
      <c r="O1796" s="164"/>
      <c r="P1796" s="173" t="s">
        <v>5601</v>
      </c>
      <c r="Q1796" s="164" t="s">
        <v>3947</v>
      </c>
      <c r="R1796" s="179" t="s">
        <v>2723</v>
      </c>
      <c r="S1796" s="354"/>
      <c r="T1796" s="173"/>
      <c r="U1796" s="173" t="s">
        <v>2322</v>
      </c>
      <c r="V1796" s="173"/>
      <c r="W1796" s="324" t="s">
        <v>469</v>
      </c>
      <c r="X1796" s="656" t="s">
        <v>4188</v>
      </c>
      <c r="Y1796" s="354"/>
      <c r="Z1796" s="176"/>
      <c r="AA1796" s="176"/>
      <c r="AB1796" s="32">
        <f t="shared" ca="1" si="37"/>
        <v>0.72505520848341476</v>
      </c>
      <c r="AC1796" s="812"/>
      <c r="AD1796" s="763"/>
      <c r="AE1796" s="951"/>
      <c r="AF1796" s="921">
        <f>IF(X1796=X1795,AF1795,0)+IF(ISNUMBER(I1796),IF(I1796&lt;1,I1796,I1796*VLOOKUP(J1796,Summary!$H$2:$I$9,2)),VLOOKUP(J1796,Summary!$J$2:$K$9,2)*IF(ISNUMBER(H1796),H1796,1))</f>
        <v>0.72287037037037016</v>
      </c>
      <c r="AG1796" s="288">
        <v>1795</v>
      </c>
      <c r="AH1796" s="94"/>
      <c r="AI1796" s="94"/>
    </row>
    <row r="1797" spans="1:35" s="1" customFormat="1" ht="12" customHeight="1" x14ac:dyDescent="0.25">
      <c r="A1797" s="514" t="s">
        <v>2350</v>
      </c>
      <c r="B1797" s="514">
        <v>5</v>
      </c>
      <c r="C1797" s="514">
        <v>25.12</v>
      </c>
      <c r="D1797" s="434" t="s">
        <v>7251</v>
      </c>
      <c r="E1797" s="324" t="s">
        <v>470</v>
      </c>
      <c r="F1797" s="174">
        <v>39417</v>
      </c>
      <c r="G1797" s="174"/>
      <c r="H1797" s="176">
        <v>1</v>
      </c>
      <c r="I1797" s="176">
        <v>14</v>
      </c>
      <c r="J1797" s="900" t="s">
        <v>2755</v>
      </c>
      <c r="K1797" s="164" t="s">
        <v>4944</v>
      </c>
      <c r="L1797" s="164" t="s">
        <v>461</v>
      </c>
      <c r="M1797" s="164"/>
      <c r="N1797" s="164" t="s">
        <v>5146</v>
      </c>
      <c r="O1797" s="164"/>
      <c r="P1797" s="173" t="s">
        <v>6701</v>
      </c>
      <c r="Q1797" s="164" t="s">
        <v>3947</v>
      </c>
      <c r="R1797" s="179" t="s">
        <v>2723</v>
      </c>
      <c r="S1797" s="354"/>
      <c r="T1797" s="173"/>
      <c r="U1797" s="173" t="s">
        <v>2322</v>
      </c>
      <c r="V1797" s="173"/>
      <c r="W1797" s="324" t="s">
        <v>470</v>
      </c>
      <c r="X1797" s="656" t="s">
        <v>4188</v>
      </c>
      <c r="Y1797" s="354"/>
      <c r="Z1797" s="176"/>
      <c r="AA1797" s="176"/>
      <c r="AB1797" s="32">
        <f t="shared" ca="1" si="37"/>
        <v>0.60220241996436807</v>
      </c>
      <c r="AC1797" s="812"/>
      <c r="AD1797" s="763"/>
      <c r="AE1797" s="951"/>
      <c r="AF1797" s="921">
        <f>IF(X1797=X1796,AF1796,0)+IF(ISNUMBER(I1797),IF(I1797&lt;1,I1797,I1797*VLOOKUP(J1797,Summary!$H$2:$I$9,2)),VLOOKUP(J1797,Summary!$J$2:$K$9,2)*IF(ISNUMBER(H1797),H1797,1))</f>
        <v>0.73259259259259235</v>
      </c>
      <c r="AG1797" s="288">
        <v>1796</v>
      </c>
      <c r="AH1797" s="94"/>
      <c r="AI1797" s="94"/>
    </row>
    <row r="1798" spans="1:35" s="1" customFormat="1" ht="12" customHeight="1" x14ac:dyDescent="0.25">
      <c r="A1798" s="512" t="s">
        <v>2350</v>
      </c>
      <c r="B1798" s="512">
        <v>5</v>
      </c>
      <c r="C1798" s="512">
        <v>217.1</v>
      </c>
      <c r="D1798" s="407"/>
      <c r="E1798" s="315" t="s">
        <v>12747</v>
      </c>
      <c r="F1798" s="196">
        <v>42655</v>
      </c>
      <c r="G1798" s="170"/>
      <c r="H1798" s="170">
        <v>1</v>
      </c>
      <c r="I1798" s="752">
        <f>TIME(0,30,0)</f>
        <v>2.0833333333333332E-2</v>
      </c>
      <c r="J1798" s="899" t="s">
        <v>4706</v>
      </c>
      <c r="K1798" s="167" t="s">
        <v>12751</v>
      </c>
      <c r="L1798" s="167" t="s">
        <v>12662</v>
      </c>
      <c r="M1798" s="167"/>
      <c r="N1798" s="167"/>
      <c r="O1798" s="167"/>
      <c r="P1798" s="168" t="s">
        <v>12746</v>
      </c>
      <c r="Q1798" s="167" t="s">
        <v>3947</v>
      </c>
      <c r="R1798" s="172" t="s">
        <v>3146</v>
      </c>
      <c r="S1798" s="388"/>
      <c r="T1798" s="168"/>
      <c r="U1798" s="168" t="s">
        <v>2322</v>
      </c>
      <c r="V1798" s="168"/>
      <c r="W1798" s="312"/>
      <c r="X1798" s="644" t="s">
        <v>4188</v>
      </c>
      <c r="Y1798" s="352" t="s">
        <v>5643</v>
      </c>
      <c r="Z1798" s="353"/>
      <c r="AA1798" s="353"/>
      <c r="AB1798" s="31">
        <f t="shared" ca="1" si="37"/>
        <v>0.8100113462808366</v>
      </c>
      <c r="AC1798" s="810"/>
      <c r="AD1798" s="811"/>
      <c r="AE1798" s="940"/>
      <c r="AF1798" s="920">
        <f>IF(X1798=X1797,AF1797,0)+IF(ISNUMBER(I1798),IF(I1798&lt;1,I1798,I1798*VLOOKUP(J1798,Summary!$H$2:$I$9,2)),VLOOKUP(J1798,Summary!$J$2:$K$9,2)*IF(ISNUMBER(H1798),H1798,1))</f>
        <v>0.75342592592592572</v>
      </c>
      <c r="AG1798" s="287">
        <v>1797</v>
      </c>
      <c r="AH1798" s="94"/>
      <c r="AI1798" s="94"/>
    </row>
    <row r="1799" spans="1:35" s="43" customFormat="1" ht="12" customHeight="1" x14ac:dyDescent="0.25">
      <c r="A1799" s="512" t="s">
        <v>2350</v>
      </c>
      <c r="B1799" s="512">
        <v>5</v>
      </c>
      <c r="C1799" s="512">
        <v>217.2</v>
      </c>
      <c r="D1799" s="407"/>
      <c r="E1799" s="315" t="s">
        <v>12748</v>
      </c>
      <c r="F1799" s="196">
        <v>42655</v>
      </c>
      <c r="G1799" s="170"/>
      <c r="H1799" s="170">
        <v>1</v>
      </c>
      <c r="I1799" s="752">
        <f>TIME(0,30,0)</f>
        <v>2.0833333333333332E-2</v>
      </c>
      <c r="J1799" s="899" t="s">
        <v>4706</v>
      </c>
      <c r="K1799" s="167" t="s">
        <v>5658</v>
      </c>
      <c r="L1799" s="167" t="s">
        <v>12662</v>
      </c>
      <c r="M1799" s="167"/>
      <c r="N1799" s="167"/>
      <c r="O1799" s="167"/>
      <c r="P1799" s="168" t="s">
        <v>12746</v>
      </c>
      <c r="Q1799" s="167" t="s">
        <v>3947</v>
      </c>
      <c r="R1799" s="172" t="s">
        <v>3146</v>
      </c>
      <c r="S1799" s="388"/>
      <c r="T1799" s="168"/>
      <c r="U1799" s="168" t="s">
        <v>2322</v>
      </c>
      <c r="V1799" s="168"/>
      <c r="W1799" s="312"/>
      <c r="X1799" s="644" t="s">
        <v>4188</v>
      </c>
      <c r="Y1799" s="352" t="s">
        <v>5643</v>
      </c>
      <c r="Z1799" s="353"/>
      <c r="AA1799" s="353"/>
      <c r="AB1799" s="31">
        <f t="shared" ca="1" si="37"/>
        <v>0.11468119338181215</v>
      </c>
      <c r="AC1799" s="810"/>
      <c r="AD1799" s="811"/>
      <c r="AE1799" s="940"/>
      <c r="AF1799" s="920">
        <f>IF(X1799=X1798,AF1798,0)+IF(ISNUMBER(I1799),IF(I1799&lt;1,I1799,I1799*VLOOKUP(J1799,Summary!$H$2:$I$9,2)),VLOOKUP(J1799,Summary!$J$2:$K$9,2)*IF(ISNUMBER(H1799),H1799,1))</f>
        <v>0.77425925925925909</v>
      </c>
      <c r="AG1799" s="287">
        <v>1798</v>
      </c>
      <c r="AH1799" s="94"/>
      <c r="AI1799" s="94"/>
    </row>
    <row r="1800" spans="1:35" s="2" customFormat="1" ht="12" customHeight="1" x14ac:dyDescent="0.25">
      <c r="A1800" s="512" t="s">
        <v>2350</v>
      </c>
      <c r="B1800" s="512">
        <v>5</v>
      </c>
      <c r="C1800" s="512">
        <v>217.3</v>
      </c>
      <c r="D1800" s="407"/>
      <c r="E1800" s="315" t="s">
        <v>12749</v>
      </c>
      <c r="F1800" s="196">
        <v>42655</v>
      </c>
      <c r="G1800" s="170"/>
      <c r="H1800" s="170">
        <v>1</v>
      </c>
      <c r="I1800" s="752">
        <f>TIME(0,30,0)</f>
        <v>2.0833333333333332E-2</v>
      </c>
      <c r="J1800" s="899" t="s">
        <v>4706</v>
      </c>
      <c r="K1800" s="167" t="s">
        <v>6353</v>
      </c>
      <c r="L1800" s="167" t="s">
        <v>12662</v>
      </c>
      <c r="M1800" s="167"/>
      <c r="N1800" s="167"/>
      <c r="O1800" s="167"/>
      <c r="P1800" s="168" t="s">
        <v>12746</v>
      </c>
      <c r="Q1800" s="167" t="s">
        <v>3947</v>
      </c>
      <c r="R1800" s="172" t="s">
        <v>3146</v>
      </c>
      <c r="S1800" s="388"/>
      <c r="T1800" s="168"/>
      <c r="U1800" s="168" t="s">
        <v>2322</v>
      </c>
      <c r="V1800" s="168"/>
      <c r="W1800" s="312"/>
      <c r="X1800" s="644" t="s">
        <v>4188</v>
      </c>
      <c r="Y1800" s="352" t="s">
        <v>5643</v>
      </c>
      <c r="Z1800" s="353"/>
      <c r="AA1800" s="353"/>
      <c r="AB1800" s="31">
        <f t="shared" ca="1" si="37"/>
        <v>0.79988379760037354</v>
      </c>
      <c r="AC1800" s="810"/>
      <c r="AD1800" s="811"/>
      <c r="AE1800" s="940"/>
      <c r="AF1800" s="920">
        <f>IF(X1800=X1799,AF1799,0)+IF(ISNUMBER(I1800),IF(I1800&lt;1,I1800,I1800*VLOOKUP(J1800,Summary!$H$2:$I$9,2)),VLOOKUP(J1800,Summary!$J$2:$K$9,2)*IF(ISNUMBER(H1800),H1800,1))</f>
        <v>0.79509259259259246</v>
      </c>
      <c r="AG1800" s="287">
        <v>1799</v>
      </c>
      <c r="AH1800" s="94"/>
      <c r="AI1800" s="94"/>
    </row>
    <row r="1801" spans="1:35" s="3" customFormat="1" ht="12" customHeight="1" x14ac:dyDescent="0.25">
      <c r="A1801" s="512" t="s">
        <v>2350</v>
      </c>
      <c r="B1801" s="512">
        <v>5</v>
      </c>
      <c r="C1801" s="512">
        <v>217.4</v>
      </c>
      <c r="D1801" s="407"/>
      <c r="E1801" s="315" t="s">
        <v>12750</v>
      </c>
      <c r="F1801" s="196">
        <v>42655</v>
      </c>
      <c r="G1801" s="170"/>
      <c r="H1801" s="170">
        <v>1</v>
      </c>
      <c r="I1801" s="752">
        <f>TIME(0,30,0)</f>
        <v>2.0833333333333332E-2</v>
      </c>
      <c r="J1801" s="899" t="s">
        <v>4706</v>
      </c>
      <c r="K1801" s="167" t="s">
        <v>3424</v>
      </c>
      <c r="L1801" s="167" t="s">
        <v>12662</v>
      </c>
      <c r="M1801" s="167"/>
      <c r="N1801" s="167"/>
      <c r="O1801" s="167"/>
      <c r="P1801" s="168" t="s">
        <v>12746</v>
      </c>
      <c r="Q1801" s="167" t="s">
        <v>3947</v>
      </c>
      <c r="R1801" s="172" t="s">
        <v>3146</v>
      </c>
      <c r="S1801" s="388"/>
      <c r="T1801" s="168"/>
      <c r="U1801" s="168" t="s">
        <v>2322</v>
      </c>
      <c r="V1801" s="168"/>
      <c r="W1801" s="312"/>
      <c r="X1801" s="644" t="s">
        <v>4188</v>
      </c>
      <c r="Y1801" s="352" t="s">
        <v>5643</v>
      </c>
      <c r="Z1801" s="353"/>
      <c r="AA1801" s="353"/>
      <c r="AB1801" s="31">
        <f t="shared" ca="1" si="37"/>
        <v>0.57830486944374715</v>
      </c>
      <c r="AC1801" s="810"/>
      <c r="AD1801" s="811"/>
      <c r="AE1801" s="940"/>
      <c r="AF1801" s="920">
        <f>IF(X1801=X1800,AF1800,0)+IF(ISNUMBER(I1801),IF(I1801&lt;1,I1801,I1801*VLOOKUP(J1801,Summary!$H$2:$I$9,2)),VLOOKUP(J1801,Summary!$J$2:$K$9,2)*IF(ISNUMBER(H1801),H1801,1))</f>
        <v>0.81592592592592583</v>
      </c>
      <c r="AG1801" s="287">
        <v>1800</v>
      </c>
      <c r="AH1801" s="94"/>
      <c r="AI1801" s="94"/>
    </row>
    <row r="1802" spans="1:35" s="1" customFormat="1" ht="12" customHeight="1" x14ac:dyDescent="0.25">
      <c r="A1802" s="514" t="s">
        <v>2350</v>
      </c>
      <c r="B1802" s="514">
        <v>5</v>
      </c>
      <c r="C1802" s="514">
        <v>46</v>
      </c>
      <c r="D1802" s="176" t="s">
        <v>186</v>
      </c>
      <c r="E1802" s="313" t="s">
        <v>5540</v>
      </c>
      <c r="F1802" s="174">
        <v>33848</v>
      </c>
      <c r="G1802" s="174"/>
      <c r="H1802" s="176">
        <v>1</v>
      </c>
      <c r="I1802" s="176">
        <v>2</v>
      </c>
      <c r="J1802" s="900" t="s">
        <v>2755</v>
      </c>
      <c r="K1802" s="164" t="s">
        <v>941</v>
      </c>
      <c r="L1802" s="164" t="s">
        <v>6043</v>
      </c>
      <c r="M1802" s="164"/>
      <c r="N1802" s="164" t="s">
        <v>7375</v>
      </c>
      <c r="O1802" s="164"/>
      <c r="P1802" s="173" t="s">
        <v>189</v>
      </c>
      <c r="Q1802" s="164" t="s">
        <v>4062</v>
      </c>
      <c r="R1802" s="177" t="s">
        <v>4599</v>
      </c>
      <c r="S1802" s="354"/>
      <c r="T1802" s="173" t="s">
        <v>2320</v>
      </c>
      <c r="U1802" s="173"/>
      <c r="V1802" s="173"/>
      <c r="W1802" s="313" t="s">
        <v>5540</v>
      </c>
      <c r="X1802" s="645" t="s">
        <v>4188</v>
      </c>
      <c r="Y1802" s="354" t="s">
        <v>6868</v>
      </c>
      <c r="Z1802" s="176">
        <v>999</v>
      </c>
      <c r="AA1802" s="176"/>
      <c r="AB1802" s="32">
        <f t="shared" ca="1" si="37"/>
        <v>0.85058138083784596</v>
      </c>
      <c r="AC1802" s="812"/>
      <c r="AD1802" s="763"/>
      <c r="AE1802" s="807"/>
      <c r="AF1802" s="921">
        <f>IF(X1802=X1801,AF1801,0)+IF(ISNUMBER(I1802),IF(I1802&lt;1,I1802,I1802*VLOOKUP(J1802,Summary!$H$2:$I$9,2)),VLOOKUP(J1802,Summary!$J$2:$K$9,2)*IF(ISNUMBER(H1802),H1802,1))</f>
        <v>0.81731481481481472</v>
      </c>
      <c r="AG1802" s="289">
        <v>1801</v>
      </c>
      <c r="AH1802" s="94"/>
      <c r="AI1802" s="94"/>
    </row>
    <row r="1803" spans="1:35" s="22" customFormat="1" ht="12" customHeight="1" x14ac:dyDescent="0.25">
      <c r="A1803" s="517" t="s">
        <v>2350</v>
      </c>
      <c r="B1803" s="517">
        <v>5</v>
      </c>
      <c r="C1803" s="518">
        <v>8.0500000000000007</v>
      </c>
      <c r="D1803" s="192" t="s">
        <v>14542</v>
      </c>
      <c r="E1803" s="317" t="s">
        <v>14543</v>
      </c>
      <c r="F1803" s="209">
        <v>43240</v>
      </c>
      <c r="G1803" s="209"/>
      <c r="H1803" s="192" t="s">
        <v>461</v>
      </c>
      <c r="I1803" s="753"/>
      <c r="J1803" s="903" t="s">
        <v>2755</v>
      </c>
      <c r="K1803" s="194" t="s">
        <v>6564</v>
      </c>
      <c r="L1803" s="194" t="s">
        <v>5662</v>
      </c>
      <c r="M1803" s="194" t="s">
        <v>12718</v>
      </c>
      <c r="N1803" s="194"/>
      <c r="O1803" s="194"/>
      <c r="P1803" s="190" t="s">
        <v>14544</v>
      </c>
      <c r="Q1803" s="194" t="s">
        <v>3947</v>
      </c>
      <c r="R1803" s="193" t="s">
        <v>2722</v>
      </c>
      <c r="S1803" s="354"/>
      <c r="T1803" s="190"/>
      <c r="U1803" s="190" t="s">
        <v>2322</v>
      </c>
      <c r="V1803" s="190"/>
      <c r="W1803" s="317" t="s">
        <v>14543</v>
      </c>
      <c r="X1803" s="649" t="s">
        <v>4188</v>
      </c>
      <c r="Y1803" s="357"/>
      <c r="Z1803" s="192"/>
      <c r="AA1803" s="192"/>
      <c r="AB1803" s="37">
        <f t="shared" ca="1" si="37"/>
        <v>0.72128895122121151</v>
      </c>
      <c r="AC1803" s="816"/>
      <c r="AD1803" s="817"/>
      <c r="AE1803" s="943"/>
      <c r="AF1803" s="924">
        <f>IF(X1803=X1802,AF1802,0)+IF(ISNUMBER(I1803),IF(I1803&lt;1,I1803,I1803*VLOOKUP(J1803,Summary!$H$2:$I$9,2)),VLOOKUP(J1803,Summary!$J$2:$K$9,2)*IF(ISNUMBER(H1803),H1803,1))</f>
        <v>0.83467592592592588</v>
      </c>
      <c r="AG1803" s="292">
        <v>1802</v>
      </c>
      <c r="AH1803" s="94"/>
      <c r="AI1803" s="94"/>
    </row>
    <row r="1804" spans="1:35" s="1" customFormat="1" ht="12" customHeight="1" x14ac:dyDescent="0.25">
      <c r="A1804" s="511" t="s">
        <v>2350</v>
      </c>
      <c r="B1804" s="511">
        <v>5</v>
      </c>
      <c r="C1804" s="511">
        <v>134</v>
      </c>
      <c r="D1804" s="424" t="s">
        <v>5584</v>
      </c>
      <c r="E1804" s="319" t="s">
        <v>5585</v>
      </c>
      <c r="F1804" s="198">
        <v>30735</v>
      </c>
      <c r="G1804" s="198">
        <v>30743</v>
      </c>
      <c r="H1804" s="199">
        <v>4</v>
      </c>
      <c r="I1804" s="791">
        <f>TIME(0,24,26)+TIME(0,24,20)+TIME(0,23,57)+TIME(0,24,44)</f>
        <v>6.7673611111111115E-2</v>
      </c>
      <c r="J1804" s="904" t="s">
        <v>1588</v>
      </c>
      <c r="K1804" s="200" t="s">
        <v>2615</v>
      </c>
      <c r="L1804" s="200" t="s">
        <v>2365</v>
      </c>
      <c r="M1804" s="200"/>
      <c r="N1804" s="200" t="s">
        <v>2366</v>
      </c>
      <c r="O1804" s="200" t="s">
        <v>6962</v>
      </c>
      <c r="P1804" s="197" t="s">
        <v>461</v>
      </c>
      <c r="Q1804" s="200" t="s">
        <v>3946</v>
      </c>
      <c r="R1804" s="201" t="s">
        <v>5280</v>
      </c>
      <c r="S1804" s="390" t="s">
        <v>2319</v>
      </c>
      <c r="T1804" s="197"/>
      <c r="U1804" s="197" t="s">
        <v>2322</v>
      </c>
      <c r="V1804" s="197" t="s">
        <v>2323</v>
      </c>
      <c r="W1804" s="318" t="s">
        <v>9669</v>
      </c>
      <c r="X1804" s="650" t="s">
        <v>4188</v>
      </c>
      <c r="Y1804" s="358" t="s">
        <v>6141</v>
      </c>
      <c r="Z1804" s="253">
        <v>235</v>
      </c>
      <c r="AA1804" s="200">
        <v>4</v>
      </c>
      <c r="AB1804" s="35">
        <f t="shared" ca="1" si="37"/>
        <v>0.72487978111292894</v>
      </c>
      <c r="AC1804" s="820"/>
      <c r="AD1804" s="821" t="s">
        <v>16018</v>
      </c>
      <c r="AE1804" s="944" t="s">
        <v>12543</v>
      </c>
      <c r="AF1804" s="925">
        <f>IF(X1804=X1803,AF1803,0)+IF(ISNUMBER(I1804),IF(I1804&lt;1,I1804,I1804*VLOOKUP(J1804,Summary!$H$2:$I$9,2)),VLOOKUP(J1804,Summary!$J$2:$K$9,2)*IF(ISNUMBER(H1804),H1804,1))</f>
        <v>0.90234953703703702</v>
      </c>
      <c r="AG1804" s="293">
        <v>1803</v>
      </c>
      <c r="AH1804" s="94"/>
      <c r="AI1804" s="94"/>
    </row>
    <row r="1805" spans="1:35" s="3" customFormat="1" ht="12" customHeight="1" x14ac:dyDescent="0.25">
      <c r="A1805" s="408"/>
      <c r="B1805" s="408" t="s">
        <v>2650</v>
      </c>
      <c r="C1805" s="408">
        <v>17</v>
      </c>
      <c r="D1805" s="176" t="s">
        <v>867</v>
      </c>
      <c r="E1805" s="313" t="s">
        <v>839</v>
      </c>
      <c r="F1805" s="174">
        <v>36100</v>
      </c>
      <c r="G1805" s="175"/>
      <c r="H1805" s="176" t="s">
        <v>461</v>
      </c>
      <c r="I1805" s="176"/>
      <c r="J1805" s="900" t="s">
        <v>2755</v>
      </c>
      <c r="K1805" s="164" t="s">
        <v>900</v>
      </c>
      <c r="L1805" s="164"/>
      <c r="M1805" s="164"/>
      <c r="N1805" s="164" t="s">
        <v>819</v>
      </c>
      <c r="O1805" s="164"/>
      <c r="P1805" s="178" t="s">
        <v>461</v>
      </c>
      <c r="Q1805" s="164" t="s">
        <v>820</v>
      </c>
      <c r="R1805" s="177" t="s">
        <v>895</v>
      </c>
      <c r="S1805" s="354"/>
      <c r="T1805" s="173"/>
      <c r="U1805" s="173" t="s">
        <v>2322</v>
      </c>
      <c r="V1805" s="173"/>
      <c r="W1805" s="313" t="s">
        <v>839</v>
      </c>
      <c r="X1805" s="645" t="s">
        <v>4188</v>
      </c>
      <c r="Y1805" s="354"/>
      <c r="Z1805" s="176"/>
      <c r="AA1805" s="176"/>
      <c r="AB1805" s="32">
        <f t="shared" ca="1" si="37"/>
        <v>0.89532519667917199</v>
      </c>
      <c r="AC1805" s="812"/>
      <c r="AD1805" s="763"/>
      <c r="AE1805" s="807"/>
      <c r="AF1805" s="921">
        <f>IF(X1805=X1804,AF1804,0)+IF(ISNUMBER(I1805),IF(I1805&lt;1,I1805,I1805*VLOOKUP(J1805,Summary!$H$2:$I$9,2)),VLOOKUP(J1805,Summary!$J$2:$K$9,2)*IF(ISNUMBER(H1805),H1805,1))</f>
        <v>0.91971064814814818</v>
      </c>
      <c r="AG1805" s="289">
        <v>1804</v>
      </c>
      <c r="AH1805" s="94"/>
      <c r="AI1805" s="94"/>
    </row>
    <row r="1806" spans="1:35" s="43" customFormat="1" ht="12" customHeight="1" x14ac:dyDescent="0.25">
      <c r="A1806" s="474"/>
      <c r="B1806" s="507" t="s">
        <v>2650</v>
      </c>
      <c r="C1806" s="474">
        <v>1</v>
      </c>
      <c r="D1806" s="417"/>
      <c r="E1806" s="316" t="s">
        <v>578</v>
      </c>
      <c r="F1806" s="187">
        <v>31594</v>
      </c>
      <c r="G1806" s="188"/>
      <c r="H1806" s="188" t="str">
        <f>IF(J1806="Book","n/a","")</f>
        <v>n/a</v>
      </c>
      <c r="I1806" s="188">
        <v>221</v>
      </c>
      <c r="J1806" s="902" t="s">
        <v>6868</v>
      </c>
      <c r="K1806" s="162" t="s">
        <v>579</v>
      </c>
      <c r="L1806" s="162" t="str">
        <f>IF(J1806="Book","n/a","")</f>
        <v>n/a</v>
      </c>
      <c r="M1806" s="162"/>
      <c r="N1806" s="162"/>
      <c r="O1806" s="162"/>
      <c r="P1806" s="178" t="s">
        <v>8873</v>
      </c>
      <c r="Q1806" s="162" t="s">
        <v>604</v>
      </c>
      <c r="R1806" s="189" t="s">
        <v>6990</v>
      </c>
      <c r="S1806" s="366"/>
      <c r="T1806" s="178"/>
      <c r="U1806" s="178" t="s">
        <v>2322</v>
      </c>
      <c r="V1806" s="178"/>
      <c r="W1806" s="316" t="s">
        <v>578</v>
      </c>
      <c r="X1806" s="648" t="s">
        <v>4188</v>
      </c>
      <c r="Y1806" s="356"/>
      <c r="Z1806" s="272"/>
      <c r="AA1806" s="272"/>
      <c r="AB1806" s="34">
        <f t="shared" ca="1" si="37"/>
        <v>0.86922471651468347</v>
      </c>
      <c r="AC1806" s="814"/>
      <c r="AD1806" s="815" t="s">
        <v>16020</v>
      </c>
      <c r="AE1806" s="942" t="s">
        <v>16021</v>
      </c>
      <c r="AF1806" s="923">
        <f>IF(X1806=X1805,AF1805,0)+IF(ISNUMBER(I1806),IF(I1806&lt;1,I1806,I1806*VLOOKUP(J1806,Summary!$H$2:$I$9,2)),VLOOKUP(J1806,Summary!$J$2:$K$9,2)*IF(ISNUMBER(H1806),H1806,1))</f>
        <v>1.0731828703703705</v>
      </c>
      <c r="AG1806" s="291">
        <v>1805</v>
      </c>
      <c r="AH1806" s="94"/>
      <c r="AI1806" s="94"/>
    </row>
    <row r="1807" spans="1:35" s="6" customFormat="1" ht="12" customHeight="1" x14ac:dyDescent="0.25">
      <c r="A1807" s="514" t="s">
        <v>15413</v>
      </c>
      <c r="B1807" s="514">
        <v>5</v>
      </c>
      <c r="C1807" s="519">
        <v>8.06</v>
      </c>
      <c r="D1807" s="434" t="s">
        <v>7269</v>
      </c>
      <c r="E1807" s="324" t="s">
        <v>7258</v>
      </c>
      <c r="F1807" s="174">
        <v>37956</v>
      </c>
      <c r="G1807" s="174"/>
      <c r="H1807" s="176">
        <v>1</v>
      </c>
      <c r="I1807" s="176">
        <v>12</v>
      </c>
      <c r="J1807" s="900" t="s">
        <v>2755</v>
      </c>
      <c r="K1807" s="164" t="s">
        <v>563</v>
      </c>
      <c r="L1807" s="164" t="s">
        <v>461</v>
      </c>
      <c r="M1807" s="164"/>
      <c r="N1807" s="164" t="s">
        <v>4996</v>
      </c>
      <c r="O1807" s="164"/>
      <c r="P1807" s="173" t="s">
        <v>2555</v>
      </c>
      <c r="Q1807" s="164" t="s">
        <v>3947</v>
      </c>
      <c r="R1807" s="179" t="s">
        <v>2723</v>
      </c>
      <c r="S1807" s="354" t="s">
        <v>2319</v>
      </c>
      <c r="T1807" s="173"/>
      <c r="U1807" s="173"/>
      <c r="V1807" s="173"/>
      <c r="W1807" s="324" t="s">
        <v>7258</v>
      </c>
      <c r="X1807" s="656" t="s">
        <v>4188</v>
      </c>
      <c r="Y1807" s="354"/>
      <c r="Z1807" s="176"/>
      <c r="AA1807" s="176"/>
      <c r="AB1807" s="32">
        <f t="shared" ca="1" si="37"/>
        <v>0.60486409191941182</v>
      </c>
      <c r="AC1807" s="812"/>
      <c r="AD1807" s="763"/>
      <c r="AE1807" s="951"/>
      <c r="AF1807" s="921">
        <f>IF(X1807=X1806,AF1806,0)+IF(ISNUMBER(I1807),IF(I1807&lt;1,I1807,I1807*VLOOKUP(J1807,Summary!$H$2:$I$9,2)),VLOOKUP(J1807,Summary!$J$2:$K$9,2)*IF(ISNUMBER(H1807),H1807,1))</f>
        <v>1.0815162037037038</v>
      </c>
      <c r="AG1807" s="288">
        <v>1806</v>
      </c>
      <c r="AH1807" s="94"/>
      <c r="AI1807" s="94"/>
    </row>
    <row r="1808" spans="1:35" s="6" customFormat="1" ht="12" customHeight="1" x14ac:dyDescent="0.25">
      <c r="A1808" s="517" t="s">
        <v>15413</v>
      </c>
      <c r="B1808" s="517">
        <v>5</v>
      </c>
      <c r="C1808" s="518">
        <v>6.1</v>
      </c>
      <c r="D1808" s="192" t="s">
        <v>12752</v>
      </c>
      <c r="E1808" s="317" t="s">
        <v>12753</v>
      </c>
      <c r="F1808" s="209">
        <v>42662</v>
      </c>
      <c r="G1808" s="191"/>
      <c r="H1808" s="192">
        <v>1</v>
      </c>
      <c r="I1808" s="753">
        <f>TIME(0,38,42)</f>
        <v>2.6875E-2</v>
      </c>
      <c r="J1808" s="903" t="s">
        <v>2755</v>
      </c>
      <c r="K1808" s="194" t="s">
        <v>12616</v>
      </c>
      <c r="L1808" s="194" t="s">
        <v>5662</v>
      </c>
      <c r="M1808" s="194" t="s">
        <v>5460</v>
      </c>
      <c r="N1808" s="194"/>
      <c r="O1808" s="194"/>
      <c r="P1808" s="190" t="s">
        <v>12754</v>
      </c>
      <c r="Q1808" s="194" t="s">
        <v>3947</v>
      </c>
      <c r="R1808" s="193" t="s">
        <v>2722</v>
      </c>
      <c r="S1808" s="357" t="s">
        <v>2319</v>
      </c>
      <c r="T1808" s="190"/>
      <c r="U1808" s="190"/>
      <c r="V1808" s="190"/>
      <c r="W1808" s="317" t="s">
        <v>12753</v>
      </c>
      <c r="X1808" s="649" t="s">
        <v>4188</v>
      </c>
      <c r="Y1808" s="357" t="s">
        <v>5643</v>
      </c>
      <c r="Z1808" s="192"/>
      <c r="AA1808" s="192"/>
      <c r="AB1808" s="37">
        <f t="shared" ca="1" si="37"/>
        <v>0.42573331169285777</v>
      </c>
      <c r="AC1808" s="816"/>
      <c r="AD1808" s="817"/>
      <c r="AE1808" s="943"/>
      <c r="AF1808" s="924">
        <f>IF(X1808=X1807,AF1807,0)+IF(ISNUMBER(I1808),IF(I1808&lt;1,I1808,I1808*VLOOKUP(J1808,Summary!$H$2:$I$9,2)),VLOOKUP(J1808,Summary!$J$2:$K$9,2)*IF(ISNUMBER(H1808),H1808,1))</f>
        <v>1.1083912037037038</v>
      </c>
      <c r="AG1808" s="292">
        <v>1807</v>
      </c>
      <c r="AH1808" s="94"/>
      <c r="AI1808" s="94"/>
    </row>
    <row r="1809" spans="1:36" s="9" customFormat="1" ht="12" customHeight="1" x14ac:dyDescent="0.25">
      <c r="A1809" s="514" t="s">
        <v>15413</v>
      </c>
      <c r="B1809" s="514">
        <v>5</v>
      </c>
      <c r="C1809" s="519">
        <v>19.100000000000001</v>
      </c>
      <c r="D1809" s="434" t="s">
        <v>7266</v>
      </c>
      <c r="E1809" s="324" t="s">
        <v>7259</v>
      </c>
      <c r="F1809" s="174">
        <v>38808</v>
      </c>
      <c r="G1809" s="174"/>
      <c r="H1809" s="176">
        <v>1</v>
      </c>
      <c r="I1809" s="176">
        <v>12</v>
      </c>
      <c r="J1809" s="900" t="s">
        <v>2755</v>
      </c>
      <c r="K1809" s="164" t="s">
        <v>4996</v>
      </c>
      <c r="L1809" s="164" t="s">
        <v>461</v>
      </c>
      <c r="M1809" s="164"/>
      <c r="N1809" s="164" t="s">
        <v>4552</v>
      </c>
      <c r="O1809" s="164"/>
      <c r="P1809" s="173" t="s">
        <v>5020</v>
      </c>
      <c r="Q1809" s="164" t="s">
        <v>3947</v>
      </c>
      <c r="R1809" s="179" t="s">
        <v>2723</v>
      </c>
      <c r="S1809" s="354" t="s">
        <v>2319</v>
      </c>
      <c r="T1809" s="173"/>
      <c r="U1809" s="173"/>
      <c r="V1809" s="173"/>
      <c r="W1809" s="324" t="s">
        <v>7259</v>
      </c>
      <c r="X1809" s="656" t="s">
        <v>4188</v>
      </c>
      <c r="Y1809" s="354"/>
      <c r="Z1809" s="176"/>
      <c r="AA1809" s="176"/>
      <c r="AB1809" s="32">
        <f t="shared" ca="1" si="37"/>
        <v>0.80698712127660577</v>
      </c>
      <c r="AC1809" s="812"/>
      <c r="AD1809" s="763"/>
      <c r="AE1809" s="951"/>
      <c r="AF1809" s="921">
        <f>IF(X1809=X1808,AF1808,0)+IF(ISNUMBER(I1809),IF(I1809&lt;1,I1809,I1809*VLOOKUP(J1809,Summary!$H$2:$I$9,2)),VLOOKUP(J1809,Summary!$J$2:$K$9,2)*IF(ISNUMBER(H1809),H1809,1))</f>
        <v>1.1167245370370371</v>
      </c>
      <c r="AG1809" s="288">
        <v>1808</v>
      </c>
      <c r="AH1809" s="94"/>
      <c r="AI1809" s="94"/>
    </row>
    <row r="1810" spans="1:36" s="6" customFormat="1" ht="12" customHeight="1" x14ac:dyDescent="0.25">
      <c r="A1810" s="514" t="s">
        <v>15413</v>
      </c>
      <c r="B1810" s="514">
        <v>5</v>
      </c>
      <c r="C1810" s="519">
        <v>20.07</v>
      </c>
      <c r="D1810" s="434" t="s">
        <v>7265</v>
      </c>
      <c r="E1810" s="324" t="s">
        <v>7260</v>
      </c>
      <c r="F1810" s="174">
        <v>38961</v>
      </c>
      <c r="G1810" s="174"/>
      <c r="H1810" s="176">
        <v>1</v>
      </c>
      <c r="I1810" s="176">
        <v>18</v>
      </c>
      <c r="J1810" s="900" t="s">
        <v>2755</v>
      </c>
      <c r="K1810" s="164" t="s">
        <v>7264</v>
      </c>
      <c r="L1810" s="164" t="s">
        <v>461</v>
      </c>
      <c r="M1810" s="164"/>
      <c r="N1810" s="164" t="s">
        <v>7381</v>
      </c>
      <c r="O1810" s="164"/>
      <c r="P1810" s="173" t="s">
        <v>705</v>
      </c>
      <c r="Q1810" s="164" t="s">
        <v>3947</v>
      </c>
      <c r="R1810" s="179" t="s">
        <v>2723</v>
      </c>
      <c r="S1810" s="354" t="s">
        <v>2319</v>
      </c>
      <c r="T1810" s="173"/>
      <c r="U1810" s="173"/>
      <c r="V1810" s="173"/>
      <c r="W1810" s="324" t="s">
        <v>7260</v>
      </c>
      <c r="X1810" s="656" t="s">
        <v>4188</v>
      </c>
      <c r="Y1810" s="354"/>
      <c r="Z1810" s="176"/>
      <c r="AA1810" s="176"/>
      <c r="AB1810" s="32">
        <f t="shared" ca="1" si="37"/>
        <v>7.4621914049421978E-3</v>
      </c>
      <c r="AC1810" s="812"/>
      <c r="AD1810" s="763"/>
      <c r="AE1810" s="951"/>
      <c r="AF1810" s="921">
        <f>IF(X1810=X1809,AF1809,0)+IF(ISNUMBER(I1810),IF(I1810&lt;1,I1810,I1810*VLOOKUP(J1810,Summary!$H$2:$I$9,2)),VLOOKUP(J1810,Summary!$J$2:$K$9,2)*IF(ISNUMBER(H1810),H1810,1))</f>
        <v>1.1292245370370371</v>
      </c>
      <c r="AG1810" s="288">
        <v>1809</v>
      </c>
      <c r="AH1810" s="94"/>
      <c r="AI1810" s="94"/>
    </row>
    <row r="1811" spans="1:36" s="2" customFormat="1" ht="12" customHeight="1" x14ac:dyDescent="0.25">
      <c r="A1811" s="514" t="s">
        <v>15413</v>
      </c>
      <c r="B1811" s="514">
        <v>5</v>
      </c>
      <c r="C1811" s="519">
        <v>23.14</v>
      </c>
      <c r="D1811" s="434" t="s">
        <v>7271</v>
      </c>
      <c r="E1811" s="324" t="s">
        <v>7261</v>
      </c>
      <c r="F1811" s="174">
        <v>39234</v>
      </c>
      <c r="G1811" s="174"/>
      <c r="H1811" s="176">
        <v>1</v>
      </c>
      <c r="I1811" s="176">
        <v>13</v>
      </c>
      <c r="J1811" s="900" t="s">
        <v>2755</v>
      </c>
      <c r="K1811" s="164" t="s">
        <v>7270</v>
      </c>
      <c r="L1811" s="164" t="s">
        <v>461</v>
      </c>
      <c r="M1811" s="164"/>
      <c r="N1811" s="164" t="s">
        <v>804</v>
      </c>
      <c r="O1811" s="164"/>
      <c r="P1811" s="173" t="s">
        <v>6700</v>
      </c>
      <c r="Q1811" s="164" t="s">
        <v>3947</v>
      </c>
      <c r="R1811" s="179" t="s">
        <v>2723</v>
      </c>
      <c r="S1811" s="354" t="s">
        <v>2319</v>
      </c>
      <c r="T1811" s="173"/>
      <c r="U1811" s="173"/>
      <c r="V1811" s="173"/>
      <c r="W1811" s="324" t="s">
        <v>7261</v>
      </c>
      <c r="X1811" s="656" t="s">
        <v>4188</v>
      </c>
      <c r="Y1811" s="354"/>
      <c r="Z1811" s="176"/>
      <c r="AA1811" s="176"/>
      <c r="AB1811" s="32">
        <f t="shared" ca="1" si="37"/>
        <v>0.65241883501177877</v>
      </c>
      <c r="AC1811" s="812"/>
      <c r="AD1811" s="763"/>
      <c r="AE1811" s="951"/>
      <c r="AF1811" s="921">
        <f>IF(X1811=X1810,AF1810,0)+IF(ISNUMBER(I1811),IF(I1811&lt;1,I1811,I1811*VLOOKUP(J1811,Summary!$H$2:$I$9,2)),VLOOKUP(J1811,Summary!$J$2:$K$9,2)*IF(ISNUMBER(H1811),H1811,1))</f>
        <v>1.1382523148148149</v>
      </c>
      <c r="AG1811" s="288">
        <v>1810</v>
      </c>
      <c r="AH1811" s="94"/>
      <c r="AI1811" s="94"/>
    </row>
    <row r="1812" spans="1:36" s="43" customFormat="1" ht="12" customHeight="1" x14ac:dyDescent="0.25">
      <c r="A1812" s="514" t="s">
        <v>15413</v>
      </c>
      <c r="B1812" s="514">
        <v>5</v>
      </c>
      <c r="C1812" s="519">
        <v>4.09</v>
      </c>
      <c r="D1812" s="434" t="s">
        <v>7267</v>
      </c>
      <c r="E1812" s="324" t="s">
        <v>7268</v>
      </c>
      <c r="F1812" s="174">
        <v>37591</v>
      </c>
      <c r="G1812" s="174"/>
      <c r="H1812" s="176">
        <v>1</v>
      </c>
      <c r="I1812" s="176">
        <v>13</v>
      </c>
      <c r="J1812" s="900" t="s">
        <v>2755</v>
      </c>
      <c r="K1812" s="164" t="s">
        <v>1956</v>
      </c>
      <c r="L1812" s="164" t="s">
        <v>461</v>
      </c>
      <c r="M1812" s="164"/>
      <c r="N1812" s="164" t="s">
        <v>4552</v>
      </c>
      <c r="O1812" s="164"/>
      <c r="P1812" s="173" t="s">
        <v>6556</v>
      </c>
      <c r="Q1812" s="164" t="s">
        <v>3947</v>
      </c>
      <c r="R1812" s="179" t="s">
        <v>2723</v>
      </c>
      <c r="S1812" s="354" t="s">
        <v>2319</v>
      </c>
      <c r="T1812" s="173"/>
      <c r="U1812" s="173"/>
      <c r="V1812" s="173"/>
      <c r="W1812" s="324" t="s">
        <v>7268</v>
      </c>
      <c r="X1812" s="656" t="s">
        <v>4188</v>
      </c>
      <c r="Y1812" s="354"/>
      <c r="Z1812" s="176"/>
      <c r="AA1812" s="176"/>
      <c r="AB1812" s="32">
        <f t="shared" ca="1" si="37"/>
        <v>0.31128615322174669</v>
      </c>
      <c r="AC1812" s="812"/>
      <c r="AD1812" s="763"/>
      <c r="AE1812" s="951"/>
      <c r="AF1812" s="921">
        <f>IF(X1812=X1811,AF1811,0)+IF(ISNUMBER(I1812),IF(I1812&lt;1,I1812,I1812*VLOOKUP(J1812,Summary!$H$2:$I$9,2)),VLOOKUP(J1812,Summary!$J$2:$K$9,2)*IF(ISNUMBER(H1812),H1812,1))</f>
        <v>1.1472800925925928</v>
      </c>
      <c r="AG1812" s="288">
        <v>1811</v>
      </c>
      <c r="AH1812" s="94"/>
      <c r="AI1812" s="94"/>
    </row>
    <row r="1813" spans="1:36" s="1" customFormat="1" ht="12" customHeight="1" x14ac:dyDescent="0.25">
      <c r="A1813" s="514" t="s">
        <v>15413</v>
      </c>
      <c r="B1813" s="514">
        <v>5</v>
      </c>
      <c r="C1813" s="519">
        <v>2.14</v>
      </c>
      <c r="D1813" s="434" t="s">
        <v>7272</v>
      </c>
      <c r="E1813" s="324" t="s">
        <v>7262</v>
      </c>
      <c r="F1813" s="174">
        <v>36220</v>
      </c>
      <c r="G1813" s="174"/>
      <c r="H1813" s="176">
        <v>1</v>
      </c>
      <c r="I1813" s="176">
        <v>16</v>
      </c>
      <c r="J1813" s="900" t="s">
        <v>2755</v>
      </c>
      <c r="K1813" s="164" t="s">
        <v>181</v>
      </c>
      <c r="L1813" s="164" t="s">
        <v>461</v>
      </c>
      <c r="M1813" s="164"/>
      <c r="N1813" s="164" t="s">
        <v>6237</v>
      </c>
      <c r="O1813" s="164"/>
      <c r="P1813" s="173" t="s">
        <v>6561</v>
      </c>
      <c r="Q1813" s="164" t="s">
        <v>3953</v>
      </c>
      <c r="R1813" s="179" t="s">
        <v>2723</v>
      </c>
      <c r="S1813" s="354" t="s">
        <v>2319</v>
      </c>
      <c r="T1813" s="173"/>
      <c r="U1813" s="173"/>
      <c r="V1813" s="173"/>
      <c r="W1813" s="324" t="s">
        <v>7262</v>
      </c>
      <c r="X1813" s="656" t="s">
        <v>4188</v>
      </c>
      <c r="Y1813" s="354" t="s">
        <v>6868</v>
      </c>
      <c r="Z1813" s="176">
        <v>999</v>
      </c>
      <c r="AA1813" s="176"/>
      <c r="AB1813" s="32">
        <f t="shared" ca="1" si="37"/>
        <v>4.4745217105635948E-2</v>
      </c>
      <c r="AC1813" s="812"/>
      <c r="AD1813" s="763"/>
      <c r="AE1813" s="951"/>
      <c r="AF1813" s="921">
        <f>IF(X1813=X1812,AF1812,0)+IF(ISNUMBER(I1813),IF(I1813&lt;1,I1813,I1813*VLOOKUP(J1813,Summary!$H$2:$I$9,2)),VLOOKUP(J1813,Summary!$J$2:$K$9,2)*IF(ISNUMBER(H1813),H1813,1))</f>
        <v>1.1583912037037039</v>
      </c>
      <c r="AG1813" s="288">
        <v>1812</v>
      </c>
      <c r="AH1813" s="94"/>
      <c r="AI1813" s="94"/>
    </row>
    <row r="1814" spans="1:36" s="6" customFormat="1" ht="12" customHeight="1" x14ac:dyDescent="0.25">
      <c r="A1814" s="512" t="s">
        <v>15413</v>
      </c>
      <c r="B1814" s="512">
        <v>5</v>
      </c>
      <c r="C1814" s="512">
        <v>8</v>
      </c>
      <c r="D1814" s="407" t="s">
        <v>5586</v>
      </c>
      <c r="E1814" s="315" t="s">
        <v>5587</v>
      </c>
      <c r="F1814" s="196">
        <v>36651</v>
      </c>
      <c r="G1814" s="170"/>
      <c r="H1814" s="170">
        <v>4</v>
      </c>
      <c r="I1814" s="746">
        <f>TIME(0,86,26)</f>
        <v>6.0023148148148152E-2</v>
      </c>
      <c r="J1814" s="899" t="s">
        <v>4706</v>
      </c>
      <c r="K1814" s="167" t="s">
        <v>543</v>
      </c>
      <c r="L1814" s="167" t="s">
        <v>7375</v>
      </c>
      <c r="M1814" s="167"/>
      <c r="N1814" s="167"/>
      <c r="O1814" s="167" t="s">
        <v>2909</v>
      </c>
      <c r="P1814" s="168"/>
      <c r="Q1814" s="167" t="s">
        <v>3947</v>
      </c>
      <c r="R1814" s="172" t="s">
        <v>3146</v>
      </c>
      <c r="S1814" s="388" t="s">
        <v>2319</v>
      </c>
      <c r="T1814" s="168"/>
      <c r="U1814" s="168"/>
      <c r="V1814" s="168"/>
      <c r="W1814" s="312" t="s">
        <v>8498</v>
      </c>
      <c r="X1814" s="644" t="s">
        <v>4188</v>
      </c>
      <c r="Y1814" s="352" t="s">
        <v>5643</v>
      </c>
      <c r="Z1814" s="353">
        <v>409</v>
      </c>
      <c r="AA1814" s="353">
        <v>4.5</v>
      </c>
      <c r="AB1814" s="31">
        <f t="shared" ca="1" si="37"/>
        <v>0.46161517665313667</v>
      </c>
      <c r="AC1814" s="810"/>
      <c r="AD1814" s="811" t="s">
        <v>14581</v>
      </c>
      <c r="AE1814" s="940" t="s">
        <v>12543</v>
      </c>
      <c r="AF1814" s="920">
        <f>IF(X1814=X1813,AF1813,0)+IF(ISNUMBER(I1814),IF(I1814&lt;1,I1814,I1814*VLOOKUP(J1814,Summary!$H$2:$I$9,2)),VLOOKUP(J1814,Summary!$J$2:$K$9,2)*IF(ISNUMBER(H1814),H1814,1))</f>
        <v>1.218414351851852</v>
      </c>
      <c r="AG1814" s="287">
        <v>1813</v>
      </c>
      <c r="AH1814" s="94"/>
      <c r="AI1814" s="94"/>
    </row>
    <row r="1815" spans="1:36" s="3" customFormat="1" ht="12" customHeight="1" x14ac:dyDescent="0.25">
      <c r="A1815" s="515" t="s">
        <v>15413</v>
      </c>
      <c r="B1815" s="515">
        <v>5</v>
      </c>
      <c r="C1815" s="515">
        <v>3</v>
      </c>
      <c r="D1815" s="417" t="s">
        <v>5588</v>
      </c>
      <c r="E1815" s="316" t="s">
        <v>5589</v>
      </c>
      <c r="F1815" s="187">
        <v>35643</v>
      </c>
      <c r="G1815" s="188"/>
      <c r="H1815" s="188" t="str">
        <f>IF(J1815="Book","n/a","")</f>
        <v>n/a</v>
      </c>
      <c r="I1815" s="188">
        <v>281</v>
      </c>
      <c r="J1815" s="902" t="s">
        <v>6868</v>
      </c>
      <c r="K1815" s="162" t="s">
        <v>181</v>
      </c>
      <c r="L1815" s="162" t="str">
        <f>IF(J1815="Book","n/a","")</f>
        <v>n/a</v>
      </c>
      <c r="M1815" s="162"/>
      <c r="N1815" s="162"/>
      <c r="O1815" s="162"/>
      <c r="P1815" s="178" t="s">
        <v>8928</v>
      </c>
      <c r="Q1815" s="162" t="s">
        <v>3953</v>
      </c>
      <c r="R1815" s="189" t="s">
        <v>2717</v>
      </c>
      <c r="S1815" s="366" t="s">
        <v>2319</v>
      </c>
      <c r="T1815" s="178"/>
      <c r="U1815" s="178"/>
      <c r="V1815" s="178"/>
      <c r="W1815" s="316" t="s">
        <v>5589</v>
      </c>
      <c r="X1815" s="648" t="s">
        <v>4188</v>
      </c>
      <c r="Y1815" s="356"/>
      <c r="Z1815" s="272"/>
      <c r="AA1815" s="272"/>
      <c r="AB1815" s="34">
        <f t="shared" ca="1" si="37"/>
        <v>0.11878915927478362</v>
      </c>
      <c r="AC1815" s="814"/>
      <c r="AD1815" s="815" t="s">
        <v>16342</v>
      </c>
      <c r="AE1815" s="942" t="s">
        <v>12543</v>
      </c>
      <c r="AF1815" s="923">
        <f>IF(X1815=X1814,AF1814,0)+IF(ISNUMBER(I1815),IF(I1815&lt;1,I1815,I1815*VLOOKUP(J1815,Summary!$H$2:$I$9,2)),VLOOKUP(J1815,Summary!$J$2:$K$9,2)*IF(ISNUMBER(H1815),H1815,1))</f>
        <v>1.413553240740741</v>
      </c>
      <c r="AG1815" s="291">
        <v>1814</v>
      </c>
      <c r="AH1815" s="94"/>
      <c r="AI1815" s="94"/>
    </row>
    <row r="1816" spans="1:36" s="2" customFormat="1" ht="12" customHeight="1" x14ac:dyDescent="0.25">
      <c r="A1816" s="514" t="s">
        <v>15413</v>
      </c>
      <c r="B1816" s="514">
        <v>5</v>
      </c>
      <c r="C1816" s="519">
        <v>3.02</v>
      </c>
      <c r="D1816" s="434" t="s">
        <v>7247</v>
      </c>
      <c r="E1816" s="324" t="s">
        <v>7248</v>
      </c>
      <c r="F1816" s="174">
        <v>36586</v>
      </c>
      <c r="G1816" s="174"/>
      <c r="H1816" s="176">
        <v>2</v>
      </c>
      <c r="I1816" s="176">
        <v>47</v>
      </c>
      <c r="J1816" s="900" t="s">
        <v>2755</v>
      </c>
      <c r="K1816" s="164" t="s">
        <v>4401</v>
      </c>
      <c r="L1816" s="164" t="s">
        <v>461</v>
      </c>
      <c r="M1816" s="164"/>
      <c r="N1816" s="164" t="s">
        <v>4992</v>
      </c>
      <c r="O1816" s="164"/>
      <c r="P1816" s="173" t="s">
        <v>4993</v>
      </c>
      <c r="Q1816" s="164" t="s">
        <v>3953</v>
      </c>
      <c r="R1816" s="177" t="s">
        <v>2723</v>
      </c>
      <c r="S1816" s="354" t="s">
        <v>2319</v>
      </c>
      <c r="T1816" s="173"/>
      <c r="U1816" s="173"/>
      <c r="V1816" s="173"/>
      <c r="W1816" s="324" t="s">
        <v>7248</v>
      </c>
      <c r="X1816" s="656" t="s">
        <v>4188</v>
      </c>
      <c r="Y1816" s="354" t="s">
        <v>6868</v>
      </c>
      <c r="Z1816" s="176">
        <v>999</v>
      </c>
      <c r="AA1816" s="176"/>
      <c r="AB1816" s="32">
        <f t="shared" ca="1" si="37"/>
        <v>0.12592399821174649</v>
      </c>
      <c r="AC1816" s="812"/>
      <c r="AD1816" s="763"/>
      <c r="AE1816" s="951"/>
      <c r="AF1816" s="921">
        <f>IF(X1816=X1815,AF1815,0)+IF(ISNUMBER(I1816),IF(I1816&lt;1,I1816,I1816*VLOOKUP(J1816,Summary!$H$2:$I$9,2)),VLOOKUP(J1816,Summary!$J$2:$K$9,2)*IF(ISNUMBER(H1816),H1816,1))</f>
        <v>1.4461921296296298</v>
      </c>
      <c r="AG1816" s="288">
        <v>1815</v>
      </c>
      <c r="AH1816" s="94"/>
      <c r="AI1816" s="94"/>
      <c r="AJ1816" s="3"/>
    </row>
    <row r="1817" spans="1:36" s="22" customFormat="1" ht="12" customHeight="1" x14ac:dyDescent="0.2">
      <c r="A1817" s="516" t="s">
        <v>15413</v>
      </c>
      <c r="B1817" s="516">
        <v>5</v>
      </c>
      <c r="C1817" s="516">
        <v>76</v>
      </c>
      <c r="D1817" s="428" t="s">
        <v>7286</v>
      </c>
      <c r="E1817" s="325" t="s">
        <v>7285</v>
      </c>
      <c r="F1817" s="183">
        <v>34912</v>
      </c>
      <c r="G1817" s="183">
        <v>34943</v>
      </c>
      <c r="H1817" s="185">
        <v>3</v>
      </c>
      <c r="I1817" s="185">
        <v>21</v>
      </c>
      <c r="J1817" s="901" t="s">
        <v>1796</v>
      </c>
      <c r="K1817" s="163" t="s">
        <v>7374</v>
      </c>
      <c r="L1817" s="163" t="s">
        <v>3835</v>
      </c>
      <c r="M1817" s="163"/>
      <c r="N1817" s="163" t="s">
        <v>2750</v>
      </c>
      <c r="O1817" s="163"/>
      <c r="P1817" s="182" t="s">
        <v>461</v>
      </c>
      <c r="Q1817" s="163" t="s">
        <v>4062</v>
      </c>
      <c r="R1817" s="207" t="s">
        <v>5266</v>
      </c>
      <c r="S1817" s="355" t="s">
        <v>2319</v>
      </c>
      <c r="T1817" s="182"/>
      <c r="U1817" s="182"/>
      <c r="V1817" s="182"/>
      <c r="W1817" s="321"/>
      <c r="X1817" s="653" t="s">
        <v>4188</v>
      </c>
      <c r="Y1817" s="355"/>
      <c r="Z1817" s="185"/>
      <c r="AA1817" s="185"/>
      <c r="AB1817" s="33">
        <f t="shared" ca="1" si="37"/>
        <v>9.7906378599288413E-2</v>
      </c>
      <c r="AC1817" s="813"/>
      <c r="AD1817" s="211" t="s">
        <v>16718</v>
      </c>
      <c r="AE1817" s="941"/>
      <c r="AF1817" s="922">
        <f>IF(X1817=X1816,AF1816,0)+IF(ISNUMBER(I1817),IF(I1817&lt;1,I1817,I1817*VLOOKUP(J1817,Summary!$H$2:$I$9,2)),VLOOKUP(J1817,Summary!$J$2:$K$9,2)*IF(ISNUMBER(H1817),H1817,1))</f>
        <v>1.4534837962962965</v>
      </c>
      <c r="AG1817" s="290">
        <v>1816</v>
      </c>
      <c r="AH1817" s="94"/>
      <c r="AI1817" s="94"/>
    </row>
    <row r="1818" spans="1:36" s="6" customFormat="1" ht="12" customHeight="1" x14ac:dyDescent="0.25">
      <c r="A1818" s="514" t="s">
        <v>15413</v>
      </c>
      <c r="B1818" s="514">
        <v>5</v>
      </c>
      <c r="C1818" s="514">
        <v>14.09</v>
      </c>
      <c r="D1818" s="434" t="s">
        <v>5964</v>
      </c>
      <c r="E1818" s="324" t="s">
        <v>3563</v>
      </c>
      <c r="F1818" s="174">
        <v>38322</v>
      </c>
      <c r="G1818" s="174"/>
      <c r="H1818" s="176">
        <v>1</v>
      </c>
      <c r="I1818" s="176">
        <v>6</v>
      </c>
      <c r="J1818" s="900" t="s">
        <v>2755</v>
      </c>
      <c r="K1818" s="164" t="s">
        <v>5225</v>
      </c>
      <c r="L1818" s="164" t="s">
        <v>461</v>
      </c>
      <c r="M1818" s="164"/>
      <c r="N1818" s="164" t="s">
        <v>3807</v>
      </c>
      <c r="O1818" s="164"/>
      <c r="P1818" s="173" t="s">
        <v>6565</v>
      </c>
      <c r="Q1818" s="164" t="s">
        <v>3947</v>
      </c>
      <c r="R1818" s="179" t="s">
        <v>2723</v>
      </c>
      <c r="S1818" s="354"/>
      <c r="T1818" s="173"/>
      <c r="U1818" s="173"/>
      <c r="V1818" s="173"/>
      <c r="W1818" s="324" t="s">
        <v>3563</v>
      </c>
      <c r="X1818" s="656" t="s">
        <v>4188</v>
      </c>
      <c r="Y1818" s="354"/>
      <c r="Z1818" s="176"/>
      <c r="AA1818" s="176"/>
      <c r="AB1818" s="32">
        <f t="shared" ca="1" si="37"/>
        <v>8.6495930528413978E-2</v>
      </c>
      <c r="AC1818" s="812"/>
      <c r="AD1818" s="763"/>
      <c r="AE1818" s="951"/>
      <c r="AF1818" s="921">
        <f>IF(X1818=X1817,AF1817,0)+IF(ISNUMBER(I1818),IF(I1818&lt;1,I1818,I1818*VLOOKUP(J1818,Summary!$H$2:$I$9,2)),VLOOKUP(J1818,Summary!$J$2:$K$9,2)*IF(ISNUMBER(H1818),H1818,1))</f>
        <v>1.4576504629629632</v>
      </c>
      <c r="AG1818" s="288">
        <v>1817</v>
      </c>
      <c r="AH1818" s="94"/>
      <c r="AI1818" s="94"/>
    </row>
    <row r="1819" spans="1:36" s="1" customFormat="1" ht="12" customHeight="1" x14ac:dyDescent="0.25">
      <c r="A1819" s="515" t="s">
        <v>15413</v>
      </c>
      <c r="B1819" s="515">
        <v>5</v>
      </c>
      <c r="C1819" s="515">
        <v>43</v>
      </c>
      <c r="D1819" s="417" t="s">
        <v>5590</v>
      </c>
      <c r="E1819" s="316" t="s">
        <v>5591</v>
      </c>
      <c r="F1819" s="187">
        <v>37043</v>
      </c>
      <c r="G1819" s="188"/>
      <c r="H1819" s="188" t="str">
        <f>IF(J1819="Book","n/a","")</f>
        <v>n/a</v>
      </c>
      <c r="I1819" s="188">
        <v>288</v>
      </c>
      <c r="J1819" s="902" t="s">
        <v>6868</v>
      </c>
      <c r="K1819" s="162" t="s">
        <v>4034</v>
      </c>
      <c r="L1819" s="162" t="str">
        <f>IF(J1819="Book","n/a","")</f>
        <v>n/a</v>
      </c>
      <c r="M1819" s="162"/>
      <c r="N1819" s="162"/>
      <c r="O1819" s="162"/>
      <c r="P1819" s="178" t="s">
        <v>8968</v>
      </c>
      <c r="Q1819" s="162" t="s">
        <v>3953</v>
      </c>
      <c r="R1819" s="189" t="s">
        <v>2717</v>
      </c>
      <c r="S1819" s="366" t="s">
        <v>2319</v>
      </c>
      <c r="T1819" s="178"/>
      <c r="U1819" s="178"/>
      <c r="V1819" s="178"/>
      <c r="W1819" s="316" t="s">
        <v>5591</v>
      </c>
      <c r="X1819" s="648" t="s">
        <v>4188</v>
      </c>
      <c r="Y1819" s="356"/>
      <c r="Z1819" s="272"/>
      <c r="AA1819" s="272"/>
      <c r="AB1819" s="34">
        <f t="shared" ca="1" si="37"/>
        <v>0.82560069719232976</v>
      </c>
      <c r="AC1819" s="814"/>
      <c r="AD1819" s="815" t="s">
        <v>16345</v>
      </c>
      <c r="AE1819" s="942"/>
      <c r="AF1819" s="923">
        <f>IF(X1819=X1818,AF1818,0)+IF(ISNUMBER(I1819),IF(I1819&lt;1,I1819,I1819*VLOOKUP(J1819,Summary!$H$2:$I$9,2)),VLOOKUP(J1819,Summary!$J$2:$K$9,2)*IF(ISNUMBER(H1819),H1819,1))</f>
        <v>1.6576504629629631</v>
      </c>
      <c r="AG1819" s="291">
        <v>1818</v>
      </c>
      <c r="AH1819" s="94"/>
      <c r="AI1819" s="94"/>
    </row>
    <row r="1820" spans="1:36" s="6" customFormat="1" ht="12" customHeight="1" x14ac:dyDescent="0.25">
      <c r="A1820" s="514" t="s">
        <v>15413</v>
      </c>
      <c r="B1820" s="514">
        <v>5</v>
      </c>
      <c r="C1820" s="514">
        <v>1.06</v>
      </c>
      <c r="D1820" s="434" t="s">
        <v>6999</v>
      </c>
      <c r="E1820" s="324" t="s">
        <v>7283</v>
      </c>
      <c r="F1820" s="176">
        <v>1994</v>
      </c>
      <c r="G1820" s="176"/>
      <c r="H1820" s="176">
        <v>1</v>
      </c>
      <c r="I1820" s="176">
        <v>27</v>
      </c>
      <c r="J1820" s="900" t="s">
        <v>2755</v>
      </c>
      <c r="K1820" s="164" t="s">
        <v>7378</v>
      </c>
      <c r="L1820" s="164" t="s">
        <v>461</v>
      </c>
      <c r="M1820" s="164"/>
      <c r="N1820" s="164" t="s">
        <v>7001</v>
      </c>
      <c r="O1820" s="164"/>
      <c r="P1820" s="173" t="s">
        <v>7002</v>
      </c>
      <c r="Q1820" s="164" t="s">
        <v>6548</v>
      </c>
      <c r="R1820" s="179" t="s">
        <v>4598</v>
      </c>
      <c r="S1820" s="354" t="s">
        <v>2319</v>
      </c>
      <c r="T1820" s="173"/>
      <c r="U1820" s="173"/>
      <c r="V1820" s="173"/>
      <c r="W1820" s="324" t="s">
        <v>7283</v>
      </c>
      <c r="X1820" s="656" t="s">
        <v>4188</v>
      </c>
      <c r="Y1820" s="354" t="s">
        <v>6868</v>
      </c>
      <c r="Z1820" s="176">
        <v>999</v>
      </c>
      <c r="AA1820" s="176"/>
      <c r="AB1820" s="32">
        <f t="shared" ca="1" si="37"/>
        <v>0.39173888931445</v>
      </c>
      <c r="AC1820" s="812"/>
      <c r="AD1820" s="763"/>
      <c r="AE1820" s="951"/>
      <c r="AF1820" s="921">
        <f>IF(X1820=X1819,AF1819,0)+IF(ISNUMBER(I1820),IF(I1820&lt;1,I1820,I1820*VLOOKUP(J1820,Summary!$H$2:$I$9,2)),VLOOKUP(J1820,Summary!$J$2:$K$9,2)*IF(ISNUMBER(H1820),H1820,1))</f>
        <v>1.6764004629629632</v>
      </c>
      <c r="AG1820" s="288">
        <v>1819</v>
      </c>
      <c r="AH1820" s="94"/>
      <c r="AI1820" s="94"/>
    </row>
    <row r="1821" spans="1:36" s="3" customFormat="1" ht="12" customHeight="1" x14ac:dyDescent="0.25">
      <c r="A1821" s="517" t="s">
        <v>15413</v>
      </c>
      <c r="B1821" s="517">
        <v>5</v>
      </c>
      <c r="C1821" s="518">
        <v>3.05</v>
      </c>
      <c r="D1821" s="192" t="s">
        <v>485</v>
      </c>
      <c r="E1821" s="317" t="s">
        <v>6053</v>
      </c>
      <c r="F1821" s="191">
        <v>40664</v>
      </c>
      <c r="G1821" s="191"/>
      <c r="H1821" s="192">
        <v>1</v>
      </c>
      <c r="I1821" s="753">
        <f>TIME(0,16,38)</f>
        <v>1.1550925925925925E-2</v>
      </c>
      <c r="J1821" s="903" t="s">
        <v>2755</v>
      </c>
      <c r="K1821" s="194" t="s">
        <v>2697</v>
      </c>
      <c r="L1821" s="194" t="s">
        <v>3426</v>
      </c>
      <c r="M1821" s="194" t="s">
        <v>497</v>
      </c>
      <c r="N1821" s="194"/>
      <c r="O1821" s="194"/>
      <c r="P1821" s="190" t="s">
        <v>6698</v>
      </c>
      <c r="Q1821" s="194" t="s">
        <v>3947</v>
      </c>
      <c r="R1821" s="193" t="s">
        <v>2722</v>
      </c>
      <c r="S1821" s="357" t="s">
        <v>2319</v>
      </c>
      <c r="T1821" s="190"/>
      <c r="U1821" s="190"/>
      <c r="V1821" s="190"/>
      <c r="W1821" s="317" t="s">
        <v>6053</v>
      </c>
      <c r="X1821" s="649" t="s">
        <v>4188</v>
      </c>
      <c r="Y1821" s="357" t="s">
        <v>5643</v>
      </c>
      <c r="Z1821" s="192">
        <v>999</v>
      </c>
      <c r="AA1821" s="192"/>
      <c r="AB1821" s="37">
        <f t="shared" ca="1" si="37"/>
        <v>0.70776648693302446</v>
      </c>
      <c r="AC1821" s="816"/>
      <c r="AD1821" s="817"/>
      <c r="AE1821" s="943"/>
      <c r="AF1821" s="924">
        <f>IF(X1821=X1820,AF1820,0)+IF(ISNUMBER(I1821),IF(I1821&lt;1,I1821,I1821*VLOOKUP(J1821,Summary!$H$2:$I$9,2)),VLOOKUP(J1821,Summary!$J$2:$K$9,2)*IF(ISNUMBER(H1821),H1821,1))</f>
        <v>1.6879513888888891</v>
      </c>
      <c r="AG1821" s="292">
        <v>1820</v>
      </c>
      <c r="AH1821" s="94"/>
      <c r="AI1821" s="94"/>
    </row>
    <row r="1822" spans="1:36" s="6" customFormat="1" ht="12" customHeight="1" x14ac:dyDescent="0.25">
      <c r="A1822" s="514" t="s">
        <v>15413</v>
      </c>
      <c r="B1822" s="514">
        <v>5</v>
      </c>
      <c r="C1822" s="514">
        <v>5.15</v>
      </c>
      <c r="D1822" s="176" t="s">
        <v>6887</v>
      </c>
      <c r="E1822" s="313" t="s">
        <v>6894</v>
      </c>
      <c r="F1822" s="174">
        <v>37681</v>
      </c>
      <c r="G1822" s="174"/>
      <c r="H1822" s="176">
        <v>1</v>
      </c>
      <c r="I1822" s="176">
        <v>19</v>
      </c>
      <c r="J1822" s="900" t="s">
        <v>2755</v>
      </c>
      <c r="K1822" s="164" t="s">
        <v>6997</v>
      </c>
      <c r="L1822" s="164" t="s">
        <v>461</v>
      </c>
      <c r="M1822" s="164"/>
      <c r="N1822" s="164" t="s">
        <v>4552</v>
      </c>
      <c r="O1822" s="164"/>
      <c r="P1822" s="173" t="s">
        <v>6556</v>
      </c>
      <c r="Q1822" s="164" t="s">
        <v>3947</v>
      </c>
      <c r="R1822" s="177" t="s">
        <v>2723</v>
      </c>
      <c r="S1822" s="354" t="s">
        <v>2319</v>
      </c>
      <c r="T1822" s="173"/>
      <c r="U1822" s="173"/>
      <c r="V1822" s="173"/>
      <c r="W1822" s="313" t="s">
        <v>6894</v>
      </c>
      <c r="X1822" s="645" t="s">
        <v>4188</v>
      </c>
      <c r="Y1822" s="354"/>
      <c r="Z1822" s="176"/>
      <c r="AA1822" s="176"/>
      <c r="AB1822" s="32">
        <f t="shared" ca="1" si="37"/>
        <v>0.21165740350698736</v>
      </c>
      <c r="AC1822" s="812"/>
      <c r="AD1822" s="763"/>
      <c r="AE1822" s="807"/>
      <c r="AF1822" s="921">
        <f>IF(X1822=X1821,AF1821,0)+IF(ISNUMBER(I1822),IF(I1822&lt;1,I1822,I1822*VLOOKUP(J1822,Summary!$H$2:$I$9,2)),VLOOKUP(J1822,Summary!$J$2:$K$9,2)*IF(ISNUMBER(H1822),H1822,1))</f>
        <v>1.7011458333333336</v>
      </c>
      <c r="AG1822" s="289">
        <v>1821</v>
      </c>
      <c r="AH1822" s="94"/>
      <c r="AI1822" s="94"/>
    </row>
    <row r="1823" spans="1:36" s="6" customFormat="1" ht="12" customHeight="1" x14ac:dyDescent="0.25">
      <c r="A1823" s="514" t="s">
        <v>15413</v>
      </c>
      <c r="B1823" s="514">
        <v>5</v>
      </c>
      <c r="C1823" s="514">
        <v>16.09</v>
      </c>
      <c r="D1823" s="434" t="s">
        <v>3003</v>
      </c>
      <c r="E1823" s="324" t="s">
        <v>3004</v>
      </c>
      <c r="F1823" s="174">
        <v>38473</v>
      </c>
      <c r="G1823" s="174"/>
      <c r="H1823" s="176">
        <v>1</v>
      </c>
      <c r="I1823" s="176">
        <v>12</v>
      </c>
      <c r="J1823" s="900" t="s">
        <v>2755</v>
      </c>
      <c r="K1823" s="164" t="s">
        <v>4944</v>
      </c>
      <c r="L1823" s="164" t="s">
        <v>461</v>
      </c>
      <c r="M1823" s="164"/>
      <c r="N1823" s="164" t="s">
        <v>7381</v>
      </c>
      <c r="O1823" s="164"/>
      <c r="P1823" s="173" t="s">
        <v>1652</v>
      </c>
      <c r="Q1823" s="164" t="s">
        <v>3947</v>
      </c>
      <c r="R1823" s="179" t="s">
        <v>2723</v>
      </c>
      <c r="S1823" s="354" t="s">
        <v>2319</v>
      </c>
      <c r="T1823" s="173"/>
      <c r="U1823" s="173"/>
      <c r="V1823" s="173"/>
      <c r="W1823" s="324" t="s">
        <v>3004</v>
      </c>
      <c r="X1823" s="656" t="s">
        <v>4188</v>
      </c>
      <c r="Y1823" s="354"/>
      <c r="Z1823" s="176"/>
      <c r="AA1823" s="176"/>
      <c r="AB1823" s="32">
        <f t="shared" ca="1" si="37"/>
        <v>6.6861942376737926E-2</v>
      </c>
      <c r="AC1823" s="812"/>
      <c r="AD1823" s="763"/>
      <c r="AE1823" s="951"/>
      <c r="AF1823" s="921">
        <f>IF(X1823=X1822,AF1822,0)+IF(ISNUMBER(I1823),IF(I1823&lt;1,I1823,I1823*VLOOKUP(J1823,Summary!$H$2:$I$9,2)),VLOOKUP(J1823,Summary!$J$2:$K$9,2)*IF(ISNUMBER(H1823),H1823,1))</f>
        <v>1.7094791666666669</v>
      </c>
      <c r="AG1823" s="288">
        <v>1822</v>
      </c>
      <c r="AH1823" s="94"/>
      <c r="AI1823" s="94"/>
    </row>
    <row r="1824" spans="1:36" s="3" customFormat="1" ht="12" customHeight="1" x14ac:dyDescent="0.25">
      <c r="A1824" s="512" t="s">
        <v>15413</v>
      </c>
      <c r="B1824" s="512">
        <v>5</v>
      </c>
      <c r="C1824" s="512">
        <v>95.1</v>
      </c>
      <c r="D1824" s="407" t="s">
        <v>5592</v>
      </c>
      <c r="E1824" s="315" t="s">
        <v>5593</v>
      </c>
      <c r="F1824" s="169">
        <v>39203</v>
      </c>
      <c r="G1824" s="170"/>
      <c r="H1824" s="170">
        <v>3</v>
      </c>
      <c r="I1824" s="746">
        <f>TIME(1,27,58)</f>
        <v>6.1087962962962962E-2</v>
      </c>
      <c r="J1824" s="899" t="s">
        <v>4706</v>
      </c>
      <c r="K1824" s="167" t="s">
        <v>2911</v>
      </c>
      <c r="L1824" s="167" t="s">
        <v>3296</v>
      </c>
      <c r="M1824" s="167"/>
      <c r="N1824" s="167"/>
      <c r="O1824" s="167"/>
      <c r="P1824" s="168"/>
      <c r="Q1824" s="167" t="s">
        <v>3947</v>
      </c>
      <c r="R1824" s="172" t="s">
        <v>3146</v>
      </c>
      <c r="S1824" s="388" t="s">
        <v>2319</v>
      </c>
      <c r="T1824" s="168"/>
      <c r="U1824" s="168"/>
      <c r="V1824" s="168"/>
      <c r="W1824" s="312" t="s">
        <v>9350</v>
      </c>
      <c r="X1824" s="644" t="s">
        <v>4188</v>
      </c>
      <c r="Y1824" s="352" t="s">
        <v>5398</v>
      </c>
      <c r="Z1824" s="353">
        <v>460</v>
      </c>
      <c r="AA1824" s="353">
        <v>4.5</v>
      </c>
      <c r="AB1824" s="40">
        <f t="shared" ca="1" si="37"/>
        <v>0.81843322544929253</v>
      </c>
      <c r="AC1824" s="810"/>
      <c r="AD1824" s="811" t="s">
        <v>16179</v>
      </c>
      <c r="AE1824" s="940" t="s">
        <v>3365</v>
      </c>
      <c r="AF1824" s="920">
        <f>IF(X1824=X1823,AF1823,0)+IF(ISNUMBER(I1824),IF(I1824&lt;1,I1824,I1824*VLOOKUP(J1824,Summary!$H$2:$I$9,2)),VLOOKUP(J1824,Summary!$J$2:$K$9,2)*IF(ISNUMBER(H1824),H1824,1))</f>
        <v>1.7705671296296299</v>
      </c>
      <c r="AG1824" s="287">
        <v>1823</v>
      </c>
      <c r="AH1824" s="94"/>
      <c r="AI1824" s="94"/>
    </row>
    <row r="1825" spans="1:36" s="6" customFormat="1" ht="12" customHeight="1" x14ac:dyDescent="0.25">
      <c r="A1825" s="512" t="s">
        <v>15413</v>
      </c>
      <c r="B1825" s="512">
        <v>5</v>
      </c>
      <c r="C1825" s="512">
        <v>95.2</v>
      </c>
      <c r="D1825" s="407" t="s">
        <v>5594</v>
      </c>
      <c r="E1825" s="315" t="s">
        <v>5595</v>
      </c>
      <c r="F1825" s="169">
        <v>39203</v>
      </c>
      <c r="G1825" s="170"/>
      <c r="H1825" s="170">
        <v>1</v>
      </c>
      <c r="I1825" s="746">
        <f>TIME(0,22,55)</f>
        <v>1.5914351851851853E-2</v>
      </c>
      <c r="J1825" s="899" t="s">
        <v>4706</v>
      </c>
      <c r="K1825" s="167" t="s">
        <v>2911</v>
      </c>
      <c r="L1825" s="167" t="s">
        <v>3296</v>
      </c>
      <c r="M1825" s="167"/>
      <c r="N1825" s="167"/>
      <c r="O1825" s="167"/>
      <c r="P1825" s="168"/>
      <c r="Q1825" s="167" t="s">
        <v>3947</v>
      </c>
      <c r="R1825" s="172" t="s">
        <v>3146</v>
      </c>
      <c r="S1825" s="388" t="s">
        <v>2319</v>
      </c>
      <c r="T1825" s="168"/>
      <c r="U1825" s="168"/>
      <c r="V1825" s="168"/>
      <c r="W1825" s="315" t="s">
        <v>5595</v>
      </c>
      <c r="X1825" s="647" t="s">
        <v>4188</v>
      </c>
      <c r="Y1825" s="352" t="s">
        <v>5398</v>
      </c>
      <c r="Z1825" s="353">
        <v>130</v>
      </c>
      <c r="AA1825" s="353">
        <v>7</v>
      </c>
      <c r="AB1825" s="40">
        <f t="shared" ca="1" si="37"/>
        <v>0.84535852506208709</v>
      </c>
      <c r="AC1825" s="810"/>
      <c r="AD1825" s="811" t="s">
        <v>15085</v>
      </c>
      <c r="AE1825" s="948" t="s">
        <v>3365</v>
      </c>
      <c r="AF1825" s="920">
        <f>IF(X1825=X1824,AF1824,0)+IF(ISNUMBER(I1825),IF(I1825&lt;1,I1825,I1825*VLOOKUP(J1825,Summary!$H$2:$I$9,2)),VLOOKUP(J1825,Summary!$J$2:$K$9,2)*IF(ISNUMBER(H1825),H1825,1))</f>
        <v>1.7864814814814818</v>
      </c>
      <c r="AG1825" s="287">
        <v>1824</v>
      </c>
      <c r="AH1825" s="94"/>
      <c r="AI1825" s="94"/>
    </row>
    <row r="1826" spans="1:36" s="6" customFormat="1" ht="12" customHeight="1" x14ac:dyDescent="0.25">
      <c r="A1826" s="517" t="s">
        <v>15413</v>
      </c>
      <c r="B1826" s="517">
        <v>5</v>
      </c>
      <c r="C1826" s="517">
        <v>28.11</v>
      </c>
      <c r="D1826" s="463" t="s">
        <v>7282</v>
      </c>
      <c r="E1826" s="330" t="s">
        <v>7277</v>
      </c>
      <c r="F1826" s="191">
        <v>39630</v>
      </c>
      <c r="G1826" s="191"/>
      <c r="H1826" s="192" t="s">
        <v>461</v>
      </c>
      <c r="I1826" s="192">
        <v>16</v>
      </c>
      <c r="J1826" s="903" t="s">
        <v>2755</v>
      </c>
      <c r="K1826" s="194" t="s">
        <v>2310</v>
      </c>
      <c r="L1826" s="194" t="s">
        <v>461</v>
      </c>
      <c r="M1826" s="194" t="s">
        <v>13152</v>
      </c>
      <c r="N1826" s="194" t="s">
        <v>185</v>
      </c>
      <c r="O1826" s="194"/>
      <c r="P1826" s="190" t="s">
        <v>6704</v>
      </c>
      <c r="Q1826" s="194" t="s">
        <v>3947</v>
      </c>
      <c r="R1826" s="221" t="s">
        <v>2723</v>
      </c>
      <c r="S1826" s="357" t="s">
        <v>2319</v>
      </c>
      <c r="T1826" s="190"/>
      <c r="U1826" s="190"/>
      <c r="V1826" s="190"/>
      <c r="W1826" s="330" t="s">
        <v>7277</v>
      </c>
      <c r="X1826" s="662" t="s">
        <v>4188</v>
      </c>
      <c r="Y1826" s="357"/>
      <c r="Z1826" s="192"/>
      <c r="AA1826" s="192"/>
      <c r="AB1826" s="37">
        <f t="shared" ca="1" si="37"/>
        <v>1.8268119759574764E-2</v>
      </c>
      <c r="AC1826" s="816"/>
      <c r="AD1826" s="817"/>
      <c r="AE1826" s="955"/>
      <c r="AF1826" s="924">
        <f>IF(X1826=X1825,AF1825,0)+IF(ISNUMBER(I1826),IF(I1826&lt;1,I1826,I1826*VLOOKUP(J1826,Summary!$H$2:$I$9,2)),VLOOKUP(J1826,Summary!$J$2:$K$9,2)*IF(ISNUMBER(H1826),H1826,1))</f>
        <v>1.7975925925925929</v>
      </c>
      <c r="AG1826" s="298">
        <v>1825</v>
      </c>
      <c r="AH1826" s="94"/>
      <c r="AI1826" s="94"/>
    </row>
    <row r="1827" spans="1:36" s="22" customFormat="1" ht="12" customHeight="1" x14ac:dyDescent="0.25">
      <c r="A1827" s="517" t="s">
        <v>15413</v>
      </c>
      <c r="B1827" s="517">
        <v>5</v>
      </c>
      <c r="C1827" s="518">
        <v>0.12</v>
      </c>
      <c r="D1827" s="192" t="s">
        <v>13153</v>
      </c>
      <c r="E1827" s="317" t="s">
        <v>13154</v>
      </c>
      <c r="F1827" s="191">
        <v>41153</v>
      </c>
      <c r="G1827" s="209"/>
      <c r="H1827" s="192" t="s">
        <v>461</v>
      </c>
      <c r="I1827" s="753"/>
      <c r="J1827" s="903" t="s">
        <v>2755</v>
      </c>
      <c r="K1827" s="194" t="s">
        <v>10214</v>
      </c>
      <c r="L1827" s="194" t="s">
        <v>3365</v>
      </c>
      <c r="M1827" s="194" t="s">
        <v>9290</v>
      </c>
      <c r="N1827" s="194"/>
      <c r="O1827" s="194"/>
      <c r="P1827" s="190" t="s">
        <v>461</v>
      </c>
      <c r="Q1827" s="194" t="s">
        <v>3947</v>
      </c>
      <c r="R1827" s="193" t="s">
        <v>2722</v>
      </c>
      <c r="S1827" s="354" t="s">
        <v>2319</v>
      </c>
      <c r="T1827" s="190"/>
      <c r="U1827" s="190"/>
      <c r="V1827" s="190"/>
      <c r="W1827" s="317" t="s">
        <v>13154</v>
      </c>
      <c r="X1827" s="649" t="s">
        <v>4188</v>
      </c>
      <c r="Y1827" s="357"/>
      <c r="Z1827" s="192"/>
      <c r="AA1827" s="192"/>
      <c r="AB1827" s="37">
        <f t="shared" ca="1" si="37"/>
        <v>0.13711874956734516</v>
      </c>
      <c r="AC1827" s="816"/>
      <c r="AD1827" s="893"/>
      <c r="AE1827" s="943"/>
      <c r="AF1827" s="924">
        <f>IF(X1827=X1826,AF1826,0)+IF(ISNUMBER(I1827),IF(I1827&lt;1,I1827,I1827*VLOOKUP(J1827,Summary!$H$2:$I$9,2)),VLOOKUP(J1827,Summary!$J$2:$K$9,2)*IF(ISNUMBER(H1827),H1827,1))</f>
        <v>1.814953703703704</v>
      </c>
      <c r="AG1827" s="292">
        <v>1826</v>
      </c>
      <c r="AH1827" s="94"/>
      <c r="AI1827" s="94"/>
    </row>
    <row r="1828" spans="1:36" s="6" customFormat="1" ht="12" customHeight="1" x14ac:dyDescent="0.25">
      <c r="A1828" s="507" t="s">
        <v>2650</v>
      </c>
      <c r="B1828" s="507" t="s">
        <v>2650</v>
      </c>
      <c r="C1828" s="474">
        <v>2</v>
      </c>
      <c r="D1828" s="417"/>
      <c r="E1828" s="316" t="s">
        <v>6218</v>
      </c>
      <c r="F1828" s="187">
        <v>38626</v>
      </c>
      <c r="G1828" s="188"/>
      <c r="H1828" s="188" t="str">
        <f>IF(J1828="Book","n/a","")</f>
        <v>n/a</v>
      </c>
      <c r="I1828" s="188">
        <v>184</v>
      </c>
      <c r="J1828" s="902" t="s">
        <v>6868</v>
      </c>
      <c r="K1828" s="162" t="s">
        <v>4424</v>
      </c>
      <c r="L1828" s="162" t="str">
        <f>IF(J1828="Book","n/a","")</f>
        <v>n/a</v>
      </c>
      <c r="M1828" s="162"/>
      <c r="N1828" s="162"/>
      <c r="O1828" s="162"/>
      <c r="P1828" s="178" t="s">
        <v>6219</v>
      </c>
      <c r="Q1828" s="162" t="s">
        <v>3947</v>
      </c>
      <c r="R1828" s="189" t="s">
        <v>6217</v>
      </c>
      <c r="S1828" s="366"/>
      <c r="T1828" s="178" t="s">
        <v>7311</v>
      </c>
      <c r="U1828" s="178"/>
      <c r="V1828" s="178"/>
      <c r="W1828" s="316" t="s">
        <v>6218</v>
      </c>
      <c r="X1828" s="648" t="s">
        <v>12464</v>
      </c>
      <c r="Y1828" s="356"/>
      <c r="Z1828" s="272"/>
      <c r="AA1828" s="272"/>
      <c r="AB1828" s="34">
        <f t="shared" ca="1" si="37"/>
        <v>0.32635086337300612</v>
      </c>
      <c r="AC1828" s="814"/>
      <c r="AD1828" s="818" t="s">
        <v>15857</v>
      </c>
      <c r="AE1828" s="942" t="s">
        <v>12543</v>
      </c>
      <c r="AF1828" s="923">
        <f>IF(X1828=X1827,AF1827,0)+IF(ISNUMBER(I1828),IF(I1828&lt;1,I1828,I1828*VLOOKUP(J1828,Summary!$H$2:$I$9,2)),VLOOKUP(J1828,Summary!$J$2:$K$9,2)*IF(ISNUMBER(H1828),H1828,1))</f>
        <v>0.1277777777777778</v>
      </c>
      <c r="AG1828" s="291">
        <v>1827</v>
      </c>
      <c r="AH1828" s="94"/>
      <c r="AI1828" s="94"/>
    </row>
    <row r="1829" spans="1:36" s="43" customFormat="1" ht="12" customHeight="1" x14ac:dyDescent="0.25">
      <c r="A1829" s="512" t="s">
        <v>15662</v>
      </c>
      <c r="B1829" s="512">
        <v>5</v>
      </c>
      <c r="C1829" s="512">
        <v>24</v>
      </c>
      <c r="D1829" s="407" t="s">
        <v>5596</v>
      </c>
      <c r="E1829" s="315" t="s">
        <v>3939</v>
      </c>
      <c r="F1829" s="196">
        <v>37151</v>
      </c>
      <c r="G1829" s="170"/>
      <c r="H1829" s="170">
        <v>4</v>
      </c>
      <c r="I1829" s="746">
        <f>TIME(1,53,23)</f>
        <v>7.8738425925925934E-2</v>
      </c>
      <c r="J1829" s="899" t="s">
        <v>4706</v>
      </c>
      <c r="K1829" s="167" t="s">
        <v>4035</v>
      </c>
      <c r="L1829" s="167" t="s">
        <v>7375</v>
      </c>
      <c r="M1829" s="167"/>
      <c r="N1829" s="167"/>
      <c r="O1829" s="167" t="s">
        <v>2909</v>
      </c>
      <c r="P1829" s="168"/>
      <c r="Q1829" s="167" t="s">
        <v>3947</v>
      </c>
      <c r="R1829" s="172" t="s">
        <v>3146</v>
      </c>
      <c r="S1829" s="388" t="s">
        <v>2319</v>
      </c>
      <c r="T1829" s="168" t="s">
        <v>7311</v>
      </c>
      <c r="U1829" s="168"/>
      <c r="V1829" s="168"/>
      <c r="W1829" s="312" t="s">
        <v>9585</v>
      </c>
      <c r="X1829" s="644" t="s">
        <v>12464</v>
      </c>
      <c r="Y1829" s="352" t="s">
        <v>5643</v>
      </c>
      <c r="Z1829" s="353">
        <v>59</v>
      </c>
      <c r="AA1829" s="353">
        <v>8</v>
      </c>
      <c r="AB1829" s="40">
        <f t="shared" ca="1" si="37"/>
        <v>0.96846830422659325</v>
      </c>
      <c r="AC1829" s="810"/>
      <c r="AD1829" s="825" t="s">
        <v>15047</v>
      </c>
      <c r="AE1829" s="940" t="s">
        <v>12543</v>
      </c>
      <c r="AF1829" s="920">
        <f>IF(X1829=X1828,AF1828,0)+IF(ISNUMBER(I1829),IF(I1829&lt;1,I1829,I1829*VLOOKUP(J1829,Summary!$H$2:$I$9,2)),VLOOKUP(J1829,Summary!$J$2:$K$9,2)*IF(ISNUMBER(H1829),H1829,1))</f>
        <v>0.20651620370370372</v>
      </c>
      <c r="AG1829" s="287">
        <v>1828</v>
      </c>
      <c r="AH1829" s="94"/>
      <c r="AI1829" s="94"/>
    </row>
    <row r="1830" spans="1:36" s="43" customFormat="1" ht="12" customHeight="1" x14ac:dyDescent="0.25">
      <c r="A1830" s="512" t="s">
        <v>15662</v>
      </c>
      <c r="B1830" s="512">
        <v>5</v>
      </c>
      <c r="C1830" s="512">
        <v>38</v>
      </c>
      <c r="D1830" s="407" t="s">
        <v>3940</v>
      </c>
      <c r="E1830" s="315" t="s">
        <v>3941</v>
      </c>
      <c r="F1830" s="196">
        <v>37588</v>
      </c>
      <c r="G1830" s="170"/>
      <c r="H1830" s="170">
        <v>4</v>
      </c>
      <c r="I1830" s="746">
        <f>TIME(1,43,1)</f>
        <v>7.1539351851851854E-2</v>
      </c>
      <c r="J1830" s="899" t="s">
        <v>4706</v>
      </c>
      <c r="K1830" s="167" t="s">
        <v>5146</v>
      </c>
      <c r="L1830" s="167" t="s">
        <v>7375</v>
      </c>
      <c r="M1830" s="167"/>
      <c r="N1830" s="167"/>
      <c r="O1830" s="167" t="s">
        <v>2909</v>
      </c>
      <c r="P1830" s="168"/>
      <c r="Q1830" s="167" t="s">
        <v>3947</v>
      </c>
      <c r="R1830" s="172" t="s">
        <v>3146</v>
      </c>
      <c r="S1830" s="388" t="s">
        <v>2319</v>
      </c>
      <c r="T1830" s="168" t="s">
        <v>7311</v>
      </c>
      <c r="U1830" s="168"/>
      <c r="V1830" s="168"/>
      <c r="W1830" s="312" t="s">
        <v>8766</v>
      </c>
      <c r="X1830" s="644" t="s">
        <v>12464</v>
      </c>
      <c r="Y1830" s="352" t="s">
        <v>5643</v>
      </c>
      <c r="Z1830" s="353">
        <v>14</v>
      </c>
      <c r="AA1830" s="353">
        <v>9.5</v>
      </c>
      <c r="AB1830" s="40">
        <f t="shared" ca="1" si="37"/>
        <v>0.1096426656796945</v>
      </c>
      <c r="AC1830" s="810"/>
      <c r="AD1830" s="811" t="s">
        <v>15114</v>
      </c>
      <c r="AE1830" s="940"/>
      <c r="AF1830" s="920">
        <f>IF(X1830=X1829,AF1829,0)+IF(ISNUMBER(I1830),IF(I1830&lt;1,I1830,I1830*VLOOKUP(J1830,Summary!$H$2:$I$9,2)),VLOOKUP(J1830,Summary!$J$2:$K$9,2)*IF(ISNUMBER(H1830),H1830,1))</f>
        <v>0.27805555555555556</v>
      </c>
      <c r="AG1830" s="287">
        <v>1829</v>
      </c>
      <c r="AH1830" s="94"/>
      <c r="AI1830" s="94"/>
    </row>
    <row r="1831" spans="1:36" s="6" customFormat="1" ht="12" customHeight="1" x14ac:dyDescent="0.25">
      <c r="A1831" s="512" t="s">
        <v>15662</v>
      </c>
      <c r="B1831" s="512">
        <v>5</v>
      </c>
      <c r="C1831" s="512">
        <v>3</v>
      </c>
      <c r="D1831" s="407" t="s">
        <v>3942</v>
      </c>
      <c r="E1831" s="315" t="s">
        <v>3943</v>
      </c>
      <c r="F1831" s="196">
        <v>37630</v>
      </c>
      <c r="G1831" s="170"/>
      <c r="H1831" s="170">
        <v>1</v>
      </c>
      <c r="I1831" s="746">
        <f>TIME(0,33,33)</f>
        <v>2.3298611111111107E-2</v>
      </c>
      <c r="J1831" s="899" t="s">
        <v>4706</v>
      </c>
      <c r="K1831" s="167" t="s">
        <v>4035</v>
      </c>
      <c r="L1831" s="167" t="s">
        <v>7375</v>
      </c>
      <c r="M1831" s="167"/>
      <c r="N1831" s="167"/>
      <c r="O1831" s="167" t="s">
        <v>2909</v>
      </c>
      <c r="P1831" s="168" t="s">
        <v>461</v>
      </c>
      <c r="Q1831" s="167" t="s">
        <v>3947</v>
      </c>
      <c r="R1831" s="172" t="s">
        <v>4315</v>
      </c>
      <c r="S1831" s="388" t="s">
        <v>2319</v>
      </c>
      <c r="T1831" s="168" t="s">
        <v>7311</v>
      </c>
      <c r="U1831" s="168" t="s">
        <v>3959</v>
      </c>
      <c r="V1831" s="168"/>
      <c r="W1831" s="312" t="s">
        <v>3943</v>
      </c>
      <c r="X1831" s="644" t="s">
        <v>12464</v>
      </c>
      <c r="Y1831" s="352" t="s">
        <v>5643</v>
      </c>
      <c r="Z1831" s="353">
        <v>337</v>
      </c>
      <c r="AA1831" s="353">
        <v>5</v>
      </c>
      <c r="AB1831" s="40">
        <f t="shared" ca="1" si="37"/>
        <v>0.30972644630790835</v>
      </c>
      <c r="AC1831" s="810"/>
      <c r="AD1831" s="811"/>
      <c r="AE1831" s="940"/>
      <c r="AF1831" s="920">
        <f>IF(X1831=X1830,AF1830,0)+IF(ISNUMBER(I1831),IF(I1831&lt;1,I1831,I1831*VLOOKUP(J1831,Summary!$H$2:$I$9,2)),VLOOKUP(J1831,Summary!$J$2:$K$9,2)*IF(ISNUMBER(H1831),H1831,1))</f>
        <v>0.30135416666666665</v>
      </c>
      <c r="AG1831" s="287">
        <v>1830</v>
      </c>
      <c r="AH1831" s="94"/>
      <c r="AI1831" s="94"/>
    </row>
    <row r="1832" spans="1:36" s="6" customFormat="1" ht="12" customHeight="1" x14ac:dyDescent="0.25">
      <c r="A1832" s="512" t="s">
        <v>15662</v>
      </c>
      <c r="B1832" s="512">
        <v>5</v>
      </c>
      <c r="C1832" s="512">
        <v>41</v>
      </c>
      <c r="D1832" s="407" t="s">
        <v>3944</v>
      </c>
      <c r="E1832" s="315" t="s">
        <v>3945</v>
      </c>
      <c r="F1832" s="196">
        <v>37680</v>
      </c>
      <c r="G1832" s="170"/>
      <c r="H1832" s="170">
        <v>4</v>
      </c>
      <c r="I1832" s="746">
        <f>TIME(1,49,56)</f>
        <v>7.6342592592592587E-2</v>
      </c>
      <c r="J1832" s="899" t="s">
        <v>4706</v>
      </c>
      <c r="K1832" s="167" t="s">
        <v>5147</v>
      </c>
      <c r="L1832" s="167" t="s">
        <v>6231</v>
      </c>
      <c r="M1832" s="167"/>
      <c r="N1832" s="167"/>
      <c r="O1832" s="167" t="s">
        <v>2909</v>
      </c>
      <c r="P1832" s="168"/>
      <c r="Q1832" s="167" t="s">
        <v>3947</v>
      </c>
      <c r="R1832" s="172" t="s">
        <v>3146</v>
      </c>
      <c r="S1832" s="388" t="s">
        <v>2319</v>
      </c>
      <c r="T1832" s="168" t="s">
        <v>7311</v>
      </c>
      <c r="U1832" s="168"/>
      <c r="V1832" s="168"/>
      <c r="W1832" s="312" t="s">
        <v>9641</v>
      </c>
      <c r="X1832" s="644" t="s">
        <v>12464</v>
      </c>
      <c r="Y1832" s="352" t="s">
        <v>5398</v>
      </c>
      <c r="Z1832" s="353">
        <v>702</v>
      </c>
      <c r="AA1832" s="353">
        <v>0.5</v>
      </c>
      <c r="AB1832" s="40">
        <f t="shared" ca="1" si="37"/>
        <v>4.5848475478280748E-2</v>
      </c>
      <c r="AC1832" s="810"/>
      <c r="AD1832" s="811"/>
      <c r="AE1832" s="940"/>
      <c r="AF1832" s="920">
        <f>IF(X1832=X1831,AF1831,0)+IF(ISNUMBER(I1832),IF(I1832&lt;1,I1832,I1832*VLOOKUP(J1832,Summary!$H$2:$I$9,2)),VLOOKUP(J1832,Summary!$J$2:$K$9,2)*IF(ISNUMBER(H1832),H1832,1))</f>
        <v>0.37769675925925922</v>
      </c>
      <c r="AG1832" s="287">
        <v>1831</v>
      </c>
      <c r="AH1832" s="94"/>
      <c r="AI1832" s="94"/>
    </row>
    <row r="1833" spans="1:36" s="6" customFormat="1" ht="12" customHeight="1" x14ac:dyDescent="0.25">
      <c r="A1833" s="515" t="s">
        <v>15662</v>
      </c>
      <c r="B1833" s="515">
        <v>5</v>
      </c>
      <c r="C1833" s="515">
        <v>14</v>
      </c>
      <c r="D1833" s="417" t="s">
        <v>7821</v>
      </c>
      <c r="E1833" s="316" t="s">
        <v>7822</v>
      </c>
      <c r="F1833" s="187">
        <v>38018</v>
      </c>
      <c r="G1833" s="188"/>
      <c r="H1833" s="188" t="str">
        <f>IF(J1833="Book","n/a","")</f>
        <v>n/a</v>
      </c>
      <c r="I1833" s="188">
        <v>120</v>
      </c>
      <c r="J1833" s="902" t="s">
        <v>6868</v>
      </c>
      <c r="K1833" s="162" t="s">
        <v>4035</v>
      </c>
      <c r="L1833" s="162" t="str">
        <f>IF(J1833="Book","n/a","")</f>
        <v>n/a</v>
      </c>
      <c r="M1833" s="162"/>
      <c r="N1833" s="162"/>
      <c r="O1833" s="162"/>
      <c r="P1833" s="178" t="s">
        <v>8869</v>
      </c>
      <c r="Q1833" s="162" t="s">
        <v>6055</v>
      </c>
      <c r="R1833" s="189" t="s">
        <v>2718</v>
      </c>
      <c r="S1833" s="366" t="s">
        <v>2319</v>
      </c>
      <c r="T1833" s="168" t="s">
        <v>7311</v>
      </c>
      <c r="U1833" s="178"/>
      <c r="V1833" s="178"/>
      <c r="W1833" s="316" t="s">
        <v>7822</v>
      </c>
      <c r="X1833" s="648" t="s">
        <v>12464</v>
      </c>
      <c r="Y1833" s="356"/>
      <c r="Z1833" s="272">
        <v>6</v>
      </c>
      <c r="AA1833" s="272">
        <v>9.5</v>
      </c>
      <c r="AB1833" s="34">
        <f t="shared" ca="1" si="37"/>
        <v>7.7547067395981384E-2</v>
      </c>
      <c r="AC1833" s="814"/>
      <c r="AD1833" s="815" t="s">
        <v>16601</v>
      </c>
      <c r="AE1833" s="942"/>
      <c r="AF1833" s="923">
        <f>IF(X1833=X1832,AF1832,0)+IF(ISNUMBER(I1833),IF(I1833&lt;1,I1833,I1833*VLOOKUP(J1833,Summary!$H$2:$I$9,2)),VLOOKUP(J1833,Summary!$J$2:$K$9,2)*IF(ISNUMBER(H1833),H1833,1))</f>
        <v>0.46103009259259253</v>
      </c>
      <c r="AG1833" s="291">
        <v>1832</v>
      </c>
      <c r="AH1833" s="94"/>
      <c r="AI1833" s="94"/>
    </row>
    <row r="1834" spans="1:36" s="22" customFormat="1" ht="12" customHeight="1" x14ac:dyDescent="0.2">
      <c r="A1834" s="512" t="s">
        <v>15662</v>
      </c>
      <c r="B1834" s="512">
        <v>5</v>
      </c>
      <c r="C1834" s="512">
        <v>56</v>
      </c>
      <c r="D1834" s="407" t="s">
        <v>7823</v>
      </c>
      <c r="E1834" s="315" t="s">
        <v>7824</v>
      </c>
      <c r="F1834" s="169">
        <v>38078</v>
      </c>
      <c r="G1834" s="170"/>
      <c r="H1834" s="170">
        <v>4</v>
      </c>
      <c r="I1834" s="746">
        <f>TIME(1,36,34)</f>
        <v>6.7060185185185181E-2</v>
      </c>
      <c r="J1834" s="899" t="s">
        <v>4706</v>
      </c>
      <c r="K1834" s="167" t="s">
        <v>5148</v>
      </c>
      <c r="L1834" s="167" t="s">
        <v>7375</v>
      </c>
      <c r="M1834" s="167"/>
      <c r="N1834" s="167"/>
      <c r="O1834" s="167" t="s">
        <v>2909</v>
      </c>
      <c r="P1834" s="168"/>
      <c r="Q1834" s="167" t="s">
        <v>3947</v>
      </c>
      <c r="R1834" s="172" t="s">
        <v>3146</v>
      </c>
      <c r="S1834" s="388" t="s">
        <v>2319</v>
      </c>
      <c r="T1834" s="168" t="s">
        <v>7311</v>
      </c>
      <c r="U1834" s="168"/>
      <c r="V1834" s="168"/>
      <c r="W1834" s="312" t="s">
        <v>9298</v>
      </c>
      <c r="X1834" s="644" t="s">
        <v>12464</v>
      </c>
      <c r="Y1834" s="352" t="s">
        <v>5643</v>
      </c>
      <c r="Z1834" s="353">
        <v>383</v>
      </c>
      <c r="AA1834" s="353">
        <v>5</v>
      </c>
      <c r="AB1834" s="40">
        <f t="shared" ca="1" si="37"/>
        <v>0.80446489938037447</v>
      </c>
      <c r="AC1834" s="810"/>
      <c r="AD1834" s="811"/>
      <c r="AE1834" s="940"/>
      <c r="AF1834" s="920">
        <f>IF(X1834=X1833,AF1833,0)+IF(ISNUMBER(I1834),IF(I1834&lt;1,I1834,I1834*VLOOKUP(J1834,Summary!$H$2:$I$9,2)),VLOOKUP(J1834,Summary!$J$2:$K$9,2)*IF(ISNUMBER(H1834),H1834,1))</f>
        <v>0.52809027777777773</v>
      </c>
      <c r="AG1834" s="287">
        <v>1833</v>
      </c>
      <c r="AH1834" s="94"/>
      <c r="AI1834" s="94"/>
    </row>
    <row r="1835" spans="1:36" s="6" customFormat="1" ht="12" customHeight="1" x14ac:dyDescent="0.25">
      <c r="A1835" s="514" t="s">
        <v>15662</v>
      </c>
      <c r="B1835" s="514">
        <v>5</v>
      </c>
      <c r="C1835" s="514">
        <v>9.08</v>
      </c>
      <c r="D1835" s="434" t="s">
        <v>7278</v>
      </c>
      <c r="E1835" s="324" t="s">
        <v>7273</v>
      </c>
      <c r="F1835" s="174">
        <v>38047</v>
      </c>
      <c r="G1835" s="174"/>
      <c r="H1835" s="176">
        <v>1</v>
      </c>
      <c r="I1835" s="176">
        <v>18</v>
      </c>
      <c r="J1835" s="900" t="s">
        <v>2755</v>
      </c>
      <c r="K1835" s="164" t="s">
        <v>4424</v>
      </c>
      <c r="L1835" s="164" t="s">
        <v>461</v>
      </c>
      <c r="M1835" s="164"/>
      <c r="N1835" s="164" t="s">
        <v>7381</v>
      </c>
      <c r="O1835" s="164"/>
      <c r="P1835" s="173" t="s">
        <v>3431</v>
      </c>
      <c r="Q1835" s="164" t="s">
        <v>3947</v>
      </c>
      <c r="R1835" s="179" t="s">
        <v>2723</v>
      </c>
      <c r="S1835" s="354" t="s">
        <v>2319</v>
      </c>
      <c r="T1835" s="173" t="s">
        <v>7311</v>
      </c>
      <c r="U1835" s="173"/>
      <c r="V1835" s="173"/>
      <c r="W1835" s="324" t="s">
        <v>7273</v>
      </c>
      <c r="X1835" s="656" t="s">
        <v>12464</v>
      </c>
      <c r="Y1835" s="354"/>
      <c r="Z1835" s="176">
        <v>999</v>
      </c>
      <c r="AA1835" s="176"/>
      <c r="AB1835" s="32">
        <f t="shared" ca="1" si="37"/>
        <v>0.57582908766075747</v>
      </c>
      <c r="AC1835" s="812"/>
      <c r="AD1835" s="763"/>
      <c r="AE1835" s="951"/>
      <c r="AF1835" s="921">
        <f>IF(X1835=X1834,AF1834,0)+IF(ISNUMBER(I1835),IF(I1835&lt;1,I1835,I1835*VLOOKUP(J1835,Summary!$H$2:$I$9,2)),VLOOKUP(J1835,Summary!$J$2:$K$9,2)*IF(ISNUMBER(H1835),H1835,1))</f>
        <v>0.54059027777777768</v>
      </c>
      <c r="AG1835" s="288">
        <v>1834</v>
      </c>
      <c r="AH1835" s="94"/>
      <c r="AI1835" s="94"/>
    </row>
    <row r="1836" spans="1:36" s="6" customFormat="1" ht="12" customHeight="1" x14ac:dyDescent="0.25">
      <c r="A1836" s="512" t="s">
        <v>15662</v>
      </c>
      <c r="B1836" s="512">
        <v>5</v>
      </c>
      <c r="C1836" s="512">
        <v>59</v>
      </c>
      <c r="D1836" s="407" t="s">
        <v>7825</v>
      </c>
      <c r="E1836" s="315" t="s">
        <v>7826</v>
      </c>
      <c r="F1836" s="169">
        <v>38169</v>
      </c>
      <c r="G1836" s="170"/>
      <c r="H1836" s="170">
        <v>4</v>
      </c>
      <c r="I1836" s="746">
        <f>TIME(2,0,15)</f>
        <v>8.3506944444444453E-2</v>
      </c>
      <c r="J1836" s="899" t="s">
        <v>4706</v>
      </c>
      <c r="K1836" s="167" t="s">
        <v>5149</v>
      </c>
      <c r="L1836" s="167" t="s">
        <v>7375</v>
      </c>
      <c r="M1836" s="167"/>
      <c r="N1836" s="167"/>
      <c r="O1836" s="167" t="s">
        <v>2909</v>
      </c>
      <c r="P1836" s="168"/>
      <c r="Q1836" s="167" t="s">
        <v>3947</v>
      </c>
      <c r="R1836" s="172" t="s">
        <v>3146</v>
      </c>
      <c r="S1836" s="388" t="s">
        <v>2319</v>
      </c>
      <c r="T1836" s="168" t="s">
        <v>7311</v>
      </c>
      <c r="U1836" s="168"/>
      <c r="V1836" s="168"/>
      <c r="W1836" s="312" t="s">
        <v>9303</v>
      </c>
      <c r="X1836" s="644" t="s">
        <v>12464</v>
      </c>
      <c r="Y1836" s="352" t="s">
        <v>5398</v>
      </c>
      <c r="Z1836" s="353">
        <v>516</v>
      </c>
      <c r="AA1836" s="353">
        <v>4</v>
      </c>
      <c r="AB1836" s="40">
        <f t="shared" ca="1" si="37"/>
        <v>0.86346059213460291</v>
      </c>
      <c r="AC1836" s="810"/>
      <c r="AD1836" s="811" t="s">
        <v>16680</v>
      </c>
      <c r="AE1836" s="940"/>
      <c r="AF1836" s="920">
        <f>IF(X1836=X1835,AF1835,0)+IF(ISNUMBER(I1836),IF(I1836&lt;1,I1836,I1836*VLOOKUP(J1836,Summary!$H$2:$I$9,2)),VLOOKUP(J1836,Summary!$J$2:$K$9,2)*IF(ISNUMBER(H1836),H1836,1))</f>
        <v>0.62409722222222208</v>
      </c>
      <c r="AG1836" s="287">
        <v>1835</v>
      </c>
      <c r="AH1836" s="94"/>
      <c r="AI1836" s="94"/>
    </row>
    <row r="1837" spans="1:36" s="6" customFormat="1" ht="12" customHeight="1" x14ac:dyDescent="0.25">
      <c r="A1837" s="514" t="s">
        <v>15662</v>
      </c>
      <c r="B1837" s="514">
        <v>5</v>
      </c>
      <c r="C1837" s="514">
        <v>11.07</v>
      </c>
      <c r="D1837" s="434" t="s">
        <v>7279</v>
      </c>
      <c r="E1837" s="324" t="s">
        <v>7274</v>
      </c>
      <c r="F1837" s="174">
        <v>38200</v>
      </c>
      <c r="G1837" s="174"/>
      <c r="H1837" s="176">
        <v>1</v>
      </c>
      <c r="I1837" s="176">
        <v>14</v>
      </c>
      <c r="J1837" s="900" t="s">
        <v>2755</v>
      </c>
      <c r="K1837" s="164" t="s">
        <v>6240</v>
      </c>
      <c r="L1837" s="164" t="s">
        <v>461</v>
      </c>
      <c r="M1837" s="164"/>
      <c r="N1837" s="164" t="s">
        <v>7375</v>
      </c>
      <c r="O1837" s="164"/>
      <c r="P1837" s="173" t="s">
        <v>2559</v>
      </c>
      <c r="Q1837" s="164" t="s">
        <v>3947</v>
      </c>
      <c r="R1837" s="179" t="s">
        <v>2723</v>
      </c>
      <c r="S1837" s="354" t="s">
        <v>2319</v>
      </c>
      <c r="T1837" s="173" t="s">
        <v>7311</v>
      </c>
      <c r="U1837" s="173"/>
      <c r="V1837" s="173"/>
      <c r="W1837" s="324" t="s">
        <v>7274</v>
      </c>
      <c r="X1837" s="656" t="s">
        <v>12464</v>
      </c>
      <c r="Y1837" s="354"/>
      <c r="Z1837" s="176">
        <v>999</v>
      </c>
      <c r="AA1837" s="176"/>
      <c r="AB1837" s="32">
        <f t="shared" ca="1" si="37"/>
        <v>0.9546725820436579</v>
      </c>
      <c r="AC1837" s="812"/>
      <c r="AD1837" s="763"/>
      <c r="AE1837" s="951"/>
      <c r="AF1837" s="921">
        <f>IF(X1837=X1836,AF1836,0)+IF(ISNUMBER(I1837),IF(I1837&lt;1,I1837,I1837*VLOOKUP(J1837,Summary!$H$2:$I$9,2)),VLOOKUP(J1837,Summary!$J$2:$K$9,2)*IF(ISNUMBER(H1837),H1837,1))</f>
        <v>0.63381944444444427</v>
      </c>
      <c r="AG1837" s="288">
        <v>1836</v>
      </c>
      <c r="AH1837" s="94"/>
      <c r="AI1837" s="94"/>
    </row>
    <row r="1838" spans="1:36" s="43" customFormat="1" ht="12" customHeight="1" x14ac:dyDescent="0.25">
      <c r="A1838" s="512" t="s">
        <v>15662</v>
      </c>
      <c r="B1838" s="512">
        <v>5</v>
      </c>
      <c r="C1838" s="512">
        <v>69</v>
      </c>
      <c r="D1838" s="407" t="s">
        <v>7827</v>
      </c>
      <c r="E1838" s="315" t="s">
        <v>7828</v>
      </c>
      <c r="F1838" s="169">
        <v>38473</v>
      </c>
      <c r="G1838" s="170"/>
      <c r="H1838" s="170">
        <v>4</v>
      </c>
      <c r="I1838" s="746">
        <f>TIME(1,50,8)</f>
        <v>7.6481481481481484E-2</v>
      </c>
      <c r="J1838" s="899" t="s">
        <v>4706</v>
      </c>
      <c r="K1838" s="167" t="s">
        <v>6355</v>
      </c>
      <c r="L1838" s="167" t="s">
        <v>7375</v>
      </c>
      <c r="M1838" s="167"/>
      <c r="N1838" s="167"/>
      <c r="O1838" s="167" t="s">
        <v>2909</v>
      </c>
      <c r="P1838" s="168"/>
      <c r="Q1838" s="167" t="s">
        <v>3947</v>
      </c>
      <c r="R1838" s="172" t="s">
        <v>3146</v>
      </c>
      <c r="S1838" s="388" t="s">
        <v>2319</v>
      </c>
      <c r="T1838" s="168" t="s">
        <v>7311</v>
      </c>
      <c r="U1838" s="168"/>
      <c r="V1838" s="168"/>
      <c r="W1838" s="312" t="s">
        <v>9314</v>
      </c>
      <c r="X1838" s="644" t="s">
        <v>12464</v>
      </c>
      <c r="Y1838" s="352" t="s">
        <v>5398</v>
      </c>
      <c r="Z1838" s="353">
        <v>238</v>
      </c>
      <c r="AA1838" s="353">
        <v>5.5</v>
      </c>
      <c r="AB1838" s="40">
        <f t="shared" ca="1" si="37"/>
        <v>0.35680145881088199</v>
      </c>
      <c r="AC1838" s="810"/>
      <c r="AD1838" s="811" t="s">
        <v>16316</v>
      </c>
      <c r="AE1838" s="940" t="s">
        <v>12543</v>
      </c>
      <c r="AF1838" s="920">
        <f>IF(X1838=X1837,AF1837,0)+IF(ISNUMBER(I1838),IF(I1838&lt;1,I1838,I1838*VLOOKUP(J1838,Summary!$H$2:$I$9,2)),VLOOKUP(J1838,Summary!$J$2:$K$9,2)*IF(ISNUMBER(H1838),H1838,1))</f>
        <v>0.71030092592592575</v>
      </c>
      <c r="AG1838" s="287">
        <v>1837</v>
      </c>
      <c r="AH1838" s="94"/>
      <c r="AI1838" s="94"/>
      <c r="AJ1838" s="2"/>
    </row>
    <row r="1839" spans="1:36" s="6" customFormat="1" ht="12" customHeight="1" x14ac:dyDescent="0.25">
      <c r="A1839" s="512" t="s">
        <v>15662</v>
      </c>
      <c r="B1839" s="512">
        <v>5</v>
      </c>
      <c r="C1839" s="512">
        <v>71</v>
      </c>
      <c r="D1839" s="407" t="s">
        <v>7829</v>
      </c>
      <c r="E1839" s="315" t="s">
        <v>7830</v>
      </c>
      <c r="F1839" s="169">
        <v>38534</v>
      </c>
      <c r="G1839" s="170"/>
      <c r="H1839" s="170">
        <v>4</v>
      </c>
      <c r="I1839" s="746">
        <f>TIME(1,47,51)</f>
        <v>7.4895833333333328E-2</v>
      </c>
      <c r="J1839" s="899" t="s">
        <v>4706</v>
      </c>
      <c r="K1839" s="167" t="s">
        <v>5150</v>
      </c>
      <c r="L1839" s="167" t="s">
        <v>7375</v>
      </c>
      <c r="M1839" s="167"/>
      <c r="N1839" s="167"/>
      <c r="O1839" s="167" t="s">
        <v>2909</v>
      </c>
      <c r="P1839" s="168"/>
      <c r="Q1839" s="167" t="s">
        <v>3947</v>
      </c>
      <c r="R1839" s="172" t="s">
        <v>3146</v>
      </c>
      <c r="S1839" s="388" t="s">
        <v>2319</v>
      </c>
      <c r="T1839" s="168" t="s">
        <v>7311</v>
      </c>
      <c r="U1839" s="168"/>
      <c r="V1839" s="168"/>
      <c r="W1839" s="312" t="s">
        <v>9319</v>
      </c>
      <c r="X1839" s="644" t="s">
        <v>12464</v>
      </c>
      <c r="Y1839" s="352" t="s">
        <v>5398</v>
      </c>
      <c r="Z1839" s="353">
        <v>152</v>
      </c>
      <c r="AA1839" s="353">
        <v>6.5</v>
      </c>
      <c r="AB1839" s="40">
        <f t="shared" ca="1" si="37"/>
        <v>0.56445016802376957</v>
      </c>
      <c r="AC1839" s="810"/>
      <c r="AD1839" s="825" t="s">
        <v>15060</v>
      </c>
      <c r="AE1839" s="940"/>
      <c r="AF1839" s="920">
        <f>IF(X1839=X1838,AF1838,0)+IF(ISNUMBER(I1839),IF(I1839&lt;1,I1839,I1839*VLOOKUP(J1839,Summary!$H$2:$I$9,2)),VLOOKUP(J1839,Summary!$J$2:$K$9,2)*IF(ISNUMBER(H1839),H1839,1))</f>
        <v>0.78519675925925903</v>
      </c>
      <c r="AG1839" s="287">
        <v>1838</v>
      </c>
      <c r="AH1839" s="94"/>
      <c r="AI1839" s="94"/>
    </row>
    <row r="1840" spans="1:36" s="6" customFormat="1" ht="12" customHeight="1" x14ac:dyDescent="0.25">
      <c r="A1840" s="512" t="s">
        <v>15662</v>
      </c>
      <c r="B1840" s="512">
        <v>5</v>
      </c>
      <c r="C1840" s="512">
        <v>81</v>
      </c>
      <c r="D1840" s="407" t="s">
        <v>7831</v>
      </c>
      <c r="E1840" s="315" t="s">
        <v>7832</v>
      </c>
      <c r="F1840" s="169">
        <v>38808</v>
      </c>
      <c r="G1840" s="170"/>
      <c r="H1840" s="170">
        <v>4</v>
      </c>
      <c r="I1840" s="746">
        <f>TIME(2,21,27)</f>
        <v>9.8229166666666659E-2</v>
      </c>
      <c r="J1840" s="899" t="s">
        <v>4706</v>
      </c>
      <c r="K1840" s="167" t="s">
        <v>3284</v>
      </c>
      <c r="L1840" s="167" t="s">
        <v>7375</v>
      </c>
      <c r="M1840" s="167"/>
      <c r="N1840" s="167"/>
      <c r="O1840" s="167" t="s">
        <v>2909</v>
      </c>
      <c r="P1840" s="168"/>
      <c r="Q1840" s="167" t="s">
        <v>3947</v>
      </c>
      <c r="R1840" s="172" t="s">
        <v>3146</v>
      </c>
      <c r="S1840" s="388" t="s">
        <v>2319</v>
      </c>
      <c r="T1840" s="168" t="s">
        <v>7311</v>
      </c>
      <c r="U1840" s="168"/>
      <c r="V1840" s="168"/>
      <c r="W1840" s="312" t="s">
        <v>9338</v>
      </c>
      <c r="X1840" s="644" t="s">
        <v>12464</v>
      </c>
      <c r="Y1840" s="352" t="s">
        <v>5398</v>
      </c>
      <c r="Z1840" s="353">
        <v>2</v>
      </c>
      <c r="AA1840" s="353">
        <v>10</v>
      </c>
      <c r="AB1840" s="40">
        <f t="shared" ca="1" si="37"/>
        <v>4.1830296220998653E-2</v>
      </c>
      <c r="AC1840" s="810"/>
      <c r="AD1840" s="811" t="s">
        <v>15108</v>
      </c>
      <c r="AE1840" s="940"/>
      <c r="AF1840" s="920">
        <f>IF(X1840=X1839,AF1839,0)+IF(ISNUMBER(I1840),IF(I1840&lt;1,I1840,I1840*VLOOKUP(J1840,Summary!$H$2:$I$9,2)),VLOOKUP(J1840,Summary!$J$2:$K$9,2)*IF(ISNUMBER(H1840),H1840,1))</f>
        <v>0.88342592592592573</v>
      </c>
      <c r="AG1840" s="287">
        <v>1839</v>
      </c>
      <c r="AH1840" s="94"/>
      <c r="AI1840" s="94"/>
    </row>
    <row r="1841" spans="1:36" s="22" customFormat="1" ht="12" customHeight="1" x14ac:dyDescent="0.2">
      <c r="A1841" s="405" t="s">
        <v>15662</v>
      </c>
      <c r="B1841" s="406" t="s">
        <v>2650</v>
      </c>
      <c r="C1841" s="405">
        <v>7</v>
      </c>
      <c r="D1841" s="407" t="s">
        <v>7835</v>
      </c>
      <c r="E1841" s="315" t="s">
        <v>7836</v>
      </c>
      <c r="F1841" s="169">
        <v>38777</v>
      </c>
      <c r="G1841" s="170"/>
      <c r="H1841" s="170">
        <v>2</v>
      </c>
      <c r="I1841" s="746">
        <f>TIME(1,13,53)</f>
        <v>5.1307870370370372E-2</v>
      </c>
      <c r="J1841" s="899" t="s">
        <v>4706</v>
      </c>
      <c r="K1841" s="167" t="s">
        <v>4424</v>
      </c>
      <c r="L1841" s="167" t="s">
        <v>7375</v>
      </c>
      <c r="M1841" s="167"/>
      <c r="N1841" s="167"/>
      <c r="O1841" s="167" t="s">
        <v>2909</v>
      </c>
      <c r="P1841" s="168" t="s">
        <v>461</v>
      </c>
      <c r="Q1841" s="167" t="s">
        <v>3947</v>
      </c>
      <c r="R1841" s="172" t="s">
        <v>4315</v>
      </c>
      <c r="S1841" s="388" t="s">
        <v>2319</v>
      </c>
      <c r="T1841" s="168" t="s">
        <v>7311</v>
      </c>
      <c r="U1841" s="168"/>
      <c r="V1841" s="168"/>
      <c r="W1841" s="312" t="s">
        <v>9536</v>
      </c>
      <c r="X1841" s="644" t="s">
        <v>12464</v>
      </c>
      <c r="Y1841" s="352" t="s">
        <v>5398</v>
      </c>
      <c r="Z1841" s="353">
        <v>368</v>
      </c>
      <c r="AA1841" s="353">
        <v>5</v>
      </c>
      <c r="AB1841" s="40">
        <f t="shared" ca="1" si="37"/>
        <v>0.54858879128944138</v>
      </c>
      <c r="AC1841" s="810"/>
      <c r="AD1841" s="811" t="s">
        <v>15865</v>
      </c>
      <c r="AE1841" s="940"/>
      <c r="AF1841" s="920">
        <f>IF(X1841=X1840,AF1840,0)+IF(ISNUMBER(I1841),IF(I1841&lt;1,I1841,I1841*VLOOKUP(J1841,Summary!$H$2:$I$9,2)),VLOOKUP(J1841,Summary!$J$2:$K$9,2)*IF(ISNUMBER(H1841),H1841,1))</f>
        <v>0.93473379629629605</v>
      </c>
      <c r="AG1841" s="287">
        <v>1840</v>
      </c>
      <c r="AH1841" s="94"/>
      <c r="AI1841" s="94"/>
    </row>
    <row r="1842" spans="1:36" s="22" customFormat="1" ht="12" customHeight="1" x14ac:dyDescent="0.2">
      <c r="A1842" s="512" t="s">
        <v>15662</v>
      </c>
      <c r="B1842" s="512">
        <v>5</v>
      </c>
      <c r="C1842" s="512">
        <v>87</v>
      </c>
      <c r="D1842" s="407" t="s">
        <v>7833</v>
      </c>
      <c r="E1842" s="315" t="s">
        <v>7834</v>
      </c>
      <c r="F1842" s="196">
        <v>38990</v>
      </c>
      <c r="G1842" s="170"/>
      <c r="H1842" s="170">
        <v>2</v>
      </c>
      <c r="I1842" s="746">
        <f>TIME(1,49,19)</f>
        <v>7.5914351851851858E-2</v>
      </c>
      <c r="J1842" s="899" t="s">
        <v>4706</v>
      </c>
      <c r="K1842" s="167" t="s">
        <v>4425</v>
      </c>
      <c r="L1842" s="167" t="s">
        <v>7375</v>
      </c>
      <c r="M1842" s="167"/>
      <c r="N1842" s="167"/>
      <c r="O1842" s="167" t="s">
        <v>2909</v>
      </c>
      <c r="P1842" s="168"/>
      <c r="Q1842" s="167" t="s">
        <v>3947</v>
      </c>
      <c r="R1842" s="172" t="s">
        <v>3146</v>
      </c>
      <c r="S1842" s="388"/>
      <c r="T1842" s="168" t="s">
        <v>2320</v>
      </c>
      <c r="U1842" s="168"/>
      <c r="V1842" s="168"/>
      <c r="W1842" s="312" t="s">
        <v>9343</v>
      </c>
      <c r="X1842" s="644" t="s">
        <v>12464</v>
      </c>
      <c r="Y1842" s="352"/>
      <c r="Z1842" s="353">
        <v>586</v>
      </c>
      <c r="AA1842" s="353">
        <v>3.5</v>
      </c>
      <c r="AB1842" s="40">
        <f t="shared" ca="1" si="37"/>
        <v>0.72941828469340086</v>
      </c>
      <c r="AC1842" s="810"/>
      <c r="AD1842" s="825" t="s">
        <v>14973</v>
      </c>
      <c r="AE1842" s="940"/>
      <c r="AF1842" s="920">
        <f>IF(X1842=X1841,AF1841,0)+IF(ISNUMBER(I1842),IF(I1842&lt;1,I1842,I1842*VLOOKUP(J1842,Summary!$H$2:$I$9,2)),VLOOKUP(J1842,Summary!$J$2:$K$9,2)*IF(ISNUMBER(H1842),H1842,1))</f>
        <v>1.010648148148148</v>
      </c>
      <c r="AG1842" s="287">
        <v>1841</v>
      </c>
      <c r="AH1842" s="94"/>
      <c r="AI1842" s="94"/>
    </row>
    <row r="1843" spans="1:36" s="43" customFormat="1" ht="12" customHeight="1" x14ac:dyDescent="0.25">
      <c r="A1843" s="512" t="s">
        <v>15662</v>
      </c>
      <c r="B1843" s="512">
        <v>5</v>
      </c>
      <c r="C1843" s="512">
        <v>99</v>
      </c>
      <c r="D1843" s="407" t="s">
        <v>7837</v>
      </c>
      <c r="E1843" s="315" t="s">
        <v>2343</v>
      </c>
      <c r="F1843" s="169">
        <v>39326</v>
      </c>
      <c r="G1843" s="170"/>
      <c r="H1843" s="170">
        <v>4</v>
      </c>
      <c r="I1843" s="746">
        <f>TIME(1,54,32)</f>
        <v>7.9537037037037031E-2</v>
      </c>
      <c r="J1843" s="899" t="s">
        <v>4706</v>
      </c>
      <c r="K1843" s="167" t="s">
        <v>176</v>
      </c>
      <c r="L1843" s="167" t="s">
        <v>3296</v>
      </c>
      <c r="M1843" s="167"/>
      <c r="N1843" s="167"/>
      <c r="O1843" s="167"/>
      <c r="P1843" s="168"/>
      <c r="Q1843" s="167" t="s">
        <v>3947</v>
      </c>
      <c r="R1843" s="172" t="s">
        <v>3146</v>
      </c>
      <c r="S1843" s="388" t="s">
        <v>2319</v>
      </c>
      <c r="T1843" s="168" t="s">
        <v>7311</v>
      </c>
      <c r="U1843" s="168"/>
      <c r="V1843" s="168"/>
      <c r="W1843" s="312" t="s">
        <v>10269</v>
      </c>
      <c r="X1843" s="644" t="s">
        <v>12464</v>
      </c>
      <c r="Y1843" s="352" t="s">
        <v>5398</v>
      </c>
      <c r="Z1843" s="353">
        <v>55</v>
      </c>
      <c r="AA1843" s="353">
        <v>8.5</v>
      </c>
      <c r="AB1843" s="40">
        <f t="shared" ca="1" si="37"/>
        <v>0.97807314947889856</v>
      </c>
      <c r="AC1843" s="810"/>
      <c r="AD1843" s="811" t="s">
        <v>15090</v>
      </c>
      <c r="AE1843" s="940"/>
      <c r="AF1843" s="920">
        <f>IF(X1843=X1842,AF1842,0)+IF(ISNUMBER(I1843),IF(I1843&lt;1,I1843,I1843*VLOOKUP(J1843,Summary!$H$2:$I$9,2)),VLOOKUP(J1843,Summary!$J$2:$K$9,2)*IF(ISNUMBER(H1843),H1843,1))</f>
        <v>1.0901851851851849</v>
      </c>
      <c r="AG1843" s="287">
        <v>1842</v>
      </c>
      <c r="AH1843" s="94"/>
      <c r="AI1843" s="94"/>
      <c r="AJ1843" s="2"/>
    </row>
    <row r="1844" spans="1:36" s="43" customFormat="1" ht="12" customHeight="1" x14ac:dyDescent="0.25">
      <c r="A1844" s="512" t="s">
        <v>15662</v>
      </c>
      <c r="B1844" s="512">
        <v>5</v>
      </c>
      <c r="C1844" s="512">
        <v>102.1</v>
      </c>
      <c r="D1844" s="407" t="s">
        <v>2344</v>
      </c>
      <c r="E1844" s="315" t="s">
        <v>2345</v>
      </c>
      <c r="F1844" s="169">
        <v>39387</v>
      </c>
      <c r="G1844" s="170"/>
      <c r="H1844" s="170">
        <v>3</v>
      </c>
      <c r="I1844" s="746">
        <f>TIME(1,18,37)</f>
        <v>5.4594907407407411E-2</v>
      </c>
      <c r="J1844" s="899" t="s">
        <v>4706</v>
      </c>
      <c r="K1844" s="167" t="s">
        <v>6355</v>
      </c>
      <c r="L1844" s="167" t="s">
        <v>3296</v>
      </c>
      <c r="M1844" s="167"/>
      <c r="N1844" s="167"/>
      <c r="O1844" s="167"/>
      <c r="P1844" s="168"/>
      <c r="Q1844" s="167" t="s">
        <v>3947</v>
      </c>
      <c r="R1844" s="172" t="s">
        <v>3146</v>
      </c>
      <c r="S1844" s="388" t="s">
        <v>2319</v>
      </c>
      <c r="T1844" s="168" t="s">
        <v>7311</v>
      </c>
      <c r="U1844" s="168"/>
      <c r="V1844" s="168"/>
      <c r="W1844" s="312" t="s">
        <v>9351</v>
      </c>
      <c r="X1844" s="644" t="s">
        <v>12464</v>
      </c>
      <c r="Y1844" s="352" t="s">
        <v>5643</v>
      </c>
      <c r="Z1844" s="353">
        <v>380</v>
      </c>
      <c r="AA1844" s="353">
        <v>5</v>
      </c>
      <c r="AB1844" s="40">
        <f t="shared" ca="1" si="37"/>
        <v>0.59831461444331857</v>
      </c>
      <c r="AC1844" s="810"/>
      <c r="AD1844" s="811" t="s">
        <v>16316</v>
      </c>
      <c r="AE1844" s="940" t="s">
        <v>3365</v>
      </c>
      <c r="AF1844" s="920">
        <f>IF(X1844=X1843,AF1843,0)+IF(ISNUMBER(I1844),IF(I1844&lt;1,I1844,I1844*VLOOKUP(J1844,Summary!$H$2:$I$9,2)),VLOOKUP(J1844,Summary!$J$2:$K$9,2)*IF(ISNUMBER(H1844),H1844,1))</f>
        <v>1.1447800925925924</v>
      </c>
      <c r="AG1844" s="287">
        <v>1843</v>
      </c>
      <c r="AH1844" s="94"/>
      <c r="AI1844" s="94"/>
      <c r="AJ1844" s="2"/>
    </row>
    <row r="1845" spans="1:36" s="43" customFormat="1" ht="12" customHeight="1" x14ac:dyDescent="0.25">
      <c r="A1845" s="514" t="s">
        <v>15662</v>
      </c>
      <c r="B1845" s="514">
        <v>5</v>
      </c>
      <c r="C1845" s="514">
        <v>25.19</v>
      </c>
      <c r="D1845" s="434" t="s">
        <v>7281</v>
      </c>
      <c r="E1845" s="324" t="s">
        <v>7276</v>
      </c>
      <c r="F1845" s="174">
        <v>39417</v>
      </c>
      <c r="G1845" s="174"/>
      <c r="H1845" s="176">
        <v>1</v>
      </c>
      <c r="I1845" s="176">
        <v>14</v>
      </c>
      <c r="J1845" s="900" t="s">
        <v>2755</v>
      </c>
      <c r="K1845" s="164" t="s">
        <v>4035</v>
      </c>
      <c r="L1845" s="164" t="s">
        <v>461</v>
      </c>
      <c r="M1845" s="164"/>
      <c r="N1845" s="164" t="s">
        <v>5146</v>
      </c>
      <c r="O1845" s="164"/>
      <c r="P1845" s="173" t="s">
        <v>6701</v>
      </c>
      <c r="Q1845" s="164" t="s">
        <v>3947</v>
      </c>
      <c r="R1845" s="179" t="s">
        <v>2723</v>
      </c>
      <c r="S1845" s="354" t="s">
        <v>2319</v>
      </c>
      <c r="T1845" s="173" t="s">
        <v>7311</v>
      </c>
      <c r="U1845" s="173"/>
      <c r="V1845" s="173"/>
      <c r="W1845" s="324" t="s">
        <v>7276</v>
      </c>
      <c r="X1845" s="656" t="s">
        <v>12464</v>
      </c>
      <c r="Y1845" s="354"/>
      <c r="Z1845" s="176"/>
      <c r="AA1845" s="176"/>
      <c r="AB1845" s="32">
        <f t="shared" ca="1" si="37"/>
        <v>0.54398543313862657</v>
      </c>
      <c r="AC1845" s="812"/>
      <c r="AD1845" s="763"/>
      <c r="AE1845" s="951"/>
      <c r="AF1845" s="921">
        <f>IF(X1845=X1844,AF1844,0)+IF(ISNUMBER(I1845),IF(I1845&lt;1,I1845,I1845*VLOOKUP(J1845,Summary!$H$2:$I$9,2)),VLOOKUP(J1845,Summary!$J$2:$K$9,2)*IF(ISNUMBER(H1845),H1845,1))</f>
        <v>1.1545023148148146</v>
      </c>
      <c r="AG1845" s="288">
        <v>1844</v>
      </c>
      <c r="AH1845" s="94"/>
      <c r="AI1845" s="94"/>
      <c r="AJ1845" s="2"/>
    </row>
    <row r="1846" spans="1:36" s="43" customFormat="1" ht="12" customHeight="1" x14ac:dyDescent="0.25">
      <c r="A1846" s="512" t="s">
        <v>15662</v>
      </c>
      <c r="B1846" s="512">
        <v>5</v>
      </c>
      <c r="C1846" s="512">
        <v>104</v>
      </c>
      <c r="D1846" s="407" t="s">
        <v>2346</v>
      </c>
      <c r="E1846" s="315" t="s">
        <v>2347</v>
      </c>
      <c r="F1846" s="169">
        <v>39448</v>
      </c>
      <c r="G1846" s="170"/>
      <c r="H1846" s="170">
        <v>4</v>
      </c>
      <c r="I1846" s="746">
        <f>TIME(0,110,10)</f>
        <v>7.6504629629629631E-2</v>
      </c>
      <c r="J1846" s="899" t="s">
        <v>4706</v>
      </c>
      <c r="K1846" s="167" t="s">
        <v>3296</v>
      </c>
      <c r="L1846" s="167" t="s">
        <v>3296</v>
      </c>
      <c r="M1846" s="167"/>
      <c r="N1846" s="167"/>
      <c r="O1846" s="167"/>
      <c r="P1846" s="168"/>
      <c r="Q1846" s="167" t="s">
        <v>3947</v>
      </c>
      <c r="R1846" s="172" t="s">
        <v>3146</v>
      </c>
      <c r="S1846" s="388" t="s">
        <v>2319</v>
      </c>
      <c r="T1846" s="168" t="s">
        <v>7311</v>
      </c>
      <c r="U1846" s="168"/>
      <c r="V1846" s="168"/>
      <c r="W1846" s="312" t="s">
        <v>10270</v>
      </c>
      <c r="X1846" s="644" t="s">
        <v>12464</v>
      </c>
      <c r="Y1846" s="352" t="s">
        <v>5398</v>
      </c>
      <c r="Z1846" s="353">
        <v>176</v>
      </c>
      <c r="AA1846" s="353">
        <v>6</v>
      </c>
      <c r="AB1846" s="40">
        <f t="shared" ca="1" si="37"/>
        <v>0.45326126291745072</v>
      </c>
      <c r="AC1846" s="810"/>
      <c r="AD1846" s="811" t="s">
        <v>16400</v>
      </c>
      <c r="AE1846" s="940" t="s">
        <v>15062</v>
      </c>
      <c r="AF1846" s="920">
        <f>IF(X1846=X1845,AF1845,0)+IF(ISNUMBER(I1846),IF(I1846&lt;1,I1846,I1846*VLOOKUP(J1846,Summary!$H$2:$I$9,2)),VLOOKUP(J1846,Summary!$J$2:$K$9,2)*IF(ISNUMBER(H1846),H1846,1))</f>
        <v>1.2310069444444443</v>
      </c>
      <c r="AG1846" s="287">
        <v>1845</v>
      </c>
      <c r="AH1846" s="94"/>
      <c r="AI1846" s="94"/>
      <c r="AJ1846" s="2"/>
    </row>
    <row r="1847" spans="1:36" s="43" customFormat="1" ht="12" customHeight="1" x14ac:dyDescent="0.25">
      <c r="A1847" s="512" t="s">
        <v>15662</v>
      </c>
      <c r="B1847" s="512">
        <v>5</v>
      </c>
      <c r="C1847" s="512">
        <v>102.2</v>
      </c>
      <c r="D1847" s="407" t="s">
        <v>2348</v>
      </c>
      <c r="E1847" s="315" t="s">
        <v>2349</v>
      </c>
      <c r="F1847" s="169">
        <v>39387</v>
      </c>
      <c r="G1847" s="170"/>
      <c r="H1847" s="170">
        <v>1</v>
      </c>
      <c r="I1847" s="746">
        <f>TIME(0,26,20)</f>
        <v>1.8287037037037036E-2</v>
      </c>
      <c r="J1847" s="899" t="s">
        <v>4706</v>
      </c>
      <c r="K1847" s="167" t="s">
        <v>6355</v>
      </c>
      <c r="L1847" s="167" t="s">
        <v>3296</v>
      </c>
      <c r="M1847" s="167"/>
      <c r="N1847" s="167"/>
      <c r="O1847" s="167"/>
      <c r="P1847" s="168"/>
      <c r="Q1847" s="167" t="s">
        <v>3947</v>
      </c>
      <c r="R1847" s="172" t="s">
        <v>3146</v>
      </c>
      <c r="S1847" s="388" t="s">
        <v>2319</v>
      </c>
      <c r="T1847" s="168"/>
      <c r="U1847" s="168"/>
      <c r="V1847" s="168"/>
      <c r="W1847" s="315" t="s">
        <v>2349</v>
      </c>
      <c r="X1847" s="647" t="s">
        <v>12464</v>
      </c>
      <c r="Y1847" s="352" t="s">
        <v>5643</v>
      </c>
      <c r="Z1847" s="353">
        <v>313</v>
      </c>
      <c r="AA1847" s="353">
        <v>5.5</v>
      </c>
      <c r="AB1847" s="40">
        <f t="shared" ca="1" si="37"/>
        <v>0.42186142035368213</v>
      </c>
      <c r="AC1847" s="810"/>
      <c r="AD1847" s="811" t="s">
        <v>16305</v>
      </c>
      <c r="AE1847" s="948" t="s">
        <v>3365</v>
      </c>
      <c r="AF1847" s="920">
        <f>IF(X1847=X1846,AF1846,0)+IF(ISNUMBER(I1847),IF(I1847&lt;1,I1847,I1847*VLOOKUP(J1847,Summary!$H$2:$I$9,2)),VLOOKUP(J1847,Summary!$J$2:$K$9,2)*IF(ISNUMBER(H1847),H1847,1))</f>
        <v>1.2492939814814812</v>
      </c>
      <c r="AG1847" s="287">
        <v>1846</v>
      </c>
      <c r="AH1847" s="94"/>
      <c r="AI1847" s="94"/>
    </row>
    <row r="1848" spans="1:36" s="89" customFormat="1" ht="12" customHeight="1" x14ac:dyDescent="0.25">
      <c r="A1848" s="474"/>
      <c r="B1848" s="507" t="s">
        <v>2650</v>
      </c>
      <c r="C1848" s="474">
        <v>1</v>
      </c>
      <c r="D1848" s="417" t="s">
        <v>13631</v>
      </c>
      <c r="E1848" s="316" t="s">
        <v>13594</v>
      </c>
      <c r="F1848" s="195">
        <v>42164</v>
      </c>
      <c r="G1848" s="188"/>
      <c r="H1848" s="188">
        <v>1</v>
      </c>
      <c r="I1848" s="188">
        <v>192</v>
      </c>
      <c r="J1848" s="902" t="s">
        <v>6868</v>
      </c>
      <c r="K1848" s="162" t="s">
        <v>4424</v>
      </c>
      <c r="L1848" s="162" t="s">
        <v>461</v>
      </c>
      <c r="M1848" s="162"/>
      <c r="N1848" s="162"/>
      <c r="O1848" s="162"/>
      <c r="P1848" s="178" t="s">
        <v>13628</v>
      </c>
      <c r="Q1848" s="162" t="s">
        <v>13587</v>
      </c>
      <c r="R1848" s="189" t="s">
        <v>13586</v>
      </c>
      <c r="S1848" s="366"/>
      <c r="T1848" s="178" t="s">
        <v>7311</v>
      </c>
      <c r="U1848" s="178"/>
      <c r="V1848" s="178"/>
      <c r="W1848" s="316" t="s">
        <v>13594</v>
      </c>
      <c r="X1848" s="654" t="s">
        <v>13588</v>
      </c>
      <c r="Y1848" s="356"/>
      <c r="Z1848" s="272"/>
      <c r="AA1848" s="272"/>
      <c r="AB1848" s="34">
        <f t="shared" ca="1" si="37"/>
        <v>0.35897200919569494</v>
      </c>
      <c r="AC1848" s="814"/>
      <c r="AD1848" s="815"/>
      <c r="AE1848" s="942"/>
      <c r="AF1848" s="923">
        <f>IF(X1848=X1847,AF1847,0)+IF(ISNUMBER(I1848),IF(I1848&lt;1,I1848,I1848*VLOOKUP(J1848,Summary!$H$2:$I$9,2)),VLOOKUP(J1848,Summary!$J$2:$K$9,2)*IF(ISNUMBER(H1848),H1848,1))</f>
        <v>0.13333333333333333</v>
      </c>
      <c r="AG1848" s="291">
        <v>1847</v>
      </c>
      <c r="AH1848" s="143"/>
      <c r="AI1848" s="143"/>
    </row>
    <row r="1849" spans="1:36" s="89" customFormat="1" ht="12" customHeight="1" x14ac:dyDescent="0.25">
      <c r="A1849" s="474"/>
      <c r="B1849" s="507" t="s">
        <v>2650</v>
      </c>
      <c r="C1849" s="474">
        <v>2.1</v>
      </c>
      <c r="D1849" s="417" t="s">
        <v>13630</v>
      </c>
      <c r="E1849" s="316" t="s">
        <v>13595</v>
      </c>
      <c r="F1849" s="195">
        <v>42248</v>
      </c>
      <c r="G1849" s="188"/>
      <c r="H1849" s="188">
        <v>1</v>
      </c>
      <c r="I1849" s="188">
        <v>100</v>
      </c>
      <c r="J1849" s="902" t="s">
        <v>6868</v>
      </c>
      <c r="K1849" s="162" t="s">
        <v>4035</v>
      </c>
      <c r="L1849" s="162" t="s">
        <v>461</v>
      </c>
      <c r="M1849" s="162"/>
      <c r="N1849" s="162"/>
      <c r="O1849" s="162"/>
      <c r="P1849" s="178"/>
      <c r="Q1849" s="162" t="s">
        <v>13587</v>
      </c>
      <c r="R1849" s="189" t="s">
        <v>13586</v>
      </c>
      <c r="S1849" s="366"/>
      <c r="T1849" s="178" t="s">
        <v>7311</v>
      </c>
      <c r="U1849" s="178"/>
      <c r="V1849" s="178"/>
      <c r="W1849" s="316" t="s">
        <v>13595</v>
      </c>
      <c r="X1849" s="654" t="s">
        <v>13588</v>
      </c>
      <c r="Y1849" s="356"/>
      <c r="Z1849" s="272"/>
      <c r="AA1849" s="272"/>
      <c r="AB1849" s="34">
        <f t="shared" ca="1" si="37"/>
        <v>0.27322398748385401</v>
      </c>
      <c r="AC1849" s="814"/>
      <c r="AD1849" s="815"/>
      <c r="AE1849" s="942"/>
      <c r="AF1849" s="923">
        <f>IF(X1849=X1848,AF1848,0)+IF(ISNUMBER(I1849),IF(I1849&lt;1,I1849,I1849*VLOOKUP(J1849,Summary!$H$2:$I$9,2)),VLOOKUP(J1849,Summary!$J$2:$K$9,2)*IF(ISNUMBER(H1849),H1849,1))</f>
        <v>0.20277777777777778</v>
      </c>
      <c r="AG1849" s="291">
        <v>1848</v>
      </c>
      <c r="AH1849" s="143"/>
      <c r="AI1849" s="143"/>
    </row>
    <row r="1850" spans="1:36" s="43" customFormat="1" ht="12" customHeight="1" x14ac:dyDescent="0.25">
      <c r="A1850" s="408"/>
      <c r="B1850" s="408" t="s">
        <v>2650</v>
      </c>
      <c r="C1850" s="408">
        <v>2.2000000000000002</v>
      </c>
      <c r="D1850" s="176" t="s">
        <v>13629</v>
      </c>
      <c r="E1850" s="313" t="s">
        <v>13632</v>
      </c>
      <c r="F1850" s="175">
        <v>42248</v>
      </c>
      <c r="G1850" s="175"/>
      <c r="H1850" s="176">
        <v>1</v>
      </c>
      <c r="I1850" s="176"/>
      <c r="J1850" s="900" t="s">
        <v>2755</v>
      </c>
      <c r="K1850" s="164" t="s">
        <v>13620</v>
      </c>
      <c r="L1850" s="164" t="s">
        <v>461</v>
      </c>
      <c r="M1850" s="164"/>
      <c r="N1850" s="164"/>
      <c r="O1850" s="164"/>
      <c r="P1850" s="173"/>
      <c r="Q1850" s="164" t="s">
        <v>13587</v>
      </c>
      <c r="R1850" s="177" t="s">
        <v>13586</v>
      </c>
      <c r="S1850" s="354"/>
      <c r="T1850" s="173" t="s">
        <v>7311</v>
      </c>
      <c r="U1850" s="173"/>
      <c r="V1850" s="173"/>
      <c r="W1850" s="313" t="s">
        <v>13622</v>
      </c>
      <c r="X1850" s="645" t="s">
        <v>13588</v>
      </c>
      <c r="Y1850" s="354"/>
      <c r="Z1850" s="176"/>
      <c r="AA1850" s="176"/>
      <c r="AB1850" s="32">
        <f t="shared" ca="1" si="37"/>
        <v>0.10654856818704361</v>
      </c>
      <c r="AC1850" s="812"/>
      <c r="AD1850" s="763"/>
      <c r="AE1850" s="807"/>
      <c r="AF1850" s="921">
        <f>IF(X1850=X1849,AF1849,0)+IF(ISNUMBER(I1850),IF(I1850&lt;1,I1850,I1850*VLOOKUP(J1850,Summary!$H$2:$I$9,2)),VLOOKUP(J1850,Summary!$J$2:$K$9,2)*IF(ISNUMBER(H1850),H1850,1))</f>
        <v>0.22013888888888888</v>
      </c>
      <c r="AG1850" s="289">
        <v>1849</v>
      </c>
      <c r="AH1850" s="94"/>
      <c r="AI1850" s="94"/>
    </row>
    <row r="1851" spans="1:36" s="89" customFormat="1" ht="12" customHeight="1" x14ac:dyDescent="0.25">
      <c r="A1851" s="474"/>
      <c r="B1851" s="507" t="s">
        <v>2650</v>
      </c>
      <c r="C1851" s="474">
        <v>3</v>
      </c>
      <c r="D1851" s="417" t="s">
        <v>13649</v>
      </c>
      <c r="E1851" s="316" t="s">
        <v>11451</v>
      </c>
      <c r="F1851" s="195">
        <v>42318</v>
      </c>
      <c r="G1851" s="188"/>
      <c r="H1851" s="188">
        <v>1</v>
      </c>
      <c r="I1851" s="188">
        <v>104</v>
      </c>
      <c r="J1851" s="902" t="s">
        <v>6868</v>
      </c>
      <c r="K1851" s="162" t="s">
        <v>13633</v>
      </c>
      <c r="L1851" s="162" t="s">
        <v>461</v>
      </c>
      <c r="M1851" s="162"/>
      <c r="N1851" s="162"/>
      <c r="O1851" s="162"/>
      <c r="P1851" s="178"/>
      <c r="Q1851" s="162" t="s">
        <v>13587</v>
      </c>
      <c r="R1851" s="189" t="s">
        <v>13586</v>
      </c>
      <c r="S1851" s="366"/>
      <c r="T1851" s="178" t="s">
        <v>7311</v>
      </c>
      <c r="U1851" s="178"/>
      <c r="V1851" s="178"/>
      <c r="W1851" s="316" t="s">
        <v>11451</v>
      </c>
      <c r="X1851" s="654" t="s">
        <v>13588</v>
      </c>
      <c r="Y1851" s="356"/>
      <c r="Z1851" s="272"/>
      <c r="AA1851" s="272"/>
      <c r="AB1851" s="34">
        <f t="shared" ca="1" si="37"/>
        <v>0.56980056531244749</v>
      </c>
      <c r="AC1851" s="814"/>
      <c r="AD1851" s="815"/>
      <c r="AE1851" s="942"/>
      <c r="AF1851" s="923">
        <f>IF(X1851=X1850,AF1850,0)+IF(ISNUMBER(I1851),IF(I1851&lt;1,I1851,I1851*VLOOKUP(J1851,Summary!$H$2:$I$9,2)),VLOOKUP(J1851,Summary!$J$2:$K$9,2)*IF(ISNUMBER(H1851),H1851,1))</f>
        <v>0.29236111111111113</v>
      </c>
      <c r="AG1851" s="291">
        <v>1850</v>
      </c>
      <c r="AH1851" s="143"/>
      <c r="AI1851" s="143"/>
    </row>
    <row r="1852" spans="1:36" s="43" customFormat="1" ht="12" customHeight="1" x14ac:dyDescent="0.25">
      <c r="A1852" s="408"/>
      <c r="B1852" s="408" t="s">
        <v>2650</v>
      </c>
      <c r="C1852" s="408">
        <v>4</v>
      </c>
      <c r="D1852" s="176" t="s">
        <v>13648</v>
      </c>
      <c r="E1852" s="313" t="s">
        <v>13596</v>
      </c>
      <c r="F1852" s="175">
        <v>42348</v>
      </c>
      <c r="G1852" s="175"/>
      <c r="H1852" s="176">
        <v>1</v>
      </c>
      <c r="I1852" s="176"/>
      <c r="J1852" s="900" t="s">
        <v>2755</v>
      </c>
      <c r="K1852" s="164" t="s">
        <v>13627</v>
      </c>
      <c r="L1852" s="164" t="s">
        <v>461</v>
      </c>
      <c r="M1852" s="164"/>
      <c r="N1852" s="164"/>
      <c r="O1852" s="164"/>
      <c r="P1852" s="173"/>
      <c r="Q1852" s="164" t="s">
        <v>13587</v>
      </c>
      <c r="R1852" s="177" t="s">
        <v>13586</v>
      </c>
      <c r="S1852" s="354"/>
      <c r="T1852" s="173" t="s">
        <v>7311</v>
      </c>
      <c r="U1852" s="173"/>
      <c r="V1852" s="173"/>
      <c r="W1852" s="313" t="s">
        <v>13596</v>
      </c>
      <c r="X1852" s="645" t="s">
        <v>13588</v>
      </c>
      <c r="Y1852" s="354"/>
      <c r="Z1852" s="176"/>
      <c r="AA1852" s="176"/>
      <c r="AB1852" s="32">
        <f t="shared" ca="1" si="37"/>
        <v>0.89608200803214966</v>
      </c>
      <c r="AC1852" s="812"/>
      <c r="AD1852" s="763"/>
      <c r="AE1852" s="807"/>
      <c r="AF1852" s="921">
        <f>IF(X1852=X1851,AF1851,0)+IF(ISNUMBER(I1852),IF(I1852&lt;1,I1852,I1852*VLOOKUP(J1852,Summary!$H$2:$I$9,2)),VLOOKUP(J1852,Summary!$J$2:$K$9,2)*IF(ISNUMBER(H1852),H1852,1))</f>
        <v>0.30972222222222223</v>
      </c>
      <c r="AG1852" s="289">
        <v>1851</v>
      </c>
      <c r="AH1852" s="94"/>
      <c r="AI1852" s="94"/>
    </row>
    <row r="1853" spans="1:36" s="43" customFormat="1" ht="12" customHeight="1" x14ac:dyDescent="0.25">
      <c r="A1853" s="408"/>
      <c r="B1853" s="408" t="s">
        <v>2650</v>
      </c>
      <c r="C1853" s="408">
        <v>5.01</v>
      </c>
      <c r="D1853" s="176" t="s">
        <v>13634</v>
      </c>
      <c r="E1853" s="313" t="s">
        <v>13597</v>
      </c>
      <c r="F1853" s="175">
        <v>42387</v>
      </c>
      <c r="G1853" s="175"/>
      <c r="H1853" s="176">
        <v>1</v>
      </c>
      <c r="I1853" s="176"/>
      <c r="J1853" s="900" t="s">
        <v>2755</v>
      </c>
      <c r="K1853" s="164" t="s">
        <v>13627</v>
      </c>
      <c r="L1853" s="164" t="s">
        <v>461</v>
      </c>
      <c r="M1853" s="164"/>
      <c r="N1853" s="164"/>
      <c r="O1853" s="164"/>
      <c r="P1853" s="173"/>
      <c r="Q1853" s="164" t="s">
        <v>13587</v>
      </c>
      <c r="R1853" s="177" t="s">
        <v>13586</v>
      </c>
      <c r="S1853" s="354"/>
      <c r="T1853" s="173" t="s">
        <v>7311</v>
      </c>
      <c r="U1853" s="173"/>
      <c r="V1853" s="173"/>
      <c r="W1853" s="313" t="s">
        <v>13597</v>
      </c>
      <c r="X1853" s="645" t="s">
        <v>13588</v>
      </c>
      <c r="Y1853" s="354"/>
      <c r="Z1853" s="176"/>
      <c r="AA1853" s="176"/>
      <c r="AB1853" s="32">
        <f t="shared" ca="1" si="37"/>
        <v>0.14616711374712965</v>
      </c>
      <c r="AC1853" s="812"/>
      <c r="AD1853" s="763"/>
      <c r="AE1853" s="807"/>
      <c r="AF1853" s="921">
        <f>IF(X1853=X1852,AF1852,0)+IF(ISNUMBER(I1853),IF(I1853&lt;1,I1853,I1853*VLOOKUP(J1853,Summary!$H$2:$I$9,2)),VLOOKUP(J1853,Summary!$J$2:$K$9,2)*IF(ISNUMBER(H1853),H1853,1))</f>
        <v>0.32708333333333334</v>
      </c>
      <c r="AG1853" s="289">
        <v>1852</v>
      </c>
      <c r="AH1853" s="94"/>
      <c r="AI1853" s="94"/>
    </row>
    <row r="1854" spans="1:36" s="43" customFormat="1" ht="12" customHeight="1" x14ac:dyDescent="0.25">
      <c r="A1854" s="408"/>
      <c r="B1854" s="408" t="s">
        <v>2650</v>
      </c>
      <c r="C1854" s="408">
        <v>5.0199999999999996</v>
      </c>
      <c r="D1854" s="176" t="s">
        <v>13635</v>
      </c>
      <c r="E1854" s="313" t="s">
        <v>13598</v>
      </c>
      <c r="F1854" s="175">
        <v>42387</v>
      </c>
      <c r="G1854" s="175"/>
      <c r="H1854" s="176">
        <v>1</v>
      </c>
      <c r="I1854" s="176"/>
      <c r="J1854" s="900" t="s">
        <v>2755</v>
      </c>
      <c r="K1854" s="164" t="s">
        <v>13669</v>
      </c>
      <c r="L1854" s="164" t="s">
        <v>461</v>
      </c>
      <c r="M1854" s="164"/>
      <c r="N1854" s="164"/>
      <c r="O1854" s="164"/>
      <c r="P1854" s="173"/>
      <c r="Q1854" s="164" t="s">
        <v>13587</v>
      </c>
      <c r="R1854" s="177" t="s">
        <v>13586</v>
      </c>
      <c r="S1854" s="354"/>
      <c r="T1854" s="173" t="s">
        <v>7311</v>
      </c>
      <c r="U1854" s="173"/>
      <c r="V1854" s="173"/>
      <c r="W1854" s="313" t="s">
        <v>13598</v>
      </c>
      <c r="X1854" s="645" t="s">
        <v>13588</v>
      </c>
      <c r="Y1854" s="354"/>
      <c r="Z1854" s="176"/>
      <c r="AA1854" s="176"/>
      <c r="AB1854" s="32">
        <f t="shared" ca="1" si="37"/>
        <v>0.19812864572168842</v>
      </c>
      <c r="AC1854" s="812"/>
      <c r="AD1854" s="763"/>
      <c r="AE1854" s="807"/>
      <c r="AF1854" s="921">
        <f>IF(X1854=X1853,AF1853,0)+IF(ISNUMBER(I1854),IF(I1854&lt;1,I1854,I1854*VLOOKUP(J1854,Summary!$H$2:$I$9,2)),VLOOKUP(J1854,Summary!$J$2:$K$9,2)*IF(ISNUMBER(H1854),H1854,1))</f>
        <v>0.34444444444444444</v>
      </c>
      <c r="AG1854" s="289">
        <v>1853</v>
      </c>
      <c r="AH1854" s="94"/>
      <c r="AI1854" s="94"/>
    </row>
    <row r="1855" spans="1:36" s="43" customFormat="1" ht="12" customHeight="1" x14ac:dyDescent="0.25">
      <c r="A1855" s="408"/>
      <c r="B1855" s="408" t="s">
        <v>2650</v>
      </c>
      <c r="C1855" s="408">
        <v>5.0299999999999994</v>
      </c>
      <c r="D1855" s="176" t="s">
        <v>13636</v>
      </c>
      <c r="E1855" s="313" t="s">
        <v>1871</v>
      </c>
      <c r="F1855" s="175">
        <v>42387</v>
      </c>
      <c r="G1855" s="175"/>
      <c r="H1855" s="176">
        <v>1</v>
      </c>
      <c r="I1855" s="176"/>
      <c r="J1855" s="900" t="s">
        <v>2755</v>
      </c>
      <c r="K1855" s="164" t="s">
        <v>4035</v>
      </c>
      <c r="L1855" s="164" t="s">
        <v>461</v>
      </c>
      <c r="M1855" s="164"/>
      <c r="N1855" s="164"/>
      <c r="O1855" s="164"/>
      <c r="P1855" s="173"/>
      <c r="Q1855" s="164" t="s">
        <v>13587</v>
      </c>
      <c r="R1855" s="177" t="s">
        <v>13586</v>
      </c>
      <c r="S1855" s="354"/>
      <c r="T1855" s="173" t="s">
        <v>7311</v>
      </c>
      <c r="U1855" s="173"/>
      <c r="V1855" s="173"/>
      <c r="W1855" s="313" t="s">
        <v>1871</v>
      </c>
      <c r="X1855" s="645" t="s">
        <v>13588</v>
      </c>
      <c r="Y1855" s="354"/>
      <c r="Z1855" s="176"/>
      <c r="AA1855" s="176"/>
      <c r="AB1855" s="32">
        <f t="shared" ca="1" si="37"/>
        <v>0.77491699262521363</v>
      </c>
      <c r="AC1855" s="812"/>
      <c r="AD1855" s="763"/>
      <c r="AE1855" s="807"/>
      <c r="AF1855" s="921">
        <f>IF(X1855=X1854,AF1854,0)+IF(ISNUMBER(I1855),IF(I1855&lt;1,I1855,I1855*VLOOKUP(J1855,Summary!$H$2:$I$9,2)),VLOOKUP(J1855,Summary!$J$2:$K$9,2)*IF(ISNUMBER(H1855),H1855,1))</f>
        <v>0.36180555555555555</v>
      </c>
      <c r="AG1855" s="289">
        <v>1854</v>
      </c>
      <c r="AH1855" s="94"/>
      <c r="AI1855" s="94"/>
    </row>
    <row r="1856" spans="1:36" s="43" customFormat="1" ht="12" customHeight="1" x14ac:dyDescent="0.25">
      <c r="A1856" s="408"/>
      <c r="B1856" s="408" t="s">
        <v>2650</v>
      </c>
      <c r="C1856" s="408">
        <v>5.0399999999999991</v>
      </c>
      <c r="D1856" s="176" t="s">
        <v>13637</v>
      </c>
      <c r="E1856" s="313" t="s">
        <v>13599</v>
      </c>
      <c r="F1856" s="175">
        <v>42387</v>
      </c>
      <c r="G1856" s="175"/>
      <c r="H1856" s="176">
        <v>1</v>
      </c>
      <c r="I1856" s="176"/>
      <c r="J1856" s="900" t="s">
        <v>2755</v>
      </c>
      <c r="K1856" s="164" t="s">
        <v>13671</v>
      </c>
      <c r="L1856" s="164" t="s">
        <v>461</v>
      </c>
      <c r="M1856" s="164"/>
      <c r="N1856" s="164"/>
      <c r="O1856" s="164"/>
      <c r="P1856" s="173"/>
      <c r="Q1856" s="164" t="s">
        <v>13587</v>
      </c>
      <c r="R1856" s="177" t="s">
        <v>13586</v>
      </c>
      <c r="S1856" s="354"/>
      <c r="T1856" s="173" t="s">
        <v>7311</v>
      </c>
      <c r="U1856" s="173"/>
      <c r="V1856" s="173"/>
      <c r="W1856" s="313" t="s">
        <v>13599</v>
      </c>
      <c r="X1856" s="645" t="s">
        <v>13588</v>
      </c>
      <c r="Y1856" s="354"/>
      <c r="Z1856" s="176"/>
      <c r="AA1856" s="176"/>
      <c r="AB1856" s="32">
        <f t="shared" ca="1" si="37"/>
        <v>0.55467300253909302</v>
      </c>
      <c r="AC1856" s="812"/>
      <c r="AD1856" s="763"/>
      <c r="AE1856" s="807"/>
      <c r="AF1856" s="921">
        <f>IF(X1856=X1855,AF1855,0)+IF(ISNUMBER(I1856),IF(I1856&lt;1,I1856,I1856*VLOOKUP(J1856,Summary!$H$2:$I$9,2)),VLOOKUP(J1856,Summary!$J$2:$K$9,2)*IF(ISNUMBER(H1856),H1856,1))</f>
        <v>0.37916666666666665</v>
      </c>
      <c r="AG1856" s="289">
        <v>1855</v>
      </c>
      <c r="AH1856" s="94"/>
      <c r="AI1856" s="94"/>
    </row>
    <row r="1857" spans="1:35" s="43" customFormat="1" ht="12" customHeight="1" x14ac:dyDescent="0.25">
      <c r="A1857" s="408"/>
      <c r="B1857" s="408" t="s">
        <v>2650</v>
      </c>
      <c r="C1857" s="408">
        <v>5.0499999999999989</v>
      </c>
      <c r="D1857" s="176" t="s">
        <v>13638</v>
      </c>
      <c r="E1857" s="313" t="s">
        <v>13600</v>
      </c>
      <c r="F1857" s="175">
        <v>42387</v>
      </c>
      <c r="G1857" s="175"/>
      <c r="H1857" s="176">
        <v>1</v>
      </c>
      <c r="I1857" s="176"/>
      <c r="J1857" s="900" t="s">
        <v>2755</v>
      </c>
      <c r="K1857" s="164" t="s">
        <v>13670</v>
      </c>
      <c r="L1857" s="164" t="s">
        <v>461</v>
      </c>
      <c r="M1857" s="164"/>
      <c r="N1857" s="164"/>
      <c r="O1857" s="164"/>
      <c r="P1857" s="173"/>
      <c r="Q1857" s="164" t="s">
        <v>13587</v>
      </c>
      <c r="R1857" s="177" t="s">
        <v>13586</v>
      </c>
      <c r="S1857" s="354"/>
      <c r="T1857" s="173" t="s">
        <v>7311</v>
      </c>
      <c r="U1857" s="173"/>
      <c r="V1857" s="173"/>
      <c r="W1857" s="313" t="s">
        <v>13600</v>
      </c>
      <c r="X1857" s="645" t="s">
        <v>13588</v>
      </c>
      <c r="Y1857" s="354"/>
      <c r="Z1857" s="176"/>
      <c r="AA1857" s="176"/>
      <c r="AB1857" s="32">
        <f t="shared" ca="1" si="37"/>
        <v>0.99345446594614606</v>
      </c>
      <c r="AC1857" s="812"/>
      <c r="AD1857" s="763"/>
      <c r="AE1857" s="807"/>
      <c r="AF1857" s="921">
        <f>IF(X1857=X1856,AF1856,0)+IF(ISNUMBER(I1857),IF(I1857&lt;1,I1857,I1857*VLOOKUP(J1857,Summary!$H$2:$I$9,2)),VLOOKUP(J1857,Summary!$J$2:$K$9,2)*IF(ISNUMBER(H1857),H1857,1))</f>
        <v>0.39652777777777776</v>
      </c>
      <c r="AG1857" s="289">
        <v>1856</v>
      </c>
      <c r="AH1857" s="94"/>
      <c r="AI1857" s="94"/>
    </row>
    <row r="1858" spans="1:35" s="43" customFormat="1" ht="12" customHeight="1" x14ac:dyDescent="0.25">
      <c r="A1858" s="408"/>
      <c r="B1858" s="408" t="s">
        <v>2650</v>
      </c>
      <c r="C1858" s="408">
        <v>5.0599999999999987</v>
      </c>
      <c r="D1858" s="176" t="s">
        <v>13639</v>
      </c>
      <c r="E1858" s="313" t="s">
        <v>13601</v>
      </c>
      <c r="F1858" s="175">
        <v>42387</v>
      </c>
      <c r="G1858" s="175"/>
      <c r="H1858" s="176">
        <v>2</v>
      </c>
      <c r="I1858" s="176"/>
      <c r="J1858" s="900" t="s">
        <v>2755</v>
      </c>
      <c r="K1858" s="164" t="s">
        <v>4035</v>
      </c>
      <c r="L1858" s="164" t="s">
        <v>461</v>
      </c>
      <c r="M1858" s="164"/>
      <c r="N1858" s="164"/>
      <c r="O1858" s="164"/>
      <c r="P1858" s="173"/>
      <c r="Q1858" s="164" t="s">
        <v>13587</v>
      </c>
      <c r="R1858" s="177" t="s">
        <v>13586</v>
      </c>
      <c r="S1858" s="354"/>
      <c r="T1858" s="173" t="s">
        <v>7311</v>
      </c>
      <c r="U1858" s="173"/>
      <c r="V1858" s="173"/>
      <c r="W1858" s="313" t="s">
        <v>13601</v>
      </c>
      <c r="X1858" s="645" t="s">
        <v>13588</v>
      </c>
      <c r="Y1858" s="354"/>
      <c r="Z1858" s="176"/>
      <c r="AA1858" s="176"/>
      <c r="AB1858" s="32">
        <f t="shared" ref="AB1858:AB1921" ca="1" si="38">RAND()</f>
        <v>0.1757101859194401</v>
      </c>
      <c r="AC1858" s="812"/>
      <c r="AD1858" s="763"/>
      <c r="AE1858" s="807"/>
      <c r="AF1858" s="921">
        <f>IF(X1858=X1857,AF1857,0)+IF(ISNUMBER(I1858),IF(I1858&lt;1,I1858,I1858*VLOOKUP(J1858,Summary!$H$2:$I$9,2)),VLOOKUP(J1858,Summary!$J$2:$K$9,2)*IF(ISNUMBER(H1858),H1858,1))</f>
        <v>0.43124999999999997</v>
      </c>
      <c r="AG1858" s="289">
        <v>1857</v>
      </c>
      <c r="AH1858" s="94"/>
      <c r="AI1858" s="94"/>
    </row>
    <row r="1859" spans="1:35" s="43" customFormat="1" ht="12" customHeight="1" x14ac:dyDescent="0.25">
      <c r="A1859" s="408"/>
      <c r="B1859" s="408" t="s">
        <v>2650</v>
      </c>
      <c r="C1859" s="408">
        <v>5.0699999999999985</v>
      </c>
      <c r="D1859" s="176" t="s">
        <v>13640</v>
      </c>
      <c r="E1859" s="313" t="s">
        <v>13602</v>
      </c>
      <c r="F1859" s="175">
        <v>42387</v>
      </c>
      <c r="G1859" s="175"/>
      <c r="H1859" s="176">
        <v>1</v>
      </c>
      <c r="I1859" s="176"/>
      <c r="J1859" s="900" t="s">
        <v>2755</v>
      </c>
      <c r="K1859" s="164" t="s">
        <v>1932</v>
      </c>
      <c r="L1859" s="164" t="s">
        <v>461</v>
      </c>
      <c r="M1859" s="164"/>
      <c r="N1859" s="164"/>
      <c r="O1859" s="164"/>
      <c r="P1859" s="173"/>
      <c r="Q1859" s="164" t="s">
        <v>13587</v>
      </c>
      <c r="R1859" s="177" t="s">
        <v>13586</v>
      </c>
      <c r="S1859" s="354"/>
      <c r="T1859" s="173" t="s">
        <v>7311</v>
      </c>
      <c r="U1859" s="173"/>
      <c r="V1859" s="173"/>
      <c r="W1859" s="313" t="s">
        <v>13602</v>
      </c>
      <c r="X1859" s="645" t="s">
        <v>13588</v>
      </c>
      <c r="Y1859" s="354"/>
      <c r="Z1859" s="176"/>
      <c r="AA1859" s="176"/>
      <c r="AB1859" s="32">
        <f t="shared" ca="1" si="38"/>
        <v>0.18378559162809838</v>
      </c>
      <c r="AC1859" s="812"/>
      <c r="AD1859" s="763"/>
      <c r="AE1859" s="807"/>
      <c r="AF1859" s="921">
        <f>IF(X1859=X1858,AF1858,0)+IF(ISNUMBER(I1859),IF(I1859&lt;1,I1859,I1859*VLOOKUP(J1859,Summary!$H$2:$I$9,2)),VLOOKUP(J1859,Summary!$J$2:$K$9,2)*IF(ISNUMBER(H1859),H1859,1))</f>
        <v>0.44861111111111107</v>
      </c>
      <c r="AG1859" s="289">
        <v>1858</v>
      </c>
      <c r="AH1859" s="94"/>
      <c r="AI1859" s="94"/>
    </row>
    <row r="1860" spans="1:35" s="43" customFormat="1" ht="12" customHeight="1" x14ac:dyDescent="0.25">
      <c r="A1860" s="408"/>
      <c r="B1860" s="408" t="s">
        <v>2650</v>
      </c>
      <c r="C1860" s="408">
        <v>5.0799999999999983</v>
      </c>
      <c r="D1860" s="176" t="s">
        <v>13641</v>
      </c>
      <c r="E1860" s="313" t="s">
        <v>13603</v>
      </c>
      <c r="F1860" s="175">
        <v>42387</v>
      </c>
      <c r="G1860" s="175"/>
      <c r="H1860" s="176">
        <v>1</v>
      </c>
      <c r="I1860" s="176"/>
      <c r="J1860" s="900" t="s">
        <v>2755</v>
      </c>
      <c r="K1860" s="164" t="s">
        <v>13620</v>
      </c>
      <c r="L1860" s="164" t="s">
        <v>461</v>
      </c>
      <c r="M1860" s="164"/>
      <c r="N1860" s="164"/>
      <c r="O1860" s="164"/>
      <c r="P1860" s="173"/>
      <c r="Q1860" s="164" t="s">
        <v>13587</v>
      </c>
      <c r="R1860" s="177" t="s">
        <v>13586</v>
      </c>
      <c r="S1860" s="354"/>
      <c r="T1860" s="173" t="s">
        <v>7311</v>
      </c>
      <c r="U1860" s="173"/>
      <c r="V1860" s="173"/>
      <c r="W1860" s="313" t="s">
        <v>13603</v>
      </c>
      <c r="X1860" s="645" t="s">
        <v>13588</v>
      </c>
      <c r="Y1860" s="354"/>
      <c r="Z1860" s="176"/>
      <c r="AA1860" s="176"/>
      <c r="AB1860" s="32">
        <f t="shared" ca="1" si="38"/>
        <v>0.95567044430180714</v>
      </c>
      <c r="AC1860" s="812"/>
      <c r="AD1860" s="763"/>
      <c r="AE1860" s="807"/>
      <c r="AF1860" s="921">
        <f>IF(X1860=X1859,AF1859,0)+IF(ISNUMBER(I1860),IF(I1860&lt;1,I1860,I1860*VLOOKUP(J1860,Summary!$H$2:$I$9,2)),VLOOKUP(J1860,Summary!$J$2:$K$9,2)*IF(ISNUMBER(H1860),H1860,1))</f>
        <v>0.46597222222222218</v>
      </c>
      <c r="AG1860" s="289">
        <v>1859</v>
      </c>
      <c r="AH1860" s="94"/>
      <c r="AI1860" s="94"/>
    </row>
    <row r="1861" spans="1:35" s="43" customFormat="1" ht="12" customHeight="1" x14ac:dyDescent="0.25">
      <c r="A1861" s="408"/>
      <c r="B1861" s="408" t="s">
        <v>2650</v>
      </c>
      <c r="C1861" s="408">
        <v>5.0899999999999981</v>
      </c>
      <c r="D1861" s="176" t="s">
        <v>13642</v>
      </c>
      <c r="E1861" s="313" t="s">
        <v>13604</v>
      </c>
      <c r="F1861" s="175">
        <v>42387</v>
      </c>
      <c r="G1861" s="175"/>
      <c r="H1861" s="176">
        <v>1</v>
      </c>
      <c r="I1861" s="176"/>
      <c r="J1861" s="900" t="s">
        <v>2755</v>
      </c>
      <c r="K1861" s="164" t="s">
        <v>4035</v>
      </c>
      <c r="L1861" s="164" t="s">
        <v>461</v>
      </c>
      <c r="M1861" s="164"/>
      <c r="N1861" s="164"/>
      <c r="O1861" s="164"/>
      <c r="P1861" s="173"/>
      <c r="Q1861" s="164" t="s">
        <v>13587</v>
      </c>
      <c r="R1861" s="177" t="s">
        <v>13586</v>
      </c>
      <c r="S1861" s="354"/>
      <c r="T1861" s="173" t="s">
        <v>7311</v>
      </c>
      <c r="U1861" s="173"/>
      <c r="V1861" s="173"/>
      <c r="W1861" s="313" t="s">
        <v>13604</v>
      </c>
      <c r="X1861" s="645" t="s">
        <v>13588</v>
      </c>
      <c r="Y1861" s="354"/>
      <c r="Z1861" s="176"/>
      <c r="AA1861" s="176"/>
      <c r="AB1861" s="32">
        <f t="shared" ca="1" si="38"/>
        <v>0.95392167344223133</v>
      </c>
      <c r="AC1861" s="812"/>
      <c r="AD1861" s="763"/>
      <c r="AE1861" s="807"/>
      <c r="AF1861" s="921">
        <f>IF(X1861=X1860,AF1860,0)+IF(ISNUMBER(I1861),IF(I1861&lt;1,I1861,I1861*VLOOKUP(J1861,Summary!$H$2:$I$9,2)),VLOOKUP(J1861,Summary!$J$2:$K$9,2)*IF(ISNUMBER(H1861),H1861,1))</f>
        <v>0.48333333333333328</v>
      </c>
      <c r="AG1861" s="289">
        <v>1860</v>
      </c>
      <c r="AH1861" s="94"/>
      <c r="AI1861" s="94"/>
    </row>
    <row r="1862" spans="1:35" s="43" customFormat="1" ht="12" customHeight="1" x14ac:dyDescent="0.25">
      <c r="A1862" s="408"/>
      <c r="B1862" s="408" t="s">
        <v>2650</v>
      </c>
      <c r="C1862" s="497">
        <v>5.0999999999999979</v>
      </c>
      <c r="D1862" s="176" t="s">
        <v>13643</v>
      </c>
      <c r="E1862" s="313" t="s">
        <v>13605</v>
      </c>
      <c r="F1862" s="175">
        <v>42387</v>
      </c>
      <c r="G1862" s="175"/>
      <c r="H1862" s="176">
        <v>1</v>
      </c>
      <c r="I1862" s="176"/>
      <c r="J1862" s="900" t="s">
        <v>2755</v>
      </c>
      <c r="K1862" s="164" t="s">
        <v>7381</v>
      </c>
      <c r="L1862" s="164" t="s">
        <v>461</v>
      </c>
      <c r="M1862" s="164"/>
      <c r="N1862" s="164"/>
      <c r="O1862" s="164"/>
      <c r="P1862" s="173"/>
      <c r="Q1862" s="164" t="s">
        <v>13587</v>
      </c>
      <c r="R1862" s="177" t="s">
        <v>13586</v>
      </c>
      <c r="S1862" s="354"/>
      <c r="T1862" s="173" t="s">
        <v>7311</v>
      </c>
      <c r="U1862" s="173"/>
      <c r="V1862" s="173"/>
      <c r="W1862" s="313" t="s">
        <v>13605</v>
      </c>
      <c r="X1862" s="645" t="s">
        <v>13588</v>
      </c>
      <c r="Y1862" s="354"/>
      <c r="Z1862" s="176"/>
      <c r="AA1862" s="176"/>
      <c r="AB1862" s="32">
        <f t="shared" ca="1" si="38"/>
        <v>0.65228195069671613</v>
      </c>
      <c r="AC1862" s="812"/>
      <c r="AD1862" s="763"/>
      <c r="AE1862" s="807"/>
      <c r="AF1862" s="921">
        <f>IF(X1862=X1861,AF1861,0)+IF(ISNUMBER(I1862),IF(I1862&lt;1,I1862,I1862*VLOOKUP(J1862,Summary!$H$2:$I$9,2)),VLOOKUP(J1862,Summary!$J$2:$K$9,2)*IF(ISNUMBER(H1862),H1862,1))</f>
        <v>0.50069444444444444</v>
      </c>
      <c r="AG1862" s="289">
        <v>1861</v>
      </c>
      <c r="AH1862" s="94"/>
      <c r="AI1862" s="94"/>
    </row>
    <row r="1863" spans="1:35" s="43" customFormat="1" ht="12" customHeight="1" x14ac:dyDescent="0.25">
      <c r="A1863" s="408"/>
      <c r="B1863" s="408" t="s">
        <v>2650</v>
      </c>
      <c r="C1863" s="408">
        <v>5.1099999999999977</v>
      </c>
      <c r="D1863" s="176" t="s">
        <v>13644</v>
      </c>
      <c r="E1863" s="313" t="s">
        <v>13606</v>
      </c>
      <c r="F1863" s="175">
        <v>42387</v>
      </c>
      <c r="G1863" s="175"/>
      <c r="H1863" s="176">
        <v>1</v>
      </c>
      <c r="I1863" s="176"/>
      <c r="J1863" s="900" t="s">
        <v>2755</v>
      </c>
      <c r="K1863" s="164" t="s">
        <v>4035</v>
      </c>
      <c r="L1863" s="164" t="s">
        <v>461</v>
      </c>
      <c r="M1863" s="164"/>
      <c r="N1863" s="164"/>
      <c r="O1863" s="164"/>
      <c r="P1863" s="173"/>
      <c r="Q1863" s="164" t="s">
        <v>13587</v>
      </c>
      <c r="R1863" s="177" t="s">
        <v>13586</v>
      </c>
      <c r="S1863" s="354"/>
      <c r="T1863" s="173" t="s">
        <v>7311</v>
      </c>
      <c r="U1863" s="173"/>
      <c r="V1863" s="173"/>
      <c r="W1863" s="313" t="s">
        <v>13606</v>
      </c>
      <c r="X1863" s="645" t="s">
        <v>13588</v>
      </c>
      <c r="Y1863" s="354"/>
      <c r="Z1863" s="176"/>
      <c r="AA1863" s="176"/>
      <c r="AB1863" s="32">
        <f t="shared" ca="1" si="38"/>
        <v>0.82592399315024656</v>
      </c>
      <c r="AC1863" s="812"/>
      <c r="AD1863" s="763"/>
      <c r="AE1863" s="807"/>
      <c r="AF1863" s="921">
        <f>IF(X1863=X1862,AF1862,0)+IF(ISNUMBER(I1863),IF(I1863&lt;1,I1863,I1863*VLOOKUP(J1863,Summary!$H$2:$I$9,2)),VLOOKUP(J1863,Summary!$J$2:$K$9,2)*IF(ISNUMBER(H1863),H1863,1))</f>
        <v>0.5180555555555556</v>
      </c>
      <c r="AG1863" s="289">
        <v>1862</v>
      </c>
      <c r="AH1863" s="94"/>
      <c r="AI1863" s="94"/>
    </row>
    <row r="1864" spans="1:35" s="43" customFormat="1" ht="12" customHeight="1" x14ac:dyDescent="0.25">
      <c r="A1864" s="408"/>
      <c r="B1864" s="408" t="s">
        <v>2650</v>
      </c>
      <c r="C1864" s="408">
        <v>5.1199999999999974</v>
      </c>
      <c r="D1864" s="176" t="s">
        <v>13645</v>
      </c>
      <c r="E1864" s="313" t="s">
        <v>13607</v>
      </c>
      <c r="F1864" s="175">
        <v>42387</v>
      </c>
      <c r="G1864" s="175"/>
      <c r="H1864" s="176">
        <v>1</v>
      </c>
      <c r="I1864" s="176"/>
      <c r="J1864" s="900" t="s">
        <v>2755</v>
      </c>
      <c r="K1864" s="164" t="s">
        <v>13672</v>
      </c>
      <c r="L1864" s="164" t="s">
        <v>461</v>
      </c>
      <c r="M1864" s="164"/>
      <c r="N1864" s="164"/>
      <c r="O1864" s="164"/>
      <c r="P1864" s="173"/>
      <c r="Q1864" s="164" t="s">
        <v>13587</v>
      </c>
      <c r="R1864" s="177" t="s">
        <v>13586</v>
      </c>
      <c r="S1864" s="354"/>
      <c r="T1864" s="173" t="s">
        <v>7311</v>
      </c>
      <c r="U1864" s="173"/>
      <c r="V1864" s="173"/>
      <c r="W1864" s="313" t="s">
        <v>13607</v>
      </c>
      <c r="X1864" s="645" t="s">
        <v>13588</v>
      </c>
      <c r="Y1864" s="354"/>
      <c r="Z1864" s="176"/>
      <c r="AA1864" s="176"/>
      <c r="AB1864" s="32">
        <f t="shared" ca="1" si="38"/>
        <v>0.16980694193832213</v>
      </c>
      <c r="AC1864" s="812"/>
      <c r="AD1864" s="763"/>
      <c r="AE1864" s="807"/>
      <c r="AF1864" s="921">
        <f>IF(X1864=X1863,AF1863,0)+IF(ISNUMBER(I1864),IF(I1864&lt;1,I1864,I1864*VLOOKUP(J1864,Summary!$H$2:$I$9,2)),VLOOKUP(J1864,Summary!$J$2:$K$9,2)*IF(ISNUMBER(H1864),H1864,1))</f>
        <v>0.53541666666666676</v>
      </c>
      <c r="AG1864" s="289">
        <v>1863</v>
      </c>
      <c r="AH1864" s="94"/>
      <c r="AI1864" s="94"/>
    </row>
    <row r="1865" spans="1:35" s="43" customFormat="1" ht="12" customHeight="1" x14ac:dyDescent="0.25">
      <c r="A1865" s="408"/>
      <c r="B1865" s="408" t="s">
        <v>2650</v>
      </c>
      <c r="C1865" s="408">
        <v>5.1299999999999972</v>
      </c>
      <c r="D1865" s="176" t="s">
        <v>13646</v>
      </c>
      <c r="E1865" s="313" t="s">
        <v>13608</v>
      </c>
      <c r="F1865" s="175">
        <v>42387</v>
      </c>
      <c r="G1865" s="175"/>
      <c r="H1865" s="176">
        <v>1</v>
      </c>
      <c r="I1865" s="176"/>
      <c r="J1865" s="900" t="s">
        <v>2755</v>
      </c>
      <c r="K1865" s="164" t="s">
        <v>4035</v>
      </c>
      <c r="L1865" s="164" t="s">
        <v>461</v>
      </c>
      <c r="M1865" s="164"/>
      <c r="N1865" s="164"/>
      <c r="O1865" s="164"/>
      <c r="P1865" s="173"/>
      <c r="Q1865" s="164" t="s">
        <v>13587</v>
      </c>
      <c r="R1865" s="177" t="s">
        <v>13586</v>
      </c>
      <c r="S1865" s="354"/>
      <c r="T1865" s="173" t="s">
        <v>7311</v>
      </c>
      <c r="U1865" s="173"/>
      <c r="V1865" s="173"/>
      <c r="W1865" s="313" t="s">
        <v>13608</v>
      </c>
      <c r="X1865" s="645" t="s">
        <v>13588</v>
      </c>
      <c r="Y1865" s="354"/>
      <c r="Z1865" s="176"/>
      <c r="AA1865" s="176"/>
      <c r="AB1865" s="32">
        <f t="shared" ca="1" si="38"/>
        <v>0.21185014278823233</v>
      </c>
      <c r="AC1865" s="812"/>
      <c r="AD1865" s="763"/>
      <c r="AE1865" s="807"/>
      <c r="AF1865" s="921">
        <f>IF(X1865=X1864,AF1864,0)+IF(ISNUMBER(I1865),IF(I1865&lt;1,I1865,I1865*VLOOKUP(J1865,Summary!$H$2:$I$9,2)),VLOOKUP(J1865,Summary!$J$2:$K$9,2)*IF(ISNUMBER(H1865),H1865,1))</f>
        <v>0.55277777777777792</v>
      </c>
      <c r="AG1865" s="289">
        <v>1864</v>
      </c>
      <c r="AH1865" s="94"/>
      <c r="AI1865" s="94"/>
    </row>
    <row r="1866" spans="1:35" s="43" customFormat="1" ht="12" customHeight="1" x14ac:dyDescent="0.25">
      <c r="A1866" s="408"/>
      <c r="B1866" s="408" t="s">
        <v>2650</v>
      </c>
      <c r="C1866" s="408">
        <v>5.139999999999997</v>
      </c>
      <c r="D1866" s="176" t="s">
        <v>13647</v>
      </c>
      <c r="E1866" s="313" t="s">
        <v>13609</v>
      </c>
      <c r="F1866" s="175">
        <v>42387</v>
      </c>
      <c r="G1866" s="175"/>
      <c r="H1866" s="176">
        <v>1</v>
      </c>
      <c r="I1866" s="176"/>
      <c r="J1866" s="900" t="s">
        <v>2755</v>
      </c>
      <c r="K1866" s="164" t="s">
        <v>13625</v>
      </c>
      <c r="L1866" s="164" t="s">
        <v>461</v>
      </c>
      <c r="M1866" s="164"/>
      <c r="N1866" s="164"/>
      <c r="O1866" s="164"/>
      <c r="P1866" s="173"/>
      <c r="Q1866" s="164" t="s">
        <v>13587</v>
      </c>
      <c r="R1866" s="177" t="s">
        <v>13586</v>
      </c>
      <c r="S1866" s="354"/>
      <c r="T1866" s="173" t="s">
        <v>7311</v>
      </c>
      <c r="U1866" s="173"/>
      <c r="V1866" s="173"/>
      <c r="W1866" s="313" t="s">
        <v>13609</v>
      </c>
      <c r="X1866" s="645" t="s">
        <v>13588</v>
      </c>
      <c r="Y1866" s="354"/>
      <c r="Z1866" s="176"/>
      <c r="AA1866" s="176"/>
      <c r="AB1866" s="32">
        <f t="shared" ca="1" si="38"/>
        <v>0.9468999636934069</v>
      </c>
      <c r="AC1866" s="812"/>
      <c r="AD1866" s="763"/>
      <c r="AE1866" s="807"/>
      <c r="AF1866" s="921">
        <f>IF(X1866=X1865,AF1865,0)+IF(ISNUMBER(I1866),IF(I1866&lt;1,I1866,I1866*VLOOKUP(J1866,Summary!$H$2:$I$9,2)),VLOOKUP(J1866,Summary!$J$2:$K$9,2)*IF(ISNUMBER(H1866),H1866,1))</f>
        <v>0.57013888888888908</v>
      </c>
      <c r="AG1866" s="289">
        <v>1865</v>
      </c>
      <c r="AH1866" s="94"/>
      <c r="AI1866" s="94"/>
    </row>
    <row r="1867" spans="1:35" s="89" customFormat="1" ht="12" customHeight="1" x14ac:dyDescent="0.25">
      <c r="A1867" s="474"/>
      <c r="B1867" s="507" t="s">
        <v>2650</v>
      </c>
      <c r="C1867" s="474">
        <v>6.1</v>
      </c>
      <c r="D1867" s="417" t="s">
        <v>13650</v>
      </c>
      <c r="E1867" s="316" t="s">
        <v>13611</v>
      </c>
      <c r="F1867" s="195">
        <v>42443</v>
      </c>
      <c r="G1867" s="188"/>
      <c r="H1867" s="188">
        <v>1</v>
      </c>
      <c r="I1867" s="188">
        <v>104</v>
      </c>
      <c r="J1867" s="902" t="s">
        <v>6868</v>
      </c>
      <c r="K1867" s="162" t="s">
        <v>13625</v>
      </c>
      <c r="L1867" s="162" t="s">
        <v>461</v>
      </c>
      <c r="M1867" s="162"/>
      <c r="N1867" s="162"/>
      <c r="O1867" s="162"/>
      <c r="P1867" s="178"/>
      <c r="Q1867" s="162" t="s">
        <v>13587</v>
      </c>
      <c r="R1867" s="189" t="s">
        <v>13586</v>
      </c>
      <c r="S1867" s="366"/>
      <c r="T1867" s="178" t="s">
        <v>7311</v>
      </c>
      <c r="U1867" s="178"/>
      <c r="V1867" s="178"/>
      <c r="W1867" s="316" t="s">
        <v>13611</v>
      </c>
      <c r="X1867" s="654" t="s">
        <v>13588</v>
      </c>
      <c r="Y1867" s="356"/>
      <c r="Z1867" s="272"/>
      <c r="AA1867" s="272"/>
      <c r="AB1867" s="34">
        <f t="shared" ca="1" si="38"/>
        <v>0.75836620220457718</v>
      </c>
      <c r="AC1867" s="814"/>
      <c r="AD1867" s="815"/>
      <c r="AE1867" s="942"/>
      <c r="AF1867" s="923">
        <f>IF(X1867=X1866,AF1866,0)+IF(ISNUMBER(I1867),IF(I1867&lt;1,I1867,I1867*VLOOKUP(J1867,Summary!$H$2:$I$9,2)),VLOOKUP(J1867,Summary!$J$2:$K$9,2)*IF(ISNUMBER(H1867),H1867,1))</f>
        <v>0.64236111111111127</v>
      </c>
      <c r="AG1867" s="291">
        <v>1866</v>
      </c>
      <c r="AH1867" s="143"/>
      <c r="AI1867" s="143"/>
    </row>
    <row r="1868" spans="1:35" s="43" customFormat="1" ht="12" customHeight="1" x14ac:dyDescent="0.25">
      <c r="A1868" s="408"/>
      <c r="B1868" s="408" t="s">
        <v>2650</v>
      </c>
      <c r="C1868" s="408">
        <v>6.2</v>
      </c>
      <c r="D1868" s="176" t="s">
        <v>13651</v>
      </c>
      <c r="E1868" s="313" t="s">
        <v>13623</v>
      </c>
      <c r="F1868" s="175">
        <v>42443</v>
      </c>
      <c r="G1868" s="175"/>
      <c r="H1868" s="176">
        <v>1</v>
      </c>
      <c r="I1868" s="176"/>
      <c r="J1868" s="900" t="s">
        <v>2755</v>
      </c>
      <c r="K1868" s="164" t="s">
        <v>4035</v>
      </c>
      <c r="L1868" s="164" t="s">
        <v>461</v>
      </c>
      <c r="M1868" s="164"/>
      <c r="N1868" s="164"/>
      <c r="O1868" s="164"/>
      <c r="P1868" s="173"/>
      <c r="Q1868" s="164" t="s">
        <v>13587</v>
      </c>
      <c r="R1868" s="177" t="s">
        <v>13586</v>
      </c>
      <c r="S1868" s="354"/>
      <c r="T1868" s="173" t="s">
        <v>7311</v>
      </c>
      <c r="U1868" s="173"/>
      <c r="V1868" s="173"/>
      <c r="W1868" s="313" t="s">
        <v>13623</v>
      </c>
      <c r="X1868" s="645" t="s">
        <v>13588</v>
      </c>
      <c r="Y1868" s="354"/>
      <c r="Z1868" s="176"/>
      <c r="AA1868" s="176"/>
      <c r="AB1868" s="32">
        <f t="shared" ca="1" si="38"/>
        <v>0.88213456495782883</v>
      </c>
      <c r="AC1868" s="812"/>
      <c r="AD1868" s="763"/>
      <c r="AE1868" s="807"/>
      <c r="AF1868" s="921">
        <f>IF(X1868=X1867,AF1867,0)+IF(ISNUMBER(I1868),IF(I1868&lt;1,I1868,I1868*VLOOKUP(J1868,Summary!$H$2:$I$9,2)),VLOOKUP(J1868,Summary!$J$2:$K$9,2)*IF(ISNUMBER(H1868),H1868,1))</f>
        <v>0.65972222222222243</v>
      </c>
      <c r="AG1868" s="289">
        <v>1867</v>
      </c>
      <c r="AH1868" s="94"/>
      <c r="AI1868" s="94"/>
    </row>
    <row r="1869" spans="1:35" s="43" customFormat="1" ht="12" customHeight="1" x14ac:dyDescent="0.25">
      <c r="A1869" s="408"/>
      <c r="B1869" s="408" t="s">
        <v>2650</v>
      </c>
      <c r="C1869" s="408">
        <v>7</v>
      </c>
      <c r="D1869" s="176" t="s">
        <v>13652</v>
      </c>
      <c r="E1869" s="313" t="s">
        <v>13610</v>
      </c>
      <c r="F1869" s="175">
        <v>42444</v>
      </c>
      <c r="G1869" s="175"/>
      <c r="H1869" s="176">
        <v>1</v>
      </c>
      <c r="I1869" s="176"/>
      <c r="J1869" s="900" t="s">
        <v>2755</v>
      </c>
      <c r="K1869" s="164" t="s">
        <v>4035</v>
      </c>
      <c r="L1869" s="164" t="s">
        <v>461</v>
      </c>
      <c r="M1869" s="164"/>
      <c r="N1869" s="164"/>
      <c r="O1869" s="164"/>
      <c r="P1869" s="173"/>
      <c r="Q1869" s="164" t="s">
        <v>13587</v>
      </c>
      <c r="R1869" s="177" t="s">
        <v>13586</v>
      </c>
      <c r="S1869" s="354"/>
      <c r="T1869" s="173" t="s">
        <v>7311</v>
      </c>
      <c r="U1869" s="173"/>
      <c r="V1869" s="173"/>
      <c r="W1869" s="313" t="s">
        <v>13610</v>
      </c>
      <c r="X1869" s="645" t="s">
        <v>13588</v>
      </c>
      <c r="Y1869" s="354"/>
      <c r="Z1869" s="176"/>
      <c r="AA1869" s="176"/>
      <c r="AB1869" s="32">
        <f t="shared" ca="1" si="38"/>
        <v>0.1852479413131175</v>
      </c>
      <c r="AC1869" s="812"/>
      <c r="AD1869" s="763"/>
      <c r="AE1869" s="807"/>
      <c r="AF1869" s="921">
        <f>IF(X1869=X1868,AF1868,0)+IF(ISNUMBER(I1869),IF(I1869&lt;1,I1869,I1869*VLOOKUP(J1869,Summary!$H$2:$I$9,2)),VLOOKUP(J1869,Summary!$J$2:$K$9,2)*IF(ISNUMBER(H1869),H1869,1))</f>
        <v>0.67708333333333359</v>
      </c>
      <c r="AG1869" s="289">
        <v>1868</v>
      </c>
      <c r="AH1869" s="94"/>
      <c r="AI1869" s="94"/>
    </row>
    <row r="1870" spans="1:35" s="89" customFormat="1" ht="12" customHeight="1" x14ac:dyDescent="0.25">
      <c r="A1870" s="474"/>
      <c r="B1870" s="507" t="s">
        <v>2650</v>
      </c>
      <c r="C1870" s="474">
        <v>8.1</v>
      </c>
      <c r="D1870" s="417" t="s">
        <v>13653</v>
      </c>
      <c r="E1870" s="316" t="s">
        <v>13612</v>
      </c>
      <c r="F1870" s="195">
        <v>42602</v>
      </c>
      <c r="G1870" s="188"/>
      <c r="H1870" s="188">
        <v>1</v>
      </c>
      <c r="I1870" s="188">
        <v>106</v>
      </c>
      <c r="J1870" s="902" t="s">
        <v>6868</v>
      </c>
      <c r="K1870" s="162" t="s">
        <v>4035</v>
      </c>
      <c r="L1870" s="162" t="s">
        <v>461</v>
      </c>
      <c r="M1870" s="162"/>
      <c r="N1870" s="162"/>
      <c r="O1870" s="162"/>
      <c r="P1870" s="178"/>
      <c r="Q1870" s="162" t="s">
        <v>13587</v>
      </c>
      <c r="R1870" s="189" t="s">
        <v>13586</v>
      </c>
      <c r="S1870" s="366"/>
      <c r="T1870" s="178" t="s">
        <v>7311</v>
      </c>
      <c r="U1870" s="178"/>
      <c r="V1870" s="178"/>
      <c r="W1870" s="316" t="s">
        <v>13612</v>
      </c>
      <c r="X1870" s="654" t="s">
        <v>13588</v>
      </c>
      <c r="Y1870" s="356"/>
      <c r="Z1870" s="272"/>
      <c r="AA1870" s="272"/>
      <c r="AB1870" s="34">
        <f t="shared" ca="1" si="38"/>
        <v>1.8919227690437301E-2</v>
      </c>
      <c r="AC1870" s="814"/>
      <c r="AD1870" s="815"/>
      <c r="AE1870" s="942"/>
      <c r="AF1870" s="923">
        <f>IF(X1870=X1869,AF1869,0)+IF(ISNUMBER(I1870),IF(I1870&lt;1,I1870,I1870*VLOOKUP(J1870,Summary!$H$2:$I$9,2)),VLOOKUP(J1870,Summary!$J$2:$K$9,2)*IF(ISNUMBER(H1870),H1870,1))</f>
        <v>0.75069444444444466</v>
      </c>
      <c r="AG1870" s="291">
        <v>1869</v>
      </c>
      <c r="AH1870" s="143"/>
      <c r="AI1870" s="143"/>
    </row>
    <row r="1871" spans="1:35" s="43" customFormat="1" ht="12" customHeight="1" x14ac:dyDescent="0.25">
      <c r="A1871" s="408"/>
      <c r="B1871" s="408" t="s">
        <v>2650</v>
      </c>
      <c r="C1871" s="408">
        <v>8.1999999999999993</v>
      </c>
      <c r="D1871" s="176" t="s">
        <v>13654</v>
      </c>
      <c r="E1871" s="313" t="s">
        <v>13622</v>
      </c>
      <c r="F1871" s="175">
        <v>42602</v>
      </c>
      <c r="G1871" s="175"/>
      <c r="H1871" s="176">
        <v>1</v>
      </c>
      <c r="I1871" s="176"/>
      <c r="J1871" s="900" t="s">
        <v>2755</v>
      </c>
      <c r="K1871" s="164" t="s">
        <v>13620</v>
      </c>
      <c r="L1871" s="164" t="s">
        <v>461</v>
      </c>
      <c r="M1871" s="164"/>
      <c r="N1871" s="164"/>
      <c r="O1871" s="164"/>
      <c r="P1871" s="173"/>
      <c r="Q1871" s="164" t="s">
        <v>13587</v>
      </c>
      <c r="R1871" s="177" t="s">
        <v>13586</v>
      </c>
      <c r="S1871" s="354"/>
      <c r="T1871" s="173" t="s">
        <v>7311</v>
      </c>
      <c r="U1871" s="173"/>
      <c r="V1871" s="173"/>
      <c r="W1871" s="313" t="s">
        <v>13622</v>
      </c>
      <c r="X1871" s="645" t="s">
        <v>13588</v>
      </c>
      <c r="Y1871" s="354"/>
      <c r="Z1871" s="176"/>
      <c r="AA1871" s="176"/>
      <c r="AB1871" s="32">
        <f t="shared" ca="1" si="38"/>
        <v>0.9667962162204875</v>
      </c>
      <c r="AC1871" s="812"/>
      <c r="AD1871" s="763"/>
      <c r="AE1871" s="807"/>
      <c r="AF1871" s="921">
        <f>IF(X1871=X1870,AF1870,0)+IF(ISNUMBER(I1871),IF(I1871&lt;1,I1871,I1871*VLOOKUP(J1871,Summary!$H$2:$I$9,2)),VLOOKUP(J1871,Summary!$J$2:$K$9,2)*IF(ISNUMBER(H1871),H1871,1))</f>
        <v>0.76805555555555582</v>
      </c>
      <c r="AG1871" s="289">
        <v>1870</v>
      </c>
      <c r="AH1871" s="94"/>
      <c r="AI1871" s="94"/>
    </row>
    <row r="1872" spans="1:35" s="43" customFormat="1" ht="12" customHeight="1" x14ac:dyDescent="0.25">
      <c r="A1872" s="408"/>
      <c r="B1872" s="408" t="s">
        <v>2650</v>
      </c>
      <c r="C1872" s="408">
        <v>9.02</v>
      </c>
      <c r="D1872" s="176" t="s">
        <v>13655</v>
      </c>
      <c r="E1872" s="313" t="s">
        <v>13613</v>
      </c>
      <c r="F1872" s="175">
        <v>42716</v>
      </c>
      <c r="G1872" s="175"/>
      <c r="H1872" s="176">
        <v>1</v>
      </c>
      <c r="I1872" s="176"/>
      <c r="J1872" s="900" t="s">
        <v>2755</v>
      </c>
      <c r="K1872" s="164" t="s">
        <v>1932</v>
      </c>
      <c r="L1872" s="164" t="s">
        <v>461</v>
      </c>
      <c r="M1872" s="164"/>
      <c r="N1872" s="164"/>
      <c r="O1872" s="164"/>
      <c r="P1872" s="173"/>
      <c r="Q1872" s="164" t="s">
        <v>13587</v>
      </c>
      <c r="R1872" s="177" t="s">
        <v>13586</v>
      </c>
      <c r="S1872" s="354"/>
      <c r="T1872" s="173" t="s">
        <v>7311</v>
      </c>
      <c r="U1872" s="173"/>
      <c r="V1872" s="173"/>
      <c r="W1872" s="313" t="s">
        <v>13613</v>
      </c>
      <c r="X1872" s="645" t="s">
        <v>13588</v>
      </c>
      <c r="Y1872" s="354"/>
      <c r="Z1872" s="176"/>
      <c r="AA1872" s="176"/>
      <c r="AB1872" s="32">
        <f t="shared" ca="1" si="38"/>
        <v>0.4625244350019333</v>
      </c>
      <c r="AC1872" s="812"/>
      <c r="AD1872" s="763"/>
      <c r="AE1872" s="807"/>
      <c r="AF1872" s="921">
        <f>IF(X1872=X1871,AF1871,0)+IF(ISNUMBER(I1872),IF(I1872&lt;1,I1872,I1872*VLOOKUP(J1872,Summary!$H$2:$I$9,2)),VLOOKUP(J1872,Summary!$J$2:$K$9,2)*IF(ISNUMBER(H1872),H1872,1))</f>
        <v>0.78541666666666698</v>
      </c>
      <c r="AG1872" s="289">
        <v>1871</v>
      </c>
      <c r="AH1872" s="94"/>
      <c r="AI1872" s="94"/>
    </row>
    <row r="1873" spans="1:35" s="43" customFormat="1" ht="12" customHeight="1" x14ac:dyDescent="0.25">
      <c r="A1873" s="408"/>
      <c r="B1873" s="408" t="s">
        <v>2650</v>
      </c>
      <c r="C1873" s="408">
        <v>9.0299999999999994</v>
      </c>
      <c r="D1873" s="176" t="s">
        <v>13656</v>
      </c>
      <c r="E1873" s="313" t="s">
        <v>13614</v>
      </c>
      <c r="F1873" s="175">
        <v>42718</v>
      </c>
      <c r="G1873" s="175"/>
      <c r="H1873" s="176">
        <v>1</v>
      </c>
      <c r="I1873" s="176"/>
      <c r="J1873" s="900" t="s">
        <v>2755</v>
      </c>
      <c r="K1873" s="164" t="s">
        <v>4035</v>
      </c>
      <c r="L1873" s="164" t="s">
        <v>461</v>
      </c>
      <c r="M1873" s="164"/>
      <c r="N1873" s="164"/>
      <c r="O1873" s="164"/>
      <c r="P1873" s="173"/>
      <c r="Q1873" s="164" t="s">
        <v>13587</v>
      </c>
      <c r="R1873" s="177" t="s">
        <v>13586</v>
      </c>
      <c r="S1873" s="354"/>
      <c r="T1873" s="173" t="s">
        <v>7311</v>
      </c>
      <c r="U1873" s="173"/>
      <c r="V1873" s="173"/>
      <c r="W1873" s="313" t="s">
        <v>13614</v>
      </c>
      <c r="X1873" s="645" t="s">
        <v>13588</v>
      </c>
      <c r="Y1873" s="354"/>
      <c r="Z1873" s="176"/>
      <c r="AA1873" s="176"/>
      <c r="AB1873" s="32">
        <f t="shared" ca="1" si="38"/>
        <v>0.84935736075552482</v>
      </c>
      <c r="AC1873" s="812"/>
      <c r="AD1873" s="917"/>
      <c r="AE1873" s="807"/>
      <c r="AF1873" s="921">
        <f>IF(X1873=X1872,AF1872,0)+IF(ISNUMBER(I1873),IF(I1873&lt;1,I1873,I1873*VLOOKUP(J1873,Summary!$H$2:$I$9,2)),VLOOKUP(J1873,Summary!$J$2:$K$9,2)*IF(ISNUMBER(H1873),H1873,1))</f>
        <v>0.80277777777777815</v>
      </c>
      <c r="AG1873" s="289">
        <v>1872</v>
      </c>
      <c r="AH1873" s="94"/>
      <c r="AI1873" s="94"/>
    </row>
    <row r="1874" spans="1:35" s="43" customFormat="1" ht="12" customHeight="1" x14ac:dyDescent="0.25">
      <c r="A1874" s="408"/>
      <c r="B1874" s="408" t="s">
        <v>2650</v>
      </c>
      <c r="C1874" s="408">
        <v>9.0399999999999991</v>
      </c>
      <c r="D1874" s="176" t="s">
        <v>13657</v>
      </c>
      <c r="E1874" s="313" t="s">
        <v>13615</v>
      </c>
      <c r="F1874" s="175">
        <v>42718</v>
      </c>
      <c r="G1874" s="175"/>
      <c r="H1874" s="176">
        <v>1</v>
      </c>
      <c r="I1874" s="176"/>
      <c r="J1874" s="900" t="s">
        <v>2755</v>
      </c>
      <c r="K1874" s="164" t="s">
        <v>13621</v>
      </c>
      <c r="L1874" s="164" t="s">
        <v>461</v>
      </c>
      <c r="M1874" s="164"/>
      <c r="N1874" s="164"/>
      <c r="O1874" s="164"/>
      <c r="P1874" s="173"/>
      <c r="Q1874" s="164" t="s">
        <v>13587</v>
      </c>
      <c r="R1874" s="177" t="s">
        <v>13586</v>
      </c>
      <c r="S1874" s="354"/>
      <c r="T1874" s="173" t="s">
        <v>7311</v>
      </c>
      <c r="U1874" s="173"/>
      <c r="V1874" s="173"/>
      <c r="W1874" s="313" t="s">
        <v>13615</v>
      </c>
      <c r="X1874" s="645" t="s">
        <v>13588</v>
      </c>
      <c r="Y1874" s="354"/>
      <c r="Z1874" s="176"/>
      <c r="AA1874" s="176"/>
      <c r="AB1874" s="32">
        <f t="shared" ca="1" si="38"/>
        <v>0.66846855136754679</v>
      </c>
      <c r="AC1874" s="812"/>
      <c r="AD1874" s="763"/>
      <c r="AE1874" s="807"/>
      <c r="AF1874" s="921">
        <f>IF(X1874=X1873,AF1873,0)+IF(ISNUMBER(I1874),IF(I1874&lt;1,I1874,I1874*VLOOKUP(J1874,Summary!$H$2:$I$9,2)),VLOOKUP(J1874,Summary!$J$2:$K$9,2)*IF(ISNUMBER(H1874),H1874,1))</f>
        <v>0.82013888888888931</v>
      </c>
      <c r="AG1874" s="289">
        <v>1873</v>
      </c>
      <c r="AH1874" s="94"/>
      <c r="AI1874" s="94"/>
    </row>
    <row r="1875" spans="1:35" s="43" customFormat="1" ht="12" customHeight="1" x14ac:dyDescent="0.25">
      <c r="A1875" s="408"/>
      <c r="B1875" s="408" t="s">
        <v>2650</v>
      </c>
      <c r="C1875" s="408">
        <v>9.0499999999999989</v>
      </c>
      <c r="D1875" s="176" t="s">
        <v>13658</v>
      </c>
      <c r="E1875" s="313" t="s">
        <v>13616</v>
      </c>
      <c r="F1875" s="175">
        <v>42718</v>
      </c>
      <c r="G1875" s="175"/>
      <c r="H1875" s="176">
        <v>1</v>
      </c>
      <c r="I1875" s="176"/>
      <c r="J1875" s="900" t="s">
        <v>2755</v>
      </c>
      <c r="K1875" s="164" t="s">
        <v>4035</v>
      </c>
      <c r="L1875" s="164" t="s">
        <v>461</v>
      </c>
      <c r="M1875" s="164"/>
      <c r="N1875" s="164"/>
      <c r="O1875" s="164"/>
      <c r="P1875" s="173"/>
      <c r="Q1875" s="164" t="s">
        <v>13587</v>
      </c>
      <c r="R1875" s="177" t="s">
        <v>13586</v>
      </c>
      <c r="S1875" s="354"/>
      <c r="T1875" s="173" t="s">
        <v>7311</v>
      </c>
      <c r="U1875" s="173"/>
      <c r="V1875" s="173"/>
      <c r="W1875" s="313" t="s">
        <v>13616</v>
      </c>
      <c r="X1875" s="645" t="s">
        <v>13588</v>
      </c>
      <c r="Y1875" s="354"/>
      <c r="Z1875" s="176"/>
      <c r="AA1875" s="176"/>
      <c r="AB1875" s="32">
        <f t="shared" ca="1" si="38"/>
        <v>0.26730178754764955</v>
      </c>
      <c r="AC1875" s="812"/>
      <c r="AD1875" s="763"/>
      <c r="AE1875" s="807"/>
      <c r="AF1875" s="921">
        <f>IF(X1875=X1874,AF1874,0)+IF(ISNUMBER(I1875),IF(I1875&lt;1,I1875,I1875*VLOOKUP(J1875,Summary!$H$2:$I$9,2)),VLOOKUP(J1875,Summary!$J$2:$K$9,2)*IF(ISNUMBER(H1875),H1875,1))</f>
        <v>0.83750000000000047</v>
      </c>
      <c r="AG1875" s="289">
        <v>1874</v>
      </c>
      <c r="AH1875" s="94"/>
      <c r="AI1875" s="94"/>
    </row>
    <row r="1876" spans="1:35" s="43" customFormat="1" ht="12" customHeight="1" x14ac:dyDescent="0.25">
      <c r="A1876" s="408"/>
      <c r="B1876" s="408" t="s">
        <v>2650</v>
      </c>
      <c r="C1876" s="408">
        <v>9.0599999999999987</v>
      </c>
      <c r="D1876" s="176" t="s">
        <v>13659</v>
      </c>
      <c r="E1876" s="313" t="s">
        <v>666</v>
      </c>
      <c r="F1876" s="175">
        <v>42718</v>
      </c>
      <c r="G1876" s="175"/>
      <c r="H1876" s="176">
        <v>1</v>
      </c>
      <c r="I1876" s="176"/>
      <c r="J1876" s="900" t="s">
        <v>2755</v>
      </c>
      <c r="K1876" s="164" t="s">
        <v>4035</v>
      </c>
      <c r="L1876" s="164" t="s">
        <v>461</v>
      </c>
      <c r="M1876" s="164"/>
      <c r="N1876" s="164"/>
      <c r="O1876" s="164"/>
      <c r="P1876" s="173"/>
      <c r="Q1876" s="164" t="s">
        <v>13587</v>
      </c>
      <c r="R1876" s="177" t="s">
        <v>13586</v>
      </c>
      <c r="S1876" s="354"/>
      <c r="T1876" s="173" t="s">
        <v>7311</v>
      </c>
      <c r="U1876" s="173"/>
      <c r="V1876" s="173"/>
      <c r="W1876" s="313" t="s">
        <v>666</v>
      </c>
      <c r="X1876" s="645" t="s">
        <v>13588</v>
      </c>
      <c r="Y1876" s="354"/>
      <c r="Z1876" s="176"/>
      <c r="AA1876" s="176"/>
      <c r="AB1876" s="32">
        <f t="shared" ca="1" si="38"/>
        <v>0.32410916443801729</v>
      </c>
      <c r="AC1876" s="812"/>
      <c r="AD1876" s="763"/>
      <c r="AE1876" s="807"/>
      <c r="AF1876" s="921">
        <f>IF(X1876=X1875,AF1875,0)+IF(ISNUMBER(I1876),IF(I1876&lt;1,I1876,I1876*VLOOKUP(J1876,Summary!$H$2:$I$9,2)),VLOOKUP(J1876,Summary!$J$2:$K$9,2)*IF(ISNUMBER(H1876),H1876,1))</f>
        <v>0.85486111111111163</v>
      </c>
      <c r="AG1876" s="289">
        <v>1875</v>
      </c>
      <c r="AH1876" s="94"/>
      <c r="AI1876" s="94"/>
    </row>
    <row r="1877" spans="1:35" s="43" customFormat="1" ht="12" customHeight="1" x14ac:dyDescent="0.25">
      <c r="A1877" s="408"/>
      <c r="B1877" s="408" t="s">
        <v>2650</v>
      </c>
      <c r="C1877" s="408">
        <v>9.0699999999999985</v>
      </c>
      <c r="D1877" s="176" t="s">
        <v>13660</v>
      </c>
      <c r="E1877" s="313" t="s">
        <v>13617</v>
      </c>
      <c r="F1877" s="175">
        <v>42718</v>
      </c>
      <c r="G1877" s="175"/>
      <c r="H1877" s="176">
        <v>1</v>
      </c>
      <c r="I1877" s="176"/>
      <c r="J1877" s="900" t="s">
        <v>2755</v>
      </c>
      <c r="K1877" s="164" t="s">
        <v>13620</v>
      </c>
      <c r="L1877" s="164" t="s">
        <v>461</v>
      </c>
      <c r="M1877" s="164"/>
      <c r="N1877" s="164"/>
      <c r="O1877" s="164"/>
      <c r="P1877" s="173"/>
      <c r="Q1877" s="164" t="s">
        <v>13587</v>
      </c>
      <c r="R1877" s="177" t="s">
        <v>13586</v>
      </c>
      <c r="S1877" s="354"/>
      <c r="T1877" s="173" t="s">
        <v>7311</v>
      </c>
      <c r="U1877" s="173"/>
      <c r="V1877" s="173"/>
      <c r="W1877" s="313" t="s">
        <v>13617</v>
      </c>
      <c r="X1877" s="645" t="s">
        <v>13588</v>
      </c>
      <c r="Y1877" s="354"/>
      <c r="Z1877" s="176"/>
      <c r="AA1877" s="176"/>
      <c r="AB1877" s="32">
        <f t="shared" ca="1" si="38"/>
        <v>0.8519806227238903</v>
      </c>
      <c r="AC1877" s="812"/>
      <c r="AD1877" s="763"/>
      <c r="AE1877" s="807"/>
      <c r="AF1877" s="921">
        <f>IF(X1877=X1876,AF1876,0)+IF(ISNUMBER(I1877),IF(I1877&lt;1,I1877,I1877*VLOOKUP(J1877,Summary!$H$2:$I$9,2)),VLOOKUP(J1877,Summary!$J$2:$K$9,2)*IF(ISNUMBER(H1877),H1877,1))</f>
        <v>0.87222222222222279</v>
      </c>
      <c r="AG1877" s="289">
        <v>1876</v>
      </c>
      <c r="AH1877" s="94"/>
      <c r="AI1877" s="94"/>
    </row>
    <row r="1878" spans="1:35" s="43" customFormat="1" ht="12" customHeight="1" x14ac:dyDescent="0.25">
      <c r="A1878" s="408"/>
      <c r="B1878" s="408" t="s">
        <v>2650</v>
      </c>
      <c r="C1878" s="408">
        <v>9.0799999999999983</v>
      </c>
      <c r="D1878" s="176" t="s">
        <v>13661</v>
      </c>
      <c r="E1878" s="313" t="s">
        <v>13618</v>
      </c>
      <c r="F1878" s="175">
        <v>42718</v>
      </c>
      <c r="G1878" s="175"/>
      <c r="H1878" s="176">
        <v>1</v>
      </c>
      <c r="I1878" s="176"/>
      <c r="J1878" s="900" t="s">
        <v>2755</v>
      </c>
      <c r="K1878" s="164" t="s">
        <v>4035</v>
      </c>
      <c r="L1878" s="164" t="s">
        <v>461</v>
      </c>
      <c r="M1878" s="164"/>
      <c r="N1878" s="164"/>
      <c r="O1878" s="164"/>
      <c r="P1878" s="173"/>
      <c r="Q1878" s="164" t="s">
        <v>13587</v>
      </c>
      <c r="R1878" s="177" t="s">
        <v>13586</v>
      </c>
      <c r="S1878" s="354"/>
      <c r="T1878" s="173" t="s">
        <v>7311</v>
      </c>
      <c r="U1878" s="173"/>
      <c r="V1878" s="173"/>
      <c r="W1878" s="313" t="s">
        <v>13618</v>
      </c>
      <c r="X1878" s="645" t="s">
        <v>13588</v>
      </c>
      <c r="Y1878" s="354"/>
      <c r="Z1878" s="176"/>
      <c r="AA1878" s="176"/>
      <c r="AB1878" s="32">
        <f t="shared" ca="1" si="38"/>
        <v>0.35400897310792034</v>
      </c>
      <c r="AC1878" s="812"/>
      <c r="AD1878" s="763"/>
      <c r="AE1878" s="807"/>
      <c r="AF1878" s="921">
        <f>IF(X1878=X1877,AF1877,0)+IF(ISNUMBER(I1878),IF(I1878&lt;1,I1878,I1878*VLOOKUP(J1878,Summary!$H$2:$I$9,2)),VLOOKUP(J1878,Summary!$J$2:$K$9,2)*IF(ISNUMBER(H1878),H1878,1))</f>
        <v>0.88958333333333395</v>
      </c>
      <c r="AG1878" s="289">
        <v>1877</v>
      </c>
      <c r="AH1878" s="94"/>
      <c r="AI1878" s="94"/>
    </row>
    <row r="1879" spans="1:35" s="43" customFormat="1" ht="12" customHeight="1" x14ac:dyDescent="0.25">
      <c r="A1879" s="408"/>
      <c r="B1879" s="408" t="s">
        <v>2650</v>
      </c>
      <c r="C1879" s="408">
        <v>9.0899999999999981</v>
      </c>
      <c r="D1879" s="176" t="s">
        <v>13662</v>
      </c>
      <c r="E1879" s="313" t="s">
        <v>13619</v>
      </c>
      <c r="F1879" s="175">
        <v>42718</v>
      </c>
      <c r="G1879" s="175"/>
      <c r="H1879" s="176">
        <v>1</v>
      </c>
      <c r="I1879" s="176"/>
      <c r="J1879" s="900" t="s">
        <v>2755</v>
      </c>
      <c r="K1879" s="164" t="s">
        <v>4035</v>
      </c>
      <c r="L1879" s="164" t="s">
        <v>461</v>
      </c>
      <c r="M1879" s="164"/>
      <c r="N1879" s="164"/>
      <c r="O1879" s="164"/>
      <c r="P1879" s="173"/>
      <c r="Q1879" s="164" t="s">
        <v>13587</v>
      </c>
      <c r="R1879" s="177" t="s">
        <v>13586</v>
      </c>
      <c r="S1879" s="354"/>
      <c r="T1879" s="173" t="s">
        <v>7311</v>
      </c>
      <c r="U1879" s="173"/>
      <c r="V1879" s="173"/>
      <c r="W1879" s="313" t="s">
        <v>13619</v>
      </c>
      <c r="X1879" s="645" t="s">
        <v>13588</v>
      </c>
      <c r="Y1879" s="354"/>
      <c r="Z1879" s="176"/>
      <c r="AA1879" s="176"/>
      <c r="AB1879" s="32">
        <f t="shared" ca="1" si="38"/>
        <v>0.49730905338365783</v>
      </c>
      <c r="AC1879" s="812"/>
      <c r="AD1879" s="763"/>
      <c r="AE1879" s="807"/>
      <c r="AF1879" s="921">
        <f>IF(X1879=X1878,AF1878,0)+IF(ISNUMBER(I1879),IF(I1879&lt;1,I1879,I1879*VLOOKUP(J1879,Summary!$H$2:$I$9,2)),VLOOKUP(J1879,Summary!$J$2:$K$9,2)*IF(ISNUMBER(H1879),H1879,1))</f>
        <v>0.90694444444444511</v>
      </c>
      <c r="AG1879" s="289">
        <v>1878</v>
      </c>
      <c r="AH1879" s="94"/>
      <c r="AI1879" s="94"/>
    </row>
    <row r="1880" spans="1:35" s="89" customFormat="1" ht="12" customHeight="1" x14ac:dyDescent="0.25">
      <c r="A1880" s="474"/>
      <c r="B1880" s="507" t="s">
        <v>2650</v>
      </c>
      <c r="C1880" s="474">
        <v>10</v>
      </c>
      <c r="D1880" s="417" t="s">
        <v>13663</v>
      </c>
      <c r="E1880" s="316" t="s">
        <v>13593</v>
      </c>
      <c r="F1880" s="195">
        <v>42774</v>
      </c>
      <c r="G1880" s="188"/>
      <c r="H1880" s="188">
        <v>1</v>
      </c>
      <c r="I1880" s="188">
        <v>182</v>
      </c>
      <c r="J1880" s="902" t="s">
        <v>6868</v>
      </c>
      <c r="K1880" s="162" t="s">
        <v>13627</v>
      </c>
      <c r="L1880" s="162" t="s">
        <v>461</v>
      </c>
      <c r="M1880" s="162"/>
      <c r="N1880" s="162"/>
      <c r="O1880" s="162"/>
      <c r="P1880" s="178"/>
      <c r="Q1880" s="162" t="s">
        <v>13587</v>
      </c>
      <c r="R1880" s="189" t="s">
        <v>13586</v>
      </c>
      <c r="S1880" s="366"/>
      <c r="T1880" s="178" t="s">
        <v>7311</v>
      </c>
      <c r="U1880" s="178"/>
      <c r="V1880" s="178"/>
      <c r="W1880" s="316" t="s">
        <v>13593</v>
      </c>
      <c r="X1880" s="654" t="s">
        <v>13588</v>
      </c>
      <c r="Y1880" s="356"/>
      <c r="Z1880" s="272"/>
      <c r="AA1880" s="272"/>
      <c r="AB1880" s="34">
        <f t="shared" ca="1" si="38"/>
        <v>0.65176063238952697</v>
      </c>
      <c r="AC1880" s="814"/>
      <c r="AD1880" s="815"/>
      <c r="AE1880" s="942"/>
      <c r="AF1880" s="923">
        <f>IF(X1880=X1879,AF1879,0)+IF(ISNUMBER(I1880),IF(I1880&lt;1,I1880,I1880*VLOOKUP(J1880,Summary!$H$2:$I$9,2)),VLOOKUP(J1880,Summary!$J$2:$K$9,2)*IF(ISNUMBER(H1880),H1880,1))</f>
        <v>1.0333333333333341</v>
      </c>
      <c r="AG1880" s="291">
        <v>1879</v>
      </c>
      <c r="AH1880" s="143"/>
      <c r="AI1880" s="143"/>
    </row>
    <row r="1881" spans="1:35" s="89" customFormat="1" ht="12" customHeight="1" x14ac:dyDescent="0.25">
      <c r="A1881" s="474"/>
      <c r="B1881" s="507" t="s">
        <v>2650</v>
      </c>
      <c r="C1881" s="474">
        <v>11</v>
      </c>
      <c r="D1881" s="417" t="s">
        <v>13664</v>
      </c>
      <c r="E1881" s="316" t="s">
        <v>13592</v>
      </c>
      <c r="F1881" s="195">
        <v>42973</v>
      </c>
      <c r="G1881" s="188"/>
      <c r="H1881" s="188">
        <v>1</v>
      </c>
      <c r="I1881" s="188">
        <v>182</v>
      </c>
      <c r="J1881" s="902" t="s">
        <v>6868</v>
      </c>
      <c r="K1881" s="162" t="s">
        <v>4035</v>
      </c>
      <c r="L1881" s="162" t="s">
        <v>461</v>
      </c>
      <c r="M1881" s="162"/>
      <c r="N1881" s="162"/>
      <c r="O1881" s="162"/>
      <c r="P1881" s="178"/>
      <c r="Q1881" s="162" t="s">
        <v>13587</v>
      </c>
      <c r="R1881" s="189" t="s">
        <v>13586</v>
      </c>
      <c r="S1881" s="366"/>
      <c r="T1881" s="178" t="s">
        <v>7311</v>
      </c>
      <c r="U1881" s="178"/>
      <c r="V1881" s="178"/>
      <c r="W1881" s="316" t="s">
        <v>13592</v>
      </c>
      <c r="X1881" s="654" t="s">
        <v>13588</v>
      </c>
      <c r="Y1881" s="356"/>
      <c r="Z1881" s="272"/>
      <c r="AA1881" s="272"/>
      <c r="AB1881" s="34">
        <f t="shared" ca="1" si="38"/>
        <v>0.75735677066585416</v>
      </c>
      <c r="AC1881" s="814"/>
      <c r="AD1881" s="815"/>
      <c r="AE1881" s="942"/>
      <c r="AF1881" s="923">
        <f>IF(X1881=X1880,AF1880,0)+IF(ISNUMBER(I1881),IF(I1881&lt;1,I1881,I1881*VLOOKUP(J1881,Summary!$H$2:$I$9,2)),VLOOKUP(J1881,Summary!$J$2:$K$9,2)*IF(ISNUMBER(H1881),H1881,1))</f>
        <v>1.159722222222223</v>
      </c>
      <c r="AG1881" s="291">
        <v>1880</v>
      </c>
      <c r="AH1881" s="143"/>
      <c r="AI1881" s="143"/>
    </row>
    <row r="1882" spans="1:35" s="43" customFormat="1" ht="12" customHeight="1" x14ac:dyDescent="0.25">
      <c r="A1882" s="408"/>
      <c r="B1882" s="408" t="s">
        <v>2650</v>
      </c>
      <c r="C1882" s="408">
        <v>12</v>
      </c>
      <c r="D1882" s="176" t="s">
        <v>13665</v>
      </c>
      <c r="E1882" s="313" t="s">
        <v>13591</v>
      </c>
      <c r="F1882" s="175">
        <v>43087</v>
      </c>
      <c r="G1882" s="175"/>
      <c r="H1882" s="176">
        <v>1</v>
      </c>
      <c r="I1882" s="176"/>
      <c r="J1882" s="900" t="s">
        <v>2755</v>
      </c>
      <c r="K1882" s="164" t="s">
        <v>13626</v>
      </c>
      <c r="L1882" s="164" t="s">
        <v>461</v>
      </c>
      <c r="M1882" s="164"/>
      <c r="N1882" s="164"/>
      <c r="O1882" s="164"/>
      <c r="P1882" s="173"/>
      <c r="Q1882" s="164" t="s">
        <v>13587</v>
      </c>
      <c r="R1882" s="177" t="s">
        <v>13586</v>
      </c>
      <c r="S1882" s="354"/>
      <c r="T1882" s="173" t="s">
        <v>7311</v>
      </c>
      <c r="U1882" s="173"/>
      <c r="V1882" s="173"/>
      <c r="W1882" s="313" t="s">
        <v>13591</v>
      </c>
      <c r="X1882" s="645" t="s">
        <v>13588</v>
      </c>
      <c r="Y1882" s="354"/>
      <c r="Z1882" s="176"/>
      <c r="AA1882" s="176"/>
      <c r="AB1882" s="32">
        <f t="shared" ca="1" si="38"/>
        <v>0.96298554956933446</v>
      </c>
      <c r="AC1882" s="812"/>
      <c r="AD1882" s="763"/>
      <c r="AE1882" s="807"/>
      <c r="AF1882" s="921">
        <f>IF(X1882=X1881,AF1881,0)+IF(ISNUMBER(I1882),IF(I1882&lt;1,I1882,I1882*VLOOKUP(J1882,Summary!$H$2:$I$9,2)),VLOOKUP(J1882,Summary!$J$2:$K$9,2)*IF(ISNUMBER(H1882),H1882,1))</f>
        <v>1.1770833333333341</v>
      </c>
      <c r="AG1882" s="289">
        <v>1881</v>
      </c>
      <c r="AH1882" s="94"/>
      <c r="AI1882" s="94"/>
    </row>
    <row r="1883" spans="1:35" s="43" customFormat="1" ht="12" customHeight="1" x14ac:dyDescent="0.25">
      <c r="A1883" s="408"/>
      <c r="B1883" s="408" t="s">
        <v>2650</v>
      </c>
      <c r="C1883" s="408">
        <v>13</v>
      </c>
      <c r="D1883" s="176" t="s">
        <v>13666</v>
      </c>
      <c r="E1883" s="313" t="s">
        <v>13590</v>
      </c>
      <c r="F1883" s="175">
        <v>43098</v>
      </c>
      <c r="G1883" s="175"/>
      <c r="H1883" s="176">
        <v>1</v>
      </c>
      <c r="I1883" s="176"/>
      <c r="J1883" s="900" t="s">
        <v>2755</v>
      </c>
      <c r="K1883" s="164" t="s">
        <v>4035</v>
      </c>
      <c r="L1883" s="164" t="s">
        <v>461</v>
      </c>
      <c r="M1883" s="164"/>
      <c r="N1883" s="164"/>
      <c r="O1883" s="164"/>
      <c r="P1883" s="173"/>
      <c r="Q1883" s="164" t="s">
        <v>13587</v>
      </c>
      <c r="R1883" s="177" t="s">
        <v>13586</v>
      </c>
      <c r="S1883" s="354"/>
      <c r="T1883" s="173" t="s">
        <v>7311</v>
      </c>
      <c r="U1883" s="173"/>
      <c r="V1883" s="173"/>
      <c r="W1883" s="313" t="s">
        <v>13590</v>
      </c>
      <c r="X1883" s="645" t="s">
        <v>13588</v>
      </c>
      <c r="Y1883" s="354"/>
      <c r="Z1883" s="176"/>
      <c r="AA1883" s="176"/>
      <c r="AB1883" s="32">
        <f t="shared" ca="1" si="38"/>
        <v>0.51763506722950425</v>
      </c>
      <c r="AC1883" s="812"/>
      <c r="AD1883" s="763"/>
      <c r="AE1883" s="807"/>
      <c r="AF1883" s="921">
        <f>IF(X1883=X1882,AF1882,0)+IF(ISNUMBER(I1883),IF(I1883&lt;1,I1883,I1883*VLOOKUP(J1883,Summary!$H$2:$I$9,2)),VLOOKUP(J1883,Summary!$J$2:$K$9,2)*IF(ISNUMBER(H1883),H1883,1))</f>
        <v>1.1944444444444453</v>
      </c>
      <c r="AG1883" s="289">
        <v>1882</v>
      </c>
      <c r="AH1883" s="94"/>
      <c r="AI1883" s="94"/>
    </row>
    <row r="1884" spans="1:35" s="89" customFormat="1" ht="12" customHeight="1" x14ac:dyDescent="0.25">
      <c r="A1884" s="474"/>
      <c r="B1884" s="507" t="s">
        <v>2650</v>
      </c>
      <c r="C1884" s="474">
        <v>14.1</v>
      </c>
      <c r="D1884" s="417" t="s">
        <v>13667</v>
      </c>
      <c r="E1884" s="316" t="s">
        <v>13589</v>
      </c>
      <c r="F1884" s="195">
        <v>43104</v>
      </c>
      <c r="G1884" s="188"/>
      <c r="H1884" s="188">
        <v>1</v>
      </c>
      <c r="I1884" s="188">
        <v>184</v>
      </c>
      <c r="J1884" s="902" t="s">
        <v>6868</v>
      </c>
      <c r="K1884" s="162" t="s">
        <v>13620</v>
      </c>
      <c r="L1884" s="162" t="s">
        <v>461</v>
      </c>
      <c r="M1884" s="162"/>
      <c r="N1884" s="162" t="s">
        <v>13625</v>
      </c>
      <c r="O1884" s="162"/>
      <c r="P1884" s="178"/>
      <c r="Q1884" s="162" t="s">
        <v>13587</v>
      </c>
      <c r="R1884" s="189" t="s">
        <v>13586</v>
      </c>
      <c r="S1884" s="366"/>
      <c r="T1884" s="178" t="s">
        <v>7311</v>
      </c>
      <c r="U1884" s="178"/>
      <c r="V1884" s="178"/>
      <c r="W1884" s="316" t="s">
        <v>13589</v>
      </c>
      <c r="X1884" s="654" t="s">
        <v>13588</v>
      </c>
      <c r="Y1884" s="356"/>
      <c r="Z1884" s="272"/>
      <c r="AA1884" s="272"/>
      <c r="AB1884" s="34">
        <f t="shared" ca="1" si="38"/>
        <v>0.37536437309812076</v>
      </c>
      <c r="AC1884" s="814"/>
      <c r="AD1884" s="815"/>
      <c r="AE1884" s="942"/>
      <c r="AF1884" s="923">
        <f>IF(X1884=X1883,AF1883,0)+IF(ISNUMBER(I1884),IF(I1884&lt;1,I1884,I1884*VLOOKUP(J1884,Summary!$H$2:$I$9,2)),VLOOKUP(J1884,Summary!$J$2:$K$9,2)*IF(ISNUMBER(H1884),H1884,1))</f>
        <v>1.3222222222222231</v>
      </c>
      <c r="AG1884" s="291">
        <v>1883</v>
      </c>
      <c r="AH1884" s="143"/>
      <c r="AI1884" s="143"/>
    </row>
    <row r="1885" spans="1:35" s="43" customFormat="1" ht="12" customHeight="1" x14ac:dyDescent="0.25">
      <c r="A1885" s="408"/>
      <c r="B1885" s="408" t="s">
        <v>2650</v>
      </c>
      <c r="C1885" s="408">
        <v>14.2</v>
      </c>
      <c r="D1885" s="176" t="s">
        <v>13668</v>
      </c>
      <c r="E1885" s="313" t="s">
        <v>13624</v>
      </c>
      <c r="F1885" s="175">
        <v>43104</v>
      </c>
      <c r="G1885" s="175"/>
      <c r="H1885" s="176">
        <v>1</v>
      </c>
      <c r="I1885" s="176"/>
      <c r="J1885" s="900" t="s">
        <v>2755</v>
      </c>
      <c r="K1885" s="164" t="s">
        <v>13620</v>
      </c>
      <c r="L1885" s="164" t="s">
        <v>461</v>
      </c>
      <c r="M1885" s="164"/>
      <c r="N1885" s="164"/>
      <c r="O1885" s="164"/>
      <c r="P1885" s="173"/>
      <c r="Q1885" s="164" t="s">
        <v>13587</v>
      </c>
      <c r="R1885" s="177" t="s">
        <v>13586</v>
      </c>
      <c r="S1885" s="354"/>
      <c r="T1885" s="173" t="s">
        <v>7311</v>
      </c>
      <c r="U1885" s="173"/>
      <c r="V1885" s="173"/>
      <c r="W1885" s="313" t="s">
        <v>13624</v>
      </c>
      <c r="X1885" s="645" t="s">
        <v>13588</v>
      </c>
      <c r="Y1885" s="354"/>
      <c r="Z1885" s="176"/>
      <c r="AA1885" s="176"/>
      <c r="AB1885" s="32">
        <f t="shared" ca="1" si="38"/>
        <v>0.14191533815883572</v>
      </c>
      <c r="AC1885" s="812"/>
      <c r="AD1885" s="763"/>
      <c r="AE1885" s="807"/>
      <c r="AF1885" s="921">
        <f>IF(X1885=X1884,AF1884,0)+IF(ISNUMBER(I1885),IF(I1885&lt;1,I1885,I1885*VLOOKUP(J1885,Summary!$H$2:$I$9,2)),VLOOKUP(J1885,Summary!$J$2:$K$9,2)*IF(ISNUMBER(H1885),H1885,1))</f>
        <v>1.3395833333333342</v>
      </c>
      <c r="AG1885" s="289">
        <v>1884</v>
      </c>
      <c r="AH1885" s="94"/>
      <c r="AI1885" s="94"/>
    </row>
    <row r="1886" spans="1:35" s="6" customFormat="1" ht="12" customHeight="1" x14ac:dyDescent="0.25">
      <c r="A1886" s="512" t="s">
        <v>15663</v>
      </c>
      <c r="B1886" s="512">
        <v>5</v>
      </c>
      <c r="C1886" s="512">
        <v>117</v>
      </c>
      <c r="D1886" s="407" t="s">
        <v>2351</v>
      </c>
      <c r="E1886" s="315" t="s">
        <v>2352</v>
      </c>
      <c r="F1886" s="169">
        <v>39814</v>
      </c>
      <c r="G1886" s="170"/>
      <c r="H1886" s="170">
        <v>4</v>
      </c>
      <c r="I1886" s="746">
        <f>TIME(1,58,30)</f>
        <v>8.2291666666666666E-2</v>
      </c>
      <c r="J1886" s="899" t="s">
        <v>4706</v>
      </c>
      <c r="K1886" s="167" t="s">
        <v>5664</v>
      </c>
      <c r="L1886" s="167" t="s">
        <v>6354</v>
      </c>
      <c r="M1886" s="167"/>
      <c r="N1886" s="167"/>
      <c r="O1886" s="167"/>
      <c r="P1886" s="168"/>
      <c r="Q1886" s="167" t="s">
        <v>3947</v>
      </c>
      <c r="R1886" s="172" t="s">
        <v>3146</v>
      </c>
      <c r="S1886" s="388" t="s">
        <v>7284</v>
      </c>
      <c r="T1886" s="168"/>
      <c r="U1886" s="168"/>
      <c r="V1886" s="168"/>
      <c r="W1886" s="312" t="s">
        <v>9563</v>
      </c>
      <c r="X1886" s="644" t="s">
        <v>12465</v>
      </c>
      <c r="Y1886" s="352" t="s">
        <v>5643</v>
      </c>
      <c r="Z1886" s="353">
        <v>236</v>
      </c>
      <c r="AA1886" s="353">
        <v>5.5</v>
      </c>
      <c r="AB1886" s="40">
        <f t="shared" ca="1" si="38"/>
        <v>0.10001900142086861</v>
      </c>
      <c r="AC1886" s="810"/>
      <c r="AD1886" s="825" t="s">
        <v>16465</v>
      </c>
      <c r="AE1886" s="940" t="s">
        <v>16126</v>
      </c>
      <c r="AF1886" s="920">
        <f>IF(X1886=X1885,AF1885,0)+IF(ISNUMBER(I1886),IF(I1886&lt;1,I1886,I1886*VLOOKUP(J1886,Summary!$H$2:$I$9,2)),VLOOKUP(J1886,Summary!$J$2:$K$9,2)*IF(ISNUMBER(H1886),H1886,1))</f>
        <v>8.2291666666666666E-2</v>
      </c>
      <c r="AG1886" s="287">
        <v>1885</v>
      </c>
      <c r="AH1886" s="94"/>
      <c r="AI1886" s="94"/>
    </row>
    <row r="1887" spans="1:35" s="6" customFormat="1" ht="12" customHeight="1" x14ac:dyDescent="0.25">
      <c r="A1887" s="512" t="s">
        <v>15663</v>
      </c>
      <c r="B1887" s="512">
        <v>5</v>
      </c>
      <c r="C1887" s="512">
        <v>118</v>
      </c>
      <c r="D1887" s="407" t="s">
        <v>3960</v>
      </c>
      <c r="E1887" s="315" t="s">
        <v>3961</v>
      </c>
      <c r="F1887" s="169">
        <v>39845</v>
      </c>
      <c r="G1887" s="170"/>
      <c r="H1887" s="170">
        <v>4</v>
      </c>
      <c r="I1887" s="746">
        <f>TIME(1,46,4)</f>
        <v>7.3657407407407408E-2</v>
      </c>
      <c r="J1887" s="899" t="s">
        <v>4706</v>
      </c>
      <c r="K1887" s="167" t="s">
        <v>6352</v>
      </c>
      <c r="L1887" s="167" t="s">
        <v>5662</v>
      </c>
      <c r="M1887" s="167"/>
      <c r="N1887" s="167"/>
      <c r="O1887" s="167"/>
      <c r="P1887" s="168"/>
      <c r="Q1887" s="167" t="s">
        <v>3947</v>
      </c>
      <c r="R1887" s="172" t="s">
        <v>3146</v>
      </c>
      <c r="S1887" s="388" t="s">
        <v>7284</v>
      </c>
      <c r="T1887" s="168"/>
      <c r="U1887" s="168"/>
      <c r="V1887" s="168"/>
      <c r="W1887" s="312" t="s">
        <v>9568</v>
      </c>
      <c r="X1887" s="644" t="s">
        <v>12465</v>
      </c>
      <c r="Y1887" s="352" t="s">
        <v>5643</v>
      </c>
      <c r="Z1887" s="353">
        <v>302</v>
      </c>
      <c r="AA1887" s="353">
        <v>5.5</v>
      </c>
      <c r="AB1887" s="40">
        <f t="shared" ca="1" si="38"/>
        <v>0.5055591023238003</v>
      </c>
      <c r="AC1887" s="810"/>
      <c r="AD1887" s="811" t="s">
        <v>15068</v>
      </c>
      <c r="AE1887" s="940" t="s">
        <v>12543</v>
      </c>
      <c r="AF1887" s="920">
        <f>IF(X1887=X1886,AF1886,0)+IF(ISNUMBER(I1887),IF(I1887&lt;1,I1887,I1887*VLOOKUP(J1887,Summary!$H$2:$I$9,2)),VLOOKUP(J1887,Summary!$J$2:$K$9,2)*IF(ISNUMBER(H1887),H1887,1))</f>
        <v>0.15594907407407407</v>
      </c>
      <c r="AG1887" s="287">
        <v>1886</v>
      </c>
      <c r="AH1887" s="94"/>
      <c r="AI1887" s="94"/>
    </row>
    <row r="1888" spans="1:35" s="6" customFormat="1" ht="12" customHeight="1" x14ac:dyDescent="0.25">
      <c r="A1888" s="512" t="s">
        <v>15663</v>
      </c>
      <c r="B1888" s="512">
        <v>5</v>
      </c>
      <c r="C1888" s="512">
        <v>119</v>
      </c>
      <c r="D1888" s="407" t="s">
        <v>3962</v>
      </c>
      <c r="E1888" s="315" t="s">
        <v>3963</v>
      </c>
      <c r="F1888" s="169">
        <v>39873</v>
      </c>
      <c r="G1888" s="170"/>
      <c r="H1888" s="170">
        <v>4</v>
      </c>
      <c r="I1888" s="746">
        <f>TIME(1,41,9)</f>
        <v>7.0243055555555559E-2</v>
      </c>
      <c r="J1888" s="899" t="s">
        <v>4706</v>
      </c>
      <c r="K1888" s="167" t="s">
        <v>4551</v>
      </c>
      <c r="L1888" s="167" t="s">
        <v>5662</v>
      </c>
      <c r="M1888" s="167"/>
      <c r="N1888" s="167"/>
      <c r="O1888" s="167"/>
      <c r="P1888" s="168"/>
      <c r="Q1888" s="167" t="s">
        <v>3947</v>
      </c>
      <c r="R1888" s="172" t="s">
        <v>3146</v>
      </c>
      <c r="S1888" s="388" t="s">
        <v>7284</v>
      </c>
      <c r="T1888" s="168"/>
      <c r="U1888" s="168"/>
      <c r="V1888" s="168"/>
      <c r="W1888" s="312" t="s">
        <v>9567</v>
      </c>
      <c r="X1888" s="644" t="s">
        <v>12465</v>
      </c>
      <c r="Y1888" s="352" t="s">
        <v>5643</v>
      </c>
      <c r="Z1888" s="353">
        <v>674</v>
      </c>
      <c r="AA1888" s="353">
        <v>2</v>
      </c>
      <c r="AB1888" s="40">
        <f t="shared" ca="1" si="38"/>
        <v>0.68139329485960909</v>
      </c>
      <c r="AC1888" s="810"/>
      <c r="AD1888" s="811"/>
      <c r="AE1888" s="940"/>
      <c r="AF1888" s="920">
        <f>IF(X1888=X1887,AF1887,0)+IF(ISNUMBER(I1888),IF(I1888&lt;1,I1888,I1888*VLOOKUP(J1888,Summary!$H$2:$I$9,2)),VLOOKUP(J1888,Summary!$J$2:$K$9,2)*IF(ISNUMBER(H1888),H1888,1))</f>
        <v>0.22619212962962965</v>
      </c>
      <c r="AG1888" s="287">
        <v>1887</v>
      </c>
      <c r="AH1888" s="94"/>
      <c r="AI1888" s="94"/>
    </row>
    <row r="1889" spans="1:35" s="6" customFormat="1" ht="12" customHeight="1" x14ac:dyDescent="0.25">
      <c r="A1889" s="405" t="s">
        <v>15663</v>
      </c>
      <c r="B1889" s="405" t="s">
        <v>11535</v>
      </c>
      <c r="C1889" s="405">
        <v>1.1000000000000001</v>
      </c>
      <c r="D1889" s="407" t="s">
        <v>3371</v>
      </c>
      <c r="E1889" s="315" t="s">
        <v>1581</v>
      </c>
      <c r="F1889" s="169">
        <v>40483</v>
      </c>
      <c r="G1889" s="170"/>
      <c r="H1889" s="170">
        <v>1</v>
      </c>
      <c r="I1889" s="747">
        <f t="shared" ref="I1889:I1894" si="39">TIME(0,60,0)</f>
        <v>4.1666666666666664E-2</v>
      </c>
      <c r="J1889" s="899" t="s">
        <v>4706</v>
      </c>
      <c r="K1889" s="167" t="s">
        <v>5664</v>
      </c>
      <c r="L1889" s="167" t="s">
        <v>5662</v>
      </c>
      <c r="M1889" s="167"/>
      <c r="N1889" s="167"/>
      <c r="O1889" s="167"/>
      <c r="P1889" s="168" t="s">
        <v>4364</v>
      </c>
      <c r="Q1889" s="167" t="s">
        <v>3947</v>
      </c>
      <c r="R1889" s="172" t="s">
        <v>1582</v>
      </c>
      <c r="S1889" s="388" t="s">
        <v>7284</v>
      </c>
      <c r="T1889" s="168" t="s">
        <v>1584</v>
      </c>
      <c r="U1889" s="168"/>
      <c r="V1889" s="168"/>
      <c r="W1889" s="312" t="s">
        <v>1581</v>
      </c>
      <c r="X1889" s="644" t="s">
        <v>12465</v>
      </c>
      <c r="Y1889" s="352" t="s">
        <v>11456</v>
      </c>
      <c r="Z1889" s="353">
        <v>690</v>
      </c>
      <c r="AA1889" s="353">
        <v>1.5</v>
      </c>
      <c r="AB1889" s="40">
        <f t="shared" ca="1" si="38"/>
        <v>0.73359168524379581</v>
      </c>
      <c r="AC1889" s="810"/>
      <c r="AD1889" s="811" t="s">
        <v>16171</v>
      </c>
      <c r="AE1889" s="940" t="s">
        <v>3365</v>
      </c>
      <c r="AF1889" s="920">
        <f>IF(X1889=X1888,AF1888,0)+IF(ISNUMBER(I1889),IF(I1889&lt;1,I1889,I1889*VLOOKUP(J1889,Summary!$H$2:$I$9,2)),VLOOKUP(J1889,Summary!$J$2:$K$9,2)*IF(ISNUMBER(H1889),H1889,1))</f>
        <v>0.26785879629629633</v>
      </c>
      <c r="AG1889" s="287">
        <v>1888</v>
      </c>
      <c r="AH1889" s="94"/>
      <c r="AI1889" s="94"/>
    </row>
    <row r="1890" spans="1:35" s="6" customFormat="1" ht="12" customHeight="1" x14ac:dyDescent="0.25">
      <c r="A1890" s="405" t="s">
        <v>15663</v>
      </c>
      <c r="B1890" s="405" t="s">
        <v>11535</v>
      </c>
      <c r="C1890" s="405">
        <v>1.2</v>
      </c>
      <c r="D1890" s="407" t="s">
        <v>4959</v>
      </c>
      <c r="E1890" s="315" t="s">
        <v>1585</v>
      </c>
      <c r="F1890" s="169">
        <v>40483</v>
      </c>
      <c r="G1890" s="170"/>
      <c r="H1890" s="170">
        <v>1</v>
      </c>
      <c r="I1890" s="747">
        <f t="shared" si="39"/>
        <v>4.1666666666666664E-2</v>
      </c>
      <c r="J1890" s="899" t="s">
        <v>4706</v>
      </c>
      <c r="K1890" s="167" t="s">
        <v>5664</v>
      </c>
      <c r="L1890" s="167" t="s">
        <v>5662</v>
      </c>
      <c r="M1890" s="167"/>
      <c r="N1890" s="167"/>
      <c r="O1890" s="167"/>
      <c r="P1890" s="168" t="s">
        <v>4364</v>
      </c>
      <c r="Q1890" s="167" t="s">
        <v>3947</v>
      </c>
      <c r="R1890" s="172" t="s">
        <v>1582</v>
      </c>
      <c r="S1890" s="388" t="s">
        <v>7284</v>
      </c>
      <c r="T1890" s="168" t="s">
        <v>1584</v>
      </c>
      <c r="U1890" s="168"/>
      <c r="V1890" s="168"/>
      <c r="W1890" s="312" t="s">
        <v>1585</v>
      </c>
      <c r="X1890" s="644" t="s">
        <v>12465</v>
      </c>
      <c r="Y1890" s="352" t="s">
        <v>11456</v>
      </c>
      <c r="Z1890" s="353">
        <v>153</v>
      </c>
      <c r="AA1890" s="353">
        <v>6.5</v>
      </c>
      <c r="AB1890" s="40">
        <f t="shared" ca="1" si="38"/>
        <v>0.70957672968743657</v>
      </c>
      <c r="AC1890" s="810"/>
      <c r="AD1890" s="811" t="s">
        <v>16671</v>
      </c>
      <c r="AE1890" s="940"/>
      <c r="AF1890" s="920">
        <f>IF(X1890=X1889,AF1889,0)+IF(ISNUMBER(I1890),IF(I1890&lt;1,I1890,I1890*VLOOKUP(J1890,Summary!$H$2:$I$9,2)),VLOOKUP(J1890,Summary!$J$2:$K$9,2)*IF(ISNUMBER(H1890),H1890,1))</f>
        <v>0.30952546296296302</v>
      </c>
      <c r="AG1890" s="287">
        <v>1889</v>
      </c>
      <c r="AH1890" s="94"/>
      <c r="AI1890" s="94"/>
    </row>
    <row r="1891" spans="1:35" s="6" customFormat="1" ht="12" customHeight="1" x14ac:dyDescent="0.25">
      <c r="A1891" s="405" t="s">
        <v>15663</v>
      </c>
      <c r="B1891" s="405" t="s">
        <v>11535</v>
      </c>
      <c r="C1891" s="405">
        <v>1.3</v>
      </c>
      <c r="D1891" s="407" t="s">
        <v>4962</v>
      </c>
      <c r="E1891" s="315" t="s">
        <v>4356</v>
      </c>
      <c r="F1891" s="169">
        <v>40483</v>
      </c>
      <c r="G1891" s="170"/>
      <c r="H1891" s="170">
        <v>1</v>
      </c>
      <c r="I1891" s="747">
        <f t="shared" si="39"/>
        <v>4.1666666666666664E-2</v>
      </c>
      <c r="J1891" s="899" t="s">
        <v>4706</v>
      </c>
      <c r="K1891" s="167" t="s">
        <v>5664</v>
      </c>
      <c r="L1891" s="167" t="s">
        <v>5662</v>
      </c>
      <c r="M1891" s="167"/>
      <c r="N1891" s="167"/>
      <c r="O1891" s="167"/>
      <c r="P1891" s="168" t="s">
        <v>4364</v>
      </c>
      <c r="Q1891" s="167" t="s">
        <v>3947</v>
      </c>
      <c r="R1891" s="172" t="s">
        <v>1582</v>
      </c>
      <c r="S1891" s="388" t="s">
        <v>7284</v>
      </c>
      <c r="T1891" s="168" t="s">
        <v>1584</v>
      </c>
      <c r="U1891" s="168"/>
      <c r="V1891" s="168"/>
      <c r="W1891" s="312" t="s">
        <v>4356</v>
      </c>
      <c r="X1891" s="644" t="s">
        <v>12465</v>
      </c>
      <c r="Y1891" s="352" t="s">
        <v>11456</v>
      </c>
      <c r="Z1891" s="353">
        <v>620</v>
      </c>
      <c r="AA1891" s="353">
        <v>3.5</v>
      </c>
      <c r="AB1891" s="40">
        <f t="shared" ca="1" si="38"/>
        <v>0.10001411610914612</v>
      </c>
      <c r="AC1891" s="810"/>
      <c r="AD1891" s="811"/>
      <c r="AE1891" s="940"/>
      <c r="AF1891" s="920">
        <f>IF(X1891=X1890,AF1890,0)+IF(ISNUMBER(I1891),IF(I1891&lt;1,I1891,I1891*VLOOKUP(J1891,Summary!$H$2:$I$9,2)),VLOOKUP(J1891,Summary!$J$2:$K$9,2)*IF(ISNUMBER(H1891),H1891,1))</f>
        <v>0.3511921296296297</v>
      </c>
      <c r="AG1891" s="287">
        <v>1890</v>
      </c>
      <c r="AH1891" s="94"/>
      <c r="AI1891" s="94"/>
    </row>
    <row r="1892" spans="1:35" s="43" customFormat="1" ht="12" customHeight="1" x14ac:dyDescent="0.25">
      <c r="A1892" s="405" t="s">
        <v>15663</v>
      </c>
      <c r="B1892" s="405" t="s">
        <v>11535</v>
      </c>
      <c r="C1892" s="405">
        <v>2.1</v>
      </c>
      <c r="D1892" s="407" t="s">
        <v>6254</v>
      </c>
      <c r="E1892" s="315" t="s">
        <v>1586</v>
      </c>
      <c r="F1892" s="169">
        <v>40909</v>
      </c>
      <c r="G1892" s="170"/>
      <c r="H1892" s="170">
        <v>1</v>
      </c>
      <c r="I1892" s="747">
        <f t="shared" si="39"/>
        <v>4.1666666666666664E-2</v>
      </c>
      <c r="J1892" s="899" t="s">
        <v>4706</v>
      </c>
      <c r="K1892" s="167" t="s">
        <v>5664</v>
      </c>
      <c r="L1892" s="167" t="s">
        <v>5662</v>
      </c>
      <c r="M1892" s="167"/>
      <c r="N1892" s="167"/>
      <c r="O1892" s="167"/>
      <c r="P1892" s="168" t="s">
        <v>4365</v>
      </c>
      <c r="Q1892" s="167" t="s">
        <v>3947</v>
      </c>
      <c r="R1892" s="172" t="s">
        <v>1582</v>
      </c>
      <c r="S1892" s="388" t="s">
        <v>7284</v>
      </c>
      <c r="T1892" s="168" t="s">
        <v>1584</v>
      </c>
      <c r="U1892" s="168"/>
      <c r="V1892" s="168"/>
      <c r="W1892" s="312" t="s">
        <v>1586</v>
      </c>
      <c r="X1892" s="644" t="s">
        <v>12465</v>
      </c>
      <c r="Y1892" s="352" t="s">
        <v>11456</v>
      </c>
      <c r="Z1892" s="353">
        <v>593</v>
      </c>
      <c r="AA1892" s="353">
        <v>3.5</v>
      </c>
      <c r="AB1892" s="40">
        <f t="shared" ca="1" si="38"/>
        <v>0.96937292201797065</v>
      </c>
      <c r="AC1892" s="810"/>
      <c r="AD1892" s="811"/>
      <c r="AE1892" s="940"/>
      <c r="AF1892" s="920">
        <f>IF(X1892=X1891,AF1891,0)+IF(ISNUMBER(I1892),IF(I1892&lt;1,I1892,I1892*VLOOKUP(J1892,Summary!$H$2:$I$9,2)),VLOOKUP(J1892,Summary!$J$2:$K$9,2)*IF(ISNUMBER(H1892),H1892,1))</f>
        <v>0.39285879629629639</v>
      </c>
      <c r="AG1892" s="287">
        <v>1891</v>
      </c>
      <c r="AH1892" s="94"/>
      <c r="AI1892" s="94"/>
    </row>
    <row r="1893" spans="1:35" s="6" customFormat="1" ht="12" customHeight="1" x14ac:dyDescent="0.25">
      <c r="A1893" s="405" t="s">
        <v>15663</v>
      </c>
      <c r="B1893" s="405" t="s">
        <v>11535</v>
      </c>
      <c r="C1893" s="405">
        <v>2.2000000000000002</v>
      </c>
      <c r="D1893" s="407" t="s">
        <v>7509</v>
      </c>
      <c r="E1893" s="315" t="s">
        <v>4340</v>
      </c>
      <c r="F1893" s="169">
        <v>40909</v>
      </c>
      <c r="G1893" s="170"/>
      <c r="H1893" s="170">
        <v>1</v>
      </c>
      <c r="I1893" s="747">
        <f t="shared" si="39"/>
        <v>4.1666666666666664E-2</v>
      </c>
      <c r="J1893" s="899" t="s">
        <v>4706</v>
      </c>
      <c r="K1893" s="167" t="s">
        <v>5664</v>
      </c>
      <c r="L1893" s="167" t="s">
        <v>5662</v>
      </c>
      <c r="M1893" s="167"/>
      <c r="N1893" s="167"/>
      <c r="O1893" s="167"/>
      <c r="P1893" s="168" t="s">
        <v>4365</v>
      </c>
      <c r="Q1893" s="167" t="s">
        <v>3947</v>
      </c>
      <c r="R1893" s="172" t="s">
        <v>1582</v>
      </c>
      <c r="S1893" s="388" t="s">
        <v>7284</v>
      </c>
      <c r="T1893" s="168" t="s">
        <v>1584</v>
      </c>
      <c r="U1893" s="168"/>
      <c r="V1893" s="168"/>
      <c r="W1893" s="312" t="s">
        <v>4340</v>
      </c>
      <c r="X1893" s="644" t="s">
        <v>12465</v>
      </c>
      <c r="Y1893" s="352" t="s">
        <v>11456</v>
      </c>
      <c r="Z1893" s="353">
        <v>135</v>
      </c>
      <c r="AA1893" s="353">
        <v>7</v>
      </c>
      <c r="AB1893" s="40">
        <f t="shared" ca="1" si="38"/>
        <v>0.59060115542592928</v>
      </c>
      <c r="AC1893" s="810"/>
      <c r="AD1893" s="811"/>
      <c r="AE1893" s="940"/>
      <c r="AF1893" s="920">
        <f>IF(X1893=X1892,AF1892,0)+IF(ISNUMBER(I1893),IF(I1893&lt;1,I1893,I1893*VLOOKUP(J1893,Summary!$H$2:$I$9,2)),VLOOKUP(J1893,Summary!$J$2:$K$9,2)*IF(ISNUMBER(H1893),H1893,1))</f>
        <v>0.43452546296296307</v>
      </c>
      <c r="AG1893" s="287">
        <v>1892</v>
      </c>
      <c r="AH1893" s="94"/>
      <c r="AI1893" s="94"/>
    </row>
    <row r="1894" spans="1:35" s="43" customFormat="1" ht="12" customHeight="1" x14ac:dyDescent="0.25">
      <c r="A1894" s="405" t="s">
        <v>15663</v>
      </c>
      <c r="B1894" s="405" t="s">
        <v>11535</v>
      </c>
      <c r="C1894" s="405">
        <v>2.2999999999999998</v>
      </c>
      <c r="D1894" s="407" t="s">
        <v>7515</v>
      </c>
      <c r="E1894" s="315" t="s">
        <v>1587</v>
      </c>
      <c r="F1894" s="169">
        <v>40909</v>
      </c>
      <c r="G1894" s="170"/>
      <c r="H1894" s="170">
        <v>1</v>
      </c>
      <c r="I1894" s="747">
        <f t="shared" si="39"/>
        <v>4.1666666666666664E-2</v>
      </c>
      <c r="J1894" s="899" t="s">
        <v>4706</v>
      </c>
      <c r="K1894" s="167" t="s">
        <v>5664</v>
      </c>
      <c r="L1894" s="167" t="s">
        <v>5662</v>
      </c>
      <c r="M1894" s="167"/>
      <c r="N1894" s="167"/>
      <c r="O1894" s="167"/>
      <c r="P1894" s="168" t="s">
        <v>4365</v>
      </c>
      <c r="Q1894" s="167" t="s">
        <v>3947</v>
      </c>
      <c r="R1894" s="172" t="s">
        <v>1582</v>
      </c>
      <c r="S1894" s="388" t="s">
        <v>7284</v>
      </c>
      <c r="T1894" s="168" t="s">
        <v>1584</v>
      </c>
      <c r="U1894" s="168"/>
      <c r="V1894" s="168"/>
      <c r="W1894" s="312" t="s">
        <v>1587</v>
      </c>
      <c r="X1894" s="644" t="s">
        <v>12465</v>
      </c>
      <c r="Y1894" s="352" t="s">
        <v>11456</v>
      </c>
      <c r="Z1894" s="353">
        <v>444</v>
      </c>
      <c r="AA1894" s="353">
        <v>4.5</v>
      </c>
      <c r="AB1894" s="40">
        <f t="shared" ca="1" si="38"/>
        <v>0.7145273477613614</v>
      </c>
      <c r="AC1894" s="810"/>
      <c r="AD1894" s="811"/>
      <c r="AE1894" s="940"/>
      <c r="AF1894" s="920">
        <f>IF(X1894=X1893,AF1893,0)+IF(ISNUMBER(I1894),IF(I1894&lt;1,I1894,I1894*VLOOKUP(J1894,Summary!$H$2:$I$9,2)),VLOOKUP(J1894,Summary!$J$2:$K$9,2)*IF(ISNUMBER(H1894),H1894,1))</f>
        <v>0.47619212962962976</v>
      </c>
      <c r="AG1894" s="287">
        <v>1893</v>
      </c>
      <c r="AH1894" s="94"/>
      <c r="AI1894" s="94"/>
    </row>
    <row r="1895" spans="1:35" s="6" customFormat="1" ht="12" customHeight="1" x14ac:dyDescent="0.25">
      <c r="A1895" s="405" t="s">
        <v>15663</v>
      </c>
      <c r="B1895" s="405" t="s">
        <v>11535</v>
      </c>
      <c r="C1895" s="405">
        <v>1</v>
      </c>
      <c r="D1895" s="407" t="s">
        <v>11536</v>
      </c>
      <c r="E1895" s="315" t="s">
        <v>11537</v>
      </c>
      <c r="F1895" s="169">
        <v>42125</v>
      </c>
      <c r="G1895" s="170"/>
      <c r="H1895" s="170">
        <v>1</v>
      </c>
      <c r="I1895" s="746">
        <f>TIME(0,33,35)</f>
        <v>2.3321759259259261E-2</v>
      </c>
      <c r="J1895" s="899" t="s">
        <v>4706</v>
      </c>
      <c r="K1895" s="167" t="s">
        <v>4146</v>
      </c>
      <c r="L1895" s="167" t="s">
        <v>179</v>
      </c>
      <c r="M1895" s="167"/>
      <c r="N1895" s="167"/>
      <c r="O1895" s="167"/>
      <c r="P1895" s="168" t="s">
        <v>11521</v>
      </c>
      <c r="Q1895" s="167" t="s">
        <v>3947</v>
      </c>
      <c r="R1895" s="172" t="s">
        <v>11533</v>
      </c>
      <c r="S1895" s="388" t="s">
        <v>7284</v>
      </c>
      <c r="T1895" s="168" t="s">
        <v>1584</v>
      </c>
      <c r="U1895" s="168"/>
      <c r="V1895" s="168"/>
      <c r="W1895" s="312" t="s">
        <v>11537</v>
      </c>
      <c r="X1895" s="644" t="s">
        <v>12465</v>
      </c>
      <c r="Y1895" s="352" t="s">
        <v>5643</v>
      </c>
      <c r="Z1895" s="353">
        <v>451</v>
      </c>
      <c r="AA1895" s="353">
        <v>4.5</v>
      </c>
      <c r="AB1895" s="31">
        <f t="shared" ca="1" si="38"/>
        <v>0.50463222903830396</v>
      </c>
      <c r="AC1895" s="810"/>
      <c r="AD1895" s="811"/>
      <c r="AE1895" s="940"/>
      <c r="AF1895" s="920">
        <f>IF(X1895=X1894,AF1894,0)+IF(ISNUMBER(I1895),IF(I1895&lt;1,I1895,I1895*VLOOKUP(J1895,Summary!$H$2:$I$9,2)),VLOOKUP(J1895,Summary!$J$2:$K$9,2)*IF(ISNUMBER(H1895),H1895,1))</f>
        <v>0.49951388888888903</v>
      </c>
      <c r="AG1895" s="287">
        <v>1894</v>
      </c>
      <c r="AH1895" s="94"/>
      <c r="AI1895" s="94"/>
    </row>
    <row r="1896" spans="1:35" s="6" customFormat="1" ht="12" customHeight="1" x14ac:dyDescent="0.25">
      <c r="A1896" s="405" t="s">
        <v>15663</v>
      </c>
      <c r="B1896" s="405" t="s">
        <v>11535</v>
      </c>
      <c r="C1896" s="405">
        <v>3.1</v>
      </c>
      <c r="D1896" s="407" t="s">
        <v>2970</v>
      </c>
      <c r="E1896" s="315" t="s">
        <v>8118</v>
      </c>
      <c r="F1896" s="169">
        <v>41426</v>
      </c>
      <c r="G1896" s="170"/>
      <c r="H1896" s="166">
        <v>1</v>
      </c>
      <c r="I1896" s="747">
        <f t="shared" ref="I1896:I1902" si="40">TIME(0,60,0)</f>
        <v>4.1666666666666664E-2</v>
      </c>
      <c r="J1896" s="899" t="s">
        <v>4706</v>
      </c>
      <c r="K1896" s="167" t="s">
        <v>5664</v>
      </c>
      <c r="L1896" s="167" t="s">
        <v>5662</v>
      </c>
      <c r="M1896" s="167"/>
      <c r="N1896" s="167"/>
      <c r="O1896" s="167"/>
      <c r="P1896" s="168" t="s">
        <v>8120</v>
      </c>
      <c r="Q1896" s="167" t="s">
        <v>3947</v>
      </c>
      <c r="R1896" s="172" t="s">
        <v>1582</v>
      </c>
      <c r="S1896" s="388" t="s">
        <v>7284</v>
      </c>
      <c r="T1896" s="168" t="s">
        <v>1584</v>
      </c>
      <c r="U1896" s="168"/>
      <c r="V1896" s="168"/>
      <c r="W1896" s="312" t="s">
        <v>8118</v>
      </c>
      <c r="X1896" s="644" t="s">
        <v>12465</v>
      </c>
      <c r="Y1896" s="352" t="s">
        <v>11456</v>
      </c>
      <c r="Z1896" s="353">
        <v>504</v>
      </c>
      <c r="AA1896" s="353">
        <v>4</v>
      </c>
      <c r="AB1896" s="40">
        <f t="shared" ca="1" si="38"/>
        <v>0.65480888461987496</v>
      </c>
      <c r="AC1896" s="810"/>
      <c r="AD1896" s="811"/>
      <c r="AE1896" s="940"/>
      <c r="AF1896" s="920">
        <f>IF(X1896=X1895,AF1895,0)+IF(ISNUMBER(I1896),IF(I1896&lt;1,I1896,I1896*VLOOKUP(J1896,Summary!$H$2:$I$9,2)),VLOOKUP(J1896,Summary!$J$2:$K$9,2)*IF(ISNUMBER(H1896),H1896,1))</f>
        <v>0.54118055555555566</v>
      </c>
      <c r="AG1896" s="287">
        <v>1895</v>
      </c>
      <c r="AH1896" s="94"/>
      <c r="AI1896" s="94"/>
    </row>
    <row r="1897" spans="1:35" s="6" customFormat="1" ht="12" customHeight="1" x14ac:dyDescent="0.25">
      <c r="A1897" s="405" t="s">
        <v>15663</v>
      </c>
      <c r="B1897" s="405" t="s">
        <v>11535</v>
      </c>
      <c r="C1897" s="405">
        <v>3.2</v>
      </c>
      <c r="D1897" s="407" t="s">
        <v>2973</v>
      </c>
      <c r="E1897" s="315" t="s">
        <v>8119</v>
      </c>
      <c r="F1897" s="169">
        <v>41426</v>
      </c>
      <c r="G1897" s="170"/>
      <c r="H1897" s="170">
        <v>1</v>
      </c>
      <c r="I1897" s="747">
        <f t="shared" si="40"/>
        <v>4.1666666666666664E-2</v>
      </c>
      <c r="J1897" s="899" t="s">
        <v>4706</v>
      </c>
      <c r="K1897" s="167" t="s">
        <v>5664</v>
      </c>
      <c r="L1897" s="167" t="s">
        <v>5662</v>
      </c>
      <c r="M1897" s="167"/>
      <c r="N1897" s="167"/>
      <c r="O1897" s="167"/>
      <c r="P1897" s="168" t="s">
        <v>8120</v>
      </c>
      <c r="Q1897" s="167" t="s">
        <v>3947</v>
      </c>
      <c r="R1897" s="172" t="s">
        <v>1582</v>
      </c>
      <c r="S1897" s="388" t="s">
        <v>7284</v>
      </c>
      <c r="T1897" s="168" t="s">
        <v>1584</v>
      </c>
      <c r="U1897" s="168"/>
      <c r="V1897" s="168"/>
      <c r="W1897" s="312" t="s">
        <v>8119</v>
      </c>
      <c r="X1897" s="644" t="s">
        <v>12465</v>
      </c>
      <c r="Y1897" s="352" t="s">
        <v>11456</v>
      </c>
      <c r="Z1897" s="353">
        <v>283</v>
      </c>
      <c r="AA1897" s="353">
        <v>5.5</v>
      </c>
      <c r="AB1897" s="40">
        <f t="shared" ca="1" si="38"/>
        <v>0.27272249895233169</v>
      </c>
      <c r="AC1897" s="810"/>
      <c r="AD1897" s="811"/>
      <c r="AE1897" s="940"/>
      <c r="AF1897" s="920">
        <f>IF(X1897=X1896,AF1896,0)+IF(ISNUMBER(I1897),IF(I1897&lt;1,I1897,I1897*VLOOKUP(J1897,Summary!$H$2:$I$9,2)),VLOOKUP(J1897,Summary!$J$2:$K$9,2)*IF(ISNUMBER(H1897),H1897,1))</f>
        <v>0.58284722222222229</v>
      </c>
      <c r="AG1897" s="287">
        <v>1896</v>
      </c>
      <c r="AH1897" s="94"/>
      <c r="AI1897" s="94"/>
    </row>
    <row r="1898" spans="1:35" s="6" customFormat="1" ht="12" customHeight="1" x14ac:dyDescent="0.25">
      <c r="A1898" s="405" t="s">
        <v>15663</v>
      </c>
      <c r="B1898" s="405" t="s">
        <v>11535</v>
      </c>
      <c r="C1898" s="405">
        <v>3.3</v>
      </c>
      <c r="D1898" s="407" t="s">
        <v>2975</v>
      </c>
      <c r="E1898" s="315" t="s">
        <v>1824</v>
      </c>
      <c r="F1898" s="169">
        <v>41426</v>
      </c>
      <c r="G1898" s="170"/>
      <c r="H1898" s="170">
        <v>1</v>
      </c>
      <c r="I1898" s="747">
        <f t="shared" si="40"/>
        <v>4.1666666666666664E-2</v>
      </c>
      <c r="J1898" s="899" t="s">
        <v>4706</v>
      </c>
      <c r="K1898" s="167" t="s">
        <v>5664</v>
      </c>
      <c r="L1898" s="167" t="s">
        <v>5662</v>
      </c>
      <c r="M1898" s="167"/>
      <c r="N1898" s="167"/>
      <c r="O1898" s="167"/>
      <c r="P1898" s="168" t="s">
        <v>8120</v>
      </c>
      <c r="Q1898" s="167" t="s">
        <v>3947</v>
      </c>
      <c r="R1898" s="172" t="s">
        <v>1582</v>
      </c>
      <c r="S1898" s="388" t="s">
        <v>7284</v>
      </c>
      <c r="T1898" s="168" t="s">
        <v>1584</v>
      </c>
      <c r="U1898" s="168"/>
      <c r="V1898" s="168"/>
      <c r="W1898" s="312" t="s">
        <v>1824</v>
      </c>
      <c r="X1898" s="644" t="s">
        <v>12465</v>
      </c>
      <c r="Y1898" s="352" t="s">
        <v>11456</v>
      </c>
      <c r="Z1898" s="353">
        <v>631</v>
      </c>
      <c r="AA1898" s="353">
        <v>3</v>
      </c>
      <c r="AB1898" s="40">
        <f t="shared" ca="1" si="38"/>
        <v>0.92765473820927624</v>
      </c>
      <c r="AC1898" s="810"/>
      <c r="AD1898" s="811"/>
      <c r="AE1898" s="940"/>
      <c r="AF1898" s="920">
        <f>IF(X1898=X1897,AF1897,0)+IF(ISNUMBER(I1898),IF(I1898&lt;1,I1898,I1898*VLOOKUP(J1898,Summary!$H$2:$I$9,2)),VLOOKUP(J1898,Summary!$J$2:$K$9,2)*IF(ISNUMBER(H1898),H1898,1))</f>
        <v>0.62451388888888892</v>
      </c>
      <c r="AG1898" s="287">
        <v>1897</v>
      </c>
      <c r="AH1898" s="94"/>
      <c r="AI1898" s="94"/>
    </row>
    <row r="1899" spans="1:35" s="2" customFormat="1" ht="12" customHeight="1" x14ac:dyDescent="0.25">
      <c r="A1899" s="405" t="s">
        <v>15663</v>
      </c>
      <c r="B1899" s="405" t="s">
        <v>11535</v>
      </c>
      <c r="C1899" s="405">
        <v>4.0999999999999996</v>
      </c>
      <c r="D1899" s="407">
        <v>4.0999999999999996</v>
      </c>
      <c r="E1899" s="315" t="s">
        <v>11538</v>
      </c>
      <c r="F1899" s="169">
        <v>42736</v>
      </c>
      <c r="G1899" s="170"/>
      <c r="H1899" s="166"/>
      <c r="I1899" s="747">
        <f t="shared" si="40"/>
        <v>4.1666666666666664E-2</v>
      </c>
      <c r="J1899" s="899" t="s">
        <v>4706</v>
      </c>
      <c r="K1899" s="167" t="s">
        <v>5664</v>
      </c>
      <c r="L1899" s="167" t="s">
        <v>5662</v>
      </c>
      <c r="M1899" s="167"/>
      <c r="N1899" s="167"/>
      <c r="O1899" s="167"/>
      <c r="P1899" s="168"/>
      <c r="Q1899" s="167" t="s">
        <v>3947</v>
      </c>
      <c r="R1899" s="172" t="s">
        <v>1582</v>
      </c>
      <c r="S1899" s="388" t="s">
        <v>7284</v>
      </c>
      <c r="T1899" s="168" t="s">
        <v>1584</v>
      </c>
      <c r="U1899" s="168"/>
      <c r="V1899" s="168"/>
      <c r="W1899" s="312" t="s">
        <v>11538</v>
      </c>
      <c r="X1899" s="644" t="s">
        <v>12465</v>
      </c>
      <c r="Y1899" s="352"/>
      <c r="Z1899" s="353"/>
      <c r="AA1899" s="353"/>
      <c r="AB1899" s="40">
        <f t="shared" ca="1" si="38"/>
        <v>0.99682974569170302</v>
      </c>
      <c r="AC1899" s="810"/>
      <c r="AD1899" s="811"/>
      <c r="AE1899" s="940"/>
      <c r="AF1899" s="920">
        <f>IF(X1899=X1898,AF1898,0)+IF(ISNUMBER(I1899),IF(I1899&lt;1,I1899,I1899*VLOOKUP(J1899,Summary!$H$2:$I$9,2)),VLOOKUP(J1899,Summary!$J$2:$K$9,2)*IF(ISNUMBER(H1899),H1899,1))</f>
        <v>0.66618055555555555</v>
      </c>
      <c r="AG1899" s="287">
        <v>1898</v>
      </c>
      <c r="AH1899" s="94"/>
      <c r="AI1899" s="94"/>
    </row>
    <row r="1900" spans="1:35" s="6" customFormat="1" ht="12" customHeight="1" x14ac:dyDescent="0.25">
      <c r="A1900" s="405" t="s">
        <v>15663</v>
      </c>
      <c r="B1900" s="405" t="s">
        <v>11535</v>
      </c>
      <c r="C1900" s="405">
        <v>4.2</v>
      </c>
      <c r="D1900" s="407">
        <v>4.2</v>
      </c>
      <c r="E1900" s="315" t="s">
        <v>11539</v>
      </c>
      <c r="F1900" s="169">
        <v>42736</v>
      </c>
      <c r="G1900" s="170"/>
      <c r="H1900" s="166"/>
      <c r="I1900" s="747">
        <f t="shared" si="40"/>
        <v>4.1666666666666664E-2</v>
      </c>
      <c r="J1900" s="899" t="s">
        <v>4706</v>
      </c>
      <c r="K1900" s="167" t="s">
        <v>5664</v>
      </c>
      <c r="L1900" s="167" t="s">
        <v>5662</v>
      </c>
      <c r="M1900" s="167"/>
      <c r="N1900" s="167"/>
      <c r="O1900" s="167"/>
      <c r="P1900" s="168"/>
      <c r="Q1900" s="167" t="s">
        <v>3947</v>
      </c>
      <c r="R1900" s="172" t="s">
        <v>1582</v>
      </c>
      <c r="S1900" s="388" t="s">
        <v>7284</v>
      </c>
      <c r="T1900" s="168" t="s">
        <v>1584</v>
      </c>
      <c r="U1900" s="168"/>
      <c r="V1900" s="168"/>
      <c r="W1900" s="312" t="s">
        <v>11539</v>
      </c>
      <c r="X1900" s="644" t="s">
        <v>12465</v>
      </c>
      <c r="Y1900" s="352"/>
      <c r="Z1900" s="353"/>
      <c r="AA1900" s="353"/>
      <c r="AB1900" s="40">
        <f t="shared" ca="1" si="38"/>
        <v>0.78477782659306516</v>
      </c>
      <c r="AC1900" s="810"/>
      <c r="AD1900" s="811"/>
      <c r="AE1900" s="940"/>
      <c r="AF1900" s="920">
        <f>IF(X1900=X1899,AF1899,0)+IF(ISNUMBER(I1900),IF(I1900&lt;1,I1900,I1900*VLOOKUP(J1900,Summary!$H$2:$I$9,2)),VLOOKUP(J1900,Summary!$J$2:$K$9,2)*IF(ISNUMBER(H1900),H1900,1))</f>
        <v>0.70784722222222218</v>
      </c>
      <c r="AG1900" s="287">
        <v>1899</v>
      </c>
      <c r="AH1900" s="94"/>
      <c r="AI1900" s="94"/>
    </row>
    <row r="1901" spans="1:35" s="6" customFormat="1" ht="12" customHeight="1" x14ac:dyDescent="0.25">
      <c r="A1901" s="405" t="s">
        <v>15663</v>
      </c>
      <c r="B1901" s="405" t="s">
        <v>11535</v>
      </c>
      <c r="C1901" s="405">
        <v>4.3</v>
      </c>
      <c r="D1901" s="407">
        <v>4.3</v>
      </c>
      <c r="E1901" s="315" t="s">
        <v>11540</v>
      </c>
      <c r="F1901" s="169">
        <v>42736</v>
      </c>
      <c r="G1901" s="170"/>
      <c r="H1901" s="166"/>
      <c r="I1901" s="747">
        <f t="shared" si="40"/>
        <v>4.1666666666666664E-2</v>
      </c>
      <c r="J1901" s="899" t="s">
        <v>4706</v>
      </c>
      <c r="K1901" s="167" t="s">
        <v>5664</v>
      </c>
      <c r="L1901" s="167" t="s">
        <v>5662</v>
      </c>
      <c r="M1901" s="167"/>
      <c r="N1901" s="167"/>
      <c r="O1901" s="167"/>
      <c r="P1901" s="168"/>
      <c r="Q1901" s="167" t="s">
        <v>3947</v>
      </c>
      <c r="R1901" s="172" t="s">
        <v>1582</v>
      </c>
      <c r="S1901" s="388" t="s">
        <v>7284</v>
      </c>
      <c r="T1901" s="168" t="s">
        <v>1584</v>
      </c>
      <c r="U1901" s="168"/>
      <c r="V1901" s="168"/>
      <c r="W1901" s="312" t="s">
        <v>11540</v>
      </c>
      <c r="X1901" s="644" t="s">
        <v>12465</v>
      </c>
      <c r="Y1901" s="352"/>
      <c r="Z1901" s="353"/>
      <c r="AA1901" s="353"/>
      <c r="AB1901" s="40">
        <f t="shared" ca="1" si="38"/>
        <v>0.61104116694740951</v>
      </c>
      <c r="AC1901" s="810"/>
      <c r="AD1901" s="811"/>
      <c r="AE1901" s="940"/>
      <c r="AF1901" s="920">
        <f>IF(X1901=X1900,AF1900,0)+IF(ISNUMBER(I1901),IF(I1901&lt;1,I1901,I1901*VLOOKUP(J1901,Summary!$H$2:$I$9,2)),VLOOKUP(J1901,Summary!$J$2:$K$9,2)*IF(ISNUMBER(H1901),H1901,1))</f>
        <v>0.74951388888888881</v>
      </c>
      <c r="AG1901" s="287">
        <v>1900</v>
      </c>
      <c r="AH1901" s="94"/>
      <c r="AI1901" s="94"/>
    </row>
    <row r="1902" spans="1:35" s="43" customFormat="1" ht="12" customHeight="1" x14ac:dyDescent="0.25">
      <c r="A1902" s="405" t="s">
        <v>15663</v>
      </c>
      <c r="B1902" s="405" t="s">
        <v>11535</v>
      </c>
      <c r="C1902" s="405">
        <v>4.4000000000000004</v>
      </c>
      <c r="D1902" s="407">
        <v>4.4000000000000004</v>
      </c>
      <c r="E1902" s="315" t="s">
        <v>11541</v>
      </c>
      <c r="F1902" s="169">
        <v>42736</v>
      </c>
      <c r="G1902" s="170"/>
      <c r="H1902" s="166"/>
      <c r="I1902" s="747">
        <f t="shared" si="40"/>
        <v>4.1666666666666664E-2</v>
      </c>
      <c r="J1902" s="899" t="s">
        <v>4706</v>
      </c>
      <c r="K1902" s="167" t="s">
        <v>5664</v>
      </c>
      <c r="L1902" s="167" t="s">
        <v>5662</v>
      </c>
      <c r="M1902" s="167"/>
      <c r="N1902" s="167"/>
      <c r="O1902" s="167"/>
      <c r="P1902" s="168"/>
      <c r="Q1902" s="167" t="s">
        <v>3947</v>
      </c>
      <c r="R1902" s="172" t="s">
        <v>1582</v>
      </c>
      <c r="S1902" s="388" t="s">
        <v>7284</v>
      </c>
      <c r="T1902" s="168" t="s">
        <v>1584</v>
      </c>
      <c r="U1902" s="168"/>
      <c r="V1902" s="168"/>
      <c r="W1902" s="312" t="s">
        <v>11541</v>
      </c>
      <c r="X1902" s="644" t="s">
        <v>12465</v>
      </c>
      <c r="Y1902" s="352"/>
      <c r="Z1902" s="353"/>
      <c r="AA1902" s="353"/>
      <c r="AB1902" s="40">
        <f t="shared" ca="1" si="38"/>
        <v>0.70772927413949582</v>
      </c>
      <c r="AC1902" s="810"/>
      <c r="AD1902" s="811"/>
      <c r="AE1902" s="940"/>
      <c r="AF1902" s="920">
        <f>IF(X1902=X1901,AF1901,0)+IF(ISNUMBER(I1902),IF(I1902&lt;1,I1902,I1902*VLOOKUP(J1902,Summary!$H$2:$I$9,2)),VLOOKUP(J1902,Summary!$J$2:$K$9,2)*IF(ISNUMBER(H1902),H1902,1))</f>
        <v>0.79118055555555544</v>
      </c>
      <c r="AG1902" s="287">
        <v>1901</v>
      </c>
      <c r="AH1902" s="94"/>
      <c r="AI1902" s="94"/>
    </row>
    <row r="1903" spans="1:35" s="1" customFormat="1" ht="12" customHeight="1" x14ac:dyDescent="0.25">
      <c r="A1903" s="804" t="s">
        <v>15664</v>
      </c>
      <c r="B1903" s="804">
        <v>5</v>
      </c>
      <c r="C1903" s="804"/>
      <c r="D1903" s="619"/>
      <c r="E1903" s="345" t="s">
        <v>15651</v>
      </c>
      <c r="F1903" s="802">
        <v>30317</v>
      </c>
      <c r="G1903" s="219"/>
      <c r="H1903" s="210">
        <v>4</v>
      </c>
      <c r="I1903" s="210"/>
      <c r="J1903" s="908" t="s">
        <v>3346</v>
      </c>
      <c r="K1903" s="166" t="s">
        <v>3365</v>
      </c>
      <c r="L1903" s="166"/>
      <c r="M1903" s="166"/>
      <c r="N1903" s="166"/>
      <c r="O1903" s="166"/>
      <c r="P1903" s="267" t="s">
        <v>461</v>
      </c>
      <c r="Q1903" s="166" t="s">
        <v>15645</v>
      </c>
      <c r="R1903" s="268" t="s">
        <v>15637</v>
      </c>
      <c r="S1903" s="386" t="s">
        <v>2319</v>
      </c>
      <c r="T1903" s="267"/>
      <c r="U1903" s="267"/>
      <c r="V1903" s="803"/>
      <c r="W1903" s="345" t="s">
        <v>15652</v>
      </c>
      <c r="X1903" s="680" t="s">
        <v>12335</v>
      </c>
      <c r="Y1903" s="384"/>
      <c r="Z1903" s="385"/>
      <c r="AA1903" s="385"/>
      <c r="AB1903" s="41">
        <f t="shared" ca="1" si="38"/>
        <v>0.28474727921851717</v>
      </c>
      <c r="AC1903" s="832"/>
      <c r="AD1903" s="833"/>
      <c r="AE1903" s="956"/>
      <c r="AF1903" s="929">
        <f>IF(X1903=X1902,AF1902,0)+IF(ISNUMBER(I1903),IF(I1903&lt;1,I1903,I1903*VLOOKUP(J1903,Summary!$H$2:$I$9,2)),VLOOKUP(J1903,Summary!$J$2:$K$9,2)*IF(ISNUMBER(H1903),H1903,1))</f>
        <v>0.16666666666666666</v>
      </c>
      <c r="AG1903" s="307">
        <v>1902</v>
      </c>
      <c r="AH1903" s="94"/>
      <c r="AI1903" s="94"/>
    </row>
    <row r="1904" spans="1:35" s="6" customFormat="1" ht="12" customHeight="1" x14ac:dyDescent="0.25">
      <c r="A1904" s="514" t="s">
        <v>15664</v>
      </c>
      <c r="B1904" s="514">
        <v>5</v>
      </c>
      <c r="C1904" s="514">
        <v>41</v>
      </c>
      <c r="D1904" s="176" t="s">
        <v>5847</v>
      </c>
      <c r="E1904" s="313" t="s">
        <v>5537</v>
      </c>
      <c r="F1904" s="174">
        <v>33482</v>
      </c>
      <c r="G1904" s="174"/>
      <c r="H1904" s="176">
        <v>1</v>
      </c>
      <c r="I1904" s="176">
        <v>2</v>
      </c>
      <c r="J1904" s="900" t="s">
        <v>2755</v>
      </c>
      <c r="K1904" s="164" t="s">
        <v>5538</v>
      </c>
      <c r="L1904" s="164" t="s">
        <v>461</v>
      </c>
      <c r="M1904" s="164"/>
      <c r="N1904" s="164" t="s">
        <v>561</v>
      </c>
      <c r="O1904" s="164"/>
      <c r="P1904" s="173" t="s">
        <v>5849</v>
      </c>
      <c r="Q1904" s="164" t="s">
        <v>4062</v>
      </c>
      <c r="R1904" s="177" t="s">
        <v>4599</v>
      </c>
      <c r="S1904" s="354"/>
      <c r="T1904" s="173"/>
      <c r="U1904" s="173"/>
      <c r="V1904" s="173"/>
      <c r="W1904" s="313" t="s">
        <v>5537</v>
      </c>
      <c r="X1904" s="645" t="s">
        <v>12335</v>
      </c>
      <c r="Y1904" s="354" t="s">
        <v>6868</v>
      </c>
      <c r="Z1904" s="176">
        <v>999</v>
      </c>
      <c r="AA1904" s="176"/>
      <c r="AB1904" s="32">
        <f t="shared" ca="1" si="38"/>
        <v>0.59060043804120965</v>
      </c>
      <c r="AC1904" s="812"/>
      <c r="AD1904" s="763"/>
      <c r="AE1904" s="951"/>
      <c r="AF1904" s="921">
        <f>IF(X1904=X1903,AF1903,0)+IF(ISNUMBER(I1904),IF(I1904&lt;1,I1904,I1904*VLOOKUP(J1904,Summary!$H$2:$I$9,2)),VLOOKUP(J1904,Summary!$J$2:$K$9,2)*IF(ISNUMBER(H1904),H1904,1))</f>
        <v>0.16805555555555554</v>
      </c>
      <c r="AG1904" s="289">
        <v>1903</v>
      </c>
      <c r="AH1904" s="94"/>
      <c r="AI1904" s="94"/>
    </row>
    <row r="1905" spans="1:35" s="6" customFormat="1" ht="12" customHeight="1" x14ac:dyDescent="0.25">
      <c r="A1905" s="515" t="s">
        <v>15664</v>
      </c>
      <c r="B1905" s="515">
        <v>5</v>
      </c>
      <c r="C1905" s="515">
        <v>53</v>
      </c>
      <c r="D1905" s="417" t="s">
        <v>3964</v>
      </c>
      <c r="E1905" s="316" t="s">
        <v>4541</v>
      </c>
      <c r="F1905" s="187">
        <v>37377</v>
      </c>
      <c r="G1905" s="188"/>
      <c r="H1905" s="188" t="str">
        <f>IF(J1905="Book","n/a","")</f>
        <v>n/a</v>
      </c>
      <c r="I1905" s="188">
        <v>286</v>
      </c>
      <c r="J1905" s="902" t="s">
        <v>6868</v>
      </c>
      <c r="K1905" s="162" t="s">
        <v>1088</v>
      </c>
      <c r="L1905" s="162" t="str">
        <f>IF(J1905="Book","n/a","")</f>
        <v>n/a</v>
      </c>
      <c r="M1905" s="162"/>
      <c r="N1905" s="162"/>
      <c r="O1905" s="162"/>
      <c r="P1905" s="178" t="s">
        <v>8977</v>
      </c>
      <c r="Q1905" s="162" t="s">
        <v>3953</v>
      </c>
      <c r="R1905" s="189" t="s">
        <v>2717</v>
      </c>
      <c r="S1905" s="366" t="s">
        <v>2319</v>
      </c>
      <c r="T1905" s="178"/>
      <c r="U1905" s="178"/>
      <c r="V1905" s="178"/>
      <c r="W1905" s="316" t="s">
        <v>4541</v>
      </c>
      <c r="X1905" s="648" t="s">
        <v>12335</v>
      </c>
      <c r="Y1905" s="356"/>
      <c r="Z1905" s="272"/>
      <c r="AA1905" s="272"/>
      <c r="AB1905" s="34">
        <f t="shared" ca="1" si="38"/>
        <v>0.82568367269661613</v>
      </c>
      <c r="AC1905" s="814"/>
      <c r="AD1905" s="815" t="s">
        <v>16346</v>
      </c>
      <c r="AE1905" s="942" t="s">
        <v>3365</v>
      </c>
      <c r="AF1905" s="923">
        <f>IF(X1905=X1904,AF1904,0)+IF(ISNUMBER(I1905),IF(I1905&lt;1,I1905,I1905*VLOOKUP(J1905,Summary!$H$2:$I$9,2)),VLOOKUP(J1905,Summary!$J$2:$K$9,2)*IF(ISNUMBER(H1905),H1905,1))</f>
        <v>0.3666666666666667</v>
      </c>
      <c r="AG1905" s="291">
        <v>1904</v>
      </c>
      <c r="AH1905" s="94"/>
      <c r="AI1905" s="94"/>
    </row>
    <row r="1906" spans="1:35" s="22" customFormat="1" ht="12" customHeight="1" x14ac:dyDescent="0.25">
      <c r="A1906" s="511" t="s">
        <v>15664</v>
      </c>
      <c r="B1906" s="511">
        <v>5</v>
      </c>
      <c r="C1906" s="511">
        <v>135</v>
      </c>
      <c r="D1906" s="424" t="s">
        <v>4542</v>
      </c>
      <c r="E1906" s="319" t="s">
        <v>4543</v>
      </c>
      <c r="F1906" s="198">
        <v>30749</v>
      </c>
      <c r="G1906" s="198">
        <v>30757</v>
      </c>
      <c r="H1906" s="199">
        <v>4</v>
      </c>
      <c r="I1906" s="791">
        <f>TIME(0,24,33)+TIME(0,25, 0)+TIME(0,24,36)+TIME(0,25,37)</f>
        <v>6.9282407407407404E-2</v>
      </c>
      <c r="J1906" s="904" t="s">
        <v>1588</v>
      </c>
      <c r="K1906" s="200" t="s">
        <v>1093</v>
      </c>
      <c r="L1906" s="200" t="s">
        <v>4544</v>
      </c>
      <c r="M1906" s="200"/>
      <c r="N1906" s="200" t="s">
        <v>2366</v>
      </c>
      <c r="O1906" s="200" t="s">
        <v>6962</v>
      </c>
      <c r="P1906" s="197" t="s">
        <v>461</v>
      </c>
      <c r="Q1906" s="200" t="s">
        <v>3946</v>
      </c>
      <c r="R1906" s="201" t="s">
        <v>5280</v>
      </c>
      <c r="S1906" s="390" t="s">
        <v>2319</v>
      </c>
      <c r="T1906" s="197"/>
      <c r="U1906" s="197"/>
      <c r="V1906" s="197"/>
      <c r="W1906" s="318" t="s">
        <v>9664</v>
      </c>
      <c r="X1906" s="650" t="s">
        <v>12335</v>
      </c>
      <c r="Y1906" s="358" t="s">
        <v>6141</v>
      </c>
      <c r="Z1906" s="253">
        <v>4</v>
      </c>
      <c r="AA1906" s="253">
        <v>10</v>
      </c>
      <c r="AB1906" s="35">
        <f t="shared" ca="1" si="38"/>
        <v>0.20170845771106716</v>
      </c>
      <c r="AC1906" s="820"/>
      <c r="AD1906" s="821" t="s">
        <v>16437</v>
      </c>
      <c r="AE1906" s="944" t="s">
        <v>12543</v>
      </c>
      <c r="AF1906" s="925">
        <f>IF(X1906=X1905,AF1905,0)+IF(ISNUMBER(I1906),IF(I1906&lt;1,I1906,I1906*VLOOKUP(J1906,Summary!$H$2:$I$9,2)),VLOOKUP(J1906,Summary!$J$2:$K$9,2)*IF(ISNUMBER(H1906),H1906,1))</f>
        <v>0.43594907407407413</v>
      </c>
      <c r="AG1906" s="293">
        <v>1905</v>
      </c>
      <c r="AH1906" s="94"/>
      <c r="AI1906" s="94"/>
    </row>
    <row r="1907" spans="1:35" s="43" customFormat="1" ht="12" customHeight="1" x14ac:dyDescent="0.25">
      <c r="A1907" s="512" t="s">
        <v>15664</v>
      </c>
      <c r="B1907" s="512">
        <v>5</v>
      </c>
      <c r="C1907" s="512">
        <v>91.4</v>
      </c>
      <c r="D1907" s="407" t="s">
        <v>4533</v>
      </c>
      <c r="E1907" s="315" t="s">
        <v>4529</v>
      </c>
      <c r="F1907" s="169">
        <v>39083</v>
      </c>
      <c r="G1907" s="170"/>
      <c r="H1907" s="170">
        <v>1</v>
      </c>
      <c r="I1907" s="746">
        <f>TIME(0,32,8)</f>
        <v>2.2314814814814815E-2</v>
      </c>
      <c r="J1907" s="899" t="s">
        <v>4706</v>
      </c>
      <c r="K1907" s="167" t="s">
        <v>3286</v>
      </c>
      <c r="L1907" s="167" t="s">
        <v>6231</v>
      </c>
      <c r="M1907" s="167"/>
      <c r="N1907" s="167"/>
      <c r="O1907" s="167"/>
      <c r="P1907" s="168"/>
      <c r="Q1907" s="167" t="s">
        <v>3947</v>
      </c>
      <c r="R1907" s="172" t="s">
        <v>3146</v>
      </c>
      <c r="S1907" s="388" t="s">
        <v>2607</v>
      </c>
      <c r="T1907" s="168"/>
      <c r="U1907" s="168"/>
      <c r="V1907" s="168"/>
      <c r="W1907" s="312" t="s">
        <v>9324</v>
      </c>
      <c r="X1907" s="644" t="s">
        <v>12335</v>
      </c>
      <c r="Y1907" s="352" t="s">
        <v>5398</v>
      </c>
      <c r="Z1907" s="353">
        <v>114</v>
      </c>
      <c r="AA1907" s="353">
        <v>7</v>
      </c>
      <c r="AB1907" s="31">
        <f t="shared" ca="1" si="38"/>
        <v>5.7980995644079769E-2</v>
      </c>
      <c r="AC1907" s="810"/>
      <c r="AD1907" s="811" t="s">
        <v>16365</v>
      </c>
      <c r="AE1907" s="940" t="s">
        <v>12543</v>
      </c>
      <c r="AF1907" s="920">
        <f>IF(X1907=X1906,AF1906,0)+IF(ISNUMBER(I1907),IF(I1907&lt;1,I1907,I1907*VLOOKUP(J1907,Summary!$H$2:$I$9,2)),VLOOKUP(J1907,Summary!$J$2:$K$9,2)*IF(ISNUMBER(H1907),H1907,1))</f>
        <v>0.45826388888888892</v>
      </c>
      <c r="AG1907" s="287">
        <v>1906</v>
      </c>
      <c r="AH1907" s="94"/>
      <c r="AI1907" s="94"/>
    </row>
    <row r="1908" spans="1:35" s="1" customFormat="1" ht="12" customHeight="1" x14ac:dyDescent="0.25">
      <c r="A1908" s="521" t="s">
        <v>15664</v>
      </c>
      <c r="B1908" s="521">
        <v>6</v>
      </c>
      <c r="C1908" s="521">
        <v>136</v>
      </c>
      <c r="D1908" s="424" t="s">
        <v>4545</v>
      </c>
      <c r="E1908" s="319" t="s">
        <v>4546</v>
      </c>
      <c r="F1908" s="198">
        <v>30763</v>
      </c>
      <c r="G1908" s="198">
        <v>30771</v>
      </c>
      <c r="H1908" s="199">
        <v>4</v>
      </c>
      <c r="I1908" s="791">
        <f>TIME(0,24,42)+TIME(0,25, 9)+TIME(0,24,27)+TIME(0,25, 4)</f>
        <v>6.9004629629629638E-2</v>
      </c>
      <c r="J1908" s="904" t="s">
        <v>1588</v>
      </c>
      <c r="K1908" s="200" t="s">
        <v>4547</v>
      </c>
      <c r="L1908" s="200" t="s">
        <v>2618</v>
      </c>
      <c r="M1908" s="200"/>
      <c r="N1908" s="200" t="s">
        <v>2366</v>
      </c>
      <c r="O1908" s="200" t="s">
        <v>6962</v>
      </c>
      <c r="P1908" s="197" t="s">
        <v>461</v>
      </c>
      <c r="Q1908" s="200" t="s">
        <v>3946</v>
      </c>
      <c r="R1908" s="201" t="s">
        <v>5280</v>
      </c>
      <c r="S1908" s="390" t="s">
        <v>2319</v>
      </c>
      <c r="T1908" s="197"/>
      <c r="U1908" s="197"/>
      <c r="V1908" s="197"/>
      <c r="W1908" s="318" t="s">
        <v>12180</v>
      </c>
      <c r="X1908" s="650" t="s">
        <v>12335</v>
      </c>
      <c r="Y1908" s="358" t="s">
        <v>6141</v>
      </c>
      <c r="Z1908" s="253">
        <v>323</v>
      </c>
      <c r="AA1908" s="253">
        <v>0.5</v>
      </c>
      <c r="AB1908" s="35">
        <f t="shared" ca="1" si="38"/>
        <v>3.5222409770281571E-2</v>
      </c>
      <c r="AC1908" s="820"/>
      <c r="AD1908" s="821" t="s">
        <v>16173</v>
      </c>
      <c r="AE1908" s="944" t="s">
        <v>3365</v>
      </c>
      <c r="AF1908" s="925">
        <f>IF(X1908=X1907,AF1907,0)+IF(ISNUMBER(I1908),IF(I1908&lt;1,I1908,I1908*VLOOKUP(J1908,Summary!$H$2:$I$9,2)),VLOOKUP(J1908,Summary!$J$2:$K$9,2)*IF(ISNUMBER(H1908),H1908,1))</f>
        <v>0.52726851851851853</v>
      </c>
      <c r="AG1908" s="293">
        <v>1907</v>
      </c>
      <c r="AH1908" s="94"/>
      <c r="AI1908" s="94"/>
    </row>
    <row r="1909" spans="1:35" s="22" customFormat="1" ht="12" customHeight="1" x14ac:dyDescent="0.25">
      <c r="A1909" s="522" t="s">
        <v>15664</v>
      </c>
      <c r="B1909" s="522">
        <v>6</v>
      </c>
      <c r="C1909" s="522">
        <v>28.14</v>
      </c>
      <c r="D1909" s="434" t="s">
        <v>1570</v>
      </c>
      <c r="E1909" s="324" t="s">
        <v>5754</v>
      </c>
      <c r="F1909" s="174">
        <v>39630</v>
      </c>
      <c r="G1909" s="174"/>
      <c r="H1909" s="176" t="s">
        <v>461</v>
      </c>
      <c r="I1909" s="176">
        <v>12</v>
      </c>
      <c r="J1909" s="900" t="s">
        <v>2755</v>
      </c>
      <c r="K1909" s="164" t="s">
        <v>176</v>
      </c>
      <c r="L1909" s="164" t="s">
        <v>461</v>
      </c>
      <c r="M1909" s="164"/>
      <c r="N1909" s="164" t="s">
        <v>185</v>
      </c>
      <c r="O1909" s="164"/>
      <c r="P1909" s="173" t="s">
        <v>6704</v>
      </c>
      <c r="Q1909" s="164" t="s">
        <v>3947</v>
      </c>
      <c r="R1909" s="179" t="s">
        <v>2723</v>
      </c>
      <c r="S1909" s="354" t="s">
        <v>2319</v>
      </c>
      <c r="T1909" s="173"/>
      <c r="U1909" s="173"/>
      <c r="V1909" s="173"/>
      <c r="W1909" s="324" t="s">
        <v>5754</v>
      </c>
      <c r="X1909" s="656" t="s">
        <v>12335</v>
      </c>
      <c r="Y1909" s="363"/>
      <c r="Z1909" s="364"/>
      <c r="AA1909" s="364"/>
      <c r="AB1909" s="32">
        <f t="shared" ca="1" si="38"/>
        <v>0.33604656303296254</v>
      </c>
      <c r="AC1909" s="812"/>
      <c r="AD1909" s="763"/>
      <c r="AE1909" s="951"/>
      <c r="AF1909" s="921">
        <f>IF(X1909=X1908,AF1908,0)+IF(ISNUMBER(I1909),IF(I1909&lt;1,I1909,I1909*VLOOKUP(J1909,Summary!$H$2:$I$9,2)),VLOOKUP(J1909,Summary!$J$2:$K$9,2)*IF(ISNUMBER(H1909),H1909,1))</f>
        <v>0.53560185185185183</v>
      </c>
      <c r="AG1909" s="288">
        <v>1908</v>
      </c>
      <c r="AH1909" s="94"/>
      <c r="AI1909" s="94"/>
    </row>
    <row r="1910" spans="1:35" s="43" customFormat="1" ht="12" customHeight="1" x14ac:dyDescent="0.25">
      <c r="A1910" s="408"/>
      <c r="B1910" s="408" t="s">
        <v>2650</v>
      </c>
      <c r="C1910" s="408">
        <v>7</v>
      </c>
      <c r="D1910" s="176" t="s">
        <v>4170</v>
      </c>
      <c r="E1910" s="313" t="s">
        <v>4171</v>
      </c>
      <c r="F1910" s="175">
        <v>33457</v>
      </c>
      <c r="G1910" s="175"/>
      <c r="H1910" s="176">
        <v>1</v>
      </c>
      <c r="I1910" s="176">
        <v>1</v>
      </c>
      <c r="J1910" s="900" t="s">
        <v>2755</v>
      </c>
      <c r="K1910" s="164" t="s">
        <v>7375</v>
      </c>
      <c r="L1910" s="164" t="s">
        <v>1772</v>
      </c>
      <c r="M1910" s="164"/>
      <c r="N1910" s="164" t="s">
        <v>561</v>
      </c>
      <c r="O1910" s="164"/>
      <c r="P1910" s="173" t="s">
        <v>461</v>
      </c>
      <c r="Q1910" s="164" t="s">
        <v>4062</v>
      </c>
      <c r="R1910" s="177" t="s">
        <v>4599</v>
      </c>
      <c r="S1910" s="354"/>
      <c r="T1910" s="173"/>
      <c r="U1910" s="173"/>
      <c r="V1910" s="173"/>
      <c r="W1910" s="313" t="s">
        <v>4171</v>
      </c>
      <c r="X1910" s="645" t="s">
        <v>12335</v>
      </c>
      <c r="Y1910" s="354"/>
      <c r="Z1910" s="176"/>
      <c r="AA1910" s="176"/>
      <c r="AB1910" s="32">
        <f t="shared" ca="1" si="38"/>
        <v>0.16157441076244583</v>
      </c>
      <c r="AC1910" s="812"/>
      <c r="AD1910" s="763"/>
      <c r="AE1910" s="807"/>
      <c r="AF1910" s="921">
        <f>IF(X1910=X1909,AF1909,0)+IF(ISNUMBER(I1910),IF(I1910&lt;1,I1910,I1910*VLOOKUP(J1910,Summary!$H$2:$I$9,2)),VLOOKUP(J1910,Summary!$J$2:$K$9,2)*IF(ISNUMBER(H1910),H1910,1))</f>
        <v>0.53629629629629627</v>
      </c>
      <c r="AG1910" s="289">
        <v>1909</v>
      </c>
      <c r="AH1910" s="94"/>
      <c r="AI1910" s="94"/>
    </row>
    <row r="1911" spans="1:35" s="3" customFormat="1" ht="12" customHeight="1" x14ac:dyDescent="0.25">
      <c r="A1911" s="521" t="s">
        <v>4548</v>
      </c>
      <c r="B1911" s="521">
        <v>6</v>
      </c>
      <c r="C1911" s="521">
        <v>137</v>
      </c>
      <c r="D1911" s="424" t="s">
        <v>1972</v>
      </c>
      <c r="E1911" s="319" t="s">
        <v>1973</v>
      </c>
      <c r="F1911" s="198">
        <v>31052</v>
      </c>
      <c r="G1911" s="198">
        <v>31059</v>
      </c>
      <c r="H1911" s="199">
        <v>2</v>
      </c>
      <c r="I1911" s="791">
        <f>TIME(0,44,17)+TIME(0,44,29)</f>
        <v>6.1643518518518514E-2</v>
      </c>
      <c r="J1911" s="904" t="s">
        <v>1588</v>
      </c>
      <c r="K1911" s="200" t="s">
        <v>194</v>
      </c>
      <c r="L1911" s="200" t="s">
        <v>5573</v>
      </c>
      <c r="M1911" s="200"/>
      <c r="N1911" s="200" t="s">
        <v>2366</v>
      </c>
      <c r="O1911" s="200" t="s">
        <v>6962</v>
      </c>
      <c r="P1911" s="197" t="s">
        <v>461</v>
      </c>
      <c r="Q1911" s="200" t="s">
        <v>3946</v>
      </c>
      <c r="R1911" s="201" t="s">
        <v>5280</v>
      </c>
      <c r="S1911" s="390" t="s">
        <v>2319</v>
      </c>
      <c r="T1911" s="197"/>
      <c r="U1911" s="197"/>
      <c r="V1911" s="197"/>
      <c r="W1911" s="318" t="s">
        <v>8746</v>
      </c>
      <c r="X1911" s="650" t="s">
        <v>12335</v>
      </c>
      <c r="Y1911" s="358" t="s">
        <v>6141</v>
      </c>
      <c r="Z1911" s="253">
        <v>242</v>
      </c>
      <c r="AA1911" s="253">
        <v>3.5</v>
      </c>
      <c r="AB1911" s="35">
        <f t="shared" ca="1" si="38"/>
        <v>0.152935846602411</v>
      </c>
      <c r="AC1911" s="820"/>
      <c r="AD1911" s="821" t="s">
        <v>16207</v>
      </c>
      <c r="AE1911" s="944" t="s">
        <v>16075</v>
      </c>
      <c r="AF1911" s="925">
        <f>IF(X1911=X1910,AF1910,0)+IF(ISNUMBER(I1911),IF(I1911&lt;1,I1911,I1911*VLOOKUP(J1911,Summary!$H$2:$I$9,2)),VLOOKUP(J1911,Summary!$J$2:$K$9,2)*IF(ISNUMBER(H1911),H1911,1))</f>
        <v>0.59793981481481473</v>
      </c>
      <c r="AG1911" s="293">
        <v>1910</v>
      </c>
      <c r="AH1911" s="94"/>
      <c r="AI1911" s="94"/>
    </row>
    <row r="1912" spans="1:35" s="3" customFormat="1" ht="12" customHeight="1" x14ac:dyDescent="0.25">
      <c r="A1912" s="522">
        <v>22</v>
      </c>
      <c r="B1912" s="522">
        <v>6</v>
      </c>
      <c r="C1912" s="522">
        <v>12.08</v>
      </c>
      <c r="D1912" s="434" t="s">
        <v>1573</v>
      </c>
      <c r="E1912" s="324" t="s">
        <v>5755</v>
      </c>
      <c r="F1912" s="174">
        <v>38261</v>
      </c>
      <c r="G1912" s="174"/>
      <c r="H1912" s="176">
        <v>1</v>
      </c>
      <c r="I1912" s="176">
        <v>20</v>
      </c>
      <c r="J1912" s="900" t="s">
        <v>2755</v>
      </c>
      <c r="K1912" s="164" t="s">
        <v>4425</v>
      </c>
      <c r="L1912" s="164" t="s">
        <v>461</v>
      </c>
      <c r="M1912" s="164"/>
      <c r="N1912" s="164" t="s">
        <v>7381</v>
      </c>
      <c r="O1912" s="164"/>
      <c r="P1912" s="173" t="s">
        <v>2756</v>
      </c>
      <c r="Q1912" s="164" t="s">
        <v>3947</v>
      </c>
      <c r="R1912" s="179" t="s">
        <v>2723</v>
      </c>
      <c r="S1912" s="354" t="s">
        <v>2319</v>
      </c>
      <c r="T1912" s="173"/>
      <c r="U1912" s="173"/>
      <c r="V1912" s="173"/>
      <c r="W1912" s="324" t="s">
        <v>5755</v>
      </c>
      <c r="X1912" s="656" t="s">
        <v>12335</v>
      </c>
      <c r="Y1912" s="363"/>
      <c r="Z1912" s="364"/>
      <c r="AA1912" s="364"/>
      <c r="AB1912" s="32">
        <f t="shared" ca="1" si="38"/>
        <v>0.85902686153525065</v>
      </c>
      <c r="AC1912" s="812"/>
      <c r="AD1912" s="763"/>
      <c r="AE1912" s="951"/>
      <c r="AF1912" s="921">
        <f>IF(X1912=X1911,AF1911,0)+IF(ISNUMBER(I1912),IF(I1912&lt;1,I1912,I1912*VLOOKUP(J1912,Summary!$H$2:$I$9,2)),VLOOKUP(J1912,Summary!$J$2:$K$9,2)*IF(ISNUMBER(H1912),H1912,1))</f>
        <v>0.61182870370370357</v>
      </c>
      <c r="AG1912" s="288">
        <v>1911</v>
      </c>
      <c r="AH1912" s="94"/>
      <c r="AI1912" s="94"/>
    </row>
    <row r="1913" spans="1:35" s="3" customFormat="1" ht="12" customHeight="1" x14ac:dyDescent="0.25">
      <c r="A1913" s="522">
        <v>22</v>
      </c>
      <c r="B1913" s="522">
        <v>6</v>
      </c>
      <c r="C1913" s="522">
        <v>8.08</v>
      </c>
      <c r="D1913" s="434" t="s">
        <v>1580</v>
      </c>
      <c r="E1913" s="324" t="s">
        <v>5757</v>
      </c>
      <c r="F1913" s="174">
        <v>37956</v>
      </c>
      <c r="G1913" s="174"/>
      <c r="H1913" s="176">
        <v>1</v>
      </c>
      <c r="I1913" s="176">
        <v>19</v>
      </c>
      <c r="J1913" s="900" t="s">
        <v>2755</v>
      </c>
      <c r="K1913" s="164" t="s">
        <v>1579</v>
      </c>
      <c r="L1913" s="164" t="s">
        <v>461</v>
      </c>
      <c r="M1913" s="164"/>
      <c r="N1913" s="164" t="s">
        <v>4996</v>
      </c>
      <c r="O1913" s="164"/>
      <c r="P1913" s="173" t="s">
        <v>2555</v>
      </c>
      <c r="Q1913" s="164" t="s">
        <v>3947</v>
      </c>
      <c r="R1913" s="179" t="s">
        <v>2723</v>
      </c>
      <c r="S1913" s="354" t="s">
        <v>2319</v>
      </c>
      <c r="T1913" s="173"/>
      <c r="U1913" s="173"/>
      <c r="V1913" s="173"/>
      <c r="W1913" s="324" t="s">
        <v>5757</v>
      </c>
      <c r="X1913" s="656" t="s">
        <v>12335</v>
      </c>
      <c r="Y1913" s="363"/>
      <c r="Z1913" s="364"/>
      <c r="AA1913" s="364"/>
      <c r="AB1913" s="32">
        <f t="shared" ca="1" si="38"/>
        <v>0.15956782249230894</v>
      </c>
      <c r="AC1913" s="812"/>
      <c r="AD1913" s="763"/>
      <c r="AE1913" s="951"/>
      <c r="AF1913" s="921">
        <f>IF(X1913=X1912,AF1912,0)+IF(ISNUMBER(I1913),IF(I1913&lt;1,I1913,I1913*VLOOKUP(J1913,Summary!$H$2:$I$9,2)),VLOOKUP(J1913,Summary!$J$2:$K$9,2)*IF(ISNUMBER(H1913),H1913,1))</f>
        <v>0.62502314814814797</v>
      </c>
      <c r="AG1913" s="288">
        <v>1912</v>
      </c>
      <c r="AH1913" s="94"/>
      <c r="AI1913" s="94"/>
    </row>
    <row r="1914" spans="1:35" s="43" customFormat="1" ht="12" customHeight="1" x14ac:dyDescent="0.25">
      <c r="A1914" s="521" t="s">
        <v>4548</v>
      </c>
      <c r="B1914" s="521">
        <v>6</v>
      </c>
      <c r="C1914" s="521">
        <v>138</v>
      </c>
      <c r="D1914" s="424" t="s">
        <v>195</v>
      </c>
      <c r="E1914" s="319" t="s">
        <v>196</v>
      </c>
      <c r="F1914" s="198">
        <v>31066</v>
      </c>
      <c r="G1914" s="198">
        <v>31073</v>
      </c>
      <c r="H1914" s="199">
        <v>2</v>
      </c>
      <c r="I1914" s="791">
        <f>TIME(0,44,42)+TIME(0,44,43)</f>
        <v>6.2094907407407404E-2</v>
      </c>
      <c r="J1914" s="904" t="s">
        <v>1588</v>
      </c>
      <c r="K1914" s="200" t="s">
        <v>197</v>
      </c>
      <c r="L1914" s="200" t="s">
        <v>6274</v>
      </c>
      <c r="M1914" s="200"/>
      <c r="N1914" s="200" t="s">
        <v>2366</v>
      </c>
      <c r="O1914" s="200" t="s">
        <v>6962</v>
      </c>
      <c r="P1914" s="197" t="s">
        <v>461</v>
      </c>
      <c r="Q1914" s="200" t="s">
        <v>3946</v>
      </c>
      <c r="R1914" s="201" t="s">
        <v>5280</v>
      </c>
      <c r="S1914" s="390" t="s">
        <v>2319</v>
      </c>
      <c r="T1914" s="197"/>
      <c r="U1914" s="197"/>
      <c r="V1914" s="197"/>
      <c r="W1914" s="318" t="s">
        <v>10190</v>
      </c>
      <c r="X1914" s="650" t="s">
        <v>12335</v>
      </c>
      <c r="Y1914" s="358" t="s">
        <v>6141</v>
      </c>
      <c r="Z1914" s="253">
        <v>28</v>
      </c>
      <c r="AA1914" s="253">
        <v>9</v>
      </c>
      <c r="AB1914" s="35">
        <f t="shared" ca="1" si="38"/>
        <v>0.97216223333161911</v>
      </c>
      <c r="AC1914" s="820"/>
      <c r="AD1914" s="821" t="s">
        <v>16162</v>
      </c>
      <c r="AE1914" s="944" t="s">
        <v>12543</v>
      </c>
      <c r="AF1914" s="925">
        <f>IF(X1914=X1913,AF1913,0)+IF(ISNUMBER(I1914),IF(I1914&lt;1,I1914,I1914*VLOOKUP(J1914,Summary!$H$2:$I$9,2)),VLOOKUP(J1914,Summary!$J$2:$K$9,2)*IF(ISNUMBER(H1914),H1914,1))</f>
        <v>0.68711805555555538</v>
      </c>
      <c r="AG1914" s="293">
        <v>1913</v>
      </c>
      <c r="AH1914" s="94"/>
      <c r="AI1914" s="94"/>
    </row>
    <row r="1915" spans="1:35" s="43" customFormat="1" ht="12" customHeight="1" x14ac:dyDescent="0.25">
      <c r="A1915" s="522">
        <v>22</v>
      </c>
      <c r="B1915" s="522">
        <v>6</v>
      </c>
      <c r="C1915" s="522">
        <v>15.06</v>
      </c>
      <c r="D1915" s="434" t="s">
        <v>1575</v>
      </c>
      <c r="E1915" s="324" t="s">
        <v>1574</v>
      </c>
      <c r="F1915" s="174">
        <v>38412</v>
      </c>
      <c r="G1915" s="174"/>
      <c r="H1915" s="176">
        <v>1</v>
      </c>
      <c r="I1915" s="176">
        <v>24</v>
      </c>
      <c r="J1915" s="900" t="s">
        <v>2755</v>
      </c>
      <c r="K1915" s="164" t="s">
        <v>6997</v>
      </c>
      <c r="L1915" s="164" t="s">
        <v>461</v>
      </c>
      <c r="M1915" s="164"/>
      <c r="N1915" s="164" t="s">
        <v>6997</v>
      </c>
      <c r="O1915" s="164"/>
      <c r="P1915" s="173" t="s">
        <v>6998</v>
      </c>
      <c r="Q1915" s="164" t="s">
        <v>3947</v>
      </c>
      <c r="R1915" s="179" t="s">
        <v>2723</v>
      </c>
      <c r="S1915" s="354" t="s">
        <v>2319</v>
      </c>
      <c r="T1915" s="173"/>
      <c r="U1915" s="173"/>
      <c r="V1915" s="173"/>
      <c r="W1915" s="324" t="s">
        <v>1574</v>
      </c>
      <c r="X1915" s="656" t="s">
        <v>12335</v>
      </c>
      <c r="Y1915" s="363"/>
      <c r="Z1915" s="364"/>
      <c r="AA1915" s="364"/>
      <c r="AB1915" s="32">
        <f t="shared" ca="1" si="38"/>
        <v>0.14306992510226235</v>
      </c>
      <c r="AC1915" s="812"/>
      <c r="AD1915" s="763"/>
      <c r="AE1915" s="951"/>
      <c r="AF1915" s="921">
        <f>IF(X1915=X1914,AF1914,0)+IF(ISNUMBER(I1915),IF(I1915&lt;1,I1915,I1915*VLOOKUP(J1915,Summary!$H$2:$I$9,2)),VLOOKUP(J1915,Summary!$J$2:$K$9,2)*IF(ISNUMBER(H1915),H1915,1))</f>
        <v>0.7037847222222221</v>
      </c>
      <c r="AG1915" s="288">
        <v>1914</v>
      </c>
      <c r="AH1915" s="94"/>
      <c r="AI1915" s="94"/>
    </row>
    <row r="1916" spans="1:35" s="44" customFormat="1" ht="12" customHeight="1" x14ac:dyDescent="0.25">
      <c r="A1916" s="523" t="s">
        <v>4548</v>
      </c>
      <c r="B1916" s="523">
        <v>6</v>
      </c>
      <c r="C1916" s="523">
        <v>31</v>
      </c>
      <c r="D1916" s="417" t="s">
        <v>198</v>
      </c>
      <c r="E1916" s="316" t="s">
        <v>199</v>
      </c>
      <c r="F1916" s="187">
        <v>36647</v>
      </c>
      <c r="G1916" s="188"/>
      <c r="H1916" s="188" t="str">
        <f>IF(J1916="Book","n/a","")</f>
        <v>n/a</v>
      </c>
      <c r="I1916" s="188">
        <v>247</v>
      </c>
      <c r="J1916" s="902" t="s">
        <v>6868</v>
      </c>
      <c r="K1916" s="162" t="s">
        <v>543</v>
      </c>
      <c r="L1916" s="162" t="str">
        <f>IF(J1916="Book","n/a","")</f>
        <v>n/a</v>
      </c>
      <c r="M1916" s="162"/>
      <c r="N1916" s="162"/>
      <c r="O1916" s="162"/>
      <c r="P1916" s="178" t="s">
        <v>8956</v>
      </c>
      <c r="Q1916" s="162" t="s">
        <v>3953</v>
      </c>
      <c r="R1916" s="189" t="s">
        <v>2717</v>
      </c>
      <c r="S1916" s="366" t="s">
        <v>2319</v>
      </c>
      <c r="T1916" s="178"/>
      <c r="U1916" s="178"/>
      <c r="V1916" s="178"/>
      <c r="W1916" s="316" t="s">
        <v>199</v>
      </c>
      <c r="X1916" s="648" t="s">
        <v>12335</v>
      </c>
      <c r="Y1916" s="356" t="s">
        <v>6868</v>
      </c>
      <c r="Z1916" s="272"/>
      <c r="AA1916" s="272"/>
      <c r="AB1916" s="34">
        <f t="shared" ca="1" si="38"/>
        <v>0.67838977741594397</v>
      </c>
      <c r="AC1916" s="814"/>
      <c r="AD1916" s="815" t="s">
        <v>15834</v>
      </c>
      <c r="AE1916" s="942" t="s">
        <v>12543</v>
      </c>
      <c r="AF1916" s="923">
        <f>IF(X1916=X1915,AF1915,0)+IF(ISNUMBER(I1916),IF(I1916&lt;1,I1916,I1916*VLOOKUP(J1916,Summary!$H$2:$I$9,2)),VLOOKUP(J1916,Summary!$J$2:$K$9,2)*IF(ISNUMBER(H1916),H1916,1))</f>
        <v>0.87531249999999994</v>
      </c>
      <c r="AG1916" s="291">
        <v>1915</v>
      </c>
      <c r="AH1916" s="94"/>
      <c r="AI1916" s="94"/>
    </row>
    <row r="1917" spans="1:35" s="43" customFormat="1" ht="12" customHeight="1" x14ac:dyDescent="0.25">
      <c r="A1917" s="524">
        <v>22</v>
      </c>
      <c r="B1917" s="524">
        <v>6</v>
      </c>
      <c r="C1917" s="524">
        <v>2.04</v>
      </c>
      <c r="D1917" s="463" t="s">
        <v>1571</v>
      </c>
      <c r="E1917" s="330" t="s">
        <v>5756</v>
      </c>
      <c r="F1917" s="191">
        <v>36220</v>
      </c>
      <c r="G1917" s="192"/>
      <c r="H1917" s="192">
        <v>1</v>
      </c>
      <c r="I1917" s="192">
        <v>34</v>
      </c>
      <c r="J1917" s="903" t="s">
        <v>2755</v>
      </c>
      <c r="K1917" s="159" t="s">
        <v>7799</v>
      </c>
      <c r="L1917" s="159" t="s">
        <v>461</v>
      </c>
      <c r="M1917" s="159" t="s">
        <v>12101</v>
      </c>
      <c r="N1917" s="159" t="s">
        <v>6237</v>
      </c>
      <c r="O1917" s="159"/>
      <c r="P1917" s="190" t="s">
        <v>6561</v>
      </c>
      <c r="Q1917" s="159" t="s">
        <v>3953</v>
      </c>
      <c r="R1917" s="221" t="s">
        <v>2723</v>
      </c>
      <c r="S1917" s="357" t="s">
        <v>2319</v>
      </c>
      <c r="T1917" s="190"/>
      <c r="U1917" s="190"/>
      <c r="V1917" s="190"/>
      <c r="W1917" s="330" t="s">
        <v>5756</v>
      </c>
      <c r="X1917" s="662" t="s">
        <v>12335</v>
      </c>
      <c r="Y1917" s="354" t="s">
        <v>6868</v>
      </c>
      <c r="Z1917" s="176">
        <v>999</v>
      </c>
      <c r="AA1917" s="367"/>
      <c r="AB1917" s="37">
        <f t="shared" ca="1" si="38"/>
        <v>0.69965781594600562</v>
      </c>
      <c r="AC1917" s="816"/>
      <c r="AD1917" s="817"/>
      <c r="AE1917" s="955"/>
      <c r="AF1917" s="924">
        <f>IF(X1917=X1916,AF1916,0)+IF(ISNUMBER(I1917),IF(I1917&lt;1,I1917,I1917*VLOOKUP(J1917,Summary!$H$2:$I$9,2)),VLOOKUP(J1917,Summary!$J$2:$K$9,2)*IF(ISNUMBER(H1917),H1917,1))</f>
        <v>0.89892361111111108</v>
      </c>
      <c r="AG1917" s="298">
        <v>1916</v>
      </c>
      <c r="AH1917" s="94"/>
      <c r="AI1917" s="94"/>
    </row>
    <row r="1918" spans="1:35" s="1" customFormat="1" ht="12" customHeight="1" x14ac:dyDescent="0.25">
      <c r="A1918" s="523" t="s">
        <v>4548</v>
      </c>
      <c r="B1918" s="523">
        <v>6</v>
      </c>
      <c r="C1918" s="523">
        <v>67</v>
      </c>
      <c r="D1918" s="417" t="s">
        <v>200</v>
      </c>
      <c r="E1918" s="316" t="s">
        <v>7177</v>
      </c>
      <c r="F1918" s="187">
        <v>38169</v>
      </c>
      <c r="G1918" s="188"/>
      <c r="H1918" s="188" t="str">
        <f>IF(J1918="Book","n/a","")</f>
        <v>n/a</v>
      </c>
      <c r="I1918" s="188">
        <v>277</v>
      </c>
      <c r="J1918" s="902" t="s">
        <v>6868</v>
      </c>
      <c r="K1918" s="162" t="s">
        <v>4031</v>
      </c>
      <c r="L1918" s="162" t="str">
        <f>IF(J1918="Book","n/a","")</f>
        <v>n/a</v>
      </c>
      <c r="M1918" s="162"/>
      <c r="N1918" s="162"/>
      <c r="O1918" s="162"/>
      <c r="P1918" s="178" t="s">
        <v>8990</v>
      </c>
      <c r="Q1918" s="162" t="s">
        <v>3953</v>
      </c>
      <c r="R1918" s="189" t="s">
        <v>2717</v>
      </c>
      <c r="S1918" s="366" t="s">
        <v>2319</v>
      </c>
      <c r="T1918" s="178"/>
      <c r="U1918" s="178"/>
      <c r="V1918" s="178"/>
      <c r="W1918" s="316" t="s">
        <v>7177</v>
      </c>
      <c r="X1918" s="648" t="s">
        <v>12335</v>
      </c>
      <c r="Y1918" s="356"/>
      <c r="Z1918" s="272"/>
      <c r="AA1918" s="272"/>
      <c r="AB1918" s="34">
        <f t="shared" ca="1" si="38"/>
        <v>0.43490671737153364</v>
      </c>
      <c r="AC1918" s="814"/>
      <c r="AD1918" s="815" t="s">
        <v>16478</v>
      </c>
      <c r="AE1918" s="942" t="s">
        <v>12543</v>
      </c>
      <c r="AF1918" s="923">
        <f>IF(X1918=X1917,AF1917,0)+IF(ISNUMBER(I1918),IF(I1918&lt;1,I1918,I1918*VLOOKUP(J1918,Summary!$H$2:$I$9,2)),VLOOKUP(J1918,Summary!$J$2:$K$9,2)*IF(ISNUMBER(H1918),H1918,1))</f>
        <v>1.0912847222222222</v>
      </c>
      <c r="AG1918" s="291">
        <v>1917</v>
      </c>
      <c r="AH1918" s="94"/>
      <c r="AI1918" s="94"/>
    </row>
    <row r="1919" spans="1:35" s="29" customFormat="1" ht="12" customHeight="1" x14ac:dyDescent="0.25">
      <c r="A1919" s="523" t="s">
        <v>4548</v>
      </c>
      <c r="B1919" s="523">
        <v>6</v>
      </c>
      <c r="C1919" s="523">
        <v>30</v>
      </c>
      <c r="D1919" s="417" t="s">
        <v>7178</v>
      </c>
      <c r="E1919" s="316" t="s">
        <v>7179</v>
      </c>
      <c r="F1919" s="187">
        <v>35431</v>
      </c>
      <c r="G1919" s="188"/>
      <c r="H1919" s="188">
        <v>3</v>
      </c>
      <c r="I1919" s="188">
        <v>245</v>
      </c>
      <c r="J1919" s="902" t="s">
        <v>6868</v>
      </c>
      <c r="K1919" s="162" t="s">
        <v>7799</v>
      </c>
      <c r="L1919" s="162" t="str">
        <f>IF(J1919="Book","n/a","")</f>
        <v>n/a</v>
      </c>
      <c r="M1919" s="162"/>
      <c r="N1919" s="162"/>
      <c r="O1919" s="162"/>
      <c r="P1919" s="178" t="s">
        <v>8614</v>
      </c>
      <c r="Q1919" s="162" t="s">
        <v>601</v>
      </c>
      <c r="R1919" s="189" t="s">
        <v>2715</v>
      </c>
      <c r="S1919" s="366" t="s">
        <v>2319</v>
      </c>
      <c r="T1919" s="178"/>
      <c r="U1919" s="178"/>
      <c r="V1919" s="178"/>
      <c r="W1919" s="316" t="s">
        <v>11333</v>
      </c>
      <c r="X1919" s="648" t="s">
        <v>12335</v>
      </c>
      <c r="Y1919" s="356"/>
      <c r="Z1919" s="272">
        <v>180</v>
      </c>
      <c r="AA1919" s="272">
        <v>3.5</v>
      </c>
      <c r="AB1919" s="34">
        <f t="shared" ca="1" si="38"/>
        <v>0.32995159091713677</v>
      </c>
      <c r="AC1919" s="814"/>
      <c r="AD1919" s="815" t="s">
        <v>16351</v>
      </c>
      <c r="AE1919" s="942"/>
      <c r="AF1919" s="923">
        <f>IF(X1919=X1918,AF1918,0)+IF(ISNUMBER(I1919),IF(I1919&lt;1,I1919,I1919*VLOOKUP(J1919,Summary!$H$2:$I$9,2)),VLOOKUP(J1919,Summary!$J$2:$K$9,2)*IF(ISNUMBER(H1919),H1919,1))</f>
        <v>1.261423611111111</v>
      </c>
      <c r="AG1919" s="291">
        <v>1918</v>
      </c>
      <c r="AH1919" s="94"/>
      <c r="AI1919" s="94"/>
    </row>
    <row r="1920" spans="1:35" s="10" customFormat="1" ht="12" customHeight="1" x14ac:dyDescent="0.25">
      <c r="A1920" s="522">
        <v>22</v>
      </c>
      <c r="B1920" s="522">
        <v>6</v>
      </c>
      <c r="C1920" s="522">
        <v>30.02</v>
      </c>
      <c r="D1920" s="176" t="s">
        <v>5359</v>
      </c>
      <c r="E1920" s="313" t="s">
        <v>5374</v>
      </c>
      <c r="F1920" s="174">
        <v>39783</v>
      </c>
      <c r="G1920" s="174"/>
      <c r="H1920" s="176" t="s">
        <v>461</v>
      </c>
      <c r="I1920" s="176">
        <v>16</v>
      </c>
      <c r="J1920" s="900" t="s">
        <v>2755</v>
      </c>
      <c r="K1920" s="164" t="s">
        <v>3193</v>
      </c>
      <c r="L1920" s="164" t="s">
        <v>461</v>
      </c>
      <c r="M1920" s="164"/>
      <c r="N1920" s="164" t="s">
        <v>4944</v>
      </c>
      <c r="O1920" s="164"/>
      <c r="P1920" s="173" t="s">
        <v>6702</v>
      </c>
      <c r="Q1920" s="164" t="s">
        <v>3947</v>
      </c>
      <c r="R1920" s="177" t="s">
        <v>2723</v>
      </c>
      <c r="S1920" s="354" t="s">
        <v>2319</v>
      </c>
      <c r="T1920" s="173"/>
      <c r="U1920" s="173"/>
      <c r="V1920" s="173"/>
      <c r="W1920" s="313" t="s">
        <v>5374</v>
      </c>
      <c r="X1920" s="645" t="s">
        <v>12335</v>
      </c>
      <c r="Y1920" s="354"/>
      <c r="Z1920" s="176"/>
      <c r="AA1920" s="176"/>
      <c r="AB1920" s="32">
        <f t="shared" ca="1" si="38"/>
        <v>0.12206264635520658</v>
      </c>
      <c r="AC1920" s="812"/>
      <c r="AD1920" s="763"/>
      <c r="AE1920" s="807"/>
      <c r="AF1920" s="921">
        <f>IF(X1920=X1919,AF1919,0)+IF(ISNUMBER(I1920),IF(I1920&lt;1,I1920,I1920*VLOOKUP(J1920,Summary!$H$2:$I$9,2)),VLOOKUP(J1920,Summary!$J$2:$K$9,2)*IF(ISNUMBER(H1920),H1920,1))</f>
        <v>1.2725347222222221</v>
      </c>
      <c r="AG1920" s="289">
        <v>1919</v>
      </c>
      <c r="AH1920" s="94"/>
      <c r="AI1920" s="94"/>
    </row>
    <row r="1921" spans="1:35" s="22" customFormat="1" ht="12" customHeight="1" x14ac:dyDescent="0.25">
      <c r="A1921" s="521" t="s">
        <v>15948</v>
      </c>
      <c r="B1921" s="521">
        <v>6</v>
      </c>
      <c r="C1921" s="521">
        <v>139</v>
      </c>
      <c r="D1921" s="424" t="s">
        <v>7180</v>
      </c>
      <c r="E1921" s="319" t="s">
        <v>7181</v>
      </c>
      <c r="F1921" s="198">
        <v>31080</v>
      </c>
      <c r="G1921" s="198">
        <v>31087</v>
      </c>
      <c r="H1921" s="199">
        <v>2</v>
      </c>
      <c r="I1921" s="791">
        <f>TIME(0,45, 1)+TIME(0,44,32)</f>
        <v>6.21875E-2</v>
      </c>
      <c r="J1921" s="904" t="s">
        <v>1588</v>
      </c>
      <c r="K1921" s="200" t="s">
        <v>4679</v>
      </c>
      <c r="L1921" s="200" t="s">
        <v>4680</v>
      </c>
      <c r="M1921" s="200"/>
      <c r="N1921" s="200" t="s">
        <v>2366</v>
      </c>
      <c r="O1921" s="200" t="s">
        <v>6962</v>
      </c>
      <c r="P1921" s="197" t="s">
        <v>461</v>
      </c>
      <c r="Q1921" s="200" t="s">
        <v>3946</v>
      </c>
      <c r="R1921" s="201" t="s">
        <v>5280</v>
      </c>
      <c r="S1921" s="390" t="s">
        <v>2319</v>
      </c>
      <c r="T1921" s="197"/>
      <c r="U1921" s="197"/>
      <c r="V1921" s="197"/>
      <c r="W1921" s="318" t="s">
        <v>8745</v>
      </c>
      <c r="X1921" s="650" t="s">
        <v>15947</v>
      </c>
      <c r="Y1921" s="358" t="s">
        <v>6141</v>
      </c>
      <c r="Z1921" s="253">
        <v>196</v>
      </c>
      <c r="AA1921" s="253">
        <v>5</v>
      </c>
      <c r="AB1921" s="35">
        <f t="shared" ca="1" si="38"/>
        <v>0.55395123141445179</v>
      </c>
      <c r="AC1921" s="820"/>
      <c r="AD1921" s="821" t="s">
        <v>16565</v>
      </c>
      <c r="AE1921" s="944" t="s">
        <v>12543</v>
      </c>
      <c r="AF1921" s="925">
        <f>IF(X1921=X1920,AF1920,0)+IF(ISNUMBER(I1921),IF(I1921&lt;1,I1921,I1921*VLOOKUP(J1921,Summary!$H$2:$I$9,2)),VLOOKUP(J1921,Summary!$J$2:$K$9,2)*IF(ISNUMBER(H1921),H1921,1))</f>
        <v>6.21875E-2</v>
      </c>
      <c r="AG1921" s="293">
        <v>1920</v>
      </c>
      <c r="AH1921" s="94"/>
      <c r="AI1921" s="94"/>
    </row>
    <row r="1922" spans="1:35" s="22" customFormat="1" ht="12" customHeight="1" x14ac:dyDescent="0.2">
      <c r="A1922" s="525" t="s">
        <v>15948</v>
      </c>
      <c r="B1922" s="525">
        <v>6</v>
      </c>
      <c r="C1922" s="525">
        <v>2.41</v>
      </c>
      <c r="D1922" s="428" t="s">
        <v>5720</v>
      </c>
      <c r="E1922" s="325" t="s">
        <v>5715</v>
      </c>
      <c r="F1922" s="183">
        <v>39753</v>
      </c>
      <c r="G1922" s="183"/>
      <c r="H1922" s="185">
        <v>1</v>
      </c>
      <c r="I1922" s="185">
        <v>7</v>
      </c>
      <c r="J1922" s="901" t="s">
        <v>1796</v>
      </c>
      <c r="K1922" s="163" t="s">
        <v>3303</v>
      </c>
      <c r="L1922" s="163" t="s">
        <v>5716</v>
      </c>
      <c r="M1922" s="158"/>
      <c r="N1922" s="158" t="s">
        <v>5717</v>
      </c>
      <c r="O1922" s="158"/>
      <c r="P1922" s="182" t="s">
        <v>461</v>
      </c>
      <c r="Q1922" s="158" t="s">
        <v>5719</v>
      </c>
      <c r="R1922" s="207" t="s">
        <v>5718</v>
      </c>
      <c r="S1922" s="355" t="s">
        <v>2319</v>
      </c>
      <c r="T1922" s="182"/>
      <c r="U1922" s="182"/>
      <c r="V1922" s="182"/>
      <c r="W1922" s="321"/>
      <c r="X1922" s="653" t="s">
        <v>15947</v>
      </c>
      <c r="Y1922" s="355" t="s">
        <v>6000</v>
      </c>
      <c r="Z1922" s="362">
        <v>999</v>
      </c>
      <c r="AA1922" s="362"/>
      <c r="AB1922" s="33">
        <f t="shared" ref="AB1922:AB1985" ca="1" si="41">RAND()</f>
        <v>0.47973975594756824</v>
      </c>
      <c r="AC1922" s="813"/>
      <c r="AD1922" s="211"/>
      <c r="AE1922" s="949"/>
      <c r="AF1922" s="922">
        <f>IF(X1922=X1921,AF1921,0)+IF(ISNUMBER(I1922),IF(I1922&lt;1,I1922,I1922*VLOOKUP(J1922,Summary!$H$2:$I$9,2)),VLOOKUP(J1922,Summary!$J$2:$K$9,2)*IF(ISNUMBER(H1922),H1922,1))</f>
        <v>6.4618055555555554E-2</v>
      </c>
      <c r="AG1922" s="295">
        <v>1921</v>
      </c>
      <c r="AH1922" s="94"/>
      <c r="AI1922" s="94"/>
    </row>
    <row r="1923" spans="1:35" s="3" customFormat="1" ht="12" customHeight="1" x14ac:dyDescent="0.25">
      <c r="A1923" s="522" t="s">
        <v>15948</v>
      </c>
      <c r="B1923" s="522">
        <v>6</v>
      </c>
      <c r="C1923" s="522">
        <v>31.17</v>
      </c>
      <c r="D1923" s="176" t="s">
        <v>623</v>
      </c>
      <c r="E1923" s="313" t="s">
        <v>633</v>
      </c>
      <c r="F1923" s="174">
        <v>39873</v>
      </c>
      <c r="G1923" s="174"/>
      <c r="H1923" s="176" t="s">
        <v>461</v>
      </c>
      <c r="I1923" s="176">
        <v>18</v>
      </c>
      <c r="J1923" s="900" t="s">
        <v>2755</v>
      </c>
      <c r="K1923" s="164" t="s">
        <v>5357</v>
      </c>
      <c r="L1923" s="164" t="s">
        <v>461</v>
      </c>
      <c r="M1923" s="164"/>
      <c r="N1923" s="164" t="s">
        <v>1805</v>
      </c>
      <c r="O1923" s="164"/>
      <c r="P1923" s="173" t="s">
        <v>6699</v>
      </c>
      <c r="Q1923" s="164" t="s">
        <v>3947</v>
      </c>
      <c r="R1923" s="177" t="s">
        <v>2723</v>
      </c>
      <c r="S1923" s="354" t="s">
        <v>2319</v>
      </c>
      <c r="T1923" s="173"/>
      <c r="U1923" s="173"/>
      <c r="V1923" s="173"/>
      <c r="W1923" s="313" t="s">
        <v>633</v>
      </c>
      <c r="X1923" s="645" t="s">
        <v>15947</v>
      </c>
      <c r="Y1923" s="354"/>
      <c r="Z1923" s="176"/>
      <c r="AA1923" s="176"/>
      <c r="AB1923" s="32">
        <f t="shared" ca="1" si="41"/>
        <v>0.65072863686748128</v>
      </c>
      <c r="AC1923" s="812"/>
      <c r="AD1923" s="763"/>
      <c r="AE1923" s="807"/>
      <c r="AF1923" s="921">
        <f>IF(X1923=X1922,AF1922,0)+IF(ISNUMBER(I1923),IF(I1923&lt;1,I1923,I1923*VLOOKUP(J1923,Summary!$H$2:$I$9,2)),VLOOKUP(J1923,Summary!$J$2:$K$9,2)*IF(ISNUMBER(H1923),H1923,1))</f>
        <v>7.7118055555555551E-2</v>
      </c>
      <c r="AG1923" s="289">
        <v>1922</v>
      </c>
      <c r="AH1923" s="94"/>
      <c r="AI1923" s="94"/>
    </row>
    <row r="1924" spans="1:35" s="2" customFormat="1" ht="12" customHeight="1" x14ac:dyDescent="0.25">
      <c r="A1924" s="523" t="s">
        <v>15948</v>
      </c>
      <c r="B1924" s="523">
        <v>6</v>
      </c>
      <c r="C1924" s="523">
        <v>21</v>
      </c>
      <c r="D1924" s="417" t="s">
        <v>4681</v>
      </c>
      <c r="E1924" s="316" t="s">
        <v>4682</v>
      </c>
      <c r="F1924" s="195">
        <v>36276</v>
      </c>
      <c r="G1924" s="188"/>
      <c r="H1924" s="188" t="str">
        <f>IF(J1924="Book","n/a","")</f>
        <v>n/a</v>
      </c>
      <c r="I1924" s="188">
        <v>251</v>
      </c>
      <c r="J1924" s="902" t="s">
        <v>6868</v>
      </c>
      <c r="K1924" s="162" t="s">
        <v>1088</v>
      </c>
      <c r="L1924" s="162" t="str">
        <f>IF(J1924="Book","n/a","")</f>
        <v>n/a</v>
      </c>
      <c r="M1924" s="162"/>
      <c r="N1924" s="162"/>
      <c r="O1924" s="162"/>
      <c r="P1924" s="178" t="s">
        <v>8946</v>
      </c>
      <c r="Q1924" s="162" t="s">
        <v>3953</v>
      </c>
      <c r="R1924" s="189" t="s">
        <v>2717</v>
      </c>
      <c r="S1924" s="366" t="s">
        <v>2319</v>
      </c>
      <c r="T1924" s="178"/>
      <c r="U1924" s="178"/>
      <c r="V1924" s="178"/>
      <c r="W1924" s="316" t="s">
        <v>4682</v>
      </c>
      <c r="X1924" s="648" t="s">
        <v>15947</v>
      </c>
      <c r="Y1924" s="356" t="s">
        <v>6868</v>
      </c>
      <c r="Z1924" s="272"/>
      <c r="AA1924" s="272"/>
      <c r="AB1924" s="34">
        <f t="shared" ca="1" si="41"/>
        <v>0.1619603196190138</v>
      </c>
      <c r="AC1924" s="814"/>
      <c r="AD1924" s="815" t="s">
        <v>16713</v>
      </c>
      <c r="AE1924" s="942"/>
      <c r="AF1924" s="923">
        <f>IF(X1924=X1923,AF1923,0)+IF(ISNUMBER(I1924),IF(I1924&lt;1,I1924,I1924*VLOOKUP(J1924,Summary!$H$2:$I$9,2)),VLOOKUP(J1924,Summary!$J$2:$K$9,2)*IF(ISNUMBER(H1924),H1924,1))</f>
        <v>0.25142361111111111</v>
      </c>
      <c r="AG1924" s="291">
        <v>1923</v>
      </c>
      <c r="AH1924" s="94"/>
      <c r="AI1924" s="94"/>
    </row>
    <row r="1925" spans="1:35" s="43" customFormat="1" ht="12" customHeight="1" x14ac:dyDescent="0.25">
      <c r="A1925" s="522" t="s">
        <v>15948</v>
      </c>
      <c r="B1925" s="522">
        <v>6</v>
      </c>
      <c r="C1925" s="522">
        <v>4.12</v>
      </c>
      <c r="D1925" s="434" t="s">
        <v>6674</v>
      </c>
      <c r="E1925" s="324" t="s">
        <v>6673</v>
      </c>
      <c r="F1925" s="174">
        <v>37591</v>
      </c>
      <c r="G1925" s="174"/>
      <c r="H1925" s="176">
        <v>1</v>
      </c>
      <c r="I1925" s="176">
        <v>13</v>
      </c>
      <c r="J1925" s="900" t="s">
        <v>2755</v>
      </c>
      <c r="K1925" s="164" t="s">
        <v>6342</v>
      </c>
      <c r="L1925" s="164" t="s">
        <v>461</v>
      </c>
      <c r="M1925" s="164"/>
      <c r="N1925" s="164" t="s">
        <v>4552</v>
      </c>
      <c r="O1925" s="164"/>
      <c r="P1925" s="173" t="s">
        <v>6556</v>
      </c>
      <c r="Q1925" s="164" t="s">
        <v>3947</v>
      </c>
      <c r="R1925" s="179" t="s">
        <v>2723</v>
      </c>
      <c r="S1925" s="354" t="s">
        <v>2319</v>
      </c>
      <c r="T1925" s="173"/>
      <c r="U1925" s="173"/>
      <c r="V1925" s="173"/>
      <c r="W1925" s="324" t="s">
        <v>6673</v>
      </c>
      <c r="X1925" s="656" t="s">
        <v>15947</v>
      </c>
      <c r="Y1925" s="363"/>
      <c r="Z1925" s="364"/>
      <c r="AA1925" s="364"/>
      <c r="AB1925" s="32">
        <f t="shared" ca="1" si="41"/>
        <v>6.4853798684987973E-2</v>
      </c>
      <c r="AC1925" s="812"/>
      <c r="AD1925" s="763"/>
      <c r="AE1925" s="951"/>
      <c r="AF1925" s="921">
        <f>IF(X1925=X1924,AF1924,0)+IF(ISNUMBER(I1925),IF(I1925&lt;1,I1925,I1925*VLOOKUP(J1925,Summary!$H$2:$I$9,2)),VLOOKUP(J1925,Summary!$J$2:$K$9,2)*IF(ISNUMBER(H1925),H1925,1))</f>
        <v>0.26045138888888891</v>
      </c>
      <c r="AG1925" s="288">
        <v>1924</v>
      </c>
      <c r="AH1925" s="94"/>
      <c r="AI1925" s="94"/>
    </row>
    <row r="1926" spans="1:35" s="43" customFormat="1" ht="12" customHeight="1" x14ac:dyDescent="0.25">
      <c r="A1926" s="522" t="s">
        <v>15948</v>
      </c>
      <c r="B1926" s="522">
        <v>6</v>
      </c>
      <c r="C1926" s="522">
        <v>29.18</v>
      </c>
      <c r="D1926" s="176" t="s">
        <v>2779</v>
      </c>
      <c r="E1926" s="324" t="s">
        <v>5343</v>
      </c>
      <c r="F1926" s="174">
        <v>39692</v>
      </c>
      <c r="G1926" s="174"/>
      <c r="H1926" s="176" t="s">
        <v>461</v>
      </c>
      <c r="I1926" s="176">
        <v>8</v>
      </c>
      <c r="J1926" s="900" t="s">
        <v>2755</v>
      </c>
      <c r="K1926" s="164" t="s">
        <v>5344</v>
      </c>
      <c r="L1926" s="164" t="s">
        <v>461</v>
      </c>
      <c r="M1926" s="164"/>
      <c r="N1926" s="164" t="s">
        <v>5664</v>
      </c>
      <c r="O1926" s="164"/>
      <c r="P1926" s="173" t="s">
        <v>6707</v>
      </c>
      <c r="Q1926" s="164" t="s">
        <v>3947</v>
      </c>
      <c r="R1926" s="177" t="s">
        <v>2723</v>
      </c>
      <c r="S1926" s="354" t="s">
        <v>2319</v>
      </c>
      <c r="T1926" s="173"/>
      <c r="U1926" s="173"/>
      <c r="V1926" s="173"/>
      <c r="W1926" s="324" t="s">
        <v>5343</v>
      </c>
      <c r="X1926" s="656" t="s">
        <v>15947</v>
      </c>
      <c r="Y1926" s="354"/>
      <c r="Z1926" s="176"/>
      <c r="AA1926" s="176"/>
      <c r="AB1926" s="32">
        <f t="shared" ca="1" si="41"/>
        <v>0.65519753425195881</v>
      </c>
      <c r="AC1926" s="812"/>
      <c r="AD1926" s="763"/>
      <c r="AE1926" s="807"/>
      <c r="AF1926" s="921">
        <f>IF(X1926=X1925,AF1925,0)+IF(ISNUMBER(I1926),IF(I1926&lt;1,I1926,I1926*VLOOKUP(J1926,Summary!$H$2:$I$9,2)),VLOOKUP(J1926,Summary!$J$2:$K$9,2)*IF(ISNUMBER(H1926),H1926,1))</f>
        <v>0.26600694444444445</v>
      </c>
      <c r="AG1926" s="289">
        <v>1925</v>
      </c>
      <c r="AH1926" s="94"/>
      <c r="AI1926" s="94"/>
    </row>
    <row r="1927" spans="1:35" s="43" customFormat="1" ht="12" customHeight="1" x14ac:dyDescent="0.25">
      <c r="A1927" s="521" t="s">
        <v>15948</v>
      </c>
      <c r="B1927" s="521">
        <v>6</v>
      </c>
      <c r="C1927" s="521">
        <v>140</v>
      </c>
      <c r="D1927" s="424" t="s">
        <v>4683</v>
      </c>
      <c r="E1927" s="319" t="s">
        <v>4684</v>
      </c>
      <c r="F1927" s="198">
        <v>31094</v>
      </c>
      <c r="G1927" s="198">
        <v>31108</v>
      </c>
      <c r="H1927" s="199">
        <v>3</v>
      </c>
      <c r="I1927" s="791">
        <f>TIME(0,44,22)+TIME(0,44,49)+TIME(0,44,45)</f>
        <v>9.3009259259259264E-2</v>
      </c>
      <c r="J1927" s="904" t="s">
        <v>1588</v>
      </c>
      <c r="K1927" s="200" t="s">
        <v>1093</v>
      </c>
      <c r="L1927" s="200" t="s">
        <v>2618</v>
      </c>
      <c r="M1927" s="200"/>
      <c r="N1927" s="200" t="s">
        <v>2366</v>
      </c>
      <c r="O1927" s="200" t="s">
        <v>6962</v>
      </c>
      <c r="P1927" s="197" t="s">
        <v>461</v>
      </c>
      <c r="Q1927" s="200" t="s">
        <v>3946</v>
      </c>
      <c r="R1927" s="201" t="s">
        <v>5280</v>
      </c>
      <c r="S1927" s="390" t="s">
        <v>2319</v>
      </c>
      <c r="T1927" s="197"/>
      <c r="U1927" s="197"/>
      <c r="V1927" s="197"/>
      <c r="W1927" s="318" t="s">
        <v>8744</v>
      </c>
      <c r="X1927" s="650" t="s">
        <v>15947</v>
      </c>
      <c r="Y1927" s="358" t="s">
        <v>6141</v>
      </c>
      <c r="Z1927" s="253">
        <v>194</v>
      </c>
      <c r="AA1927" s="253">
        <v>5</v>
      </c>
      <c r="AB1927" s="35">
        <f t="shared" ca="1" si="41"/>
        <v>0.83326744328545177</v>
      </c>
      <c r="AC1927" s="820"/>
      <c r="AD1927" s="821" t="s">
        <v>16022</v>
      </c>
      <c r="AE1927" s="944" t="s">
        <v>12543</v>
      </c>
      <c r="AF1927" s="925">
        <f>IF(X1927=X1926,AF1926,0)+IF(ISNUMBER(I1927),IF(I1927&lt;1,I1927,I1927*VLOOKUP(J1927,Summary!$H$2:$I$9,2)),VLOOKUP(J1927,Summary!$J$2:$K$9,2)*IF(ISNUMBER(H1927),H1927,1))</f>
        <v>0.35901620370370368</v>
      </c>
      <c r="AG1927" s="293">
        <v>1926</v>
      </c>
      <c r="AH1927" s="94"/>
      <c r="AI1927" s="94"/>
    </row>
    <row r="1928" spans="1:35" s="43" customFormat="1" ht="12" customHeight="1" x14ac:dyDescent="0.25">
      <c r="A1928" s="522" t="s">
        <v>15948</v>
      </c>
      <c r="B1928" s="522">
        <v>6</v>
      </c>
      <c r="C1928" s="522"/>
      <c r="D1928" s="434" t="s">
        <v>5767</v>
      </c>
      <c r="E1928" s="324" t="s">
        <v>5768</v>
      </c>
      <c r="F1928" s="174">
        <v>30926</v>
      </c>
      <c r="G1928" s="176"/>
      <c r="H1928" s="176" t="s">
        <v>461</v>
      </c>
      <c r="I1928" s="176">
        <v>7</v>
      </c>
      <c r="J1928" s="900" t="s">
        <v>2755</v>
      </c>
      <c r="K1928" s="164" t="s">
        <v>5784</v>
      </c>
      <c r="L1928" s="164" t="s">
        <v>461</v>
      </c>
      <c r="M1928" s="157"/>
      <c r="N1928" s="157"/>
      <c r="O1928" s="157"/>
      <c r="P1928" s="173" t="s">
        <v>5775</v>
      </c>
      <c r="Q1928" s="157" t="s">
        <v>4705</v>
      </c>
      <c r="R1928" s="179" t="s">
        <v>4600</v>
      </c>
      <c r="S1928" s="354" t="s">
        <v>2319</v>
      </c>
      <c r="T1928" s="173"/>
      <c r="U1928" s="173"/>
      <c r="V1928" s="173"/>
      <c r="W1928" s="324" t="s">
        <v>5768</v>
      </c>
      <c r="X1928" s="656" t="s">
        <v>15947</v>
      </c>
      <c r="Y1928" s="363"/>
      <c r="Z1928" s="364"/>
      <c r="AA1928" s="364"/>
      <c r="AB1928" s="32">
        <f t="shared" ca="1" si="41"/>
        <v>9.0302000858838549E-2</v>
      </c>
      <c r="AC1928" s="812"/>
      <c r="AD1928" s="763"/>
      <c r="AE1928" s="951"/>
      <c r="AF1928" s="921">
        <f>IF(X1928=X1927,AF1927,0)+IF(ISNUMBER(I1928),IF(I1928&lt;1,I1928,I1928*VLOOKUP(J1928,Summary!$H$2:$I$9,2)),VLOOKUP(J1928,Summary!$J$2:$K$9,2)*IF(ISNUMBER(H1928),H1928,1))</f>
        <v>0.36387731481481478</v>
      </c>
      <c r="AG1928" s="288">
        <v>1927</v>
      </c>
      <c r="AH1928" s="94"/>
      <c r="AI1928" s="94"/>
    </row>
    <row r="1929" spans="1:35" s="1" customFormat="1" ht="12" customHeight="1" x14ac:dyDescent="0.25">
      <c r="A1929" s="522" t="s">
        <v>15948</v>
      </c>
      <c r="B1929" s="522">
        <v>6</v>
      </c>
      <c r="C1929" s="522"/>
      <c r="D1929" s="434" t="s">
        <v>5767</v>
      </c>
      <c r="E1929" s="324" t="s">
        <v>5769</v>
      </c>
      <c r="F1929" s="174">
        <v>30926</v>
      </c>
      <c r="G1929" s="176"/>
      <c r="H1929" s="176" t="s">
        <v>461</v>
      </c>
      <c r="I1929" s="176">
        <v>6</v>
      </c>
      <c r="J1929" s="900" t="s">
        <v>2755</v>
      </c>
      <c r="K1929" s="164" t="s">
        <v>5784</v>
      </c>
      <c r="L1929" s="164" t="s">
        <v>461</v>
      </c>
      <c r="M1929" s="157"/>
      <c r="N1929" s="157"/>
      <c r="O1929" s="157"/>
      <c r="P1929" s="173" t="s">
        <v>5775</v>
      </c>
      <c r="Q1929" s="157" t="s">
        <v>4705</v>
      </c>
      <c r="R1929" s="179" t="s">
        <v>4600</v>
      </c>
      <c r="S1929" s="354" t="s">
        <v>2319</v>
      </c>
      <c r="T1929" s="173"/>
      <c r="U1929" s="173"/>
      <c r="V1929" s="173"/>
      <c r="W1929" s="324" t="s">
        <v>5769</v>
      </c>
      <c r="X1929" s="656" t="s">
        <v>15947</v>
      </c>
      <c r="Y1929" s="363"/>
      <c r="Z1929" s="364"/>
      <c r="AA1929" s="364"/>
      <c r="AB1929" s="32">
        <f t="shared" ca="1" si="41"/>
        <v>0.62602483630058081</v>
      </c>
      <c r="AC1929" s="812"/>
      <c r="AD1929" s="763"/>
      <c r="AE1929" s="951"/>
      <c r="AF1929" s="921">
        <f>IF(X1929=X1928,AF1928,0)+IF(ISNUMBER(I1929),IF(I1929&lt;1,I1929,I1929*VLOOKUP(J1929,Summary!$H$2:$I$9,2)),VLOOKUP(J1929,Summary!$J$2:$K$9,2)*IF(ISNUMBER(H1929),H1929,1))</f>
        <v>0.36804398148148143</v>
      </c>
      <c r="AG1929" s="288">
        <v>1928</v>
      </c>
      <c r="AH1929" s="94"/>
      <c r="AI1929" s="94"/>
    </row>
    <row r="1930" spans="1:35" s="43" customFormat="1" ht="12" customHeight="1" x14ac:dyDescent="0.25">
      <c r="A1930" s="522" t="s">
        <v>15948</v>
      </c>
      <c r="B1930" s="522">
        <v>6</v>
      </c>
      <c r="C1930" s="522"/>
      <c r="D1930" s="434" t="s">
        <v>5767</v>
      </c>
      <c r="E1930" s="324" t="s">
        <v>5770</v>
      </c>
      <c r="F1930" s="174">
        <v>30926</v>
      </c>
      <c r="G1930" s="176"/>
      <c r="H1930" s="176" t="s">
        <v>461</v>
      </c>
      <c r="I1930" s="176">
        <v>5</v>
      </c>
      <c r="J1930" s="900" t="s">
        <v>2755</v>
      </c>
      <c r="K1930" s="164" t="s">
        <v>5784</v>
      </c>
      <c r="L1930" s="164" t="s">
        <v>461</v>
      </c>
      <c r="M1930" s="157"/>
      <c r="N1930" s="157"/>
      <c r="O1930" s="157"/>
      <c r="P1930" s="173" t="s">
        <v>5775</v>
      </c>
      <c r="Q1930" s="157" t="s">
        <v>4705</v>
      </c>
      <c r="R1930" s="179" t="s">
        <v>4600</v>
      </c>
      <c r="S1930" s="354" t="s">
        <v>2319</v>
      </c>
      <c r="T1930" s="173"/>
      <c r="U1930" s="173"/>
      <c r="V1930" s="173"/>
      <c r="W1930" s="324" t="s">
        <v>5770</v>
      </c>
      <c r="X1930" s="656" t="s">
        <v>15947</v>
      </c>
      <c r="Y1930" s="363"/>
      <c r="Z1930" s="364"/>
      <c r="AA1930" s="364"/>
      <c r="AB1930" s="32">
        <f t="shared" ca="1" si="41"/>
        <v>9.3648236205179369E-2</v>
      </c>
      <c r="AC1930" s="812"/>
      <c r="AD1930" s="763"/>
      <c r="AE1930" s="951"/>
      <c r="AF1930" s="921">
        <f>IF(X1930=X1929,AF1929,0)+IF(ISNUMBER(I1930),IF(I1930&lt;1,I1930,I1930*VLOOKUP(J1930,Summary!$H$2:$I$9,2)),VLOOKUP(J1930,Summary!$J$2:$K$9,2)*IF(ISNUMBER(H1930),H1930,1))</f>
        <v>0.37151620370370364</v>
      </c>
      <c r="AG1930" s="288">
        <v>1929</v>
      </c>
      <c r="AH1930" s="94"/>
      <c r="AI1930" s="94"/>
    </row>
    <row r="1931" spans="1:35" s="43" customFormat="1" ht="12" customHeight="1" x14ac:dyDescent="0.25">
      <c r="A1931" s="522" t="s">
        <v>15948</v>
      </c>
      <c r="B1931" s="522">
        <v>6</v>
      </c>
      <c r="C1931" s="522"/>
      <c r="D1931" s="434" t="s">
        <v>5767</v>
      </c>
      <c r="E1931" s="324" t="s">
        <v>5771</v>
      </c>
      <c r="F1931" s="174">
        <v>30926</v>
      </c>
      <c r="G1931" s="176"/>
      <c r="H1931" s="176" t="s">
        <v>461</v>
      </c>
      <c r="I1931" s="176">
        <v>6</v>
      </c>
      <c r="J1931" s="900" t="s">
        <v>2755</v>
      </c>
      <c r="K1931" s="164" t="s">
        <v>5784</v>
      </c>
      <c r="L1931" s="164" t="s">
        <v>461</v>
      </c>
      <c r="M1931" s="157"/>
      <c r="N1931" s="157"/>
      <c r="O1931" s="157"/>
      <c r="P1931" s="173" t="s">
        <v>5775</v>
      </c>
      <c r="Q1931" s="157" t="s">
        <v>4705</v>
      </c>
      <c r="R1931" s="179" t="s">
        <v>4600</v>
      </c>
      <c r="S1931" s="354" t="s">
        <v>2319</v>
      </c>
      <c r="T1931" s="173"/>
      <c r="U1931" s="173"/>
      <c r="V1931" s="173"/>
      <c r="W1931" s="324" t="s">
        <v>5771</v>
      </c>
      <c r="X1931" s="656" t="s">
        <v>15947</v>
      </c>
      <c r="Y1931" s="363"/>
      <c r="Z1931" s="364"/>
      <c r="AA1931" s="364"/>
      <c r="AB1931" s="32">
        <f t="shared" ca="1" si="41"/>
        <v>1.633038051471658E-2</v>
      </c>
      <c r="AC1931" s="812"/>
      <c r="AD1931" s="763"/>
      <c r="AE1931" s="951"/>
      <c r="AF1931" s="921">
        <f>IF(X1931=X1930,AF1930,0)+IF(ISNUMBER(I1931),IF(I1931&lt;1,I1931,I1931*VLOOKUP(J1931,Summary!$H$2:$I$9,2)),VLOOKUP(J1931,Summary!$J$2:$K$9,2)*IF(ISNUMBER(H1931),H1931,1))</f>
        <v>0.37568287037037029</v>
      </c>
      <c r="AG1931" s="288">
        <v>1930</v>
      </c>
      <c r="AH1931" s="94"/>
      <c r="AI1931" s="94"/>
    </row>
    <row r="1932" spans="1:35" s="43" customFormat="1" ht="12" customHeight="1" x14ac:dyDescent="0.25">
      <c r="A1932" s="522" t="s">
        <v>15948</v>
      </c>
      <c r="B1932" s="522">
        <v>6</v>
      </c>
      <c r="C1932" s="522"/>
      <c r="D1932" s="434" t="s">
        <v>5767</v>
      </c>
      <c r="E1932" s="324" t="s">
        <v>5772</v>
      </c>
      <c r="F1932" s="174">
        <v>30926</v>
      </c>
      <c r="G1932" s="176"/>
      <c r="H1932" s="176" t="s">
        <v>461</v>
      </c>
      <c r="I1932" s="176">
        <v>4</v>
      </c>
      <c r="J1932" s="900" t="s">
        <v>2755</v>
      </c>
      <c r="K1932" s="164" t="s">
        <v>5784</v>
      </c>
      <c r="L1932" s="164" t="s">
        <v>461</v>
      </c>
      <c r="M1932" s="157"/>
      <c r="N1932" s="157"/>
      <c r="O1932" s="157"/>
      <c r="P1932" s="173" t="s">
        <v>5775</v>
      </c>
      <c r="Q1932" s="157" t="s">
        <v>4705</v>
      </c>
      <c r="R1932" s="179" t="s">
        <v>4600</v>
      </c>
      <c r="S1932" s="354" t="s">
        <v>2319</v>
      </c>
      <c r="T1932" s="173"/>
      <c r="U1932" s="173"/>
      <c r="V1932" s="173"/>
      <c r="W1932" s="324" t="s">
        <v>5772</v>
      </c>
      <c r="X1932" s="656" t="s">
        <v>15947</v>
      </c>
      <c r="Y1932" s="363"/>
      <c r="Z1932" s="364"/>
      <c r="AA1932" s="364"/>
      <c r="AB1932" s="32">
        <f t="shared" ca="1" si="41"/>
        <v>0.79589313429375108</v>
      </c>
      <c r="AC1932" s="812"/>
      <c r="AD1932" s="763"/>
      <c r="AE1932" s="951"/>
      <c r="AF1932" s="921">
        <f>IF(X1932=X1931,AF1931,0)+IF(ISNUMBER(I1932),IF(I1932&lt;1,I1932,I1932*VLOOKUP(J1932,Summary!$H$2:$I$9,2)),VLOOKUP(J1932,Summary!$J$2:$K$9,2)*IF(ISNUMBER(H1932),H1932,1))</f>
        <v>0.37846064814814806</v>
      </c>
      <c r="AG1932" s="288">
        <v>1931</v>
      </c>
      <c r="AH1932" s="94"/>
      <c r="AI1932" s="94"/>
    </row>
    <row r="1933" spans="1:35" s="43" customFormat="1" ht="12" customHeight="1" x14ac:dyDescent="0.25">
      <c r="A1933" s="522" t="s">
        <v>15948</v>
      </c>
      <c r="B1933" s="522">
        <v>6</v>
      </c>
      <c r="C1933" s="522"/>
      <c r="D1933" s="434" t="s">
        <v>5767</v>
      </c>
      <c r="E1933" s="324" t="s">
        <v>5773</v>
      </c>
      <c r="F1933" s="174">
        <v>30926</v>
      </c>
      <c r="G1933" s="176"/>
      <c r="H1933" s="176" t="s">
        <v>461</v>
      </c>
      <c r="I1933" s="176">
        <v>10</v>
      </c>
      <c r="J1933" s="900" t="s">
        <v>2755</v>
      </c>
      <c r="K1933" s="164" t="s">
        <v>5784</v>
      </c>
      <c r="L1933" s="164" t="s">
        <v>461</v>
      </c>
      <c r="M1933" s="157"/>
      <c r="N1933" s="157"/>
      <c r="O1933" s="157"/>
      <c r="P1933" s="173" t="s">
        <v>5775</v>
      </c>
      <c r="Q1933" s="157" t="s">
        <v>4705</v>
      </c>
      <c r="R1933" s="179" t="s">
        <v>4600</v>
      </c>
      <c r="S1933" s="354" t="s">
        <v>2319</v>
      </c>
      <c r="T1933" s="173"/>
      <c r="U1933" s="173"/>
      <c r="V1933" s="173"/>
      <c r="W1933" s="324" t="s">
        <v>5773</v>
      </c>
      <c r="X1933" s="656" t="s">
        <v>15947</v>
      </c>
      <c r="Y1933" s="363"/>
      <c r="Z1933" s="364"/>
      <c r="AA1933" s="364"/>
      <c r="AB1933" s="32">
        <f t="shared" ca="1" si="41"/>
        <v>0.93649703897661163</v>
      </c>
      <c r="AC1933" s="812"/>
      <c r="AD1933" s="763"/>
      <c r="AE1933" s="951"/>
      <c r="AF1933" s="921">
        <f>IF(X1933=X1932,AF1932,0)+IF(ISNUMBER(I1933),IF(I1933&lt;1,I1933,I1933*VLOOKUP(J1933,Summary!$H$2:$I$9,2)),VLOOKUP(J1933,Summary!$J$2:$K$9,2)*IF(ISNUMBER(H1933),H1933,1))</f>
        <v>0.38540509259259248</v>
      </c>
      <c r="AG1933" s="288">
        <v>1932</v>
      </c>
      <c r="AH1933" s="94"/>
      <c r="AI1933" s="94"/>
    </row>
    <row r="1934" spans="1:35" s="2" customFormat="1" ht="12" customHeight="1" x14ac:dyDescent="0.25">
      <c r="A1934" s="522" t="s">
        <v>15948</v>
      </c>
      <c r="B1934" s="522">
        <v>6</v>
      </c>
      <c r="C1934" s="522"/>
      <c r="D1934" s="434" t="s">
        <v>5767</v>
      </c>
      <c r="E1934" s="324" t="s">
        <v>5774</v>
      </c>
      <c r="F1934" s="174">
        <v>30926</v>
      </c>
      <c r="G1934" s="176"/>
      <c r="H1934" s="176" t="s">
        <v>461</v>
      </c>
      <c r="I1934" s="176">
        <v>6</v>
      </c>
      <c r="J1934" s="900" t="s">
        <v>2755</v>
      </c>
      <c r="K1934" s="164" t="s">
        <v>5784</v>
      </c>
      <c r="L1934" s="164" t="s">
        <v>461</v>
      </c>
      <c r="M1934" s="157"/>
      <c r="N1934" s="157"/>
      <c r="O1934" s="157"/>
      <c r="P1934" s="173" t="s">
        <v>5775</v>
      </c>
      <c r="Q1934" s="157" t="s">
        <v>4705</v>
      </c>
      <c r="R1934" s="179" t="s">
        <v>4600</v>
      </c>
      <c r="S1934" s="354" t="s">
        <v>2319</v>
      </c>
      <c r="T1934" s="173"/>
      <c r="U1934" s="173"/>
      <c r="V1934" s="173"/>
      <c r="W1934" s="324" t="s">
        <v>5774</v>
      </c>
      <c r="X1934" s="656" t="s">
        <v>15947</v>
      </c>
      <c r="Y1934" s="363"/>
      <c r="Z1934" s="364"/>
      <c r="AA1934" s="364"/>
      <c r="AB1934" s="32">
        <f t="shared" ca="1" si="41"/>
        <v>0.57018681227577639</v>
      </c>
      <c r="AC1934" s="812"/>
      <c r="AD1934" s="763"/>
      <c r="AE1934" s="951"/>
      <c r="AF1934" s="921">
        <f>IF(X1934=X1933,AF1933,0)+IF(ISNUMBER(I1934),IF(I1934&lt;1,I1934,I1934*VLOOKUP(J1934,Summary!$H$2:$I$9,2)),VLOOKUP(J1934,Summary!$J$2:$K$9,2)*IF(ISNUMBER(H1934),H1934,1))</f>
        <v>0.38957175925925913</v>
      </c>
      <c r="AG1934" s="288">
        <v>1933</v>
      </c>
      <c r="AH1934" s="94"/>
      <c r="AI1934" s="94"/>
    </row>
    <row r="1935" spans="1:35" s="1" customFormat="1" ht="12" customHeight="1" x14ac:dyDescent="0.25">
      <c r="A1935" s="524" t="s">
        <v>15948</v>
      </c>
      <c r="B1935" s="524">
        <v>6</v>
      </c>
      <c r="C1935" s="526"/>
      <c r="D1935" s="463" t="s">
        <v>5779</v>
      </c>
      <c r="E1935" s="330" t="s">
        <v>5762</v>
      </c>
      <c r="F1935" s="191">
        <v>36100</v>
      </c>
      <c r="G1935" s="192"/>
      <c r="H1935" s="192"/>
      <c r="I1935" s="192"/>
      <c r="J1935" s="903" t="s">
        <v>2755</v>
      </c>
      <c r="K1935" s="159" t="s">
        <v>5123</v>
      </c>
      <c r="L1935" s="159"/>
      <c r="M1935" s="159" t="s">
        <v>12101</v>
      </c>
      <c r="N1935" s="159"/>
      <c r="O1935" s="159"/>
      <c r="P1935" s="190" t="s">
        <v>1572</v>
      </c>
      <c r="Q1935" s="159" t="s">
        <v>3948</v>
      </c>
      <c r="R1935" s="221" t="s">
        <v>5780</v>
      </c>
      <c r="S1935" s="357" t="s">
        <v>2319</v>
      </c>
      <c r="T1935" s="190"/>
      <c r="U1935" s="190"/>
      <c r="V1935" s="190"/>
      <c r="W1935" s="337"/>
      <c r="X1935" s="669" t="s">
        <v>15947</v>
      </c>
      <c r="Y1935" s="378"/>
      <c r="Z1935" s="367"/>
      <c r="AA1935" s="367"/>
      <c r="AB1935" s="37">
        <f t="shared" ca="1" si="41"/>
        <v>0.33684507632586214</v>
      </c>
      <c r="AC1935" s="816"/>
      <c r="AD1935" s="817"/>
      <c r="AE1935" s="955"/>
      <c r="AF1935" s="924">
        <f>IF(X1935=X1934,AF1934,0)+IF(ISNUMBER(I1935),IF(I1935&lt;1,I1935,I1935*VLOOKUP(J1935,Summary!$H$2:$I$9,2)),VLOOKUP(J1935,Summary!$J$2:$K$9,2)*IF(ISNUMBER(H1935),H1935,1))</f>
        <v>0.40693287037037024</v>
      </c>
      <c r="AG1935" s="298">
        <v>1934</v>
      </c>
      <c r="AH1935" s="94"/>
      <c r="AI1935" s="94"/>
    </row>
    <row r="1936" spans="1:35" s="1" customFormat="1" ht="12" customHeight="1" x14ac:dyDescent="0.25">
      <c r="A1936" s="523" t="s">
        <v>15948</v>
      </c>
      <c r="B1936" s="523">
        <v>6</v>
      </c>
      <c r="C1936" s="523">
        <v>59</v>
      </c>
      <c r="D1936" s="417" t="s">
        <v>4685</v>
      </c>
      <c r="E1936" s="316" t="s">
        <v>4686</v>
      </c>
      <c r="F1936" s="187">
        <v>37681</v>
      </c>
      <c r="G1936" s="188"/>
      <c r="H1936" s="188" t="str">
        <f>IF(J1936="Book","n/a","")</f>
        <v>n/a</v>
      </c>
      <c r="I1936" s="188">
        <v>288</v>
      </c>
      <c r="J1936" s="902" t="s">
        <v>6868</v>
      </c>
      <c r="K1936" s="162" t="s">
        <v>7800</v>
      </c>
      <c r="L1936" s="162" t="str">
        <f>IF(J1936="Book","n/a","")</f>
        <v>n/a</v>
      </c>
      <c r="M1936" s="162"/>
      <c r="N1936" s="162"/>
      <c r="O1936" s="162"/>
      <c r="P1936" s="178" t="s">
        <v>8983</v>
      </c>
      <c r="Q1936" s="162" t="s">
        <v>3953</v>
      </c>
      <c r="R1936" s="189" t="s">
        <v>2717</v>
      </c>
      <c r="S1936" s="366" t="s">
        <v>2319</v>
      </c>
      <c r="T1936" s="178"/>
      <c r="U1936" s="178"/>
      <c r="V1936" s="178"/>
      <c r="W1936" s="316" t="s">
        <v>4686</v>
      </c>
      <c r="X1936" s="648" t="s">
        <v>15947</v>
      </c>
      <c r="Y1936" s="356"/>
      <c r="Z1936" s="272"/>
      <c r="AA1936" s="272"/>
      <c r="AB1936" s="34">
        <f t="shared" ca="1" si="41"/>
        <v>0.24703357626675804</v>
      </c>
      <c r="AC1936" s="814"/>
      <c r="AD1936" s="815" t="s">
        <v>16011</v>
      </c>
      <c r="AE1936" s="942"/>
      <c r="AF1936" s="923">
        <f>IF(X1936=X1935,AF1935,0)+IF(ISNUMBER(I1936),IF(I1936&lt;1,I1936,I1936*VLOOKUP(J1936,Summary!$H$2:$I$9,2)),VLOOKUP(J1936,Summary!$J$2:$K$9,2)*IF(ISNUMBER(H1936),H1936,1))</f>
        <v>0.60693287037037025</v>
      </c>
      <c r="AG1936" s="291">
        <v>1935</v>
      </c>
      <c r="AH1936" s="94"/>
      <c r="AI1936" s="94"/>
    </row>
    <row r="1937" spans="1:35" s="22" customFormat="1" ht="12" customHeight="1" x14ac:dyDescent="0.2">
      <c r="A1937" s="527" t="s">
        <v>15948</v>
      </c>
      <c r="B1937" s="527">
        <v>6</v>
      </c>
      <c r="C1937" s="527">
        <v>48</v>
      </c>
      <c r="D1937" s="407" t="s">
        <v>4687</v>
      </c>
      <c r="E1937" s="315" t="s">
        <v>4688</v>
      </c>
      <c r="F1937" s="169">
        <v>37865</v>
      </c>
      <c r="G1937" s="170"/>
      <c r="H1937" s="170">
        <v>2</v>
      </c>
      <c r="I1937" s="746">
        <f>TIME(2,32,3)</f>
        <v>0.10559027777777778</v>
      </c>
      <c r="J1937" s="899" t="s">
        <v>4706</v>
      </c>
      <c r="K1937" s="167" t="s">
        <v>2311</v>
      </c>
      <c r="L1937" s="167" t="s">
        <v>7375</v>
      </c>
      <c r="M1937" s="167"/>
      <c r="N1937" s="167"/>
      <c r="O1937" s="167" t="s">
        <v>2909</v>
      </c>
      <c r="P1937" s="168"/>
      <c r="Q1937" s="167" t="s">
        <v>3947</v>
      </c>
      <c r="R1937" s="172" t="s">
        <v>3146</v>
      </c>
      <c r="S1937" s="388"/>
      <c r="T1937" s="168"/>
      <c r="U1937" s="168"/>
      <c r="V1937" s="168"/>
      <c r="W1937" s="312" t="s">
        <v>9292</v>
      </c>
      <c r="X1937" s="644" t="s">
        <v>15947</v>
      </c>
      <c r="Y1937" s="352" t="s">
        <v>8154</v>
      </c>
      <c r="Z1937" s="353">
        <v>4</v>
      </c>
      <c r="AA1937" s="353">
        <v>10</v>
      </c>
      <c r="AB1937" s="31">
        <f t="shared" ca="1" si="41"/>
        <v>0.55636166403144527</v>
      </c>
      <c r="AC1937" s="810"/>
      <c r="AD1937" s="811" t="s">
        <v>16413</v>
      </c>
      <c r="AE1937" s="940" t="s">
        <v>12543</v>
      </c>
      <c r="AF1937" s="920">
        <f>IF(X1937=X1936,AF1936,0)+IF(ISNUMBER(I1937),IF(I1937&lt;1,I1937,I1937*VLOOKUP(J1937,Summary!$H$2:$I$9,2)),VLOOKUP(J1937,Summary!$J$2:$K$9,2)*IF(ISNUMBER(H1937),H1937,1))</f>
        <v>0.71252314814814799</v>
      </c>
      <c r="AG1937" s="287">
        <v>1936</v>
      </c>
      <c r="AH1937" s="94"/>
      <c r="AI1937" s="94"/>
    </row>
    <row r="1938" spans="1:35" s="44" customFormat="1" ht="12" customHeight="1" x14ac:dyDescent="0.25">
      <c r="A1938" s="522" t="s">
        <v>15948</v>
      </c>
      <c r="B1938" s="522">
        <v>6</v>
      </c>
      <c r="C1938" s="522">
        <v>2</v>
      </c>
      <c r="D1938" s="176" t="s">
        <v>12592</v>
      </c>
      <c r="E1938" s="313" t="s">
        <v>12591</v>
      </c>
      <c r="F1938" s="175">
        <v>42915</v>
      </c>
      <c r="G1938" s="174"/>
      <c r="H1938" s="176" t="s">
        <v>461</v>
      </c>
      <c r="I1938" s="176"/>
      <c r="J1938" s="900" t="s">
        <v>2755</v>
      </c>
      <c r="K1938" s="164" t="s">
        <v>2675</v>
      </c>
      <c r="L1938" s="164" t="s">
        <v>3551</v>
      </c>
      <c r="M1938" s="164"/>
      <c r="N1938" s="164"/>
      <c r="O1938" s="164"/>
      <c r="P1938" s="173" t="s">
        <v>12587</v>
      </c>
      <c r="Q1938" s="164" t="s">
        <v>3953</v>
      </c>
      <c r="R1938" s="177" t="s">
        <v>12588</v>
      </c>
      <c r="S1938" s="354"/>
      <c r="T1938" s="173"/>
      <c r="U1938" s="173"/>
      <c r="V1938" s="173"/>
      <c r="W1938" s="313" t="s">
        <v>12591</v>
      </c>
      <c r="X1938" s="656" t="s">
        <v>15947</v>
      </c>
      <c r="Y1938" s="354"/>
      <c r="Z1938" s="176"/>
      <c r="AA1938" s="176"/>
      <c r="AB1938" s="32">
        <f t="shared" ca="1" si="41"/>
        <v>0.29315884867444775</v>
      </c>
      <c r="AC1938" s="812"/>
      <c r="AD1938" s="763"/>
      <c r="AE1938" s="807"/>
      <c r="AF1938" s="921">
        <f>IF(X1938=X1937,AF1937,0)+IF(ISNUMBER(I1938),IF(I1938&lt;1,I1938,I1938*VLOOKUP(J1938,Summary!$H$2:$I$9,2)),VLOOKUP(J1938,Summary!$J$2:$K$9,2)*IF(ISNUMBER(H1938),H1938,1))</f>
        <v>0.72988425925925915</v>
      </c>
      <c r="AG1938" s="289">
        <v>1937</v>
      </c>
      <c r="AH1938" s="94"/>
      <c r="AI1938" s="94"/>
    </row>
    <row r="1939" spans="1:35" s="43" customFormat="1" ht="12" customHeight="1" x14ac:dyDescent="0.25">
      <c r="A1939" s="527" t="s">
        <v>15948</v>
      </c>
      <c r="B1939" s="527">
        <v>6</v>
      </c>
      <c r="C1939" s="527">
        <v>4</v>
      </c>
      <c r="D1939" s="407" t="s">
        <v>4689</v>
      </c>
      <c r="E1939" s="315" t="s">
        <v>4690</v>
      </c>
      <c r="F1939" s="169">
        <v>38687</v>
      </c>
      <c r="G1939" s="170"/>
      <c r="H1939" s="170">
        <v>1</v>
      </c>
      <c r="I1939" s="746">
        <f>TIME(0,70,38)</f>
        <v>4.9050925925925935E-2</v>
      </c>
      <c r="J1939" s="899" t="s">
        <v>4706</v>
      </c>
      <c r="K1939" s="167" t="s">
        <v>7801</v>
      </c>
      <c r="L1939" s="167" t="s">
        <v>7375</v>
      </c>
      <c r="M1939" s="167"/>
      <c r="N1939" s="167"/>
      <c r="O1939" s="167" t="s">
        <v>2909</v>
      </c>
      <c r="P1939" s="168" t="s">
        <v>8634</v>
      </c>
      <c r="Q1939" s="167" t="s">
        <v>3947</v>
      </c>
      <c r="R1939" s="172" t="s">
        <v>576</v>
      </c>
      <c r="S1939" s="388" t="s">
        <v>2319</v>
      </c>
      <c r="T1939" s="168"/>
      <c r="U1939" s="168"/>
      <c r="V1939" s="168"/>
      <c r="W1939" s="312" t="s">
        <v>4690</v>
      </c>
      <c r="X1939" s="644" t="s">
        <v>15947</v>
      </c>
      <c r="Y1939" s="352" t="s">
        <v>5398</v>
      </c>
      <c r="Z1939" s="353">
        <v>560</v>
      </c>
      <c r="AA1939" s="353">
        <v>3.5</v>
      </c>
      <c r="AB1939" s="31">
        <f t="shared" ca="1" si="41"/>
        <v>0.74702511603497057</v>
      </c>
      <c r="AC1939" s="810"/>
      <c r="AD1939" s="811" t="s">
        <v>16659</v>
      </c>
      <c r="AE1939" s="940"/>
      <c r="AF1939" s="920">
        <f>IF(X1939=X1938,AF1938,0)+IF(ISNUMBER(I1939),IF(I1939&lt;1,I1939,I1939*VLOOKUP(J1939,Summary!$H$2:$I$9,2)),VLOOKUP(J1939,Summary!$J$2:$K$9,2)*IF(ISNUMBER(H1939),H1939,1))</f>
        <v>0.77893518518518512</v>
      </c>
      <c r="AG1939" s="287">
        <v>1938</v>
      </c>
      <c r="AH1939" s="94"/>
      <c r="AI1939" s="94"/>
    </row>
    <row r="1940" spans="1:35" s="22" customFormat="1" ht="12" customHeight="1" x14ac:dyDescent="0.25">
      <c r="A1940" s="524" t="s">
        <v>15948</v>
      </c>
      <c r="B1940" s="524">
        <v>6</v>
      </c>
      <c r="C1940" s="524">
        <v>5</v>
      </c>
      <c r="D1940" s="176" t="s">
        <v>13113</v>
      </c>
      <c r="E1940" s="313" t="s">
        <v>13118</v>
      </c>
      <c r="F1940" s="175">
        <v>41732</v>
      </c>
      <c r="G1940" s="174"/>
      <c r="H1940" s="176">
        <v>1</v>
      </c>
      <c r="I1940" s="176"/>
      <c r="J1940" s="900" t="s">
        <v>2755</v>
      </c>
      <c r="K1940" s="164" t="s">
        <v>13121</v>
      </c>
      <c r="L1940" s="164" t="s">
        <v>461</v>
      </c>
      <c r="M1940" s="164"/>
      <c r="N1940" s="164"/>
      <c r="O1940" s="164"/>
      <c r="P1940" s="173"/>
      <c r="Q1940" s="164" t="s">
        <v>2173</v>
      </c>
      <c r="R1940" s="177" t="s">
        <v>10233</v>
      </c>
      <c r="S1940" s="354" t="s">
        <v>2319</v>
      </c>
      <c r="T1940" s="173"/>
      <c r="U1940" s="173"/>
      <c r="V1940" s="173"/>
      <c r="W1940" s="313" t="s">
        <v>13118</v>
      </c>
      <c r="X1940" s="656" t="s">
        <v>15947</v>
      </c>
      <c r="Y1940" s="354"/>
      <c r="Z1940" s="176"/>
      <c r="AA1940" s="176"/>
      <c r="AB1940" s="32">
        <f t="shared" ca="1" si="41"/>
        <v>0.25950157745890545</v>
      </c>
      <c r="AC1940" s="812"/>
      <c r="AD1940" s="837"/>
      <c r="AE1940" s="807"/>
      <c r="AF1940" s="921">
        <f>IF(X1940=X1939,AF1939,0)+IF(ISNUMBER(I1940),IF(I1940&lt;1,I1940,I1940*VLOOKUP(J1940,Summary!$H$2:$I$9,2)),VLOOKUP(J1940,Summary!$J$2:$K$9,2)*IF(ISNUMBER(H1940),H1940,1))</f>
        <v>0.79629629629629628</v>
      </c>
      <c r="AG1940" s="289">
        <v>1939</v>
      </c>
      <c r="AH1940" s="94"/>
      <c r="AI1940" s="94"/>
    </row>
    <row r="1941" spans="1:35" s="6" customFormat="1" ht="12" customHeight="1" x14ac:dyDescent="0.25">
      <c r="A1941" s="522" t="s">
        <v>15948</v>
      </c>
      <c r="B1941" s="522">
        <v>6</v>
      </c>
      <c r="C1941" s="528">
        <v>25.22</v>
      </c>
      <c r="D1941" s="434" t="s">
        <v>5781</v>
      </c>
      <c r="E1941" s="324" t="s">
        <v>5760</v>
      </c>
      <c r="F1941" s="174">
        <v>39417</v>
      </c>
      <c r="G1941" s="174"/>
      <c r="H1941" s="176">
        <v>1</v>
      </c>
      <c r="I1941" s="176">
        <v>19</v>
      </c>
      <c r="J1941" s="900" t="s">
        <v>2755</v>
      </c>
      <c r="K1941" s="164" t="s">
        <v>2870</v>
      </c>
      <c r="L1941" s="164" t="s">
        <v>461</v>
      </c>
      <c r="M1941" s="164"/>
      <c r="N1941" s="164" t="s">
        <v>5146</v>
      </c>
      <c r="O1941" s="164"/>
      <c r="P1941" s="173" t="s">
        <v>6701</v>
      </c>
      <c r="Q1941" s="164" t="s">
        <v>3947</v>
      </c>
      <c r="R1941" s="179" t="s">
        <v>2723</v>
      </c>
      <c r="S1941" s="354" t="s">
        <v>2319</v>
      </c>
      <c r="T1941" s="173"/>
      <c r="U1941" s="173"/>
      <c r="V1941" s="173"/>
      <c r="W1941" s="324" t="s">
        <v>5760</v>
      </c>
      <c r="X1941" s="656" t="s">
        <v>15947</v>
      </c>
      <c r="Y1941" s="363"/>
      <c r="Z1941" s="364"/>
      <c r="AA1941" s="364"/>
      <c r="AB1941" s="32">
        <f t="shared" ca="1" si="41"/>
        <v>0.57053469564922998</v>
      </c>
      <c r="AC1941" s="812"/>
      <c r="AD1941" s="763"/>
      <c r="AE1941" s="951"/>
      <c r="AF1941" s="921">
        <f>IF(X1941=X1940,AF1940,0)+IF(ISNUMBER(I1941),IF(I1941&lt;1,I1941,I1941*VLOOKUP(J1941,Summary!$H$2:$I$9,2)),VLOOKUP(J1941,Summary!$J$2:$K$9,2)*IF(ISNUMBER(H1941),H1941,1))</f>
        <v>0.80949074074074068</v>
      </c>
      <c r="AG1941" s="288">
        <v>1940</v>
      </c>
      <c r="AH1941" s="94"/>
      <c r="AI1941" s="94"/>
    </row>
    <row r="1942" spans="1:35" s="43" customFormat="1" ht="12" customHeight="1" x14ac:dyDescent="0.25">
      <c r="A1942" s="522" t="s">
        <v>15948</v>
      </c>
      <c r="B1942" s="522">
        <v>6</v>
      </c>
      <c r="C1942" s="528">
        <v>1.06</v>
      </c>
      <c r="D1942" s="434" t="s">
        <v>9250</v>
      </c>
      <c r="E1942" s="324" t="s">
        <v>2686</v>
      </c>
      <c r="F1942" s="175">
        <v>41448</v>
      </c>
      <c r="G1942" s="174"/>
      <c r="H1942" s="176">
        <v>1</v>
      </c>
      <c r="I1942" s="176">
        <v>43</v>
      </c>
      <c r="J1942" s="900" t="s">
        <v>2755</v>
      </c>
      <c r="K1942" s="164" t="s">
        <v>9251</v>
      </c>
      <c r="L1942" s="164" t="s">
        <v>461</v>
      </c>
      <c r="M1942" s="164"/>
      <c r="N1942" s="164"/>
      <c r="O1942" s="164"/>
      <c r="P1942" s="173" t="s">
        <v>9237</v>
      </c>
      <c r="Q1942" s="164" t="s">
        <v>9235</v>
      </c>
      <c r="R1942" s="179" t="s">
        <v>9236</v>
      </c>
      <c r="S1942" s="354" t="s">
        <v>2319</v>
      </c>
      <c r="T1942" s="173"/>
      <c r="U1942" s="173"/>
      <c r="V1942" s="173"/>
      <c r="W1942" s="324" t="s">
        <v>2686</v>
      </c>
      <c r="X1942" s="656" t="s">
        <v>15947</v>
      </c>
      <c r="Y1942" s="363" t="s">
        <v>6868</v>
      </c>
      <c r="Z1942" s="364"/>
      <c r="AA1942" s="364"/>
      <c r="AB1942" s="32">
        <f t="shared" ca="1" si="41"/>
        <v>0.79614088978800857</v>
      </c>
      <c r="AC1942" s="812"/>
      <c r="AD1942" s="763"/>
      <c r="AE1942" s="951"/>
      <c r="AF1942" s="921">
        <f>IF(X1942=X1941,AF1941,0)+IF(ISNUMBER(I1942),IF(I1942&lt;1,I1942,I1942*VLOOKUP(J1942,Summary!$H$2:$I$9,2)),VLOOKUP(J1942,Summary!$J$2:$K$9,2)*IF(ISNUMBER(H1942),H1942,1))</f>
        <v>0.83935185185185179</v>
      </c>
      <c r="AG1942" s="288">
        <v>1941</v>
      </c>
      <c r="AH1942" s="94"/>
      <c r="AI1942" s="94"/>
    </row>
    <row r="1943" spans="1:35" s="3" customFormat="1" ht="12" customHeight="1" x14ac:dyDescent="0.25">
      <c r="A1943" s="521" t="s">
        <v>15948</v>
      </c>
      <c r="B1943" s="521">
        <v>6</v>
      </c>
      <c r="C1943" s="521">
        <v>141</v>
      </c>
      <c r="D1943" s="424" t="s">
        <v>4691</v>
      </c>
      <c r="E1943" s="319" t="s">
        <v>4692</v>
      </c>
      <c r="F1943" s="198">
        <v>31115</v>
      </c>
      <c r="G1943" s="198">
        <v>31122</v>
      </c>
      <c r="H1943" s="199">
        <v>2</v>
      </c>
      <c r="I1943" s="791">
        <f>TIME(0,45, 0)+TIME(0,44,36)</f>
        <v>6.222222222222222E-2</v>
      </c>
      <c r="J1943" s="904" t="s">
        <v>1588</v>
      </c>
      <c r="K1943" s="200" t="s">
        <v>4693</v>
      </c>
      <c r="L1943" s="200" t="s">
        <v>5750</v>
      </c>
      <c r="M1943" s="200"/>
      <c r="N1943" s="200" t="s">
        <v>2366</v>
      </c>
      <c r="O1943" s="200" t="s">
        <v>6962</v>
      </c>
      <c r="P1943" s="197" t="s">
        <v>461</v>
      </c>
      <c r="Q1943" s="200" t="s">
        <v>3946</v>
      </c>
      <c r="R1943" s="201" t="s">
        <v>5280</v>
      </c>
      <c r="S1943" s="390" t="s">
        <v>2319</v>
      </c>
      <c r="T1943" s="197"/>
      <c r="U1943" s="197"/>
      <c r="V1943" s="197"/>
      <c r="W1943" s="318" t="s">
        <v>8743</v>
      </c>
      <c r="X1943" s="650" t="s">
        <v>15947</v>
      </c>
      <c r="Y1943" s="358" t="s">
        <v>6141</v>
      </c>
      <c r="Z1943" s="253">
        <v>309</v>
      </c>
      <c r="AA1943" s="253">
        <v>1</v>
      </c>
      <c r="AB1943" s="35">
        <f t="shared" ca="1" si="41"/>
        <v>3.795434271136533E-2</v>
      </c>
      <c r="AC1943" s="820"/>
      <c r="AD1943" s="821" t="s">
        <v>16627</v>
      </c>
      <c r="AE1943" s="944" t="s">
        <v>16134</v>
      </c>
      <c r="AF1943" s="925">
        <f>IF(X1943=X1942,AF1942,0)+IF(ISNUMBER(I1943),IF(I1943&lt;1,I1943,I1943*VLOOKUP(J1943,Summary!$H$2:$I$9,2)),VLOOKUP(J1943,Summary!$J$2:$K$9,2)*IF(ISNUMBER(H1943),H1943,1))</f>
        <v>0.90157407407407397</v>
      </c>
      <c r="AG1943" s="293">
        <v>1942</v>
      </c>
      <c r="AH1943" s="94"/>
      <c r="AI1943" s="94"/>
    </row>
    <row r="1944" spans="1:35" s="1" customFormat="1" ht="12" customHeight="1" x14ac:dyDescent="0.25">
      <c r="A1944" s="527" t="s">
        <v>15948</v>
      </c>
      <c r="B1944" s="527">
        <v>6</v>
      </c>
      <c r="C1944" s="527">
        <v>90</v>
      </c>
      <c r="D1944" s="407" t="s">
        <v>4694</v>
      </c>
      <c r="E1944" s="315" t="s">
        <v>4695</v>
      </c>
      <c r="F1944" s="169">
        <v>39052</v>
      </c>
      <c r="G1944" s="170"/>
      <c r="H1944" s="170">
        <v>4</v>
      </c>
      <c r="I1944" s="746">
        <f>TIME(2,23,59)</f>
        <v>9.9988425925925925E-2</v>
      </c>
      <c r="J1944" s="899" t="s">
        <v>4706</v>
      </c>
      <c r="K1944" s="167" t="s">
        <v>7802</v>
      </c>
      <c r="L1944" s="167" t="s">
        <v>7375</v>
      </c>
      <c r="M1944" s="167"/>
      <c r="N1944" s="167"/>
      <c r="O1944" s="167" t="s">
        <v>2909</v>
      </c>
      <c r="P1944" s="168"/>
      <c r="Q1944" s="167" t="s">
        <v>3947</v>
      </c>
      <c r="R1944" s="172" t="s">
        <v>3146</v>
      </c>
      <c r="S1944" s="388" t="s">
        <v>2319</v>
      </c>
      <c r="T1944" s="168"/>
      <c r="U1944" s="168"/>
      <c r="V1944" s="168"/>
      <c r="W1944" s="312" t="s">
        <v>9346</v>
      </c>
      <c r="X1944" s="644" t="s">
        <v>15947</v>
      </c>
      <c r="Y1944" s="352" t="s">
        <v>5643</v>
      </c>
      <c r="Z1944" s="353">
        <v>53</v>
      </c>
      <c r="AA1944" s="353">
        <v>8.5</v>
      </c>
      <c r="AB1944" s="31">
        <f t="shared" ca="1" si="41"/>
        <v>0.13959319811551962</v>
      </c>
      <c r="AC1944" s="810"/>
      <c r="AD1944" s="811" t="s">
        <v>16672</v>
      </c>
      <c r="AE1944" s="940"/>
      <c r="AF1944" s="920">
        <f>IF(X1944=X1943,AF1943,0)+IF(ISNUMBER(I1944),IF(I1944&lt;1,I1944,I1944*VLOOKUP(J1944,Summary!$H$2:$I$9,2)),VLOOKUP(J1944,Summary!$J$2:$K$9,2)*IF(ISNUMBER(H1944),H1944,1))</f>
        <v>1.0015624999999999</v>
      </c>
      <c r="AG1944" s="287">
        <v>1943</v>
      </c>
      <c r="AH1944" s="94"/>
      <c r="AI1944" s="94"/>
    </row>
    <row r="1945" spans="1:35" s="6" customFormat="1" ht="12" customHeight="1" x14ac:dyDescent="0.25">
      <c r="A1945" s="521" t="s">
        <v>15948</v>
      </c>
      <c r="B1945" s="521">
        <v>6</v>
      </c>
      <c r="C1945" s="521">
        <v>142</v>
      </c>
      <c r="D1945" s="424" t="s">
        <v>4696</v>
      </c>
      <c r="E1945" s="319" t="s">
        <v>4697</v>
      </c>
      <c r="F1945" s="198">
        <v>31129</v>
      </c>
      <c r="G1945" s="198">
        <v>31136</v>
      </c>
      <c r="H1945" s="199">
        <v>2</v>
      </c>
      <c r="I1945" s="791">
        <f>TIME(0,44,31)+TIME(0,45,26)</f>
        <v>6.2465277777777772E-2</v>
      </c>
      <c r="J1945" s="904" t="s">
        <v>1588</v>
      </c>
      <c r="K1945" s="200" t="s">
        <v>2366</v>
      </c>
      <c r="L1945" s="200" t="s">
        <v>4544</v>
      </c>
      <c r="M1945" s="200"/>
      <c r="N1945" s="200" t="s">
        <v>2366</v>
      </c>
      <c r="O1945" s="200" t="s">
        <v>6962</v>
      </c>
      <c r="P1945" s="197" t="s">
        <v>461</v>
      </c>
      <c r="Q1945" s="200" t="s">
        <v>3946</v>
      </c>
      <c r="R1945" s="201" t="s">
        <v>5280</v>
      </c>
      <c r="S1945" s="390" t="s">
        <v>2319</v>
      </c>
      <c r="T1945" s="197"/>
      <c r="U1945" s="197"/>
      <c r="V1945" s="197"/>
      <c r="W1945" s="318" t="s">
        <v>9310</v>
      </c>
      <c r="X1945" s="650" t="s">
        <v>15947</v>
      </c>
      <c r="Y1945" s="358" t="s">
        <v>6141</v>
      </c>
      <c r="Z1945" s="253">
        <v>87</v>
      </c>
      <c r="AA1945" s="253">
        <v>7</v>
      </c>
      <c r="AB1945" s="35">
        <f t="shared" ca="1" si="41"/>
        <v>0.44476102881622459</v>
      </c>
      <c r="AC1945" s="820"/>
      <c r="AD1945" s="821" t="s">
        <v>16414</v>
      </c>
      <c r="AE1945" s="944" t="s">
        <v>3365</v>
      </c>
      <c r="AF1945" s="925">
        <f>IF(X1945=X1944,AF1944,0)+IF(ISNUMBER(I1945),IF(I1945&lt;1,I1945,I1945*VLOOKUP(J1945,Summary!$H$2:$I$9,2)),VLOOKUP(J1945,Summary!$J$2:$K$9,2)*IF(ISNUMBER(H1945),H1945,1))</f>
        <v>1.0640277777777776</v>
      </c>
      <c r="AG1945" s="293">
        <v>1944</v>
      </c>
      <c r="AH1945" s="94"/>
      <c r="AI1945" s="94"/>
    </row>
    <row r="1946" spans="1:35" s="2" customFormat="1" ht="12" customHeight="1" x14ac:dyDescent="0.25">
      <c r="A1946" s="405" t="s">
        <v>15948</v>
      </c>
      <c r="B1946" s="405" t="s">
        <v>6153</v>
      </c>
      <c r="C1946" s="405">
        <v>1</v>
      </c>
      <c r="D1946" s="407"/>
      <c r="E1946" s="315" t="s">
        <v>2741</v>
      </c>
      <c r="F1946" s="169">
        <v>39387</v>
      </c>
      <c r="G1946" s="170"/>
      <c r="H1946" s="170">
        <v>1</v>
      </c>
      <c r="I1946" s="746">
        <f>TIME(1,23,0)</f>
        <v>5.7638888888888885E-2</v>
      </c>
      <c r="J1946" s="899" t="s">
        <v>4706</v>
      </c>
      <c r="K1946" s="167" t="s">
        <v>4549</v>
      </c>
      <c r="L1946" s="167" t="s">
        <v>4549</v>
      </c>
      <c r="M1946" s="167"/>
      <c r="N1946" s="167"/>
      <c r="O1946" s="167"/>
      <c r="P1946" s="168" t="s">
        <v>461</v>
      </c>
      <c r="Q1946" s="167" t="s">
        <v>3947</v>
      </c>
      <c r="R1946" s="172" t="s">
        <v>3147</v>
      </c>
      <c r="S1946" s="388"/>
      <c r="T1946" s="393"/>
      <c r="U1946" s="168"/>
      <c r="V1946" s="168"/>
      <c r="W1946" s="315" t="s">
        <v>2741</v>
      </c>
      <c r="X1946" s="644" t="s">
        <v>15947</v>
      </c>
      <c r="Y1946" s="352" t="s">
        <v>6141</v>
      </c>
      <c r="Z1946" s="353">
        <v>554</v>
      </c>
      <c r="AA1946" s="353">
        <v>3.5</v>
      </c>
      <c r="AB1946" s="31">
        <f t="shared" ca="1" si="41"/>
        <v>0.86907812887143976</v>
      </c>
      <c r="AC1946" s="810"/>
      <c r="AD1946" s="811" t="s">
        <v>16414</v>
      </c>
      <c r="AE1946" s="940" t="s">
        <v>3365</v>
      </c>
      <c r="AF1946" s="920">
        <f>IF(X1946=X1945,AF1945,0)+IF(ISNUMBER(I1946),IF(I1946&lt;1,I1946,I1946*VLOOKUP(J1946,Summary!$H$2:$I$9,2)),VLOOKUP(J1946,Summary!$J$2:$K$9,2)*IF(ISNUMBER(H1946),H1946,1))</f>
        <v>1.1216666666666664</v>
      </c>
      <c r="AG1946" s="287">
        <v>1945</v>
      </c>
      <c r="AH1946" s="94"/>
      <c r="AI1946" s="94"/>
    </row>
    <row r="1947" spans="1:35" s="1" customFormat="1" ht="12" customHeight="1" x14ac:dyDescent="0.25">
      <c r="A1947" s="458"/>
      <c r="B1947" s="457" t="s">
        <v>2650</v>
      </c>
      <c r="C1947" s="458">
        <v>18</v>
      </c>
      <c r="D1947" s="493" t="s">
        <v>7379</v>
      </c>
      <c r="E1947" s="333" t="s">
        <v>1589</v>
      </c>
      <c r="F1947" s="233">
        <v>34944</v>
      </c>
      <c r="G1947" s="226"/>
      <c r="H1947" s="226">
        <v>1</v>
      </c>
      <c r="I1947" s="751">
        <f>TIME(0,70,0)</f>
        <v>4.8611111111111112E-2</v>
      </c>
      <c r="J1947" s="907" t="s">
        <v>6868</v>
      </c>
      <c r="K1947" s="165" t="s">
        <v>941</v>
      </c>
      <c r="L1947" s="165" t="s">
        <v>30</v>
      </c>
      <c r="M1947" s="165"/>
      <c r="N1947" s="165"/>
      <c r="O1947" s="165" t="s">
        <v>1590</v>
      </c>
      <c r="P1947" s="225" t="s">
        <v>8603</v>
      </c>
      <c r="Q1947" s="165" t="s">
        <v>3946</v>
      </c>
      <c r="R1947" s="234" t="s">
        <v>2715</v>
      </c>
      <c r="S1947" s="369" t="s">
        <v>53</v>
      </c>
      <c r="T1947" s="225" t="s">
        <v>2595</v>
      </c>
      <c r="U1947" s="225" t="s">
        <v>2597</v>
      </c>
      <c r="V1947" s="225"/>
      <c r="W1947" s="338" t="s">
        <v>1589</v>
      </c>
      <c r="X1947" s="670" t="s">
        <v>12562</v>
      </c>
      <c r="Y1947" s="372" t="s">
        <v>1588</v>
      </c>
      <c r="Z1947" s="269">
        <v>205</v>
      </c>
      <c r="AA1947" s="269">
        <v>3</v>
      </c>
      <c r="AB1947" s="38">
        <f t="shared" ca="1" si="41"/>
        <v>4.6427543681514472E-2</v>
      </c>
      <c r="AC1947" s="830"/>
      <c r="AD1947" s="831" t="s">
        <v>16047</v>
      </c>
      <c r="AE1947" s="953" t="s">
        <v>16424</v>
      </c>
      <c r="AF1947" s="928">
        <f>IF(X1947=X1946,AF1946,0)+IF(ISNUMBER(I1947),IF(I1947&lt;1,I1947,I1947*VLOOKUP(J1947,Summary!$H$2:$I$9,2)),VLOOKUP(J1947,Summary!$J$2:$K$9,2)*IF(ISNUMBER(H1947),H1947,1))</f>
        <v>4.8611111111111112E-2</v>
      </c>
      <c r="AG1947" s="300">
        <v>1946</v>
      </c>
      <c r="AH1947" s="94"/>
      <c r="AI1947" s="94"/>
    </row>
    <row r="1948" spans="1:35" s="29" customFormat="1" ht="12" customHeight="1" x14ac:dyDescent="0.25">
      <c r="A1948" s="408"/>
      <c r="B1948" s="408" t="s">
        <v>2650</v>
      </c>
      <c r="C1948" s="408">
        <v>19</v>
      </c>
      <c r="D1948" s="176" t="s">
        <v>3385</v>
      </c>
      <c r="E1948" s="313" t="s">
        <v>3590</v>
      </c>
      <c r="F1948" s="175">
        <v>33905</v>
      </c>
      <c r="G1948" s="174"/>
      <c r="H1948" s="176">
        <v>1</v>
      </c>
      <c r="I1948" s="176">
        <v>1</v>
      </c>
      <c r="J1948" s="900" t="s">
        <v>2755</v>
      </c>
      <c r="K1948" s="164" t="s">
        <v>552</v>
      </c>
      <c r="L1948" s="164" t="s">
        <v>552</v>
      </c>
      <c r="M1948" s="164"/>
      <c r="N1948" s="164" t="s">
        <v>7375</v>
      </c>
      <c r="O1948" s="164"/>
      <c r="P1948" s="173" t="s">
        <v>461</v>
      </c>
      <c r="Q1948" s="164" t="s">
        <v>4062</v>
      </c>
      <c r="R1948" s="177" t="s">
        <v>4599</v>
      </c>
      <c r="S1948" s="354"/>
      <c r="T1948" s="393"/>
      <c r="U1948" s="173"/>
      <c r="V1948" s="173"/>
      <c r="W1948" s="313" t="s">
        <v>3590</v>
      </c>
      <c r="X1948" s="645" t="s">
        <v>12562</v>
      </c>
      <c r="Y1948" s="354"/>
      <c r="Z1948" s="176"/>
      <c r="AA1948" s="176"/>
      <c r="AB1948" s="32">
        <f t="shared" ca="1" si="41"/>
        <v>0.81013785431997232</v>
      </c>
      <c r="AC1948" s="812"/>
      <c r="AD1948" s="763"/>
      <c r="AE1948" s="807"/>
      <c r="AF1948" s="921">
        <f>IF(X1948=X1947,AF1947,0)+IF(ISNUMBER(I1948),IF(I1948&lt;1,I1948,I1948*VLOOKUP(J1948,Summary!$H$2:$I$9,2)),VLOOKUP(J1948,Summary!$J$2:$K$9,2)*IF(ISNUMBER(H1948),H1948,1))</f>
        <v>4.9305555555555554E-2</v>
      </c>
      <c r="AG1948" s="289">
        <v>1947</v>
      </c>
      <c r="AH1948" s="94"/>
      <c r="AI1948" s="94"/>
    </row>
    <row r="1949" spans="1:35" s="2" customFormat="1" ht="12" customHeight="1" x14ac:dyDescent="0.25">
      <c r="A1949" s="527" t="s">
        <v>10688</v>
      </c>
      <c r="B1949" s="527">
        <v>6</v>
      </c>
      <c r="C1949" s="527">
        <v>1.1000000000000001</v>
      </c>
      <c r="D1949" s="407" t="s">
        <v>4701</v>
      </c>
      <c r="E1949" s="315" t="s">
        <v>4702</v>
      </c>
      <c r="F1949" s="169">
        <v>40118</v>
      </c>
      <c r="G1949" s="170"/>
      <c r="H1949" s="170">
        <v>4</v>
      </c>
      <c r="I1949" s="746">
        <f>TIME(1,37,28)</f>
        <v>6.7685185185185182E-2</v>
      </c>
      <c r="J1949" s="899" t="s">
        <v>4706</v>
      </c>
      <c r="K1949" s="167" t="s">
        <v>1624</v>
      </c>
      <c r="L1949" s="167" t="s">
        <v>6231</v>
      </c>
      <c r="M1949" s="167"/>
      <c r="N1949" s="167" t="s">
        <v>6231</v>
      </c>
      <c r="O1949" s="167" t="s">
        <v>2302</v>
      </c>
      <c r="P1949" s="168" t="s">
        <v>8912</v>
      </c>
      <c r="Q1949" s="167" t="s">
        <v>3947</v>
      </c>
      <c r="R1949" s="172" t="s">
        <v>6992</v>
      </c>
      <c r="S1949" s="388" t="s">
        <v>2319</v>
      </c>
      <c r="T1949" s="351"/>
      <c r="U1949" s="168"/>
      <c r="V1949" s="168"/>
      <c r="W1949" s="312" t="s">
        <v>8439</v>
      </c>
      <c r="X1949" s="644" t="s">
        <v>12562</v>
      </c>
      <c r="Y1949" s="352" t="s">
        <v>5643</v>
      </c>
      <c r="Z1949" s="353">
        <v>567</v>
      </c>
      <c r="AA1949" s="353">
        <v>3.5</v>
      </c>
      <c r="AB1949" s="40">
        <f t="shared" ca="1" si="41"/>
        <v>0.10071336344219484</v>
      </c>
      <c r="AC1949" s="810"/>
      <c r="AD1949" s="811" t="s">
        <v>16024</v>
      </c>
      <c r="AE1949" s="940" t="s">
        <v>12543</v>
      </c>
      <c r="AF1949" s="920">
        <f>IF(X1949=X1948,AF1948,0)+IF(ISNUMBER(I1949),IF(I1949&lt;1,I1949,I1949*VLOOKUP(J1949,Summary!$H$2:$I$9,2)),VLOOKUP(J1949,Summary!$J$2:$K$9,2)*IF(ISNUMBER(H1949),H1949,1))</f>
        <v>0.11699074074074073</v>
      </c>
      <c r="AG1949" s="287">
        <v>1948</v>
      </c>
      <c r="AH1949" s="94"/>
      <c r="AI1949" s="94"/>
    </row>
    <row r="1950" spans="1:35" s="2" customFormat="1" ht="12" customHeight="1" x14ac:dyDescent="0.25">
      <c r="A1950" s="522" t="s">
        <v>10688</v>
      </c>
      <c r="B1950" s="522">
        <v>6</v>
      </c>
      <c r="C1950" s="522">
        <v>23.06</v>
      </c>
      <c r="D1950" s="434" t="s">
        <v>6585</v>
      </c>
      <c r="E1950" s="324" t="s">
        <v>6261</v>
      </c>
      <c r="F1950" s="174">
        <v>39234</v>
      </c>
      <c r="G1950" s="174"/>
      <c r="H1950" s="176">
        <v>1</v>
      </c>
      <c r="I1950" s="176">
        <v>17</v>
      </c>
      <c r="J1950" s="900" t="s">
        <v>2755</v>
      </c>
      <c r="K1950" s="164" t="s">
        <v>6586</v>
      </c>
      <c r="L1950" s="164" t="s">
        <v>461</v>
      </c>
      <c r="M1950" s="164"/>
      <c r="N1950" s="164" t="s">
        <v>804</v>
      </c>
      <c r="O1950" s="164"/>
      <c r="P1950" s="173" t="s">
        <v>6700</v>
      </c>
      <c r="Q1950" s="164" t="s">
        <v>3947</v>
      </c>
      <c r="R1950" s="179" t="s">
        <v>2723</v>
      </c>
      <c r="S1950" s="354" t="s">
        <v>2319</v>
      </c>
      <c r="T1950" s="393"/>
      <c r="U1950" s="173"/>
      <c r="V1950" s="173"/>
      <c r="W1950" s="324" t="s">
        <v>6261</v>
      </c>
      <c r="X1950" s="656" t="s">
        <v>12562</v>
      </c>
      <c r="Y1950" s="363"/>
      <c r="Z1950" s="364"/>
      <c r="AA1950" s="364"/>
      <c r="AB1950" s="32">
        <f t="shared" ca="1" si="41"/>
        <v>0.34462086013577553</v>
      </c>
      <c r="AC1950" s="812"/>
      <c r="AD1950" s="763"/>
      <c r="AE1950" s="951"/>
      <c r="AF1950" s="921">
        <f>IF(X1950=X1949,AF1949,0)+IF(ISNUMBER(I1950),IF(I1950&lt;1,I1950,I1950*VLOOKUP(J1950,Summary!$H$2:$I$9,2)),VLOOKUP(J1950,Summary!$J$2:$K$9,2)*IF(ISNUMBER(H1950),H1950,1))</f>
        <v>0.1287962962962963</v>
      </c>
      <c r="AG1950" s="288">
        <v>1949</v>
      </c>
      <c r="AH1950" s="94"/>
      <c r="AI1950" s="94"/>
    </row>
    <row r="1951" spans="1:35" s="22" customFormat="1" ht="12" customHeight="1" x14ac:dyDescent="0.25">
      <c r="A1951" s="522" t="s">
        <v>10688</v>
      </c>
      <c r="B1951" s="522">
        <v>6</v>
      </c>
      <c r="C1951" s="522">
        <v>8.1199999999999992</v>
      </c>
      <c r="D1951" s="434" t="s">
        <v>6584</v>
      </c>
      <c r="E1951" s="324" t="s">
        <v>6262</v>
      </c>
      <c r="F1951" s="174">
        <v>37956</v>
      </c>
      <c r="G1951" s="174"/>
      <c r="H1951" s="176">
        <v>1</v>
      </c>
      <c r="I1951" s="176">
        <v>19</v>
      </c>
      <c r="J1951" s="900" t="s">
        <v>2755</v>
      </c>
      <c r="K1951" s="164" t="s">
        <v>941</v>
      </c>
      <c r="L1951" s="164" t="s">
        <v>461</v>
      </c>
      <c r="M1951" s="164"/>
      <c r="N1951" s="164" t="s">
        <v>4996</v>
      </c>
      <c r="O1951" s="164"/>
      <c r="P1951" s="173" t="s">
        <v>2555</v>
      </c>
      <c r="Q1951" s="164" t="s">
        <v>3947</v>
      </c>
      <c r="R1951" s="179" t="s">
        <v>2723</v>
      </c>
      <c r="S1951" s="354" t="s">
        <v>2319</v>
      </c>
      <c r="T1951" s="173"/>
      <c r="U1951" s="173"/>
      <c r="V1951" s="173"/>
      <c r="W1951" s="324" t="s">
        <v>6262</v>
      </c>
      <c r="X1951" s="656" t="s">
        <v>12562</v>
      </c>
      <c r="Y1951" s="363"/>
      <c r="Z1951" s="364"/>
      <c r="AA1951" s="364"/>
      <c r="AB1951" s="32">
        <f t="shared" ca="1" si="41"/>
        <v>0.16947606016648242</v>
      </c>
      <c r="AC1951" s="812"/>
      <c r="AD1951" s="763"/>
      <c r="AE1951" s="951"/>
      <c r="AF1951" s="921">
        <f>IF(X1951=X1950,AF1950,0)+IF(ISNUMBER(I1951),IF(I1951&lt;1,I1951,I1951*VLOOKUP(J1951,Summary!$H$2:$I$9,2)),VLOOKUP(J1951,Summary!$J$2:$K$9,2)*IF(ISNUMBER(H1951),H1951,1))</f>
        <v>0.14199074074074075</v>
      </c>
      <c r="AG1951" s="288">
        <v>1950</v>
      </c>
      <c r="AH1951" s="94"/>
      <c r="AI1951" s="94"/>
    </row>
    <row r="1952" spans="1:35" s="43" customFormat="1" ht="12" customHeight="1" x14ac:dyDescent="0.25">
      <c r="A1952" s="522" t="s">
        <v>10688</v>
      </c>
      <c r="B1952" s="522">
        <v>6</v>
      </c>
      <c r="C1952" s="522">
        <v>10.07</v>
      </c>
      <c r="D1952" s="434" t="s">
        <v>5782</v>
      </c>
      <c r="E1952" s="324" t="s">
        <v>6263</v>
      </c>
      <c r="F1952" s="174">
        <v>38139</v>
      </c>
      <c r="G1952" s="174"/>
      <c r="H1952" s="176">
        <v>1</v>
      </c>
      <c r="I1952" s="176">
        <v>12</v>
      </c>
      <c r="J1952" s="900" t="s">
        <v>2755</v>
      </c>
      <c r="K1952" s="164" t="s">
        <v>185</v>
      </c>
      <c r="L1952" s="164" t="s">
        <v>461</v>
      </c>
      <c r="M1952" s="164"/>
      <c r="N1952" s="164" t="s">
        <v>4996</v>
      </c>
      <c r="O1952" s="164"/>
      <c r="P1952" s="173" t="s">
        <v>5669</v>
      </c>
      <c r="Q1952" s="164" t="s">
        <v>3947</v>
      </c>
      <c r="R1952" s="179" t="s">
        <v>2723</v>
      </c>
      <c r="S1952" s="354" t="s">
        <v>2319</v>
      </c>
      <c r="T1952" s="173"/>
      <c r="U1952" s="173"/>
      <c r="V1952" s="173"/>
      <c r="W1952" s="324" t="s">
        <v>6263</v>
      </c>
      <c r="X1952" s="656" t="s">
        <v>12562</v>
      </c>
      <c r="Y1952" s="363"/>
      <c r="Z1952" s="364">
        <v>999</v>
      </c>
      <c r="AA1952" s="364"/>
      <c r="AB1952" s="32">
        <f t="shared" ca="1" si="41"/>
        <v>0.66320993661829652</v>
      </c>
      <c r="AC1952" s="812"/>
      <c r="AD1952" s="763"/>
      <c r="AE1952" s="951"/>
      <c r="AF1952" s="921">
        <f>IF(X1952=X1951,AF1951,0)+IF(ISNUMBER(I1952),IF(I1952&lt;1,I1952,I1952*VLOOKUP(J1952,Summary!$H$2:$I$9,2)),VLOOKUP(J1952,Summary!$J$2:$K$9,2)*IF(ISNUMBER(H1952),H1952,1))</f>
        <v>0.15032407407407408</v>
      </c>
      <c r="AG1952" s="288">
        <v>1951</v>
      </c>
      <c r="AH1952" s="94"/>
      <c r="AI1952" s="94"/>
    </row>
    <row r="1953" spans="1:35" s="3" customFormat="1" ht="12" customHeight="1" x14ac:dyDescent="0.25">
      <c r="A1953" s="522" t="s">
        <v>10688</v>
      </c>
      <c r="B1953" s="522">
        <v>6</v>
      </c>
      <c r="C1953" s="522">
        <v>31.08</v>
      </c>
      <c r="D1953" s="176" t="s">
        <v>618</v>
      </c>
      <c r="E1953" s="313" t="s">
        <v>628</v>
      </c>
      <c r="F1953" s="174">
        <v>39873</v>
      </c>
      <c r="G1953" s="174"/>
      <c r="H1953" s="176" t="s">
        <v>461</v>
      </c>
      <c r="I1953" s="176">
        <v>15</v>
      </c>
      <c r="J1953" s="900" t="s">
        <v>2755</v>
      </c>
      <c r="K1953" s="164" t="s">
        <v>5146</v>
      </c>
      <c r="L1953" s="164" t="s">
        <v>461</v>
      </c>
      <c r="M1953" s="164"/>
      <c r="N1953" s="164" t="s">
        <v>1805</v>
      </c>
      <c r="O1953" s="164"/>
      <c r="P1953" s="173" t="s">
        <v>6699</v>
      </c>
      <c r="Q1953" s="164" t="s">
        <v>3947</v>
      </c>
      <c r="R1953" s="177" t="s">
        <v>2723</v>
      </c>
      <c r="S1953" s="354" t="s">
        <v>2319</v>
      </c>
      <c r="T1953" s="173"/>
      <c r="U1953" s="173"/>
      <c r="V1953" s="173"/>
      <c r="W1953" s="313" t="s">
        <v>628</v>
      </c>
      <c r="X1953" s="645" t="s">
        <v>12562</v>
      </c>
      <c r="Y1953" s="354"/>
      <c r="Z1953" s="176"/>
      <c r="AA1953" s="176"/>
      <c r="AB1953" s="32">
        <f t="shared" ca="1" si="41"/>
        <v>0.66134468930647117</v>
      </c>
      <c r="AC1953" s="812"/>
      <c r="AD1953" s="763"/>
      <c r="AE1953" s="807"/>
      <c r="AF1953" s="921">
        <f>IF(X1953=X1952,AF1952,0)+IF(ISNUMBER(I1953),IF(I1953&lt;1,I1953,I1953*VLOOKUP(J1953,Summary!$H$2:$I$9,2)),VLOOKUP(J1953,Summary!$J$2:$K$9,2)*IF(ISNUMBER(H1953),H1953,1))</f>
        <v>0.16074074074074074</v>
      </c>
      <c r="AG1953" s="289">
        <v>1952</v>
      </c>
      <c r="AH1953" s="94"/>
      <c r="AI1953" s="94"/>
    </row>
    <row r="1954" spans="1:35" s="22" customFormat="1" ht="12" customHeight="1" x14ac:dyDescent="0.25">
      <c r="A1954" s="522" t="s">
        <v>10688</v>
      </c>
      <c r="B1954" s="522">
        <v>6</v>
      </c>
      <c r="C1954" s="522">
        <v>18</v>
      </c>
      <c r="D1954" s="176" t="s">
        <v>9797</v>
      </c>
      <c r="E1954" s="313" t="s">
        <v>9798</v>
      </c>
      <c r="F1954" s="175">
        <v>41802</v>
      </c>
      <c r="G1954" s="174"/>
      <c r="H1954" s="176">
        <v>1</v>
      </c>
      <c r="I1954" s="176">
        <v>8</v>
      </c>
      <c r="J1954" s="900" t="s">
        <v>2755</v>
      </c>
      <c r="K1954" s="164" t="s">
        <v>9281</v>
      </c>
      <c r="L1954" s="164" t="s">
        <v>461</v>
      </c>
      <c r="M1954" s="164"/>
      <c r="N1954" s="164" t="s">
        <v>543</v>
      </c>
      <c r="O1954" s="164"/>
      <c r="P1954" s="173" t="s">
        <v>9278</v>
      </c>
      <c r="Q1954" s="164" t="s">
        <v>3953</v>
      </c>
      <c r="R1954" s="177" t="s">
        <v>9279</v>
      </c>
      <c r="S1954" s="354" t="s">
        <v>2319</v>
      </c>
      <c r="T1954" s="173"/>
      <c r="U1954" s="173"/>
      <c r="V1954" s="173"/>
      <c r="W1954" s="313" t="s">
        <v>9798</v>
      </c>
      <c r="X1954" s="645" t="s">
        <v>12562</v>
      </c>
      <c r="Y1954" s="354" t="s">
        <v>6868</v>
      </c>
      <c r="Z1954" s="176"/>
      <c r="AA1954" s="176"/>
      <c r="AB1954" s="32">
        <f t="shared" ca="1" si="41"/>
        <v>0.67469462793404078</v>
      </c>
      <c r="AC1954" s="812"/>
      <c r="AD1954" s="763"/>
      <c r="AE1954" s="807"/>
      <c r="AF1954" s="921">
        <f>IF(X1954=X1953,AF1953,0)+IF(ISNUMBER(I1954),IF(I1954&lt;1,I1954,I1954*VLOOKUP(J1954,Summary!$H$2:$I$9,2)),VLOOKUP(J1954,Summary!$J$2:$K$9,2)*IF(ISNUMBER(H1954),H1954,1))</f>
        <v>0.1662962962962963</v>
      </c>
      <c r="AG1954" s="289">
        <v>1953</v>
      </c>
      <c r="AH1954" s="94"/>
      <c r="AI1954" s="94"/>
    </row>
    <row r="1955" spans="1:35" s="43" customFormat="1" ht="12" customHeight="1" x14ac:dyDescent="0.25">
      <c r="A1955" s="522" t="s">
        <v>10688</v>
      </c>
      <c r="B1955" s="522">
        <v>6</v>
      </c>
      <c r="C1955" s="522">
        <v>10</v>
      </c>
      <c r="D1955" s="176" t="s">
        <v>9778</v>
      </c>
      <c r="E1955" s="313" t="s">
        <v>9779</v>
      </c>
      <c r="F1955" s="175">
        <v>42159</v>
      </c>
      <c r="G1955" s="174"/>
      <c r="H1955" s="176" t="s">
        <v>461</v>
      </c>
      <c r="I1955" s="176"/>
      <c r="J1955" s="900" t="s">
        <v>2755</v>
      </c>
      <c r="K1955" s="164" t="s">
        <v>4552</v>
      </c>
      <c r="L1955" s="164" t="s">
        <v>461</v>
      </c>
      <c r="M1955" s="164"/>
      <c r="N1955" s="164"/>
      <c r="O1955" s="164"/>
      <c r="P1955" s="173" t="s">
        <v>9509</v>
      </c>
      <c r="Q1955" s="164" t="s">
        <v>3953</v>
      </c>
      <c r="R1955" s="177" t="s">
        <v>9510</v>
      </c>
      <c r="S1955" s="354" t="s">
        <v>2319</v>
      </c>
      <c r="T1955" s="173"/>
      <c r="U1955" s="173"/>
      <c r="V1955" s="173"/>
      <c r="W1955" s="313" t="s">
        <v>9779</v>
      </c>
      <c r="X1955" s="645" t="s">
        <v>12562</v>
      </c>
      <c r="Y1955" s="354"/>
      <c r="Z1955" s="157"/>
      <c r="AA1955" s="176"/>
      <c r="AB1955" s="32">
        <f t="shared" ca="1" si="41"/>
        <v>0.48426764909706765</v>
      </c>
      <c r="AC1955" s="812"/>
      <c r="AD1955" s="763"/>
      <c r="AE1955" s="807"/>
      <c r="AF1955" s="921">
        <f>IF(X1955=X1954,AF1954,0)+IF(ISNUMBER(I1955),IF(I1955&lt;1,I1955,I1955*VLOOKUP(J1955,Summary!$H$2:$I$9,2)),VLOOKUP(J1955,Summary!$J$2:$K$9,2)*IF(ISNUMBER(H1955),H1955,1))</f>
        <v>0.18365740740740741</v>
      </c>
      <c r="AG1955" s="289">
        <v>1954</v>
      </c>
      <c r="AH1955" s="94"/>
      <c r="AI1955" s="94"/>
    </row>
    <row r="1956" spans="1:35" s="22" customFormat="1" ht="12" customHeight="1" x14ac:dyDescent="0.25">
      <c r="A1956" s="522" t="s">
        <v>10688</v>
      </c>
      <c r="B1956" s="522">
        <v>6</v>
      </c>
      <c r="C1956" s="529">
        <v>10</v>
      </c>
      <c r="D1956" s="176" t="s">
        <v>10685</v>
      </c>
      <c r="E1956" s="313" t="s">
        <v>10686</v>
      </c>
      <c r="F1956" s="174">
        <v>31594</v>
      </c>
      <c r="G1956" s="174"/>
      <c r="H1956" s="176">
        <v>1</v>
      </c>
      <c r="I1956" s="176">
        <v>3</v>
      </c>
      <c r="J1956" s="900" t="s">
        <v>2755</v>
      </c>
      <c r="K1956" s="164" t="s">
        <v>10687</v>
      </c>
      <c r="L1956" s="164" t="s">
        <v>461</v>
      </c>
      <c r="M1956" s="164"/>
      <c r="N1956" s="164"/>
      <c r="O1956" s="164"/>
      <c r="P1956" s="173"/>
      <c r="Q1956" s="164" t="s">
        <v>4062</v>
      </c>
      <c r="R1956" s="177" t="s">
        <v>10250</v>
      </c>
      <c r="S1956" s="354" t="s">
        <v>2319</v>
      </c>
      <c r="T1956" s="173"/>
      <c r="U1956" s="173"/>
      <c r="V1956" s="173"/>
      <c r="W1956" s="313" t="s">
        <v>10686</v>
      </c>
      <c r="X1956" s="645" t="s">
        <v>12562</v>
      </c>
      <c r="Y1956" s="354"/>
      <c r="Z1956" s="176"/>
      <c r="AA1956" s="176"/>
      <c r="AB1956" s="32">
        <f t="shared" ca="1" si="41"/>
        <v>0.2523538794041833</v>
      </c>
      <c r="AC1956" s="812"/>
      <c r="AD1956" s="763"/>
      <c r="AE1956" s="807"/>
      <c r="AF1956" s="921">
        <f>IF(X1956=X1955,AF1955,0)+IF(ISNUMBER(I1956),IF(I1956&lt;1,I1956,I1956*VLOOKUP(J1956,Summary!$H$2:$I$9,2)),VLOOKUP(J1956,Summary!$J$2:$K$9,2)*IF(ISNUMBER(H1956),H1956,1))</f>
        <v>0.18574074074074073</v>
      </c>
      <c r="AG1956" s="289">
        <v>1955</v>
      </c>
      <c r="AH1956" s="94"/>
      <c r="AI1956" s="94"/>
    </row>
    <row r="1957" spans="1:35" s="6" customFormat="1" ht="12" customHeight="1" x14ac:dyDescent="0.25">
      <c r="A1957" s="527" t="s">
        <v>10688</v>
      </c>
      <c r="B1957" s="527">
        <v>6</v>
      </c>
      <c r="C1957" s="527">
        <v>6</v>
      </c>
      <c r="D1957" s="407" t="s">
        <v>2114</v>
      </c>
      <c r="E1957" s="315" t="s">
        <v>2115</v>
      </c>
      <c r="F1957" s="196">
        <v>41426</v>
      </c>
      <c r="G1957" s="170"/>
      <c r="H1957" s="170">
        <v>1</v>
      </c>
      <c r="I1957" s="746">
        <f>TIME(1,15,46)</f>
        <v>5.2615740740740741E-2</v>
      </c>
      <c r="J1957" s="899" t="s">
        <v>4706</v>
      </c>
      <c r="K1957" s="167" t="s">
        <v>3284</v>
      </c>
      <c r="L1957" s="167" t="s">
        <v>6231</v>
      </c>
      <c r="M1957" s="167" t="s">
        <v>2116</v>
      </c>
      <c r="N1957" s="167"/>
      <c r="O1957" s="167"/>
      <c r="P1957" s="168" t="s">
        <v>2105</v>
      </c>
      <c r="Q1957" s="167" t="s">
        <v>2096</v>
      </c>
      <c r="R1957" s="172" t="s">
        <v>2092</v>
      </c>
      <c r="S1957" s="388" t="s">
        <v>2319</v>
      </c>
      <c r="T1957" s="168"/>
      <c r="U1957" s="168"/>
      <c r="V1957" s="168"/>
      <c r="W1957" s="312" t="s">
        <v>2115</v>
      </c>
      <c r="X1957" s="644" t="s">
        <v>12562</v>
      </c>
      <c r="Y1957" s="352" t="s">
        <v>5643</v>
      </c>
      <c r="Z1957" s="353">
        <v>62</v>
      </c>
      <c r="AA1957" s="353">
        <v>8</v>
      </c>
      <c r="AB1957" s="40">
        <f t="shared" ca="1" si="41"/>
        <v>0.45231941570084611</v>
      </c>
      <c r="AC1957" s="810"/>
      <c r="AD1957" s="811"/>
      <c r="AE1957" s="940"/>
      <c r="AF1957" s="920">
        <f>IF(X1957=X1956,AF1956,0)+IF(ISNUMBER(I1957),IF(I1957&lt;1,I1957,I1957*VLOOKUP(J1957,Summary!$H$2:$I$9,2)),VLOOKUP(J1957,Summary!$J$2:$K$9,2)*IF(ISNUMBER(H1957),H1957,1))</f>
        <v>0.23835648148148147</v>
      </c>
      <c r="AG1957" s="287">
        <v>1956</v>
      </c>
      <c r="AH1957" s="94"/>
      <c r="AI1957" s="94"/>
    </row>
    <row r="1958" spans="1:35" s="43" customFormat="1" ht="12" customHeight="1" x14ac:dyDescent="0.25">
      <c r="A1958" s="523" t="s">
        <v>10688</v>
      </c>
      <c r="B1958" s="523">
        <v>6</v>
      </c>
      <c r="C1958" s="523">
        <v>2</v>
      </c>
      <c r="D1958" s="417" t="s">
        <v>2815</v>
      </c>
      <c r="E1958" s="316" t="s">
        <v>7803</v>
      </c>
      <c r="F1958" s="187">
        <v>32721</v>
      </c>
      <c r="G1958" s="188"/>
      <c r="H1958" s="188" t="str">
        <f>IF(J1958="Book","n/a","")</f>
        <v>n/a</v>
      </c>
      <c r="I1958" s="188">
        <v>144</v>
      </c>
      <c r="J1958" s="902" t="s">
        <v>6868</v>
      </c>
      <c r="K1958" s="162" t="s">
        <v>2298</v>
      </c>
      <c r="L1958" s="162" t="str">
        <f>IF(J1958="Book","n/a","")</f>
        <v>n/a</v>
      </c>
      <c r="M1958" s="162"/>
      <c r="N1958" s="162"/>
      <c r="O1958" s="162"/>
      <c r="P1958" s="178" t="s">
        <v>8871</v>
      </c>
      <c r="Q1958" s="162" t="s">
        <v>604</v>
      </c>
      <c r="R1958" s="189" t="s">
        <v>6991</v>
      </c>
      <c r="S1958" s="366" t="s">
        <v>2319</v>
      </c>
      <c r="T1958" s="178"/>
      <c r="U1958" s="178"/>
      <c r="V1958" s="178"/>
      <c r="W1958" s="316" t="s">
        <v>7803</v>
      </c>
      <c r="X1958" s="648" t="s">
        <v>12562</v>
      </c>
      <c r="Y1958" s="356"/>
      <c r="Z1958" s="272"/>
      <c r="AA1958" s="272"/>
      <c r="AB1958" s="34">
        <f t="shared" ca="1" si="41"/>
        <v>0.50645647998730792</v>
      </c>
      <c r="AC1958" s="814"/>
      <c r="AD1958" s="815"/>
      <c r="AE1958" s="942"/>
      <c r="AF1958" s="923">
        <f>IF(X1958=X1957,AF1957,0)+IF(ISNUMBER(I1958),IF(I1958&lt;1,I1958,I1958*VLOOKUP(J1958,Summary!$H$2:$I$9,2)),VLOOKUP(J1958,Summary!$J$2:$K$9,2)*IF(ISNUMBER(H1958),H1958,1))</f>
        <v>0.33835648148148145</v>
      </c>
      <c r="AG1958" s="291">
        <v>1957</v>
      </c>
      <c r="AH1958" s="94"/>
      <c r="AI1958" s="94"/>
    </row>
    <row r="1959" spans="1:35" s="22" customFormat="1" ht="12" customHeight="1" x14ac:dyDescent="0.2">
      <c r="A1959" s="527" t="s">
        <v>10688</v>
      </c>
      <c r="B1959" s="527">
        <v>6</v>
      </c>
      <c r="C1959" s="527">
        <v>1.2</v>
      </c>
      <c r="D1959" s="407" t="s">
        <v>4703</v>
      </c>
      <c r="E1959" s="315" t="s">
        <v>5786</v>
      </c>
      <c r="F1959" s="169">
        <v>40148</v>
      </c>
      <c r="G1959" s="170"/>
      <c r="H1959" s="170">
        <v>2</v>
      </c>
      <c r="I1959" s="746">
        <f>TIME(1,46,49)</f>
        <v>7.4178240740740739E-2</v>
      </c>
      <c r="J1959" s="899" t="s">
        <v>4706</v>
      </c>
      <c r="K1959" s="167" t="s">
        <v>197</v>
      </c>
      <c r="L1959" s="167" t="s">
        <v>5662</v>
      </c>
      <c r="M1959" s="167"/>
      <c r="N1959" s="167"/>
      <c r="O1959" s="167"/>
      <c r="P1959" s="168" t="s">
        <v>8913</v>
      </c>
      <c r="Q1959" s="167" t="s">
        <v>3947</v>
      </c>
      <c r="R1959" s="172" t="s">
        <v>6992</v>
      </c>
      <c r="S1959" s="388" t="s">
        <v>2319</v>
      </c>
      <c r="T1959" s="168"/>
      <c r="U1959" s="168"/>
      <c r="V1959" s="168"/>
      <c r="W1959" s="312" t="s">
        <v>9619</v>
      </c>
      <c r="X1959" s="644" t="s">
        <v>12562</v>
      </c>
      <c r="Y1959" s="352" t="s">
        <v>5643</v>
      </c>
      <c r="Z1959" s="353">
        <v>700</v>
      </c>
      <c r="AA1959" s="353">
        <v>0.5</v>
      </c>
      <c r="AB1959" s="40">
        <f t="shared" ca="1" si="41"/>
        <v>0.78772916155031036</v>
      </c>
      <c r="AC1959" s="810"/>
      <c r="AD1959" s="811" t="s">
        <v>16163</v>
      </c>
      <c r="AE1959" s="940" t="s">
        <v>12543</v>
      </c>
      <c r="AF1959" s="920">
        <f>IF(X1959=X1958,AF1958,0)+IF(ISNUMBER(I1959),IF(I1959&lt;1,I1959,I1959*VLOOKUP(J1959,Summary!$H$2:$I$9,2)),VLOOKUP(J1959,Summary!$J$2:$K$9,2)*IF(ISNUMBER(H1959),H1959,1))</f>
        <v>0.41253472222222221</v>
      </c>
      <c r="AG1959" s="287">
        <v>1958</v>
      </c>
      <c r="AH1959" s="94"/>
      <c r="AI1959" s="94"/>
    </row>
    <row r="1960" spans="1:35" s="43" customFormat="1" ht="12" customHeight="1" x14ac:dyDescent="0.25">
      <c r="A1960" s="527" t="s">
        <v>10688</v>
      </c>
      <c r="B1960" s="527">
        <v>6</v>
      </c>
      <c r="C1960" s="527">
        <v>1.3</v>
      </c>
      <c r="D1960" s="407" t="s">
        <v>5787</v>
      </c>
      <c r="E1960" s="315" t="s">
        <v>5788</v>
      </c>
      <c r="F1960" s="169">
        <v>40179</v>
      </c>
      <c r="G1960" s="170"/>
      <c r="H1960" s="170">
        <v>4</v>
      </c>
      <c r="I1960" s="746">
        <f>TIME(1,55,40)</f>
        <v>8.0324074074074062E-2</v>
      </c>
      <c r="J1960" s="899" t="s">
        <v>4706</v>
      </c>
      <c r="K1960" s="167" t="s">
        <v>2303</v>
      </c>
      <c r="L1960" s="167" t="s">
        <v>2313</v>
      </c>
      <c r="M1960" s="167"/>
      <c r="N1960" s="167" t="s">
        <v>2304</v>
      </c>
      <c r="O1960" s="167"/>
      <c r="P1960" s="168" t="s">
        <v>8914</v>
      </c>
      <c r="Q1960" s="167" t="s">
        <v>3947</v>
      </c>
      <c r="R1960" s="172" t="s">
        <v>6992</v>
      </c>
      <c r="S1960" s="388" t="s">
        <v>2319</v>
      </c>
      <c r="T1960" s="168"/>
      <c r="U1960" s="168"/>
      <c r="V1960" s="168"/>
      <c r="W1960" s="312" t="s">
        <v>9620</v>
      </c>
      <c r="X1960" s="644" t="s">
        <v>12562</v>
      </c>
      <c r="Y1960" s="352" t="s">
        <v>5643</v>
      </c>
      <c r="Z1960" s="353">
        <v>220</v>
      </c>
      <c r="AA1960" s="353">
        <v>6</v>
      </c>
      <c r="AB1960" s="40">
        <f t="shared" ca="1" si="41"/>
        <v>9.4649855928783833E-2</v>
      </c>
      <c r="AC1960" s="810"/>
      <c r="AD1960" s="811" t="s">
        <v>16203</v>
      </c>
      <c r="AE1960" s="940" t="s">
        <v>12543</v>
      </c>
      <c r="AF1960" s="920">
        <f>IF(X1960=X1959,AF1959,0)+IF(ISNUMBER(I1960),IF(I1960&lt;1,I1960,I1960*VLOOKUP(J1960,Summary!$H$2:$I$9,2)),VLOOKUP(J1960,Summary!$J$2:$K$9,2)*IF(ISNUMBER(H1960),H1960,1))</f>
        <v>0.49285879629629625</v>
      </c>
      <c r="AG1960" s="287">
        <v>1959</v>
      </c>
      <c r="AH1960" s="94"/>
      <c r="AI1960" s="94"/>
    </row>
    <row r="1961" spans="1:35" s="29" customFormat="1" ht="12" customHeight="1" x14ac:dyDescent="0.25">
      <c r="A1961" s="522" t="s">
        <v>10688</v>
      </c>
      <c r="B1961" s="522">
        <v>6</v>
      </c>
      <c r="C1961" s="528">
        <v>10.1</v>
      </c>
      <c r="D1961" s="434" t="s">
        <v>7104</v>
      </c>
      <c r="E1961" s="324" t="s">
        <v>5759</v>
      </c>
      <c r="F1961" s="174">
        <v>38139</v>
      </c>
      <c r="G1961" s="174"/>
      <c r="H1961" s="176">
        <v>1</v>
      </c>
      <c r="I1961" s="176">
        <v>16</v>
      </c>
      <c r="J1961" s="900" t="s">
        <v>2755</v>
      </c>
      <c r="K1961" s="164" t="s">
        <v>2554</v>
      </c>
      <c r="L1961" s="164" t="s">
        <v>461</v>
      </c>
      <c r="M1961" s="164"/>
      <c r="N1961" s="164" t="s">
        <v>4996</v>
      </c>
      <c r="O1961" s="164"/>
      <c r="P1961" s="173" t="s">
        <v>5669</v>
      </c>
      <c r="Q1961" s="164" t="s">
        <v>3947</v>
      </c>
      <c r="R1961" s="179" t="s">
        <v>2723</v>
      </c>
      <c r="S1961" s="354" t="s">
        <v>2319</v>
      </c>
      <c r="T1961" s="173"/>
      <c r="U1961" s="173"/>
      <c r="V1961" s="173"/>
      <c r="W1961" s="324" t="s">
        <v>5759</v>
      </c>
      <c r="X1961" s="656" t="s">
        <v>12562</v>
      </c>
      <c r="Y1961" s="363"/>
      <c r="Z1961" s="364">
        <v>999</v>
      </c>
      <c r="AA1961" s="364"/>
      <c r="AB1961" s="32">
        <f t="shared" ca="1" si="41"/>
        <v>0.45881282460508033</v>
      </c>
      <c r="AC1961" s="812"/>
      <c r="AD1961" s="763"/>
      <c r="AE1961" s="951"/>
      <c r="AF1961" s="921">
        <f>IF(X1961=X1960,AF1960,0)+IF(ISNUMBER(I1961),IF(I1961&lt;1,I1961,I1961*VLOOKUP(J1961,Summary!$H$2:$I$9,2)),VLOOKUP(J1961,Summary!$J$2:$K$9,2)*IF(ISNUMBER(H1961),H1961,1))</f>
        <v>0.50396990740740732</v>
      </c>
      <c r="AG1961" s="288">
        <v>1960</v>
      </c>
      <c r="AH1961" s="94"/>
      <c r="AI1961" s="94"/>
    </row>
    <row r="1962" spans="1:35" s="29" customFormat="1" ht="12" customHeight="1" x14ac:dyDescent="0.25">
      <c r="A1962" s="527" t="s">
        <v>10688</v>
      </c>
      <c r="B1962" s="527">
        <v>6</v>
      </c>
      <c r="C1962" s="527">
        <v>2</v>
      </c>
      <c r="D1962" s="407" t="s">
        <v>6346</v>
      </c>
      <c r="E1962" s="315" t="s">
        <v>4698</v>
      </c>
      <c r="F1962" s="196">
        <v>31253</v>
      </c>
      <c r="G1962" s="196">
        <v>31267</v>
      </c>
      <c r="H1962" s="170">
        <v>6</v>
      </c>
      <c r="I1962" s="746">
        <f>TIME(1,0,0)</f>
        <v>4.1666666666666664E-2</v>
      </c>
      <c r="J1962" s="899" t="s">
        <v>4706</v>
      </c>
      <c r="K1962" s="167" t="s">
        <v>2366</v>
      </c>
      <c r="L1962" s="167"/>
      <c r="M1962" s="167"/>
      <c r="N1962" s="167"/>
      <c r="O1962" s="167" t="s">
        <v>2300</v>
      </c>
      <c r="P1962" s="168" t="s">
        <v>9004</v>
      </c>
      <c r="Q1962" s="167" t="s">
        <v>3948</v>
      </c>
      <c r="R1962" s="172" t="s">
        <v>2245</v>
      </c>
      <c r="S1962" s="388" t="s">
        <v>2319</v>
      </c>
      <c r="T1962" s="168"/>
      <c r="U1962" s="168"/>
      <c r="V1962" s="168"/>
      <c r="W1962" s="312"/>
      <c r="X1962" s="644" t="s">
        <v>12562</v>
      </c>
      <c r="Y1962" s="352" t="s">
        <v>5398</v>
      </c>
      <c r="Z1962" s="353">
        <v>695</v>
      </c>
      <c r="AA1962" s="353">
        <v>1</v>
      </c>
      <c r="AB1962" s="31">
        <f t="shared" ca="1" si="41"/>
        <v>0.66596648308236062</v>
      </c>
      <c r="AC1962" s="810"/>
      <c r="AD1962" s="811" t="s">
        <v>16190</v>
      </c>
      <c r="AE1962" s="940" t="s">
        <v>3365</v>
      </c>
      <c r="AF1962" s="920">
        <f>IF(X1962=X1961,AF1961,0)+IF(ISNUMBER(I1962),IF(I1962&lt;1,I1962,I1962*VLOOKUP(J1962,Summary!$H$2:$I$9,2)),VLOOKUP(J1962,Summary!$J$2:$K$9,2)*IF(ISNUMBER(H1962),H1962,1))</f>
        <v>0.54563657407407395</v>
      </c>
      <c r="AG1962" s="287">
        <v>1961</v>
      </c>
      <c r="AH1962" s="94"/>
      <c r="AI1962" s="94"/>
    </row>
    <row r="1963" spans="1:35" s="6" customFormat="1" ht="12" customHeight="1" x14ac:dyDescent="0.25">
      <c r="A1963" s="527" t="s">
        <v>10688</v>
      </c>
      <c r="B1963" s="527">
        <v>6</v>
      </c>
      <c r="C1963" s="527">
        <v>1.4</v>
      </c>
      <c r="D1963" s="407" t="s">
        <v>5789</v>
      </c>
      <c r="E1963" s="315" t="s">
        <v>5790</v>
      </c>
      <c r="F1963" s="169">
        <v>40210</v>
      </c>
      <c r="G1963" s="170"/>
      <c r="H1963" s="170">
        <v>2</v>
      </c>
      <c r="I1963" s="746">
        <f>TIME(2,0,39)</f>
        <v>8.3784722222222219E-2</v>
      </c>
      <c r="J1963" s="899" t="s">
        <v>4706</v>
      </c>
      <c r="K1963" s="167" t="s">
        <v>6963</v>
      </c>
      <c r="L1963" s="167" t="s">
        <v>6231</v>
      </c>
      <c r="M1963" s="167"/>
      <c r="N1963" s="167"/>
      <c r="O1963" s="167"/>
      <c r="P1963" s="168" t="s">
        <v>8915</v>
      </c>
      <c r="Q1963" s="167" t="s">
        <v>3947</v>
      </c>
      <c r="R1963" s="172" t="s">
        <v>6992</v>
      </c>
      <c r="S1963" s="388" t="s">
        <v>2319</v>
      </c>
      <c r="T1963" s="168"/>
      <c r="U1963" s="168"/>
      <c r="V1963" s="168"/>
      <c r="W1963" s="312" t="s">
        <v>9621</v>
      </c>
      <c r="X1963" s="644" t="s">
        <v>12562</v>
      </c>
      <c r="Y1963" s="352" t="s">
        <v>5643</v>
      </c>
      <c r="Z1963" s="353">
        <v>385</v>
      </c>
      <c r="AA1963" s="353">
        <v>5</v>
      </c>
      <c r="AB1963" s="40">
        <f t="shared" ca="1" si="41"/>
        <v>0.69355248373849987</v>
      </c>
      <c r="AC1963" s="810"/>
      <c r="AD1963" s="811" t="s">
        <v>16007</v>
      </c>
      <c r="AE1963" s="940" t="s">
        <v>12543</v>
      </c>
      <c r="AF1963" s="920">
        <f>IF(X1963=X1962,AF1962,0)+IF(ISNUMBER(I1963),IF(I1963&lt;1,I1963,I1963*VLOOKUP(J1963,Summary!$H$2:$I$9,2)),VLOOKUP(J1963,Summary!$J$2:$K$9,2)*IF(ISNUMBER(H1963),H1963,1))</f>
        <v>0.62942129629629617</v>
      </c>
      <c r="AG1963" s="287">
        <v>1962</v>
      </c>
      <c r="AH1963" s="94"/>
      <c r="AI1963" s="94"/>
    </row>
    <row r="1964" spans="1:35" s="6" customFormat="1" ht="12" customHeight="1" x14ac:dyDescent="0.25">
      <c r="A1964" s="523" t="s">
        <v>10688</v>
      </c>
      <c r="B1964" s="523">
        <v>6</v>
      </c>
      <c r="C1964" s="523">
        <v>5</v>
      </c>
      <c r="D1964" s="417" t="s">
        <v>4699</v>
      </c>
      <c r="E1964" s="316" t="s">
        <v>4700</v>
      </c>
      <c r="F1964" s="187">
        <v>34669</v>
      </c>
      <c r="G1964" s="188"/>
      <c r="H1964" s="188" t="str">
        <f>IF(J1964="Book","n/a","")</f>
        <v>n/a</v>
      </c>
      <c r="I1964" s="188">
        <v>295</v>
      </c>
      <c r="J1964" s="902" t="s">
        <v>6868</v>
      </c>
      <c r="K1964" s="162" t="s">
        <v>181</v>
      </c>
      <c r="L1964" s="162" t="str">
        <f>IF(J1964="Book","n/a","")</f>
        <v>n/a</v>
      </c>
      <c r="M1964" s="162"/>
      <c r="N1964" s="162"/>
      <c r="O1964" s="162"/>
      <c r="P1964" s="178" t="s">
        <v>8590</v>
      </c>
      <c r="Q1964" s="162" t="s">
        <v>601</v>
      </c>
      <c r="R1964" s="189" t="s">
        <v>2715</v>
      </c>
      <c r="S1964" s="366" t="s">
        <v>2319</v>
      </c>
      <c r="T1964" s="178"/>
      <c r="U1964" s="178"/>
      <c r="V1964" s="178"/>
      <c r="W1964" s="316" t="s">
        <v>4700</v>
      </c>
      <c r="X1964" s="648" t="s">
        <v>12562</v>
      </c>
      <c r="Y1964" s="356"/>
      <c r="Z1964" s="272"/>
      <c r="AA1964" s="272"/>
      <c r="AB1964" s="34">
        <f t="shared" ca="1" si="41"/>
        <v>0.79917128417650729</v>
      </c>
      <c r="AC1964" s="814"/>
      <c r="AD1964" s="818" t="s">
        <v>15054</v>
      </c>
      <c r="AE1964" s="942"/>
      <c r="AF1964" s="923">
        <f>IF(X1964=X1963,AF1963,0)+IF(ISNUMBER(I1964),IF(I1964&lt;1,I1964,I1964*VLOOKUP(J1964,Summary!$H$2:$I$9,2)),VLOOKUP(J1964,Summary!$J$2:$K$9,2)*IF(ISNUMBER(H1964),H1964,1))</f>
        <v>0.83428240740740733</v>
      </c>
      <c r="AG1964" s="291">
        <v>1963</v>
      </c>
      <c r="AH1964" s="94"/>
      <c r="AI1964" s="94"/>
    </row>
    <row r="1965" spans="1:35" s="22" customFormat="1" ht="12" customHeight="1" x14ac:dyDescent="0.25">
      <c r="A1965" s="522" t="s">
        <v>10688</v>
      </c>
      <c r="B1965" s="522">
        <v>6</v>
      </c>
      <c r="C1965" s="529">
        <v>60</v>
      </c>
      <c r="D1965" s="176" t="s">
        <v>7624</v>
      </c>
      <c r="E1965" s="313" t="s">
        <v>3488</v>
      </c>
      <c r="F1965" s="174">
        <v>34578</v>
      </c>
      <c r="G1965" s="174"/>
      <c r="H1965" s="176">
        <v>1</v>
      </c>
      <c r="I1965" s="176">
        <v>4</v>
      </c>
      <c r="J1965" s="900" t="s">
        <v>2755</v>
      </c>
      <c r="K1965" s="164" t="s">
        <v>1536</v>
      </c>
      <c r="L1965" s="164" t="s">
        <v>461</v>
      </c>
      <c r="M1965" s="164"/>
      <c r="N1965" s="164" t="s">
        <v>7626</v>
      </c>
      <c r="O1965" s="164"/>
      <c r="P1965" s="173" t="s">
        <v>7627</v>
      </c>
      <c r="Q1965" s="164" t="s">
        <v>4062</v>
      </c>
      <c r="R1965" s="177" t="s">
        <v>4599</v>
      </c>
      <c r="S1965" s="354" t="s">
        <v>2319</v>
      </c>
      <c r="T1965" s="173"/>
      <c r="U1965" s="173"/>
      <c r="V1965" s="173"/>
      <c r="W1965" s="313" t="s">
        <v>3488</v>
      </c>
      <c r="X1965" s="645" t="s">
        <v>12562</v>
      </c>
      <c r="Y1965" s="354" t="s">
        <v>6868</v>
      </c>
      <c r="Z1965" s="176">
        <v>999</v>
      </c>
      <c r="AA1965" s="176"/>
      <c r="AB1965" s="32">
        <f t="shared" ca="1" si="41"/>
        <v>0.80316768184276432</v>
      </c>
      <c r="AC1965" s="812"/>
      <c r="AD1965" s="763"/>
      <c r="AE1965" s="807"/>
      <c r="AF1965" s="921">
        <f>IF(X1965=X1964,AF1964,0)+IF(ISNUMBER(I1965),IF(I1965&lt;1,I1965,I1965*VLOOKUP(J1965,Summary!$H$2:$I$9,2)),VLOOKUP(J1965,Summary!$J$2:$K$9,2)*IF(ISNUMBER(H1965),H1965,1))</f>
        <v>0.8370601851851851</v>
      </c>
      <c r="AG1965" s="289">
        <v>1964</v>
      </c>
      <c r="AH1965" s="94"/>
      <c r="AI1965" s="94"/>
    </row>
    <row r="1966" spans="1:35" s="1" customFormat="1" ht="12" customHeight="1" x14ac:dyDescent="0.25">
      <c r="A1966" s="527" t="s">
        <v>10688</v>
      </c>
      <c r="B1966" s="527">
        <v>6</v>
      </c>
      <c r="C1966" s="527">
        <v>1.5</v>
      </c>
      <c r="D1966" s="407" t="s">
        <v>5791</v>
      </c>
      <c r="E1966" s="315" t="s">
        <v>5792</v>
      </c>
      <c r="F1966" s="169">
        <v>40299</v>
      </c>
      <c r="G1966" s="170"/>
      <c r="H1966" s="170">
        <v>4</v>
      </c>
      <c r="I1966" s="746">
        <f>TIME(1,59,10)</f>
        <v>8.2754629629629636E-2</v>
      </c>
      <c r="J1966" s="899" t="s">
        <v>4706</v>
      </c>
      <c r="K1966" s="167" t="s">
        <v>2305</v>
      </c>
      <c r="L1966" s="167" t="s">
        <v>3296</v>
      </c>
      <c r="M1966" s="167"/>
      <c r="N1966" s="167" t="s">
        <v>175</v>
      </c>
      <c r="O1966" s="167"/>
      <c r="P1966" s="168" t="s">
        <v>8916</v>
      </c>
      <c r="Q1966" s="167" t="s">
        <v>3947</v>
      </c>
      <c r="R1966" s="172" t="s">
        <v>6992</v>
      </c>
      <c r="S1966" s="388" t="s">
        <v>2319</v>
      </c>
      <c r="T1966" s="168"/>
      <c r="U1966" s="168"/>
      <c r="V1966" s="168"/>
      <c r="W1966" s="312" t="s">
        <v>9622</v>
      </c>
      <c r="X1966" s="644" t="s">
        <v>12562</v>
      </c>
      <c r="Y1966" s="352" t="s">
        <v>4262</v>
      </c>
      <c r="Z1966" s="353">
        <v>230</v>
      </c>
      <c r="AA1966" s="353">
        <v>6</v>
      </c>
      <c r="AB1966" s="40">
        <f t="shared" ca="1" si="41"/>
        <v>5.4022549598483072E-2</v>
      </c>
      <c r="AC1966" s="810"/>
      <c r="AD1966" s="811" t="s">
        <v>16362</v>
      </c>
      <c r="AE1966" s="940" t="s">
        <v>12543</v>
      </c>
      <c r="AF1966" s="920">
        <f>IF(X1966=X1965,AF1965,0)+IF(ISNUMBER(I1966),IF(I1966&lt;1,I1966,I1966*VLOOKUP(J1966,Summary!$H$2:$I$9,2)),VLOOKUP(J1966,Summary!$J$2:$K$9,2)*IF(ISNUMBER(H1966),H1966,1))</f>
        <v>0.91981481481481475</v>
      </c>
      <c r="AG1966" s="287">
        <v>1965</v>
      </c>
      <c r="AH1966" s="94"/>
      <c r="AI1966" s="94"/>
    </row>
    <row r="1967" spans="1:35" s="1" customFormat="1" ht="12" customHeight="1" x14ac:dyDescent="0.25">
      <c r="A1967" s="801" t="s">
        <v>10688</v>
      </c>
      <c r="B1967" s="801">
        <v>6</v>
      </c>
      <c r="C1967" s="801">
        <v>2</v>
      </c>
      <c r="D1967" s="619" t="s">
        <v>15564</v>
      </c>
      <c r="E1967" s="345" t="s">
        <v>15565</v>
      </c>
      <c r="F1967" s="219">
        <v>31498</v>
      </c>
      <c r="G1967" s="219"/>
      <c r="H1967" s="210" t="s">
        <v>461</v>
      </c>
      <c r="I1967" s="210">
        <v>128</v>
      </c>
      <c r="J1967" s="908" t="s">
        <v>15556</v>
      </c>
      <c r="K1967" s="166" t="s">
        <v>15566</v>
      </c>
      <c r="L1967" s="166"/>
      <c r="M1967" s="166"/>
      <c r="N1967" s="166"/>
      <c r="O1967" s="166"/>
      <c r="P1967" s="267" t="s">
        <v>15567</v>
      </c>
      <c r="Q1967" s="166" t="s">
        <v>15562</v>
      </c>
      <c r="R1967" s="268" t="s">
        <v>15568</v>
      </c>
      <c r="S1967" s="386" t="s">
        <v>2319</v>
      </c>
      <c r="T1967" s="267"/>
      <c r="U1967" s="267" t="s">
        <v>2322</v>
      </c>
      <c r="V1967" s="267"/>
      <c r="W1967" s="345" t="s">
        <v>15565</v>
      </c>
      <c r="X1967" s="680" t="s">
        <v>12562</v>
      </c>
      <c r="Y1967" s="384"/>
      <c r="Z1967" s="385"/>
      <c r="AA1967" s="385"/>
      <c r="AB1967" s="41">
        <f t="shared" ca="1" si="41"/>
        <v>0.82283369154192521</v>
      </c>
      <c r="AC1967" s="832"/>
      <c r="AD1967" s="833"/>
      <c r="AE1967" s="956"/>
      <c r="AF1967" s="929">
        <f>IF(X1967=X1966,AF1966,0)+IF(ISNUMBER(I1967),IF(I1967&lt;1,I1967,I1967*VLOOKUP(J1967,Summary!$H$2:$I$9,2)),VLOOKUP(J1967,Summary!$J$2:$K$9,2)*IF(ISNUMBER(H1967),H1967,1))</f>
        <v>0.96425925925925915</v>
      </c>
      <c r="AG1967" s="307">
        <v>1966</v>
      </c>
      <c r="AH1967" s="94"/>
      <c r="AI1967" s="94"/>
    </row>
    <row r="1968" spans="1:35" s="6" customFormat="1" ht="12" customHeight="1" x14ac:dyDescent="0.25">
      <c r="A1968" s="522" t="s">
        <v>10688</v>
      </c>
      <c r="B1968" s="522">
        <v>6</v>
      </c>
      <c r="C1968" s="522">
        <v>29.15</v>
      </c>
      <c r="D1968" s="176" t="s">
        <v>2776</v>
      </c>
      <c r="E1968" s="313" t="s">
        <v>5338</v>
      </c>
      <c r="F1968" s="174">
        <v>39692</v>
      </c>
      <c r="G1968" s="174"/>
      <c r="H1968" s="176" t="s">
        <v>461</v>
      </c>
      <c r="I1968" s="176">
        <v>4</v>
      </c>
      <c r="J1968" s="900" t="s">
        <v>2755</v>
      </c>
      <c r="K1968" s="164" t="s">
        <v>5843</v>
      </c>
      <c r="L1968" s="164" t="s">
        <v>461</v>
      </c>
      <c r="M1968" s="164"/>
      <c r="N1968" s="164" t="s">
        <v>5664</v>
      </c>
      <c r="O1968" s="164"/>
      <c r="P1968" s="173" t="s">
        <v>6707</v>
      </c>
      <c r="Q1968" s="164" t="s">
        <v>3947</v>
      </c>
      <c r="R1968" s="177" t="s">
        <v>2723</v>
      </c>
      <c r="S1968" s="354" t="s">
        <v>2319</v>
      </c>
      <c r="T1968" s="173"/>
      <c r="U1968" s="173"/>
      <c r="V1968" s="173"/>
      <c r="W1968" s="313" t="s">
        <v>5338</v>
      </c>
      <c r="X1968" s="645" t="s">
        <v>12562</v>
      </c>
      <c r="Y1968" s="354"/>
      <c r="Z1968" s="176"/>
      <c r="AA1968" s="176"/>
      <c r="AB1968" s="32">
        <f t="shared" ca="1" si="41"/>
        <v>0.2247602098215884</v>
      </c>
      <c r="AC1968" s="812"/>
      <c r="AD1968" s="763"/>
      <c r="AE1968" s="807"/>
      <c r="AF1968" s="921">
        <f>IF(X1968=X1967,AF1967,0)+IF(ISNUMBER(I1968),IF(I1968&lt;1,I1968,I1968*VLOOKUP(J1968,Summary!$H$2:$I$9,2)),VLOOKUP(J1968,Summary!$J$2:$K$9,2)*IF(ISNUMBER(H1968),H1968,1))</f>
        <v>0.96703703703703692</v>
      </c>
      <c r="AG1968" s="289">
        <v>1967</v>
      </c>
      <c r="AH1968" s="94"/>
      <c r="AI1968" s="94"/>
    </row>
    <row r="1969" spans="1:35" s="6" customFormat="1" ht="12" customHeight="1" x14ac:dyDescent="0.25">
      <c r="A1969" s="527" t="s">
        <v>10688</v>
      </c>
      <c r="B1969" s="527">
        <v>6</v>
      </c>
      <c r="C1969" s="527">
        <v>1.6</v>
      </c>
      <c r="D1969" s="407" t="s">
        <v>5793</v>
      </c>
      <c r="E1969" s="315" t="s">
        <v>5794</v>
      </c>
      <c r="F1969" s="169">
        <v>40269</v>
      </c>
      <c r="G1969" s="170"/>
      <c r="H1969" s="170">
        <v>2</v>
      </c>
      <c r="I1969" s="746">
        <f>TIME(2,9,30)</f>
        <v>8.9930555555555555E-2</v>
      </c>
      <c r="J1969" s="899" t="s">
        <v>4706</v>
      </c>
      <c r="K1969" s="167" t="s">
        <v>5511</v>
      </c>
      <c r="L1969" s="167" t="s">
        <v>6231</v>
      </c>
      <c r="M1969" s="167"/>
      <c r="N1969" s="167" t="s">
        <v>941</v>
      </c>
      <c r="O1969" s="167"/>
      <c r="P1969" s="168" t="s">
        <v>8917</v>
      </c>
      <c r="Q1969" s="167" t="s">
        <v>3947</v>
      </c>
      <c r="R1969" s="172" t="s">
        <v>6992</v>
      </c>
      <c r="S1969" s="388" t="s">
        <v>2319</v>
      </c>
      <c r="T1969" s="168"/>
      <c r="U1969" s="168"/>
      <c r="V1969" s="168"/>
      <c r="W1969" s="312" t="s">
        <v>9637</v>
      </c>
      <c r="X1969" s="644" t="s">
        <v>12562</v>
      </c>
      <c r="Y1969" s="352" t="s">
        <v>5643</v>
      </c>
      <c r="Z1969" s="353">
        <v>289</v>
      </c>
      <c r="AA1969" s="353">
        <v>5.5</v>
      </c>
      <c r="AB1969" s="40">
        <f t="shared" ca="1" si="41"/>
        <v>0.80084229583438638</v>
      </c>
      <c r="AC1969" s="810"/>
      <c r="AD1969" s="811" t="s">
        <v>15106</v>
      </c>
      <c r="AE1969" s="940"/>
      <c r="AF1969" s="920">
        <f>IF(X1969=X1968,AF1968,0)+IF(ISNUMBER(I1969),IF(I1969&lt;1,I1969,I1969*VLOOKUP(J1969,Summary!$H$2:$I$9,2)),VLOOKUP(J1969,Summary!$J$2:$K$9,2)*IF(ISNUMBER(H1969),H1969,1))</f>
        <v>1.0569675925925925</v>
      </c>
      <c r="AG1969" s="287">
        <v>1968</v>
      </c>
      <c r="AH1969" s="94"/>
      <c r="AI1969" s="94"/>
    </row>
    <row r="1970" spans="1:35" s="22" customFormat="1" ht="12" customHeight="1" x14ac:dyDescent="0.2">
      <c r="A1970" s="527" t="s">
        <v>10688</v>
      </c>
      <c r="B1970" s="527">
        <v>6</v>
      </c>
      <c r="C1970" s="527">
        <v>1.7</v>
      </c>
      <c r="D1970" s="407" t="s">
        <v>5797</v>
      </c>
      <c r="E1970" s="315" t="s">
        <v>7804</v>
      </c>
      <c r="F1970" s="169">
        <v>40299</v>
      </c>
      <c r="G1970" s="170"/>
      <c r="H1970" s="170">
        <v>2</v>
      </c>
      <c r="I1970" s="746">
        <f>TIME(1,46,55)</f>
        <v>7.4247685185185194E-2</v>
      </c>
      <c r="J1970" s="899" t="s">
        <v>4706</v>
      </c>
      <c r="K1970" s="167" t="s">
        <v>2306</v>
      </c>
      <c r="L1970" s="167" t="s">
        <v>6231</v>
      </c>
      <c r="M1970" s="167"/>
      <c r="N1970" s="167"/>
      <c r="O1970" s="167"/>
      <c r="P1970" s="168" t="s">
        <v>8918</v>
      </c>
      <c r="Q1970" s="167" t="s">
        <v>3947</v>
      </c>
      <c r="R1970" s="172" t="s">
        <v>6992</v>
      </c>
      <c r="S1970" s="388" t="s">
        <v>2319</v>
      </c>
      <c r="T1970" s="168"/>
      <c r="U1970" s="168"/>
      <c r="V1970" s="168"/>
      <c r="W1970" s="312" t="s">
        <v>9638</v>
      </c>
      <c r="X1970" s="644" t="s">
        <v>12562</v>
      </c>
      <c r="Y1970" s="352" t="s">
        <v>5643</v>
      </c>
      <c r="Z1970" s="353">
        <v>146</v>
      </c>
      <c r="AA1970" s="353">
        <v>6.5</v>
      </c>
      <c r="AB1970" s="40">
        <f t="shared" ca="1" si="41"/>
        <v>0.83025109963820665</v>
      </c>
      <c r="AC1970" s="810"/>
      <c r="AD1970" s="811" t="s">
        <v>16375</v>
      </c>
      <c r="AE1970" s="940" t="s">
        <v>3365</v>
      </c>
      <c r="AF1970" s="920">
        <f>IF(X1970=X1969,AF1969,0)+IF(ISNUMBER(I1970),IF(I1970&lt;1,I1970,I1970*VLOOKUP(J1970,Summary!$H$2:$I$9,2)),VLOOKUP(J1970,Summary!$J$2:$K$9,2)*IF(ISNUMBER(H1970),H1970,1))</f>
        <v>1.1312152777777778</v>
      </c>
      <c r="AG1970" s="287">
        <v>1969</v>
      </c>
      <c r="AH1970" s="94"/>
      <c r="AI1970" s="94"/>
    </row>
    <row r="1971" spans="1:35" s="6" customFormat="1" ht="12" customHeight="1" x14ac:dyDescent="0.25">
      <c r="A1971" s="527" t="s">
        <v>10688</v>
      </c>
      <c r="B1971" s="527">
        <v>6</v>
      </c>
      <c r="C1971" s="527">
        <v>1.8</v>
      </c>
      <c r="D1971" s="407" t="s">
        <v>5795</v>
      </c>
      <c r="E1971" s="315" t="s">
        <v>5796</v>
      </c>
      <c r="F1971" s="169">
        <v>40330</v>
      </c>
      <c r="G1971" s="170"/>
      <c r="H1971" s="170">
        <v>4</v>
      </c>
      <c r="I1971" s="746">
        <f>TIME(1,53,27)</f>
        <v>7.8784722222222228E-2</v>
      </c>
      <c r="J1971" s="899" t="s">
        <v>4706</v>
      </c>
      <c r="K1971" s="167" t="s">
        <v>2307</v>
      </c>
      <c r="L1971" s="167" t="s">
        <v>6231</v>
      </c>
      <c r="M1971" s="167"/>
      <c r="N1971" s="167"/>
      <c r="O1971" s="167"/>
      <c r="P1971" s="168" t="s">
        <v>8919</v>
      </c>
      <c r="Q1971" s="167" t="s">
        <v>3947</v>
      </c>
      <c r="R1971" s="172" t="s">
        <v>6992</v>
      </c>
      <c r="S1971" s="388" t="s">
        <v>2319</v>
      </c>
      <c r="T1971" s="168"/>
      <c r="U1971" s="168"/>
      <c r="V1971" s="168"/>
      <c r="W1971" s="312" t="s">
        <v>9639</v>
      </c>
      <c r="X1971" s="644" t="s">
        <v>12562</v>
      </c>
      <c r="Y1971" s="352" t="s">
        <v>5643</v>
      </c>
      <c r="Z1971" s="353">
        <v>544</v>
      </c>
      <c r="AA1971" s="353">
        <v>3.5</v>
      </c>
      <c r="AB1971" s="40">
        <f t="shared" ca="1" si="41"/>
        <v>0.48226445489228942</v>
      </c>
      <c r="AC1971" s="810"/>
      <c r="AD1971" s="811" t="s">
        <v>16738</v>
      </c>
      <c r="AE1971" s="940"/>
      <c r="AF1971" s="920">
        <f>IF(X1971=X1970,AF1970,0)+IF(ISNUMBER(I1971),IF(I1971&lt;1,I1971,I1971*VLOOKUP(J1971,Summary!$H$2:$I$9,2)),VLOOKUP(J1971,Summary!$J$2:$K$9,2)*IF(ISNUMBER(H1971),H1971,1))</f>
        <v>1.21</v>
      </c>
      <c r="AG1971" s="287">
        <v>1970</v>
      </c>
      <c r="AH1971" s="94"/>
      <c r="AI1971" s="94"/>
    </row>
    <row r="1972" spans="1:35" s="22" customFormat="1" ht="12" customHeight="1" x14ac:dyDescent="0.2">
      <c r="A1972" s="525" t="s">
        <v>10688</v>
      </c>
      <c r="B1972" s="525">
        <v>6</v>
      </c>
      <c r="C1972" s="525">
        <v>0.06</v>
      </c>
      <c r="D1972" s="185" t="s">
        <v>15383</v>
      </c>
      <c r="E1972" s="314" t="s">
        <v>15384</v>
      </c>
      <c r="F1972" s="184">
        <v>43369</v>
      </c>
      <c r="G1972" s="184"/>
      <c r="H1972" s="185">
        <v>1</v>
      </c>
      <c r="I1972" s="185">
        <v>4</v>
      </c>
      <c r="J1972" s="901" t="s">
        <v>1796</v>
      </c>
      <c r="K1972" s="163" t="s">
        <v>2675</v>
      </c>
      <c r="L1972" s="163" t="s">
        <v>3365</v>
      </c>
      <c r="M1972" s="163" t="s">
        <v>3365</v>
      </c>
      <c r="N1972" s="163"/>
      <c r="O1972" s="163"/>
      <c r="P1972" s="182" t="s">
        <v>461</v>
      </c>
      <c r="Q1972" s="163" t="s">
        <v>7076</v>
      </c>
      <c r="R1972" s="186" t="s">
        <v>15385</v>
      </c>
      <c r="S1972" s="355" t="s">
        <v>2319</v>
      </c>
      <c r="T1972" s="182"/>
      <c r="U1972" s="182"/>
      <c r="V1972" s="182"/>
      <c r="W1972" s="314" t="s">
        <v>15384</v>
      </c>
      <c r="X1972" s="657" t="s">
        <v>12562</v>
      </c>
      <c r="Y1972" s="355"/>
      <c r="Z1972" s="185"/>
      <c r="AA1972" s="185"/>
      <c r="AB1972" s="33">
        <f t="shared" ca="1" si="41"/>
        <v>0.29591519534413613</v>
      </c>
      <c r="AC1972" s="813"/>
      <c r="AD1972" s="819"/>
      <c r="AE1972" s="875"/>
      <c r="AF1972" s="922">
        <f>IF(X1972=X1971,AF1971,0)+IF(ISNUMBER(I1972),IF(I1972&lt;1,I1972,I1972*VLOOKUP(J1972,Summary!$H$2:$I$9,2)),VLOOKUP(J1972,Summary!$J$2:$K$9,2)*IF(ISNUMBER(H1972),H1972,1))</f>
        <v>1.2113888888888888</v>
      </c>
      <c r="AG1972" s="290">
        <v>1971</v>
      </c>
      <c r="AH1972" s="94"/>
      <c r="AI1972" s="94"/>
    </row>
    <row r="1973" spans="1:35" s="6" customFormat="1" ht="12" customHeight="1" x14ac:dyDescent="0.25">
      <c r="A1973" s="522" t="s">
        <v>10688</v>
      </c>
      <c r="B1973" s="522">
        <v>6</v>
      </c>
      <c r="C1973" s="522"/>
      <c r="D1973" s="434" t="s">
        <v>6587</v>
      </c>
      <c r="E1973" s="324" t="s">
        <v>7409</v>
      </c>
      <c r="F1973" s="174">
        <v>31291</v>
      </c>
      <c r="G1973" s="176"/>
      <c r="H1973" s="176" t="s">
        <v>461</v>
      </c>
      <c r="I1973" s="176">
        <v>6</v>
      </c>
      <c r="J1973" s="900" t="s">
        <v>2755</v>
      </c>
      <c r="K1973" s="164" t="s">
        <v>5784</v>
      </c>
      <c r="L1973" s="164" t="s">
        <v>461</v>
      </c>
      <c r="M1973" s="157"/>
      <c r="N1973" s="157"/>
      <c r="O1973" s="157"/>
      <c r="P1973" s="173" t="s">
        <v>7416</v>
      </c>
      <c r="Q1973" s="157" t="s">
        <v>4705</v>
      </c>
      <c r="R1973" s="179" t="s">
        <v>4600</v>
      </c>
      <c r="S1973" s="354" t="s">
        <v>2319</v>
      </c>
      <c r="T1973" s="173"/>
      <c r="U1973" s="173"/>
      <c r="V1973" s="173"/>
      <c r="W1973" s="324" t="s">
        <v>7409</v>
      </c>
      <c r="X1973" s="656" t="s">
        <v>12562</v>
      </c>
      <c r="Y1973" s="363"/>
      <c r="Z1973" s="364"/>
      <c r="AA1973" s="364"/>
      <c r="AB1973" s="32">
        <f t="shared" ca="1" si="41"/>
        <v>0.91038978512432478</v>
      </c>
      <c r="AC1973" s="812"/>
      <c r="AD1973" s="763"/>
      <c r="AE1973" s="951"/>
      <c r="AF1973" s="921">
        <f>IF(X1973=X1972,AF1972,0)+IF(ISNUMBER(I1973),IF(I1973&lt;1,I1973,I1973*VLOOKUP(J1973,Summary!$H$2:$I$9,2)),VLOOKUP(J1973,Summary!$J$2:$K$9,2)*IF(ISNUMBER(H1973),H1973,1))</f>
        <v>1.2155555555555555</v>
      </c>
      <c r="AG1973" s="288">
        <v>1972</v>
      </c>
      <c r="AH1973" s="94"/>
      <c r="AI1973" s="94"/>
    </row>
    <row r="1974" spans="1:35" s="6" customFormat="1" ht="12" customHeight="1" x14ac:dyDescent="0.25">
      <c r="A1974" s="522" t="s">
        <v>10688</v>
      </c>
      <c r="B1974" s="522">
        <v>6</v>
      </c>
      <c r="C1974" s="522"/>
      <c r="D1974" s="434" t="s">
        <v>6587</v>
      </c>
      <c r="E1974" s="324" t="s">
        <v>7410</v>
      </c>
      <c r="F1974" s="174">
        <v>31291</v>
      </c>
      <c r="G1974" s="176"/>
      <c r="H1974" s="176" t="s">
        <v>461</v>
      </c>
      <c r="I1974" s="176">
        <v>7</v>
      </c>
      <c r="J1974" s="900" t="s">
        <v>2755</v>
      </c>
      <c r="K1974" s="164" t="s">
        <v>5784</v>
      </c>
      <c r="L1974" s="164" t="s">
        <v>461</v>
      </c>
      <c r="M1974" s="157"/>
      <c r="N1974" s="157"/>
      <c r="O1974" s="157"/>
      <c r="P1974" s="173" t="s">
        <v>7416</v>
      </c>
      <c r="Q1974" s="157" t="s">
        <v>4705</v>
      </c>
      <c r="R1974" s="179" t="s">
        <v>4600</v>
      </c>
      <c r="S1974" s="354" t="s">
        <v>2319</v>
      </c>
      <c r="T1974" s="173"/>
      <c r="U1974" s="173"/>
      <c r="V1974" s="173"/>
      <c r="W1974" s="324" t="s">
        <v>7410</v>
      </c>
      <c r="X1974" s="656" t="s">
        <v>12562</v>
      </c>
      <c r="Y1974" s="363"/>
      <c r="Z1974" s="364"/>
      <c r="AA1974" s="364"/>
      <c r="AB1974" s="32">
        <f t="shared" ca="1" si="41"/>
        <v>0.54526545663567649</v>
      </c>
      <c r="AC1974" s="812"/>
      <c r="AD1974" s="763"/>
      <c r="AE1974" s="951"/>
      <c r="AF1974" s="921">
        <f>IF(X1974=X1973,AF1973,0)+IF(ISNUMBER(I1974),IF(I1974&lt;1,I1974,I1974*VLOOKUP(J1974,Summary!$H$2:$I$9,2)),VLOOKUP(J1974,Summary!$J$2:$K$9,2)*IF(ISNUMBER(H1974),H1974,1))</f>
        <v>1.2204166666666667</v>
      </c>
      <c r="AG1974" s="288">
        <v>1973</v>
      </c>
      <c r="AH1974" s="94"/>
      <c r="AI1974" s="94"/>
    </row>
    <row r="1975" spans="1:35" s="6" customFormat="1" ht="12" customHeight="1" x14ac:dyDescent="0.25">
      <c r="A1975" s="522" t="s">
        <v>10688</v>
      </c>
      <c r="B1975" s="522">
        <v>6</v>
      </c>
      <c r="C1975" s="522"/>
      <c r="D1975" s="434" t="s">
        <v>6587</v>
      </c>
      <c r="E1975" s="324" t="s">
        <v>7411</v>
      </c>
      <c r="F1975" s="174">
        <v>31291</v>
      </c>
      <c r="G1975" s="176"/>
      <c r="H1975" s="176" t="s">
        <v>461</v>
      </c>
      <c r="I1975" s="176">
        <v>7</v>
      </c>
      <c r="J1975" s="900" t="s">
        <v>2755</v>
      </c>
      <c r="K1975" s="164" t="s">
        <v>5784</v>
      </c>
      <c r="L1975" s="164" t="s">
        <v>461</v>
      </c>
      <c r="M1975" s="157"/>
      <c r="N1975" s="157"/>
      <c r="O1975" s="157"/>
      <c r="P1975" s="173" t="s">
        <v>7416</v>
      </c>
      <c r="Q1975" s="157" t="s">
        <v>4705</v>
      </c>
      <c r="R1975" s="179" t="s">
        <v>4600</v>
      </c>
      <c r="S1975" s="354" t="s">
        <v>2319</v>
      </c>
      <c r="T1975" s="173"/>
      <c r="U1975" s="173"/>
      <c r="V1975" s="173"/>
      <c r="W1975" s="324" t="s">
        <v>7411</v>
      </c>
      <c r="X1975" s="656" t="s">
        <v>12562</v>
      </c>
      <c r="Y1975" s="363"/>
      <c r="Z1975" s="364"/>
      <c r="AA1975" s="364"/>
      <c r="AB1975" s="32">
        <f t="shared" ca="1" si="41"/>
        <v>0.58743612079134966</v>
      </c>
      <c r="AC1975" s="812"/>
      <c r="AD1975" s="763"/>
      <c r="AE1975" s="951"/>
      <c r="AF1975" s="921">
        <f>IF(X1975=X1974,AF1974,0)+IF(ISNUMBER(I1975),IF(I1975&lt;1,I1975,I1975*VLOOKUP(J1975,Summary!$H$2:$I$9,2)),VLOOKUP(J1975,Summary!$J$2:$K$9,2)*IF(ISNUMBER(H1975),H1975,1))</f>
        <v>1.2252777777777779</v>
      </c>
      <c r="AG1975" s="288">
        <v>1974</v>
      </c>
      <c r="AH1975" s="94"/>
      <c r="AI1975" s="94"/>
    </row>
    <row r="1976" spans="1:35" s="22" customFormat="1" ht="12" customHeight="1" x14ac:dyDescent="0.25">
      <c r="A1976" s="522" t="s">
        <v>10688</v>
      </c>
      <c r="B1976" s="522">
        <v>6</v>
      </c>
      <c r="C1976" s="522"/>
      <c r="D1976" s="434" t="s">
        <v>6587</v>
      </c>
      <c r="E1976" s="324" t="s">
        <v>7412</v>
      </c>
      <c r="F1976" s="174">
        <v>31291</v>
      </c>
      <c r="G1976" s="176"/>
      <c r="H1976" s="176" t="s">
        <v>461</v>
      </c>
      <c r="I1976" s="176">
        <v>8</v>
      </c>
      <c r="J1976" s="900" t="s">
        <v>2755</v>
      </c>
      <c r="K1976" s="164" t="s">
        <v>5784</v>
      </c>
      <c r="L1976" s="164" t="s">
        <v>461</v>
      </c>
      <c r="M1976" s="157"/>
      <c r="N1976" s="157"/>
      <c r="O1976" s="157"/>
      <c r="P1976" s="173" t="s">
        <v>7416</v>
      </c>
      <c r="Q1976" s="157" t="s">
        <v>4705</v>
      </c>
      <c r="R1976" s="179" t="s">
        <v>4600</v>
      </c>
      <c r="S1976" s="354" t="s">
        <v>2319</v>
      </c>
      <c r="T1976" s="173"/>
      <c r="U1976" s="173"/>
      <c r="V1976" s="173"/>
      <c r="W1976" s="324" t="s">
        <v>7412</v>
      </c>
      <c r="X1976" s="656" t="s">
        <v>12562</v>
      </c>
      <c r="Y1976" s="363"/>
      <c r="Z1976" s="364"/>
      <c r="AA1976" s="364"/>
      <c r="AB1976" s="32">
        <f t="shared" ca="1" si="41"/>
        <v>0.99816493329856892</v>
      </c>
      <c r="AC1976" s="812"/>
      <c r="AD1976" s="763"/>
      <c r="AE1976" s="951"/>
      <c r="AF1976" s="921">
        <f>IF(X1976=X1975,AF1975,0)+IF(ISNUMBER(I1976),IF(I1976&lt;1,I1976,I1976*VLOOKUP(J1976,Summary!$H$2:$I$9,2)),VLOOKUP(J1976,Summary!$J$2:$K$9,2)*IF(ISNUMBER(H1976),H1976,1))</f>
        <v>1.2308333333333334</v>
      </c>
      <c r="AG1976" s="288">
        <v>1975</v>
      </c>
      <c r="AH1976" s="94"/>
      <c r="AI1976" s="94"/>
    </row>
    <row r="1977" spans="1:35" s="22" customFormat="1" ht="12" customHeight="1" x14ac:dyDescent="0.25">
      <c r="A1977" s="522" t="s">
        <v>10688</v>
      </c>
      <c r="B1977" s="522">
        <v>6</v>
      </c>
      <c r="C1977" s="522"/>
      <c r="D1977" s="434" t="s">
        <v>6587</v>
      </c>
      <c r="E1977" s="324" t="s">
        <v>7413</v>
      </c>
      <c r="F1977" s="174">
        <v>31291</v>
      </c>
      <c r="G1977" s="176"/>
      <c r="H1977" s="176" t="s">
        <v>461</v>
      </c>
      <c r="I1977" s="176">
        <v>7</v>
      </c>
      <c r="J1977" s="900" t="s">
        <v>2755</v>
      </c>
      <c r="K1977" s="164" t="s">
        <v>5784</v>
      </c>
      <c r="L1977" s="164" t="s">
        <v>461</v>
      </c>
      <c r="M1977" s="157"/>
      <c r="N1977" s="157"/>
      <c r="O1977" s="157"/>
      <c r="P1977" s="173" t="s">
        <v>7416</v>
      </c>
      <c r="Q1977" s="157" t="s">
        <v>4705</v>
      </c>
      <c r="R1977" s="179" t="s">
        <v>4600</v>
      </c>
      <c r="S1977" s="354" t="s">
        <v>2319</v>
      </c>
      <c r="T1977" s="173"/>
      <c r="U1977" s="173"/>
      <c r="V1977" s="173"/>
      <c r="W1977" s="324" t="s">
        <v>7413</v>
      </c>
      <c r="X1977" s="656" t="s">
        <v>12562</v>
      </c>
      <c r="Y1977" s="363"/>
      <c r="Z1977" s="364"/>
      <c r="AA1977" s="364"/>
      <c r="AB1977" s="32">
        <f t="shared" ca="1" si="41"/>
        <v>0.52325467228141376</v>
      </c>
      <c r="AC1977" s="812"/>
      <c r="AD1977" s="763"/>
      <c r="AE1977" s="951"/>
      <c r="AF1977" s="921">
        <f>IF(X1977=X1976,AF1976,0)+IF(ISNUMBER(I1977),IF(I1977&lt;1,I1977,I1977*VLOOKUP(J1977,Summary!$H$2:$I$9,2)),VLOOKUP(J1977,Summary!$J$2:$K$9,2)*IF(ISNUMBER(H1977),H1977,1))</f>
        <v>1.2356944444444447</v>
      </c>
      <c r="AG1977" s="288">
        <v>1976</v>
      </c>
      <c r="AH1977" s="94"/>
      <c r="AI1977" s="94"/>
    </row>
    <row r="1978" spans="1:35" s="3" customFormat="1" ht="12" customHeight="1" x14ac:dyDescent="0.25">
      <c r="A1978" s="522" t="s">
        <v>10688</v>
      </c>
      <c r="B1978" s="522">
        <v>6</v>
      </c>
      <c r="C1978" s="522"/>
      <c r="D1978" s="434" t="s">
        <v>6587</v>
      </c>
      <c r="E1978" s="324" t="s">
        <v>7414</v>
      </c>
      <c r="F1978" s="174">
        <v>31291</v>
      </c>
      <c r="G1978" s="176"/>
      <c r="H1978" s="176" t="s">
        <v>461</v>
      </c>
      <c r="I1978" s="176">
        <v>7</v>
      </c>
      <c r="J1978" s="900" t="s">
        <v>2755</v>
      </c>
      <c r="K1978" s="164" t="s">
        <v>5784</v>
      </c>
      <c r="L1978" s="164" t="s">
        <v>461</v>
      </c>
      <c r="M1978" s="157"/>
      <c r="N1978" s="157"/>
      <c r="O1978" s="157"/>
      <c r="P1978" s="173" t="s">
        <v>7416</v>
      </c>
      <c r="Q1978" s="157" t="s">
        <v>4705</v>
      </c>
      <c r="R1978" s="179" t="s">
        <v>4600</v>
      </c>
      <c r="S1978" s="354" t="s">
        <v>2319</v>
      </c>
      <c r="T1978" s="173"/>
      <c r="U1978" s="173"/>
      <c r="V1978" s="173"/>
      <c r="W1978" s="324" t="s">
        <v>7414</v>
      </c>
      <c r="X1978" s="656" t="s">
        <v>12562</v>
      </c>
      <c r="Y1978" s="363"/>
      <c r="Z1978" s="364"/>
      <c r="AA1978" s="364"/>
      <c r="AB1978" s="32">
        <f t="shared" ca="1" si="41"/>
        <v>0.70377930022905866</v>
      </c>
      <c r="AC1978" s="812"/>
      <c r="AD1978" s="763"/>
      <c r="AE1978" s="951"/>
      <c r="AF1978" s="921">
        <f>IF(X1978=X1977,AF1977,0)+IF(ISNUMBER(I1978),IF(I1978&lt;1,I1978,I1978*VLOOKUP(J1978,Summary!$H$2:$I$9,2)),VLOOKUP(J1978,Summary!$J$2:$K$9,2)*IF(ISNUMBER(H1978),H1978,1))</f>
        <v>1.2405555555555559</v>
      </c>
      <c r="AG1978" s="288">
        <v>1977</v>
      </c>
      <c r="AH1978" s="94"/>
      <c r="AI1978" s="94"/>
    </row>
    <row r="1979" spans="1:35" s="2" customFormat="1" ht="12" customHeight="1" x14ac:dyDescent="0.25">
      <c r="A1979" s="522" t="s">
        <v>10688</v>
      </c>
      <c r="B1979" s="522">
        <v>6</v>
      </c>
      <c r="C1979" s="522"/>
      <c r="D1979" s="434" t="s">
        <v>6587</v>
      </c>
      <c r="E1979" s="324" t="s">
        <v>7415</v>
      </c>
      <c r="F1979" s="174">
        <v>31291</v>
      </c>
      <c r="G1979" s="176"/>
      <c r="H1979" s="176" t="s">
        <v>461</v>
      </c>
      <c r="I1979" s="176">
        <v>8</v>
      </c>
      <c r="J1979" s="900" t="s">
        <v>2755</v>
      </c>
      <c r="K1979" s="164" t="s">
        <v>5784</v>
      </c>
      <c r="L1979" s="164" t="s">
        <v>461</v>
      </c>
      <c r="M1979" s="157"/>
      <c r="N1979" s="157"/>
      <c r="O1979" s="157"/>
      <c r="P1979" s="173" t="s">
        <v>7416</v>
      </c>
      <c r="Q1979" s="157" t="s">
        <v>4705</v>
      </c>
      <c r="R1979" s="179" t="s">
        <v>4600</v>
      </c>
      <c r="S1979" s="354" t="s">
        <v>2319</v>
      </c>
      <c r="T1979" s="173"/>
      <c r="U1979" s="173"/>
      <c r="V1979" s="173"/>
      <c r="W1979" s="324" t="s">
        <v>7415</v>
      </c>
      <c r="X1979" s="656" t="s">
        <v>12562</v>
      </c>
      <c r="Y1979" s="363"/>
      <c r="Z1979" s="364"/>
      <c r="AA1979" s="364"/>
      <c r="AB1979" s="32">
        <f t="shared" ca="1" si="41"/>
        <v>0.61380707180905958</v>
      </c>
      <c r="AC1979" s="812"/>
      <c r="AD1979" s="763"/>
      <c r="AE1979" s="951"/>
      <c r="AF1979" s="921">
        <f>IF(X1979=X1978,AF1978,0)+IF(ISNUMBER(I1979),IF(I1979&lt;1,I1979,I1979*VLOOKUP(J1979,Summary!$H$2:$I$9,2)),VLOOKUP(J1979,Summary!$J$2:$K$9,2)*IF(ISNUMBER(H1979),H1979,1))</f>
        <v>1.2461111111111114</v>
      </c>
      <c r="AG1979" s="288">
        <v>1978</v>
      </c>
      <c r="AH1979" s="94"/>
      <c r="AI1979" s="94"/>
    </row>
    <row r="1980" spans="1:35" s="3" customFormat="1" ht="12" customHeight="1" x14ac:dyDescent="0.25">
      <c r="A1980" s="527" t="s">
        <v>10688</v>
      </c>
      <c r="B1980" s="527">
        <v>6</v>
      </c>
      <c r="C1980" s="527">
        <v>3.4</v>
      </c>
      <c r="D1980" s="407" t="s">
        <v>5332</v>
      </c>
      <c r="E1980" s="315" t="s">
        <v>5335</v>
      </c>
      <c r="F1980" s="169">
        <v>41030</v>
      </c>
      <c r="G1980" s="170"/>
      <c r="H1980" s="170">
        <v>4</v>
      </c>
      <c r="I1980" s="746">
        <f>TIME(2,1,37)</f>
        <v>8.4456018518518527E-2</v>
      </c>
      <c r="J1980" s="899" t="s">
        <v>4706</v>
      </c>
      <c r="K1980" s="167" t="s">
        <v>5337</v>
      </c>
      <c r="L1980" s="167" t="s">
        <v>2313</v>
      </c>
      <c r="M1980" s="167"/>
      <c r="N1980" s="167"/>
      <c r="O1980" s="167" t="s">
        <v>2500</v>
      </c>
      <c r="P1980" s="168" t="s">
        <v>8901</v>
      </c>
      <c r="Q1980" s="167" t="s">
        <v>3947</v>
      </c>
      <c r="R1980" s="172" t="s">
        <v>6992</v>
      </c>
      <c r="S1980" s="388" t="s">
        <v>2319</v>
      </c>
      <c r="T1980" s="168"/>
      <c r="U1980" s="168"/>
      <c r="V1980" s="168"/>
      <c r="W1980" s="312" t="s">
        <v>10261</v>
      </c>
      <c r="X1980" s="644" t="s">
        <v>12562</v>
      </c>
      <c r="Y1980" s="352" t="s">
        <v>5643</v>
      </c>
      <c r="Z1980" s="353">
        <v>334</v>
      </c>
      <c r="AA1980" s="353">
        <v>5</v>
      </c>
      <c r="AB1980" s="40">
        <f t="shared" ca="1" si="41"/>
        <v>0.59286017163317162</v>
      </c>
      <c r="AC1980" s="810"/>
      <c r="AD1980" s="811"/>
      <c r="AE1980" s="940"/>
      <c r="AF1980" s="920">
        <f>IF(X1980=X1979,AF1979,0)+IF(ISNUMBER(I1980),IF(I1980&lt;1,I1980,I1980*VLOOKUP(J1980,Summary!$H$2:$I$9,2)),VLOOKUP(J1980,Summary!$J$2:$K$9,2)*IF(ISNUMBER(H1980),H1980,1))</f>
        <v>1.33056712962963</v>
      </c>
      <c r="AG1980" s="287">
        <v>1979</v>
      </c>
      <c r="AH1980" s="94"/>
      <c r="AI1980" s="94"/>
    </row>
    <row r="1981" spans="1:35" s="6" customFormat="1" ht="12" customHeight="1" x14ac:dyDescent="0.25">
      <c r="A1981" s="527" t="s">
        <v>10688</v>
      </c>
      <c r="B1981" s="527">
        <v>6</v>
      </c>
      <c r="C1981" s="527">
        <v>3.5</v>
      </c>
      <c r="D1981" s="407" t="s">
        <v>5333</v>
      </c>
      <c r="E1981" s="315" t="s">
        <v>7235</v>
      </c>
      <c r="F1981" s="169">
        <v>41061</v>
      </c>
      <c r="G1981" s="170"/>
      <c r="H1981" s="170">
        <v>4</v>
      </c>
      <c r="I1981" s="746">
        <f>TIME(2,6,50)</f>
        <v>8.8078703703703701E-2</v>
      </c>
      <c r="J1981" s="899" t="s">
        <v>4706</v>
      </c>
      <c r="K1981" s="167" t="s">
        <v>3237</v>
      </c>
      <c r="L1981" s="167" t="s">
        <v>2313</v>
      </c>
      <c r="M1981" s="167"/>
      <c r="N1981" s="167"/>
      <c r="O1981" s="167" t="s">
        <v>2500</v>
      </c>
      <c r="P1981" s="168" t="s">
        <v>8902</v>
      </c>
      <c r="Q1981" s="167" t="s">
        <v>3947</v>
      </c>
      <c r="R1981" s="172" t="s">
        <v>6992</v>
      </c>
      <c r="S1981" s="388" t="s">
        <v>2319</v>
      </c>
      <c r="T1981" s="168" t="s">
        <v>2595</v>
      </c>
      <c r="U1981" s="168"/>
      <c r="V1981" s="168"/>
      <c r="W1981" s="312" t="s">
        <v>9640</v>
      </c>
      <c r="X1981" s="644" t="s">
        <v>12562</v>
      </c>
      <c r="Y1981" s="352" t="s">
        <v>5643</v>
      </c>
      <c r="Z1981" s="353">
        <v>687</v>
      </c>
      <c r="AA1981" s="353">
        <v>1.5</v>
      </c>
      <c r="AB1981" s="40">
        <f t="shared" ca="1" si="41"/>
        <v>0.15307566024871821</v>
      </c>
      <c r="AC1981" s="810"/>
      <c r="AD1981" s="811"/>
      <c r="AE1981" s="940"/>
      <c r="AF1981" s="920">
        <f>IF(X1981=X1980,AF1980,0)+IF(ISNUMBER(I1981),IF(I1981&lt;1,I1981,I1981*VLOOKUP(J1981,Summary!$H$2:$I$9,2)),VLOOKUP(J1981,Summary!$J$2:$K$9,2)*IF(ISNUMBER(H1981),H1981,1))</f>
        <v>1.4186458333333336</v>
      </c>
      <c r="AG1981" s="287">
        <v>1980</v>
      </c>
      <c r="AH1981" s="94"/>
      <c r="AI1981" s="94"/>
    </row>
    <row r="1982" spans="1:35" s="6" customFormat="1" ht="12" customHeight="1" x14ac:dyDescent="0.25">
      <c r="A1982" s="527" t="s">
        <v>10688</v>
      </c>
      <c r="B1982" s="527">
        <v>6</v>
      </c>
      <c r="C1982" s="527">
        <v>3.6</v>
      </c>
      <c r="D1982" s="407" t="s">
        <v>5334</v>
      </c>
      <c r="E1982" s="315" t="s">
        <v>5336</v>
      </c>
      <c r="F1982" s="169">
        <v>41091</v>
      </c>
      <c r="G1982" s="170"/>
      <c r="H1982" s="170">
        <v>4</v>
      </c>
      <c r="I1982" s="746">
        <f>TIME(1,56,22)</f>
        <v>8.0810185185185179E-2</v>
      </c>
      <c r="J1982" s="899" t="s">
        <v>4706</v>
      </c>
      <c r="K1982" s="167" t="s">
        <v>6970</v>
      </c>
      <c r="L1982" s="167" t="s">
        <v>2313</v>
      </c>
      <c r="M1982" s="167"/>
      <c r="N1982" s="167"/>
      <c r="O1982" s="167" t="s">
        <v>2500</v>
      </c>
      <c r="P1982" s="168" t="s">
        <v>8903</v>
      </c>
      <c r="Q1982" s="167" t="s">
        <v>3947</v>
      </c>
      <c r="R1982" s="172" t="s">
        <v>6992</v>
      </c>
      <c r="S1982" s="388" t="s">
        <v>2319</v>
      </c>
      <c r="T1982" s="168"/>
      <c r="U1982" s="168"/>
      <c r="V1982" s="168"/>
      <c r="W1982" s="312" t="s">
        <v>9660</v>
      </c>
      <c r="X1982" s="644" t="s">
        <v>12562</v>
      </c>
      <c r="Y1982" s="352" t="s">
        <v>5398</v>
      </c>
      <c r="Z1982" s="353">
        <v>158</v>
      </c>
      <c r="AA1982" s="353">
        <v>6.5</v>
      </c>
      <c r="AB1982" s="40">
        <f t="shared" ca="1" si="41"/>
        <v>0.2382465684857582</v>
      </c>
      <c r="AC1982" s="810"/>
      <c r="AD1982" s="811"/>
      <c r="AE1982" s="940"/>
      <c r="AF1982" s="920">
        <f>IF(X1982=X1981,AF1981,0)+IF(ISNUMBER(I1982),IF(I1982&lt;1,I1982,I1982*VLOOKUP(J1982,Summary!$H$2:$I$9,2)),VLOOKUP(J1982,Summary!$J$2:$K$9,2)*IF(ISNUMBER(H1982),H1982,1))</f>
        <v>1.4994560185185188</v>
      </c>
      <c r="AG1982" s="287">
        <v>1981</v>
      </c>
      <c r="AH1982" s="94"/>
      <c r="AI1982" s="94"/>
    </row>
    <row r="1983" spans="1:35" s="1" customFormat="1" ht="12" customHeight="1" x14ac:dyDescent="0.25">
      <c r="A1983" s="801" t="s">
        <v>10688</v>
      </c>
      <c r="B1983" s="801">
        <v>6</v>
      </c>
      <c r="C1983" s="801">
        <v>6</v>
      </c>
      <c r="D1983" s="619" t="s">
        <v>15578</v>
      </c>
      <c r="E1983" s="345" t="s">
        <v>15579</v>
      </c>
      <c r="F1983" s="219">
        <v>31652</v>
      </c>
      <c r="G1983" s="219"/>
      <c r="H1983" s="210" t="s">
        <v>461</v>
      </c>
      <c r="I1983" s="210">
        <v>128</v>
      </c>
      <c r="J1983" s="908" t="s">
        <v>15556</v>
      </c>
      <c r="K1983" s="166" t="s">
        <v>4679</v>
      </c>
      <c r="L1983" s="166"/>
      <c r="M1983" s="166"/>
      <c r="N1983" s="166"/>
      <c r="O1983" s="166"/>
      <c r="P1983" s="267" t="s">
        <v>15580</v>
      </c>
      <c r="Q1983" s="166" t="s">
        <v>15562</v>
      </c>
      <c r="R1983" s="268" t="s">
        <v>15568</v>
      </c>
      <c r="S1983" s="386" t="s">
        <v>2319</v>
      </c>
      <c r="T1983" s="267"/>
      <c r="U1983" s="267"/>
      <c r="V1983" s="267"/>
      <c r="W1983" s="345" t="s">
        <v>15579</v>
      </c>
      <c r="X1983" s="680" t="s">
        <v>12562</v>
      </c>
      <c r="Y1983" s="384"/>
      <c r="Z1983" s="385"/>
      <c r="AA1983" s="385"/>
      <c r="AB1983" s="41">
        <f t="shared" ca="1" si="41"/>
        <v>0.9108276243610427</v>
      </c>
      <c r="AC1983" s="832"/>
      <c r="AD1983" s="833"/>
      <c r="AE1983" s="956"/>
      <c r="AF1983" s="929">
        <f>IF(X1983=X1982,AF1982,0)+IF(ISNUMBER(I1983),IF(I1983&lt;1,I1983,I1983*VLOOKUP(J1983,Summary!$H$2:$I$9,2)),VLOOKUP(J1983,Summary!$J$2:$K$9,2)*IF(ISNUMBER(H1983),H1983,1))</f>
        <v>1.5439004629629633</v>
      </c>
      <c r="AG1983" s="307">
        <v>1982</v>
      </c>
      <c r="AH1983" s="94"/>
      <c r="AI1983" s="94"/>
    </row>
    <row r="1984" spans="1:35" s="43" customFormat="1" ht="12" customHeight="1" x14ac:dyDescent="0.25">
      <c r="A1984" s="524" t="s">
        <v>10688</v>
      </c>
      <c r="B1984" s="524">
        <v>6</v>
      </c>
      <c r="C1984" s="530">
        <v>5.0599999999999996</v>
      </c>
      <c r="D1984" s="192" t="s">
        <v>9432</v>
      </c>
      <c r="E1984" s="317" t="s">
        <v>9433</v>
      </c>
      <c r="F1984" s="191">
        <v>42156</v>
      </c>
      <c r="G1984" s="191"/>
      <c r="H1984" s="192">
        <v>1</v>
      </c>
      <c r="I1984" s="753">
        <f>TIME(0,41,47)</f>
        <v>2.90162037037037E-2</v>
      </c>
      <c r="J1984" s="903" t="s">
        <v>2755</v>
      </c>
      <c r="K1984" s="194" t="s">
        <v>4556</v>
      </c>
      <c r="L1984" s="194" t="s">
        <v>5662</v>
      </c>
      <c r="M1984" s="194" t="s">
        <v>5460</v>
      </c>
      <c r="N1984" s="194"/>
      <c r="O1984" s="194"/>
      <c r="P1984" s="190" t="s">
        <v>9434</v>
      </c>
      <c r="Q1984" s="194" t="s">
        <v>3947</v>
      </c>
      <c r="R1984" s="193" t="s">
        <v>2722</v>
      </c>
      <c r="S1984" s="357" t="s">
        <v>2319</v>
      </c>
      <c r="T1984" s="190"/>
      <c r="U1984" s="190"/>
      <c r="V1984" s="190"/>
      <c r="W1984" s="317" t="s">
        <v>9433</v>
      </c>
      <c r="X1984" s="649" t="s">
        <v>12562</v>
      </c>
      <c r="Y1984" s="357" t="s">
        <v>5643</v>
      </c>
      <c r="Z1984" s="192">
        <v>41</v>
      </c>
      <c r="AA1984" s="192">
        <v>4</v>
      </c>
      <c r="AB1984" s="37">
        <f t="shared" ca="1" si="41"/>
        <v>0.66348006837463225</v>
      </c>
      <c r="AC1984" s="816"/>
      <c r="AD1984" s="817"/>
      <c r="AE1984" s="943"/>
      <c r="AF1984" s="924">
        <f>IF(X1984=X1983,AF1983,0)+IF(ISNUMBER(I1984),IF(I1984&lt;1,I1984,I1984*VLOOKUP(J1984,Summary!$H$2:$I$9,2)),VLOOKUP(J1984,Summary!$J$2:$K$9,2)*IF(ISNUMBER(H1984),H1984,1))</f>
        <v>1.572916666666667</v>
      </c>
      <c r="AG1984" s="292">
        <v>1983</v>
      </c>
      <c r="AH1984" s="94"/>
      <c r="AI1984" s="94"/>
    </row>
    <row r="1985" spans="1:35" s="43" customFormat="1" ht="12" customHeight="1" x14ac:dyDescent="0.25">
      <c r="A1985" s="522" t="s">
        <v>10688</v>
      </c>
      <c r="B1985" s="522">
        <v>6</v>
      </c>
      <c r="C1985" s="531">
        <v>12</v>
      </c>
      <c r="D1985" s="176" t="s">
        <v>12809</v>
      </c>
      <c r="E1985" s="313" t="s">
        <v>12810</v>
      </c>
      <c r="F1985" s="174">
        <v>31717</v>
      </c>
      <c r="G1985" s="174"/>
      <c r="H1985" s="176">
        <v>1</v>
      </c>
      <c r="I1985" s="176">
        <v>3</v>
      </c>
      <c r="J1985" s="900" t="s">
        <v>2755</v>
      </c>
      <c r="K1985" s="164" t="s">
        <v>12811</v>
      </c>
      <c r="L1985" s="164" t="s">
        <v>2866</v>
      </c>
      <c r="M1985" s="164"/>
      <c r="N1985" s="164" t="s">
        <v>3421</v>
      </c>
      <c r="O1985" s="164"/>
      <c r="P1985" s="173" t="s">
        <v>461</v>
      </c>
      <c r="Q1985" s="164" t="s">
        <v>4062</v>
      </c>
      <c r="R1985" s="177" t="s">
        <v>10250</v>
      </c>
      <c r="S1985" s="354" t="s">
        <v>2319</v>
      </c>
      <c r="T1985" s="173"/>
      <c r="U1985" s="173"/>
      <c r="V1985" s="173"/>
      <c r="W1985" s="313" t="s">
        <v>12810</v>
      </c>
      <c r="X1985" s="656" t="s">
        <v>12562</v>
      </c>
      <c r="Y1985" s="354"/>
      <c r="Z1985" s="176"/>
      <c r="AA1985" s="176"/>
      <c r="AB1985" s="32">
        <f t="shared" ca="1" si="41"/>
        <v>4.0382901184704334E-2</v>
      </c>
      <c r="AC1985" s="812"/>
      <c r="AD1985" s="763"/>
      <c r="AE1985" s="807"/>
      <c r="AF1985" s="921">
        <f>IF(X1985=X1984,AF1984,0)+IF(ISNUMBER(I1985),IF(I1985&lt;1,I1985,I1985*VLOOKUP(J1985,Summary!$H$2:$I$9,2)),VLOOKUP(J1985,Summary!$J$2:$K$9,2)*IF(ISNUMBER(H1985),H1985,1))</f>
        <v>1.5750000000000004</v>
      </c>
      <c r="AG1985" s="289">
        <v>1984</v>
      </c>
      <c r="AH1985" s="94"/>
      <c r="AI1985" s="94"/>
    </row>
    <row r="1986" spans="1:35" s="22" customFormat="1" ht="12" customHeight="1" x14ac:dyDescent="0.25">
      <c r="A1986" s="522" t="s">
        <v>10688</v>
      </c>
      <c r="B1986" s="522">
        <v>6</v>
      </c>
      <c r="C1986" s="528">
        <v>2.09</v>
      </c>
      <c r="D1986" s="434" t="s">
        <v>5776</v>
      </c>
      <c r="E1986" s="324" t="s">
        <v>5761</v>
      </c>
      <c r="F1986" s="176">
        <v>1995</v>
      </c>
      <c r="G1986" s="176"/>
      <c r="H1986" s="176" t="s">
        <v>461</v>
      </c>
      <c r="I1986" s="176">
        <v>43</v>
      </c>
      <c r="J1986" s="900" t="s">
        <v>2755</v>
      </c>
      <c r="K1986" s="164" t="s">
        <v>3320</v>
      </c>
      <c r="L1986" s="164" t="s">
        <v>461</v>
      </c>
      <c r="M1986" s="164"/>
      <c r="N1986" s="164" t="s">
        <v>7001</v>
      </c>
      <c r="O1986" s="164"/>
      <c r="P1986" s="173" t="s">
        <v>6554</v>
      </c>
      <c r="Q1986" s="164" t="s">
        <v>6548</v>
      </c>
      <c r="R1986" s="179" t="s">
        <v>4598</v>
      </c>
      <c r="S1986" s="354" t="s">
        <v>2319</v>
      </c>
      <c r="T1986" s="173"/>
      <c r="U1986" s="173"/>
      <c r="V1986" s="173"/>
      <c r="W1986" s="324" t="s">
        <v>5761</v>
      </c>
      <c r="X1986" s="656" t="s">
        <v>12562</v>
      </c>
      <c r="Y1986" s="354" t="s">
        <v>6868</v>
      </c>
      <c r="Z1986" s="176">
        <v>27</v>
      </c>
      <c r="AA1986" s="364">
        <v>5.5</v>
      </c>
      <c r="AB1986" s="32">
        <f t="shared" ref="AB1986:AB2049" ca="1" si="42">RAND()</f>
        <v>0.2271322148538939</v>
      </c>
      <c r="AC1986" s="812"/>
      <c r="AD1986" s="763"/>
      <c r="AE1986" s="951"/>
      <c r="AF1986" s="921">
        <f>IF(X1986=X1985,AF1985,0)+IF(ISNUMBER(I1986),IF(I1986&lt;1,I1986,I1986*VLOOKUP(J1986,Summary!$H$2:$I$9,2)),VLOOKUP(J1986,Summary!$J$2:$K$9,2)*IF(ISNUMBER(H1986),H1986,1))</f>
        <v>1.6048611111111115</v>
      </c>
      <c r="AG1986" s="288">
        <v>1985</v>
      </c>
      <c r="AH1986" s="94"/>
      <c r="AI1986" s="94"/>
    </row>
    <row r="1987" spans="1:35" s="43" customFormat="1" ht="12" customHeight="1" x14ac:dyDescent="0.25">
      <c r="A1987" s="522" t="s">
        <v>10688</v>
      </c>
      <c r="B1987" s="522">
        <v>6</v>
      </c>
      <c r="C1987" s="522">
        <v>19</v>
      </c>
      <c r="D1987" s="176" t="s">
        <v>869</v>
      </c>
      <c r="E1987" s="313" t="s">
        <v>841</v>
      </c>
      <c r="F1987" s="174">
        <v>36100</v>
      </c>
      <c r="G1987" s="175"/>
      <c r="H1987" s="176" t="s">
        <v>461</v>
      </c>
      <c r="I1987" s="176"/>
      <c r="J1987" s="900" t="s">
        <v>2755</v>
      </c>
      <c r="K1987" s="164" t="s">
        <v>7375</v>
      </c>
      <c r="L1987" s="164"/>
      <c r="M1987" s="164"/>
      <c r="N1987" s="164" t="s">
        <v>819</v>
      </c>
      <c r="O1987" s="164"/>
      <c r="P1987" s="178" t="s">
        <v>461</v>
      </c>
      <c r="Q1987" s="164" t="s">
        <v>820</v>
      </c>
      <c r="R1987" s="177" t="s">
        <v>895</v>
      </c>
      <c r="S1987" s="354" t="s">
        <v>2319</v>
      </c>
      <c r="T1987" s="173"/>
      <c r="U1987" s="173"/>
      <c r="V1987" s="173"/>
      <c r="W1987" s="313" t="s">
        <v>841</v>
      </c>
      <c r="X1987" s="645" t="s">
        <v>12562</v>
      </c>
      <c r="Y1987" s="354"/>
      <c r="Z1987" s="176"/>
      <c r="AA1987" s="176"/>
      <c r="AB1987" s="32">
        <f t="shared" ca="1" si="42"/>
        <v>0.65412397194946115</v>
      </c>
      <c r="AC1987" s="812"/>
      <c r="AD1987" s="763"/>
      <c r="AE1987" s="807"/>
      <c r="AF1987" s="921">
        <f>IF(X1987=X1986,AF1986,0)+IF(ISNUMBER(I1987),IF(I1987&lt;1,I1987,I1987*VLOOKUP(J1987,Summary!$H$2:$I$9,2)),VLOOKUP(J1987,Summary!$J$2:$K$9,2)*IF(ISNUMBER(H1987),H1987,1))</f>
        <v>1.6222222222222227</v>
      </c>
      <c r="AG1987" s="289">
        <v>1986</v>
      </c>
      <c r="AH1987" s="94"/>
      <c r="AI1987" s="94"/>
    </row>
    <row r="1988" spans="1:35" s="22" customFormat="1" ht="12" customHeight="1" x14ac:dyDescent="0.25">
      <c r="A1988" s="522" t="s">
        <v>10688</v>
      </c>
      <c r="B1988" s="522">
        <v>6</v>
      </c>
      <c r="C1988" s="522">
        <v>5</v>
      </c>
      <c r="D1988" s="176" t="s">
        <v>15542</v>
      </c>
      <c r="E1988" s="313" t="s">
        <v>839</v>
      </c>
      <c r="F1988" s="175">
        <v>43384</v>
      </c>
      <c r="G1988" s="174"/>
      <c r="H1988" s="176">
        <v>1</v>
      </c>
      <c r="I1988" s="176"/>
      <c r="J1988" s="900" t="s">
        <v>2755</v>
      </c>
      <c r="K1988" s="164" t="s">
        <v>15498</v>
      </c>
      <c r="L1988" s="164" t="s">
        <v>461</v>
      </c>
      <c r="M1988" s="164"/>
      <c r="N1988" s="164"/>
      <c r="O1988" s="164"/>
      <c r="P1988" s="173" t="s">
        <v>15499</v>
      </c>
      <c r="Q1988" s="164" t="s">
        <v>3953</v>
      </c>
      <c r="R1988" s="179" t="s">
        <v>15500</v>
      </c>
      <c r="S1988" s="354" t="s">
        <v>2319</v>
      </c>
      <c r="T1988" s="173"/>
      <c r="U1988" s="173"/>
      <c r="V1988" s="173"/>
      <c r="W1988" s="313" t="s">
        <v>839</v>
      </c>
      <c r="X1988" s="645" t="s">
        <v>12562</v>
      </c>
      <c r="Y1988" s="354"/>
      <c r="Z1988" s="176"/>
      <c r="AA1988" s="176"/>
      <c r="AB1988" s="32">
        <f t="shared" ca="1" si="42"/>
        <v>0.62560536509736853</v>
      </c>
      <c r="AC1988" s="812"/>
      <c r="AD1988" s="763"/>
      <c r="AE1988" s="807"/>
      <c r="AF1988" s="921">
        <f>IF(X1988=X1987,AF1987,0)+IF(ISNUMBER(I1988),IF(I1988&lt;1,I1988,I1988*VLOOKUP(J1988,Summary!$H$2:$I$9,2)),VLOOKUP(J1988,Summary!$J$2:$K$9,2)*IF(ISNUMBER(H1988),H1988,1))</f>
        <v>1.6395833333333338</v>
      </c>
      <c r="AG1988" s="288">
        <v>1987</v>
      </c>
      <c r="AH1988" s="94"/>
      <c r="AI1988" s="94"/>
    </row>
    <row r="1989" spans="1:35" s="1" customFormat="1" ht="12" customHeight="1" x14ac:dyDescent="0.25">
      <c r="A1989" s="405"/>
      <c r="B1989" s="406" t="s">
        <v>8364</v>
      </c>
      <c r="C1989" s="405">
        <v>4</v>
      </c>
      <c r="D1989" s="407" t="s">
        <v>11882</v>
      </c>
      <c r="E1989" s="315" t="s">
        <v>11881</v>
      </c>
      <c r="F1989" s="169">
        <v>42125</v>
      </c>
      <c r="G1989" s="170"/>
      <c r="H1989" s="170">
        <v>1</v>
      </c>
      <c r="I1989" s="746">
        <f>TIME(0,32,29)</f>
        <v>2.255787037037037E-2</v>
      </c>
      <c r="J1989" s="899" t="s">
        <v>4706</v>
      </c>
      <c r="K1989" s="167" t="s">
        <v>4146</v>
      </c>
      <c r="L1989" s="167" t="s">
        <v>179</v>
      </c>
      <c r="M1989" s="167"/>
      <c r="N1989" s="167"/>
      <c r="O1989" s="167"/>
      <c r="P1989" s="168" t="s">
        <v>11521</v>
      </c>
      <c r="Q1989" s="167" t="s">
        <v>3947</v>
      </c>
      <c r="R1989" s="172" t="s">
        <v>11533</v>
      </c>
      <c r="S1989" s="388"/>
      <c r="T1989" s="168"/>
      <c r="U1989" s="168"/>
      <c r="V1989" s="168" t="s">
        <v>3535</v>
      </c>
      <c r="W1989" s="312" t="s">
        <v>11881</v>
      </c>
      <c r="X1989" s="644" t="s">
        <v>12507</v>
      </c>
      <c r="Y1989" s="352" t="s">
        <v>5643</v>
      </c>
      <c r="Z1989" s="353">
        <v>569</v>
      </c>
      <c r="AA1989" s="353">
        <v>3.5</v>
      </c>
      <c r="AB1989" s="31">
        <f t="shared" ca="1" si="42"/>
        <v>0.51296700963166575</v>
      </c>
      <c r="AC1989" s="810"/>
      <c r="AD1989" s="811"/>
      <c r="AE1989" s="940"/>
      <c r="AF1989" s="920">
        <f>IF(X1989=X1988,AF1988,0)+IF(ISNUMBER(I1989),IF(I1989&lt;1,I1989,I1989*VLOOKUP(J1989,Summary!$H$2:$I$9,2)),VLOOKUP(J1989,Summary!$J$2:$K$9,2)*IF(ISNUMBER(H1989),H1989,1))</f>
        <v>2.255787037037037E-2</v>
      </c>
      <c r="AG1989" s="287">
        <v>1988</v>
      </c>
      <c r="AH1989" s="94"/>
      <c r="AI1989" s="94"/>
    </row>
    <row r="1990" spans="1:35" s="29" customFormat="1" ht="12" customHeight="1" x14ac:dyDescent="0.25">
      <c r="A1990" s="405"/>
      <c r="B1990" s="406" t="s">
        <v>8364</v>
      </c>
      <c r="C1990" s="405">
        <v>5.0999999999999996</v>
      </c>
      <c r="D1990" s="407" t="s">
        <v>11884</v>
      </c>
      <c r="E1990" s="315" t="s">
        <v>11885</v>
      </c>
      <c r="F1990" s="196">
        <v>42222</v>
      </c>
      <c r="G1990" s="170"/>
      <c r="H1990" s="170">
        <v>1</v>
      </c>
      <c r="I1990" s="746">
        <f>TIME(0,36,27)</f>
        <v>2.5312500000000002E-2</v>
      </c>
      <c r="J1990" s="899" t="s">
        <v>4706</v>
      </c>
      <c r="K1990" s="167" t="s">
        <v>1643</v>
      </c>
      <c r="L1990" s="167" t="s">
        <v>179</v>
      </c>
      <c r="M1990" s="167"/>
      <c r="N1990" s="167"/>
      <c r="O1990" s="167"/>
      <c r="P1990" s="168" t="s">
        <v>11883</v>
      </c>
      <c r="Q1990" s="167" t="s">
        <v>3947</v>
      </c>
      <c r="R1990" s="172" t="s">
        <v>11583</v>
      </c>
      <c r="S1990" s="388"/>
      <c r="T1990" s="168"/>
      <c r="U1990" s="168"/>
      <c r="V1990" s="168" t="s">
        <v>3535</v>
      </c>
      <c r="W1990" s="312" t="s">
        <v>11900</v>
      </c>
      <c r="X1990" s="644" t="s">
        <v>12507</v>
      </c>
      <c r="Y1990" s="352" t="s">
        <v>5643</v>
      </c>
      <c r="Z1990" s="353">
        <v>354</v>
      </c>
      <c r="AA1990" s="353">
        <v>5</v>
      </c>
      <c r="AB1990" s="31">
        <f t="shared" ca="1" si="42"/>
        <v>0.55435119174056369</v>
      </c>
      <c r="AC1990" s="810"/>
      <c r="AD1990" s="811"/>
      <c r="AE1990" s="940"/>
      <c r="AF1990" s="920">
        <f>IF(X1990=X1989,AF1989,0)+IF(ISNUMBER(I1990),IF(I1990&lt;1,I1990,I1990*VLOOKUP(J1990,Summary!$H$2:$I$9,2)),VLOOKUP(J1990,Summary!$J$2:$K$9,2)*IF(ISNUMBER(H1990),H1990,1))</f>
        <v>4.7870370370370369E-2</v>
      </c>
      <c r="AG1990" s="287">
        <v>1989</v>
      </c>
      <c r="AH1990" s="94"/>
      <c r="AI1990" s="94"/>
    </row>
    <row r="1991" spans="1:35" s="1" customFormat="1" ht="12" customHeight="1" x14ac:dyDescent="0.25">
      <c r="A1991" s="405"/>
      <c r="B1991" s="406" t="s">
        <v>8364</v>
      </c>
      <c r="C1991" s="405">
        <v>5.2</v>
      </c>
      <c r="D1991" s="407" t="s">
        <v>11886</v>
      </c>
      <c r="E1991" s="315" t="s">
        <v>11887</v>
      </c>
      <c r="F1991" s="196">
        <v>42222</v>
      </c>
      <c r="G1991" s="170"/>
      <c r="H1991" s="170">
        <v>1</v>
      </c>
      <c r="I1991" s="746">
        <f>TIME(0,34,28)</f>
        <v>2.3935185185185184E-2</v>
      </c>
      <c r="J1991" s="899" t="s">
        <v>4706</v>
      </c>
      <c r="K1991" s="167" t="s">
        <v>11723</v>
      </c>
      <c r="L1991" s="167" t="s">
        <v>179</v>
      </c>
      <c r="M1991" s="167"/>
      <c r="N1991" s="167"/>
      <c r="O1991" s="167"/>
      <c r="P1991" s="168" t="s">
        <v>11883</v>
      </c>
      <c r="Q1991" s="167" t="s">
        <v>3947</v>
      </c>
      <c r="R1991" s="172" t="s">
        <v>11583</v>
      </c>
      <c r="S1991" s="388"/>
      <c r="T1991" s="168"/>
      <c r="U1991" s="168"/>
      <c r="V1991" s="168" t="s">
        <v>3535</v>
      </c>
      <c r="W1991" s="312" t="s">
        <v>11901</v>
      </c>
      <c r="X1991" s="644" t="s">
        <v>12507</v>
      </c>
      <c r="Y1991" s="352" t="s">
        <v>5643</v>
      </c>
      <c r="Z1991" s="353">
        <v>671</v>
      </c>
      <c r="AA1991" s="353">
        <v>2.5</v>
      </c>
      <c r="AB1991" s="31">
        <f t="shared" ca="1" si="42"/>
        <v>0.86534334657855061</v>
      </c>
      <c r="AC1991" s="810"/>
      <c r="AD1991" s="811"/>
      <c r="AE1991" s="940"/>
      <c r="AF1991" s="920">
        <f>IF(X1991=X1990,AF1990,0)+IF(ISNUMBER(I1991),IF(I1991&lt;1,I1991,I1991*VLOOKUP(J1991,Summary!$H$2:$I$9,2)),VLOOKUP(J1991,Summary!$J$2:$K$9,2)*IF(ISNUMBER(H1991),H1991,1))</f>
        <v>7.1805555555555553E-2</v>
      </c>
      <c r="AG1991" s="287">
        <v>1990</v>
      </c>
      <c r="AH1991" s="94"/>
      <c r="AI1991" s="94"/>
    </row>
    <row r="1992" spans="1:35" s="1" customFormat="1" ht="12" customHeight="1" x14ac:dyDescent="0.25">
      <c r="A1992" s="405"/>
      <c r="B1992" s="406" t="s">
        <v>8364</v>
      </c>
      <c r="C1992" s="405">
        <v>5.3</v>
      </c>
      <c r="D1992" s="407" t="s">
        <v>11888</v>
      </c>
      <c r="E1992" s="315" t="s">
        <v>11889</v>
      </c>
      <c r="F1992" s="196">
        <v>42222</v>
      </c>
      <c r="G1992" s="170"/>
      <c r="H1992" s="170">
        <v>1</v>
      </c>
      <c r="I1992" s="746">
        <f>TIME(0,31,33)</f>
        <v>2.1909722222222223E-2</v>
      </c>
      <c r="J1992" s="899" t="s">
        <v>4706</v>
      </c>
      <c r="K1992" s="167" t="s">
        <v>11784</v>
      </c>
      <c r="L1992" s="167" t="s">
        <v>179</v>
      </c>
      <c r="M1992" s="167"/>
      <c r="N1992" s="167"/>
      <c r="O1992" s="167"/>
      <c r="P1992" s="168" t="s">
        <v>11883</v>
      </c>
      <c r="Q1992" s="167" t="s">
        <v>3947</v>
      </c>
      <c r="R1992" s="172" t="s">
        <v>11583</v>
      </c>
      <c r="S1992" s="388"/>
      <c r="T1992" s="168"/>
      <c r="U1992" s="168"/>
      <c r="V1992" s="168" t="s">
        <v>3535</v>
      </c>
      <c r="W1992" s="312" t="s">
        <v>11902</v>
      </c>
      <c r="X1992" s="644" t="s">
        <v>12507</v>
      </c>
      <c r="Y1992" s="352" t="s">
        <v>5643</v>
      </c>
      <c r="Z1992" s="353">
        <v>282</v>
      </c>
      <c r="AA1992" s="353">
        <v>5.5</v>
      </c>
      <c r="AB1992" s="31">
        <f t="shared" ca="1" si="42"/>
        <v>0.17303862763711619</v>
      </c>
      <c r="AC1992" s="810"/>
      <c r="AD1992" s="811"/>
      <c r="AE1992" s="940"/>
      <c r="AF1992" s="920">
        <f>IF(X1992=X1991,AF1991,0)+IF(ISNUMBER(I1992),IF(I1992&lt;1,I1992,I1992*VLOOKUP(J1992,Summary!$H$2:$I$9,2)),VLOOKUP(J1992,Summary!$J$2:$K$9,2)*IF(ISNUMBER(H1992),H1992,1))</f>
        <v>9.3715277777777772E-2</v>
      </c>
      <c r="AG1992" s="287">
        <v>1991</v>
      </c>
      <c r="AH1992" s="94"/>
      <c r="AI1992" s="94"/>
    </row>
    <row r="1993" spans="1:35" s="22" customFormat="1" ht="12" customHeight="1" x14ac:dyDescent="0.2">
      <c r="A1993" s="405"/>
      <c r="B1993" s="406" t="s">
        <v>8364</v>
      </c>
      <c r="C1993" s="405">
        <v>5.4</v>
      </c>
      <c r="D1993" s="407" t="s">
        <v>11890</v>
      </c>
      <c r="E1993" s="315" t="s">
        <v>11891</v>
      </c>
      <c r="F1993" s="196">
        <v>42222</v>
      </c>
      <c r="G1993" s="170"/>
      <c r="H1993" s="170">
        <v>1</v>
      </c>
      <c r="I1993" s="746">
        <f>TIME(0,33,53)</f>
        <v>2.3530092592592592E-2</v>
      </c>
      <c r="J1993" s="899" t="s">
        <v>4706</v>
      </c>
      <c r="K1993" s="167" t="s">
        <v>3118</v>
      </c>
      <c r="L1993" s="167" t="s">
        <v>179</v>
      </c>
      <c r="M1993" s="167"/>
      <c r="N1993" s="167"/>
      <c r="O1993" s="167"/>
      <c r="P1993" s="168" t="s">
        <v>11883</v>
      </c>
      <c r="Q1993" s="167" t="s">
        <v>3947</v>
      </c>
      <c r="R1993" s="172" t="s">
        <v>11583</v>
      </c>
      <c r="S1993" s="388"/>
      <c r="T1993" s="168"/>
      <c r="U1993" s="168"/>
      <c r="V1993" s="168" t="s">
        <v>3535</v>
      </c>
      <c r="W1993" s="312" t="s">
        <v>11903</v>
      </c>
      <c r="X1993" s="644" t="s">
        <v>12507</v>
      </c>
      <c r="Y1993" s="352" t="s">
        <v>5643</v>
      </c>
      <c r="Z1993" s="353">
        <v>588</v>
      </c>
      <c r="AA1993" s="353">
        <v>3.5</v>
      </c>
      <c r="AB1993" s="31">
        <f t="shared" ca="1" si="42"/>
        <v>0.40391742465859193</v>
      </c>
      <c r="AC1993" s="810"/>
      <c r="AD1993" s="811"/>
      <c r="AE1993" s="940"/>
      <c r="AF1993" s="920">
        <f>IF(X1993=X1992,AF1992,0)+IF(ISNUMBER(I1993),IF(I1993&lt;1,I1993,I1993*VLOOKUP(J1993,Summary!$H$2:$I$9,2)),VLOOKUP(J1993,Summary!$J$2:$K$9,2)*IF(ISNUMBER(H1993),H1993,1))</f>
        <v>0.11724537037037036</v>
      </c>
      <c r="AG1993" s="287">
        <v>1992</v>
      </c>
      <c r="AH1993" s="94"/>
      <c r="AI1993" s="94"/>
    </row>
    <row r="1994" spans="1:35" s="29" customFormat="1" ht="12" customHeight="1" x14ac:dyDescent="0.25">
      <c r="A1994" s="405"/>
      <c r="B1994" s="406" t="s">
        <v>8364</v>
      </c>
      <c r="C1994" s="405">
        <v>5.5</v>
      </c>
      <c r="D1994" s="407" t="s">
        <v>11892</v>
      </c>
      <c r="E1994" s="315" t="s">
        <v>11893</v>
      </c>
      <c r="F1994" s="196">
        <v>42222</v>
      </c>
      <c r="G1994" s="170"/>
      <c r="H1994" s="170">
        <v>1</v>
      </c>
      <c r="I1994" s="746">
        <f>TIME(0,31,49)</f>
        <v>2.2094907407407407E-2</v>
      </c>
      <c r="J1994" s="899" t="s">
        <v>4706</v>
      </c>
      <c r="K1994" s="167" t="s">
        <v>10544</v>
      </c>
      <c r="L1994" s="167" t="s">
        <v>179</v>
      </c>
      <c r="M1994" s="167"/>
      <c r="N1994" s="167"/>
      <c r="O1994" s="167"/>
      <c r="P1994" s="168" t="s">
        <v>11883</v>
      </c>
      <c r="Q1994" s="167" t="s">
        <v>3947</v>
      </c>
      <c r="R1994" s="172" t="s">
        <v>11583</v>
      </c>
      <c r="S1994" s="388"/>
      <c r="T1994" s="168"/>
      <c r="U1994" s="168"/>
      <c r="V1994" s="168" t="s">
        <v>3535</v>
      </c>
      <c r="W1994" s="312" t="s">
        <v>11904</v>
      </c>
      <c r="X1994" s="644" t="s">
        <v>12507</v>
      </c>
      <c r="Y1994" s="352" t="s">
        <v>5643</v>
      </c>
      <c r="Z1994" s="353">
        <v>297</v>
      </c>
      <c r="AA1994" s="353">
        <v>5.5</v>
      </c>
      <c r="AB1994" s="31">
        <f t="shared" ca="1" si="42"/>
        <v>0.3374911460523492</v>
      </c>
      <c r="AC1994" s="810"/>
      <c r="AD1994" s="811"/>
      <c r="AE1994" s="940"/>
      <c r="AF1994" s="920">
        <f>IF(X1994=X1993,AF1993,0)+IF(ISNUMBER(I1994),IF(I1994&lt;1,I1994,I1994*VLOOKUP(J1994,Summary!$H$2:$I$9,2)),VLOOKUP(J1994,Summary!$J$2:$K$9,2)*IF(ISNUMBER(H1994),H1994,1))</f>
        <v>0.13934027777777777</v>
      </c>
      <c r="AG1994" s="287">
        <v>1993</v>
      </c>
      <c r="AH1994" s="94"/>
      <c r="AI1994" s="94"/>
    </row>
    <row r="1995" spans="1:35" s="1" customFormat="1" ht="12" customHeight="1" x14ac:dyDescent="0.25">
      <c r="A1995" s="405"/>
      <c r="B1995" s="406" t="s">
        <v>8364</v>
      </c>
      <c r="C1995" s="405">
        <v>5.6</v>
      </c>
      <c r="D1995" s="407" t="s">
        <v>11894</v>
      </c>
      <c r="E1995" s="315" t="s">
        <v>11895</v>
      </c>
      <c r="F1995" s="196">
        <v>42222</v>
      </c>
      <c r="G1995" s="170"/>
      <c r="H1995" s="170">
        <v>1</v>
      </c>
      <c r="I1995" s="746">
        <f>TIME(0,33,23)</f>
        <v>2.3182870370370371E-2</v>
      </c>
      <c r="J1995" s="899" t="s">
        <v>4706</v>
      </c>
      <c r="K1995" s="167" t="s">
        <v>2479</v>
      </c>
      <c r="L1995" s="167" t="s">
        <v>179</v>
      </c>
      <c r="M1995" s="167"/>
      <c r="N1995" s="167"/>
      <c r="O1995" s="167"/>
      <c r="P1995" s="168" t="s">
        <v>11883</v>
      </c>
      <c r="Q1995" s="167" t="s">
        <v>3947</v>
      </c>
      <c r="R1995" s="172" t="s">
        <v>11583</v>
      </c>
      <c r="S1995" s="388"/>
      <c r="T1995" s="168"/>
      <c r="U1995" s="168"/>
      <c r="V1995" s="168" t="s">
        <v>3535</v>
      </c>
      <c r="W1995" s="312" t="s">
        <v>11905</v>
      </c>
      <c r="X1995" s="644" t="s">
        <v>12507</v>
      </c>
      <c r="Y1995" s="352" t="s">
        <v>5643</v>
      </c>
      <c r="Z1995" s="353">
        <v>613</v>
      </c>
      <c r="AA1995" s="353">
        <v>3.5</v>
      </c>
      <c r="AB1995" s="31">
        <f t="shared" ca="1" si="42"/>
        <v>0.51781535573909632</v>
      </c>
      <c r="AC1995" s="810"/>
      <c r="AD1995" s="811"/>
      <c r="AE1995" s="940"/>
      <c r="AF1995" s="920">
        <f>IF(X1995=X1994,AF1994,0)+IF(ISNUMBER(I1995),IF(I1995&lt;1,I1995,I1995*VLOOKUP(J1995,Summary!$H$2:$I$9,2)),VLOOKUP(J1995,Summary!$J$2:$K$9,2)*IF(ISNUMBER(H1995),H1995,1))</f>
        <v>0.16252314814814814</v>
      </c>
      <c r="AG1995" s="287">
        <v>1994</v>
      </c>
      <c r="AH1995" s="94"/>
      <c r="AI1995" s="94"/>
    </row>
    <row r="1996" spans="1:35" s="27" customFormat="1" ht="12" customHeight="1" x14ac:dyDescent="0.25">
      <c r="A1996" s="405"/>
      <c r="B1996" s="406" t="s">
        <v>8364</v>
      </c>
      <c r="C1996" s="405">
        <v>5.7</v>
      </c>
      <c r="D1996" s="407" t="s">
        <v>11896</v>
      </c>
      <c r="E1996" s="315" t="s">
        <v>11897</v>
      </c>
      <c r="F1996" s="196">
        <v>42222</v>
      </c>
      <c r="G1996" s="170"/>
      <c r="H1996" s="170">
        <v>1</v>
      </c>
      <c r="I1996" s="746">
        <f>TIME(0,31,54)</f>
        <v>2.2152777777777775E-2</v>
      </c>
      <c r="J1996" s="899" t="s">
        <v>4706</v>
      </c>
      <c r="K1996" s="167" t="s">
        <v>179</v>
      </c>
      <c r="L1996" s="167" t="s">
        <v>179</v>
      </c>
      <c r="M1996" s="167"/>
      <c r="N1996" s="167"/>
      <c r="O1996" s="167"/>
      <c r="P1996" s="168" t="s">
        <v>11883</v>
      </c>
      <c r="Q1996" s="167" t="s">
        <v>3947</v>
      </c>
      <c r="R1996" s="172" t="s">
        <v>11583</v>
      </c>
      <c r="S1996" s="388"/>
      <c r="T1996" s="168"/>
      <c r="U1996" s="168"/>
      <c r="V1996" s="168" t="s">
        <v>3535</v>
      </c>
      <c r="W1996" s="312" t="s">
        <v>11906</v>
      </c>
      <c r="X1996" s="644" t="s">
        <v>12507</v>
      </c>
      <c r="Y1996" s="352" t="s">
        <v>5643</v>
      </c>
      <c r="Z1996" s="353">
        <v>137</v>
      </c>
      <c r="AA1996" s="353">
        <v>7</v>
      </c>
      <c r="AB1996" s="31">
        <f t="shared" ca="1" si="42"/>
        <v>0.55489570643147823</v>
      </c>
      <c r="AC1996" s="810"/>
      <c r="AD1996" s="811"/>
      <c r="AE1996" s="940"/>
      <c r="AF1996" s="920">
        <f>IF(X1996=X1995,AF1995,0)+IF(ISNUMBER(I1996),IF(I1996&lt;1,I1996,I1996*VLOOKUP(J1996,Summary!$H$2:$I$9,2)),VLOOKUP(J1996,Summary!$J$2:$K$9,2)*IF(ISNUMBER(H1996),H1996,1))</f>
        <v>0.18467592592592591</v>
      </c>
      <c r="AG1996" s="287">
        <v>1995</v>
      </c>
      <c r="AH1996" s="119"/>
      <c r="AI1996" s="119"/>
    </row>
    <row r="1997" spans="1:35" s="2" customFormat="1" ht="12" customHeight="1" x14ac:dyDescent="0.25">
      <c r="A1997" s="405"/>
      <c r="B1997" s="406" t="s">
        <v>8364</v>
      </c>
      <c r="C1997" s="405">
        <v>5.8</v>
      </c>
      <c r="D1997" s="407" t="s">
        <v>11898</v>
      </c>
      <c r="E1997" s="315" t="s">
        <v>11899</v>
      </c>
      <c r="F1997" s="196">
        <v>42222</v>
      </c>
      <c r="G1997" s="170"/>
      <c r="H1997" s="170">
        <v>1</v>
      </c>
      <c r="I1997" s="746">
        <f>TIME(0,36,30)</f>
        <v>2.5347222222222219E-2</v>
      </c>
      <c r="J1997" s="899" t="s">
        <v>4706</v>
      </c>
      <c r="K1997" s="167" t="s">
        <v>5658</v>
      </c>
      <c r="L1997" s="167" t="s">
        <v>179</v>
      </c>
      <c r="M1997" s="167"/>
      <c r="N1997" s="167"/>
      <c r="O1997" s="167"/>
      <c r="P1997" s="168" t="s">
        <v>11883</v>
      </c>
      <c r="Q1997" s="167" t="s">
        <v>3947</v>
      </c>
      <c r="R1997" s="172" t="s">
        <v>11583</v>
      </c>
      <c r="S1997" s="388"/>
      <c r="T1997" s="168"/>
      <c r="U1997" s="168"/>
      <c r="V1997" s="168" t="s">
        <v>3535</v>
      </c>
      <c r="W1997" s="312" t="s">
        <v>11907</v>
      </c>
      <c r="X1997" s="644" t="s">
        <v>12507</v>
      </c>
      <c r="Y1997" s="352" t="s">
        <v>5643</v>
      </c>
      <c r="Z1997" s="353">
        <v>270</v>
      </c>
      <c r="AA1997" s="353">
        <v>5.5</v>
      </c>
      <c r="AB1997" s="31">
        <f t="shared" ca="1" si="42"/>
        <v>0.45361772839701031</v>
      </c>
      <c r="AC1997" s="810"/>
      <c r="AD1997" s="811"/>
      <c r="AE1997" s="940"/>
      <c r="AF1997" s="920">
        <f>IF(X1997=X1996,AF1996,0)+IF(ISNUMBER(I1997),IF(I1997&lt;1,I1997,I1997*VLOOKUP(J1997,Summary!$H$2:$I$9,2)),VLOOKUP(J1997,Summary!$J$2:$K$9,2)*IF(ISNUMBER(H1997),H1997,1))</f>
        <v>0.21002314814814813</v>
      </c>
      <c r="AG1997" s="287">
        <v>1996</v>
      </c>
      <c r="AH1997" s="94"/>
      <c r="AI1997" s="94"/>
    </row>
    <row r="1998" spans="1:35" s="22" customFormat="1" ht="12" customHeight="1" x14ac:dyDescent="0.25">
      <c r="A1998" s="408"/>
      <c r="B1998" s="408" t="s">
        <v>8364</v>
      </c>
      <c r="C1998" s="497">
        <v>9.01</v>
      </c>
      <c r="D1998" s="176" t="s">
        <v>11923</v>
      </c>
      <c r="E1998" s="313" t="s">
        <v>11924</v>
      </c>
      <c r="F1998" s="175">
        <v>42277</v>
      </c>
      <c r="G1998" s="175"/>
      <c r="H1998" s="176" t="s">
        <v>461</v>
      </c>
      <c r="I1998" s="176"/>
      <c r="J1998" s="900" t="s">
        <v>2755</v>
      </c>
      <c r="K1998" s="164" t="s">
        <v>11958</v>
      </c>
      <c r="L1998" s="164" t="s">
        <v>461</v>
      </c>
      <c r="M1998" s="164"/>
      <c r="N1998" s="164" t="s">
        <v>9286</v>
      </c>
      <c r="O1998" s="164"/>
      <c r="P1998" s="173" t="s">
        <v>11922</v>
      </c>
      <c r="Q1998" s="164" t="s">
        <v>11587</v>
      </c>
      <c r="R1998" s="177" t="s">
        <v>11580</v>
      </c>
      <c r="S1998" s="354"/>
      <c r="T1998" s="173"/>
      <c r="U1998" s="173"/>
      <c r="V1998" s="173" t="s">
        <v>3535</v>
      </c>
      <c r="W1998" s="313" t="s">
        <v>11947</v>
      </c>
      <c r="X1998" s="645" t="s">
        <v>12507</v>
      </c>
      <c r="Y1998" s="354"/>
      <c r="Z1998" s="176"/>
      <c r="AA1998" s="176"/>
      <c r="AB1998" s="32">
        <f t="shared" ca="1" si="42"/>
        <v>0.89951099252454492</v>
      </c>
      <c r="AC1998" s="812"/>
      <c r="AD1998" s="763"/>
      <c r="AE1998" s="807"/>
      <c r="AF1998" s="921">
        <f>IF(X1998=X1997,AF1997,0)+IF(ISNUMBER(I1998),IF(I1998&lt;1,I1998,I1998*VLOOKUP(J1998,Summary!$H$2:$I$9,2)),VLOOKUP(J1998,Summary!$J$2:$K$9,2)*IF(ISNUMBER(H1998),H1998,1))</f>
        <v>0.22738425925925923</v>
      </c>
      <c r="AG1998" s="289">
        <v>1997</v>
      </c>
      <c r="AH1998" s="94"/>
      <c r="AI1998" s="94"/>
    </row>
    <row r="1999" spans="1:35" s="22" customFormat="1" ht="12" customHeight="1" x14ac:dyDescent="0.25">
      <c r="A1999" s="408"/>
      <c r="B1999" s="408" t="s">
        <v>8364</v>
      </c>
      <c r="C1999" s="497">
        <v>9.02</v>
      </c>
      <c r="D1999" s="176" t="s">
        <v>11925</v>
      </c>
      <c r="E1999" s="313" t="s">
        <v>11926</v>
      </c>
      <c r="F1999" s="175">
        <v>42277</v>
      </c>
      <c r="G1999" s="175"/>
      <c r="H1999" s="176" t="s">
        <v>461</v>
      </c>
      <c r="I1999" s="176"/>
      <c r="J1999" s="900" t="s">
        <v>2755</v>
      </c>
      <c r="K1999" s="164" t="s">
        <v>11959</v>
      </c>
      <c r="L1999" s="164" t="s">
        <v>461</v>
      </c>
      <c r="M1999" s="164"/>
      <c r="N1999" s="164" t="s">
        <v>9286</v>
      </c>
      <c r="O1999" s="164"/>
      <c r="P1999" s="173" t="s">
        <v>11922</v>
      </c>
      <c r="Q1999" s="164" t="s">
        <v>11587</v>
      </c>
      <c r="R1999" s="177" t="s">
        <v>11580</v>
      </c>
      <c r="S1999" s="354"/>
      <c r="T1999" s="173"/>
      <c r="U1999" s="173"/>
      <c r="V1999" s="173" t="s">
        <v>3535</v>
      </c>
      <c r="W1999" s="313" t="s">
        <v>11948</v>
      </c>
      <c r="X1999" s="645" t="s">
        <v>12507</v>
      </c>
      <c r="Y1999" s="354"/>
      <c r="Z1999" s="176"/>
      <c r="AA1999" s="176"/>
      <c r="AB1999" s="32">
        <f t="shared" ca="1" si="42"/>
        <v>0.70173637540676725</v>
      </c>
      <c r="AC1999" s="812"/>
      <c r="AD1999" s="763"/>
      <c r="AE1999" s="807"/>
      <c r="AF1999" s="921">
        <f>IF(X1999=X1998,AF1998,0)+IF(ISNUMBER(I1999),IF(I1999&lt;1,I1999,I1999*VLOOKUP(J1999,Summary!$H$2:$I$9,2)),VLOOKUP(J1999,Summary!$J$2:$K$9,2)*IF(ISNUMBER(H1999),H1999,1))</f>
        <v>0.24474537037037034</v>
      </c>
      <c r="AG1999" s="289">
        <v>1998</v>
      </c>
      <c r="AH1999" s="94"/>
      <c r="AI1999" s="94"/>
    </row>
    <row r="2000" spans="1:35" s="120" customFormat="1" ht="12" customHeight="1" x14ac:dyDescent="0.25">
      <c r="A2000" s="408"/>
      <c r="B2000" s="408" t="s">
        <v>8364</v>
      </c>
      <c r="C2000" s="497">
        <v>9.0299999999999994</v>
      </c>
      <c r="D2000" s="176" t="s">
        <v>11927</v>
      </c>
      <c r="E2000" s="313" t="s">
        <v>11928</v>
      </c>
      <c r="F2000" s="175">
        <v>42277</v>
      </c>
      <c r="G2000" s="175"/>
      <c r="H2000" s="176" t="s">
        <v>461</v>
      </c>
      <c r="I2000" s="176"/>
      <c r="J2000" s="900" t="s">
        <v>2755</v>
      </c>
      <c r="K2000" s="164" t="s">
        <v>11960</v>
      </c>
      <c r="L2000" s="164" t="s">
        <v>461</v>
      </c>
      <c r="M2000" s="164"/>
      <c r="N2000" s="164" t="s">
        <v>9286</v>
      </c>
      <c r="O2000" s="164"/>
      <c r="P2000" s="173" t="s">
        <v>11922</v>
      </c>
      <c r="Q2000" s="164" t="s">
        <v>11587</v>
      </c>
      <c r="R2000" s="177" t="s">
        <v>11580</v>
      </c>
      <c r="S2000" s="354"/>
      <c r="T2000" s="173"/>
      <c r="U2000" s="173"/>
      <c r="V2000" s="173" t="s">
        <v>3535</v>
      </c>
      <c r="W2000" s="313" t="s">
        <v>11949</v>
      </c>
      <c r="X2000" s="645" t="s">
        <v>12507</v>
      </c>
      <c r="Y2000" s="354"/>
      <c r="Z2000" s="176"/>
      <c r="AA2000" s="176"/>
      <c r="AB2000" s="32">
        <f t="shared" ca="1" si="42"/>
        <v>0.85367783989571644</v>
      </c>
      <c r="AC2000" s="812"/>
      <c r="AD2000" s="763"/>
      <c r="AE2000" s="807"/>
      <c r="AF2000" s="921">
        <f>IF(X2000=X1999,AF1999,0)+IF(ISNUMBER(I2000),IF(I2000&lt;1,I2000,I2000*VLOOKUP(J2000,Summary!$H$2:$I$9,2)),VLOOKUP(J2000,Summary!$J$2:$K$9,2)*IF(ISNUMBER(H2000),H2000,1))</f>
        <v>0.26210648148148147</v>
      </c>
      <c r="AG2000" s="289">
        <v>1999</v>
      </c>
      <c r="AH2000" s="94"/>
      <c r="AI2000" s="94"/>
    </row>
    <row r="2001" spans="1:36" s="22" customFormat="1" ht="12" customHeight="1" x14ac:dyDescent="0.25">
      <c r="A2001" s="408"/>
      <c r="B2001" s="408" t="s">
        <v>8364</v>
      </c>
      <c r="C2001" s="497">
        <v>9.0399999999999991</v>
      </c>
      <c r="D2001" s="176" t="s">
        <v>11929</v>
      </c>
      <c r="E2001" s="313" t="s">
        <v>11930</v>
      </c>
      <c r="F2001" s="175">
        <v>42277</v>
      </c>
      <c r="G2001" s="175"/>
      <c r="H2001" s="176" t="s">
        <v>461</v>
      </c>
      <c r="I2001" s="176"/>
      <c r="J2001" s="900" t="s">
        <v>2755</v>
      </c>
      <c r="K2001" s="164" t="s">
        <v>11961</v>
      </c>
      <c r="L2001" s="164" t="s">
        <v>461</v>
      </c>
      <c r="M2001" s="164"/>
      <c r="N2001" s="164" t="s">
        <v>9286</v>
      </c>
      <c r="O2001" s="164"/>
      <c r="P2001" s="173" t="s">
        <v>11922</v>
      </c>
      <c r="Q2001" s="164" t="s">
        <v>11587</v>
      </c>
      <c r="R2001" s="177" t="s">
        <v>11580</v>
      </c>
      <c r="S2001" s="354"/>
      <c r="T2001" s="173"/>
      <c r="U2001" s="173"/>
      <c r="V2001" s="173" t="s">
        <v>3535</v>
      </c>
      <c r="W2001" s="313" t="s">
        <v>11950</v>
      </c>
      <c r="X2001" s="645" t="s">
        <v>12507</v>
      </c>
      <c r="Y2001" s="354"/>
      <c r="Z2001" s="176"/>
      <c r="AA2001" s="176"/>
      <c r="AB2001" s="32">
        <f t="shared" ca="1" si="42"/>
        <v>0.22775836456201948</v>
      </c>
      <c r="AC2001" s="812"/>
      <c r="AD2001" s="763"/>
      <c r="AE2001" s="807"/>
      <c r="AF2001" s="921">
        <f>IF(X2001=X2000,AF2000,0)+IF(ISNUMBER(I2001),IF(I2001&lt;1,I2001,I2001*VLOOKUP(J2001,Summary!$H$2:$I$9,2)),VLOOKUP(J2001,Summary!$J$2:$K$9,2)*IF(ISNUMBER(H2001),H2001,1))</f>
        <v>0.27946759259259257</v>
      </c>
      <c r="AG2001" s="289">
        <v>2000</v>
      </c>
      <c r="AH2001" s="94"/>
      <c r="AI2001" s="94"/>
    </row>
    <row r="2002" spans="1:36" s="22" customFormat="1" ht="12" customHeight="1" x14ac:dyDescent="0.25">
      <c r="A2002" s="408"/>
      <c r="B2002" s="408" t="s">
        <v>8364</v>
      </c>
      <c r="C2002" s="497">
        <v>9.0500000000000007</v>
      </c>
      <c r="D2002" s="176" t="s">
        <v>11931</v>
      </c>
      <c r="E2002" s="313" t="s">
        <v>11932</v>
      </c>
      <c r="F2002" s="175">
        <v>42277</v>
      </c>
      <c r="G2002" s="175"/>
      <c r="H2002" s="176" t="s">
        <v>461</v>
      </c>
      <c r="I2002" s="176"/>
      <c r="J2002" s="900" t="s">
        <v>2755</v>
      </c>
      <c r="K2002" s="164" t="s">
        <v>11962</v>
      </c>
      <c r="L2002" s="164" t="s">
        <v>461</v>
      </c>
      <c r="M2002" s="164"/>
      <c r="N2002" s="164" t="s">
        <v>9286</v>
      </c>
      <c r="O2002" s="164"/>
      <c r="P2002" s="173" t="s">
        <v>11922</v>
      </c>
      <c r="Q2002" s="164" t="s">
        <v>11587</v>
      </c>
      <c r="R2002" s="177" t="s">
        <v>11580</v>
      </c>
      <c r="S2002" s="354"/>
      <c r="T2002" s="173"/>
      <c r="U2002" s="173"/>
      <c r="V2002" s="173" t="s">
        <v>3535</v>
      </c>
      <c r="W2002" s="313" t="s">
        <v>11951</v>
      </c>
      <c r="X2002" s="645" t="s">
        <v>12507</v>
      </c>
      <c r="Y2002" s="354"/>
      <c r="Z2002" s="176"/>
      <c r="AA2002" s="176"/>
      <c r="AB2002" s="32">
        <f t="shared" ca="1" si="42"/>
        <v>0.52272659354575424</v>
      </c>
      <c r="AC2002" s="812"/>
      <c r="AD2002" s="763"/>
      <c r="AE2002" s="807"/>
      <c r="AF2002" s="921">
        <f>IF(X2002=X2001,AF2001,0)+IF(ISNUMBER(I2002),IF(I2002&lt;1,I2002,I2002*VLOOKUP(J2002,Summary!$H$2:$I$9,2)),VLOOKUP(J2002,Summary!$J$2:$K$9,2)*IF(ISNUMBER(H2002),H2002,1))</f>
        <v>0.29682870370370368</v>
      </c>
      <c r="AG2002" s="289">
        <v>2001</v>
      </c>
      <c r="AH2002" s="94"/>
      <c r="AI2002" s="94"/>
    </row>
    <row r="2003" spans="1:36" s="22" customFormat="1" ht="12" customHeight="1" x14ac:dyDescent="0.25">
      <c r="A2003" s="408"/>
      <c r="B2003" s="408" t="s">
        <v>8364</v>
      </c>
      <c r="C2003" s="497">
        <v>9.06</v>
      </c>
      <c r="D2003" s="176" t="s">
        <v>11933</v>
      </c>
      <c r="E2003" s="313" t="s">
        <v>11934</v>
      </c>
      <c r="F2003" s="175">
        <v>42277</v>
      </c>
      <c r="G2003" s="175"/>
      <c r="H2003" s="176" t="s">
        <v>461</v>
      </c>
      <c r="I2003" s="176"/>
      <c r="J2003" s="900" t="s">
        <v>2755</v>
      </c>
      <c r="K2003" s="164" t="s">
        <v>11963</v>
      </c>
      <c r="L2003" s="164" t="s">
        <v>461</v>
      </c>
      <c r="M2003" s="164"/>
      <c r="N2003" s="164" t="s">
        <v>9286</v>
      </c>
      <c r="O2003" s="164"/>
      <c r="P2003" s="173" t="s">
        <v>11922</v>
      </c>
      <c r="Q2003" s="164" t="s">
        <v>11587</v>
      </c>
      <c r="R2003" s="177" t="s">
        <v>11580</v>
      </c>
      <c r="S2003" s="354"/>
      <c r="T2003" s="173"/>
      <c r="U2003" s="173"/>
      <c r="V2003" s="173" t="s">
        <v>3535</v>
      </c>
      <c r="W2003" s="313" t="s">
        <v>11952</v>
      </c>
      <c r="X2003" s="645" t="s">
        <v>12507</v>
      </c>
      <c r="Y2003" s="354"/>
      <c r="Z2003" s="176"/>
      <c r="AA2003" s="176"/>
      <c r="AB2003" s="32">
        <f t="shared" ca="1" si="42"/>
        <v>0.82824505656306691</v>
      </c>
      <c r="AC2003" s="812"/>
      <c r="AD2003" s="763"/>
      <c r="AE2003" s="807"/>
      <c r="AF2003" s="921">
        <f>IF(X2003=X2002,AF2002,0)+IF(ISNUMBER(I2003),IF(I2003&lt;1,I2003,I2003*VLOOKUP(J2003,Summary!$H$2:$I$9,2)),VLOOKUP(J2003,Summary!$J$2:$K$9,2)*IF(ISNUMBER(H2003),H2003,1))</f>
        <v>0.31418981481481478</v>
      </c>
      <c r="AG2003" s="289">
        <v>2002</v>
      </c>
      <c r="AH2003" s="94"/>
      <c r="AI2003" s="94"/>
    </row>
    <row r="2004" spans="1:36" s="22" customFormat="1" ht="12" customHeight="1" x14ac:dyDescent="0.25">
      <c r="A2004" s="408"/>
      <c r="B2004" s="408" t="s">
        <v>8364</v>
      </c>
      <c r="C2004" s="497">
        <v>9.07</v>
      </c>
      <c r="D2004" s="176" t="s">
        <v>11935</v>
      </c>
      <c r="E2004" s="313" t="s">
        <v>11936</v>
      </c>
      <c r="F2004" s="175">
        <v>42277</v>
      </c>
      <c r="G2004" s="175"/>
      <c r="H2004" s="176" t="s">
        <v>461</v>
      </c>
      <c r="I2004" s="176"/>
      <c r="J2004" s="900" t="s">
        <v>2755</v>
      </c>
      <c r="K2004" s="164" t="s">
        <v>11964</v>
      </c>
      <c r="L2004" s="164" t="s">
        <v>461</v>
      </c>
      <c r="M2004" s="164"/>
      <c r="N2004" s="164" t="s">
        <v>9286</v>
      </c>
      <c r="O2004" s="164"/>
      <c r="P2004" s="173" t="s">
        <v>11922</v>
      </c>
      <c r="Q2004" s="164" t="s">
        <v>11587</v>
      </c>
      <c r="R2004" s="177" t="s">
        <v>11580</v>
      </c>
      <c r="S2004" s="354"/>
      <c r="T2004" s="173"/>
      <c r="U2004" s="173"/>
      <c r="V2004" s="173" t="s">
        <v>3535</v>
      </c>
      <c r="W2004" s="313" t="s">
        <v>11953</v>
      </c>
      <c r="X2004" s="645" t="s">
        <v>12507</v>
      </c>
      <c r="Y2004" s="354"/>
      <c r="Z2004" s="176"/>
      <c r="AA2004" s="176"/>
      <c r="AB2004" s="32">
        <f t="shared" ca="1" si="42"/>
        <v>0.6681503042686523</v>
      </c>
      <c r="AC2004" s="812"/>
      <c r="AD2004" s="763"/>
      <c r="AE2004" s="807"/>
      <c r="AF2004" s="921">
        <f>IF(X2004=X2003,AF2003,0)+IF(ISNUMBER(I2004),IF(I2004&lt;1,I2004,I2004*VLOOKUP(J2004,Summary!$H$2:$I$9,2)),VLOOKUP(J2004,Summary!$J$2:$K$9,2)*IF(ISNUMBER(H2004),H2004,1))</f>
        <v>0.33155092592592589</v>
      </c>
      <c r="AG2004" s="289">
        <v>2003</v>
      </c>
      <c r="AH2004" s="94"/>
      <c r="AI2004" s="94"/>
    </row>
    <row r="2005" spans="1:36" s="22" customFormat="1" ht="12" customHeight="1" x14ac:dyDescent="0.25">
      <c r="A2005" s="408"/>
      <c r="B2005" s="408" t="s">
        <v>8364</v>
      </c>
      <c r="C2005" s="497">
        <v>9.08</v>
      </c>
      <c r="D2005" s="176" t="s">
        <v>11937</v>
      </c>
      <c r="E2005" s="313" t="s">
        <v>11938</v>
      </c>
      <c r="F2005" s="175">
        <v>42277</v>
      </c>
      <c r="G2005" s="175"/>
      <c r="H2005" s="176" t="s">
        <v>461</v>
      </c>
      <c r="I2005" s="176"/>
      <c r="J2005" s="900" t="s">
        <v>2755</v>
      </c>
      <c r="K2005" s="164" t="s">
        <v>11878</v>
      </c>
      <c r="L2005" s="164" t="s">
        <v>461</v>
      </c>
      <c r="M2005" s="164"/>
      <c r="N2005" s="164" t="s">
        <v>9286</v>
      </c>
      <c r="O2005" s="164"/>
      <c r="P2005" s="173" t="s">
        <v>11922</v>
      </c>
      <c r="Q2005" s="164" t="s">
        <v>11587</v>
      </c>
      <c r="R2005" s="177" t="s">
        <v>11580</v>
      </c>
      <c r="S2005" s="354"/>
      <c r="T2005" s="173"/>
      <c r="U2005" s="173"/>
      <c r="V2005" s="173" t="s">
        <v>3535</v>
      </c>
      <c r="W2005" s="313" t="s">
        <v>11954</v>
      </c>
      <c r="X2005" s="645" t="s">
        <v>12507</v>
      </c>
      <c r="Y2005" s="354"/>
      <c r="Z2005" s="176"/>
      <c r="AA2005" s="176"/>
      <c r="AB2005" s="32">
        <f t="shared" ca="1" si="42"/>
        <v>0.56428557793465706</v>
      </c>
      <c r="AC2005" s="812"/>
      <c r="AD2005" s="763"/>
      <c r="AE2005" s="807"/>
      <c r="AF2005" s="921">
        <f>IF(X2005=X2004,AF2004,0)+IF(ISNUMBER(I2005),IF(I2005&lt;1,I2005,I2005*VLOOKUP(J2005,Summary!$H$2:$I$9,2)),VLOOKUP(J2005,Summary!$J$2:$K$9,2)*IF(ISNUMBER(H2005),H2005,1))</f>
        <v>0.34891203703703699</v>
      </c>
      <c r="AG2005" s="289">
        <v>2004</v>
      </c>
      <c r="AH2005" s="94"/>
      <c r="AI2005" s="94"/>
    </row>
    <row r="2006" spans="1:36" s="22" customFormat="1" ht="12" customHeight="1" x14ac:dyDescent="0.25">
      <c r="A2006" s="408"/>
      <c r="B2006" s="408" t="s">
        <v>8364</v>
      </c>
      <c r="C2006" s="497">
        <v>9.09</v>
      </c>
      <c r="D2006" s="176" t="s">
        <v>11939</v>
      </c>
      <c r="E2006" s="313" t="s">
        <v>11940</v>
      </c>
      <c r="F2006" s="175">
        <v>42277</v>
      </c>
      <c r="G2006" s="175"/>
      <c r="H2006" s="176" t="s">
        <v>461</v>
      </c>
      <c r="I2006" s="176"/>
      <c r="J2006" s="900" t="s">
        <v>2755</v>
      </c>
      <c r="K2006" s="164" t="s">
        <v>4131</v>
      </c>
      <c r="L2006" s="164" t="s">
        <v>461</v>
      </c>
      <c r="M2006" s="164"/>
      <c r="N2006" s="164" t="s">
        <v>9286</v>
      </c>
      <c r="O2006" s="164"/>
      <c r="P2006" s="173" t="s">
        <v>11922</v>
      </c>
      <c r="Q2006" s="164" t="s">
        <v>11587</v>
      </c>
      <c r="R2006" s="177" t="s">
        <v>11580</v>
      </c>
      <c r="S2006" s="354"/>
      <c r="T2006" s="173"/>
      <c r="U2006" s="173"/>
      <c r="V2006" s="173" t="s">
        <v>3535</v>
      </c>
      <c r="W2006" s="313" t="s">
        <v>11955</v>
      </c>
      <c r="X2006" s="645" t="s">
        <v>12507</v>
      </c>
      <c r="Y2006" s="354"/>
      <c r="Z2006" s="176"/>
      <c r="AA2006" s="176"/>
      <c r="AB2006" s="32">
        <f t="shared" ca="1" si="42"/>
        <v>0.44918322117196197</v>
      </c>
      <c r="AC2006" s="812"/>
      <c r="AD2006" s="763"/>
      <c r="AE2006" s="807"/>
      <c r="AF2006" s="921">
        <f>IF(X2006=X2005,AF2005,0)+IF(ISNUMBER(I2006),IF(I2006&lt;1,I2006,I2006*VLOOKUP(J2006,Summary!$H$2:$I$9,2)),VLOOKUP(J2006,Summary!$J$2:$K$9,2)*IF(ISNUMBER(H2006),H2006,1))</f>
        <v>0.3662731481481481</v>
      </c>
      <c r="AG2006" s="289">
        <v>2005</v>
      </c>
      <c r="AH2006" s="94"/>
      <c r="AI2006" s="94"/>
    </row>
    <row r="2007" spans="1:36" s="22" customFormat="1" ht="12" customHeight="1" x14ac:dyDescent="0.25">
      <c r="A2007" s="408"/>
      <c r="B2007" s="408" t="s">
        <v>8364</v>
      </c>
      <c r="C2007" s="497">
        <v>9.1</v>
      </c>
      <c r="D2007" s="176" t="s">
        <v>11941</v>
      </c>
      <c r="E2007" s="313" t="s">
        <v>11942</v>
      </c>
      <c r="F2007" s="175">
        <v>42277</v>
      </c>
      <c r="G2007" s="175"/>
      <c r="H2007" s="176" t="s">
        <v>461</v>
      </c>
      <c r="I2007" s="176"/>
      <c r="J2007" s="900" t="s">
        <v>2755</v>
      </c>
      <c r="K2007" s="164" t="s">
        <v>11778</v>
      </c>
      <c r="L2007" s="164" t="s">
        <v>461</v>
      </c>
      <c r="M2007" s="164"/>
      <c r="N2007" s="164" t="s">
        <v>9286</v>
      </c>
      <c r="O2007" s="164"/>
      <c r="P2007" s="173" t="s">
        <v>11922</v>
      </c>
      <c r="Q2007" s="164" t="s">
        <v>11587</v>
      </c>
      <c r="R2007" s="177" t="s">
        <v>11580</v>
      </c>
      <c r="S2007" s="354"/>
      <c r="T2007" s="173"/>
      <c r="U2007" s="173"/>
      <c r="V2007" s="173" t="s">
        <v>3535</v>
      </c>
      <c r="W2007" s="313" t="s">
        <v>11956</v>
      </c>
      <c r="X2007" s="645" t="s">
        <v>12507</v>
      </c>
      <c r="Y2007" s="354"/>
      <c r="Z2007" s="176"/>
      <c r="AA2007" s="176"/>
      <c r="AB2007" s="32">
        <f t="shared" ca="1" si="42"/>
        <v>0.93208568840889694</v>
      </c>
      <c r="AC2007" s="812"/>
      <c r="AD2007" s="763"/>
      <c r="AE2007" s="807"/>
      <c r="AF2007" s="921">
        <f>IF(X2007=X2006,AF2006,0)+IF(ISNUMBER(I2007),IF(I2007&lt;1,I2007,I2007*VLOOKUP(J2007,Summary!$H$2:$I$9,2)),VLOOKUP(J2007,Summary!$J$2:$K$9,2)*IF(ISNUMBER(H2007),H2007,1))</f>
        <v>0.3836342592592592</v>
      </c>
      <c r="AG2007" s="289">
        <v>2006</v>
      </c>
      <c r="AH2007" s="94"/>
      <c r="AI2007" s="94"/>
    </row>
    <row r="2008" spans="1:36" s="22" customFormat="1" ht="12" customHeight="1" x14ac:dyDescent="0.25">
      <c r="A2008" s="408"/>
      <c r="B2008" s="408" t="s">
        <v>8364</v>
      </c>
      <c r="C2008" s="497">
        <v>9.11</v>
      </c>
      <c r="D2008" s="176" t="s">
        <v>11943</v>
      </c>
      <c r="E2008" s="313" t="s">
        <v>11944</v>
      </c>
      <c r="F2008" s="175">
        <v>42277</v>
      </c>
      <c r="G2008" s="175"/>
      <c r="H2008" s="176" t="s">
        <v>461</v>
      </c>
      <c r="I2008" s="176"/>
      <c r="J2008" s="900" t="s">
        <v>2755</v>
      </c>
      <c r="K2008" s="164" t="s">
        <v>3424</v>
      </c>
      <c r="L2008" s="164" t="s">
        <v>461</v>
      </c>
      <c r="M2008" s="164"/>
      <c r="N2008" s="164" t="s">
        <v>9286</v>
      </c>
      <c r="O2008" s="164"/>
      <c r="P2008" s="173" t="s">
        <v>11922</v>
      </c>
      <c r="Q2008" s="164" t="s">
        <v>11587</v>
      </c>
      <c r="R2008" s="177" t="s">
        <v>11580</v>
      </c>
      <c r="S2008" s="354"/>
      <c r="T2008" s="173"/>
      <c r="U2008" s="173"/>
      <c r="V2008" s="173" t="s">
        <v>3535</v>
      </c>
      <c r="W2008" s="313" t="s">
        <v>11957</v>
      </c>
      <c r="X2008" s="645" t="s">
        <v>12507</v>
      </c>
      <c r="Y2008" s="354"/>
      <c r="Z2008" s="176"/>
      <c r="AA2008" s="176"/>
      <c r="AB2008" s="32">
        <f t="shared" ca="1" si="42"/>
        <v>0.26701480328217275</v>
      </c>
      <c r="AC2008" s="812"/>
      <c r="AD2008" s="763"/>
      <c r="AE2008" s="807"/>
      <c r="AF2008" s="921">
        <f>IF(X2008=X2007,AF2007,0)+IF(ISNUMBER(I2008),IF(I2008&lt;1,I2008,I2008*VLOOKUP(J2008,Summary!$H$2:$I$9,2)),VLOOKUP(J2008,Summary!$J$2:$K$9,2)*IF(ISNUMBER(H2008),H2008,1))</f>
        <v>0.40099537037037031</v>
      </c>
      <c r="AG2008" s="289">
        <v>2007</v>
      </c>
      <c r="AH2008" s="94"/>
      <c r="AI2008" s="94"/>
    </row>
    <row r="2009" spans="1:36" s="22" customFormat="1" ht="12" customHeight="1" x14ac:dyDescent="0.25">
      <c r="A2009" s="408"/>
      <c r="B2009" s="408" t="s">
        <v>8364</v>
      </c>
      <c r="C2009" s="497">
        <v>9.1199999999999992</v>
      </c>
      <c r="D2009" s="176" t="s">
        <v>11945</v>
      </c>
      <c r="E2009" s="313" t="s">
        <v>11946</v>
      </c>
      <c r="F2009" s="175">
        <v>42277</v>
      </c>
      <c r="G2009" s="175"/>
      <c r="H2009" s="176" t="s">
        <v>461</v>
      </c>
      <c r="I2009" s="176"/>
      <c r="J2009" s="900" t="s">
        <v>2755</v>
      </c>
      <c r="K2009" s="164" t="s">
        <v>11965</v>
      </c>
      <c r="L2009" s="164" t="s">
        <v>461</v>
      </c>
      <c r="M2009" s="164"/>
      <c r="N2009" s="164" t="s">
        <v>9286</v>
      </c>
      <c r="O2009" s="164"/>
      <c r="P2009" s="173" t="s">
        <v>11922</v>
      </c>
      <c r="Q2009" s="164" t="s">
        <v>11587</v>
      </c>
      <c r="R2009" s="177" t="s">
        <v>11580</v>
      </c>
      <c r="S2009" s="354"/>
      <c r="T2009" s="173"/>
      <c r="U2009" s="173"/>
      <c r="V2009" s="173" t="s">
        <v>3535</v>
      </c>
      <c r="W2009" s="313" t="s">
        <v>9629</v>
      </c>
      <c r="X2009" s="645" t="s">
        <v>12507</v>
      </c>
      <c r="Y2009" s="354"/>
      <c r="Z2009" s="176"/>
      <c r="AA2009" s="176"/>
      <c r="AB2009" s="32">
        <f t="shared" ca="1" si="42"/>
        <v>0.93798563807341506</v>
      </c>
      <c r="AC2009" s="812"/>
      <c r="AD2009" s="763"/>
      <c r="AE2009" s="807"/>
      <c r="AF2009" s="921">
        <f>IF(X2009=X2008,AF2008,0)+IF(ISNUMBER(I2009),IF(I2009&lt;1,I2009,I2009*VLOOKUP(J2009,Summary!$H$2:$I$9,2)),VLOOKUP(J2009,Summary!$J$2:$K$9,2)*IF(ISNUMBER(H2009),H2009,1))</f>
        <v>0.41835648148148141</v>
      </c>
      <c r="AG2009" s="289">
        <v>2008</v>
      </c>
      <c r="AH2009" s="94"/>
      <c r="AI2009" s="94"/>
    </row>
    <row r="2010" spans="1:36" s="43" customFormat="1" ht="12" customHeight="1" x14ac:dyDescent="0.25">
      <c r="A2010" s="527" t="s">
        <v>10689</v>
      </c>
      <c r="B2010" s="527">
        <v>6</v>
      </c>
      <c r="C2010" s="527">
        <v>3</v>
      </c>
      <c r="D2010" s="407" t="s">
        <v>5798</v>
      </c>
      <c r="E2010" s="315" t="s">
        <v>5799</v>
      </c>
      <c r="F2010" s="169">
        <v>36465</v>
      </c>
      <c r="G2010" s="170"/>
      <c r="H2010" s="170">
        <v>4</v>
      </c>
      <c r="I2010" s="746">
        <f>TIME(0,93,29)</f>
        <v>6.491898148148148E-2</v>
      </c>
      <c r="J2010" s="899" t="s">
        <v>4706</v>
      </c>
      <c r="K2010" s="167" t="s">
        <v>543</v>
      </c>
      <c r="L2010" s="167" t="s">
        <v>7375</v>
      </c>
      <c r="M2010" s="167"/>
      <c r="N2010" s="167"/>
      <c r="O2010" s="167" t="s">
        <v>2909</v>
      </c>
      <c r="P2010" s="168"/>
      <c r="Q2010" s="167" t="s">
        <v>3947</v>
      </c>
      <c r="R2010" s="172" t="s">
        <v>3146</v>
      </c>
      <c r="S2010" s="388" t="s">
        <v>2319</v>
      </c>
      <c r="T2010" s="168"/>
      <c r="U2010" s="168"/>
      <c r="V2010" s="168"/>
      <c r="W2010" s="312" t="s">
        <v>8724</v>
      </c>
      <c r="X2010" s="644" t="s">
        <v>12336</v>
      </c>
      <c r="Y2010" s="352" t="s">
        <v>5643</v>
      </c>
      <c r="Z2010" s="353">
        <v>185</v>
      </c>
      <c r="AA2010" s="353">
        <v>6</v>
      </c>
      <c r="AB2010" s="40">
        <f t="shared" ca="1" si="42"/>
        <v>0.26317548432679094</v>
      </c>
      <c r="AC2010" s="810"/>
      <c r="AD2010" s="811" t="s">
        <v>16166</v>
      </c>
      <c r="AE2010" s="940" t="s">
        <v>12543</v>
      </c>
      <c r="AF2010" s="920">
        <f>IF(X2010=X2009,AF2009,0)+IF(ISNUMBER(I2010),IF(I2010&lt;1,I2010,I2010*VLOOKUP(J2010,Summary!$H$2:$I$9,2)),VLOOKUP(J2010,Summary!$J$2:$K$9,2)*IF(ISNUMBER(H2010),H2010,1))</f>
        <v>6.491898148148148E-2</v>
      </c>
      <c r="AG2010" s="287">
        <v>2009</v>
      </c>
      <c r="AH2010" s="94"/>
      <c r="AI2010" s="94"/>
    </row>
    <row r="2011" spans="1:36" s="1" customFormat="1" ht="12" customHeight="1" x14ac:dyDescent="0.25">
      <c r="A2011" s="522" t="s">
        <v>10689</v>
      </c>
      <c r="B2011" s="522">
        <v>6</v>
      </c>
      <c r="C2011" s="528">
        <v>3.1</v>
      </c>
      <c r="D2011" s="434" t="s">
        <v>5778</v>
      </c>
      <c r="E2011" s="324" t="s">
        <v>6260</v>
      </c>
      <c r="F2011" s="174">
        <v>36586</v>
      </c>
      <c r="G2011" s="174"/>
      <c r="H2011" s="176">
        <v>1</v>
      </c>
      <c r="I2011" s="176">
        <v>13</v>
      </c>
      <c r="J2011" s="900" t="s">
        <v>2755</v>
      </c>
      <c r="K2011" s="164" t="s">
        <v>5777</v>
      </c>
      <c r="L2011" s="164" t="s">
        <v>461</v>
      </c>
      <c r="M2011" s="164"/>
      <c r="N2011" s="164" t="s">
        <v>4992</v>
      </c>
      <c r="O2011" s="164"/>
      <c r="P2011" s="173" t="s">
        <v>4993</v>
      </c>
      <c r="Q2011" s="164" t="s">
        <v>3953</v>
      </c>
      <c r="R2011" s="179" t="s">
        <v>2723</v>
      </c>
      <c r="S2011" s="354" t="s">
        <v>2319</v>
      </c>
      <c r="T2011" s="173"/>
      <c r="U2011" s="173"/>
      <c r="V2011" s="173"/>
      <c r="W2011" s="324" t="s">
        <v>6260</v>
      </c>
      <c r="X2011" s="656" t="s">
        <v>12336</v>
      </c>
      <c r="Y2011" s="354" t="s">
        <v>6868</v>
      </c>
      <c r="Z2011" s="176">
        <v>999</v>
      </c>
      <c r="AA2011" s="364"/>
      <c r="AB2011" s="32">
        <f t="shared" ca="1" si="42"/>
        <v>0.98496975954744992</v>
      </c>
      <c r="AC2011" s="812"/>
      <c r="AD2011" s="763"/>
      <c r="AE2011" s="951"/>
      <c r="AF2011" s="921">
        <f>IF(X2011=X2010,AF2010,0)+IF(ISNUMBER(I2011),IF(I2011&lt;1,I2011,I2011*VLOOKUP(J2011,Summary!$H$2:$I$9,2)),VLOOKUP(J2011,Summary!$J$2:$K$9,2)*IF(ISNUMBER(H2011),H2011,1))</f>
        <v>7.3946759259259254E-2</v>
      </c>
      <c r="AG2011" s="288">
        <v>2010</v>
      </c>
      <c r="AH2011" s="94"/>
      <c r="AI2011" s="94"/>
    </row>
    <row r="2012" spans="1:36" s="6" customFormat="1" ht="12" customHeight="1" x14ac:dyDescent="0.25">
      <c r="A2012" s="523" t="s">
        <v>10689</v>
      </c>
      <c r="B2012" s="523">
        <v>6</v>
      </c>
      <c r="C2012" s="523">
        <v>51</v>
      </c>
      <c r="D2012" s="417" t="s">
        <v>5800</v>
      </c>
      <c r="E2012" s="316" t="s">
        <v>5801</v>
      </c>
      <c r="F2012" s="187">
        <v>37316</v>
      </c>
      <c r="G2012" s="188"/>
      <c r="H2012" s="188" t="str">
        <f>IF(J2012="Book","n/a","")</f>
        <v>n/a</v>
      </c>
      <c r="I2012" s="188">
        <v>285</v>
      </c>
      <c r="J2012" s="902" t="s">
        <v>6868</v>
      </c>
      <c r="K2012" s="162" t="s">
        <v>181</v>
      </c>
      <c r="L2012" s="162" t="str">
        <f>IF(J2012="Book","n/a","")</f>
        <v>n/a</v>
      </c>
      <c r="M2012" s="162"/>
      <c r="N2012" s="162"/>
      <c r="O2012" s="162"/>
      <c r="P2012" s="178" t="s">
        <v>8975</v>
      </c>
      <c r="Q2012" s="162" t="s">
        <v>3953</v>
      </c>
      <c r="R2012" s="189" t="s">
        <v>2717</v>
      </c>
      <c r="S2012" s="366" t="s">
        <v>2319</v>
      </c>
      <c r="T2012" s="178"/>
      <c r="U2012" s="178"/>
      <c r="V2012" s="178"/>
      <c r="W2012" s="316" t="s">
        <v>5801</v>
      </c>
      <c r="X2012" s="648" t="s">
        <v>12336</v>
      </c>
      <c r="Y2012" s="356"/>
      <c r="Z2012" s="272"/>
      <c r="AA2012" s="272"/>
      <c r="AB2012" s="34">
        <f t="shared" ca="1" si="42"/>
        <v>7.5009860306604503E-2</v>
      </c>
      <c r="AC2012" s="814"/>
      <c r="AD2012" s="815" t="s">
        <v>16371</v>
      </c>
      <c r="AE2012" s="942" t="s">
        <v>16126</v>
      </c>
      <c r="AF2012" s="923">
        <f>IF(X2012=X2011,AF2011,0)+IF(ISNUMBER(I2012),IF(I2012&lt;1,I2012,I2012*VLOOKUP(J2012,Summary!$H$2:$I$9,2)),VLOOKUP(J2012,Summary!$J$2:$K$9,2)*IF(ISNUMBER(H2012),H2012,1))</f>
        <v>0.27186342592592594</v>
      </c>
      <c r="AG2012" s="291">
        <v>2011</v>
      </c>
      <c r="AH2012" s="94"/>
      <c r="AI2012" s="94"/>
    </row>
    <row r="2013" spans="1:36" s="6" customFormat="1" ht="12" customHeight="1" x14ac:dyDescent="0.25">
      <c r="A2013" s="527" t="s">
        <v>10689</v>
      </c>
      <c r="B2013" s="527">
        <v>6</v>
      </c>
      <c r="C2013" s="527">
        <v>35</v>
      </c>
      <c r="D2013" s="407" t="s">
        <v>5802</v>
      </c>
      <c r="E2013" s="315" t="s">
        <v>5803</v>
      </c>
      <c r="F2013" s="196">
        <v>37497</v>
      </c>
      <c r="G2013" s="170"/>
      <c r="H2013" s="170">
        <v>4</v>
      </c>
      <c r="I2013" s="746">
        <f>TIME(1,54,18)</f>
        <v>7.9374999999999987E-2</v>
      </c>
      <c r="J2013" s="899" t="s">
        <v>4706</v>
      </c>
      <c r="K2013" s="167" t="s">
        <v>2299</v>
      </c>
      <c r="L2013" s="167" t="s">
        <v>4549</v>
      </c>
      <c r="M2013" s="167"/>
      <c r="N2013" s="167"/>
      <c r="O2013" s="167" t="s">
        <v>2909</v>
      </c>
      <c r="P2013" s="168"/>
      <c r="Q2013" s="167" t="s">
        <v>3947</v>
      </c>
      <c r="R2013" s="172" t="s">
        <v>3146</v>
      </c>
      <c r="S2013" s="388" t="s">
        <v>2319</v>
      </c>
      <c r="T2013" s="168"/>
      <c r="U2013" s="168"/>
      <c r="V2013" s="168"/>
      <c r="W2013" s="312" t="s">
        <v>8762</v>
      </c>
      <c r="X2013" s="644" t="s">
        <v>12336</v>
      </c>
      <c r="Y2013" s="352" t="s">
        <v>5643</v>
      </c>
      <c r="Z2013" s="353">
        <v>46</v>
      </c>
      <c r="AA2013" s="353">
        <v>8.5</v>
      </c>
      <c r="AB2013" s="40">
        <f t="shared" ca="1" si="42"/>
        <v>0.94526906513239839</v>
      </c>
      <c r="AC2013" s="810"/>
      <c r="AD2013" s="811"/>
      <c r="AE2013" s="940"/>
      <c r="AF2013" s="920">
        <f>IF(X2013=X2012,AF2012,0)+IF(ISNUMBER(I2013),IF(I2013&lt;1,I2013,I2013*VLOOKUP(J2013,Summary!$H$2:$I$9,2)),VLOOKUP(J2013,Summary!$J$2:$K$9,2)*IF(ISNUMBER(H2013),H2013,1))</f>
        <v>0.35123842592592591</v>
      </c>
      <c r="AG2013" s="287">
        <v>2012</v>
      </c>
      <c r="AH2013" s="94"/>
      <c r="AI2013" s="94"/>
    </row>
    <row r="2014" spans="1:36" s="1" customFormat="1" ht="12" customHeight="1" x14ac:dyDescent="0.25">
      <c r="A2014" s="522" t="s">
        <v>10689</v>
      </c>
      <c r="B2014" s="522">
        <v>6</v>
      </c>
      <c r="C2014" s="522">
        <v>23.05</v>
      </c>
      <c r="D2014" s="434" t="s">
        <v>6675</v>
      </c>
      <c r="E2014" s="324" t="s">
        <v>6672</v>
      </c>
      <c r="F2014" s="174">
        <v>39234</v>
      </c>
      <c r="G2014" s="174"/>
      <c r="H2014" s="176">
        <v>1</v>
      </c>
      <c r="I2014" s="176">
        <v>10</v>
      </c>
      <c r="J2014" s="900" t="s">
        <v>2755</v>
      </c>
      <c r="K2014" s="164" t="s">
        <v>6676</v>
      </c>
      <c r="L2014" s="164" t="s">
        <v>461</v>
      </c>
      <c r="M2014" s="164"/>
      <c r="N2014" s="164" t="s">
        <v>804</v>
      </c>
      <c r="O2014" s="164"/>
      <c r="P2014" s="173" t="s">
        <v>6700</v>
      </c>
      <c r="Q2014" s="164" t="s">
        <v>3947</v>
      </c>
      <c r="R2014" s="179" t="s">
        <v>2723</v>
      </c>
      <c r="S2014" s="354" t="s">
        <v>2319</v>
      </c>
      <c r="T2014" s="173"/>
      <c r="U2014" s="173"/>
      <c r="V2014" s="173"/>
      <c r="W2014" s="324" t="s">
        <v>6672</v>
      </c>
      <c r="X2014" s="656" t="s">
        <v>12336</v>
      </c>
      <c r="Y2014" s="363"/>
      <c r="Z2014" s="364"/>
      <c r="AA2014" s="364"/>
      <c r="AB2014" s="32">
        <f t="shared" ca="1" si="42"/>
        <v>0.80021991889090316</v>
      </c>
      <c r="AC2014" s="812"/>
      <c r="AD2014" s="763"/>
      <c r="AE2014" s="951"/>
      <c r="AF2014" s="921">
        <f>IF(X2014=X2013,AF2013,0)+IF(ISNUMBER(I2014),IF(I2014&lt;1,I2014,I2014*VLOOKUP(J2014,Summary!$H$2:$I$9,2)),VLOOKUP(J2014,Summary!$J$2:$K$9,2)*IF(ISNUMBER(H2014),H2014,1))</f>
        <v>0.35818287037037033</v>
      </c>
      <c r="AG2014" s="288">
        <v>2013</v>
      </c>
      <c r="AH2014" s="94"/>
      <c r="AI2014" s="94"/>
    </row>
    <row r="2015" spans="1:36" s="2" customFormat="1" ht="12" customHeight="1" x14ac:dyDescent="0.25">
      <c r="A2015" s="527" t="s">
        <v>10689</v>
      </c>
      <c r="B2015" s="527">
        <v>6</v>
      </c>
      <c r="C2015" s="527">
        <v>86</v>
      </c>
      <c r="D2015" s="407" t="s">
        <v>5804</v>
      </c>
      <c r="E2015" s="315" t="s">
        <v>5569</v>
      </c>
      <c r="F2015" s="169">
        <v>38961</v>
      </c>
      <c r="G2015" s="170"/>
      <c r="H2015" s="170">
        <v>2</v>
      </c>
      <c r="I2015" s="746">
        <f>TIME(2,13,34)</f>
        <v>9.2754629629629617E-2</v>
      </c>
      <c r="J2015" s="899" t="s">
        <v>4706</v>
      </c>
      <c r="K2015" s="167" t="s">
        <v>4425</v>
      </c>
      <c r="L2015" s="167" t="s">
        <v>7375</v>
      </c>
      <c r="M2015" s="167"/>
      <c r="N2015" s="167"/>
      <c r="O2015" s="167" t="s">
        <v>2909</v>
      </c>
      <c r="P2015" s="168"/>
      <c r="Q2015" s="167" t="s">
        <v>3947</v>
      </c>
      <c r="R2015" s="172" t="s">
        <v>3146</v>
      </c>
      <c r="S2015" s="388" t="s">
        <v>2319</v>
      </c>
      <c r="T2015" s="168"/>
      <c r="U2015" s="168"/>
      <c r="V2015" s="168"/>
      <c r="W2015" s="312" t="s">
        <v>9342</v>
      </c>
      <c r="X2015" s="644" t="s">
        <v>12336</v>
      </c>
      <c r="Y2015" s="352" t="s">
        <v>5643</v>
      </c>
      <c r="Z2015" s="353">
        <v>339</v>
      </c>
      <c r="AA2015" s="353">
        <v>5</v>
      </c>
      <c r="AB2015" s="40">
        <f t="shared" ca="1" si="42"/>
        <v>0.25697014131558493</v>
      </c>
      <c r="AC2015" s="810"/>
      <c r="AD2015" s="811" t="s">
        <v>16019</v>
      </c>
      <c r="AE2015" s="940"/>
      <c r="AF2015" s="920">
        <f>IF(X2015=X2014,AF2014,0)+IF(ISNUMBER(I2015),IF(I2015&lt;1,I2015,I2015*VLOOKUP(J2015,Summary!$H$2:$I$9,2)),VLOOKUP(J2015,Summary!$J$2:$K$9,2)*IF(ISNUMBER(H2015),H2015,1))</f>
        <v>0.45093749999999994</v>
      </c>
      <c r="AG2015" s="287">
        <v>2014</v>
      </c>
      <c r="AH2015" s="94"/>
      <c r="AI2015" s="94"/>
      <c r="AJ2015" s="6"/>
    </row>
    <row r="2016" spans="1:36" s="1" customFormat="1" ht="12" customHeight="1" x14ac:dyDescent="0.25">
      <c r="A2016" s="523" t="s">
        <v>10689</v>
      </c>
      <c r="B2016" s="523">
        <v>6</v>
      </c>
      <c r="C2016" s="523">
        <v>8</v>
      </c>
      <c r="D2016" s="417" t="s">
        <v>5570</v>
      </c>
      <c r="E2016" s="316" t="s">
        <v>5571</v>
      </c>
      <c r="F2016" s="195">
        <v>37791</v>
      </c>
      <c r="G2016" s="188"/>
      <c r="H2016" s="188" t="str">
        <f>IF(J2016="Book","n/a","")</f>
        <v>n/a</v>
      </c>
      <c r="I2016" s="188">
        <v>120</v>
      </c>
      <c r="J2016" s="902" t="s">
        <v>6868</v>
      </c>
      <c r="K2016" s="162" t="s">
        <v>2308</v>
      </c>
      <c r="L2016" s="162" t="str">
        <f>IF(J2016="Book","n/a","")</f>
        <v>n/a</v>
      </c>
      <c r="M2016" s="162"/>
      <c r="N2016" s="162"/>
      <c r="O2016" s="162"/>
      <c r="P2016" s="178" t="s">
        <v>8863</v>
      </c>
      <c r="Q2016" s="162" t="s">
        <v>6055</v>
      </c>
      <c r="R2016" s="189" t="s">
        <v>2718</v>
      </c>
      <c r="S2016" s="366" t="s">
        <v>2319</v>
      </c>
      <c r="T2016" s="178"/>
      <c r="U2016" s="178"/>
      <c r="V2016" s="178"/>
      <c r="W2016" s="316" t="s">
        <v>5571</v>
      </c>
      <c r="X2016" s="648" t="s">
        <v>12336</v>
      </c>
      <c r="Y2016" s="356"/>
      <c r="Z2016" s="272">
        <v>56</v>
      </c>
      <c r="AA2016" s="272">
        <v>7</v>
      </c>
      <c r="AB2016" s="34">
        <f t="shared" ca="1" si="42"/>
        <v>0.26442703746077767</v>
      </c>
      <c r="AC2016" s="814"/>
      <c r="AD2016" s="815"/>
      <c r="AE2016" s="942"/>
      <c r="AF2016" s="923">
        <f>IF(X2016=X2015,AF2015,0)+IF(ISNUMBER(I2016),IF(I2016&lt;1,I2016,I2016*VLOOKUP(J2016,Summary!$H$2:$I$9,2)),VLOOKUP(J2016,Summary!$J$2:$K$9,2)*IF(ISNUMBER(H2016),H2016,1))</f>
        <v>0.53427083333333325</v>
      </c>
      <c r="AG2016" s="291">
        <v>2015</v>
      </c>
      <c r="AH2016" s="94"/>
      <c r="AI2016" s="94"/>
    </row>
    <row r="2017" spans="1:36" s="1" customFormat="1" ht="12" customHeight="1" x14ac:dyDescent="0.25">
      <c r="A2017" s="522" t="s">
        <v>10689</v>
      </c>
      <c r="B2017" s="522">
        <v>6</v>
      </c>
      <c r="C2017" s="522">
        <v>9.0399999999999991</v>
      </c>
      <c r="D2017" s="434" t="s">
        <v>6682</v>
      </c>
      <c r="E2017" s="324" t="s">
        <v>6683</v>
      </c>
      <c r="F2017" s="174">
        <v>38047</v>
      </c>
      <c r="G2017" s="174"/>
      <c r="H2017" s="176">
        <v>1</v>
      </c>
      <c r="I2017" s="176">
        <v>8</v>
      </c>
      <c r="J2017" s="900" t="s">
        <v>2755</v>
      </c>
      <c r="K2017" s="164" t="s">
        <v>2366</v>
      </c>
      <c r="L2017" s="164" t="s">
        <v>461</v>
      </c>
      <c r="M2017" s="164"/>
      <c r="N2017" s="164" t="s">
        <v>7381</v>
      </c>
      <c r="O2017" s="164"/>
      <c r="P2017" s="173" t="s">
        <v>3431</v>
      </c>
      <c r="Q2017" s="164" t="s">
        <v>3947</v>
      </c>
      <c r="R2017" s="179" t="s">
        <v>2723</v>
      </c>
      <c r="S2017" s="354" t="s">
        <v>2319</v>
      </c>
      <c r="T2017" s="173"/>
      <c r="U2017" s="173"/>
      <c r="V2017" s="173"/>
      <c r="W2017" s="324" t="s">
        <v>6683</v>
      </c>
      <c r="X2017" s="656" t="s">
        <v>12336</v>
      </c>
      <c r="Y2017" s="363"/>
      <c r="Z2017" s="364">
        <v>999</v>
      </c>
      <c r="AA2017" s="364"/>
      <c r="AB2017" s="32">
        <f t="shared" ca="1" si="42"/>
        <v>0.7445712164947228</v>
      </c>
      <c r="AC2017" s="812"/>
      <c r="AD2017" s="763"/>
      <c r="AE2017" s="951"/>
      <c r="AF2017" s="921">
        <f>IF(X2017=X2016,AF2016,0)+IF(ISNUMBER(I2017),IF(I2017&lt;1,I2017,I2017*VLOOKUP(J2017,Summary!$H$2:$I$9,2)),VLOOKUP(J2017,Summary!$J$2:$K$9,2)*IF(ISNUMBER(H2017),H2017,1))</f>
        <v>0.53982638888888879</v>
      </c>
      <c r="AG2017" s="288">
        <v>2016</v>
      </c>
      <c r="AH2017" s="94"/>
      <c r="AI2017" s="94"/>
    </row>
    <row r="2018" spans="1:36" s="57" customFormat="1" ht="12" customHeight="1" x14ac:dyDescent="0.25">
      <c r="A2018" s="522" t="s">
        <v>10689</v>
      </c>
      <c r="B2018" s="522">
        <v>6</v>
      </c>
      <c r="C2018" s="522">
        <v>18.22</v>
      </c>
      <c r="D2018" s="434" t="s">
        <v>2638</v>
      </c>
      <c r="E2018" s="324" t="s">
        <v>2639</v>
      </c>
      <c r="F2018" s="174">
        <v>38687</v>
      </c>
      <c r="G2018" s="174"/>
      <c r="H2018" s="176">
        <v>1</v>
      </c>
      <c r="I2018" s="176">
        <v>16</v>
      </c>
      <c r="J2018" s="900" t="s">
        <v>2755</v>
      </c>
      <c r="K2018" s="164" t="s">
        <v>4425</v>
      </c>
      <c r="L2018" s="164" t="s">
        <v>461</v>
      </c>
      <c r="M2018" s="164"/>
      <c r="N2018" s="164" t="s">
        <v>5664</v>
      </c>
      <c r="O2018" s="164"/>
      <c r="P2018" s="173" t="s">
        <v>5000</v>
      </c>
      <c r="Q2018" s="164" t="s">
        <v>3947</v>
      </c>
      <c r="R2018" s="179" t="s">
        <v>2723</v>
      </c>
      <c r="S2018" s="354"/>
      <c r="T2018" s="173"/>
      <c r="U2018" s="173"/>
      <c r="V2018" s="173"/>
      <c r="W2018" s="324" t="s">
        <v>2639</v>
      </c>
      <c r="X2018" s="656" t="s">
        <v>12336</v>
      </c>
      <c r="Y2018" s="363"/>
      <c r="Z2018" s="364"/>
      <c r="AA2018" s="364"/>
      <c r="AB2018" s="32">
        <f t="shared" ca="1" si="42"/>
        <v>0.35480369963241731</v>
      </c>
      <c r="AC2018" s="812"/>
      <c r="AD2018" s="763"/>
      <c r="AE2018" s="951"/>
      <c r="AF2018" s="921">
        <f>IF(X2018=X2017,AF2017,0)+IF(ISNUMBER(I2018),IF(I2018&lt;1,I2018,I2018*VLOOKUP(J2018,Summary!$H$2:$I$9,2)),VLOOKUP(J2018,Summary!$J$2:$K$9,2)*IF(ISNUMBER(H2018),H2018,1))</f>
        <v>0.55093749999999986</v>
      </c>
      <c r="AG2018" s="288">
        <v>2017</v>
      </c>
      <c r="AH2018" s="94"/>
      <c r="AI2018" s="94"/>
    </row>
    <row r="2019" spans="1:36" s="1" customFormat="1" ht="12" customHeight="1" x14ac:dyDescent="0.25">
      <c r="A2019" s="801" t="s">
        <v>10689</v>
      </c>
      <c r="B2019" s="801">
        <v>6</v>
      </c>
      <c r="C2019" s="801">
        <v>1</v>
      </c>
      <c r="D2019" s="619" t="s">
        <v>15560</v>
      </c>
      <c r="E2019" s="345" t="s">
        <v>15561</v>
      </c>
      <c r="F2019" s="219">
        <v>31498</v>
      </c>
      <c r="G2019" s="219"/>
      <c r="H2019" s="210" t="s">
        <v>461</v>
      </c>
      <c r="I2019" s="210">
        <v>128</v>
      </c>
      <c r="J2019" s="908" t="s">
        <v>15556</v>
      </c>
      <c r="K2019" s="166" t="s">
        <v>4439</v>
      </c>
      <c r="L2019" s="166"/>
      <c r="M2019" s="166"/>
      <c r="N2019" s="166"/>
      <c r="O2019" s="166"/>
      <c r="P2019" s="267" t="s">
        <v>15563</v>
      </c>
      <c r="Q2019" s="166" t="s">
        <v>15562</v>
      </c>
      <c r="R2019" s="268" t="s">
        <v>15568</v>
      </c>
      <c r="S2019" s="386"/>
      <c r="T2019" s="267" t="s">
        <v>6335</v>
      </c>
      <c r="U2019" s="267"/>
      <c r="V2019" s="267"/>
      <c r="W2019" s="345" t="s">
        <v>15561</v>
      </c>
      <c r="X2019" s="680" t="s">
        <v>12336</v>
      </c>
      <c r="Y2019" s="384"/>
      <c r="Z2019" s="385"/>
      <c r="AA2019" s="385"/>
      <c r="AB2019" s="41">
        <f t="shared" ca="1" si="42"/>
        <v>0.19429543278733086</v>
      </c>
      <c r="AC2019" s="832"/>
      <c r="AD2019" s="833"/>
      <c r="AE2019" s="956"/>
      <c r="AF2019" s="929">
        <f>IF(X2019=X2018,AF2018,0)+IF(ISNUMBER(I2019),IF(I2019&lt;1,I2019,I2019*VLOOKUP(J2019,Summary!$H$2:$I$9,2)),VLOOKUP(J2019,Summary!$J$2:$K$9,2)*IF(ISNUMBER(H2019),H2019,1))</f>
        <v>0.59538194444444426</v>
      </c>
      <c r="AG2019" s="307">
        <v>2018</v>
      </c>
      <c r="AH2019" s="94"/>
      <c r="AI2019" s="94"/>
    </row>
    <row r="2020" spans="1:36" s="1" customFormat="1" ht="12" customHeight="1" x14ac:dyDescent="0.25">
      <c r="A2020" s="532" t="s">
        <v>10689</v>
      </c>
      <c r="B2020" s="532">
        <v>6</v>
      </c>
      <c r="C2020" s="532">
        <v>1</v>
      </c>
      <c r="D2020" s="509" t="s">
        <v>3553</v>
      </c>
      <c r="E2020" s="335" t="s">
        <v>216</v>
      </c>
      <c r="F2020" s="223">
        <v>31101</v>
      </c>
      <c r="G2020" s="223"/>
      <c r="H2020" s="242">
        <v>1</v>
      </c>
      <c r="I2020" s="792">
        <f>TIME(0,9,19)</f>
        <v>6.4699074074074069E-3</v>
      </c>
      <c r="J2020" s="909" t="s">
        <v>1588</v>
      </c>
      <c r="K2020" s="243" t="s">
        <v>2366</v>
      </c>
      <c r="L2020" s="243" t="s">
        <v>2301</v>
      </c>
      <c r="M2020" s="243"/>
      <c r="N2020" s="243"/>
      <c r="O2020" s="243"/>
      <c r="P2020" s="241" t="s">
        <v>461</v>
      </c>
      <c r="Q2020" s="243" t="s">
        <v>3946</v>
      </c>
      <c r="R2020" s="244" t="s">
        <v>5279</v>
      </c>
      <c r="S2020" s="395"/>
      <c r="T2020" s="241" t="s">
        <v>2320</v>
      </c>
      <c r="U2020" s="241"/>
      <c r="V2020" s="241"/>
      <c r="W2020" s="335" t="s">
        <v>216</v>
      </c>
      <c r="X2020" s="667" t="s">
        <v>12336</v>
      </c>
      <c r="Y2020" s="375" t="s">
        <v>6141</v>
      </c>
      <c r="Z2020" s="253">
        <v>315</v>
      </c>
      <c r="AA2020" s="377">
        <v>1</v>
      </c>
      <c r="AB2020" s="55">
        <f t="shared" ca="1" si="42"/>
        <v>0.41032970020222914</v>
      </c>
      <c r="AC2020" s="834"/>
      <c r="AD2020" s="835"/>
      <c r="AE2020" s="957"/>
      <c r="AF2020" s="930">
        <f>IF(X2020=X2019,AF2019,0)+IF(ISNUMBER(I2020),IF(I2020&lt;1,I2020,I2020*VLOOKUP(J2020,Summary!$H$2:$I$9,2)),VLOOKUP(J2020,Summary!$J$2:$K$9,2)*IF(ISNUMBER(H2020),H2020,1))</f>
        <v>0.60185185185185164</v>
      </c>
      <c r="AG2020" s="302">
        <v>2019</v>
      </c>
      <c r="AH2020" s="94"/>
      <c r="AI2020" s="94"/>
    </row>
    <row r="2021" spans="1:36" s="1" customFormat="1" ht="12" customHeight="1" x14ac:dyDescent="0.25">
      <c r="A2021" s="522" t="s">
        <v>10689</v>
      </c>
      <c r="B2021" s="522">
        <v>6</v>
      </c>
      <c r="C2021" s="522">
        <v>9.16</v>
      </c>
      <c r="D2021" s="434" t="s">
        <v>6680</v>
      </c>
      <c r="E2021" s="324" t="s">
        <v>6681</v>
      </c>
      <c r="F2021" s="174">
        <v>38047</v>
      </c>
      <c r="G2021" s="174"/>
      <c r="H2021" s="176">
        <v>1</v>
      </c>
      <c r="I2021" s="176">
        <v>8</v>
      </c>
      <c r="J2021" s="900" t="s">
        <v>2755</v>
      </c>
      <c r="K2021" s="164" t="s">
        <v>7426</v>
      </c>
      <c r="L2021" s="164" t="s">
        <v>461</v>
      </c>
      <c r="M2021" s="164"/>
      <c r="N2021" s="164" t="s">
        <v>7381</v>
      </c>
      <c r="O2021" s="164"/>
      <c r="P2021" s="173" t="s">
        <v>3431</v>
      </c>
      <c r="Q2021" s="164" t="s">
        <v>3947</v>
      </c>
      <c r="R2021" s="179" t="s">
        <v>2723</v>
      </c>
      <c r="S2021" s="354"/>
      <c r="T2021" s="173" t="s">
        <v>2320</v>
      </c>
      <c r="U2021" s="173"/>
      <c r="V2021" s="173"/>
      <c r="W2021" s="324" t="s">
        <v>6681</v>
      </c>
      <c r="X2021" s="656" t="s">
        <v>12336</v>
      </c>
      <c r="Y2021" s="363"/>
      <c r="Z2021" s="364">
        <v>999</v>
      </c>
      <c r="AA2021" s="364"/>
      <c r="AB2021" s="32">
        <f t="shared" ca="1" si="42"/>
        <v>0.36059893094126216</v>
      </c>
      <c r="AC2021" s="812"/>
      <c r="AD2021" s="763"/>
      <c r="AE2021" s="951"/>
      <c r="AF2021" s="921">
        <f>IF(X2021=X2020,AF2020,0)+IF(ISNUMBER(I2021),IF(I2021&lt;1,I2021,I2021*VLOOKUP(J2021,Summary!$H$2:$I$9,2)),VLOOKUP(J2021,Summary!$J$2:$K$9,2)*IF(ISNUMBER(H2021),H2021,1))</f>
        <v>0.60740740740740717</v>
      </c>
      <c r="AG2021" s="288">
        <v>2020</v>
      </c>
      <c r="AH2021" s="94"/>
      <c r="AI2021" s="94"/>
    </row>
    <row r="2022" spans="1:36" s="43" customFormat="1" ht="12" customHeight="1" x14ac:dyDescent="0.25">
      <c r="A2022" s="522" t="s">
        <v>10689</v>
      </c>
      <c r="B2022" s="522">
        <v>6</v>
      </c>
      <c r="C2022" s="528">
        <v>13.11</v>
      </c>
      <c r="D2022" s="434" t="s">
        <v>6650</v>
      </c>
      <c r="E2022" s="324" t="s">
        <v>539</v>
      </c>
      <c r="F2022" s="174">
        <v>38261</v>
      </c>
      <c r="G2022" s="174"/>
      <c r="H2022" s="176">
        <v>1</v>
      </c>
      <c r="I2022" s="176">
        <v>14</v>
      </c>
      <c r="J2022" s="900" t="s">
        <v>2755</v>
      </c>
      <c r="K2022" s="164" t="s">
        <v>941</v>
      </c>
      <c r="L2022" s="164" t="s">
        <v>461</v>
      </c>
      <c r="M2022" s="164"/>
      <c r="N2022" s="164" t="s">
        <v>4996</v>
      </c>
      <c r="O2022" s="164"/>
      <c r="P2022" s="173" t="s">
        <v>1945</v>
      </c>
      <c r="Q2022" s="164" t="s">
        <v>3947</v>
      </c>
      <c r="R2022" s="179" t="s">
        <v>2723</v>
      </c>
      <c r="S2022" s="354"/>
      <c r="T2022" s="173"/>
      <c r="U2022" s="173"/>
      <c r="V2022" s="173"/>
      <c r="W2022" s="324" t="s">
        <v>539</v>
      </c>
      <c r="X2022" s="656" t="s">
        <v>12336</v>
      </c>
      <c r="Y2022" s="363"/>
      <c r="Z2022" s="364"/>
      <c r="AA2022" s="364"/>
      <c r="AB2022" s="32">
        <f t="shared" ca="1" si="42"/>
        <v>0.45604646304963881</v>
      </c>
      <c r="AC2022" s="812"/>
      <c r="AD2022" s="763"/>
      <c r="AE2022" s="951"/>
      <c r="AF2022" s="921">
        <f>IF(X2022=X2021,AF2021,0)+IF(ISNUMBER(I2022),IF(I2022&lt;1,I2022,I2022*VLOOKUP(J2022,Summary!$H$2:$I$9,2)),VLOOKUP(J2022,Summary!$J$2:$K$9,2)*IF(ISNUMBER(H2022),H2022,1))</f>
        <v>0.61712962962962936</v>
      </c>
      <c r="AG2022" s="288">
        <v>2021</v>
      </c>
      <c r="AH2022" s="94"/>
      <c r="AI2022" s="94"/>
    </row>
    <row r="2023" spans="1:36" s="22" customFormat="1" ht="12" customHeight="1" x14ac:dyDescent="0.25">
      <c r="A2023" s="527" t="s">
        <v>10689</v>
      </c>
      <c r="B2023" s="527">
        <v>6</v>
      </c>
      <c r="C2023" s="527">
        <v>246</v>
      </c>
      <c r="D2023" s="407"/>
      <c r="E2023" s="315" t="s">
        <v>15794</v>
      </c>
      <c r="F2023" s="196">
        <v>43445</v>
      </c>
      <c r="G2023" s="170"/>
      <c r="H2023" s="170">
        <v>4</v>
      </c>
      <c r="I2023" s="747">
        <f>TIME(0,120,0)</f>
        <v>8.3333333333333329E-2</v>
      </c>
      <c r="J2023" s="899" t="s">
        <v>4706</v>
      </c>
      <c r="K2023" s="167" t="s">
        <v>10631</v>
      </c>
      <c r="L2023" s="167" t="s">
        <v>6231</v>
      </c>
      <c r="M2023" s="167"/>
      <c r="N2023" s="167" t="s">
        <v>7374</v>
      </c>
      <c r="O2023" s="167" t="s">
        <v>6231</v>
      </c>
      <c r="P2023" s="168" t="s">
        <v>15795</v>
      </c>
      <c r="Q2023" s="167" t="s">
        <v>3947</v>
      </c>
      <c r="R2023" s="172" t="s">
        <v>3146</v>
      </c>
      <c r="S2023" s="388"/>
      <c r="T2023" s="168"/>
      <c r="U2023" s="168"/>
      <c r="V2023" s="168"/>
      <c r="W2023" s="312"/>
      <c r="X2023" s="644" t="s">
        <v>12336</v>
      </c>
      <c r="Y2023" s="352"/>
      <c r="Z2023" s="353"/>
      <c r="AA2023" s="353"/>
      <c r="AB2023" s="40">
        <f t="shared" ca="1" si="42"/>
        <v>0.84468833516915864</v>
      </c>
      <c r="AC2023" s="810"/>
      <c r="AD2023" s="811"/>
      <c r="AE2023" s="940"/>
      <c r="AF2023" s="920">
        <f>IF(X2023=X2022,AF2022,0)+IF(ISNUMBER(I2023),IF(I2023&lt;1,I2023,I2023*VLOOKUP(J2023,Summary!$H$2:$I$9,2)),VLOOKUP(J2023,Summary!$J$2:$K$9,2)*IF(ISNUMBER(H2023),H2023,1))</f>
        <v>0.70046296296296273</v>
      </c>
      <c r="AG2023" s="287">
        <v>2022</v>
      </c>
      <c r="AH2023" s="94"/>
      <c r="AI2023" s="94"/>
      <c r="AJ2023" s="3"/>
    </row>
    <row r="2024" spans="1:36" s="43" customFormat="1" ht="12" customHeight="1" x14ac:dyDescent="0.25">
      <c r="A2024" s="522" t="s">
        <v>10689</v>
      </c>
      <c r="B2024" s="522">
        <v>6</v>
      </c>
      <c r="C2024" s="528">
        <v>21.02</v>
      </c>
      <c r="D2024" s="434" t="s">
        <v>3322</v>
      </c>
      <c r="E2024" s="324" t="s">
        <v>540</v>
      </c>
      <c r="F2024" s="174">
        <v>38991</v>
      </c>
      <c r="G2024" s="174"/>
      <c r="H2024" s="176">
        <v>1</v>
      </c>
      <c r="I2024" s="176">
        <v>18</v>
      </c>
      <c r="J2024" s="900" t="s">
        <v>2755</v>
      </c>
      <c r="K2024" s="164" t="s">
        <v>4732</v>
      </c>
      <c r="L2024" s="164" t="s">
        <v>461</v>
      </c>
      <c r="M2024" s="164"/>
      <c r="N2024" s="164" t="s">
        <v>5664</v>
      </c>
      <c r="O2024" s="164"/>
      <c r="P2024" s="173" t="s">
        <v>3325</v>
      </c>
      <c r="Q2024" s="164" t="s">
        <v>3947</v>
      </c>
      <c r="R2024" s="179" t="s">
        <v>2723</v>
      </c>
      <c r="S2024" s="354"/>
      <c r="T2024" s="173"/>
      <c r="U2024" s="173" t="s">
        <v>6671</v>
      </c>
      <c r="V2024" s="173"/>
      <c r="W2024" s="324" t="s">
        <v>540</v>
      </c>
      <c r="X2024" s="656" t="s">
        <v>12336</v>
      </c>
      <c r="Y2024" s="363"/>
      <c r="Z2024" s="364"/>
      <c r="AA2024" s="364"/>
      <c r="AB2024" s="32">
        <f t="shared" ca="1" si="42"/>
        <v>0.5971673873510468</v>
      </c>
      <c r="AC2024" s="812"/>
      <c r="AD2024" s="763"/>
      <c r="AE2024" s="951"/>
      <c r="AF2024" s="921">
        <f>IF(X2024=X2023,AF2023,0)+IF(ISNUMBER(I2024),IF(I2024&lt;1,I2024,I2024*VLOOKUP(J2024,Summary!$H$2:$I$9,2)),VLOOKUP(J2024,Summary!$J$2:$K$9,2)*IF(ISNUMBER(H2024),H2024,1))</f>
        <v>0.71296296296296269</v>
      </c>
      <c r="AG2024" s="288">
        <v>2023</v>
      </c>
      <c r="AH2024" s="94"/>
      <c r="AI2024" s="94"/>
    </row>
    <row r="2025" spans="1:36" s="29" customFormat="1" ht="12" customHeight="1" x14ac:dyDescent="0.25">
      <c r="A2025" s="522" t="s">
        <v>10689</v>
      </c>
      <c r="B2025" s="522">
        <v>6</v>
      </c>
      <c r="C2025" s="528">
        <v>21.06</v>
      </c>
      <c r="D2025" s="434" t="s">
        <v>7098</v>
      </c>
      <c r="E2025" s="324" t="s">
        <v>541</v>
      </c>
      <c r="F2025" s="174">
        <v>38991</v>
      </c>
      <c r="G2025" s="174"/>
      <c r="H2025" s="176">
        <v>1</v>
      </c>
      <c r="I2025" s="176">
        <v>18</v>
      </c>
      <c r="J2025" s="900" t="s">
        <v>2755</v>
      </c>
      <c r="K2025" s="164" t="s">
        <v>3193</v>
      </c>
      <c r="L2025" s="164" t="s">
        <v>461</v>
      </c>
      <c r="M2025" s="164"/>
      <c r="N2025" s="164" t="s">
        <v>5664</v>
      </c>
      <c r="O2025" s="164"/>
      <c r="P2025" s="173" t="s">
        <v>3325</v>
      </c>
      <c r="Q2025" s="164" t="s">
        <v>3947</v>
      </c>
      <c r="R2025" s="179" t="s">
        <v>2723</v>
      </c>
      <c r="S2025" s="354"/>
      <c r="T2025" s="173"/>
      <c r="U2025" s="173" t="s">
        <v>6671</v>
      </c>
      <c r="V2025" s="173"/>
      <c r="W2025" s="324" t="s">
        <v>541</v>
      </c>
      <c r="X2025" s="656" t="s">
        <v>12336</v>
      </c>
      <c r="Y2025" s="363"/>
      <c r="Z2025" s="364"/>
      <c r="AA2025" s="364"/>
      <c r="AB2025" s="32">
        <f t="shared" ca="1" si="42"/>
        <v>0.81617898602638306</v>
      </c>
      <c r="AC2025" s="812"/>
      <c r="AD2025" s="763"/>
      <c r="AE2025" s="951"/>
      <c r="AF2025" s="921">
        <f>IF(X2025=X2024,AF2024,0)+IF(ISNUMBER(I2025),IF(I2025&lt;1,I2025,I2025*VLOOKUP(J2025,Summary!$H$2:$I$9,2)),VLOOKUP(J2025,Summary!$J$2:$K$9,2)*IF(ISNUMBER(H2025),H2025,1))</f>
        <v>0.72546296296296264</v>
      </c>
      <c r="AG2025" s="288">
        <v>2024</v>
      </c>
      <c r="AH2025" s="94"/>
      <c r="AI2025" s="94"/>
    </row>
    <row r="2026" spans="1:36" s="29" customFormat="1" ht="12" customHeight="1" x14ac:dyDescent="0.25">
      <c r="A2026" s="522" t="s">
        <v>10689</v>
      </c>
      <c r="B2026" s="522">
        <v>6</v>
      </c>
      <c r="C2026" s="528">
        <v>21.1</v>
      </c>
      <c r="D2026" s="434" t="s">
        <v>6670</v>
      </c>
      <c r="E2026" s="324" t="s">
        <v>6645</v>
      </c>
      <c r="F2026" s="174">
        <v>38991</v>
      </c>
      <c r="G2026" s="174"/>
      <c r="H2026" s="176">
        <v>1</v>
      </c>
      <c r="I2026" s="176">
        <v>23</v>
      </c>
      <c r="J2026" s="900" t="s">
        <v>2755</v>
      </c>
      <c r="K2026" s="164" t="s">
        <v>2939</v>
      </c>
      <c r="L2026" s="164" t="s">
        <v>461</v>
      </c>
      <c r="M2026" s="164"/>
      <c r="N2026" s="164" t="s">
        <v>5664</v>
      </c>
      <c r="O2026" s="164"/>
      <c r="P2026" s="173" t="s">
        <v>3325</v>
      </c>
      <c r="Q2026" s="164" t="s">
        <v>3947</v>
      </c>
      <c r="R2026" s="179" t="s">
        <v>2723</v>
      </c>
      <c r="S2026" s="354"/>
      <c r="T2026" s="173"/>
      <c r="U2026" s="173" t="s">
        <v>6671</v>
      </c>
      <c r="V2026" s="173"/>
      <c r="W2026" s="324" t="s">
        <v>6645</v>
      </c>
      <c r="X2026" s="656" t="s">
        <v>12336</v>
      </c>
      <c r="Y2026" s="363"/>
      <c r="Z2026" s="364"/>
      <c r="AA2026" s="364"/>
      <c r="AB2026" s="32">
        <f t="shared" ca="1" si="42"/>
        <v>0.58202785639615495</v>
      </c>
      <c r="AC2026" s="812"/>
      <c r="AD2026" s="763"/>
      <c r="AE2026" s="951"/>
      <c r="AF2026" s="921">
        <f>IF(X2026=X2025,AF2025,0)+IF(ISNUMBER(I2026),IF(I2026&lt;1,I2026,I2026*VLOOKUP(J2026,Summary!$H$2:$I$9,2)),VLOOKUP(J2026,Summary!$J$2:$K$9,2)*IF(ISNUMBER(H2026),H2026,1))</f>
        <v>0.74143518518518492</v>
      </c>
      <c r="AG2026" s="288">
        <v>2025</v>
      </c>
      <c r="AH2026" s="94"/>
      <c r="AI2026" s="94"/>
    </row>
    <row r="2027" spans="1:36" s="29" customFormat="1" ht="12" customHeight="1" x14ac:dyDescent="0.25">
      <c r="A2027" s="522" t="s">
        <v>10689</v>
      </c>
      <c r="B2027" s="522">
        <v>6</v>
      </c>
      <c r="C2027" s="528">
        <v>21.08</v>
      </c>
      <c r="D2027" s="434" t="s">
        <v>6669</v>
      </c>
      <c r="E2027" s="324" t="s">
        <v>6646</v>
      </c>
      <c r="F2027" s="174">
        <v>38991</v>
      </c>
      <c r="G2027" s="174"/>
      <c r="H2027" s="176">
        <v>1</v>
      </c>
      <c r="I2027" s="176">
        <v>16</v>
      </c>
      <c r="J2027" s="900" t="s">
        <v>2755</v>
      </c>
      <c r="K2027" s="164" t="s">
        <v>7802</v>
      </c>
      <c r="L2027" s="164" t="s">
        <v>461</v>
      </c>
      <c r="M2027" s="164"/>
      <c r="N2027" s="164" t="s">
        <v>5664</v>
      </c>
      <c r="O2027" s="164"/>
      <c r="P2027" s="173" t="s">
        <v>3325</v>
      </c>
      <c r="Q2027" s="164" t="s">
        <v>3947</v>
      </c>
      <c r="R2027" s="179" t="s">
        <v>2723</v>
      </c>
      <c r="S2027" s="354"/>
      <c r="T2027" s="173"/>
      <c r="U2027" s="173" t="s">
        <v>6671</v>
      </c>
      <c r="V2027" s="173"/>
      <c r="W2027" s="324" t="s">
        <v>6646</v>
      </c>
      <c r="X2027" s="656" t="s">
        <v>12336</v>
      </c>
      <c r="Y2027" s="363"/>
      <c r="Z2027" s="364"/>
      <c r="AA2027" s="364"/>
      <c r="AB2027" s="32">
        <f t="shared" ca="1" si="42"/>
        <v>0.56543573905675459</v>
      </c>
      <c r="AC2027" s="812"/>
      <c r="AD2027" s="763"/>
      <c r="AE2027" s="951"/>
      <c r="AF2027" s="921">
        <f>IF(X2027=X2026,AF2026,0)+IF(ISNUMBER(I2027),IF(I2027&lt;1,I2027,I2027*VLOOKUP(J2027,Summary!$H$2:$I$9,2)),VLOOKUP(J2027,Summary!$J$2:$K$9,2)*IF(ISNUMBER(H2027),H2027,1))</f>
        <v>0.75254629629629599</v>
      </c>
      <c r="AG2027" s="288">
        <v>2026</v>
      </c>
      <c r="AH2027" s="94"/>
      <c r="AI2027" s="94"/>
    </row>
    <row r="2028" spans="1:36" s="29" customFormat="1" ht="12" customHeight="1" x14ac:dyDescent="0.25">
      <c r="A2028" s="525" t="s">
        <v>10689</v>
      </c>
      <c r="B2028" s="525">
        <v>6</v>
      </c>
      <c r="C2028" s="525">
        <v>24</v>
      </c>
      <c r="D2028" s="428" t="s">
        <v>5690</v>
      </c>
      <c r="E2028" s="325" t="s">
        <v>6686</v>
      </c>
      <c r="F2028" s="183">
        <v>30803</v>
      </c>
      <c r="G2028" s="183">
        <v>30834</v>
      </c>
      <c r="H2028" s="185">
        <v>2</v>
      </c>
      <c r="I2028" s="185">
        <v>16</v>
      </c>
      <c r="J2028" s="901" t="s">
        <v>1796</v>
      </c>
      <c r="K2028" s="163" t="s">
        <v>6052</v>
      </c>
      <c r="L2028" s="163" t="s">
        <v>2866</v>
      </c>
      <c r="M2028" s="158"/>
      <c r="N2028" s="158" t="s">
        <v>4061</v>
      </c>
      <c r="O2028" s="158"/>
      <c r="P2028" s="182" t="s">
        <v>461</v>
      </c>
      <c r="Q2028" s="158" t="s">
        <v>4062</v>
      </c>
      <c r="R2028" s="207" t="s">
        <v>5266</v>
      </c>
      <c r="S2028" s="355"/>
      <c r="T2028" s="182" t="s">
        <v>7313</v>
      </c>
      <c r="U2028" s="182"/>
      <c r="V2028" s="182"/>
      <c r="W2028" s="321"/>
      <c r="X2028" s="653" t="s">
        <v>12336</v>
      </c>
      <c r="Y2028" s="361"/>
      <c r="Z2028" s="362"/>
      <c r="AA2028" s="362"/>
      <c r="AB2028" s="33">
        <f t="shared" ca="1" si="42"/>
        <v>0.98401021892519203</v>
      </c>
      <c r="AC2028" s="813"/>
      <c r="AD2028" s="211" t="s">
        <v>16466</v>
      </c>
      <c r="AE2028" s="949" t="s">
        <v>12543</v>
      </c>
      <c r="AF2028" s="922">
        <f>IF(X2028=X2027,AF2027,0)+IF(ISNUMBER(I2028),IF(I2028&lt;1,I2028,I2028*VLOOKUP(J2028,Summary!$H$2:$I$9,2)),VLOOKUP(J2028,Summary!$J$2:$K$9,2)*IF(ISNUMBER(H2028),H2028,1))</f>
        <v>0.75810185185185153</v>
      </c>
      <c r="AG2028" s="295">
        <v>2027</v>
      </c>
      <c r="AH2028" s="94"/>
      <c r="AI2028" s="94"/>
    </row>
    <row r="2029" spans="1:36" s="57" customFormat="1" ht="12" customHeight="1" x14ac:dyDescent="0.25">
      <c r="A2029" s="525" t="s">
        <v>10689</v>
      </c>
      <c r="B2029" s="525">
        <v>6</v>
      </c>
      <c r="C2029" s="525">
        <v>25</v>
      </c>
      <c r="D2029" s="428" t="s">
        <v>5691</v>
      </c>
      <c r="E2029" s="325" t="s">
        <v>6687</v>
      </c>
      <c r="F2029" s="183">
        <v>30864</v>
      </c>
      <c r="G2029" s="183">
        <v>30987</v>
      </c>
      <c r="H2029" s="185">
        <v>5</v>
      </c>
      <c r="I2029" s="185">
        <v>40</v>
      </c>
      <c r="J2029" s="901" t="s">
        <v>1796</v>
      </c>
      <c r="K2029" s="163" t="s">
        <v>6052</v>
      </c>
      <c r="L2029" s="163" t="s">
        <v>2866</v>
      </c>
      <c r="M2029" s="158"/>
      <c r="N2029" s="158" t="s">
        <v>4061</v>
      </c>
      <c r="O2029" s="158"/>
      <c r="P2029" s="182" t="s">
        <v>461</v>
      </c>
      <c r="Q2029" s="158" t="s">
        <v>4062</v>
      </c>
      <c r="R2029" s="207" t="s">
        <v>5266</v>
      </c>
      <c r="S2029" s="355"/>
      <c r="T2029" s="182" t="s">
        <v>7313</v>
      </c>
      <c r="U2029" s="182"/>
      <c r="V2029" s="182"/>
      <c r="W2029" s="321"/>
      <c r="X2029" s="653" t="s">
        <v>12336</v>
      </c>
      <c r="Y2029" s="361"/>
      <c r="Z2029" s="362"/>
      <c r="AA2029" s="362"/>
      <c r="AB2029" s="33">
        <f t="shared" ca="1" si="42"/>
        <v>0.26333211338929419</v>
      </c>
      <c r="AC2029" s="813"/>
      <c r="AD2029" s="211" t="s">
        <v>16466</v>
      </c>
      <c r="AE2029" s="949" t="s">
        <v>12543</v>
      </c>
      <c r="AF2029" s="922">
        <f>IF(X2029=X2028,AF2028,0)+IF(ISNUMBER(I2029),IF(I2029&lt;1,I2029,I2029*VLOOKUP(J2029,Summary!$H$2:$I$9,2)),VLOOKUP(J2029,Summary!$J$2:$K$9,2)*IF(ISNUMBER(H2029),H2029,1))</f>
        <v>0.77199074074074037</v>
      </c>
      <c r="AG2029" s="295">
        <v>2028</v>
      </c>
      <c r="AH2029" s="94"/>
      <c r="AI2029" s="94"/>
    </row>
    <row r="2030" spans="1:36" s="29" customFormat="1" ht="12" customHeight="1" x14ac:dyDescent="0.25">
      <c r="A2030" s="525" t="s">
        <v>10689</v>
      </c>
      <c r="B2030" s="525">
        <v>6</v>
      </c>
      <c r="C2030" s="525">
        <v>26</v>
      </c>
      <c r="D2030" s="428" t="s">
        <v>5692</v>
      </c>
      <c r="E2030" s="325" t="s">
        <v>6688</v>
      </c>
      <c r="F2030" s="183">
        <v>31017</v>
      </c>
      <c r="G2030" s="183">
        <v>31079</v>
      </c>
      <c r="H2030" s="185">
        <v>3</v>
      </c>
      <c r="I2030" s="185">
        <v>24</v>
      </c>
      <c r="J2030" s="901" t="s">
        <v>1796</v>
      </c>
      <c r="K2030" s="163" t="s">
        <v>6052</v>
      </c>
      <c r="L2030" s="163" t="s">
        <v>2866</v>
      </c>
      <c r="M2030" s="158"/>
      <c r="N2030" s="158" t="s">
        <v>4061</v>
      </c>
      <c r="O2030" s="158"/>
      <c r="P2030" s="182" t="s">
        <v>461</v>
      </c>
      <c r="Q2030" s="158" t="s">
        <v>4062</v>
      </c>
      <c r="R2030" s="207" t="s">
        <v>5266</v>
      </c>
      <c r="S2030" s="355"/>
      <c r="T2030" s="182" t="s">
        <v>7313</v>
      </c>
      <c r="U2030" s="182"/>
      <c r="V2030" s="182"/>
      <c r="W2030" s="321"/>
      <c r="X2030" s="653" t="s">
        <v>12336</v>
      </c>
      <c r="Y2030" s="361"/>
      <c r="Z2030" s="362"/>
      <c r="AA2030" s="362"/>
      <c r="AB2030" s="33">
        <f t="shared" ca="1" si="42"/>
        <v>0.93484934545192644</v>
      </c>
      <c r="AC2030" s="813"/>
      <c r="AD2030" s="211" t="s">
        <v>16466</v>
      </c>
      <c r="AE2030" s="949" t="s">
        <v>12543</v>
      </c>
      <c r="AF2030" s="922">
        <f>IF(X2030=X2029,AF2029,0)+IF(ISNUMBER(I2030),IF(I2030&lt;1,I2030,I2030*VLOOKUP(J2030,Summary!$H$2:$I$9,2)),VLOOKUP(J2030,Summary!$J$2:$K$9,2)*IF(ISNUMBER(H2030),H2030,1))</f>
        <v>0.78032407407407367</v>
      </c>
      <c r="AG2030" s="295">
        <v>2029</v>
      </c>
      <c r="AH2030" s="94"/>
      <c r="AI2030" s="94"/>
    </row>
    <row r="2031" spans="1:36" s="29" customFormat="1" ht="12" customHeight="1" x14ac:dyDescent="0.25">
      <c r="A2031" s="525" t="s">
        <v>10689</v>
      </c>
      <c r="B2031" s="525">
        <v>6</v>
      </c>
      <c r="C2031" s="525">
        <v>27</v>
      </c>
      <c r="D2031" s="428" t="s">
        <v>5693</v>
      </c>
      <c r="E2031" s="325" t="s">
        <v>3936</v>
      </c>
      <c r="F2031" s="183">
        <v>31107</v>
      </c>
      <c r="G2031" s="183">
        <v>31138</v>
      </c>
      <c r="H2031" s="185">
        <v>2</v>
      </c>
      <c r="I2031" s="185">
        <v>16</v>
      </c>
      <c r="J2031" s="901" t="s">
        <v>1796</v>
      </c>
      <c r="K2031" s="163" t="s">
        <v>6052</v>
      </c>
      <c r="L2031" s="163" t="s">
        <v>2866</v>
      </c>
      <c r="M2031" s="158"/>
      <c r="N2031" s="158" t="s">
        <v>4061</v>
      </c>
      <c r="O2031" s="158"/>
      <c r="P2031" s="182" t="s">
        <v>461</v>
      </c>
      <c r="Q2031" s="158" t="s">
        <v>4062</v>
      </c>
      <c r="R2031" s="207" t="s">
        <v>5266</v>
      </c>
      <c r="S2031" s="355"/>
      <c r="T2031" s="182" t="s">
        <v>7313</v>
      </c>
      <c r="U2031" s="182"/>
      <c r="V2031" s="182"/>
      <c r="W2031" s="321"/>
      <c r="X2031" s="653" t="s">
        <v>12336</v>
      </c>
      <c r="Y2031" s="361"/>
      <c r="Z2031" s="362"/>
      <c r="AA2031" s="362"/>
      <c r="AB2031" s="33">
        <f t="shared" ca="1" si="42"/>
        <v>0.58186356797639327</v>
      </c>
      <c r="AC2031" s="813"/>
      <c r="AD2031" s="211" t="s">
        <v>16466</v>
      </c>
      <c r="AE2031" s="949" t="s">
        <v>12543</v>
      </c>
      <c r="AF2031" s="922">
        <f>IF(X2031=X2030,AF2030,0)+IF(ISNUMBER(I2031),IF(I2031&lt;1,I2031,I2031*VLOOKUP(J2031,Summary!$H$2:$I$9,2)),VLOOKUP(J2031,Summary!$J$2:$K$9,2)*IF(ISNUMBER(H2031),H2031,1))</f>
        <v>0.78587962962962921</v>
      </c>
      <c r="AG2031" s="295">
        <v>2030</v>
      </c>
      <c r="AH2031" s="94"/>
      <c r="AI2031" s="94"/>
    </row>
    <row r="2032" spans="1:36" s="29" customFormat="1" ht="12" customHeight="1" x14ac:dyDescent="0.25">
      <c r="A2032" s="525" t="s">
        <v>10689</v>
      </c>
      <c r="B2032" s="525">
        <v>6</v>
      </c>
      <c r="C2032" s="525">
        <v>28</v>
      </c>
      <c r="D2032" s="428" t="s">
        <v>5694</v>
      </c>
      <c r="E2032" s="325" t="s">
        <v>3937</v>
      </c>
      <c r="F2032" s="183">
        <v>31168</v>
      </c>
      <c r="G2032" s="183">
        <v>31199</v>
      </c>
      <c r="H2032" s="185">
        <v>2</v>
      </c>
      <c r="I2032" s="185">
        <v>16</v>
      </c>
      <c r="J2032" s="901" t="s">
        <v>1796</v>
      </c>
      <c r="K2032" s="163" t="s">
        <v>6052</v>
      </c>
      <c r="L2032" s="163" t="s">
        <v>2866</v>
      </c>
      <c r="M2032" s="158"/>
      <c r="N2032" s="158" t="s">
        <v>5705</v>
      </c>
      <c r="O2032" s="158"/>
      <c r="P2032" s="182" t="s">
        <v>461</v>
      </c>
      <c r="Q2032" s="158" t="s">
        <v>4062</v>
      </c>
      <c r="R2032" s="207" t="s">
        <v>5266</v>
      </c>
      <c r="S2032" s="355"/>
      <c r="T2032" s="182" t="s">
        <v>7313</v>
      </c>
      <c r="U2032" s="182"/>
      <c r="V2032" s="182"/>
      <c r="W2032" s="321"/>
      <c r="X2032" s="653" t="s">
        <v>12336</v>
      </c>
      <c r="Y2032" s="361"/>
      <c r="Z2032" s="362"/>
      <c r="AA2032" s="362"/>
      <c r="AB2032" s="33">
        <f t="shared" ca="1" si="42"/>
        <v>0.33256708973212956</v>
      </c>
      <c r="AC2032" s="813"/>
      <c r="AD2032" s="211" t="s">
        <v>16469</v>
      </c>
      <c r="AE2032" s="949" t="s">
        <v>12543</v>
      </c>
      <c r="AF2032" s="922">
        <f>IF(X2032=X2031,AF2031,0)+IF(ISNUMBER(I2032),IF(I2032&lt;1,I2032,I2032*VLOOKUP(J2032,Summary!$H$2:$I$9,2)),VLOOKUP(J2032,Summary!$J$2:$K$9,2)*IF(ISNUMBER(H2032),H2032,1))</f>
        <v>0.79143518518518474</v>
      </c>
      <c r="AG2032" s="295">
        <v>2031</v>
      </c>
      <c r="AH2032" s="94"/>
      <c r="AI2032" s="94"/>
    </row>
    <row r="2033" spans="1:35" s="29" customFormat="1" ht="12" customHeight="1" x14ac:dyDescent="0.25">
      <c r="A2033" s="525" t="s">
        <v>10689</v>
      </c>
      <c r="B2033" s="525">
        <v>6</v>
      </c>
      <c r="C2033" s="525">
        <v>29</v>
      </c>
      <c r="D2033" s="428" t="s">
        <v>5695</v>
      </c>
      <c r="E2033" s="325" t="s">
        <v>3938</v>
      </c>
      <c r="F2033" s="183">
        <v>31229</v>
      </c>
      <c r="G2033" s="183">
        <v>31260</v>
      </c>
      <c r="H2033" s="185">
        <v>2</v>
      </c>
      <c r="I2033" s="185">
        <v>16</v>
      </c>
      <c r="J2033" s="901" t="s">
        <v>1796</v>
      </c>
      <c r="K2033" s="163" t="s">
        <v>4061</v>
      </c>
      <c r="L2033" s="163" t="s">
        <v>2866</v>
      </c>
      <c r="M2033" s="158"/>
      <c r="N2033" s="158" t="s">
        <v>5706</v>
      </c>
      <c r="O2033" s="158"/>
      <c r="P2033" s="182" t="s">
        <v>461</v>
      </c>
      <c r="Q2033" s="158" t="s">
        <v>4062</v>
      </c>
      <c r="R2033" s="207" t="s">
        <v>5266</v>
      </c>
      <c r="S2033" s="355"/>
      <c r="T2033" s="182" t="s">
        <v>7313</v>
      </c>
      <c r="U2033" s="182"/>
      <c r="V2033" s="182"/>
      <c r="W2033" s="321"/>
      <c r="X2033" s="653" t="s">
        <v>12336</v>
      </c>
      <c r="Y2033" s="361"/>
      <c r="Z2033" s="362"/>
      <c r="AA2033" s="362"/>
      <c r="AB2033" s="33">
        <f t="shared" ca="1" si="42"/>
        <v>0.9741350972157411</v>
      </c>
      <c r="AC2033" s="813"/>
      <c r="AD2033" s="211"/>
      <c r="AE2033" s="949"/>
      <c r="AF2033" s="922">
        <f>IF(X2033=X2032,AF2032,0)+IF(ISNUMBER(I2033),IF(I2033&lt;1,I2033,I2033*VLOOKUP(J2033,Summary!$H$2:$I$9,2)),VLOOKUP(J2033,Summary!$J$2:$K$9,2)*IF(ISNUMBER(H2033),H2033,1))</f>
        <v>0.79699074074074028</v>
      </c>
      <c r="AG2033" s="295">
        <v>2032</v>
      </c>
      <c r="AH2033" s="94"/>
      <c r="AI2033" s="94"/>
    </row>
    <row r="2034" spans="1:35" s="2" customFormat="1" ht="12" customHeight="1" x14ac:dyDescent="0.25">
      <c r="A2034" s="525" t="s">
        <v>10689</v>
      </c>
      <c r="B2034" s="525">
        <v>6</v>
      </c>
      <c r="C2034" s="525">
        <v>30</v>
      </c>
      <c r="D2034" s="428" t="s">
        <v>5696</v>
      </c>
      <c r="E2034" s="325" t="s">
        <v>5689</v>
      </c>
      <c r="F2034" s="183">
        <v>31291</v>
      </c>
      <c r="G2034" s="183">
        <v>31382</v>
      </c>
      <c r="H2034" s="185">
        <v>4</v>
      </c>
      <c r="I2034" s="185">
        <v>32</v>
      </c>
      <c r="J2034" s="901" t="s">
        <v>1796</v>
      </c>
      <c r="K2034" s="163" t="s">
        <v>4061</v>
      </c>
      <c r="L2034" s="163" t="s">
        <v>2866</v>
      </c>
      <c r="M2034" s="158"/>
      <c r="N2034" s="158" t="s">
        <v>5706</v>
      </c>
      <c r="O2034" s="158"/>
      <c r="P2034" s="182" t="s">
        <v>461</v>
      </c>
      <c r="Q2034" s="158" t="s">
        <v>4062</v>
      </c>
      <c r="R2034" s="207" t="s">
        <v>5266</v>
      </c>
      <c r="S2034" s="355" t="s">
        <v>2319</v>
      </c>
      <c r="T2034" s="182" t="s">
        <v>7313</v>
      </c>
      <c r="U2034" s="182"/>
      <c r="V2034" s="182"/>
      <c r="W2034" s="321"/>
      <c r="X2034" s="653" t="s">
        <v>12336</v>
      </c>
      <c r="Y2034" s="361"/>
      <c r="Z2034" s="362"/>
      <c r="AA2034" s="362"/>
      <c r="AB2034" s="33">
        <f t="shared" ca="1" si="42"/>
        <v>0.23512030869658096</v>
      </c>
      <c r="AC2034" s="813"/>
      <c r="AD2034" s="211" t="s">
        <v>16418</v>
      </c>
      <c r="AE2034" s="949" t="s">
        <v>16075</v>
      </c>
      <c r="AF2034" s="922">
        <f>IF(X2034=X2033,AF2033,0)+IF(ISNUMBER(I2034),IF(I2034&lt;1,I2034,I2034*VLOOKUP(J2034,Summary!$H$2:$I$9,2)),VLOOKUP(J2034,Summary!$J$2:$K$9,2)*IF(ISNUMBER(H2034),H2034,1))</f>
        <v>0.80810185185185135</v>
      </c>
      <c r="AG2034" s="295">
        <v>2033</v>
      </c>
      <c r="AH2034" s="94"/>
      <c r="AI2034" s="94"/>
    </row>
    <row r="2035" spans="1:35" s="29" customFormat="1" ht="12" customHeight="1" x14ac:dyDescent="0.25">
      <c r="A2035" s="525" t="s">
        <v>10689</v>
      </c>
      <c r="B2035" s="525">
        <v>6</v>
      </c>
      <c r="C2035" s="525">
        <v>6</v>
      </c>
      <c r="D2035" s="185" t="s">
        <v>8349</v>
      </c>
      <c r="E2035" s="314" t="s">
        <v>8350</v>
      </c>
      <c r="F2035" s="184">
        <v>41451</v>
      </c>
      <c r="G2035" s="184"/>
      <c r="H2035" s="185">
        <v>1</v>
      </c>
      <c r="I2035" s="185">
        <v>22</v>
      </c>
      <c r="J2035" s="901" t="s">
        <v>1796</v>
      </c>
      <c r="K2035" s="163" t="s">
        <v>8333</v>
      </c>
      <c r="L2035" s="163" t="s">
        <v>2866</v>
      </c>
      <c r="M2035" s="163"/>
      <c r="N2035" s="163" t="s">
        <v>6573</v>
      </c>
      <c r="O2035" s="163"/>
      <c r="P2035" s="182" t="s">
        <v>461</v>
      </c>
      <c r="Q2035" s="163" t="s">
        <v>5719</v>
      </c>
      <c r="R2035" s="186" t="s">
        <v>5718</v>
      </c>
      <c r="S2035" s="355" t="s">
        <v>2319</v>
      </c>
      <c r="T2035" s="182" t="s">
        <v>7313</v>
      </c>
      <c r="U2035" s="182"/>
      <c r="V2035" s="182"/>
      <c r="W2035" s="314" t="s">
        <v>10150</v>
      </c>
      <c r="X2035" s="646" t="s">
        <v>12336</v>
      </c>
      <c r="Y2035" s="355" t="s">
        <v>6000</v>
      </c>
      <c r="Z2035" s="185">
        <v>999</v>
      </c>
      <c r="AA2035" s="185"/>
      <c r="AB2035" s="33">
        <f t="shared" ca="1" si="42"/>
        <v>0.47346770937607063</v>
      </c>
      <c r="AC2035" s="813"/>
      <c r="AD2035" s="211"/>
      <c r="AE2035" s="949"/>
      <c r="AF2035" s="922">
        <f>IF(X2035=X2034,AF2034,0)+IF(ISNUMBER(I2035),IF(I2035&lt;1,I2035,I2035*VLOOKUP(J2035,Summary!$H$2:$I$9,2)),VLOOKUP(J2035,Summary!$J$2:$K$9,2)*IF(ISNUMBER(H2035),H2035,1))</f>
        <v>0.81574074074074021</v>
      </c>
      <c r="AG2035" s="295">
        <v>2034</v>
      </c>
      <c r="AH2035" s="94"/>
      <c r="AI2035" s="94"/>
    </row>
    <row r="2036" spans="1:35" s="29" customFormat="1" ht="12" customHeight="1" x14ac:dyDescent="0.25">
      <c r="A2036" s="525" t="s">
        <v>10689</v>
      </c>
      <c r="B2036" s="525">
        <v>6</v>
      </c>
      <c r="C2036" s="525">
        <v>31</v>
      </c>
      <c r="D2036" s="428" t="s">
        <v>5697</v>
      </c>
      <c r="E2036" s="325" t="s">
        <v>5683</v>
      </c>
      <c r="F2036" s="183">
        <v>31413</v>
      </c>
      <c r="G2036" s="183">
        <v>31472</v>
      </c>
      <c r="H2036" s="185">
        <v>3</v>
      </c>
      <c r="I2036" s="185">
        <v>24</v>
      </c>
      <c r="J2036" s="901" t="s">
        <v>1796</v>
      </c>
      <c r="K2036" s="163" t="s">
        <v>4061</v>
      </c>
      <c r="L2036" s="163" t="s">
        <v>2866</v>
      </c>
      <c r="M2036" s="158"/>
      <c r="N2036" s="158" t="s">
        <v>3421</v>
      </c>
      <c r="O2036" s="158"/>
      <c r="P2036" s="182" t="s">
        <v>461</v>
      </c>
      <c r="Q2036" s="158" t="s">
        <v>4062</v>
      </c>
      <c r="R2036" s="207" t="s">
        <v>5266</v>
      </c>
      <c r="S2036" s="355" t="s">
        <v>2319</v>
      </c>
      <c r="T2036" s="182" t="s">
        <v>7313</v>
      </c>
      <c r="U2036" s="182"/>
      <c r="V2036" s="182"/>
      <c r="W2036" s="321"/>
      <c r="X2036" s="653" t="s">
        <v>12336</v>
      </c>
      <c r="Y2036" s="361"/>
      <c r="Z2036" s="362"/>
      <c r="AA2036" s="362"/>
      <c r="AB2036" s="33">
        <f t="shared" ca="1" si="42"/>
        <v>0.63049829412864489</v>
      </c>
      <c r="AC2036" s="813"/>
      <c r="AD2036" s="211"/>
      <c r="AE2036" s="949"/>
      <c r="AF2036" s="922">
        <f>IF(X2036=X2035,AF2035,0)+IF(ISNUMBER(I2036),IF(I2036&lt;1,I2036,I2036*VLOOKUP(J2036,Summary!$H$2:$I$9,2)),VLOOKUP(J2036,Summary!$J$2:$K$9,2)*IF(ISNUMBER(H2036),H2036,1))</f>
        <v>0.82407407407407351</v>
      </c>
      <c r="AG2036" s="295">
        <v>2035</v>
      </c>
      <c r="AH2036" s="94"/>
      <c r="AI2036" s="94"/>
    </row>
    <row r="2037" spans="1:35" s="43" customFormat="1" ht="12" customHeight="1" x14ac:dyDescent="0.25">
      <c r="A2037" s="525" t="s">
        <v>10689</v>
      </c>
      <c r="B2037" s="525">
        <v>6</v>
      </c>
      <c r="C2037" s="525">
        <v>32</v>
      </c>
      <c r="D2037" s="428" t="s">
        <v>5698</v>
      </c>
      <c r="E2037" s="325" t="s">
        <v>5684</v>
      </c>
      <c r="F2037" s="183">
        <v>31503</v>
      </c>
      <c r="G2037" s="183">
        <v>31564</v>
      </c>
      <c r="H2037" s="185">
        <v>3</v>
      </c>
      <c r="I2037" s="185">
        <v>24</v>
      </c>
      <c r="J2037" s="901" t="s">
        <v>1796</v>
      </c>
      <c r="K2037" s="163" t="s">
        <v>5148</v>
      </c>
      <c r="L2037" s="163" t="s">
        <v>2866</v>
      </c>
      <c r="M2037" s="158"/>
      <c r="N2037" s="158" t="s">
        <v>3421</v>
      </c>
      <c r="O2037" s="158"/>
      <c r="P2037" s="182" t="s">
        <v>461</v>
      </c>
      <c r="Q2037" s="158" t="s">
        <v>4062</v>
      </c>
      <c r="R2037" s="207" t="s">
        <v>5266</v>
      </c>
      <c r="S2037" s="355" t="s">
        <v>2319</v>
      </c>
      <c r="T2037" s="182" t="s">
        <v>7313</v>
      </c>
      <c r="U2037" s="182"/>
      <c r="V2037" s="182"/>
      <c r="W2037" s="321"/>
      <c r="X2037" s="653" t="s">
        <v>12336</v>
      </c>
      <c r="Y2037" s="361"/>
      <c r="Z2037" s="362"/>
      <c r="AA2037" s="362"/>
      <c r="AB2037" s="33">
        <f t="shared" ca="1" si="42"/>
        <v>0.8536968320022249</v>
      </c>
      <c r="AC2037" s="813"/>
      <c r="AD2037" s="211"/>
      <c r="AE2037" s="949"/>
      <c r="AF2037" s="922">
        <f>IF(X2037=X2036,AF2036,0)+IF(ISNUMBER(I2037),IF(I2037&lt;1,I2037,I2037*VLOOKUP(J2037,Summary!$H$2:$I$9,2)),VLOOKUP(J2037,Summary!$J$2:$K$9,2)*IF(ISNUMBER(H2037),H2037,1))</f>
        <v>0.83240740740740682</v>
      </c>
      <c r="AG2037" s="295">
        <v>2036</v>
      </c>
      <c r="AH2037" s="94"/>
      <c r="AI2037" s="94"/>
    </row>
    <row r="2038" spans="1:35" s="11" customFormat="1" ht="12" customHeight="1" x14ac:dyDescent="0.25">
      <c r="A2038" s="525" t="s">
        <v>10689</v>
      </c>
      <c r="B2038" s="525">
        <v>6</v>
      </c>
      <c r="C2038" s="525">
        <v>33</v>
      </c>
      <c r="D2038" s="428" t="s">
        <v>5699</v>
      </c>
      <c r="E2038" s="325" t="s">
        <v>5685</v>
      </c>
      <c r="F2038" s="183">
        <v>31594</v>
      </c>
      <c r="G2038" s="183">
        <v>31656</v>
      </c>
      <c r="H2038" s="185">
        <v>3</v>
      </c>
      <c r="I2038" s="185">
        <v>24</v>
      </c>
      <c r="J2038" s="901" t="s">
        <v>1796</v>
      </c>
      <c r="K2038" s="163" t="s">
        <v>5707</v>
      </c>
      <c r="L2038" s="163" t="s">
        <v>2866</v>
      </c>
      <c r="M2038" s="158"/>
      <c r="N2038" s="158" t="s">
        <v>3421</v>
      </c>
      <c r="O2038" s="158"/>
      <c r="P2038" s="182" t="s">
        <v>461</v>
      </c>
      <c r="Q2038" s="158" t="s">
        <v>4062</v>
      </c>
      <c r="R2038" s="207" t="s">
        <v>5266</v>
      </c>
      <c r="S2038" s="355" t="s">
        <v>2319</v>
      </c>
      <c r="T2038" s="182" t="s">
        <v>7313</v>
      </c>
      <c r="U2038" s="182"/>
      <c r="V2038" s="182"/>
      <c r="W2038" s="321"/>
      <c r="X2038" s="653" t="s">
        <v>12336</v>
      </c>
      <c r="Y2038" s="361"/>
      <c r="Z2038" s="362"/>
      <c r="AA2038" s="362"/>
      <c r="AB2038" s="33">
        <f t="shared" ca="1" si="42"/>
        <v>0.92507503150342907</v>
      </c>
      <c r="AC2038" s="813"/>
      <c r="AD2038" s="826" t="s">
        <v>16309</v>
      </c>
      <c r="AE2038" s="949" t="s">
        <v>12543</v>
      </c>
      <c r="AF2038" s="922">
        <f>IF(X2038=X2037,AF2037,0)+IF(ISNUMBER(I2038),IF(I2038&lt;1,I2038,I2038*VLOOKUP(J2038,Summary!$H$2:$I$9,2)),VLOOKUP(J2038,Summary!$J$2:$K$9,2)*IF(ISNUMBER(H2038),H2038,1))</f>
        <v>0.84074074074074012</v>
      </c>
      <c r="AG2038" s="295">
        <v>2037</v>
      </c>
      <c r="AH2038" s="94"/>
      <c r="AI2038" s="94"/>
    </row>
    <row r="2039" spans="1:35" s="6" customFormat="1" ht="12" customHeight="1" x14ac:dyDescent="0.25">
      <c r="A2039" s="525" t="s">
        <v>10689</v>
      </c>
      <c r="B2039" s="525">
        <v>6</v>
      </c>
      <c r="C2039" s="525">
        <v>34</v>
      </c>
      <c r="D2039" s="428" t="s">
        <v>5700</v>
      </c>
      <c r="E2039" s="325" t="s">
        <v>5686</v>
      </c>
      <c r="F2039" s="183">
        <v>31686</v>
      </c>
      <c r="G2039" s="185"/>
      <c r="H2039" s="185">
        <v>1</v>
      </c>
      <c r="I2039" s="185">
        <v>8</v>
      </c>
      <c r="J2039" s="901" t="s">
        <v>1796</v>
      </c>
      <c r="K2039" s="163" t="s">
        <v>5148</v>
      </c>
      <c r="L2039" s="163" t="s">
        <v>2866</v>
      </c>
      <c r="M2039" s="158"/>
      <c r="N2039" s="158" t="s">
        <v>3421</v>
      </c>
      <c r="O2039" s="158"/>
      <c r="P2039" s="182" t="s">
        <v>461</v>
      </c>
      <c r="Q2039" s="158" t="s">
        <v>4062</v>
      </c>
      <c r="R2039" s="207" t="s">
        <v>5266</v>
      </c>
      <c r="S2039" s="355" t="s">
        <v>2319</v>
      </c>
      <c r="T2039" s="182" t="s">
        <v>7313</v>
      </c>
      <c r="U2039" s="182"/>
      <c r="V2039" s="182"/>
      <c r="W2039" s="325" t="s">
        <v>5686</v>
      </c>
      <c r="X2039" s="657" t="s">
        <v>12336</v>
      </c>
      <c r="Y2039" s="361"/>
      <c r="Z2039" s="362"/>
      <c r="AA2039" s="362"/>
      <c r="AB2039" s="33">
        <f t="shared" ca="1" si="42"/>
        <v>0.78189888273453867</v>
      </c>
      <c r="AC2039" s="813"/>
      <c r="AD2039" s="211"/>
      <c r="AE2039" s="949"/>
      <c r="AF2039" s="922">
        <f>IF(X2039=X2038,AF2038,0)+IF(ISNUMBER(I2039),IF(I2039&lt;1,I2039,I2039*VLOOKUP(J2039,Summary!$H$2:$I$9,2)),VLOOKUP(J2039,Summary!$J$2:$K$9,2)*IF(ISNUMBER(H2039),H2039,1))</f>
        <v>0.84351851851851789</v>
      </c>
      <c r="AG2039" s="295">
        <v>2038</v>
      </c>
      <c r="AH2039" s="94"/>
      <c r="AI2039" s="94"/>
    </row>
    <row r="2040" spans="1:35" s="6" customFormat="1" ht="12" customHeight="1" x14ac:dyDescent="0.25">
      <c r="A2040" s="525" t="s">
        <v>10689</v>
      </c>
      <c r="B2040" s="525">
        <v>6</v>
      </c>
      <c r="C2040" s="525">
        <v>35</v>
      </c>
      <c r="D2040" s="428" t="s">
        <v>5701</v>
      </c>
      <c r="E2040" s="325" t="s">
        <v>5687</v>
      </c>
      <c r="F2040" s="183">
        <v>31717</v>
      </c>
      <c r="G2040" s="183">
        <v>31747</v>
      </c>
      <c r="H2040" s="185">
        <v>2</v>
      </c>
      <c r="I2040" s="185">
        <v>16</v>
      </c>
      <c r="J2040" s="901" t="s">
        <v>1796</v>
      </c>
      <c r="K2040" s="163" t="s">
        <v>5708</v>
      </c>
      <c r="L2040" s="163" t="s">
        <v>2866</v>
      </c>
      <c r="M2040" s="158"/>
      <c r="N2040" s="158" t="s">
        <v>3421</v>
      </c>
      <c r="O2040" s="158"/>
      <c r="P2040" s="182" t="s">
        <v>461</v>
      </c>
      <c r="Q2040" s="158" t="s">
        <v>4062</v>
      </c>
      <c r="R2040" s="207" t="s">
        <v>5266</v>
      </c>
      <c r="S2040" s="355" t="s">
        <v>2319</v>
      </c>
      <c r="T2040" s="182" t="s">
        <v>7313</v>
      </c>
      <c r="U2040" s="182"/>
      <c r="V2040" s="182"/>
      <c r="W2040" s="321"/>
      <c r="X2040" s="653" t="s">
        <v>12336</v>
      </c>
      <c r="Y2040" s="361"/>
      <c r="Z2040" s="362"/>
      <c r="AA2040" s="362"/>
      <c r="AB2040" s="33">
        <f t="shared" ca="1" si="42"/>
        <v>0.13961841190409718</v>
      </c>
      <c r="AC2040" s="813"/>
      <c r="AD2040" s="211"/>
      <c r="AE2040" s="949"/>
      <c r="AF2040" s="922">
        <f>IF(X2040=X2039,AF2039,0)+IF(ISNUMBER(I2040),IF(I2040&lt;1,I2040,I2040*VLOOKUP(J2040,Summary!$H$2:$I$9,2)),VLOOKUP(J2040,Summary!$J$2:$K$9,2)*IF(ISNUMBER(H2040),H2040,1))</f>
        <v>0.84907407407407343</v>
      </c>
      <c r="AG2040" s="295">
        <v>2039</v>
      </c>
      <c r="AH2040" s="94"/>
      <c r="AI2040" s="94"/>
    </row>
    <row r="2041" spans="1:35" s="1" customFormat="1" ht="12" customHeight="1" x14ac:dyDescent="0.25">
      <c r="A2041" s="525" t="s">
        <v>10689</v>
      </c>
      <c r="B2041" s="525">
        <v>6</v>
      </c>
      <c r="C2041" s="525">
        <v>36</v>
      </c>
      <c r="D2041" s="428" t="s">
        <v>5702</v>
      </c>
      <c r="E2041" s="325" t="s">
        <v>16175</v>
      </c>
      <c r="F2041" s="183">
        <v>31778</v>
      </c>
      <c r="G2041" s="183">
        <v>31837</v>
      </c>
      <c r="H2041" s="185">
        <v>3</v>
      </c>
      <c r="I2041" s="185">
        <v>24</v>
      </c>
      <c r="J2041" s="901" t="s">
        <v>1796</v>
      </c>
      <c r="K2041" s="163" t="s">
        <v>4138</v>
      </c>
      <c r="L2041" s="163" t="s">
        <v>2866</v>
      </c>
      <c r="M2041" s="158"/>
      <c r="N2041" s="158" t="s">
        <v>3421</v>
      </c>
      <c r="O2041" s="158"/>
      <c r="P2041" s="182" t="s">
        <v>461</v>
      </c>
      <c r="Q2041" s="158" t="s">
        <v>4062</v>
      </c>
      <c r="R2041" s="207" t="s">
        <v>5266</v>
      </c>
      <c r="S2041" s="355" t="s">
        <v>2319</v>
      </c>
      <c r="T2041" s="182" t="s">
        <v>7313</v>
      </c>
      <c r="U2041" s="182"/>
      <c r="V2041" s="182"/>
      <c r="W2041" s="321"/>
      <c r="X2041" s="653" t="s">
        <v>12336</v>
      </c>
      <c r="Y2041" s="361"/>
      <c r="Z2041" s="362"/>
      <c r="AA2041" s="362"/>
      <c r="AB2041" s="33">
        <f t="shared" ca="1" si="42"/>
        <v>0.897085054844309</v>
      </c>
      <c r="AC2041" s="813"/>
      <c r="AD2041" s="211" t="s">
        <v>16176</v>
      </c>
      <c r="AE2041" s="949"/>
      <c r="AF2041" s="922">
        <f>IF(X2041=X2040,AF2040,0)+IF(ISNUMBER(I2041),IF(I2041&lt;1,I2041,I2041*VLOOKUP(J2041,Summary!$H$2:$I$9,2)),VLOOKUP(J2041,Summary!$J$2:$K$9,2)*IF(ISNUMBER(H2041),H2041,1))</f>
        <v>0.85740740740740673</v>
      </c>
      <c r="AG2041" s="295">
        <v>2040</v>
      </c>
      <c r="AH2041" s="94"/>
      <c r="AI2041" s="94"/>
    </row>
    <row r="2042" spans="1:35" s="43" customFormat="1" ht="12" customHeight="1" x14ac:dyDescent="0.25">
      <c r="A2042" s="525" t="s">
        <v>10689</v>
      </c>
      <c r="B2042" s="525">
        <v>6</v>
      </c>
      <c r="C2042" s="525">
        <v>37</v>
      </c>
      <c r="D2042" s="428" t="s">
        <v>5703</v>
      </c>
      <c r="E2042" s="325" t="s">
        <v>6409</v>
      </c>
      <c r="F2042" s="183">
        <v>31868</v>
      </c>
      <c r="G2042" s="183">
        <v>31959</v>
      </c>
      <c r="H2042" s="185">
        <v>4</v>
      </c>
      <c r="I2042" s="185">
        <v>32</v>
      </c>
      <c r="J2042" s="901" t="s">
        <v>1796</v>
      </c>
      <c r="K2042" s="163" t="s">
        <v>5707</v>
      </c>
      <c r="L2042" s="163" t="s">
        <v>2866</v>
      </c>
      <c r="M2042" s="158"/>
      <c r="N2042" s="158" t="s">
        <v>3421</v>
      </c>
      <c r="O2042" s="158"/>
      <c r="P2042" s="182" t="s">
        <v>461</v>
      </c>
      <c r="Q2042" s="158" t="s">
        <v>4062</v>
      </c>
      <c r="R2042" s="207" t="s">
        <v>5266</v>
      </c>
      <c r="S2042" s="355" t="s">
        <v>2319</v>
      </c>
      <c r="T2042" s="182" t="s">
        <v>7313</v>
      </c>
      <c r="U2042" s="182"/>
      <c r="V2042" s="182"/>
      <c r="W2042" s="321"/>
      <c r="X2042" s="653" t="s">
        <v>12336</v>
      </c>
      <c r="Y2042" s="361"/>
      <c r="Z2042" s="362"/>
      <c r="AA2042" s="362"/>
      <c r="AB2042" s="33">
        <f t="shared" ca="1" si="42"/>
        <v>0.74072818845500277</v>
      </c>
      <c r="AC2042" s="813"/>
      <c r="AD2042" s="211"/>
      <c r="AE2042" s="949"/>
      <c r="AF2042" s="922">
        <f>IF(X2042=X2041,AF2041,0)+IF(ISNUMBER(I2042),IF(I2042&lt;1,I2042,I2042*VLOOKUP(J2042,Summary!$H$2:$I$9,2)),VLOOKUP(J2042,Summary!$J$2:$K$9,2)*IF(ISNUMBER(H2042),H2042,1))</f>
        <v>0.8685185185185178</v>
      </c>
      <c r="AG2042" s="295">
        <v>2041</v>
      </c>
      <c r="AH2042" s="94"/>
      <c r="AI2042" s="94"/>
    </row>
    <row r="2043" spans="1:35" s="11" customFormat="1" ht="12" customHeight="1" x14ac:dyDescent="0.25">
      <c r="A2043" s="525" t="s">
        <v>10689</v>
      </c>
      <c r="B2043" s="525">
        <v>6</v>
      </c>
      <c r="C2043" s="525">
        <v>38</v>
      </c>
      <c r="D2043" s="428" t="s">
        <v>5704</v>
      </c>
      <c r="E2043" s="325" t="s">
        <v>5688</v>
      </c>
      <c r="F2043" s="183">
        <v>31990</v>
      </c>
      <c r="G2043" s="183">
        <v>32051</v>
      </c>
      <c r="H2043" s="185">
        <v>3</v>
      </c>
      <c r="I2043" s="185">
        <v>24</v>
      </c>
      <c r="J2043" s="901" t="s">
        <v>1796</v>
      </c>
      <c r="K2043" s="163" t="s">
        <v>5708</v>
      </c>
      <c r="L2043" s="163" t="s">
        <v>5709</v>
      </c>
      <c r="M2043" s="158"/>
      <c r="N2043" s="158" t="s">
        <v>3421</v>
      </c>
      <c r="O2043" s="158"/>
      <c r="P2043" s="182" t="s">
        <v>461</v>
      </c>
      <c r="Q2043" s="158" t="s">
        <v>4062</v>
      </c>
      <c r="R2043" s="207" t="s">
        <v>5266</v>
      </c>
      <c r="S2043" s="355" t="s">
        <v>2319</v>
      </c>
      <c r="T2043" s="182" t="s">
        <v>7313</v>
      </c>
      <c r="U2043" s="182" t="s">
        <v>2596</v>
      </c>
      <c r="V2043" s="182"/>
      <c r="W2043" s="321"/>
      <c r="X2043" s="653" t="s">
        <v>12336</v>
      </c>
      <c r="Y2043" s="361"/>
      <c r="Z2043" s="362"/>
      <c r="AA2043" s="362"/>
      <c r="AB2043" s="33">
        <f t="shared" ca="1" si="42"/>
        <v>0.41571826642620302</v>
      </c>
      <c r="AC2043" s="813"/>
      <c r="AD2043" s="826" t="s">
        <v>16544</v>
      </c>
      <c r="AE2043" s="941" t="s">
        <v>16545</v>
      </c>
      <c r="AF2043" s="922">
        <f>IF(X2043=X2042,AF2042,0)+IF(ISNUMBER(I2043),IF(I2043&lt;1,I2043,I2043*VLOOKUP(J2043,Summary!$H$2:$I$9,2)),VLOOKUP(J2043,Summary!$J$2:$K$9,2)*IF(ISNUMBER(H2043),H2043,1))</f>
        <v>0.87685185185185111</v>
      </c>
      <c r="AG2043" s="290">
        <v>2042</v>
      </c>
      <c r="AH2043" s="94"/>
      <c r="AI2043" s="94"/>
    </row>
    <row r="2044" spans="1:35" s="1" customFormat="1" ht="12" customHeight="1" x14ac:dyDescent="0.25">
      <c r="A2044" s="524" t="s">
        <v>10690</v>
      </c>
      <c r="B2044" s="524">
        <v>6</v>
      </c>
      <c r="C2044" s="530">
        <v>6.02</v>
      </c>
      <c r="D2044" s="192" t="s">
        <v>12755</v>
      </c>
      <c r="E2044" s="317" t="s">
        <v>12756</v>
      </c>
      <c r="F2044" s="209">
        <v>42425</v>
      </c>
      <c r="G2044" s="209"/>
      <c r="H2044" s="192">
        <v>1</v>
      </c>
      <c r="I2044" s="753">
        <f>TIME(0,42,19)</f>
        <v>2.9386574074074075E-2</v>
      </c>
      <c r="J2044" s="903" t="s">
        <v>2755</v>
      </c>
      <c r="K2044" s="194" t="s">
        <v>7757</v>
      </c>
      <c r="L2044" s="194" t="s">
        <v>5662</v>
      </c>
      <c r="M2044" s="194" t="s">
        <v>5460</v>
      </c>
      <c r="N2044" s="194"/>
      <c r="O2044" s="194"/>
      <c r="P2044" s="190" t="s">
        <v>12759</v>
      </c>
      <c r="Q2044" s="194" t="s">
        <v>3947</v>
      </c>
      <c r="R2044" s="193" t="s">
        <v>2722</v>
      </c>
      <c r="S2044" s="357" t="s">
        <v>2319</v>
      </c>
      <c r="T2044" s="190"/>
      <c r="U2044" s="190"/>
      <c r="V2044" s="190"/>
      <c r="W2044" s="317" t="s">
        <v>423</v>
      </c>
      <c r="X2044" s="649" t="s">
        <v>12336</v>
      </c>
      <c r="Y2044" s="357" t="s">
        <v>5643</v>
      </c>
      <c r="Z2044" s="192">
        <v>20</v>
      </c>
      <c r="AA2044" s="192">
        <v>6</v>
      </c>
      <c r="AB2044" s="37">
        <f t="shared" ca="1" si="42"/>
        <v>0.28013284346915235</v>
      </c>
      <c r="AC2044" s="816"/>
      <c r="AD2044" s="817"/>
      <c r="AE2044" s="943"/>
      <c r="AF2044" s="924">
        <f>IF(X2044=X2043,AF2043,0)+IF(ISNUMBER(I2044),IF(I2044&lt;1,I2044,I2044*VLOOKUP(J2044,Summary!$H$2:$I$9,2)),VLOOKUP(J2044,Summary!$J$2:$K$9,2)*IF(ISNUMBER(H2044),H2044,1))</f>
        <v>0.90623842592592518</v>
      </c>
      <c r="AG2044" s="292">
        <v>2043</v>
      </c>
      <c r="AH2044" s="94"/>
      <c r="AI2044" s="94"/>
    </row>
    <row r="2045" spans="1:35" s="1" customFormat="1" ht="12" customHeight="1" x14ac:dyDescent="0.25">
      <c r="A2045" s="524" t="s">
        <v>10690</v>
      </c>
      <c r="B2045" s="524">
        <v>6</v>
      </c>
      <c r="C2045" s="530">
        <v>3.06</v>
      </c>
      <c r="D2045" s="192" t="s">
        <v>486</v>
      </c>
      <c r="E2045" s="317" t="s">
        <v>428</v>
      </c>
      <c r="F2045" s="191">
        <v>40664</v>
      </c>
      <c r="G2045" s="191"/>
      <c r="H2045" s="192">
        <v>1</v>
      </c>
      <c r="I2045" s="753">
        <f>TIME(0,18,21)</f>
        <v>1.2743055555555556E-2</v>
      </c>
      <c r="J2045" s="903" t="s">
        <v>2755</v>
      </c>
      <c r="K2045" s="194" t="s">
        <v>2698</v>
      </c>
      <c r="L2045" s="194" t="s">
        <v>3426</v>
      </c>
      <c r="M2045" s="194" t="s">
        <v>1986</v>
      </c>
      <c r="N2045" s="194"/>
      <c r="O2045" s="194"/>
      <c r="P2045" s="190" t="s">
        <v>6698</v>
      </c>
      <c r="Q2045" s="194" t="s">
        <v>3947</v>
      </c>
      <c r="R2045" s="193" t="s">
        <v>2722</v>
      </c>
      <c r="S2045" s="357" t="s">
        <v>2319</v>
      </c>
      <c r="T2045" s="190"/>
      <c r="U2045" s="190"/>
      <c r="V2045" s="190"/>
      <c r="W2045" s="317" t="s">
        <v>428</v>
      </c>
      <c r="X2045" s="649" t="s">
        <v>12336</v>
      </c>
      <c r="Y2045" s="357" t="s">
        <v>5643</v>
      </c>
      <c r="Z2045" s="192">
        <v>999</v>
      </c>
      <c r="AA2045" s="192"/>
      <c r="AB2045" s="37">
        <f t="shared" ca="1" si="42"/>
        <v>0.54759997968897345</v>
      </c>
      <c r="AC2045" s="816"/>
      <c r="AD2045" s="817"/>
      <c r="AE2045" s="943"/>
      <c r="AF2045" s="924">
        <f>IF(X2045=X2044,AF2044,0)+IF(ISNUMBER(I2045),IF(I2045&lt;1,I2045,I2045*VLOOKUP(J2045,Summary!$H$2:$I$9,2)),VLOOKUP(J2045,Summary!$J$2:$K$9,2)*IF(ISNUMBER(H2045),H2045,1))</f>
        <v>0.91898148148148073</v>
      </c>
      <c r="AG2045" s="292">
        <v>2044</v>
      </c>
      <c r="AH2045" s="94"/>
      <c r="AI2045" s="94"/>
    </row>
    <row r="2046" spans="1:35" s="1" customFormat="1" ht="12" customHeight="1" x14ac:dyDescent="0.25">
      <c r="A2046" s="524" t="s">
        <v>10690</v>
      </c>
      <c r="B2046" s="524">
        <v>6</v>
      </c>
      <c r="C2046" s="530">
        <v>8.01</v>
      </c>
      <c r="D2046" s="192" t="s">
        <v>12757</v>
      </c>
      <c r="E2046" s="317" t="s">
        <v>12758</v>
      </c>
      <c r="F2046" s="209">
        <v>43130</v>
      </c>
      <c r="G2046" s="209"/>
      <c r="H2046" s="192" t="s">
        <v>461</v>
      </c>
      <c r="I2046" s="753"/>
      <c r="J2046" s="903" t="s">
        <v>2755</v>
      </c>
      <c r="K2046" s="194" t="s">
        <v>9748</v>
      </c>
      <c r="L2046" s="194" t="s">
        <v>5662</v>
      </c>
      <c r="M2046" s="194" t="s">
        <v>5460</v>
      </c>
      <c r="N2046" s="194"/>
      <c r="O2046" s="194"/>
      <c r="P2046" s="190" t="s">
        <v>12760</v>
      </c>
      <c r="Q2046" s="194" t="s">
        <v>3947</v>
      </c>
      <c r="R2046" s="193" t="s">
        <v>2722</v>
      </c>
      <c r="S2046" s="357" t="s">
        <v>2319</v>
      </c>
      <c r="T2046" s="190"/>
      <c r="U2046" s="190"/>
      <c r="V2046" s="190"/>
      <c r="W2046" s="317" t="s">
        <v>423</v>
      </c>
      <c r="X2046" s="649" t="s">
        <v>12336</v>
      </c>
      <c r="Y2046" s="357"/>
      <c r="Z2046" s="192"/>
      <c r="AA2046" s="192"/>
      <c r="AB2046" s="37">
        <f t="shared" ca="1" si="42"/>
        <v>0.62513927431910454</v>
      </c>
      <c r="AC2046" s="816"/>
      <c r="AD2046" s="817"/>
      <c r="AE2046" s="943"/>
      <c r="AF2046" s="924">
        <f>IF(X2046=X2045,AF2045,0)+IF(ISNUMBER(I2046),IF(I2046&lt;1,I2046,I2046*VLOOKUP(J2046,Summary!$H$2:$I$9,2)),VLOOKUP(J2046,Summary!$J$2:$K$9,2)*IF(ISNUMBER(H2046),H2046,1))</f>
        <v>0.93634259259259189</v>
      </c>
      <c r="AG2046" s="292">
        <v>2045</v>
      </c>
      <c r="AH2046" s="94"/>
      <c r="AI2046" s="94"/>
    </row>
    <row r="2047" spans="1:35" s="1" customFormat="1" ht="12" customHeight="1" x14ac:dyDescent="0.25">
      <c r="A2047" s="801" t="s">
        <v>10690</v>
      </c>
      <c r="B2047" s="801">
        <v>6</v>
      </c>
      <c r="C2047" s="801">
        <v>2</v>
      </c>
      <c r="D2047" s="619" t="s">
        <v>15558</v>
      </c>
      <c r="E2047" s="345" t="s">
        <v>15559</v>
      </c>
      <c r="F2047" s="800">
        <v>31747</v>
      </c>
      <c r="G2047" s="219"/>
      <c r="H2047" s="210" t="s">
        <v>461</v>
      </c>
      <c r="I2047" s="210">
        <v>371</v>
      </c>
      <c r="J2047" s="908" t="s">
        <v>15556</v>
      </c>
      <c r="K2047" s="166" t="s">
        <v>15555</v>
      </c>
      <c r="L2047" s="166"/>
      <c r="M2047" s="166"/>
      <c r="N2047" s="166"/>
      <c r="O2047" s="166"/>
      <c r="P2047" s="267" t="s">
        <v>461</v>
      </c>
      <c r="Q2047" s="166" t="s">
        <v>15557</v>
      </c>
      <c r="R2047" s="268" t="s">
        <v>15554</v>
      </c>
      <c r="S2047" s="386" t="s">
        <v>2319</v>
      </c>
      <c r="T2047" s="267" t="s">
        <v>2606</v>
      </c>
      <c r="U2047" s="267"/>
      <c r="V2047" s="267"/>
      <c r="W2047" s="345" t="s">
        <v>15559</v>
      </c>
      <c r="X2047" s="680" t="s">
        <v>12336</v>
      </c>
      <c r="Y2047" s="384"/>
      <c r="Z2047" s="385"/>
      <c r="AA2047" s="385"/>
      <c r="AB2047" s="41">
        <f t="shared" ca="1" si="42"/>
        <v>0.85428363738202107</v>
      </c>
      <c r="AC2047" s="832"/>
      <c r="AD2047" s="833"/>
      <c r="AE2047" s="956"/>
      <c r="AF2047" s="929">
        <f>IF(X2047=X2046,AF2046,0)+IF(ISNUMBER(I2047),IF(I2047&lt;1,I2047,I2047*VLOOKUP(J2047,Summary!$H$2:$I$9,2)),VLOOKUP(J2047,Summary!$J$2:$K$9,2)*IF(ISNUMBER(H2047),H2047,1))</f>
        <v>1.0651620370370363</v>
      </c>
      <c r="AG2047" s="307">
        <v>2046</v>
      </c>
      <c r="AH2047" s="94"/>
      <c r="AI2047" s="94"/>
    </row>
    <row r="2048" spans="1:35" s="29" customFormat="1" ht="12" customHeight="1" x14ac:dyDescent="0.25">
      <c r="A2048" s="522" t="s">
        <v>10690</v>
      </c>
      <c r="B2048" s="522">
        <v>6</v>
      </c>
      <c r="C2048" s="522">
        <v>52</v>
      </c>
      <c r="D2048" s="176" t="s">
        <v>558</v>
      </c>
      <c r="E2048" s="313" t="s">
        <v>12095</v>
      </c>
      <c r="F2048" s="174">
        <v>34213</v>
      </c>
      <c r="G2048" s="174"/>
      <c r="H2048" s="176">
        <v>1</v>
      </c>
      <c r="I2048" s="176">
        <v>5</v>
      </c>
      <c r="J2048" s="900" t="s">
        <v>2755</v>
      </c>
      <c r="K2048" s="164" t="s">
        <v>175</v>
      </c>
      <c r="L2048" s="164" t="s">
        <v>461</v>
      </c>
      <c r="M2048" s="164"/>
      <c r="N2048" s="164"/>
      <c r="O2048" s="164"/>
      <c r="P2048" s="173" t="s">
        <v>2413</v>
      </c>
      <c r="Q2048" s="164" t="s">
        <v>4062</v>
      </c>
      <c r="R2048" s="177" t="s">
        <v>4599</v>
      </c>
      <c r="S2048" s="354" t="s">
        <v>2319</v>
      </c>
      <c r="T2048" s="173"/>
      <c r="U2048" s="173"/>
      <c r="V2048" s="173"/>
      <c r="W2048" s="313" t="s">
        <v>12095</v>
      </c>
      <c r="X2048" s="645" t="s">
        <v>12336</v>
      </c>
      <c r="Y2048" s="354"/>
      <c r="Z2048" s="176"/>
      <c r="AA2048" s="176"/>
      <c r="AB2048" s="32">
        <f t="shared" ca="1" si="42"/>
        <v>0.27681145676912666</v>
      </c>
      <c r="AC2048" s="812"/>
      <c r="AD2048" s="763"/>
      <c r="AE2048" s="807"/>
      <c r="AF2048" s="921">
        <f>IF(X2048=X2047,AF2047,0)+IF(ISNUMBER(I2048),IF(I2048&lt;1,I2048,I2048*VLOOKUP(J2048,Summary!$H$2:$I$9,2)),VLOOKUP(J2048,Summary!$J$2:$K$9,2)*IF(ISNUMBER(H2048),H2048,1))</f>
        <v>1.0686342592592586</v>
      </c>
      <c r="AG2048" s="289">
        <v>2047</v>
      </c>
      <c r="AH2048" s="94"/>
      <c r="AI2048" s="94"/>
    </row>
    <row r="2049" spans="1:36" s="1" customFormat="1" ht="12" customHeight="1" x14ac:dyDescent="0.25">
      <c r="A2049" s="524" t="s">
        <v>10690</v>
      </c>
      <c r="B2049" s="524">
        <v>6</v>
      </c>
      <c r="C2049" s="530">
        <v>4.0599999999999996</v>
      </c>
      <c r="D2049" s="192" t="s">
        <v>409</v>
      </c>
      <c r="E2049" s="317" t="s">
        <v>423</v>
      </c>
      <c r="F2049" s="209">
        <v>40786</v>
      </c>
      <c r="G2049" s="209"/>
      <c r="H2049" s="192">
        <v>1</v>
      </c>
      <c r="I2049" s="753">
        <f>TIME(0,17,27)</f>
        <v>1.2118055555555556E-2</v>
      </c>
      <c r="J2049" s="903" t="s">
        <v>2755</v>
      </c>
      <c r="K2049" s="194" t="s">
        <v>414</v>
      </c>
      <c r="L2049" s="194" t="s">
        <v>3426</v>
      </c>
      <c r="M2049" s="194" t="s">
        <v>1986</v>
      </c>
      <c r="N2049" s="194"/>
      <c r="O2049" s="194"/>
      <c r="P2049" s="190" t="s">
        <v>5598</v>
      </c>
      <c r="Q2049" s="194" t="s">
        <v>3947</v>
      </c>
      <c r="R2049" s="193" t="s">
        <v>2722</v>
      </c>
      <c r="S2049" s="357" t="s">
        <v>2319</v>
      </c>
      <c r="T2049" s="190"/>
      <c r="U2049" s="190"/>
      <c r="V2049" s="190"/>
      <c r="W2049" s="317" t="s">
        <v>423</v>
      </c>
      <c r="X2049" s="649" t="s">
        <v>12336</v>
      </c>
      <c r="Y2049" s="357" t="s">
        <v>5643</v>
      </c>
      <c r="Z2049" s="192">
        <v>999</v>
      </c>
      <c r="AA2049" s="192"/>
      <c r="AB2049" s="37">
        <f t="shared" ca="1" si="42"/>
        <v>0.70352522685786567</v>
      </c>
      <c r="AC2049" s="816"/>
      <c r="AD2049" s="817"/>
      <c r="AE2049" s="943"/>
      <c r="AF2049" s="924">
        <f>IF(X2049=X2048,AF2048,0)+IF(ISNUMBER(I2049),IF(I2049&lt;1,I2049,I2049*VLOOKUP(J2049,Summary!$H$2:$I$9,2)),VLOOKUP(J2049,Summary!$J$2:$K$9,2)*IF(ISNUMBER(H2049),H2049,1))</f>
        <v>1.0807523148148142</v>
      </c>
      <c r="AG2049" s="292">
        <v>2048</v>
      </c>
      <c r="AH2049" s="94"/>
      <c r="AI2049" s="94"/>
    </row>
    <row r="2050" spans="1:36" s="1" customFormat="1" ht="12" customHeight="1" x14ac:dyDescent="0.25">
      <c r="A2050" s="525" t="s">
        <v>10690</v>
      </c>
      <c r="B2050" s="525">
        <v>6</v>
      </c>
      <c r="C2050" s="525">
        <v>75</v>
      </c>
      <c r="D2050" s="428" t="s">
        <v>6678</v>
      </c>
      <c r="E2050" s="325" t="s">
        <v>6677</v>
      </c>
      <c r="F2050" s="183">
        <v>34881</v>
      </c>
      <c r="G2050" s="185"/>
      <c r="H2050" s="185">
        <v>1</v>
      </c>
      <c r="I2050" s="185">
        <v>7</v>
      </c>
      <c r="J2050" s="901" t="s">
        <v>1796</v>
      </c>
      <c r="K2050" s="163" t="s">
        <v>6679</v>
      </c>
      <c r="L2050" s="163" t="s">
        <v>7928</v>
      </c>
      <c r="M2050" s="158"/>
      <c r="N2050" s="158" t="s">
        <v>2750</v>
      </c>
      <c r="O2050" s="158"/>
      <c r="P2050" s="182" t="s">
        <v>461</v>
      </c>
      <c r="Q2050" s="158" t="s">
        <v>4062</v>
      </c>
      <c r="R2050" s="207" t="s">
        <v>5266</v>
      </c>
      <c r="S2050" s="355" t="s">
        <v>2319</v>
      </c>
      <c r="T2050" s="182"/>
      <c r="U2050" s="182"/>
      <c r="V2050" s="182"/>
      <c r="W2050" s="325" t="s">
        <v>6677</v>
      </c>
      <c r="X2050" s="653" t="s">
        <v>12336</v>
      </c>
      <c r="Y2050" s="361"/>
      <c r="Z2050" s="362"/>
      <c r="AA2050" s="362"/>
      <c r="AB2050" s="33">
        <f t="shared" ref="AB2050:AB2113" ca="1" si="43">RAND()</f>
        <v>0.46603129125129128</v>
      </c>
      <c r="AC2050" s="813"/>
      <c r="AD2050" s="211" t="s">
        <v>16416</v>
      </c>
      <c r="AE2050" s="949" t="s">
        <v>3365</v>
      </c>
      <c r="AF2050" s="922">
        <f>IF(X2050=X2049,AF2049,0)+IF(ISNUMBER(I2050),IF(I2050&lt;1,I2050,I2050*VLOOKUP(J2050,Summary!$H$2:$I$9,2)),VLOOKUP(J2050,Summary!$J$2:$K$9,2)*IF(ISNUMBER(H2050),H2050,1))</f>
        <v>1.0831828703703696</v>
      </c>
      <c r="AG2050" s="295">
        <v>2049</v>
      </c>
      <c r="AH2050" s="94"/>
      <c r="AI2050" s="94"/>
    </row>
    <row r="2051" spans="1:36" s="1" customFormat="1" ht="12" customHeight="1" x14ac:dyDescent="0.25">
      <c r="A2051" s="801" t="s">
        <v>10690</v>
      </c>
      <c r="B2051" s="801">
        <v>6</v>
      </c>
      <c r="C2051" s="801">
        <v>4</v>
      </c>
      <c r="D2051" s="619" t="s">
        <v>15572</v>
      </c>
      <c r="E2051" s="345" t="s">
        <v>15573</v>
      </c>
      <c r="F2051" s="800">
        <v>31686</v>
      </c>
      <c r="G2051" s="219"/>
      <c r="H2051" s="210" t="s">
        <v>461</v>
      </c>
      <c r="I2051" s="210">
        <v>128</v>
      </c>
      <c r="J2051" s="908" t="s">
        <v>15556</v>
      </c>
      <c r="K2051" s="166" t="s">
        <v>3229</v>
      </c>
      <c r="L2051" s="166"/>
      <c r="M2051" s="166"/>
      <c r="N2051" s="166"/>
      <c r="O2051" s="166"/>
      <c r="P2051" s="267" t="s">
        <v>15574</v>
      </c>
      <c r="Q2051" s="166" t="s">
        <v>15562</v>
      </c>
      <c r="R2051" s="268" t="s">
        <v>15568</v>
      </c>
      <c r="S2051" s="386"/>
      <c r="T2051" s="267"/>
      <c r="U2051" s="267"/>
      <c r="V2051" s="267"/>
      <c r="W2051" s="345" t="s">
        <v>15573</v>
      </c>
      <c r="X2051" s="680" t="s">
        <v>12336</v>
      </c>
      <c r="Y2051" s="384"/>
      <c r="Z2051" s="385"/>
      <c r="AA2051" s="385"/>
      <c r="AB2051" s="41">
        <f t="shared" ca="1" si="43"/>
        <v>0.9843293925413803</v>
      </c>
      <c r="AC2051" s="832"/>
      <c r="AD2051" s="833"/>
      <c r="AE2051" s="956"/>
      <c r="AF2051" s="929">
        <f>IF(X2051=X2050,AF2050,0)+IF(ISNUMBER(I2051),IF(I2051&lt;1,I2051,I2051*VLOOKUP(J2051,Summary!$H$2:$I$9,2)),VLOOKUP(J2051,Summary!$J$2:$K$9,2)*IF(ISNUMBER(H2051),H2051,1))</f>
        <v>1.1276273148148142</v>
      </c>
      <c r="AG2051" s="307">
        <v>2050</v>
      </c>
      <c r="AH2051" s="94"/>
      <c r="AI2051" s="94"/>
    </row>
    <row r="2052" spans="1:36" s="1" customFormat="1" ht="12" customHeight="1" x14ac:dyDescent="0.25">
      <c r="A2052" s="527" t="s">
        <v>10690</v>
      </c>
      <c r="B2052" s="527">
        <v>6</v>
      </c>
      <c r="C2052" s="527">
        <v>150.1</v>
      </c>
      <c r="D2052" s="407" t="s">
        <v>2648</v>
      </c>
      <c r="E2052" s="315" t="s">
        <v>2649</v>
      </c>
      <c r="F2052" s="169">
        <v>40756</v>
      </c>
      <c r="G2052" s="170"/>
      <c r="H2052" s="170">
        <v>1</v>
      </c>
      <c r="I2052" s="746">
        <f>TIME(0,36,58)</f>
        <v>2.56712962962963E-2</v>
      </c>
      <c r="J2052" s="899" t="s">
        <v>4706</v>
      </c>
      <c r="K2052" s="167" t="s">
        <v>4116</v>
      </c>
      <c r="L2052" s="167" t="s">
        <v>2313</v>
      </c>
      <c r="M2052" s="167"/>
      <c r="N2052" s="167"/>
      <c r="O2052" s="167" t="s">
        <v>2500</v>
      </c>
      <c r="P2052" s="168" t="s">
        <v>9371</v>
      </c>
      <c r="Q2052" s="167" t="s">
        <v>3947</v>
      </c>
      <c r="R2052" s="172" t="s">
        <v>3146</v>
      </c>
      <c r="S2052" s="388" t="s">
        <v>2319</v>
      </c>
      <c r="T2052" s="168"/>
      <c r="U2052" s="168"/>
      <c r="V2052" s="168"/>
      <c r="W2052" s="312" t="s">
        <v>2649</v>
      </c>
      <c r="X2052" s="644" t="s">
        <v>12336</v>
      </c>
      <c r="Y2052" s="352" t="s">
        <v>5643</v>
      </c>
      <c r="Z2052" s="353">
        <v>452</v>
      </c>
      <c r="AA2052" s="353">
        <v>4.5</v>
      </c>
      <c r="AB2052" s="40">
        <f t="shared" ca="1" si="43"/>
        <v>0.64366846148056844</v>
      </c>
      <c r="AC2052" s="810"/>
      <c r="AD2052" s="811" t="s">
        <v>15101</v>
      </c>
      <c r="AE2052" s="940"/>
      <c r="AF2052" s="920">
        <f>IF(X2052=X2051,AF2051,0)+IF(ISNUMBER(I2052),IF(I2052&lt;1,I2052,I2052*VLOOKUP(J2052,Summary!$H$2:$I$9,2)),VLOOKUP(J2052,Summary!$J$2:$K$9,2)*IF(ISNUMBER(H2052),H2052,1))</f>
        <v>1.1532986111111105</v>
      </c>
      <c r="AG2052" s="287">
        <v>2051</v>
      </c>
      <c r="AH2052" s="94"/>
      <c r="AI2052" s="94"/>
    </row>
    <row r="2053" spans="1:36" s="2" customFormat="1" ht="12" customHeight="1" x14ac:dyDescent="0.25">
      <c r="A2053" s="527" t="s">
        <v>10690</v>
      </c>
      <c r="B2053" s="527">
        <v>6</v>
      </c>
      <c r="C2053" s="527">
        <v>150.19999999999999</v>
      </c>
      <c r="D2053" s="407" t="s">
        <v>2648</v>
      </c>
      <c r="E2053" s="315" t="s">
        <v>4117</v>
      </c>
      <c r="F2053" s="169">
        <v>40756</v>
      </c>
      <c r="G2053" s="170"/>
      <c r="H2053" s="170">
        <v>1</v>
      </c>
      <c r="I2053" s="746">
        <f>TIME(0,32,13)</f>
        <v>2.2372685185185186E-2</v>
      </c>
      <c r="J2053" s="899" t="s">
        <v>4706</v>
      </c>
      <c r="K2053" s="167" t="s">
        <v>2675</v>
      </c>
      <c r="L2053" s="167" t="s">
        <v>2313</v>
      </c>
      <c r="M2053" s="167"/>
      <c r="N2053" s="167"/>
      <c r="O2053" s="167" t="s">
        <v>2500</v>
      </c>
      <c r="P2053" s="168" t="s">
        <v>9371</v>
      </c>
      <c r="Q2053" s="167" t="s">
        <v>3947</v>
      </c>
      <c r="R2053" s="172" t="s">
        <v>3146</v>
      </c>
      <c r="S2053" s="388" t="s">
        <v>2319</v>
      </c>
      <c r="T2053" s="168"/>
      <c r="U2053" s="168"/>
      <c r="V2053" s="168"/>
      <c r="W2053" s="312" t="s">
        <v>4117</v>
      </c>
      <c r="X2053" s="644" t="s">
        <v>12336</v>
      </c>
      <c r="Y2053" s="352" t="s">
        <v>5643</v>
      </c>
      <c r="Z2053" s="353">
        <v>356</v>
      </c>
      <c r="AA2053" s="353">
        <v>5</v>
      </c>
      <c r="AB2053" s="40">
        <f t="shared" ca="1" si="43"/>
        <v>0.1167470664504684</v>
      </c>
      <c r="AC2053" s="810"/>
      <c r="AD2053" s="811"/>
      <c r="AE2053" s="940"/>
      <c r="AF2053" s="920">
        <f>IF(X2053=X2052,AF2052,0)+IF(ISNUMBER(I2053),IF(I2053&lt;1,I2053,I2053*VLOOKUP(J2053,Summary!$H$2:$I$9,2)),VLOOKUP(J2053,Summary!$J$2:$K$9,2)*IF(ISNUMBER(H2053),H2053,1))</f>
        <v>1.1756712962962956</v>
      </c>
      <c r="AG2053" s="287">
        <v>2052</v>
      </c>
      <c r="AH2053" s="94"/>
      <c r="AI2053" s="94"/>
    </row>
    <row r="2054" spans="1:36" s="1" customFormat="1" ht="12" customHeight="1" x14ac:dyDescent="0.25">
      <c r="A2054" s="527" t="s">
        <v>10690</v>
      </c>
      <c r="B2054" s="527">
        <v>6</v>
      </c>
      <c r="C2054" s="527">
        <v>150.30000000000001</v>
      </c>
      <c r="D2054" s="407" t="s">
        <v>2648</v>
      </c>
      <c r="E2054" s="315" t="s">
        <v>4118</v>
      </c>
      <c r="F2054" s="169">
        <v>40756</v>
      </c>
      <c r="G2054" s="170"/>
      <c r="H2054" s="170">
        <v>1</v>
      </c>
      <c r="I2054" s="746">
        <f>TIME(0,38,18)</f>
        <v>2.659722222222222E-2</v>
      </c>
      <c r="J2054" s="899" t="s">
        <v>4706</v>
      </c>
      <c r="K2054" s="167" t="s">
        <v>6452</v>
      </c>
      <c r="L2054" s="167" t="s">
        <v>2313</v>
      </c>
      <c r="M2054" s="167"/>
      <c r="N2054" s="167"/>
      <c r="O2054" s="167" t="s">
        <v>2500</v>
      </c>
      <c r="P2054" s="168" t="s">
        <v>9371</v>
      </c>
      <c r="Q2054" s="167" t="s">
        <v>3947</v>
      </c>
      <c r="R2054" s="172" t="s">
        <v>3146</v>
      </c>
      <c r="S2054" s="388" t="s">
        <v>2319</v>
      </c>
      <c r="T2054" s="168"/>
      <c r="U2054" s="168"/>
      <c r="V2054" s="168"/>
      <c r="W2054" s="312" t="s">
        <v>4118</v>
      </c>
      <c r="X2054" s="644" t="s">
        <v>12336</v>
      </c>
      <c r="Y2054" s="352" t="s">
        <v>5643</v>
      </c>
      <c r="Z2054" s="353">
        <v>131</v>
      </c>
      <c r="AA2054" s="353">
        <v>7</v>
      </c>
      <c r="AB2054" s="40">
        <f t="shared" ca="1" si="43"/>
        <v>0.92151080963433252</v>
      </c>
      <c r="AC2054" s="810"/>
      <c r="AD2054" s="811" t="s">
        <v>16180</v>
      </c>
      <c r="AE2054" s="940"/>
      <c r="AF2054" s="920">
        <f>IF(X2054=X2053,AF2053,0)+IF(ISNUMBER(I2054),IF(I2054&lt;1,I2054,I2054*VLOOKUP(J2054,Summary!$H$2:$I$9,2)),VLOOKUP(J2054,Summary!$J$2:$K$9,2)*IF(ISNUMBER(H2054),H2054,1))</f>
        <v>1.2022685185185178</v>
      </c>
      <c r="AG2054" s="287">
        <v>2053</v>
      </c>
      <c r="AH2054" s="94"/>
      <c r="AI2054" s="94"/>
      <c r="AJ2054" s="6"/>
    </row>
    <row r="2055" spans="1:36" s="2" customFormat="1" ht="12" customHeight="1" x14ac:dyDescent="0.25">
      <c r="A2055" s="527" t="s">
        <v>10690</v>
      </c>
      <c r="B2055" s="527">
        <v>6</v>
      </c>
      <c r="C2055" s="527">
        <v>150.4</v>
      </c>
      <c r="D2055" s="407" t="s">
        <v>2648</v>
      </c>
      <c r="E2055" s="315" t="s">
        <v>4119</v>
      </c>
      <c r="F2055" s="169">
        <v>40756</v>
      </c>
      <c r="G2055" s="170"/>
      <c r="H2055" s="170">
        <v>1</v>
      </c>
      <c r="I2055" s="746">
        <f>TIME(0,29,23)</f>
        <v>2.0405092592592593E-2</v>
      </c>
      <c r="J2055" s="899" t="s">
        <v>4706</v>
      </c>
      <c r="K2055" s="167" t="s">
        <v>6451</v>
      </c>
      <c r="L2055" s="167" t="s">
        <v>2313</v>
      </c>
      <c r="M2055" s="167"/>
      <c r="N2055" s="167"/>
      <c r="O2055" s="167" t="s">
        <v>2500</v>
      </c>
      <c r="P2055" s="168" t="s">
        <v>9371</v>
      </c>
      <c r="Q2055" s="167" t="s">
        <v>3947</v>
      </c>
      <c r="R2055" s="172" t="s">
        <v>3146</v>
      </c>
      <c r="S2055" s="388" t="s">
        <v>2319</v>
      </c>
      <c r="T2055" s="168"/>
      <c r="U2055" s="168"/>
      <c r="V2055" s="168"/>
      <c r="W2055" s="312" t="s">
        <v>4119</v>
      </c>
      <c r="X2055" s="644" t="s">
        <v>12336</v>
      </c>
      <c r="Y2055" s="352" t="s">
        <v>5643</v>
      </c>
      <c r="Z2055" s="353">
        <v>410</v>
      </c>
      <c r="AA2055" s="353">
        <v>4.5</v>
      </c>
      <c r="AB2055" s="40">
        <f t="shared" ca="1" si="43"/>
        <v>0.13649369871288797</v>
      </c>
      <c r="AC2055" s="810"/>
      <c r="AD2055" s="811"/>
      <c r="AE2055" s="940"/>
      <c r="AF2055" s="920">
        <f>IF(X2055=X2054,AF2054,0)+IF(ISNUMBER(I2055),IF(I2055&lt;1,I2055,I2055*VLOOKUP(J2055,Summary!$H$2:$I$9,2)),VLOOKUP(J2055,Summary!$J$2:$K$9,2)*IF(ISNUMBER(H2055),H2055,1))</f>
        <v>1.2226736111111103</v>
      </c>
      <c r="AG2055" s="287">
        <v>2054</v>
      </c>
      <c r="AH2055" s="94"/>
      <c r="AI2055" s="94"/>
    </row>
    <row r="2056" spans="1:36" s="3" customFormat="1" ht="12" customHeight="1" x14ac:dyDescent="0.25">
      <c r="A2056" s="527" t="s">
        <v>10690</v>
      </c>
      <c r="B2056" s="527">
        <v>6</v>
      </c>
      <c r="C2056" s="527">
        <v>179</v>
      </c>
      <c r="D2056" s="407"/>
      <c r="E2056" s="315" t="s">
        <v>8140</v>
      </c>
      <c r="F2056" s="169">
        <v>41548</v>
      </c>
      <c r="G2056" s="170"/>
      <c r="H2056" s="170">
        <v>4</v>
      </c>
      <c r="I2056" s="746">
        <f>TIME(2,1,19)</f>
        <v>8.4247685185185175E-2</v>
      </c>
      <c r="J2056" s="899" t="s">
        <v>4706</v>
      </c>
      <c r="K2056" s="167" t="s">
        <v>177</v>
      </c>
      <c r="L2056" s="167" t="s">
        <v>4549</v>
      </c>
      <c r="M2056" s="167"/>
      <c r="N2056" s="167"/>
      <c r="O2056" s="167"/>
      <c r="P2056" s="168" t="s">
        <v>8141</v>
      </c>
      <c r="Q2056" s="167" t="s">
        <v>3947</v>
      </c>
      <c r="R2056" s="172" t="s">
        <v>3146</v>
      </c>
      <c r="S2056" s="388" t="s">
        <v>2319</v>
      </c>
      <c r="T2056" s="168"/>
      <c r="U2056" s="168"/>
      <c r="V2056" s="168"/>
      <c r="W2056" s="312" t="s">
        <v>11499</v>
      </c>
      <c r="X2056" s="644" t="s">
        <v>12336</v>
      </c>
      <c r="Y2056" s="352" t="s">
        <v>5643</v>
      </c>
      <c r="Z2056" s="353">
        <v>657</v>
      </c>
      <c r="AA2056" s="353">
        <v>3</v>
      </c>
      <c r="AB2056" s="40">
        <f t="shared" ca="1" si="43"/>
        <v>0.9338201037906747</v>
      </c>
      <c r="AC2056" s="810"/>
      <c r="AD2056" s="811"/>
      <c r="AE2056" s="940"/>
      <c r="AF2056" s="920">
        <f>IF(X2056=X2055,AF2055,0)+IF(ISNUMBER(I2056),IF(I2056&lt;1,I2056,I2056*VLOOKUP(J2056,Summary!$H$2:$I$9,2)),VLOOKUP(J2056,Summary!$J$2:$K$9,2)*IF(ISNUMBER(H2056),H2056,1))</f>
        <v>1.3069212962962955</v>
      </c>
      <c r="AG2056" s="287">
        <v>2055</v>
      </c>
      <c r="AH2056" s="94"/>
      <c r="AI2056" s="94"/>
    </row>
    <row r="2057" spans="1:36" s="6" customFormat="1" ht="12" customHeight="1" x14ac:dyDescent="0.25">
      <c r="A2057" s="527" t="s">
        <v>10690</v>
      </c>
      <c r="B2057" s="527">
        <v>6</v>
      </c>
      <c r="C2057" s="527">
        <v>188.1</v>
      </c>
      <c r="D2057" s="407" t="s">
        <v>9367</v>
      </c>
      <c r="E2057" s="315" t="s">
        <v>9363</v>
      </c>
      <c r="F2057" s="169">
        <v>41821</v>
      </c>
      <c r="G2057" s="170"/>
      <c r="H2057" s="170">
        <v>1</v>
      </c>
      <c r="I2057" s="746">
        <f>TIME(0,28,31)</f>
        <v>1.9803240740740739E-2</v>
      </c>
      <c r="J2057" s="899" t="s">
        <v>4706</v>
      </c>
      <c r="K2057" s="167" t="s">
        <v>9369</v>
      </c>
      <c r="L2057" s="167" t="s">
        <v>4549</v>
      </c>
      <c r="M2057" s="167"/>
      <c r="N2057" s="167"/>
      <c r="O2057" s="167"/>
      <c r="P2057" s="168" t="s">
        <v>9368</v>
      </c>
      <c r="Q2057" s="167" t="s">
        <v>3947</v>
      </c>
      <c r="R2057" s="172" t="s">
        <v>3146</v>
      </c>
      <c r="S2057" s="388" t="s">
        <v>2319</v>
      </c>
      <c r="T2057" s="168"/>
      <c r="U2057" s="168"/>
      <c r="V2057" s="168"/>
      <c r="W2057" s="315" t="s">
        <v>9363</v>
      </c>
      <c r="X2057" s="647" t="s">
        <v>12336</v>
      </c>
      <c r="Y2057" s="352" t="s">
        <v>5643</v>
      </c>
      <c r="Z2057" s="353">
        <v>398</v>
      </c>
      <c r="AA2057" s="353">
        <v>5</v>
      </c>
      <c r="AB2057" s="40">
        <f t="shared" ca="1" si="43"/>
        <v>0.4307750652910336</v>
      </c>
      <c r="AC2057" s="810"/>
      <c r="AD2057" s="811"/>
      <c r="AE2057" s="940"/>
      <c r="AF2057" s="920">
        <f>IF(X2057=X2056,AF2056,0)+IF(ISNUMBER(I2057),IF(I2057&lt;1,I2057,I2057*VLOOKUP(J2057,Summary!$H$2:$I$9,2)),VLOOKUP(J2057,Summary!$J$2:$K$9,2)*IF(ISNUMBER(H2057),H2057,1))</f>
        <v>1.3267245370370362</v>
      </c>
      <c r="AG2057" s="287">
        <v>2056</v>
      </c>
      <c r="AH2057" s="94"/>
      <c r="AI2057" s="94"/>
    </row>
    <row r="2058" spans="1:36" s="6" customFormat="1" ht="12" customHeight="1" x14ac:dyDescent="0.25">
      <c r="A2058" s="527" t="s">
        <v>10690</v>
      </c>
      <c r="B2058" s="527">
        <v>6</v>
      </c>
      <c r="C2058" s="527">
        <v>188.2</v>
      </c>
      <c r="D2058" s="407" t="s">
        <v>9367</v>
      </c>
      <c r="E2058" s="315" t="s">
        <v>9364</v>
      </c>
      <c r="F2058" s="169">
        <v>41821</v>
      </c>
      <c r="G2058" s="170"/>
      <c r="H2058" s="170">
        <v>1</v>
      </c>
      <c r="I2058" s="746">
        <f>TIME(0,26,23)</f>
        <v>1.832175925925926E-2</v>
      </c>
      <c r="J2058" s="899" t="s">
        <v>4706</v>
      </c>
      <c r="K2058" s="167" t="s">
        <v>9370</v>
      </c>
      <c r="L2058" s="167" t="s">
        <v>4549</v>
      </c>
      <c r="M2058" s="167"/>
      <c r="N2058" s="167"/>
      <c r="O2058" s="167"/>
      <c r="P2058" s="168" t="s">
        <v>9368</v>
      </c>
      <c r="Q2058" s="167" t="s">
        <v>3947</v>
      </c>
      <c r="R2058" s="172" t="s">
        <v>3146</v>
      </c>
      <c r="S2058" s="388" t="s">
        <v>2319</v>
      </c>
      <c r="T2058" s="168"/>
      <c r="U2058" s="168"/>
      <c r="V2058" s="168"/>
      <c r="W2058" s="315" t="s">
        <v>9364</v>
      </c>
      <c r="X2058" s="647" t="s">
        <v>12336</v>
      </c>
      <c r="Y2058" s="352" t="s">
        <v>5643</v>
      </c>
      <c r="Z2058" s="353">
        <v>622</v>
      </c>
      <c r="AA2058" s="353">
        <v>3</v>
      </c>
      <c r="AB2058" s="40">
        <f t="shared" ca="1" si="43"/>
        <v>9.233943214984297E-2</v>
      </c>
      <c r="AC2058" s="810"/>
      <c r="AD2058" s="811"/>
      <c r="AE2058" s="940"/>
      <c r="AF2058" s="920">
        <f>IF(X2058=X2057,AF2057,0)+IF(ISNUMBER(I2058),IF(I2058&lt;1,I2058,I2058*VLOOKUP(J2058,Summary!$H$2:$I$9,2)),VLOOKUP(J2058,Summary!$J$2:$K$9,2)*IF(ISNUMBER(H2058),H2058,1))</f>
        <v>1.3450462962962955</v>
      </c>
      <c r="AG2058" s="287">
        <v>2057</v>
      </c>
      <c r="AH2058" s="94"/>
      <c r="AI2058" s="94"/>
    </row>
    <row r="2059" spans="1:36" s="11" customFormat="1" ht="12" customHeight="1" x14ac:dyDescent="0.25">
      <c r="A2059" s="527" t="s">
        <v>10690</v>
      </c>
      <c r="B2059" s="527">
        <v>6</v>
      </c>
      <c r="C2059" s="527">
        <v>188.3</v>
      </c>
      <c r="D2059" s="407" t="s">
        <v>9367</v>
      </c>
      <c r="E2059" s="315" t="s">
        <v>9365</v>
      </c>
      <c r="F2059" s="169">
        <v>41821</v>
      </c>
      <c r="G2059" s="170"/>
      <c r="H2059" s="170">
        <v>1</v>
      </c>
      <c r="I2059" s="746">
        <f>TIME(0,31,15)</f>
        <v>2.1701388888888892E-2</v>
      </c>
      <c r="J2059" s="899" t="s">
        <v>4706</v>
      </c>
      <c r="K2059" s="167" t="s">
        <v>7797</v>
      </c>
      <c r="L2059" s="167" t="s">
        <v>4549</v>
      </c>
      <c r="M2059" s="167"/>
      <c r="N2059" s="167"/>
      <c r="O2059" s="167"/>
      <c r="P2059" s="168" t="s">
        <v>9368</v>
      </c>
      <c r="Q2059" s="167" t="s">
        <v>3947</v>
      </c>
      <c r="R2059" s="172" t="s">
        <v>3146</v>
      </c>
      <c r="S2059" s="388" t="s">
        <v>2319</v>
      </c>
      <c r="T2059" s="168"/>
      <c r="U2059" s="168"/>
      <c r="V2059" s="168"/>
      <c r="W2059" s="315" t="s">
        <v>9365</v>
      </c>
      <c r="X2059" s="647" t="s">
        <v>12336</v>
      </c>
      <c r="Y2059" s="352" t="s">
        <v>5643</v>
      </c>
      <c r="Z2059" s="353">
        <v>235</v>
      </c>
      <c r="AA2059" s="353">
        <v>5.5</v>
      </c>
      <c r="AB2059" s="40">
        <f t="shared" ca="1" si="43"/>
        <v>0.92356589602839378</v>
      </c>
      <c r="AC2059" s="810"/>
      <c r="AD2059" s="811"/>
      <c r="AE2059" s="940"/>
      <c r="AF2059" s="920">
        <f>IF(X2059=X2058,AF2058,0)+IF(ISNUMBER(I2059),IF(I2059&lt;1,I2059,I2059*VLOOKUP(J2059,Summary!$H$2:$I$9,2)),VLOOKUP(J2059,Summary!$J$2:$K$9,2)*IF(ISNUMBER(H2059),H2059,1))</f>
        <v>1.3667476851851843</v>
      </c>
      <c r="AG2059" s="287">
        <v>2058</v>
      </c>
      <c r="AH2059" s="94"/>
      <c r="AI2059" s="94"/>
    </row>
    <row r="2060" spans="1:36" s="57" customFormat="1" ht="12" customHeight="1" x14ac:dyDescent="0.25">
      <c r="A2060" s="527" t="s">
        <v>10690</v>
      </c>
      <c r="B2060" s="527">
        <v>6</v>
      </c>
      <c r="C2060" s="527">
        <v>188.4</v>
      </c>
      <c r="D2060" s="407" t="s">
        <v>9367</v>
      </c>
      <c r="E2060" s="315" t="s">
        <v>9366</v>
      </c>
      <c r="F2060" s="169">
        <v>41821</v>
      </c>
      <c r="G2060" s="170"/>
      <c r="H2060" s="170">
        <v>1</v>
      </c>
      <c r="I2060" s="746">
        <f>TIME(0,29,13)</f>
        <v>2.028935185185185E-2</v>
      </c>
      <c r="J2060" s="899" t="s">
        <v>4706</v>
      </c>
      <c r="K2060" s="167" t="s">
        <v>3284</v>
      </c>
      <c r="L2060" s="167" t="s">
        <v>4549</v>
      </c>
      <c r="M2060" s="167"/>
      <c r="N2060" s="167"/>
      <c r="O2060" s="167"/>
      <c r="P2060" s="168" t="s">
        <v>9368</v>
      </c>
      <c r="Q2060" s="167" t="s">
        <v>3947</v>
      </c>
      <c r="R2060" s="172" t="s">
        <v>3146</v>
      </c>
      <c r="S2060" s="388" t="s">
        <v>2319</v>
      </c>
      <c r="T2060" s="168"/>
      <c r="U2060" s="168"/>
      <c r="V2060" s="168"/>
      <c r="W2060" s="315" t="s">
        <v>9366</v>
      </c>
      <c r="X2060" s="647" t="s">
        <v>12336</v>
      </c>
      <c r="Y2060" s="352" t="s">
        <v>5643</v>
      </c>
      <c r="Z2060" s="353">
        <v>37</v>
      </c>
      <c r="AA2060" s="353">
        <v>9</v>
      </c>
      <c r="AB2060" s="40">
        <f t="shared" ca="1" si="43"/>
        <v>0.74664106953712861</v>
      </c>
      <c r="AC2060" s="810"/>
      <c r="AD2060" s="811"/>
      <c r="AE2060" s="940"/>
      <c r="AF2060" s="920">
        <f>IF(X2060=X2059,AF2059,0)+IF(ISNUMBER(I2060),IF(I2060&lt;1,I2060,I2060*VLOOKUP(J2060,Summary!$H$2:$I$9,2)),VLOOKUP(J2060,Summary!$J$2:$K$9,2)*IF(ISNUMBER(H2060),H2060,1))</f>
        <v>1.3870370370370362</v>
      </c>
      <c r="AG2060" s="287">
        <v>2059</v>
      </c>
      <c r="AH2060" s="94"/>
      <c r="AI2060" s="94"/>
    </row>
    <row r="2061" spans="1:36" s="43" customFormat="1" ht="12" customHeight="1" x14ac:dyDescent="0.25">
      <c r="A2061" s="522" t="s">
        <v>10690</v>
      </c>
      <c r="B2061" s="522">
        <v>6</v>
      </c>
      <c r="C2061" s="522">
        <v>18</v>
      </c>
      <c r="D2061" s="176" t="s">
        <v>868</v>
      </c>
      <c r="E2061" s="313" t="s">
        <v>840</v>
      </c>
      <c r="F2061" s="174">
        <v>36100</v>
      </c>
      <c r="G2061" s="175"/>
      <c r="H2061" s="176" t="s">
        <v>461</v>
      </c>
      <c r="I2061" s="176"/>
      <c r="J2061" s="900" t="s">
        <v>2755</v>
      </c>
      <c r="K2061" s="164" t="s">
        <v>901</v>
      </c>
      <c r="L2061" s="164"/>
      <c r="M2061" s="164"/>
      <c r="N2061" s="164" t="s">
        <v>819</v>
      </c>
      <c r="O2061" s="164"/>
      <c r="P2061" s="178" t="s">
        <v>461</v>
      </c>
      <c r="Q2061" s="164" t="s">
        <v>820</v>
      </c>
      <c r="R2061" s="177" t="s">
        <v>895</v>
      </c>
      <c r="S2061" s="354" t="s">
        <v>2319</v>
      </c>
      <c r="T2061" s="173"/>
      <c r="U2061" s="173"/>
      <c r="V2061" s="173"/>
      <c r="W2061" s="313" t="s">
        <v>840</v>
      </c>
      <c r="X2061" s="645" t="s">
        <v>12336</v>
      </c>
      <c r="Y2061" s="354"/>
      <c r="Z2061" s="176"/>
      <c r="AA2061" s="176"/>
      <c r="AB2061" s="32">
        <f t="shared" ca="1" si="43"/>
        <v>0.94972281320668372</v>
      </c>
      <c r="AC2061" s="812"/>
      <c r="AD2061" s="763"/>
      <c r="AE2061" s="807"/>
      <c r="AF2061" s="921">
        <f>IF(X2061=X2060,AF2060,0)+IF(ISNUMBER(I2061),IF(I2061&lt;1,I2061,I2061*VLOOKUP(J2061,Summary!$H$2:$I$9,2)),VLOOKUP(J2061,Summary!$J$2:$K$9,2)*IF(ISNUMBER(H2061),H2061,1))</f>
        <v>1.4043981481481473</v>
      </c>
      <c r="AG2061" s="289">
        <v>2060</v>
      </c>
      <c r="AH2061" s="94"/>
      <c r="AI2061" s="94"/>
    </row>
    <row r="2062" spans="1:36" s="22" customFormat="1" ht="12" customHeight="1" x14ac:dyDescent="0.25">
      <c r="A2062" s="522" t="s">
        <v>10690</v>
      </c>
      <c r="B2062" s="522">
        <v>6</v>
      </c>
      <c r="C2062" s="522">
        <v>37</v>
      </c>
      <c r="D2062" s="176" t="s">
        <v>887</v>
      </c>
      <c r="E2062" s="313" t="s">
        <v>823</v>
      </c>
      <c r="F2062" s="174">
        <v>36465</v>
      </c>
      <c r="G2062" s="175"/>
      <c r="H2062" s="176" t="s">
        <v>461</v>
      </c>
      <c r="I2062" s="176"/>
      <c r="J2062" s="900" t="s">
        <v>2755</v>
      </c>
      <c r="K2062" s="164" t="s">
        <v>824</v>
      </c>
      <c r="L2062" s="164"/>
      <c r="M2062" s="164"/>
      <c r="N2062" s="164" t="s">
        <v>819</v>
      </c>
      <c r="O2062" s="164"/>
      <c r="P2062" s="178" t="s">
        <v>461</v>
      </c>
      <c r="Q2062" s="164" t="s">
        <v>820</v>
      </c>
      <c r="R2062" s="177" t="s">
        <v>895</v>
      </c>
      <c r="S2062" s="354" t="s">
        <v>2319</v>
      </c>
      <c r="T2062" s="173"/>
      <c r="U2062" s="173"/>
      <c r="V2062" s="173"/>
      <c r="W2062" s="313" t="s">
        <v>823</v>
      </c>
      <c r="X2062" s="645" t="s">
        <v>12336</v>
      </c>
      <c r="Y2062" s="354"/>
      <c r="Z2062" s="176"/>
      <c r="AA2062" s="176"/>
      <c r="AB2062" s="32">
        <f t="shared" ca="1" si="43"/>
        <v>0.94176797259591161</v>
      </c>
      <c r="AC2062" s="812"/>
      <c r="AD2062" s="763"/>
      <c r="AE2062" s="807"/>
      <c r="AF2062" s="921">
        <f>IF(X2062=X2061,AF2061,0)+IF(ISNUMBER(I2062),IF(I2062&lt;1,I2062,I2062*VLOOKUP(J2062,Summary!$H$2:$I$9,2)),VLOOKUP(J2062,Summary!$J$2:$K$9,2)*IF(ISNUMBER(H2062),H2062,1))</f>
        <v>1.4217592592592585</v>
      </c>
      <c r="AG2062" s="289">
        <v>2061</v>
      </c>
      <c r="AH2062" s="94"/>
      <c r="AI2062" s="94"/>
    </row>
    <row r="2063" spans="1:36" s="43" customFormat="1" ht="12" customHeight="1" x14ac:dyDescent="0.25">
      <c r="A2063" s="521" t="s">
        <v>217</v>
      </c>
      <c r="B2063" s="521">
        <v>6</v>
      </c>
      <c r="C2063" s="521">
        <v>143.1</v>
      </c>
      <c r="D2063" s="424" t="s">
        <v>218</v>
      </c>
      <c r="E2063" s="319" t="s">
        <v>219</v>
      </c>
      <c r="F2063" s="198">
        <v>31661</v>
      </c>
      <c r="G2063" s="198">
        <v>31682</v>
      </c>
      <c r="H2063" s="199">
        <v>4</v>
      </c>
      <c r="I2063" s="791">
        <f>TIME(0,24,57)+TIME(0,24,44)+TIME(0,24,18)+TIME(0,24,20)</f>
        <v>6.8275462962962968E-2</v>
      </c>
      <c r="J2063" s="904" t="s">
        <v>1588</v>
      </c>
      <c r="K2063" s="200" t="s">
        <v>1093</v>
      </c>
      <c r="L2063" s="200" t="s">
        <v>220</v>
      </c>
      <c r="M2063" s="200"/>
      <c r="N2063" s="200" t="s">
        <v>2366</v>
      </c>
      <c r="O2063" s="200" t="s">
        <v>6962</v>
      </c>
      <c r="P2063" s="197" t="s">
        <v>461</v>
      </c>
      <c r="Q2063" s="200" t="s">
        <v>3946</v>
      </c>
      <c r="R2063" s="201" t="s">
        <v>5280</v>
      </c>
      <c r="S2063" s="390" t="s">
        <v>2319</v>
      </c>
      <c r="T2063" s="197"/>
      <c r="U2063" s="197"/>
      <c r="V2063" s="197"/>
      <c r="W2063" s="318" t="s">
        <v>8750</v>
      </c>
      <c r="X2063" s="650" t="s">
        <v>2131</v>
      </c>
      <c r="Y2063" s="358" t="s">
        <v>6141</v>
      </c>
      <c r="Z2063" s="253">
        <v>226</v>
      </c>
      <c r="AA2063" s="253">
        <v>4</v>
      </c>
      <c r="AB2063" s="35">
        <f t="shared" ca="1" si="43"/>
        <v>0.59908270240532713</v>
      </c>
      <c r="AC2063" s="820"/>
      <c r="AD2063" s="821" t="s">
        <v>16511</v>
      </c>
      <c r="AE2063" s="944"/>
      <c r="AF2063" s="925">
        <f>IF(X2063=X2062,AF2062,0)+IF(ISNUMBER(I2063),IF(I2063&lt;1,I2063,I2063*VLOOKUP(J2063,Summary!$H$2:$I$9,2)),VLOOKUP(J2063,Summary!$J$2:$K$9,2)*IF(ISNUMBER(H2063),H2063,1))</f>
        <v>6.8275462962962968E-2</v>
      </c>
      <c r="AG2063" s="293">
        <v>2062</v>
      </c>
      <c r="AH2063" s="94"/>
      <c r="AI2063" s="94"/>
    </row>
    <row r="2064" spans="1:36" s="43" customFormat="1" ht="12" customHeight="1" x14ac:dyDescent="0.25">
      <c r="A2064" s="521" t="s">
        <v>217</v>
      </c>
      <c r="B2064" s="521">
        <v>6</v>
      </c>
      <c r="C2064" s="521">
        <v>143.19999999999999</v>
      </c>
      <c r="D2064" s="424" t="s">
        <v>221</v>
      </c>
      <c r="E2064" s="319" t="s">
        <v>222</v>
      </c>
      <c r="F2064" s="198">
        <v>31689</v>
      </c>
      <c r="G2064" s="198">
        <v>31710</v>
      </c>
      <c r="H2064" s="199">
        <v>4</v>
      </c>
      <c r="I2064" s="791">
        <f>TIME(0,24,42)+TIME(0,24,45)+TIME(0,24,33)+TIME(0,24,44)</f>
        <v>6.8564814814814815E-2</v>
      </c>
      <c r="J2064" s="904" t="s">
        <v>1588</v>
      </c>
      <c r="K2064" s="200" t="s">
        <v>197</v>
      </c>
      <c r="L2064" s="200" t="s">
        <v>6274</v>
      </c>
      <c r="M2064" s="200"/>
      <c r="N2064" s="200" t="s">
        <v>2366</v>
      </c>
      <c r="O2064" s="200" t="s">
        <v>6962</v>
      </c>
      <c r="P2064" s="197" t="s">
        <v>461</v>
      </c>
      <c r="Q2064" s="200" t="s">
        <v>3946</v>
      </c>
      <c r="R2064" s="201" t="s">
        <v>5280</v>
      </c>
      <c r="S2064" s="390" t="s">
        <v>2319</v>
      </c>
      <c r="T2064" s="197"/>
      <c r="U2064" s="197"/>
      <c r="V2064" s="197"/>
      <c r="W2064" s="318" t="s">
        <v>8751</v>
      </c>
      <c r="X2064" s="650" t="s">
        <v>2131</v>
      </c>
      <c r="Y2064" s="358" t="s">
        <v>6141</v>
      </c>
      <c r="Z2064" s="253">
        <v>171</v>
      </c>
      <c r="AA2064" s="253">
        <v>5</v>
      </c>
      <c r="AB2064" s="35">
        <f t="shared" ca="1" si="43"/>
        <v>4.1264233717415499E-2</v>
      </c>
      <c r="AC2064" s="820"/>
      <c r="AD2064" s="821" t="s">
        <v>16185</v>
      </c>
      <c r="AE2064" s="944"/>
      <c r="AF2064" s="925">
        <f>IF(X2064=X2063,AF2063,0)+IF(ISNUMBER(I2064),IF(I2064&lt;1,I2064,I2064*VLOOKUP(J2064,Summary!$H$2:$I$9,2)),VLOOKUP(J2064,Summary!$J$2:$K$9,2)*IF(ISNUMBER(H2064),H2064,1))</f>
        <v>0.1368402777777778</v>
      </c>
      <c r="AG2064" s="293">
        <v>2063</v>
      </c>
      <c r="AH2064" s="94"/>
      <c r="AI2064" s="94"/>
    </row>
    <row r="2065" spans="1:35" s="43" customFormat="1" ht="12" customHeight="1" x14ac:dyDescent="0.25">
      <c r="A2065" s="521" t="s">
        <v>217</v>
      </c>
      <c r="B2065" s="521">
        <v>6</v>
      </c>
      <c r="C2065" s="521">
        <v>143.4</v>
      </c>
      <c r="D2065" s="424" t="s">
        <v>226</v>
      </c>
      <c r="E2065" s="319" t="s">
        <v>227</v>
      </c>
      <c r="F2065" s="198">
        <v>31745</v>
      </c>
      <c r="G2065" s="198">
        <v>31752</v>
      </c>
      <c r="H2065" s="199">
        <v>2</v>
      </c>
      <c r="I2065" s="791">
        <f>TIME(0,24,42)+TIME(0,29,30)</f>
        <v>3.7638888888888888E-2</v>
      </c>
      <c r="J2065" s="904" t="s">
        <v>1588</v>
      </c>
      <c r="K2065" s="200" t="s">
        <v>228</v>
      </c>
      <c r="L2065" s="200" t="s">
        <v>225</v>
      </c>
      <c r="M2065" s="200"/>
      <c r="N2065" s="200"/>
      <c r="O2065" s="200" t="s">
        <v>6962</v>
      </c>
      <c r="P2065" s="197" t="s">
        <v>461</v>
      </c>
      <c r="Q2065" s="200" t="s">
        <v>3946</v>
      </c>
      <c r="R2065" s="201" t="s">
        <v>5280</v>
      </c>
      <c r="S2065" s="390"/>
      <c r="T2065" s="197" t="s">
        <v>2321</v>
      </c>
      <c r="U2065" s="197"/>
      <c r="V2065" s="197"/>
      <c r="W2065" s="318" t="s">
        <v>12093</v>
      </c>
      <c r="X2065" s="650" t="s">
        <v>2131</v>
      </c>
      <c r="Y2065" s="358" t="s">
        <v>6141</v>
      </c>
      <c r="Z2065" s="253">
        <v>285</v>
      </c>
      <c r="AA2065" s="253">
        <v>2</v>
      </c>
      <c r="AB2065" s="35">
        <f t="shared" ca="1" si="43"/>
        <v>0.28336428827900195</v>
      </c>
      <c r="AC2065" s="820"/>
      <c r="AD2065" s="821"/>
      <c r="AE2065" s="944"/>
      <c r="AF2065" s="925">
        <f>IF(X2065=X2064,AF2064,0)+IF(ISNUMBER(I2065),IF(I2065&lt;1,I2065,I2065*VLOOKUP(J2065,Summary!$H$2:$I$9,2)),VLOOKUP(J2065,Summary!$J$2:$K$9,2)*IF(ISNUMBER(H2065),H2065,1))</f>
        <v>0.17447916666666669</v>
      </c>
      <c r="AG2065" s="293">
        <v>2064</v>
      </c>
      <c r="AH2065" s="94"/>
      <c r="AI2065" s="94"/>
    </row>
    <row r="2066" spans="1:35" s="43" customFormat="1" ht="12" customHeight="1" x14ac:dyDescent="0.25">
      <c r="A2066" s="522" t="s">
        <v>217</v>
      </c>
      <c r="B2066" s="522">
        <v>6</v>
      </c>
      <c r="C2066" s="522">
        <v>27.12</v>
      </c>
      <c r="D2066" s="434" t="s">
        <v>6649</v>
      </c>
      <c r="E2066" s="324" t="s">
        <v>6647</v>
      </c>
      <c r="F2066" s="174">
        <v>39569</v>
      </c>
      <c r="G2066" s="174"/>
      <c r="H2066" s="176" t="s">
        <v>461</v>
      </c>
      <c r="I2066" s="176">
        <v>22</v>
      </c>
      <c r="J2066" s="900" t="s">
        <v>2755</v>
      </c>
      <c r="K2066" s="164" t="s">
        <v>6648</v>
      </c>
      <c r="L2066" s="164" t="s">
        <v>461</v>
      </c>
      <c r="M2066" s="164"/>
      <c r="N2066" s="164" t="s">
        <v>7621</v>
      </c>
      <c r="O2066" s="164"/>
      <c r="P2066" s="173" t="s">
        <v>6705</v>
      </c>
      <c r="Q2066" s="164" t="s">
        <v>3947</v>
      </c>
      <c r="R2066" s="179" t="s">
        <v>2723</v>
      </c>
      <c r="S2066" s="354"/>
      <c r="T2066" s="173"/>
      <c r="U2066" s="173"/>
      <c r="V2066" s="173"/>
      <c r="W2066" s="324" t="s">
        <v>6647</v>
      </c>
      <c r="X2066" s="656" t="s">
        <v>2131</v>
      </c>
      <c r="Y2066" s="363"/>
      <c r="Z2066" s="364"/>
      <c r="AA2066" s="364"/>
      <c r="AB2066" s="32">
        <f t="shared" ca="1" si="43"/>
        <v>0.27155384658397186</v>
      </c>
      <c r="AC2066" s="812"/>
      <c r="AD2066" s="763"/>
      <c r="AE2066" s="951"/>
      <c r="AF2066" s="921">
        <f>IF(X2066=X2065,AF2065,0)+IF(ISNUMBER(I2066),IF(I2066&lt;1,I2066,I2066*VLOOKUP(J2066,Summary!$H$2:$I$9,2)),VLOOKUP(J2066,Summary!$J$2:$K$9,2)*IF(ISNUMBER(H2066),H2066,1))</f>
        <v>0.18975694444444446</v>
      </c>
      <c r="AG2066" s="288">
        <v>2065</v>
      </c>
      <c r="AH2066" s="94"/>
      <c r="AI2066" s="94"/>
    </row>
    <row r="2067" spans="1:35" s="43" customFormat="1" ht="12" customHeight="1" x14ac:dyDescent="0.25">
      <c r="A2067" s="523" t="s">
        <v>217</v>
      </c>
      <c r="B2067" s="523">
        <v>6</v>
      </c>
      <c r="C2067" s="523">
        <v>8</v>
      </c>
      <c r="D2067" s="417" t="s">
        <v>229</v>
      </c>
      <c r="E2067" s="316" t="s">
        <v>230</v>
      </c>
      <c r="F2067" s="187">
        <v>34731</v>
      </c>
      <c r="G2067" s="188"/>
      <c r="H2067" s="188" t="str">
        <f>IF(J2067="Book","n/a","")</f>
        <v>n/a</v>
      </c>
      <c r="I2067" s="188">
        <v>278</v>
      </c>
      <c r="J2067" s="902" t="s">
        <v>6868</v>
      </c>
      <c r="K2067" s="162" t="s">
        <v>176</v>
      </c>
      <c r="L2067" s="162" t="str">
        <f>IF(J2067="Book","n/a","")</f>
        <v>n/a</v>
      </c>
      <c r="M2067" s="162"/>
      <c r="N2067" s="162"/>
      <c r="O2067" s="162"/>
      <c r="P2067" s="178" t="s">
        <v>8592</v>
      </c>
      <c r="Q2067" s="162" t="s">
        <v>601</v>
      </c>
      <c r="R2067" s="189" t="s">
        <v>2715</v>
      </c>
      <c r="S2067" s="366" t="s">
        <v>7312</v>
      </c>
      <c r="T2067" s="178"/>
      <c r="U2067" s="178"/>
      <c r="V2067" s="178"/>
      <c r="W2067" s="316" t="s">
        <v>230</v>
      </c>
      <c r="X2067" s="648" t="s">
        <v>2131</v>
      </c>
      <c r="Y2067" s="356"/>
      <c r="Z2067" s="272"/>
      <c r="AA2067" s="272"/>
      <c r="AB2067" s="34">
        <f t="shared" ca="1" si="43"/>
        <v>0.25232639489952435</v>
      </c>
      <c r="AC2067" s="814"/>
      <c r="AD2067" s="815" t="s">
        <v>16143</v>
      </c>
      <c r="AE2067" s="942"/>
      <c r="AF2067" s="923">
        <f>IF(X2067=X2066,AF2066,0)+IF(ISNUMBER(I2067),IF(I2067&lt;1,I2067,I2067*VLOOKUP(J2067,Summary!$H$2:$I$9,2)),VLOOKUP(J2067,Summary!$J$2:$K$9,2)*IF(ISNUMBER(H2067),H2067,1))</f>
        <v>0.3828125</v>
      </c>
      <c r="AG2067" s="291">
        <v>2066</v>
      </c>
      <c r="AH2067" s="94"/>
      <c r="AI2067" s="94"/>
    </row>
    <row r="2068" spans="1:35" s="43" customFormat="1" ht="12" customHeight="1" x14ac:dyDescent="0.25">
      <c r="A2068" s="523" t="s">
        <v>217</v>
      </c>
      <c r="B2068" s="523">
        <v>6</v>
      </c>
      <c r="C2068" s="523">
        <v>23</v>
      </c>
      <c r="D2068" s="417" t="s">
        <v>231</v>
      </c>
      <c r="E2068" s="316" t="s">
        <v>232</v>
      </c>
      <c r="F2068" s="187">
        <v>35217</v>
      </c>
      <c r="G2068" s="188"/>
      <c r="H2068" s="188" t="str">
        <f>IF(J2068="Book","n/a","")</f>
        <v>n/a</v>
      </c>
      <c r="I2068" s="188">
        <v>256</v>
      </c>
      <c r="J2068" s="902" t="s">
        <v>6868</v>
      </c>
      <c r="K2068" s="162" t="s">
        <v>176</v>
      </c>
      <c r="L2068" s="162" t="str">
        <f>IF(J2068="Book","n/a","")</f>
        <v>n/a</v>
      </c>
      <c r="M2068" s="162"/>
      <c r="N2068" s="162"/>
      <c r="O2068" s="162"/>
      <c r="P2068" s="178" t="s">
        <v>8608</v>
      </c>
      <c r="Q2068" s="162" t="s">
        <v>601</v>
      </c>
      <c r="R2068" s="189" t="s">
        <v>2715</v>
      </c>
      <c r="S2068" s="366" t="s">
        <v>7312</v>
      </c>
      <c r="T2068" s="178"/>
      <c r="U2068" s="178"/>
      <c r="V2068" s="178"/>
      <c r="W2068" s="316" t="s">
        <v>232</v>
      </c>
      <c r="X2068" s="648" t="s">
        <v>2131</v>
      </c>
      <c r="Y2068" s="356"/>
      <c r="Z2068" s="272">
        <v>215</v>
      </c>
      <c r="AA2068" s="272">
        <v>3</v>
      </c>
      <c r="AB2068" s="34">
        <f t="shared" ca="1" si="43"/>
        <v>0.16346547923684274</v>
      </c>
      <c r="AC2068" s="814"/>
      <c r="AD2068" s="815" t="s">
        <v>16144</v>
      </c>
      <c r="AE2068" s="942"/>
      <c r="AF2068" s="923">
        <f>IF(X2068=X2067,AF2067,0)+IF(ISNUMBER(I2068),IF(I2068&lt;1,I2068,I2068*VLOOKUP(J2068,Summary!$H$2:$I$9,2)),VLOOKUP(J2068,Summary!$J$2:$K$9,2)*IF(ISNUMBER(H2068),H2068,1))</f>
        <v>0.56059027777777781</v>
      </c>
      <c r="AG2068" s="291">
        <v>2067</v>
      </c>
      <c r="AH2068" s="94"/>
      <c r="AI2068" s="94"/>
    </row>
    <row r="2069" spans="1:35" s="43" customFormat="1" ht="12" customHeight="1" x14ac:dyDescent="0.25">
      <c r="A2069" s="522">
        <v>23</v>
      </c>
      <c r="B2069" s="522">
        <v>6</v>
      </c>
      <c r="C2069" s="522">
        <v>20</v>
      </c>
      <c r="D2069" s="176" t="s">
        <v>870</v>
      </c>
      <c r="E2069" s="313" t="s">
        <v>842</v>
      </c>
      <c r="F2069" s="174">
        <v>36100</v>
      </c>
      <c r="G2069" s="175"/>
      <c r="H2069" s="176" t="s">
        <v>461</v>
      </c>
      <c r="I2069" s="176"/>
      <c r="J2069" s="900" t="s">
        <v>2755</v>
      </c>
      <c r="K2069" s="164" t="s">
        <v>176</v>
      </c>
      <c r="L2069" s="164"/>
      <c r="M2069" s="164"/>
      <c r="N2069" s="164" t="s">
        <v>819</v>
      </c>
      <c r="O2069" s="164"/>
      <c r="P2069" s="178" t="s">
        <v>461</v>
      </c>
      <c r="Q2069" s="164" t="s">
        <v>820</v>
      </c>
      <c r="R2069" s="177" t="s">
        <v>895</v>
      </c>
      <c r="S2069" s="354" t="s">
        <v>7312</v>
      </c>
      <c r="T2069" s="173"/>
      <c r="U2069" s="173"/>
      <c r="V2069" s="173"/>
      <c r="W2069" s="313" t="s">
        <v>842</v>
      </c>
      <c r="X2069" s="645" t="s">
        <v>2131</v>
      </c>
      <c r="Y2069" s="354"/>
      <c r="Z2069" s="176"/>
      <c r="AA2069" s="176"/>
      <c r="AB2069" s="32">
        <f t="shared" ca="1" si="43"/>
        <v>8.3949588126091657E-2</v>
      </c>
      <c r="AC2069" s="812"/>
      <c r="AD2069" s="763"/>
      <c r="AE2069" s="807"/>
      <c r="AF2069" s="921">
        <f>IF(X2069=X2068,AF2068,0)+IF(ISNUMBER(I2069),IF(I2069&lt;1,I2069,I2069*VLOOKUP(J2069,Summary!$H$2:$I$9,2)),VLOOKUP(J2069,Summary!$J$2:$K$9,2)*IF(ISNUMBER(H2069),H2069,1))</f>
        <v>0.57795138888888897</v>
      </c>
      <c r="AG2069" s="289">
        <v>2068</v>
      </c>
      <c r="AH2069" s="94"/>
      <c r="AI2069" s="94"/>
    </row>
    <row r="2070" spans="1:35" s="1" customFormat="1" ht="12" customHeight="1" x14ac:dyDescent="0.25">
      <c r="A2070" s="801">
        <v>23</v>
      </c>
      <c r="B2070" s="801">
        <v>6</v>
      </c>
      <c r="C2070" s="801"/>
      <c r="D2070" s="619"/>
      <c r="E2070" s="345" t="s">
        <v>15644</v>
      </c>
      <c r="F2070" s="802">
        <v>31048</v>
      </c>
      <c r="G2070" s="219"/>
      <c r="H2070" s="210" t="s">
        <v>461</v>
      </c>
      <c r="I2070" s="210"/>
      <c r="J2070" s="908" t="s">
        <v>3346</v>
      </c>
      <c r="K2070" s="166" t="s">
        <v>1624</v>
      </c>
      <c r="L2070" s="166"/>
      <c r="M2070" s="166"/>
      <c r="N2070" s="166"/>
      <c r="O2070" s="166"/>
      <c r="P2070" s="267" t="s">
        <v>461</v>
      </c>
      <c r="Q2070" s="166" t="s">
        <v>15645</v>
      </c>
      <c r="R2070" s="268" t="s">
        <v>15637</v>
      </c>
      <c r="S2070" s="386" t="s">
        <v>7312</v>
      </c>
      <c r="T2070" s="267"/>
      <c r="U2070" s="267"/>
      <c r="V2070" s="267"/>
      <c r="W2070" s="345" t="s">
        <v>15644</v>
      </c>
      <c r="X2070" s="680" t="s">
        <v>2131</v>
      </c>
      <c r="Y2070" s="384"/>
      <c r="Z2070" s="385"/>
      <c r="AA2070" s="385"/>
      <c r="AB2070" s="41">
        <f t="shared" ca="1" si="43"/>
        <v>0.22281021806711598</v>
      </c>
      <c r="AC2070" s="832"/>
      <c r="AD2070" s="833"/>
      <c r="AE2070" s="956"/>
      <c r="AF2070" s="929">
        <f>IF(X2070=X2069,AF2069,0)+IF(ISNUMBER(I2070),IF(I2070&lt;1,I2070,I2070*VLOOKUP(J2070,Summary!$H$2:$I$9,2)),VLOOKUP(J2070,Summary!$J$2:$K$9,2)*IF(ISNUMBER(H2070),H2070,1))</f>
        <v>0.6196180555555556</v>
      </c>
      <c r="AG2070" s="307">
        <v>2069</v>
      </c>
      <c r="AH2070" s="94"/>
      <c r="AI2070" s="94"/>
    </row>
    <row r="2071" spans="1:35" s="43" customFormat="1" ht="12" customHeight="1" x14ac:dyDescent="0.25">
      <c r="A2071" s="522">
        <v>23</v>
      </c>
      <c r="B2071" s="522">
        <v>6</v>
      </c>
      <c r="C2071" s="522">
        <v>21</v>
      </c>
      <c r="D2071" s="176" t="s">
        <v>871</v>
      </c>
      <c r="E2071" s="313" t="s">
        <v>843</v>
      </c>
      <c r="F2071" s="174">
        <v>36100</v>
      </c>
      <c r="G2071" s="175"/>
      <c r="H2071" s="176" t="s">
        <v>461</v>
      </c>
      <c r="I2071" s="176"/>
      <c r="J2071" s="900" t="s">
        <v>2755</v>
      </c>
      <c r="K2071" s="164" t="s">
        <v>902</v>
      </c>
      <c r="L2071" s="164"/>
      <c r="M2071" s="164"/>
      <c r="N2071" s="164" t="s">
        <v>819</v>
      </c>
      <c r="O2071" s="164"/>
      <c r="P2071" s="178" t="s">
        <v>461</v>
      </c>
      <c r="Q2071" s="164" t="s">
        <v>820</v>
      </c>
      <c r="R2071" s="177" t="s">
        <v>895</v>
      </c>
      <c r="S2071" s="354" t="s">
        <v>7312</v>
      </c>
      <c r="T2071" s="173"/>
      <c r="U2071" s="173"/>
      <c r="V2071" s="173"/>
      <c r="W2071" s="313" t="s">
        <v>843</v>
      </c>
      <c r="X2071" s="645" t="s">
        <v>2131</v>
      </c>
      <c r="Y2071" s="354"/>
      <c r="Z2071" s="176"/>
      <c r="AA2071" s="176"/>
      <c r="AB2071" s="32">
        <f t="shared" ca="1" si="43"/>
        <v>0.12786254287041998</v>
      </c>
      <c r="AC2071" s="812"/>
      <c r="AD2071" s="763"/>
      <c r="AE2071" s="807"/>
      <c r="AF2071" s="921">
        <f>IF(X2071=X2070,AF2070,0)+IF(ISNUMBER(I2071),IF(I2071&lt;1,I2071,I2071*VLOOKUP(J2071,Summary!$H$2:$I$9,2)),VLOOKUP(J2071,Summary!$J$2:$K$9,2)*IF(ISNUMBER(H2071),H2071,1))</f>
        <v>0.63697916666666676</v>
      </c>
      <c r="AG2071" s="289">
        <v>2070</v>
      </c>
      <c r="AH2071" s="94"/>
      <c r="AI2071" s="94"/>
    </row>
    <row r="2072" spans="1:35" s="43" customFormat="1" ht="12" customHeight="1" x14ac:dyDescent="0.25">
      <c r="A2072" s="527" t="s">
        <v>217</v>
      </c>
      <c r="B2072" s="527">
        <v>6</v>
      </c>
      <c r="C2072" s="527">
        <v>51</v>
      </c>
      <c r="D2072" s="407" t="s">
        <v>233</v>
      </c>
      <c r="E2072" s="315" t="s">
        <v>234</v>
      </c>
      <c r="F2072" s="169">
        <v>37926</v>
      </c>
      <c r="G2072" s="170"/>
      <c r="H2072" s="170">
        <v>4</v>
      </c>
      <c r="I2072" s="746">
        <f>TIME(2,14,16)</f>
        <v>9.3240740740740735E-2</v>
      </c>
      <c r="J2072" s="899" t="s">
        <v>4706</v>
      </c>
      <c r="K2072" s="167" t="s">
        <v>6244</v>
      </c>
      <c r="L2072" s="167" t="s">
        <v>7375</v>
      </c>
      <c r="M2072" s="167"/>
      <c r="N2072" s="167"/>
      <c r="O2072" s="167" t="s">
        <v>2909</v>
      </c>
      <c r="P2072" s="168"/>
      <c r="Q2072" s="167" t="s">
        <v>3947</v>
      </c>
      <c r="R2072" s="172" t="s">
        <v>3146</v>
      </c>
      <c r="S2072" s="388"/>
      <c r="T2072" s="168"/>
      <c r="U2072" s="168"/>
      <c r="V2072" s="168" t="s">
        <v>3535</v>
      </c>
      <c r="W2072" s="312" t="s">
        <v>9302</v>
      </c>
      <c r="X2072" s="644" t="s">
        <v>2131</v>
      </c>
      <c r="Y2072" s="352" t="s">
        <v>5398</v>
      </c>
      <c r="Z2072" s="353">
        <v>102</v>
      </c>
      <c r="AA2072" s="353">
        <v>7.5</v>
      </c>
      <c r="AB2072" s="31">
        <f t="shared" ca="1" si="43"/>
        <v>0.77028668637773612</v>
      </c>
      <c r="AC2072" s="810"/>
      <c r="AD2072" s="811" t="s">
        <v>16702</v>
      </c>
      <c r="AE2072" s="940" t="s">
        <v>3365</v>
      </c>
      <c r="AF2072" s="920">
        <f>IF(X2072=X2071,AF2071,0)+IF(ISNUMBER(I2072),IF(I2072&lt;1,I2072,I2072*VLOOKUP(J2072,Summary!$H$2:$I$9,2)),VLOOKUP(J2072,Summary!$J$2:$K$9,2)*IF(ISNUMBER(H2072),H2072,1))</f>
        <v>0.7302199074074075</v>
      </c>
      <c r="AG2072" s="287">
        <v>2071</v>
      </c>
      <c r="AH2072" s="94"/>
      <c r="AI2072" s="94"/>
    </row>
    <row r="2073" spans="1:35" s="1" customFormat="1" ht="12" customHeight="1" x14ac:dyDescent="0.25">
      <c r="A2073" s="801">
        <v>23</v>
      </c>
      <c r="B2073" s="801">
        <v>6</v>
      </c>
      <c r="C2073" s="801">
        <v>5</v>
      </c>
      <c r="D2073" s="619" t="s">
        <v>15575</v>
      </c>
      <c r="E2073" s="345" t="s">
        <v>15576</v>
      </c>
      <c r="F2073" s="800">
        <v>31686</v>
      </c>
      <c r="G2073" s="219"/>
      <c r="H2073" s="210" t="s">
        <v>461</v>
      </c>
      <c r="I2073" s="210">
        <v>128</v>
      </c>
      <c r="J2073" s="908" t="s">
        <v>15556</v>
      </c>
      <c r="K2073" s="166" t="s">
        <v>197</v>
      </c>
      <c r="L2073" s="166"/>
      <c r="M2073" s="166"/>
      <c r="N2073" s="166"/>
      <c r="O2073" s="166"/>
      <c r="P2073" s="267" t="s">
        <v>15577</v>
      </c>
      <c r="Q2073" s="166" t="s">
        <v>15562</v>
      </c>
      <c r="R2073" s="268" t="s">
        <v>15568</v>
      </c>
      <c r="S2073" s="386"/>
      <c r="T2073" s="267"/>
      <c r="U2073" s="267"/>
      <c r="V2073" s="267"/>
      <c r="W2073" s="345" t="s">
        <v>15576</v>
      </c>
      <c r="X2073" s="680" t="s">
        <v>2131</v>
      </c>
      <c r="Y2073" s="384"/>
      <c r="Z2073" s="385"/>
      <c r="AA2073" s="385"/>
      <c r="AB2073" s="41">
        <f t="shared" ca="1" si="43"/>
        <v>0.7388759018964538</v>
      </c>
      <c r="AC2073" s="832"/>
      <c r="AD2073" s="833"/>
      <c r="AE2073" s="956"/>
      <c r="AF2073" s="929">
        <f>IF(X2073=X2072,AF2072,0)+IF(ISNUMBER(I2073),IF(I2073&lt;1,I2073,I2073*VLOOKUP(J2073,Summary!$H$2:$I$9,2)),VLOOKUP(J2073,Summary!$J$2:$K$9,2)*IF(ISNUMBER(H2073),H2073,1))</f>
        <v>0.7746643518518519</v>
      </c>
      <c r="AG2073" s="307">
        <v>2072</v>
      </c>
      <c r="AH2073" s="94"/>
      <c r="AI2073" s="94"/>
    </row>
    <row r="2074" spans="1:35" s="43" customFormat="1" ht="12" customHeight="1" x14ac:dyDescent="0.25">
      <c r="A2074" s="522" t="s">
        <v>217</v>
      </c>
      <c r="B2074" s="522">
        <v>6</v>
      </c>
      <c r="C2074" s="528">
        <v>14.08</v>
      </c>
      <c r="D2074" s="434" t="s">
        <v>6655</v>
      </c>
      <c r="E2074" s="324" t="s">
        <v>5051</v>
      </c>
      <c r="F2074" s="174">
        <v>38322</v>
      </c>
      <c r="G2074" s="174"/>
      <c r="H2074" s="176">
        <v>1</v>
      </c>
      <c r="I2074" s="176">
        <v>16</v>
      </c>
      <c r="J2074" s="900" t="s">
        <v>2755</v>
      </c>
      <c r="K2074" s="164" t="s">
        <v>941</v>
      </c>
      <c r="L2074" s="164" t="s">
        <v>461</v>
      </c>
      <c r="M2074" s="164"/>
      <c r="N2074" s="164" t="s">
        <v>3807</v>
      </c>
      <c r="O2074" s="164"/>
      <c r="P2074" s="173" t="s">
        <v>6565</v>
      </c>
      <c r="Q2074" s="164" t="s">
        <v>3947</v>
      </c>
      <c r="R2074" s="179" t="s">
        <v>2723</v>
      </c>
      <c r="S2074" s="354"/>
      <c r="T2074" s="173"/>
      <c r="U2074" s="173"/>
      <c r="V2074" s="173"/>
      <c r="W2074" s="324" t="s">
        <v>5051</v>
      </c>
      <c r="X2074" s="656" t="s">
        <v>2131</v>
      </c>
      <c r="Y2074" s="363"/>
      <c r="Z2074" s="364"/>
      <c r="AA2074" s="364"/>
      <c r="AB2074" s="32">
        <f t="shared" ca="1" si="43"/>
        <v>0.58224774165194604</v>
      </c>
      <c r="AC2074" s="812"/>
      <c r="AD2074" s="763"/>
      <c r="AE2074" s="951"/>
      <c r="AF2074" s="921">
        <f>IF(X2074=X2073,AF2073,0)+IF(ISNUMBER(I2074),IF(I2074&lt;1,I2074,I2074*VLOOKUP(J2074,Summary!$H$2:$I$9,2)),VLOOKUP(J2074,Summary!$J$2:$K$9,2)*IF(ISNUMBER(H2074),H2074,1))</f>
        <v>0.78577546296296297</v>
      </c>
      <c r="AG2074" s="288">
        <v>2073</v>
      </c>
      <c r="AH2074" s="94"/>
      <c r="AI2074" s="94"/>
    </row>
    <row r="2075" spans="1:35" s="43" customFormat="1" ht="12" customHeight="1" x14ac:dyDescent="0.25">
      <c r="A2075" s="522" t="s">
        <v>217</v>
      </c>
      <c r="B2075" s="522">
        <v>6</v>
      </c>
      <c r="C2075" s="529">
        <v>1.075</v>
      </c>
      <c r="D2075" s="434" t="s">
        <v>6523</v>
      </c>
      <c r="E2075" s="324" t="s">
        <v>193</v>
      </c>
      <c r="F2075" s="176">
        <v>1994</v>
      </c>
      <c r="G2075" s="176"/>
      <c r="H2075" s="176">
        <v>1</v>
      </c>
      <c r="I2075" s="176">
        <v>19</v>
      </c>
      <c r="J2075" s="900" t="s">
        <v>2755</v>
      </c>
      <c r="K2075" s="164" t="s">
        <v>3519</v>
      </c>
      <c r="L2075" s="164" t="s">
        <v>461</v>
      </c>
      <c r="M2075" s="164"/>
      <c r="N2075" s="164" t="s">
        <v>7001</v>
      </c>
      <c r="O2075" s="164"/>
      <c r="P2075" s="173" t="s">
        <v>7002</v>
      </c>
      <c r="Q2075" s="164" t="s">
        <v>6548</v>
      </c>
      <c r="R2075" s="179" t="s">
        <v>4598</v>
      </c>
      <c r="S2075" s="354"/>
      <c r="T2075" s="173"/>
      <c r="U2075" s="173"/>
      <c r="V2075" s="173"/>
      <c r="W2075" s="324" t="s">
        <v>193</v>
      </c>
      <c r="X2075" s="656" t="s">
        <v>2131</v>
      </c>
      <c r="Y2075" s="354" t="s">
        <v>6868</v>
      </c>
      <c r="Z2075" s="176">
        <v>999</v>
      </c>
      <c r="AA2075" s="364"/>
      <c r="AB2075" s="32">
        <f t="shared" ca="1" si="43"/>
        <v>0.41164927008215357</v>
      </c>
      <c r="AC2075" s="812"/>
      <c r="AD2075" s="763"/>
      <c r="AE2075" s="951"/>
      <c r="AF2075" s="921">
        <f>IF(X2075=X2074,AF2074,0)+IF(ISNUMBER(I2075),IF(I2075&lt;1,I2075,I2075*VLOOKUP(J2075,Summary!$H$2:$I$9,2)),VLOOKUP(J2075,Summary!$J$2:$K$9,2)*IF(ISNUMBER(H2075),H2075,1))</f>
        <v>0.79896990740740736</v>
      </c>
      <c r="AG2075" s="288">
        <v>2074</v>
      </c>
      <c r="AH2075" s="94"/>
      <c r="AI2075" s="94"/>
    </row>
    <row r="2076" spans="1:35" s="43" customFormat="1" ht="12" customHeight="1" x14ac:dyDescent="0.25">
      <c r="A2076" s="524">
        <v>23</v>
      </c>
      <c r="B2076" s="524">
        <v>6</v>
      </c>
      <c r="C2076" s="530">
        <v>2.06</v>
      </c>
      <c r="D2076" s="192" t="s">
        <v>3856</v>
      </c>
      <c r="E2076" s="317" t="s">
        <v>1979</v>
      </c>
      <c r="F2076" s="209">
        <v>40602</v>
      </c>
      <c r="G2076" s="209"/>
      <c r="H2076" s="192">
        <v>1</v>
      </c>
      <c r="I2076" s="753">
        <f>TIME(0,13, 9)</f>
        <v>9.1319444444444443E-3</v>
      </c>
      <c r="J2076" s="903" t="s">
        <v>2755</v>
      </c>
      <c r="K2076" s="194" t="s">
        <v>1982</v>
      </c>
      <c r="L2076" s="194" t="s">
        <v>3426</v>
      </c>
      <c r="M2076" s="194" t="s">
        <v>1986</v>
      </c>
      <c r="N2076" s="194"/>
      <c r="O2076" s="194"/>
      <c r="P2076" s="190" t="s">
        <v>6698</v>
      </c>
      <c r="Q2076" s="194" t="s">
        <v>3947</v>
      </c>
      <c r="R2076" s="193" t="s">
        <v>2722</v>
      </c>
      <c r="S2076" s="357"/>
      <c r="T2076" s="190"/>
      <c r="U2076" s="190"/>
      <c r="V2076" s="190"/>
      <c r="W2076" s="317" t="s">
        <v>1979</v>
      </c>
      <c r="X2076" s="649" t="s">
        <v>2131</v>
      </c>
      <c r="Y2076" s="357" t="s">
        <v>5643</v>
      </c>
      <c r="Z2076" s="192">
        <v>999</v>
      </c>
      <c r="AA2076" s="192"/>
      <c r="AB2076" s="37">
        <f t="shared" ca="1" si="43"/>
        <v>0.78034016549295193</v>
      </c>
      <c r="AC2076" s="816"/>
      <c r="AD2076" s="817"/>
      <c r="AE2076" s="943"/>
      <c r="AF2076" s="924">
        <f>IF(X2076=X2075,AF2075,0)+IF(ISNUMBER(I2076),IF(I2076&lt;1,I2076,I2076*VLOOKUP(J2076,Summary!$H$2:$I$9,2)),VLOOKUP(J2076,Summary!$J$2:$K$9,2)*IF(ISNUMBER(H2076),H2076,1))</f>
        <v>0.80810185185185179</v>
      </c>
      <c r="AG2076" s="292">
        <v>2075</v>
      </c>
      <c r="AH2076" s="94"/>
      <c r="AI2076" s="94"/>
    </row>
    <row r="2077" spans="1:35" s="43" customFormat="1" ht="12" customHeight="1" x14ac:dyDescent="0.25">
      <c r="A2077" s="524" t="s">
        <v>217</v>
      </c>
      <c r="B2077" s="524">
        <v>6</v>
      </c>
      <c r="C2077" s="530">
        <v>1.1299999999999999</v>
      </c>
      <c r="D2077" s="463" t="s">
        <v>6663</v>
      </c>
      <c r="E2077" s="330" t="s">
        <v>5058</v>
      </c>
      <c r="F2077" s="191">
        <v>35855</v>
      </c>
      <c r="G2077" s="191"/>
      <c r="H2077" s="192">
        <v>1</v>
      </c>
      <c r="I2077" s="192">
        <v>24</v>
      </c>
      <c r="J2077" s="903" t="s">
        <v>2755</v>
      </c>
      <c r="K2077" s="194" t="s">
        <v>3522</v>
      </c>
      <c r="L2077" s="194" t="s">
        <v>461</v>
      </c>
      <c r="M2077" s="159" t="s">
        <v>12101</v>
      </c>
      <c r="N2077" s="194" t="s">
        <v>6237</v>
      </c>
      <c r="O2077" s="194"/>
      <c r="P2077" s="190" t="s">
        <v>5042</v>
      </c>
      <c r="Q2077" s="194" t="s">
        <v>3953</v>
      </c>
      <c r="R2077" s="221" t="s">
        <v>2723</v>
      </c>
      <c r="S2077" s="357"/>
      <c r="T2077" s="190"/>
      <c r="U2077" s="190"/>
      <c r="V2077" s="190"/>
      <c r="W2077" s="330" t="s">
        <v>5058</v>
      </c>
      <c r="X2077" s="662" t="s">
        <v>2131</v>
      </c>
      <c r="Y2077" s="357" t="s">
        <v>6868</v>
      </c>
      <c r="Z2077" s="192">
        <v>999</v>
      </c>
      <c r="AA2077" s="367"/>
      <c r="AB2077" s="37">
        <f t="shared" ca="1" si="43"/>
        <v>0.96562952118789935</v>
      </c>
      <c r="AC2077" s="816"/>
      <c r="AD2077" s="817"/>
      <c r="AE2077" s="955"/>
      <c r="AF2077" s="924">
        <f>IF(X2077=X2076,AF2076,0)+IF(ISNUMBER(I2077),IF(I2077&lt;1,I2077,I2077*VLOOKUP(J2077,Summary!$H$2:$I$9,2)),VLOOKUP(J2077,Summary!$J$2:$K$9,2)*IF(ISNUMBER(H2077),H2077,1))</f>
        <v>0.82476851851851851</v>
      </c>
      <c r="AG2077" s="298">
        <v>2076</v>
      </c>
      <c r="AH2077" s="94"/>
      <c r="AI2077" s="94"/>
    </row>
    <row r="2078" spans="1:35" s="43" customFormat="1" ht="12" customHeight="1" x14ac:dyDescent="0.25">
      <c r="A2078" s="527" t="s">
        <v>217</v>
      </c>
      <c r="B2078" s="527">
        <v>6</v>
      </c>
      <c r="C2078" s="527">
        <v>2</v>
      </c>
      <c r="D2078" s="407" t="s">
        <v>738</v>
      </c>
      <c r="E2078" s="315" t="s">
        <v>739</v>
      </c>
      <c r="F2078" s="169">
        <v>37257</v>
      </c>
      <c r="G2078" s="170"/>
      <c r="H2078" s="170">
        <v>1</v>
      </c>
      <c r="I2078" s="746">
        <f>TIME(0,34,16)</f>
        <v>2.3796296296296298E-2</v>
      </c>
      <c r="J2078" s="899" t="s">
        <v>4706</v>
      </c>
      <c r="K2078" s="167" t="s">
        <v>176</v>
      </c>
      <c r="L2078" s="167" t="s">
        <v>7375</v>
      </c>
      <c r="M2078" s="167"/>
      <c r="N2078" s="167"/>
      <c r="O2078" s="167" t="s">
        <v>2909</v>
      </c>
      <c r="P2078" s="168" t="s">
        <v>461</v>
      </c>
      <c r="Q2078" s="167" t="s">
        <v>3947</v>
      </c>
      <c r="R2078" s="172" t="s">
        <v>4315</v>
      </c>
      <c r="S2078" s="388"/>
      <c r="T2078" s="168"/>
      <c r="U2078" s="168"/>
      <c r="V2078" s="168"/>
      <c r="W2078" s="312" t="s">
        <v>739</v>
      </c>
      <c r="X2078" s="644" t="s">
        <v>2131</v>
      </c>
      <c r="Y2078" s="352" t="s">
        <v>5643</v>
      </c>
      <c r="Z2078" s="353">
        <v>605</v>
      </c>
      <c r="AA2078" s="353">
        <v>3.5</v>
      </c>
      <c r="AB2078" s="40">
        <f t="shared" ca="1" si="43"/>
        <v>0.74021804202661423</v>
      </c>
      <c r="AC2078" s="810"/>
      <c r="AD2078" s="811" t="s">
        <v>15829</v>
      </c>
      <c r="AE2078" s="940" t="s">
        <v>12543</v>
      </c>
      <c r="AF2078" s="920">
        <f>IF(X2078=X2077,AF2077,0)+IF(ISNUMBER(I2078),IF(I2078&lt;1,I2078,I2078*VLOOKUP(J2078,Summary!$H$2:$I$9,2)),VLOOKUP(J2078,Summary!$J$2:$K$9,2)*IF(ISNUMBER(H2078),H2078,1))</f>
        <v>0.84856481481481483</v>
      </c>
      <c r="AG2078" s="287">
        <v>2077</v>
      </c>
      <c r="AH2078" s="94"/>
      <c r="AI2078" s="94"/>
    </row>
    <row r="2079" spans="1:35" s="43" customFormat="1" ht="12" customHeight="1" x14ac:dyDescent="0.25">
      <c r="A2079" s="527" t="s">
        <v>217</v>
      </c>
      <c r="B2079" s="527">
        <v>6</v>
      </c>
      <c r="C2079" s="527">
        <v>2</v>
      </c>
      <c r="D2079" s="407" t="s">
        <v>235</v>
      </c>
      <c r="E2079" s="315" t="s">
        <v>236</v>
      </c>
      <c r="F2079" s="196">
        <v>37354</v>
      </c>
      <c r="G2079" s="170"/>
      <c r="H2079" s="170">
        <v>1</v>
      </c>
      <c r="I2079" s="746">
        <f>TIME(0,67,36)</f>
        <v>4.6944444444444434E-2</v>
      </c>
      <c r="J2079" s="899" t="s">
        <v>4706</v>
      </c>
      <c r="K2079" s="167" t="s">
        <v>6234</v>
      </c>
      <c r="L2079" s="167" t="s">
        <v>6245</v>
      </c>
      <c r="M2079" s="167"/>
      <c r="N2079" s="167"/>
      <c r="O2079" s="167" t="s">
        <v>2909</v>
      </c>
      <c r="P2079" s="168" t="s">
        <v>9129</v>
      </c>
      <c r="Q2079" s="167" t="s">
        <v>3947</v>
      </c>
      <c r="R2079" s="172" t="s">
        <v>2239</v>
      </c>
      <c r="S2079" s="388"/>
      <c r="T2079" s="168"/>
      <c r="U2079" s="168"/>
      <c r="V2079" s="168"/>
      <c r="W2079" s="315" t="s">
        <v>236</v>
      </c>
      <c r="X2079" s="647" t="s">
        <v>2131</v>
      </c>
      <c r="Y2079" s="352" t="s">
        <v>5398</v>
      </c>
      <c r="Z2079" s="353">
        <v>461</v>
      </c>
      <c r="AA2079" s="353">
        <v>4.5</v>
      </c>
      <c r="AB2079" s="31">
        <f t="shared" ca="1" si="43"/>
        <v>0.25574171088249908</v>
      </c>
      <c r="AC2079" s="810"/>
      <c r="AD2079" s="811" t="s">
        <v>15834</v>
      </c>
      <c r="AE2079" s="940" t="s">
        <v>12543</v>
      </c>
      <c r="AF2079" s="920">
        <f>IF(X2079=X2078,AF2078,0)+IF(ISNUMBER(I2079),IF(I2079&lt;1,I2079,I2079*VLOOKUP(J2079,Summary!$H$2:$I$9,2)),VLOOKUP(J2079,Summary!$J$2:$K$9,2)*IF(ISNUMBER(H2079),H2079,1))</f>
        <v>0.89550925925925928</v>
      </c>
      <c r="AG2079" s="287">
        <v>2078</v>
      </c>
      <c r="AH2079" s="94"/>
      <c r="AI2079" s="94"/>
    </row>
    <row r="2080" spans="1:35" s="1" customFormat="1" ht="12" customHeight="1" x14ac:dyDescent="0.25">
      <c r="A2080" s="527" t="s">
        <v>217</v>
      </c>
      <c r="B2080" s="527">
        <v>6</v>
      </c>
      <c r="C2080" s="527">
        <v>4</v>
      </c>
      <c r="D2080" s="407" t="s">
        <v>15368</v>
      </c>
      <c r="E2080" s="315" t="s">
        <v>15369</v>
      </c>
      <c r="F2080" s="196">
        <v>43349</v>
      </c>
      <c r="G2080" s="170"/>
      <c r="H2080" s="170">
        <v>1</v>
      </c>
      <c r="I2080" s="746">
        <f>TIME(0,70,0)</f>
        <v>4.8611111111111112E-2</v>
      </c>
      <c r="J2080" s="899" t="s">
        <v>4706</v>
      </c>
      <c r="K2080" s="167" t="s">
        <v>543</v>
      </c>
      <c r="L2080" s="167" t="s">
        <v>2503</v>
      </c>
      <c r="M2080" s="167" t="s">
        <v>1986</v>
      </c>
      <c r="N2080" s="167"/>
      <c r="O2080" s="167"/>
      <c r="P2080" s="168" t="s">
        <v>15370</v>
      </c>
      <c r="Q2080" s="167" t="s">
        <v>3950</v>
      </c>
      <c r="R2080" s="172" t="s">
        <v>12703</v>
      </c>
      <c r="S2080" s="388"/>
      <c r="T2080" s="168"/>
      <c r="U2080" s="168"/>
      <c r="V2080" s="168"/>
      <c r="W2080" s="315" t="s">
        <v>15369</v>
      </c>
      <c r="X2080" s="647" t="s">
        <v>2131</v>
      </c>
      <c r="Y2080" s="352"/>
      <c r="Z2080" s="353"/>
      <c r="AA2080" s="353"/>
      <c r="AB2080" s="31">
        <f t="shared" ca="1" si="43"/>
        <v>0.9941164323469498</v>
      </c>
      <c r="AC2080" s="810"/>
      <c r="AD2080" s="811" t="s">
        <v>15371</v>
      </c>
      <c r="AE2080" s="940"/>
      <c r="AF2080" s="920">
        <f>IF(X2080=X2079,AF2079,0)+IF(ISNUMBER(I2080),IF(I2080&lt;1,I2080,I2080*VLOOKUP(J2080,Summary!$H$2:$I$9,2)),VLOOKUP(J2080,Summary!$J$2:$K$9,2)*IF(ISNUMBER(H2080),H2080,1))</f>
        <v>0.94412037037037044</v>
      </c>
      <c r="AG2080" s="287">
        <v>2079</v>
      </c>
      <c r="AH2080" s="94"/>
      <c r="AI2080" s="94"/>
    </row>
    <row r="2081" spans="1:35" s="6" customFormat="1" ht="12" customHeight="1" x14ac:dyDescent="0.25">
      <c r="A2081" s="522" t="s">
        <v>217</v>
      </c>
      <c r="B2081" s="522">
        <v>6</v>
      </c>
      <c r="C2081" s="528">
        <v>6.12</v>
      </c>
      <c r="D2081" s="434" t="s">
        <v>6664</v>
      </c>
      <c r="E2081" s="324" t="s">
        <v>5059</v>
      </c>
      <c r="F2081" s="174">
        <v>37773</v>
      </c>
      <c r="G2081" s="174"/>
      <c r="H2081" s="176">
        <v>1</v>
      </c>
      <c r="I2081" s="176">
        <v>19</v>
      </c>
      <c r="J2081" s="900" t="s">
        <v>2755</v>
      </c>
      <c r="K2081" s="164" t="s">
        <v>941</v>
      </c>
      <c r="L2081" s="164" t="s">
        <v>461</v>
      </c>
      <c r="M2081" s="164"/>
      <c r="N2081" s="164" t="s">
        <v>4996</v>
      </c>
      <c r="O2081" s="164"/>
      <c r="P2081" s="173" t="s">
        <v>4997</v>
      </c>
      <c r="Q2081" s="164" t="s">
        <v>3947</v>
      </c>
      <c r="R2081" s="179" t="s">
        <v>2723</v>
      </c>
      <c r="S2081" s="354"/>
      <c r="T2081" s="173"/>
      <c r="U2081" s="173"/>
      <c r="V2081" s="173"/>
      <c r="W2081" s="324" t="s">
        <v>5059</v>
      </c>
      <c r="X2081" s="656" t="s">
        <v>2131</v>
      </c>
      <c r="Y2081" s="363"/>
      <c r="Z2081" s="364">
        <v>999</v>
      </c>
      <c r="AA2081" s="364"/>
      <c r="AB2081" s="32">
        <f t="shared" ca="1" si="43"/>
        <v>0.86405489579915062</v>
      </c>
      <c r="AC2081" s="812"/>
      <c r="AD2081" s="763"/>
      <c r="AE2081" s="951"/>
      <c r="AF2081" s="921">
        <f>IF(X2081=X2080,AF2080,0)+IF(ISNUMBER(I2081),IF(I2081&lt;1,I2081,I2081*VLOOKUP(J2081,Summary!$H$2:$I$9,2)),VLOOKUP(J2081,Summary!$J$2:$K$9,2)*IF(ISNUMBER(H2081),H2081,1))</f>
        <v>0.95731481481481484</v>
      </c>
      <c r="AG2081" s="288">
        <v>2080</v>
      </c>
      <c r="AH2081" s="94"/>
      <c r="AI2081" s="94"/>
    </row>
    <row r="2082" spans="1:35" s="3" customFormat="1" ht="12" customHeight="1" x14ac:dyDescent="0.25">
      <c r="A2082" s="524">
        <v>23</v>
      </c>
      <c r="B2082" s="524">
        <v>6</v>
      </c>
      <c r="C2082" s="524">
        <v>6</v>
      </c>
      <c r="D2082" s="192" t="s">
        <v>12636</v>
      </c>
      <c r="E2082" s="317" t="s">
        <v>12637</v>
      </c>
      <c r="F2082" s="209">
        <v>42985</v>
      </c>
      <c r="G2082" s="192"/>
      <c r="H2082" s="192" t="s">
        <v>461</v>
      </c>
      <c r="I2082" s="192"/>
      <c r="J2082" s="903" t="s">
        <v>2755</v>
      </c>
      <c r="K2082" s="194" t="s">
        <v>4552</v>
      </c>
      <c r="L2082" s="194" t="s">
        <v>12629</v>
      </c>
      <c r="M2082" s="194" t="s">
        <v>12630</v>
      </c>
      <c r="N2082" s="194"/>
      <c r="O2082" s="194"/>
      <c r="P2082" s="190" t="s">
        <v>12632</v>
      </c>
      <c r="Q2082" s="194" t="s">
        <v>3954</v>
      </c>
      <c r="R2082" s="193" t="s">
        <v>12631</v>
      </c>
      <c r="S2082" s="357"/>
      <c r="T2082" s="190"/>
      <c r="U2082" s="190"/>
      <c r="V2082" s="190"/>
      <c r="W2082" s="317" t="s">
        <v>12637</v>
      </c>
      <c r="X2082" s="662" t="s">
        <v>2131</v>
      </c>
      <c r="Y2082" s="357"/>
      <c r="Z2082" s="192"/>
      <c r="AA2082" s="192"/>
      <c r="AB2082" s="37">
        <f t="shared" ca="1" si="43"/>
        <v>0.36624931216783063</v>
      </c>
      <c r="AC2082" s="816"/>
      <c r="AD2082" s="817"/>
      <c r="AE2082" s="943"/>
      <c r="AF2082" s="924">
        <f>IF(X2082=X2081,AF2081,0)+IF(ISNUMBER(I2082),IF(I2082&lt;1,I2082,I2082*VLOOKUP(J2082,Summary!$H$2:$I$9,2)),VLOOKUP(J2082,Summary!$J$2:$K$9,2)*IF(ISNUMBER(H2082),H2082,1))</f>
        <v>0.974675925925926</v>
      </c>
      <c r="AG2082" s="292">
        <v>2081</v>
      </c>
      <c r="AH2082" s="94"/>
      <c r="AI2082" s="94"/>
    </row>
    <row r="2083" spans="1:35" s="3" customFormat="1" ht="12" customHeight="1" x14ac:dyDescent="0.25">
      <c r="A2083" s="527" t="s">
        <v>217</v>
      </c>
      <c r="B2083" s="527">
        <v>6</v>
      </c>
      <c r="C2083" s="527">
        <v>3</v>
      </c>
      <c r="D2083" s="407" t="s">
        <v>740</v>
      </c>
      <c r="E2083" s="315" t="s">
        <v>741</v>
      </c>
      <c r="F2083" s="169">
        <v>38322</v>
      </c>
      <c r="G2083" s="170"/>
      <c r="H2083" s="170">
        <v>2</v>
      </c>
      <c r="I2083" s="746">
        <f>TIME(0,73,55)</f>
        <v>5.1331018518518519E-2</v>
      </c>
      <c r="J2083" s="899" t="s">
        <v>4706</v>
      </c>
      <c r="K2083" s="167" t="s">
        <v>6246</v>
      </c>
      <c r="L2083" s="167" t="s">
        <v>7375</v>
      </c>
      <c r="M2083" s="167"/>
      <c r="N2083" s="167"/>
      <c r="O2083" s="167" t="s">
        <v>2909</v>
      </c>
      <c r="P2083" s="168" t="s">
        <v>8632</v>
      </c>
      <c r="Q2083" s="167" t="s">
        <v>3947</v>
      </c>
      <c r="R2083" s="172" t="s">
        <v>576</v>
      </c>
      <c r="S2083" s="388" t="s">
        <v>2319</v>
      </c>
      <c r="T2083" s="168"/>
      <c r="U2083" s="168"/>
      <c r="V2083" s="168"/>
      <c r="W2083" s="312" t="s">
        <v>11421</v>
      </c>
      <c r="X2083" s="644" t="s">
        <v>2131</v>
      </c>
      <c r="Y2083" s="352" t="s">
        <v>5398</v>
      </c>
      <c r="Z2083" s="353">
        <v>647</v>
      </c>
      <c r="AA2083" s="353">
        <v>3</v>
      </c>
      <c r="AB2083" s="40">
        <f t="shared" ca="1" si="43"/>
        <v>0.72183701142413026</v>
      </c>
      <c r="AC2083" s="810"/>
      <c r="AD2083" s="811"/>
      <c r="AE2083" s="940"/>
      <c r="AF2083" s="920">
        <f>IF(X2083=X2082,AF2082,0)+IF(ISNUMBER(I2083),IF(I2083&lt;1,I2083,I2083*VLOOKUP(J2083,Summary!$H$2:$I$9,2)),VLOOKUP(J2083,Summary!$J$2:$K$9,2)*IF(ISNUMBER(H2083),H2083,1))</f>
        <v>1.0260069444444446</v>
      </c>
      <c r="AG2083" s="287">
        <v>2082</v>
      </c>
      <c r="AH2083" s="94"/>
      <c r="AI2083" s="94"/>
    </row>
    <row r="2084" spans="1:35" s="6" customFormat="1" ht="12" customHeight="1" x14ac:dyDescent="0.25">
      <c r="A2084" s="527" t="s">
        <v>217</v>
      </c>
      <c r="B2084" s="527">
        <v>6</v>
      </c>
      <c r="C2084" s="527">
        <v>94.1</v>
      </c>
      <c r="D2084" s="407" t="s">
        <v>742</v>
      </c>
      <c r="E2084" s="315" t="s">
        <v>743</v>
      </c>
      <c r="F2084" s="169">
        <v>39173</v>
      </c>
      <c r="G2084" s="170"/>
      <c r="H2084" s="170">
        <v>3</v>
      </c>
      <c r="I2084" s="746">
        <f>TIME(1,31,11)</f>
        <v>6.3321759259259258E-2</v>
      </c>
      <c r="J2084" s="899" t="s">
        <v>4706</v>
      </c>
      <c r="K2084" s="167" t="s">
        <v>6353</v>
      </c>
      <c r="L2084" s="167" t="s">
        <v>6231</v>
      </c>
      <c r="M2084" s="167"/>
      <c r="N2084" s="167"/>
      <c r="O2084" s="167" t="s">
        <v>6247</v>
      </c>
      <c r="P2084" s="168"/>
      <c r="Q2084" s="167" t="s">
        <v>3947</v>
      </c>
      <c r="R2084" s="172" t="s">
        <v>3146</v>
      </c>
      <c r="S2084" s="388"/>
      <c r="T2084" s="168"/>
      <c r="U2084" s="168"/>
      <c r="V2084" s="168"/>
      <c r="W2084" s="312" t="s">
        <v>9349</v>
      </c>
      <c r="X2084" s="644" t="s">
        <v>2131</v>
      </c>
      <c r="Y2084" s="352" t="s">
        <v>5398</v>
      </c>
      <c r="Z2084" s="353">
        <v>474</v>
      </c>
      <c r="AA2084" s="353">
        <v>4</v>
      </c>
      <c r="AB2084" s="40">
        <f t="shared" ca="1" si="43"/>
        <v>0.41888155429674878</v>
      </c>
      <c r="AC2084" s="810"/>
      <c r="AD2084" s="811" t="s">
        <v>16349</v>
      </c>
      <c r="AE2084" s="940" t="s">
        <v>12543</v>
      </c>
      <c r="AF2084" s="920">
        <f>IF(X2084=X2083,AF2083,0)+IF(ISNUMBER(I2084),IF(I2084&lt;1,I2084,I2084*VLOOKUP(J2084,Summary!$H$2:$I$9,2)),VLOOKUP(J2084,Summary!$J$2:$K$9,2)*IF(ISNUMBER(H2084),H2084,1))</f>
        <v>1.0893287037037038</v>
      </c>
      <c r="AG2084" s="287">
        <v>2083</v>
      </c>
      <c r="AH2084" s="94"/>
      <c r="AI2084" s="94"/>
    </row>
    <row r="2085" spans="1:35" s="6" customFormat="1" ht="12" customHeight="1" x14ac:dyDescent="0.25">
      <c r="A2085" s="522">
        <v>23</v>
      </c>
      <c r="B2085" s="522">
        <v>6</v>
      </c>
      <c r="C2085" s="522">
        <v>18.02</v>
      </c>
      <c r="D2085" s="434" t="s">
        <v>2737</v>
      </c>
      <c r="E2085" s="324" t="s">
        <v>2733</v>
      </c>
      <c r="F2085" s="174">
        <v>38687</v>
      </c>
      <c r="G2085" s="174"/>
      <c r="H2085" s="176">
        <v>1</v>
      </c>
      <c r="I2085" s="176">
        <v>8</v>
      </c>
      <c r="J2085" s="900" t="s">
        <v>2755</v>
      </c>
      <c r="K2085" s="164" t="s">
        <v>6874</v>
      </c>
      <c r="L2085" s="164" t="s">
        <v>461</v>
      </c>
      <c r="M2085" s="164"/>
      <c r="N2085" s="164" t="s">
        <v>5664</v>
      </c>
      <c r="O2085" s="164"/>
      <c r="P2085" s="173" t="s">
        <v>5000</v>
      </c>
      <c r="Q2085" s="164" t="s">
        <v>3947</v>
      </c>
      <c r="R2085" s="179" t="s">
        <v>2723</v>
      </c>
      <c r="S2085" s="354"/>
      <c r="T2085" s="173"/>
      <c r="U2085" s="173"/>
      <c r="V2085" s="173"/>
      <c r="W2085" s="324" t="s">
        <v>2733</v>
      </c>
      <c r="X2085" s="656" t="s">
        <v>2131</v>
      </c>
      <c r="Y2085" s="363"/>
      <c r="Z2085" s="364"/>
      <c r="AA2085" s="364"/>
      <c r="AB2085" s="32">
        <f t="shared" ca="1" si="43"/>
        <v>0.89908271998062583</v>
      </c>
      <c r="AC2085" s="812"/>
      <c r="AD2085" s="763"/>
      <c r="AE2085" s="951"/>
      <c r="AF2085" s="921">
        <f>IF(X2085=X2084,AF2084,0)+IF(ISNUMBER(I2085),IF(I2085&lt;1,I2085,I2085*VLOOKUP(J2085,Summary!$H$2:$I$9,2)),VLOOKUP(J2085,Summary!$J$2:$K$9,2)*IF(ISNUMBER(H2085),H2085,1))</f>
        <v>1.0948842592592594</v>
      </c>
      <c r="AG2085" s="288">
        <v>2084</v>
      </c>
      <c r="AH2085" s="94"/>
      <c r="AI2085" s="94"/>
    </row>
    <row r="2086" spans="1:35" s="6" customFormat="1" ht="12" customHeight="1" x14ac:dyDescent="0.25">
      <c r="A2086" s="527" t="s">
        <v>217</v>
      </c>
      <c r="B2086" s="527">
        <v>6</v>
      </c>
      <c r="C2086" s="527">
        <v>94.2</v>
      </c>
      <c r="D2086" s="407" t="s">
        <v>744</v>
      </c>
      <c r="E2086" s="315" t="s">
        <v>745</v>
      </c>
      <c r="F2086" s="169">
        <v>39173</v>
      </c>
      <c r="G2086" s="170"/>
      <c r="H2086" s="170">
        <v>1</v>
      </c>
      <c r="I2086" s="746">
        <f>TIME(0,33,49)</f>
        <v>2.3483796296296298E-2</v>
      </c>
      <c r="J2086" s="899" t="s">
        <v>4706</v>
      </c>
      <c r="K2086" s="167" t="s">
        <v>6353</v>
      </c>
      <c r="L2086" s="167" t="s">
        <v>6231</v>
      </c>
      <c r="M2086" s="167"/>
      <c r="N2086" s="167"/>
      <c r="O2086" s="167" t="s">
        <v>6247</v>
      </c>
      <c r="P2086" s="168" t="s">
        <v>2001</v>
      </c>
      <c r="Q2086" s="167" t="s">
        <v>3947</v>
      </c>
      <c r="R2086" s="172" t="s">
        <v>3146</v>
      </c>
      <c r="S2086" s="388"/>
      <c r="T2086" s="168"/>
      <c r="U2086" s="168"/>
      <c r="V2086" s="168"/>
      <c r="W2086" s="315" t="s">
        <v>745</v>
      </c>
      <c r="X2086" s="647" t="s">
        <v>2131</v>
      </c>
      <c r="Y2086" s="352" t="s">
        <v>2798</v>
      </c>
      <c r="Z2086" s="353">
        <v>16</v>
      </c>
      <c r="AA2086" s="353">
        <v>9.5</v>
      </c>
      <c r="AB2086" s="40">
        <f t="shared" ca="1" si="43"/>
        <v>0.24054721789737787</v>
      </c>
      <c r="AC2086" s="810"/>
      <c r="AD2086" s="811" t="s">
        <v>16001</v>
      </c>
      <c r="AE2086" s="948"/>
      <c r="AF2086" s="920">
        <f>IF(X2086=X2085,AF2085,0)+IF(ISNUMBER(I2086),IF(I2086&lt;1,I2086,I2086*VLOOKUP(J2086,Summary!$H$2:$I$9,2)),VLOOKUP(J2086,Summary!$J$2:$K$9,2)*IF(ISNUMBER(H2086),H2086,1))</f>
        <v>1.1183680555555557</v>
      </c>
      <c r="AG2086" s="287">
        <v>2085</v>
      </c>
      <c r="AH2086" s="94"/>
      <c r="AI2086" s="94"/>
    </row>
    <row r="2087" spans="1:35" s="6" customFormat="1" ht="12" customHeight="1" x14ac:dyDescent="0.25">
      <c r="A2087" s="527">
        <v>23</v>
      </c>
      <c r="B2087" s="527">
        <v>6</v>
      </c>
      <c r="C2087" s="527">
        <v>212</v>
      </c>
      <c r="D2087" s="407"/>
      <c r="E2087" s="315" t="s">
        <v>10272</v>
      </c>
      <c r="F2087" s="196">
        <v>42499</v>
      </c>
      <c r="G2087" s="170"/>
      <c r="H2087" s="170">
        <v>4</v>
      </c>
      <c r="I2087" s="746">
        <f>TIME(1,53,17)</f>
        <v>7.8668981481481479E-2</v>
      </c>
      <c r="J2087" s="899" t="s">
        <v>4706</v>
      </c>
      <c r="K2087" s="167" t="s">
        <v>543</v>
      </c>
      <c r="L2087" s="167" t="s">
        <v>10304</v>
      </c>
      <c r="M2087" s="167"/>
      <c r="N2087" s="167"/>
      <c r="O2087" s="167"/>
      <c r="P2087" s="168" t="s">
        <v>10310</v>
      </c>
      <c r="Q2087" s="167" t="s">
        <v>3947</v>
      </c>
      <c r="R2087" s="172" t="s">
        <v>3146</v>
      </c>
      <c r="S2087" s="388"/>
      <c r="T2087" s="168"/>
      <c r="U2087" s="168"/>
      <c r="V2087" s="168"/>
      <c r="W2087" s="312" t="s">
        <v>12069</v>
      </c>
      <c r="X2087" s="644" t="s">
        <v>2131</v>
      </c>
      <c r="Y2087" s="352" t="s">
        <v>5643</v>
      </c>
      <c r="Z2087" s="353">
        <v>359</v>
      </c>
      <c r="AA2087" s="353">
        <v>5</v>
      </c>
      <c r="AB2087" s="40">
        <f t="shared" ca="1" si="43"/>
        <v>0.64365574507712875</v>
      </c>
      <c r="AC2087" s="810"/>
      <c r="AD2087" s="811"/>
      <c r="AE2087" s="940"/>
      <c r="AF2087" s="920">
        <f>IF(X2087=X2086,AF2086,0)+IF(ISNUMBER(I2087),IF(I2087&lt;1,I2087,I2087*VLOOKUP(J2087,Summary!$H$2:$I$9,2)),VLOOKUP(J2087,Summary!$J$2:$K$9,2)*IF(ISNUMBER(H2087),H2087,1))</f>
        <v>1.1970370370370371</v>
      </c>
      <c r="AG2087" s="287">
        <v>2086</v>
      </c>
      <c r="AH2087" s="94"/>
      <c r="AI2087" s="94"/>
    </row>
    <row r="2088" spans="1:35" s="29" customFormat="1" ht="12" customHeight="1" x14ac:dyDescent="0.25">
      <c r="A2088" s="527">
        <v>23</v>
      </c>
      <c r="B2088" s="527">
        <v>6</v>
      </c>
      <c r="C2088" s="527">
        <v>5.07</v>
      </c>
      <c r="D2088" s="407" t="s">
        <v>721</v>
      </c>
      <c r="E2088" s="315" t="s">
        <v>3283</v>
      </c>
      <c r="F2088" s="169">
        <v>40544</v>
      </c>
      <c r="G2088" s="170"/>
      <c r="H2088" s="170">
        <v>4</v>
      </c>
      <c r="I2088" s="746">
        <f>TIME(2,21,45)</f>
        <v>9.8437499999999997E-2</v>
      </c>
      <c r="J2088" s="899" t="s">
        <v>4706</v>
      </c>
      <c r="K2088" s="167" t="s">
        <v>3284</v>
      </c>
      <c r="L2088" s="167" t="s">
        <v>6231</v>
      </c>
      <c r="M2088" s="167" t="s">
        <v>8058</v>
      </c>
      <c r="N2088" s="167"/>
      <c r="O2088" s="167"/>
      <c r="P2088" s="168" t="s">
        <v>9196</v>
      </c>
      <c r="Q2088" s="167" t="s">
        <v>3947</v>
      </c>
      <c r="R2088" s="172" t="s">
        <v>3153</v>
      </c>
      <c r="S2088" s="388" t="s">
        <v>2319</v>
      </c>
      <c r="T2088" s="168"/>
      <c r="U2088" s="168"/>
      <c r="V2088" s="168"/>
      <c r="W2088" s="312" t="s">
        <v>10314</v>
      </c>
      <c r="X2088" s="644" t="s">
        <v>2131</v>
      </c>
      <c r="Y2088" s="352" t="s">
        <v>5643</v>
      </c>
      <c r="Z2088" s="353">
        <v>17</v>
      </c>
      <c r="AA2088" s="353">
        <v>9.5</v>
      </c>
      <c r="AB2088" s="40">
        <f t="shared" ca="1" si="43"/>
        <v>0.60092820402932567</v>
      </c>
      <c r="AC2088" s="810"/>
      <c r="AD2088" s="825" t="s">
        <v>14585</v>
      </c>
      <c r="AE2088" s="940"/>
      <c r="AF2088" s="920">
        <f>IF(X2088=X2087,AF2087,0)+IF(ISNUMBER(I2088),IF(I2088&lt;1,I2088,I2088*VLOOKUP(J2088,Summary!$H$2:$I$9,2)),VLOOKUP(J2088,Summary!$J$2:$K$9,2)*IF(ISNUMBER(H2088),H2088,1))</f>
        <v>1.2954745370370371</v>
      </c>
      <c r="AG2088" s="287">
        <v>2087</v>
      </c>
      <c r="AH2088" s="94"/>
      <c r="AI2088" s="94"/>
    </row>
    <row r="2089" spans="1:35" s="1" customFormat="1" ht="12" customHeight="1" x14ac:dyDescent="0.25">
      <c r="A2089" s="527">
        <v>23</v>
      </c>
      <c r="B2089" s="527">
        <v>6</v>
      </c>
      <c r="C2089" s="527">
        <v>166</v>
      </c>
      <c r="D2089" s="407" t="s">
        <v>2000</v>
      </c>
      <c r="E2089" s="315" t="s">
        <v>1999</v>
      </c>
      <c r="F2089" s="169">
        <v>41183</v>
      </c>
      <c r="G2089" s="170"/>
      <c r="H2089" s="170">
        <v>4</v>
      </c>
      <c r="I2089" s="746">
        <f>TIME(2,16,50)</f>
        <v>9.5023148148148148E-2</v>
      </c>
      <c r="J2089" s="899" t="s">
        <v>4706</v>
      </c>
      <c r="K2089" s="167" t="s">
        <v>4331</v>
      </c>
      <c r="L2089" s="167" t="s">
        <v>2313</v>
      </c>
      <c r="M2089" s="167"/>
      <c r="N2089" s="167"/>
      <c r="O2089" s="167" t="s">
        <v>2500</v>
      </c>
      <c r="P2089" s="168" t="s">
        <v>2002</v>
      </c>
      <c r="Q2089" s="167" t="s">
        <v>3947</v>
      </c>
      <c r="R2089" s="172" t="s">
        <v>3146</v>
      </c>
      <c r="S2089" s="388"/>
      <c r="T2089" s="168"/>
      <c r="U2089" s="168"/>
      <c r="V2089" s="168"/>
      <c r="W2089" s="312" t="s">
        <v>11420</v>
      </c>
      <c r="X2089" s="644" t="s">
        <v>2131</v>
      </c>
      <c r="Y2089" s="352" t="s">
        <v>5643</v>
      </c>
      <c r="Z2089" s="353">
        <v>669</v>
      </c>
      <c r="AA2089" s="353">
        <v>2.5</v>
      </c>
      <c r="AB2089" s="31">
        <f t="shared" ca="1" si="43"/>
        <v>0.42424710298539037</v>
      </c>
      <c r="AC2089" s="810"/>
      <c r="AD2089" s="811"/>
      <c r="AE2089" s="940"/>
      <c r="AF2089" s="920">
        <f>IF(X2089=X2088,AF2088,0)+IF(ISNUMBER(I2089),IF(I2089&lt;1,I2089,I2089*VLOOKUP(J2089,Summary!$H$2:$I$9,2)),VLOOKUP(J2089,Summary!$J$2:$K$9,2)*IF(ISNUMBER(H2089),H2089,1))</f>
        <v>1.3904976851851851</v>
      </c>
      <c r="AG2089" s="287">
        <v>2088</v>
      </c>
      <c r="AH2089" s="94"/>
      <c r="AI2089" s="94"/>
    </row>
    <row r="2090" spans="1:35" s="43" customFormat="1" ht="12" customHeight="1" x14ac:dyDescent="0.25">
      <c r="A2090" s="527">
        <v>23</v>
      </c>
      <c r="B2090" s="527">
        <v>6</v>
      </c>
      <c r="C2090" s="527">
        <v>12</v>
      </c>
      <c r="D2090" s="407" t="s">
        <v>11118</v>
      </c>
      <c r="E2090" s="315" t="s">
        <v>8524</v>
      </c>
      <c r="F2090" s="169">
        <v>41609</v>
      </c>
      <c r="G2090" s="170"/>
      <c r="H2090" s="170">
        <v>1</v>
      </c>
      <c r="I2090" s="746">
        <f>TIME(0,66,42)</f>
        <v>4.6319444444444448E-2</v>
      </c>
      <c r="J2090" s="899" t="s">
        <v>4706</v>
      </c>
      <c r="K2090" s="167" t="s">
        <v>8525</v>
      </c>
      <c r="L2090" s="167" t="s">
        <v>3296</v>
      </c>
      <c r="M2090" s="167"/>
      <c r="N2090" s="167"/>
      <c r="O2090" s="167"/>
      <c r="P2090" s="168" t="s">
        <v>8526</v>
      </c>
      <c r="Q2090" s="167" t="s">
        <v>3947</v>
      </c>
      <c r="R2090" s="172" t="s">
        <v>576</v>
      </c>
      <c r="S2090" s="388"/>
      <c r="T2090" s="168"/>
      <c r="U2090" s="168"/>
      <c r="V2090" s="168"/>
      <c r="W2090" s="315" t="s">
        <v>8524</v>
      </c>
      <c r="X2090" s="647" t="s">
        <v>2131</v>
      </c>
      <c r="Y2090" s="352" t="s">
        <v>5643</v>
      </c>
      <c r="Z2090" s="353">
        <v>480</v>
      </c>
      <c r="AA2090" s="353">
        <v>4</v>
      </c>
      <c r="AB2090" s="40">
        <f t="shared" ca="1" si="43"/>
        <v>0.87702035526938993</v>
      </c>
      <c r="AC2090" s="810"/>
      <c r="AD2090" s="811"/>
      <c r="AE2090" s="940"/>
      <c r="AF2090" s="920">
        <f>IF(X2090=X2089,AF2089,0)+IF(ISNUMBER(I2090),IF(I2090&lt;1,I2090,I2090*VLOOKUP(J2090,Summary!$H$2:$I$9,2)),VLOOKUP(J2090,Summary!$J$2:$K$9,2)*IF(ISNUMBER(H2090),H2090,1))</f>
        <v>1.4368171296296295</v>
      </c>
      <c r="AG2090" s="287">
        <v>2089</v>
      </c>
      <c r="AH2090" s="94"/>
      <c r="AI2090" s="94"/>
    </row>
    <row r="2091" spans="1:35" s="1" customFormat="1" ht="12" customHeight="1" x14ac:dyDescent="0.25">
      <c r="A2091" s="527">
        <v>23</v>
      </c>
      <c r="B2091" s="527">
        <v>6</v>
      </c>
      <c r="C2091" s="527">
        <v>238</v>
      </c>
      <c r="D2091" s="407"/>
      <c r="E2091" s="315" t="s">
        <v>14376</v>
      </c>
      <c r="F2091" s="196">
        <v>43235</v>
      </c>
      <c r="G2091" s="170"/>
      <c r="H2091" s="170">
        <v>4</v>
      </c>
      <c r="I2091" s="747">
        <f>TIME(0,120,0)</f>
        <v>8.3333333333333329E-2</v>
      </c>
      <c r="J2091" s="899" t="s">
        <v>4706</v>
      </c>
      <c r="K2091" s="167" t="s">
        <v>10305</v>
      </c>
      <c r="L2091" s="167" t="s">
        <v>6231</v>
      </c>
      <c r="M2091" s="167"/>
      <c r="N2091" s="167" t="s">
        <v>7374</v>
      </c>
      <c r="O2091" s="167" t="s">
        <v>6231</v>
      </c>
      <c r="P2091" s="168" t="s">
        <v>14295</v>
      </c>
      <c r="Q2091" s="167" t="s">
        <v>3947</v>
      </c>
      <c r="R2091" s="172" t="s">
        <v>3146</v>
      </c>
      <c r="S2091" s="388"/>
      <c r="T2091" s="168" t="s">
        <v>14377</v>
      </c>
      <c r="U2091" s="168"/>
      <c r="V2091" s="168"/>
      <c r="W2091" s="312"/>
      <c r="X2091" s="647" t="s">
        <v>2131</v>
      </c>
      <c r="Y2091" s="352"/>
      <c r="Z2091" s="353"/>
      <c r="AA2091" s="353"/>
      <c r="AB2091" s="40">
        <f t="shared" ca="1" si="43"/>
        <v>0.92015092292761147</v>
      </c>
      <c r="AC2091" s="810"/>
      <c r="AD2091" s="811"/>
      <c r="AE2091" s="940"/>
      <c r="AF2091" s="920">
        <f>IF(X2091=X2090,AF2090,0)+IF(ISNUMBER(I2091),IF(I2091&lt;1,I2091,I2091*VLOOKUP(J2091,Summary!$H$2:$I$9,2)),VLOOKUP(J2091,Summary!$J$2:$K$9,2)*IF(ISNUMBER(H2091),H2091,1))</f>
        <v>1.5201504629629627</v>
      </c>
      <c r="AG2091" s="287">
        <v>2090</v>
      </c>
      <c r="AH2091" s="94"/>
      <c r="AI2091" s="94"/>
    </row>
    <row r="2092" spans="1:35" s="1" customFormat="1" ht="12" customHeight="1" x14ac:dyDescent="0.25">
      <c r="A2092" s="527">
        <v>23</v>
      </c>
      <c r="B2092" s="527">
        <v>6</v>
      </c>
      <c r="C2092" s="527">
        <v>239</v>
      </c>
      <c r="D2092" s="407"/>
      <c r="E2092" s="315" t="s">
        <v>14533</v>
      </c>
      <c r="F2092" s="196">
        <v>43270</v>
      </c>
      <c r="G2092" s="170"/>
      <c r="H2092" s="170">
        <v>4</v>
      </c>
      <c r="I2092" s="747">
        <f>TIME(0,120,0)</f>
        <v>8.3333333333333329E-2</v>
      </c>
      <c r="J2092" s="899" t="s">
        <v>4706</v>
      </c>
      <c r="K2092" s="167" t="s">
        <v>12751</v>
      </c>
      <c r="L2092" s="167" t="s">
        <v>6231</v>
      </c>
      <c r="M2092" s="167"/>
      <c r="N2092" s="167" t="s">
        <v>7374</v>
      </c>
      <c r="O2092" s="167" t="s">
        <v>6231</v>
      </c>
      <c r="P2092" s="168" t="s">
        <v>14534</v>
      </c>
      <c r="Q2092" s="167" t="s">
        <v>3947</v>
      </c>
      <c r="R2092" s="172" t="s">
        <v>3146</v>
      </c>
      <c r="S2092" s="388"/>
      <c r="T2092" s="168" t="s">
        <v>14377</v>
      </c>
      <c r="U2092" s="168"/>
      <c r="V2092" s="168"/>
      <c r="W2092" s="312"/>
      <c r="X2092" s="647" t="s">
        <v>2131</v>
      </c>
      <c r="Y2092" s="352"/>
      <c r="Z2092" s="353"/>
      <c r="AA2092" s="353"/>
      <c r="AB2092" s="40">
        <f t="shared" ca="1" si="43"/>
        <v>0.38318279787031706</v>
      </c>
      <c r="AC2092" s="810"/>
      <c r="AD2092" s="811"/>
      <c r="AE2092" s="940"/>
      <c r="AF2092" s="920">
        <f>IF(X2092=X2091,AF2091,0)+IF(ISNUMBER(I2092),IF(I2092&lt;1,I2092,I2092*VLOOKUP(J2092,Summary!$H$2:$I$9,2)),VLOOKUP(J2092,Summary!$J$2:$K$9,2)*IF(ISNUMBER(H2092),H2092,1))</f>
        <v>1.603483796296296</v>
      </c>
      <c r="AG2092" s="287">
        <v>2091</v>
      </c>
      <c r="AH2092" s="94"/>
      <c r="AI2092" s="94"/>
    </row>
    <row r="2093" spans="1:35" s="1" customFormat="1" ht="12" customHeight="1" x14ac:dyDescent="0.25">
      <c r="A2093" s="527">
        <v>23</v>
      </c>
      <c r="B2093" s="527">
        <v>6</v>
      </c>
      <c r="C2093" s="527">
        <v>240</v>
      </c>
      <c r="D2093" s="407"/>
      <c r="E2093" s="315" t="s">
        <v>15006</v>
      </c>
      <c r="F2093" s="196">
        <v>43293</v>
      </c>
      <c r="G2093" s="170"/>
      <c r="H2093" s="170">
        <v>4</v>
      </c>
      <c r="I2093" s="747">
        <f>TIME(0,120,0)</f>
        <v>8.3333333333333329E-2</v>
      </c>
      <c r="J2093" s="899" t="s">
        <v>4706</v>
      </c>
      <c r="K2093" s="167" t="s">
        <v>6970</v>
      </c>
      <c r="L2093" s="167" t="s">
        <v>10304</v>
      </c>
      <c r="M2093" s="167"/>
      <c r="N2093" s="167" t="s">
        <v>7374</v>
      </c>
      <c r="O2093" s="167" t="s">
        <v>6231</v>
      </c>
      <c r="P2093" s="168" t="s">
        <v>15007</v>
      </c>
      <c r="Q2093" s="167" t="s">
        <v>3947</v>
      </c>
      <c r="R2093" s="172" t="s">
        <v>3146</v>
      </c>
      <c r="S2093" s="388"/>
      <c r="T2093" s="168" t="s">
        <v>14377</v>
      </c>
      <c r="U2093" s="168"/>
      <c r="V2093" s="168"/>
      <c r="W2093" s="312"/>
      <c r="X2093" s="647" t="s">
        <v>2131</v>
      </c>
      <c r="Y2093" s="352"/>
      <c r="Z2093" s="353"/>
      <c r="AA2093" s="353"/>
      <c r="AB2093" s="40">
        <f t="shared" ca="1" si="43"/>
        <v>0.11423926369197357</v>
      </c>
      <c r="AC2093" s="810"/>
      <c r="AD2093" s="811"/>
      <c r="AE2093" s="940"/>
      <c r="AF2093" s="920">
        <f>IF(X2093=X2092,AF2092,0)+IF(ISNUMBER(I2093),IF(I2093&lt;1,I2093,I2093*VLOOKUP(J2093,Summary!$H$2:$I$9,2)),VLOOKUP(J2093,Summary!$J$2:$K$9,2)*IF(ISNUMBER(H2093),H2093,1))</f>
        <v>1.6868171296296293</v>
      </c>
      <c r="AG2093" s="287">
        <v>2092</v>
      </c>
      <c r="AH2093" s="94"/>
      <c r="AI2093" s="94"/>
    </row>
    <row r="2094" spans="1:35" s="1" customFormat="1" ht="12" customHeight="1" x14ac:dyDescent="0.25">
      <c r="A2094" s="527" t="s">
        <v>1813</v>
      </c>
      <c r="B2094" s="527">
        <v>6</v>
      </c>
      <c r="C2094" s="527">
        <v>6</v>
      </c>
      <c r="D2094" s="407" t="s">
        <v>746</v>
      </c>
      <c r="E2094" s="315" t="s">
        <v>747</v>
      </c>
      <c r="F2094" s="169">
        <v>36586</v>
      </c>
      <c r="G2094" s="170"/>
      <c r="H2094" s="170">
        <v>4</v>
      </c>
      <c r="I2094" s="746">
        <f>TIME(1,47,8)</f>
        <v>7.4398148148148144E-2</v>
      </c>
      <c r="J2094" s="899" t="s">
        <v>4706</v>
      </c>
      <c r="K2094" s="167" t="s">
        <v>4552</v>
      </c>
      <c r="L2094" s="167" t="s">
        <v>7375</v>
      </c>
      <c r="M2094" s="167"/>
      <c r="N2094" s="167"/>
      <c r="O2094" s="167" t="s">
        <v>2909</v>
      </c>
      <c r="P2094" s="168"/>
      <c r="Q2094" s="167" t="s">
        <v>3947</v>
      </c>
      <c r="R2094" s="172" t="s">
        <v>3146</v>
      </c>
      <c r="S2094" s="388" t="s">
        <v>7314</v>
      </c>
      <c r="T2094" s="168"/>
      <c r="U2094" s="168"/>
      <c r="V2094" s="168"/>
      <c r="W2094" s="312" t="s">
        <v>8670</v>
      </c>
      <c r="X2094" s="644" t="s">
        <v>12337</v>
      </c>
      <c r="Y2094" s="352" t="s">
        <v>5643</v>
      </c>
      <c r="Z2094" s="353">
        <v>24</v>
      </c>
      <c r="AA2094" s="353">
        <v>9</v>
      </c>
      <c r="AB2094" s="40">
        <f t="shared" ca="1" si="43"/>
        <v>0.65789271494119261</v>
      </c>
      <c r="AC2094" s="810"/>
      <c r="AD2094" s="811" t="s">
        <v>15835</v>
      </c>
      <c r="AE2094" s="940"/>
      <c r="AF2094" s="920">
        <f>IF(X2094=X2093,AF2093,0)+IF(ISNUMBER(I2094),IF(I2094&lt;1,I2094,I2094*VLOOKUP(J2094,Summary!$H$2:$I$9,2)),VLOOKUP(J2094,Summary!$J$2:$K$9,2)*IF(ISNUMBER(H2094),H2094,1))</f>
        <v>7.4398148148148144E-2</v>
      </c>
      <c r="AG2094" s="287">
        <v>2093</v>
      </c>
      <c r="AH2094" s="94"/>
      <c r="AI2094" s="94"/>
    </row>
    <row r="2095" spans="1:35" s="6" customFormat="1" ht="12" customHeight="1" x14ac:dyDescent="0.25">
      <c r="A2095" s="527" t="s">
        <v>1813</v>
      </c>
      <c r="B2095" s="527">
        <v>6</v>
      </c>
      <c r="C2095" s="527">
        <v>9</v>
      </c>
      <c r="D2095" s="407" t="s">
        <v>748</v>
      </c>
      <c r="E2095" s="315" t="s">
        <v>749</v>
      </c>
      <c r="F2095" s="169">
        <v>36678</v>
      </c>
      <c r="G2095" s="170"/>
      <c r="H2095" s="170">
        <v>4</v>
      </c>
      <c r="I2095" s="746">
        <f>TIME(2,7,38)</f>
        <v>8.863425925925926E-2</v>
      </c>
      <c r="J2095" s="899" t="s">
        <v>4706</v>
      </c>
      <c r="K2095" s="167" t="s">
        <v>2910</v>
      </c>
      <c r="L2095" s="167" t="s">
        <v>2910</v>
      </c>
      <c r="M2095" s="167"/>
      <c r="N2095" s="167"/>
      <c r="O2095" s="167" t="s">
        <v>2909</v>
      </c>
      <c r="P2095" s="168"/>
      <c r="Q2095" s="167" t="s">
        <v>3947</v>
      </c>
      <c r="R2095" s="172" t="s">
        <v>3146</v>
      </c>
      <c r="S2095" s="388" t="s">
        <v>7314</v>
      </c>
      <c r="T2095" s="168" t="s">
        <v>2597</v>
      </c>
      <c r="U2095" s="168"/>
      <c r="V2095" s="168"/>
      <c r="W2095" s="312" t="s">
        <v>8736</v>
      </c>
      <c r="X2095" s="644" t="s">
        <v>12337</v>
      </c>
      <c r="Y2095" s="352" t="s">
        <v>5643</v>
      </c>
      <c r="Z2095" s="353">
        <v>108</v>
      </c>
      <c r="AA2095" s="353">
        <v>7</v>
      </c>
      <c r="AB2095" s="40">
        <f t="shared" ca="1" si="43"/>
        <v>0.52253354073564118</v>
      </c>
      <c r="AC2095" s="810"/>
      <c r="AD2095" s="811" t="s">
        <v>15836</v>
      </c>
      <c r="AE2095" s="940" t="s">
        <v>12543</v>
      </c>
      <c r="AF2095" s="920">
        <f>IF(X2095=X2094,AF2094,0)+IF(ISNUMBER(I2095),IF(I2095&lt;1,I2095,I2095*VLOOKUP(J2095,Summary!$H$2:$I$9,2)),VLOOKUP(J2095,Summary!$J$2:$K$9,2)*IF(ISNUMBER(H2095),H2095,1))</f>
        <v>0.1630324074074074</v>
      </c>
      <c r="AG2095" s="287">
        <v>2094</v>
      </c>
      <c r="AH2095" s="94"/>
      <c r="AI2095" s="94"/>
    </row>
    <row r="2096" spans="1:35" s="1" customFormat="1" ht="12" customHeight="1" x14ac:dyDescent="0.25">
      <c r="A2096" s="527" t="s">
        <v>1813</v>
      </c>
      <c r="B2096" s="527">
        <v>6</v>
      </c>
      <c r="C2096" s="527">
        <v>11</v>
      </c>
      <c r="D2096" s="407" t="s">
        <v>750</v>
      </c>
      <c r="E2096" s="315" t="s">
        <v>751</v>
      </c>
      <c r="F2096" s="169">
        <v>36739</v>
      </c>
      <c r="G2096" s="170"/>
      <c r="H2096" s="170">
        <v>4</v>
      </c>
      <c r="I2096" s="746">
        <f>TIME(2,17,16)</f>
        <v>9.5324074074074075E-2</v>
      </c>
      <c r="J2096" s="899" t="s">
        <v>4706</v>
      </c>
      <c r="K2096" s="167" t="s">
        <v>6237</v>
      </c>
      <c r="L2096" s="167" t="s">
        <v>4549</v>
      </c>
      <c r="M2096" s="167"/>
      <c r="N2096" s="167"/>
      <c r="O2096" s="167" t="s">
        <v>2909</v>
      </c>
      <c r="P2096" s="168"/>
      <c r="Q2096" s="167" t="s">
        <v>3947</v>
      </c>
      <c r="R2096" s="172" t="s">
        <v>3146</v>
      </c>
      <c r="S2096" s="388" t="s">
        <v>7314</v>
      </c>
      <c r="T2096" s="168" t="s">
        <v>2610</v>
      </c>
      <c r="U2096" s="168"/>
      <c r="V2096" s="168"/>
      <c r="W2096" s="312" t="s">
        <v>8735</v>
      </c>
      <c r="X2096" s="644" t="s">
        <v>12337</v>
      </c>
      <c r="Y2096" s="352" t="s">
        <v>5643</v>
      </c>
      <c r="Z2096" s="353">
        <v>67</v>
      </c>
      <c r="AA2096" s="353">
        <v>8</v>
      </c>
      <c r="AB2096" s="40">
        <f t="shared" ca="1" si="43"/>
        <v>0.92481106640535526</v>
      </c>
      <c r="AC2096" s="810"/>
      <c r="AD2096" s="811" t="s">
        <v>16434</v>
      </c>
      <c r="AE2096" s="940" t="s">
        <v>15062</v>
      </c>
      <c r="AF2096" s="920">
        <f>IF(X2096=X2095,AF2095,0)+IF(ISNUMBER(I2096),IF(I2096&lt;1,I2096,I2096*VLOOKUP(J2096,Summary!$H$2:$I$9,2)),VLOOKUP(J2096,Summary!$J$2:$K$9,2)*IF(ISNUMBER(H2096),H2096,1))</f>
        <v>0.25835648148148149</v>
      </c>
      <c r="AG2096" s="287">
        <v>2095</v>
      </c>
      <c r="AH2096" s="94"/>
      <c r="AI2096" s="94"/>
    </row>
    <row r="2097" spans="1:36" s="6" customFormat="1" ht="12" customHeight="1" x14ac:dyDescent="0.25">
      <c r="A2097" s="527" t="s">
        <v>1813</v>
      </c>
      <c r="B2097" s="527">
        <v>6</v>
      </c>
      <c r="C2097" s="527">
        <v>22</v>
      </c>
      <c r="D2097" s="407" t="s">
        <v>6541</v>
      </c>
      <c r="E2097" s="315" t="s">
        <v>6542</v>
      </c>
      <c r="F2097" s="196">
        <v>37095</v>
      </c>
      <c r="G2097" s="170"/>
      <c r="H2097" s="170">
        <v>4</v>
      </c>
      <c r="I2097" s="746">
        <f>TIME(1,57,56)</f>
        <v>8.189814814814815E-2</v>
      </c>
      <c r="J2097" s="899" t="s">
        <v>4706</v>
      </c>
      <c r="K2097" s="167" t="s">
        <v>177</v>
      </c>
      <c r="L2097" s="167" t="s">
        <v>7375</v>
      </c>
      <c r="M2097" s="167"/>
      <c r="N2097" s="167"/>
      <c r="O2097" s="167" t="s">
        <v>2909</v>
      </c>
      <c r="P2097" s="168"/>
      <c r="Q2097" s="167" t="s">
        <v>3947</v>
      </c>
      <c r="R2097" s="172" t="s">
        <v>3146</v>
      </c>
      <c r="S2097" s="388" t="s">
        <v>7314</v>
      </c>
      <c r="T2097" s="168"/>
      <c r="U2097" s="168"/>
      <c r="V2097" s="168"/>
      <c r="W2097" s="312" t="s">
        <v>8770</v>
      </c>
      <c r="X2097" s="644" t="s">
        <v>12337</v>
      </c>
      <c r="Y2097" s="352" t="s">
        <v>5643</v>
      </c>
      <c r="Z2097" s="353">
        <v>112</v>
      </c>
      <c r="AA2097" s="353">
        <v>7</v>
      </c>
      <c r="AB2097" s="40">
        <f t="shared" ca="1" si="43"/>
        <v>0.86848991434252842</v>
      </c>
      <c r="AC2097" s="810"/>
      <c r="AD2097" s="811" t="s">
        <v>16576</v>
      </c>
      <c r="AE2097" s="940"/>
      <c r="AF2097" s="920">
        <f>IF(X2097=X2096,AF2096,0)+IF(ISNUMBER(I2097),IF(I2097&lt;1,I2097,I2097*VLOOKUP(J2097,Summary!$H$2:$I$9,2)),VLOOKUP(J2097,Summary!$J$2:$K$9,2)*IF(ISNUMBER(H2097),H2097,1))</f>
        <v>0.34025462962962966</v>
      </c>
      <c r="AG2097" s="287">
        <v>2096</v>
      </c>
      <c r="AH2097" s="94"/>
      <c r="AI2097" s="94"/>
      <c r="AJ2097" s="43"/>
    </row>
    <row r="2098" spans="1:36" s="6" customFormat="1" ht="12" customHeight="1" x14ac:dyDescent="0.25">
      <c r="A2098" s="522" t="s">
        <v>1813</v>
      </c>
      <c r="B2098" s="522">
        <v>6</v>
      </c>
      <c r="C2098" s="522">
        <v>22.08</v>
      </c>
      <c r="D2098" s="434" t="s">
        <v>5050</v>
      </c>
      <c r="E2098" s="324" t="s">
        <v>5049</v>
      </c>
      <c r="F2098" s="174">
        <v>39052</v>
      </c>
      <c r="G2098" s="174"/>
      <c r="H2098" s="176">
        <v>1</v>
      </c>
      <c r="I2098" s="176">
        <v>18</v>
      </c>
      <c r="J2098" s="900" t="s">
        <v>2755</v>
      </c>
      <c r="K2098" s="164" t="s">
        <v>5664</v>
      </c>
      <c r="L2098" s="164" t="s">
        <v>461</v>
      </c>
      <c r="M2098" s="164"/>
      <c r="N2098" s="164" t="s">
        <v>4549</v>
      </c>
      <c r="O2098" s="164"/>
      <c r="P2098" s="173" t="s">
        <v>522</v>
      </c>
      <c r="Q2098" s="164" t="s">
        <v>3947</v>
      </c>
      <c r="R2098" s="179" t="s">
        <v>2723</v>
      </c>
      <c r="S2098" s="354" t="s">
        <v>7314</v>
      </c>
      <c r="T2098" s="173"/>
      <c r="U2098" s="173"/>
      <c r="V2098" s="173"/>
      <c r="W2098" s="324" t="s">
        <v>5049</v>
      </c>
      <c r="X2098" s="656" t="s">
        <v>12337</v>
      </c>
      <c r="Y2098" s="363"/>
      <c r="Z2098" s="364"/>
      <c r="AA2098" s="364"/>
      <c r="AB2098" s="32">
        <f t="shared" ca="1" si="43"/>
        <v>8.1756400843215227E-2</v>
      </c>
      <c r="AC2098" s="812"/>
      <c r="AD2098" s="763"/>
      <c r="AE2098" s="951"/>
      <c r="AF2098" s="921">
        <f>IF(X2098=X2097,AF2097,0)+IF(ISNUMBER(I2098),IF(I2098&lt;1,I2098,I2098*VLOOKUP(J2098,Summary!$H$2:$I$9,2)),VLOOKUP(J2098,Summary!$J$2:$K$9,2)*IF(ISNUMBER(H2098),H2098,1))</f>
        <v>0.35275462962962967</v>
      </c>
      <c r="AG2098" s="288">
        <v>2097</v>
      </c>
      <c r="AH2098" s="94"/>
      <c r="AI2098" s="94"/>
    </row>
    <row r="2099" spans="1:36" s="6" customFormat="1" ht="12" customHeight="1" x14ac:dyDescent="0.25">
      <c r="A2099" s="527" t="s">
        <v>1813</v>
      </c>
      <c r="B2099" s="527">
        <v>6</v>
      </c>
      <c r="C2099" s="527">
        <v>23</v>
      </c>
      <c r="D2099" s="407" t="s">
        <v>6543</v>
      </c>
      <c r="E2099" s="315" t="s">
        <v>6544</v>
      </c>
      <c r="F2099" s="196">
        <v>37123</v>
      </c>
      <c r="G2099" s="170"/>
      <c r="H2099" s="170">
        <v>4</v>
      </c>
      <c r="I2099" s="746">
        <f>TIME(1,30,31)</f>
        <v>6.2858796296296301E-2</v>
      </c>
      <c r="J2099" s="899" t="s">
        <v>4706</v>
      </c>
      <c r="K2099" s="167" t="s">
        <v>5146</v>
      </c>
      <c r="L2099" s="167" t="s">
        <v>7375</v>
      </c>
      <c r="M2099" s="167"/>
      <c r="N2099" s="167"/>
      <c r="O2099" s="167" t="s">
        <v>2909</v>
      </c>
      <c r="P2099" s="168"/>
      <c r="Q2099" s="167" t="s">
        <v>3947</v>
      </c>
      <c r="R2099" s="172" t="s">
        <v>3146</v>
      </c>
      <c r="S2099" s="388" t="s">
        <v>7314</v>
      </c>
      <c r="T2099" s="168"/>
      <c r="U2099" s="168"/>
      <c r="V2099" s="168"/>
      <c r="W2099" s="312" t="s">
        <v>8440</v>
      </c>
      <c r="X2099" s="644" t="s">
        <v>12337</v>
      </c>
      <c r="Y2099" s="352" t="s">
        <v>5643</v>
      </c>
      <c r="Z2099" s="353">
        <v>553</v>
      </c>
      <c r="AA2099" s="353">
        <v>3.5</v>
      </c>
      <c r="AB2099" s="40">
        <f t="shared" ca="1" si="43"/>
        <v>0.90239556668046927</v>
      </c>
      <c r="AC2099" s="810"/>
      <c r="AD2099" s="811" t="s">
        <v>16675</v>
      </c>
      <c r="AE2099" s="940"/>
      <c r="AF2099" s="920">
        <f>IF(X2099=X2098,AF2098,0)+IF(ISNUMBER(I2099),IF(I2099&lt;1,I2099,I2099*VLOOKUP(J2099,Summary!$H$2:$I$9,2)),VLOOKUP(J2099,Summary!$J$2:$K$9,2)*IF(ISNUMBER(H2099),H2099,1))</f>
        <v>0.41561342592592598</v>
      </c>
      <c r="AG2099" s="287">
        <v>2098</v>
      </c>
      <c r="AH2099" s="94"/>
      <c r="AI2099" s="94"/>
    </row>
    <row r="2100" spans="1:36" s="43" customFormat="1" ht="12" customHeight="1" x14ac:dyDescent="0.25">
      <c r="A2100" s="527" t="s">
        <v>1813</v>
      </c>
      <c r="B2100" s="527">
        <v>6</v>
      </c>
      <c r="C2100" s="527">
        <v>1</v>
      </c>
      <c r="D2100" s="407" t="s">
        <v>6545</v>
      </c>
      <c r="E2100" s="315" t="s">
        <v>6546</v>
      </c>
      <c r="F2100" s="196">
        <v>37602</v>
      </c>
      <c r="G2100" s="170"/>
      <c r="H2100" s="170">
        <v>6</v>
      </c>
      <c r="I2100" s="746">
        <f>TIME(2,10,50)</f>
        <v>9.0856481481481469E-2</v>
      </c>
      <c r="J2100" s="899" t="s">
        <v>4706</v>
      </c>
      <c r="K2100" s="167" t="s">
        <v>7375</v>
      </c>
      <c r="L2100" s="167" t="s">
        <v>7375</v>
      </c>
      <c r="M2100" s="167"/>
      <c r="N2100" s="167"/>
      <c r="O2100" s="167" t="s">
        <v>2909</v>
      </c>
      <c r="P2100" s="168" t="s">
        <v>8630</v>
      </c>
      <c r="Q2100" s="167" t="s">
        <v>3947</v>
      </c>
      <c r="R2100" s="172" t="s">
        <v>576</v>
      </c>
      <c r="S2100" s="388" t="s">
        <v>7314</v>
      </c>
      <c r="T2100" s="168"/>
      <c r="U2100" s="168"/>
      <c r="V2100" s="168"/>
      <c r="W2100" s="312" t="s">
        <v>11330</v>
      </c>
      <c r="X2100" s="644" t="s">
        <v>12337</v>
      </c>
      <c r="Y2100" s="352" t="s">
        <v>5398</v>
      </c>
      <c r="Z2100" s="353">
        <v>584</v>
      </c>
      <c r="AA2100" s="167">
        <v>3.5</v>
      </c>
      <c r="AB2100" s="40">
        <f t="shared" ca="1" si="43"/>
        <v>5.1408489098240695E-2</v>
      </c>
      <c r="AC2100" s="810"/>
      <c r="AD2100" s="811" t="s">
        <v>16757</v>
      </c>
      <c r="AE2100" s="940" t="s">
        <v>16758</v>
      </c>
      <c r="AF2100" s="920">
        <f>IF(X2100=X2099,AF2099,0)+IF(ISNUMBER(I2100),IF(I2100&lt;1,I2100,I2100*VLOOKUP(J2100,Summary!$H$2:$I$9,2)),VLOOKUP(J2100,Summary!$J$2:$K$9,2)*IF(ISNUMBER(H2100),H2100,1))</f>
        <v>0.50646990740740749</v>
      </c>
      <c r="AG2100" s="287">
        <v>2099</v>
      </c>
      <c r="AH2100" s="94"/>
      <c r="AI2100" s="94"/>
    </row>
    <row r="2101" spans="1:36" s="6" customFormat="1" ht="12" customHeight="1" x14ac:dyDescent="0.25">
      <c r="A2101" s="527" t="s">
        <v>1813</v>
      </c>
      <c r="B2101" s="527">
        <v>6</v>
      </c>
      <c r="C2101" s="527">
        <v>37</v>
      </c>
      <c r="D2101" s="407" t="s">
        <v>6547</v>
      </c>
      <c r="E2101" s="315" t="s">
        <v>509</v>
      </c>
      <c r="F2101" s="196">
        <v>37553</v>
      </c>
      <c r="G2101" s="170"/>
      <c r="H2101" s="170">
        <v>4</v>
      </c>
      <c r="I2101" s="746">
        <f>TIME(1,56,29)</f>
        <v>8.0891203703703715E-2</v>
      </c>
      <c r="J2101" s="899" t="s">
        <v>4706</v>
      </c>
      <c r="K2101" s="167" t="s">
        <v>2308</v>
      </c>
      <c r="L2101" s="167" t="s">
        <v>7375</v>
      </c>
      <c r="M2101" s="167"/>
      <c r="N2101" s="167"/>
      <c r="O2101" s="167" t="s">
        <v>2909</v>
      </c>
      <c r="P2101" s="168"/>
      <c r="Q2101" s="167" t="s">
        <v>3947</v>
      </c>
      <c r="R2101" s="172" t="s">
        <v>3146</v>
      </c>
      <c r="S2101" s="388" t="s">
        <v>7314</v>
      </c>
      <c r="T2101" s="168"/>
      <c r="U2101" s="168"/>
      <c r="V2101" s="168"/>
      <c r="W2101" s="312" t="s">
        <v>9309</v>
      </c>
      <c r="X2101" s="644" t="s">
        <v>12337</v>
      </c>
      <c r="Y2101" s="352" t="s">
        <v>5643</v>
      </c>
      <c r="Z2101" s="353">
        <v>465</v>
      </c>
      <c r="AA2101" s="353">
        <v>4.5</v>
      </c>
      <c r="AB2101" s="34">
        <f t="shared" ca="1" si="43"/>
        <v>0.8918146188524535</v>
      </c>
      <c r="AC2101" s="814"/>
      <c r="AD2101" s="815" t="s">
        <v>16303</v>
      </c>
      <c r="AE2101" s="940" t="s">
        <v>12543</v>
      </c>
      <c r="AF2101" s="920">
        <f>IF(X2101=X2100,AF2100,0)+IF(ISNUMBER(I2101),IF(I2101&lt;1,I2101,I2101*VLOOKUP(J2101,Summary!$H$2:$I$9,2)),VLOOKUP(J2101,Summary!$J$2:$K$9,2)*IF(ISNUMBER(H2101),H2101,1))</f>
        <v>0.58736111111111122</v>
      </c>
      <c r="AG2101" s="287">
        <v>2100</v>
      </c>
      <c r="AH2101" s="94"/>
      <c r="AI2101" s="94"/>
    </row>
    <row r="2102" spans="1:36" s="6" customFormat="1" ht="12" customHeight="1" x14ac:dyDescent="0.25">
      <c r="A2102" s="522" t="s">
        <v>1813</v>
      </c>
      <c r="B2102" s="522">
        <v>6</v>
      </c>
      <c r="C2102" s="522">
        <v>17.05</v>
      </c>
      <c r="D2102" s="434" t="s">
        <v>5048</v>
      </c>
      <c r="E2102" s="324" t="s">
        <v>5047</v>
      </c>
      <c r="F2102" s="174">
        <v>38596</v>
      </c>
      <c r="G2102" s="174"/>
      <c r="H2102" s="176">
        <v>1</v>
      </c>
      <c r="I2102" s="176">
        <v>19</v>
      </c>
      <c r="J2102" s="900" t="s">
        <v>2755</v>
      </c>
      <c r="K2102" s="164" t="s">
        <v>5528</v>
      </c>
      <c r="L2102" s="164" t="s">
        <v>461</v>
      </c>
      <c r="M2102" s="164"/>
      <c r="N2102" s="164" t="s">
        <v>7375</v>
      </c>
      <c r="O2102" s="164"/>
      <c r="P2102" s="173" t="s">
        <v>2568</v>
      </c>
      <c r="Q2102" s="164" t="s">
        <v>3947</v>
      </c>
      <c r="R2102" s="179" t="s">
        <v>2723</v>
      </c>
      <c r="S2102" s="354" t="s">
        <v>7314</v>
      </c>
      <c r="T2102" s="173"/>
      <c r="U2102" s="173"/>
      <c r="V2102" s="173"/>
      <c r="W2102" s="324" t="s">
        <v>5047</v>
      </c>
      <c r="X2102" s="656" t="s">
        <v>12337</v>
      </c>
      <c r="Y2102" s="363"/>
      <c r="Z2102" s="364"/>
      <c r="AA2102" s="364"/>
      <c r="AB2102" s="32">
        <f t="shared" ca="1" si="43"/>
        <v>0.92231460970484347</v>
      </c>
      <c r="AC2102" s="812"/>
      <c r="AD2102" s="763"/>
      <c r="AE2102" s="951"/>
      <c r="AF2102" s="921">
        <f>IF(X2102=X2101,AF2101,0)+IF(ISNUMBER(I2102),IF(I2102&lt;1,I2102,I2102*VLOOKUP(J2102,Summary!$H$2:$I$9,2)),VLOOKUP(J2102,Summary!$J$2:$K$9,2)*IF(ISNUMBER(H2102),H2102,1))</f>
        <v>0.60055555555555562</v>
      </c>
      <c r="AG2102" s="288">
        <v>2101</v>
      </c>
      <c r="AH2102" s="94"/>
      <c r="AI2102" s="94"/>
    </row>
    <row r="2103" spans="1:36" s="29" customFormat="1" ht="12" customHeight="1" x14ac:dyDescent="0.25">
      <c r="A2103" s="527" t="s">
        <v>1813</v>
      </c>
      <c r="B2103" s="527">
        <v>6</v>
      </c>
      <c r="C2103" s="527">
        <v>40</v>
      </c>
      <c r="D2103" s="407" t="s">
        <v>510</v>
      </c>
      <c r="E2103" s="315" t="s">
        <v>511</v>
      </c>
      <c r="F2103" s="169">
        <v>37622</v>
      </c>
      <c r="G2103" s="170"/>
      <c r="H2103" s="170">
        <v>4</v>
      </c>
      <c r="I2103" s="746">
        <f>TIME(2,23,31)</f>
        <v>9.9664351851851851E-2</v>
      </c>
      <c r="J2103" s="899" t="s">
        <v>4706</v>
      </c>
      <c r="K2103" s="167" t="s">
        <v>3800</v>
      </c>
      <c r="L2103" s="167" t="s">
        <v>4549</v>
      </c>
      <c r="M2103" s="167"/>
      <c r="N2103" s="167"/>
      <c r="O2103" s="167" t="s">
        <v>2909</v>
      </c>
      <c r="P2103" s="168"/>
      <c r="Q2103" s="167" t="s">
        <v>3947</v>
      </c>
      <c r="R2103" s="172" t="s">
        <v>3146</v>
      </c>
      <c r="S2103" s="388" t="s">
        <v>7314</v>
      </c>
      <c r="T2103" s="168"/>
      <c r="U2103" s="168"/>
      <c r="V2103" s="168"/>
      <c r="W2103" s="312" t="s">
        <v>12094</v>
      </c>
      <c r="X2103" s="644" t="s">
        <v>12337</v>
      </c>
      <c r="Y2103" s="352" t="s">
        <v>5643</v>
      </c>
      <c r="Z2103" s="353">
        <v>88</v>
      </c>
      <c r="AA2103" s="353">
        <v>7.5</v>
      </c>
      <c r="AB2103" s="40">
        <f t="shared" ca="1" si="43"/>
        <v>0.72026198393772911</v>
      </c>
      <c r="AC2103" s="810"/>
      <c r="AD2103" s="811" t="s">
        <v>15833</v>
      </c>
      <c r="AE2103" s="940" t="s">
        <v>15093</v>
      </c>
      <c r="AF2103" s="920">
        <f>IF(X2103=X2102,AF2102,0)+IF(ISNUMBER(I2103),IF(I2103&lt;1,I2103,I2103*VLOOKUP(J2103,Summary!$H$2:$I$9,2)),VLOOKUP(J2103,Summary!$J$2:$K$9,2)*IF(ISNUMBER(H2103),H2103,1))</f>
        <v>0.70021990740740747</v>
      </c>
      <c r="AG2103" s="287">
        <v>2102</v>
      </c>
      <c r="AH2103" s="94"/>
      <c r="AI2103" s="94"/>
    </row>
    <row r="2104" spans="1:36" s="43" customFormat="1" ht="12" customHeight="1" x14ac:dyDescent="0.25">
      <c r="A2104" s="527" t="s">
        <v>1813</v>
      </c>
      <c r="B2104" s="527">
        <v>6</v>
      </c>
      <c r="C2104" s="527">
        <v>43</v>
      </c>
      <c r="D2104" s="407" t="s">
        <v>512</v>
      </c>
      <c r="E2104" s="315" t="s">
        <v>513</v>
      </c>
      <c r="F2104" s="169">
        <v>37712</v>
      </c>
      <c r="G2104" s="170"/>
      <c r="H2104" s="170">
        <v>4</v>
      </c>
      <c r="I2104" s="746">
        <f>TIME(2,6,23)</f>
        <v>8.7766203703703707E-2</v>
      </c>
      <c r="J2104" s="899" t="s">
        <v>4706</v>
      </c>
      <c r="K2104" s="167" t="s">
        <v>4552</v>
      </c>
      <c r="L2104" s="167" t="s">
        <v>3296</v>
      </c>
      <c r="M2104" s="167"/>
      <c r="N2104" s="167"/>
      <c r="O2104" s="167" t="s">
        <v>2909</v>
      </c>
      <c r="P2104" s="168"/>
      <c r="Q2104" s="167" t="s">
        <v>3947</v>
      </c>
      <c r="R2104" s="172" t="s">
        <v>3146</v>
      </c>
      <c r="S2104" s="388" t="s">
        <v>7314</v>
      </c>
      <c r="T2104" s="168"/>
      <c r="U2104" s="168"/>
      <c r="V2104" s="168"/>
      <c r="W2104" s="312" t="s">
        <v>8769</v>
      </c>
      <c r="X2104" s="644" t="s">
        <v>12337</v>
      </c>
      <c r="Y2104" s="352" t="s">
        <v>2798</v>
      </c>
      <c r="Z2104" s="353">
        <v>28</v>
      </c>
      <c r="AA2104" s="353">
        <v>9</v>
      </c>
      <c r="AB2104" s="40">
        <f t="shared" ca="1" si="43"/>
        <v>0.63428498945258016</v>
      </c>
      <c r="AC2104" s="810"/>
      <c r="AD2104" s="811" t="s">
        <v>16549</v>
      </c>
      <c r="AE2104" s="940" t="s">
        <v>12543</v>
      </c>
      <c r="AF2104" s="920">
        <f>IF(X2104=X2103,AF2103,0)+IF(ISNUMBER(I2104),IF(I2104&lt;1,I2104,I2104*VLOOKUP(J2104,Summary!$H$2:$I$9,2)),VLOOKUP(J2104,Summary!$J$2:$K$9,2)*IF(ISNUMBER(H2104),H2104,1))</f>
        <v>0.78798611111111116</v>
      </c>
      <c r="AG2104" s="287">
        <v>2103</v>
      </c>
      <c r="AH2104" s="94"/>
      <c r="AI2104" s="94"/>
      <c r="AJ2104" s="1"/>
    </row>
    <row r="2105" spans="1:36" s="43" customFormat="1" ht="12" customHeight="1" x14ac:dyDescent="0.25">
      <c r="A2105" s="522" t="s">
        <v>1813</v>
      </c>
      <c r="B2105" s="522">
        <v>6</v>
      </c>
      <c r="C2105" s="528">
        <v>9.1</v>
      </c>
      <c r="D2105" s="434" t="s">
        <v>5045</v>
      </c>
      <c r="E2105" s="324" t="s">
        <v>5046</v>
      </c>
      <c r="F2105" s="174">
        <v>38047</v>
      </c>
      <c r="G2105" s="174"/>
      <c r="H2105" s="176">
        <v>1</v>
      </c>
      <c r="I2105" s="176">
        <v>16</v>
      </c>
      <c r="J2105" s="900" t="s">
        <v>2755</v>
      </c>
      <c r="K2105" s="164" t="s">
        <v>563</v>
      </c>
      <c r="L2105" s="164" t="s">
        <v>461</v>
      </c>
      <c r="M2105" s="164"/>
      <c r="N2105" s="164" t="s">
        <v>7381</v>
      </c>
      <c r="O2105" s="164"/>
      <c r="P2105" s="173" t="s">
        <v>3431</v>
      </c>
      <c r="Q2105" s="164" t="s">
        <v>3947</v>
      </c>
      <c r="R2105" s="179" t="s">
        <v>2723</v>
      </c>
      <c r="S2105" s="354" t="s">
        <v>7314</v>
      </c>
      <c r="T2105" s="173"/>
      <c r="U2105" s="173"/>
      <c r="V2105" s="173"/>
      <c r="W2105" s="324" t="s">
        <v>5046</v>
      </c>
      <c r="X2105" s="656" t="s">
        <v>12337</v>
      </c>
      <c r="Y2105" s="363"/>
      <c r="Z2105" s="364">
        <v>999</v>
      </c>
      <c r="AA2105" s="364"/>
      <c r="AB2105" s="32">
        <f t="shared" ca="1" si="43"/>
        <v>0.51682821028643799</v>
      </c>
      <c r="AC2105" s="812"/>
      <c r="AD2105" s="763"/>
      <c r="AE2105" s="951"/>
      <c r="AF2105" s="921">
        <f>IF(X2105=X2104,AF2104,0)+IF(ISNUMBER(I2105),IF(I2105&lt;1,I2105,I2105*VLOOKUP(J2105,Summary!$H$2:$I$9,2)),VLOOKUP(J2105,Summary!$J$2:$K$9,2)*IF(ISNUMBER(H2105),H2105,1))</f>
        <v>0.79909722222222224</v>
      </c>
      <c r="AG2105" s="288">
        <v>2104</v>
      </c>
      <c r="AH2105" s="94"/>
      <c r="AI2105" s="94"/>
      <c r="AJ2105" s="10"/>
    </row>
    <row r="2106" spans="1:36" s="22" customFormat="1" ht="12" customHeight="1" x14ac:dyDescent="0.2">
      <c r="A2106" s="534" t="s">
        <v>1813</v>
      </c>
      <c r="B2106" s="535" t="s">
        <v>2650</v>
      </c>
      <c r="C2106" s="534"/>
      <c r="D2106" s="428" t="s">
        <v>14252</v>
      </c>
      <c r="E2106" s="325" t="s">
        <v>14253</v>
      </c>
      <c r="F2106" s="184">
        <v>38668</v>
      </c>
      <c r="G2106" s="184"/>
      <c r="H2106" s="185">
        <v>1</v>
      </c>
      <c r="I2106" s="185">
        <v>6</v>
      </c>
      <c r="J2106" s="901" t="s">
        <v>1796</v>
      </c>
      <c r="K2106" s="158" t="s">
        <v>5146</v>
      </c>
      <c r="L2106" s="158" t="s">
        <v>14254</v>
      </c>
      <c r="M2106" s="158" t="s">
        <v>461</v>
      </c>
      <c r="N2106" s="158" t="s">
        <v>2479</v>
      </c>
      <c r="O2106" s="158"/>
      <c r="P2106" s="182" t="s">
        <v>461</v>
      </c>
      <c r="Q2106" s="158" t="s">
        <v>14257</v>
      </c>
      <c r="R2106" s="207" t="s">
        <v>13014</v>
      </c>
      <c r="S2106" s="355"/>
      <c r="T2106" s="182"/>
      <c r="U2106" s="182"/>
      <c r="V2106" s="182"/>
      <c r="W2106" s="325" t="s">
        <v>14253</v>
      </c>
      <c r="X2106" s="657" t="s">
        <v>12337</v>
      </c>
      <c r="Y2106" s="361"/>
      <c r="Z2106" s="362"/>
      <c r="AA2106" s="362"/>
      <c r="AB2106" s="33">
        <f t="shared" ca="1" si="43"/>
        <v>0.47527657431998405</v>
      </c>
      <c r="AC2106" s="813"/>
      <c r="AD2106" s="211"/>
      <c r="AE2106" s="949"/>
      <c r="AF2106" s="922">
        <f>IF(X2106=X2105,AF2105,0)+IF(ISNUMBER(I2106),IF(I2106&lt;1,I2106,I2106*VLOOKUP(J2106,Summary!$H$2:$I$9,2)),VLOOKUP(J2106,Summary!$J$2:$K$9,2)*IF(ISNUMBER(H2106),H2106,1))</f>
        <v>0.80118055555555556</v>
      </c>
      <c r="AG2106" s="295">
        <v>2105</v>
      </c>
      <c r="AH2106" s="94"/>
      <c r="AI2106" s="94"/>
    </row>
    <row r="2107" spans="1:36" s="22" customFormat="1" ht="12" customHeight="1" x14ac:dyDescent="0.2">
      <c r="A2107" s="534" t="s">
        <v>1813</v>
      </c>
      <c r="B2107" s="535" t="s">
        <v>2650</v>
      </c>
      <c r="C2107" s="534"/>
      <c r="D2107" s="428" t="s">
        <v>14255</v>
      </c>
      <c r="E2107" s="325" t="s">
        <v>9277</v>
      </c>
      <c r="F2107" s="184">
        <v>38727</v>
      </c>
      <c r="G2107" s="184"/>
      <c r="H2107" s="185">
        <v>1</v>
      </c>
      <c r="I2107" s="185">
        <v>6</v>
      </c>
      <c r="J2107" s="901" t="s">
        <v>1796</v>
      </c>
      <c r="K2107" s="158" t="s">
        <v>5146</v>
      </c>
      <c r="L2107" s="158" t="s">
        <v>14254</v>
      </c>
      <c r="M2107" s="158" t="s">
        <v>461</v>
      </c>
      <c r="N2107" s="158" t="s">
        <v>2479</v>
      </c>
      <c r="O2107" s="158"/>
      <c r="P2107" s="182" t="s">
        <v>461</v>
      </c>
      <c r="Q2107" s="158" t="s">
        <v>14257</v>
      </c>
      <c r="R2107" s="207" t="s">
        <v>13014</v>
      </c>
      <c r="S2107" s="355"/>
      <c r="T2107" s="182"/>
      <c r="U2107" s="182"/>
      <c r="V2107" s="182"/>
      <c r="W2107" s="325" t="s">
        <v>9277</v>
      </c>
      <c r="X2107" s="657" t="s">
        <v>12337</v>
      </c>
      <c r="Y2107" s="361"/>
      <c r="Z2107" s="362"/>
      <c r="AA2107" s="362"/>
      <c r="AB2107" s="33">
        <f t="shared" ca="1" si="43"/>
        <v>0.7471662947179073</v>
      </c>
      <c r="AC2107" s="813"/>
      <c r="AD2107" s="211"/>
      <c r="AE2107" s="949"/>
      <c r="AF2107" s="922">
        <f>IF(X2107=X2106,AF2106,0)+IF(ISNUMBER(I2107),IF(I2107&lt;1,I2107,I2107*VLOOKUP(J2107,Summary!$H$2:$I$9,2)),VLOOKUP(J2107,Summary!$J$2:$K$9,2)*IF(ISNUMBER(H2107),H2107,1))</f>
        <v>0.80326388888888889</v>
      </c>
      <c r="AG2107" s="295">
        <v>2106</v>
      </c>
      <c r="AH2107" s="94"/>
      <c r="AI2107" s="94"/>
    </row>
    <row r="2108" spans="1:36" s="22" customFormat="1" ht="12" customHeight="1" x14ac:dyDescent="0.2">
      <c r="A2108" s="534" t="s">
        <v>1813</v>
      </c>
      <c r="B2108" s="535" t="s">
        <v>2650</v>
      </c>
      <c r="C2108" s="534"/>
      <c r="D2108" s="428" t="s">
        <v>14256</v>
      </c>
      <c r="E2108" s="325" t="s">
        <v>14258</v>
      </c>
      <c r="F2108" s="184">
        <v>38754</v>
      </c>
      <c r="G2108" s="184"/>
      <c r="H2108" s="185">
        <v>1</v>
      </c>
      <c r="I2108" s="185">
        <v>6</v>
      </c>
      <c r="J2108" s="901" t="s">
        <v>1796</v>
      </c>
      <c r="K2108" s="158" t="s">
        <v>5146</v>
      </c>
      <c r="L2108" s="158" t="s">
        <v>14254</v>
      </c>
      <c r="M2108" s="158" t="s">
        <v>461</v>
      </c>
      <c r="N2108" s="158" t="s">
        <v>2479</v>
      </c>
      <c r="O2108" s="158"/>
      <c r="P2108" s="182" t="s">
        <v>461</v>
      </c>
      <c r="Q2108" s="158" t="s">
        <v>14257</v>
      </c>
      <c r="R2108" s="207" t="s">
        <v>13014</v>
      </c>
      <c r="S2108" s="355"/>
      <c r="T2108" s="182"/>
      <c r="U2108" s="182"/>
      <c r="V2108" s="182"/>
      <c r="W2108" s="325" t="s">
        <v>14258</v>
      </c>
      <c r="X2108" s="657" t="s">
        <v>12337</v>
      </c>
      <c r="Y2108" s="361"/>
      <c r="Z2108" s="362"/>
      <c r="AA2108" s="362"/>
      <c r="AB2108" s="33">
        <f t="shared" ca="1" si="43"/>
        <v>3.7544995437431838E-2</v>
      </c>
      <c r="AC2108" s="813"/>
      <c r="AD2108" s="211"/>
      <c r="AE2108" s="949"/>
      <c r="AF2108" s="922">
        <f>IF(X2108=X2107,AF2107,0)+IF(ISNUMBER(I2108),IF(I2108&lt;1,I2108,I2108*VLOOKUP(J2108,Summary!$H$2:$I$9,2)),VLOOKUP(J2108,Summary!$J$2:$K$9,2)*IF(ISNUMBER(H2108),H2108,1))</f>
        <v>0.80534722222222221</v>
      </c>
      <c r="AG2108" s="295">
        <v>2107</v>
      </c>
      <c r="AH2108" s="94"/>
      <c r="AI2108" s="94"/>
    </row>
    <row r="2109" spans="1:36" s="6" customFormat="1" ht="12" customHeight="1" x14ac:dyDescent="0.25">
      <c r="A2109" s="527" t="s">
        <v>1813</v>
      </c>
      <c r="B2109" s="527">
        <v>6</v>
      </c>
      <c r="C2109" s="527">
        <v>45.1</v>
      </c>
      <c r="D2109" s="407" t="s">
        <v>514</v>
      </c>
      <c r="E2109" s="315" t="s">
        <v>6446</v>
      </c>
      <c r="F2109" s="169">
        <v>37773</v>
      </c>
      <c r="G2109" s="170"/>
      <c r="H2109" s="170">
        <v>2</v>
      </c>
      <c r="I2109" s="746">
        <f>TIME(0,54,24)</f>
        <v>3.7777777777777778E-2</v>
      </c>
      <c r="J2109" s="899" t="s">
        <v>4706</v>
      </c>
      <c r="K2109" s="167" t="s">
        <v>5146</v>
      </c>
      <c r="L2109" s="167" t="s">
        <v>7375</v>
      </c>
      <c r="M2109" s="167"/>
      <c r="N2109" s="167"/>
      <c r="O2109" s="167" t="s">
        <v>2909</v>
      </c>
      <c r="P2109" s="168"/>
      <c r="Q2109" s="167" t="s">
        <v>3947</v>
      </c>
      <c r="R2109" s="172" t="s">
        <v>3146</v>
      </c>
      <c r="S2109" s="388" t="s">
        <v>7314</v>
      </c>
      <c r="T2109" s="168"/>
      <c r="U2109" s="168"/>
      <c r="V2109" s="168"/>
      <c r="W2109" s="312" t="s">
        <v>9177</v>
      </c>
      <c r="X2109" s="644" t="s">
        <v>12337</v>
      </c>
      <c r="Y2109" s="352" t="s">
        <v>5643</v>
      </c>
      <c r="Z2109" s="353">
        <v>371</v>
      </c>
      <c r="AA2109" s="353">
        <v>5</v>
      </c>
      <c r="AB2109" s="40">
        <f t="shared" ca="1" si="43"/>
        <v>0.2866661766201144</v>
      </c>
      <c r="AC2109" s="810"/>
      <c r="AD2109" s="811" t="s">
        <v>15425</v>
      </c>
      <c r="AE2109" s="940"/>
      <c r="AF2109" s="920">
        <f>IF(X2109=X2108,AF2108,0)+IF(ISNUMBER(I2109),IF(I2109&lt;1,I2109,I2109*VLOOKUP(J2109,Summary!$H$2:$I$9,2)),VLOOKUP(J2109,Summary!$J$2:$K$9,2)*IF(ISNUMBER(H2109),H2109,1))</f>
        <v>0.84312500000000001</v>
      </c>
      <c r="AG2109" s="287">
        <v>2108</v>
      </c>
      <c r="AH2109" s="94"/>
      <c r="AI2109" s="94"/>
    </row>
    <row r="2110" spans="1:36" s="2" customFormat="1" ht="12" customHeight="1" x14ac:dyDescent="0.25">
      <c r="A2110" s="527" t="s">
        <v>1813</v>
      </c>
      <c r="B2110" s="527">
        <v>6</v>
      </c>
      <c r="C2110" s="527">
        <v>57</v>
      </c>
      <c r="D2110" s="407" t="s">
        <v>515</v>
      </c>
      <c r="E2110" s="315" t="s">
        <v>516</v>
      </c>
      <c r="F2110" s="169">
        <v>38108</v>
      </c>
      <c r="G2110" s="170"/>
      <c r="H2110" s="170">
        <v>4</v>
      </c>
      <c r="I2110" s="746">
        <f>TIME(2,0,32)</f>
        <v>8.3703703703703711E-2</v>
      </c>
      <c r="J2110" s="899" t="s">
        <v>4706</v>
      </c>
      <c r="K2110" s="167" t="s">
        <v>2911</v>
      </c>
      <c r="L2110" s="167" t="s">
        <v>7375</v>
      </c>
      <c r="M2110" s="167"/>
      <c r="N2110" s="167"/>
      <c r="O2110" s="167" t="s">
        <v>2909</v>
      </c>
      <c r="P2110" s="168"/>
      <c r="Q2110" s="167" t="s">
        <v>3947</v>
      </c>
      <c r="R2110" s="172" t="s">
        <v>3146</v>
      </c>
      <c r="S2110" s="388" t="s">
        <v>7314</v>
      </c>
      <c r="T2110" s="168"/>
      <c r="U2110" s="168"/>
      <c r="V2110" s="168"/>
      <c r="W2110" s="312" t="s">
        <v>9299</v>
      </c>
      <c r="X2110" s="644" t="s">
        <v>12337</v>
      </c>
      <c r="Y2110" s="352" t="s">
        <v>5643</v>
      </c>
      <c r="Z2110" s="353">
        <v>277</v>
      </c>
      <c r="AA2110" s="353">
        <v>5.5</v>
      </c>
      <c r="AB2110" s="40">
        <f t="shared" ca="1" si="43"/>
        <v>0.65790205740923091</v>
      </c>
      <c r="AC2110" s="810"/>
      <c r="AD2110" s="811" t="s">
        <v>16256</v>
      </c>
      <c r="AE2110" s="940" t="s">
        <v>16126</v>
      </c>
      <c r="AF2110" s="920">
        <f>IF(X2110=X2109,AF2109,0)+IF(ISNUMBER(I2110),IF(I2110&lt;1,I2110,I2110*VLOOKUP(J2110,Summary!$H$2:$I$9,2)),VLOOKUP(J2110,Summary!$J$2:$K$9,2)*IF(ISNUMBER(H2110),H2110,1))</f>
        <v>0.92682870370370374</v>
      </c>
      <c r="AG2110" s="287">
        <v>2109</v>
      </c>
      <c r="AH2110" s="94"/>
      <c r="AI2110" s="94"/>
      <c r="AJ2110" s="3"/>
    </row>
    <row r="2111" spans="1:36" s="6" customFormat="1" ht="12" customHeight="1" x14ac:dyDescent="0.25">
      <c r="A2111" s="522" t="s">
        <v>1813</v>
      </c>
      <c r="B2111" s="522">
        <v>6</v>
      </c>
      <c r="C2111" s="522">
        <v>11.14</v>
      </c>
      <c r="D2111" s="434" t="s">
        <v>7808</v>
      </c>
      <c r="E2111" s="324" t="s">
        <v>7809</v>
      </c>
      <c r="F2111" s="174">
        <v>38200</v>
      </c>
      <c r="G2111" s="174"/>
      <c r="H2111" s="176">
        <v>1</v>
      </c>
      <c r="I2111" s="176">
        <v>16</v>
      </c>
      <c r="J2111" s="900" t="s">
        <v>2755</v>
      </c>
      <c r="K2111" s="164" t="s">
        <v>2644</v>
      </c>
      <c r="L2111" s="164" t="s">
        <v>461</v>
      </c>
      <c r="M2111" s="164"/>
      <c r="N2111" s="164" t="s">
        <v>7375</v>
      </c>
      <c r="O2111" s="164"/>
      <c r="P2111" s="173" t="s">
        <v>2559</v>
      </c>
      <c r="Q2111" s="164" t="s">
        <v>3947</v>
      </c>
      <c r="R2111" s="179" t="s">
        <v>2723</v>
      </c>
      <c r="S2111" s="354" t="s">
        <v>7314</v>
      </c>
      <c r="T2111" s="173"/>
      <c r="U2111" s="173"/>
      <c r="V2111" s="173"/>
      <c r="W2111" s="324" t="s">
        <v>7809</v>
      </c>
      <c r="X2111" s="656" t="s">
        <v>12337</v>
      </c>
      <c r="Y2111" s="363"/>
      <c r="Z2111" s="364">
        <v>999</v>
      </c>
      <c r="AA2111" s="364"/>
      <c r="AB2111" s="32">
        <f t="shared" ca="1" si="43"/>
        <v>0.69696302205689709</v>
      </c>
      <c r="AC2111" s="812"/>
      <c r="AD2111" s="763"/>
      <c r="AE2111" s="951"/>
      <c r="AF2111" s="921">
        <f>IF(X2111=X2110,AF2110,0)+IF(ISNUMBER(I2111),IF(I2111&lt;1,I2111,I2111*VLOOKUP(J2111,Summary!$H$2:$I$9,2)),VLOOKUP(J2111,Summary!$J$2:$K$9,2)*IF(ISNUMBER(H2111),H2111,1))</f>
        <v>0.93793981481481481</v>
      </c>
      <c r="AG2111" s="288">
        <v>2110</v>
      </c>
      <c r="AH2111" s="94"/>
      <c r="AI2111" s="94"/>
    </row>
    <row r="2112" spans="1:36" s="6" customFormat="1" ht="12" customHeight="1" x14ac:dyDescent="0.25">
      <c r="A2112" s="527" t="s">
        <v>1813</v>
      </c>
      <c r="B2112" s="527">
        <v>6</v>
      </c>
      <c r="C2112" s="527">
        <v>60</v>
      </c>
      <c r="D2112" s="407" t="s">
        <v>517</v>
      </c>
      <c r="E2112" s="315" t="s">
        <v>694</v>
      </c>
      <c r="F2112" s="169">
        <v>38200</v>
      </c>
      <c r="G2112" s="170"/>
      <c r="H2112" s="170">
        <v>4</v>
      </c>
      <c r="I2112" s="746">
        <f>TIME(2,18,40)</f>
        <v>9.6296296296296283E-2</v>
      </c>
      <c r="J2112" s="899" t="s">
        <v>4706</v>
      </c>
      <c r="K2112" s="167" t="s">
        <v>6248</v>
      </c>
      <c r="L2112" s="167" t="s">
        <v>7375</v>
      </c>
      <c r="M2112" s="167"/>
      <c r="N2112" s="167"/>
      <c r="O2112" s="167" t="s">
        <v>2909</v>
      </c>
      <c r="P2112" s="168"/>
      <c r="Q2112" s="167" t="s">
        <v>3947</v>
      </c>
      <c r="R2112" s="172" t="s">
        <v>3146</v>
      </c>
      <c r="S2112" s="388" t="s">
        <v>7314</v>
      </c>
      <c r="T2112" s="168"/>
      <c r="U2112" s="168"/>
      <c r="V2112" s="168"/>
      <c r="W2112" s="312" t="s">
        <v>9301</v>
      </c>
      <c r="X2112" s="644" t="s">
        <v>12337</v>
      </c>
      <c r="Y2112" s="352" t="s">
        <v>5398</v>
      </c>
      <c r="Z2112" s="353">
        <v>384</v>
      </c>
      <c r="AA2112" s="353">
        <v>5</v>
      </c>
      <c r="AB2112" s="40">
        <f t="shared" ca="1" si="43"/>
        <v>0.99193091041557002</v>
      </c>
      <c r="AC2112" s="810"/>
      <c r="AD2112" s="811" t="s">
        <v>16574</v>
      </c>
      <c r="AE2112" s="940" t="s">
        <v>15840</v>
      </c>
      <c r="AF2112" s="920">
        <f>IF(X2112=X2111,AF2111,0)+IF(ISNUMBER(I2112),IF(I2112&lt;1,I2112,I2112*VLOOKUP(J2112,Summary!$H$2:$I$9,2)),VLOOKUP(J2112,Summary!$J$2:$K$9,2)*IF(ISNUMBER(H2112),H2112,1))</f>
        <v>1.0342361111111111</v>
      </c>
      <c r="AG2112" s="287">
        <v>2111</v>
      </c>
      <c r="AH2112" s="94"/>
      <c r="AI2112" s="94"/>
    </row>
    <row r="2113" spans="1:36" s="43" customFormat="1" ht="12" customHeight="1" x14ac:dyDescent="0.25">
      <c r="A2113" s="522" t="s">
        <v>1813</v>
      </c>
      <c r="B2113" s="522">
        <v>6</v>
      </c>
      <c r="C2113" s="522">
        <v>18.16</v>
      </c>
      <c r="D2113" s="434" t="s">
        <v>2642</v>
      </c>
      <c r="E2113" s="324" t="s">
        <v>2643</v>
      </c>
      <c r="F2113" s="174">
        <v>38687</v>
      </c>
      <c r="G2113" s="174"/>
      <c r="H2113" s="176">
        <v>1</v>
      </c>
      <c r="I2113" s="176">
        <v>20</v>
      </c>
      <c r="J2113" s="900" t="s">
        <v>2755</v>
      </c>
      <c r="K2113" s="164" t="s">
        <v>5664</v>
      </c>
      <c r="L2113" s="164" t="s">
        <v>461</v>
      </c>
      <c r="M2113" s="164"/>
      <c r="N2113" s="164" t="s">
        <v>5664</v>
      </c>
      <c r="O2113" s="164"/>
      <c r="P2113" s="173" t="s">
        <v>5000</v>
      </c>
      <c r="Q2113" s="164" t="s">
        <v>3947</v>
      </c>
      <c r="R2113" s="179" t="s">
        <v>2723</v>
      </c>
      <c r="S2113" s="354" t="s">
        <v>7314</v>
      </c>
      <c r="T2113" s="173"/>
      <c r="U2113" s="173"/>
      <c r="V2113" s="173"/>
      <c r="W2113" s="324" t="s">
        <v>2643</v>
      </c>
      <c r="X2113" s="656" t="s">
        <v>12337</v>
      </c>
      <c r="Y2113" s="363"/>
      <c r="Z2113" s="364"/>
      <c r="AA2113" s="364"/>
      <c r="AB2113" s="32">
        <f t="shared" ca="1" si="43"/>
        <v>0.14230380626315964</v>
      </c>
      <c r="AC2113" s="812"/>
      <c r="AD2113" s="763"/>
      <c r="AE2113" s="951"/>
      <c r="AF2113" s="921">
        <f>IF(X2113=X2112,AF2112,0)+IF(ISNUMBER(I2113),IF(I2113&lt;1,I2113,I2113*VLOOKUP(J2113,Summary!$H$2:$I$9,2)),VLOOKUP(J2113,Summary!$J$2:$K$9,2)*IF(ISNUMBER(H2113),H2113,1))</f>
        <v>1.048125</v>
      </c>
      <c r="AG2113" s="288">
        <v>2112</v>
      </c>
      <c r="AH2113" s="94"/>
      <c r="AI2113" s="94"/>
    </row>
    <row r="2114" spans="1:36" s="29" customFormat="1" ht="12" customHeight="1" x14ac:dyDescent="0.25">
      <c r="A2114" s="527" t="s">
        <v>1813</v>
      </c>
      <c r="B2114" s="527">
        <v>6</v>
      </c>
      <c r="C2114" s="527">
        <v>78</v>
      </c>
      <c r="D2114" s="407" t="s">
        <v>695</v>
      </c>
      <c r="E2114" s="315" t="s">
        <v>696</v>
      </c>
      <c r="F2114" s="169">
        <v>38718</v>
      </c>
      <c r="G2114" s="170"/>
      <c r="H2114" s="170">
        <v>4</v>
      </c>
      <c r="I2114" s="746">
        <f>TIME(2,4,46)</f>
        <v>8.6643518518518522E-2</v>
      </c>
      <c r="J2114" s="899" t="s">
        <v>4706</v>
      </c>
      <c r="K2114" s="167" t="s">
        <v>6248</v>
      </c>
      <c r="L2114" s="167" t="s">
        <v>7375</v>
      </c>
      <c r="M2114" s="167"/>
      <c r="N2114" s="167"/>
      <c r="O2114" s="167" t="s">
        <v>2909</v>
      </c>
      <c r="P2114" s="168"/>
      <c r="Q2114" s="167" t="s">
        <v>3947</v>
      </c>
      <c r="R2114" s="172" t="s">
        <v>3146</v>
      </c>
      <c r="S2114" s="388" t="s">
        <v>7314</v>
      </c>
      <c r="T2114" s="168"/>
      <c r="U2114" s="168"/>
      <c r="V2114" s="168"/>
      <c r="W2114" s="312" t="s">
        <v>9337</v>
      </c>
      <c r="X2114" s="644" t="s">
        <v>12337</v>
      </c>
      <c r="Y2114" s="352" t="s">
        <v>5643</v>
      </c>
      <c r="Z2114" s="353">
        <v>581</v>
      </c>
      <c r="AA2114" s="353">
        <v>3.5</v>
      </c>
      <c r="AB2114" s="40">
        <f t="shared" ref="AB2114:AB2177" ca="1" si="44">RAND()</f>
        <v>0.34853592039915871</v>
      </c>
      <c r="AC2114" s="810"/>
      <c r="AD2114" s="811" t="s">
        <v>16714</v>
      </c>
      <c r="AE2114" s="940"/>
      <c r="AF2114" s="920">
        <f>IF(X2114=X2113,AF2113,0)+IF(ISNUMBER(I2114),IF(I2114&lt;1,I2114,I2114*VLOOKUP(J2114,Summary!$H$2:$I$9,2)),VLOOKUP(J2114,Summary!$J$2:$K$9,2)*IF(ISNUMBER(H2114),H2114,1))</f>
        <v>1.1347685185185186</v>
      </c>
      <c r="AG2114" s="287">
        <v>2113</v>
      </c>
      <c r="AH2114" s="94"/>
      <c r="AI2114" s="94"/>
    </row>
    <row r="2115" spans="1:36" s="43" customFormat="1" ht="12" customHeight="1" x14ac:dyDescent="0.25">
      <c r="A2115" s="527" t="s">
        <v>1813</v>
      </c>
      <c r="B2115" s="527">
        <v>6</v>
      </c>
      <c r="C2115" s="536">
        <v>5.05</v>
      </c>
      <c r="D2115" s="407" t="s">
        <v>719</v>
      </c>
      <c r="E2115" s="315" t="s">
        <v>6249</v>
      </c>
      <c r="F2115" s="169">
        <v>40483</v>
      </c>
      <c r="G2115" s="170"/>
      <c r="H2115" s="170">
        <v>2</v>
      </c>
      <c r="I2115" s="746">
        <f>TIME(1,2,46)</f>
        <v>4.3587962962962967E-2</v>
      </c>
      <c r="J2115" s="899" t="s">
        <v>4706</v>
      </c>
      <c r="K2115" s="167" t="s">
        <v>2911</v>
      </c>
      <c r="L2115" s="167" t="s">
        <v>5662</v>
      </c>
      <c r="M2115" s="167" t="s">
        <v>8056</v>
      </c>
      <c r="N2115" s="167"/>
      <c r="O2115" s="167"/>
      <c r="P2115" s="168" t="s">
        <v>9194</v>
      </c>
      <c r="Q2115" s="167" t="s">
        <v>3947</v>
      </c>
      <c r="R2115" s="172" t="s">
        <v>3153</v>
      </c>
      <c r="S2115" s="388" t="s">
        <v>7314</v>
      </c>
      <c r="T2115" s="168"/>
      <c r="U2115" s="168"/>
      <c r="V2115" s="168"/>
      <c r="W2115" s="312" t="s">
        <v>11108</v>
      </c>
      <c r="X2115" s="644" t="s">
        <v>12337</v>
      </c>
      <c r="Y2115" s="352" t="s">
        <v>5398</v>
      </c>
      <c r="Z2115" s="353">
        <v>603</v>
      </c>
      <c r="AA2115" s="353">
        <v>3.5</v>
      </c>
      <c r="AB2115" s="40">
        <f t="shared" ca="1" si="44"/>
        <v>0.72164259006013642</v>
      </c>
      <c r="AC2115" s="810"/>
      <c r="AD2115" s="811" t="s">
        <v>16592</v>
      </c>
      <c r="AE2115" s="940" t="s">
        <v>12543</v>
      </c>
      <c r="AF2115" s="920">
        <f>IF(X2115=X2114,AF2114,0)+IF(ISNUMBER(I2115),IF(I2115&lt;1,I2115,I2115*VLOOKUP(J2115,Summary!$H$2:$I$9,2)),VLOOKUP(J2115,Summary!$J$2:$K$9,2)*IF(ISNUMBER(H2115),H2115,1))</f>
        <v>1.1783564814814815</v>
      </c>
      <c r="AG2115" s="287">
        <v>2114</v>
      </c>
      <c r="AH2115" s="94"/>
      <c r="AI2115" s="94"/>
      <c r="AJ2115" s="22"/>
    </row>
    <row r="2116" spans="1:36" s="43" customFormat="1" ht="12" customHeight="1" x14ac:dyDescent="0.25">
      <c r="A2116" s="527" t="s">
        <v>1813</v>
      </c>
      <c r="B2116" s="527">
        <v>6</v>
      </c>
      <c r="C2116" s="527">
        <v>84</v>
      </c>
      <c r="D2116" s="407" t="s">
        <v>697</v>
      </c>
      <c r="E2116" s="315" t="s">
        <v>6637</v>
      </c>
      <c r="F2116" s="169">
        <v>38899</v>
      </c>
      <c r="G2116" s="170"/>
      <c r="H2116" s="170">
        <v>4</v>
      </c>
      <c r="I2116" s="746">
        <f>TIME(1,59,18)</f>
        <v>8.2847222222222225E-2</v>
      </c>
      <c r="J2116" s="899" t="s">
        <v>4706</v>
      </c>
      <c r="K2116" s="167" t="s">
        <v>4549</v>
      </c>
      <c r="L2116" s="167" t="s">
        <v>4549</v>
      </c>
      <c r="M2116" s="167"/>
      <c r="N2116" s="167"/>
      <c r="O2116" s="167" t="s">
        <v>2909</v>
      </c>
      <c r="P2116" s="168"/>
      <c r="Q2116" s="167" t="s">
        <v>3947</v>
      </c>
      <c r="R2116" s="172" t="s">
        <v>3146</v>
      </c>
      <c r="S2116" s="388" t="s">
        <v>7314</v>
      </c>
      <c r="T2116" s="168"/>
      <c r="U2116" s="168"/>
      <c r="V2116" s="168"/>
      <c r="W2116" s="312" t="s">
        <v>9582</v>
      </c>
      <c r="X2116" s="644" t="s">
        <v>12337</v>
      </c>
      <c r="Y2116" s="352" t="s">
        <v>5398</v>
      </c>
      <c r="Z2116" s="353">
        <v>394</v>
      </c>
      <c r="AA2116" s="353">
        <v>5</v>
      </c>
      <c r="AB2116" s="40">
        <f t="shared" ca="1" si="44"/>
        <v>0.84347132884378229</v>
      </c>
      <c r="AC2116" s="810"/>
      <c r="AD2116" s="811" t="s">
        <v>16759</v>
      </c>
      <c r="AE2116" s="940"/>
      <c r="AF2116" s="920">
        <f>IF(X2116=X2115,AF2115,0)+IF(ISNUMBER(I2116),IF(I2116&lt;1,I2116,I2116*VLOOKUP(J2116,Summary!$H$2:$I$9,2)),VLOOKUP(J2116,Summary!$J$2:$K$9,2)*IF(ISNUMBER(H2116),H2116,1))</f>
        <v>1.2612037037037038</v>
      </c>
      <c r="AG2116" s="287">
        <v>2115</v>
      </c>
      <c r="AH2116" s="94"/>
      <c r="AI2116" s="94"/>
      <c r="AJ2116" s="22"/>
    </row>
    <row r="2117" spans="1:36" s="43" customFormat="1" ht="12" customHeight="1" x14ac:dyDescent="0.25">
      <c r="A2117" s="527" t="s">
        <v>1813</v>
      </c>
      <c r="B2117" s="527">
        <v>6</v>
      </c>
      <c r="C2117" s="527">
        <v>100.2</v>
      </c>
      <c r="D2117" s="407" t="s">
        <v>6251</v>
      </c>
      <c r="E2117" s="315" t="s">
        <v>3825</v>
      </c>
      <c r="F2117" s="169">
        <v>39326</v>
      </c>
      <c r="G2117" s="170"/>
      <c r="H2117" s="170">
        <v>1</v>
      </c>
      <c r="I2117" s="746">
        <f>TIME(0,30,19)</f>
        <v>2.1053240740740744E-2</v>
      </c>
      <c r="J2117" s="899" t="s">
        <v>4706</v>
      </c>
      <c r="K2117" s="167" t="s">
        <v>3800</v>
      </c>
      <c r="L2117" s="167" t="s">
        <v>4549</v>
      </c>
      <c r="M2117" s="167"/>
      <c r="N2117" s="167"/>
      <c r="O2117" s="167"/>
      <c r="P2117" s="168"/>
      <c r="Q2117" s="167" t="s">
        <v>3947</v>
      </c>
      <c r="R2117" s="172" t="s">
        <v>3146</v>
      </c>
      <c r="S2117" s="388" t="s">
        <v>7314</v>
      </c>
      <c r="T2117" s="168"/>
      <c r="U2117" s="168"/>
      <c r="V2117" s="168"/>
      <c r="W2117" s="315" t="s">
        <v>9326</v>
      </c>
      <c r="X2117" s="647" t="s">
        <v>12337</v>
      </c>
      <c r="Y2117" s="352" t="s">
        <v>5643</v>
      </c>
      <c r="Z2117" s="353">
        <v>99</v>
      </c>
      <c r="AA2117" s="353">
        <v>7.5</v>
      </c>
      <c r="AB2117" s="40">
        <f t="shared" ca="1" si="44"/>
        <v>0.74408539298567822</v>
      </c>
      <c r="AC2117" s="810"/>
      <c r="AD2117" s="811" t="s">
        <v>16589</v>
      </c>
      <c r="AE2117" s="948" t="s">
        <v>15093</v>
      </c>
      <c r="AF2117" s="920">
        <f>IF(X2117=X2116,AF2116,0)+IF(ISNUMBER(I2117),IF(I2117&lt;1,I2117,I2117*VLOOKUP(J2117,Summary!$H$2:$I$9,2)),VLOOKUP(J2117,Summary!$J$2:$K$9,2)*IF(ISNUMBER(H2117),H2117,1))</f>
        <v>1.2822569444444445</v>
      </c>
      <c r="AG2117" s="287">
        <v>2116</v>
      </c>
      <c r="AH2117" s="94"/>
      <c r="AI2117" s="94"/>
      <c r="AJ2117" s="6"/>
    </row>
    <row r="2118" spans="1:36" s="2" customFormat="1" ht="12" customHeight="1" x14ac:dyDescent="0.25">
      <c r="A2118" s="527" t="s">
        <v>1813</v>
      </c>
      <c r="B2118" s="527">
        <v>6</v>
      </c>
      <c r="C2118" s="527">
        <v>100.1</v>
      </c>
      <c r="D2118" s="407" t="s">
        <v>6250</v>
      </c>
      <c r="E2118" s="315" t="s">
        <v>3826</v>
      </c>
      <c r="F2118" s="169">
        <v>39326</v>
      </c>
      <c r="G2118" s="170"/>
      <c r="H2118" s="170">
        <v>1</v>
      </c>
      <c r="I2118" s="746">
        <f>TIME(0,29,8)</f>
        <v>2.0231481481481482E-2</v>
      </c>
      <c r="J2118" s="899" t="s">
        <v>4706</v>
      </c>
      <c r="K2118" s="167" t="s">
        <v>4552</v>
      </c>
      <c r="L2118" s="167" t="s">
        <v>4549</v>
      </c>
      <c r="M2118" s="167"/>
      <c r="N2118" s="167"/>
      <c r="O2118" s="167"/>
      <c r="P2118" s="168"/>
      <c r="Q2118" s="167" t="s">
        <v>3947</v>
      </c>
      <c r="R2118" s="172" t="s">
        <v>3146</v>
      </c>
      <c r="S2118" s="388" t="s">
        <v>7314</v>
      </c>
      <c r="T2118" s="168"/>
      <c r="U2118" s="168"/>
      <c r="V2118" s="168"/>
      <c r="W2118" s="315" t="s">
        <v>9325</v>
      </c>
      <c r="X2118" s="647" t="s">
        <v>12337</v>
      </c>
      <c r="Y2118" s="352" t="s">
        <v>5643</v>
      </c>
      <c r="Z2118" s="353">
        <v>183</v>
      </c>
      <c r="AA2118" s="353">
        <v>6</v>
      </c>
      <c r="AB2118" s="40">
        <f t="shared" ca="1" si="44"/>
        <v>0.33016053223677699</v>
      </c>
      <c r="AC2118" s="810"/>
      <c r="AD2118" s="825" t="s">
        <v>15053</v>
      </c>
      <c r="AE2118" s="948"/>
      <c r="AF2118" s="920">
        <f>IF(X2118=X2117,AF2117,0)+IF(ISNUMBER(I2118),IF(I2118&lt;1,I2118,I2118*VLOOKUP(J2118,Summary!$H$2:$I$9,2)),VLOOKUP(J2118,Summary!$J$2:$K$9,2)*IF(ISNUMBER(H2118),H2118,1))</f>
        <v>1.302488425925926</v>
      </c>
      <c r="AG2118" s="287">
        <v>2117</v>
      </c>
      <c r="AH2118" s="94"/>
      <c r="AI2118" s="94"/>
      <c r="AJ2118" s="6"/>
    </row>
    <row r="2119" spans="1:36" s="6" customFormat="1" ht="12" customHeight="1" x14ac:dyDescent="0.25">
      <c r="A2119" s="527" t="s">
        <v>1813</v>
      </c>
      <c r="B2119" s="527">
        <v>6</v>
      </c>
      <c r="C2119" s="527">
        <v>100.3</v>
      </c>
      <c r="D2119" s="407" t="s">
        <v>6252</v>
      </c>
      <c r="E2119" s="315" t="s">
        <v>5212</v>
      </c>
      <c r="F2119" s="169">
        <v>39326</v>
      </c>
      <c r="G2119" s="170"/>
      <c r="H2119" s="170">
        <v>1</v>
      </c>
      <c r="I2119" s="746">
        <f>TIME(0,31,58)</f>
        <v>2.2199074074074076E-2</v>
      </c>
      <c r="J2119" s="899" t="s">
        <v>4706</v>
      </c>
      <c r="K2119" s="167" t="s">
        <v>4425</v>
      </c>
      <c r="L2119" s="167" t="s">
        <v>4549</v>
      </c>
      <c r="M2119" s="167"/>
      <c r="N2119" s="167"/>
      <c r="O2119" s="167"/>
      <c r="P2119" s="168"/>
      <c r="Q2119" s="167" t="s">
        <v>3947</v>
      </c>
      <c r="R2119" s="172" t="s">
        <v>3146</v>
      </c>
      <c r="S2119" s="388" t="s">
        <v>7314</v>
      </c>
      <c r="T2119" s="168"/>
      <c r="U2119" s="168"/>
      <c r="V2119" s="168"/>
      <c r="W2119" s="315" t="s">
        <v>9327</v>
      </c>
      <c r="X2119" s="647" t="s">
        <v>12337</v>
      </c>
      <c r="Y2119" s="352" t="s">
        <v>5643</v>
      </c>
      <c r="Z2119" s="353">
        <v>659</v>
      </c>
      <c r="AA2119" s="353">
        <v>2.5</v>
      </c>
      <c r="AB2119" s="40">
        <f t="shared" ca="1" si="44"/>
        <v>5.557969242048022E-2</v>
      </c>
      <c r="AC2119" s="810"/>
      <c r="AD2119" s="811" t="s">
        <v>14583</v>
      </c>
      <c r="AE2119" s="948" t="s">
        <v>12543</v>
      </c>
      <c r="AF2119" s="920">
        <f>IF(X2119=X2118,AF2118,0)+IF(ISNUMBER(I2119),IF(I2119&lt;1,I2119,I2119*VLOOKUP(J2119,Summary!$H$2:$I$9,2)),VLOOKUP(J2119,Summary!$J$2:$K$9,2)*IF(ISNUMBER(H2119),H2119,1))</f>
        <v>1.3246875</v>
      </c>
      <c r="AG2119" s="287">
        <v>2118</v>
      </c>
      <c r="AH2119" s="94"/>
      <c r="AI2119" s="94"/>
      <c r="AJ2119" s="22"/>
    </row>
    <row r="2120" spans="1:36" s="43" customFormat="1" ht="12" customHeight="1" x14ac:dyDescent="0.25">
      <c r="A2120" s="527" t="s">
        <v>1813</v>
      </c>
      <c r="B2120" s="527">
        <v>6</v>
      </c>
      <c r="C2120" s="527">
        <v>100.4</v>
      </c>
      <c r="D2120" s="407" t="s">
        <v>3824</v>
      </c>
      <c r="E2120" s="315" t="s">
        <v>5320</v>
      </c>
      <c r="F2120" s="169">
        <v>39326</v>
      </c>
      <c r="G2120" s="170"/>
      <c r="H2120" s="170">
        <v>1</v>
      </c>
      <c r="I2120" s="746">
        <f>TIME(0,30,54)</f>
        <v>2.1458333333333333E-2</v>
      </c>
      <c r="J2120" s="899" t="s">
        <v>4706</v>
      </c>
      <c r="K2120" s="167" t="s">
        <v>3807</v>
      </c>
      <c r="L2120" s="167" t="s">
        <v>4549</v>
      </c>
      <c r="M2120" s="167"/>
      <c r="N2120" s="167"/>
      <c r="O2120" s="167"/>
      <c r="P2120" s="168"/>
      <c r="Q2120" s="167" t="s">
        <v>3947</v>
      </c>
      <c r="R2120" s="172" t="s">
        <v>3146</v>
      </c>
      <c r="S2120" s="388" t="s">
        <v>7314</v>
      </c>
      <c r="T2120" s="168"/>
      <c r="U2120" s="168"/>
      <c r="V2120" s="168"/>
      <c r="W2120" s="315" t="s">
        <v>9328</v>
      </c>
      <c r="X2120" s="647" t="s">
        <v>12337</v>
      </c>
      <c r="Y2120" s="352" t="s">
        <v>5643</v>
      </c>
      <c r="Z2120" s="353">
        <v>582</v>
      </c>
      <c r="AA2120" s="353">
        <v>3.5</v>
      </c>
      <c r="AB2120" s="40">
        <f t="shared" ca="1" si="44"/>
        <v>0.71186126928587434</v>
      </c>
      <c r="AC2120" s="810"/>
      <c r="AD2120" s="811" t="s">
        <v>16617</v>
      </c>
      <c r="AE2120" s="948" t="s">
        <v>12543</v>
      </c>
      <c r="AF2120" s="920">
        <f>IF(X2120=X2119,AF2119,0)+IF(ISNUMBER(I2120),IF(I2120&lt;1,I2120,I2120*VLOOKUP(J2120,Summary!$H$2:$I$9,2)),VLOOKUP(J2120,Summary!$J$2:$K$9,2)*IF(ISNUMBER(H2120),H2120,1))</f>
        <v>1.3461458333333334</v>
      </c>
      <c r="AG2120" s="287">
        <v>2119</v>
      </c>
      <c r="AH2120" s="94"/>
      <c r="AI2120" s="94"/>
      <c r="AJ2120" s="2"/>
    </row>
    <row r="2121" spans="1:36" s="3" customFormat="1" ht="12" customHeight="1" x14ac:dyDescent="0.25">
      <c r="A2121" s="522" t="s">
        <v>1813</v>
      </c>
      <c r="B2121" s="522">
        <v>6</v>
      </c>
      <c r="C2121" s="522">
        <v>25.16</v>
      </c>
      <c r="D2121" s="434" t="s">
        <v>2640</v>
      </c>
      <c r="E2121" s="324" t="s">
        <v>2641</v>
      </c>
      <c r="F2121" s="174">
        <v>39417</v>
      </c>
      <c r="G2121" s="174"/>
      <c r="H2121" s="176">
        <v>1</v>
      </c>
      <c r="I2121" s="176">
        <v>10</v>
      </c>
      <c r="J2121" s="900" t="s">
        <v>2755</v>
      </c>
      <c r="K2121" s="164" t="s">
        <v>185</v>
      </c>
      <c r="L2121" s="164" t="s">
        <v>461</v>
      </c>
      <c r="M2121" s="164"/>
      <c r="N2121" s="164" t="s">
        <v>5146</v>
      </c>
      <c r="O2121" s="164"/>
      <c r="P2121" s="173" t="s">
        <v>6701</v>
      </c>
      <c r="Q2121" s="164" t="s">
        <v>3947</v>
      </c>
      <c r="R2121" s="179" t="s">
        <v>2723</v>
      </c>
      <c r="S2121" s="354" t="s">
        <v>7314</v>
      </c>
      <c r="T2121" s="173"/>
      <c r="U2121" s="173"/>
      <c r="V2121" s="173"/>
      <c r="W2121" s="324" t="s">
        <v>2641</v>
      </c>
      <c r="X2121" s="656" t="s">
        <v>15471</v>
      </c>
      <c r="Y2121" s="363"/>
      <c r="Z2121" s="364"/>
      <c r="AA2121" s="364"/>
      <c r="AB2121" s="32">
        <f t="shared" ca="1" si="44"/>
        <v>9.9291900868977101E-2</v>
      </c>
      <c r="AC2121" s="812"/>
      <c r="AD2121" s="763"/>
      <c r="AE2121" s="951"/>
      <c r="AF2121" s="921">
        <f>IF(X2121=X2120,AF2120,0)+IF(ISNUMBER(I2121),IF(I2121&lt;1,I2121,I2121*VLOOKUP(J2121,Summary!$H$2:$I$9,2)),VLOOKUP(J2121,Summary!$J$2:$K$9,2)*IF(ISNUMBER(H2121),H2121,1))</f>
        <v>6.9444444444444449E-3</v>
      </c>
      <c r="AG2121" s="288">
        <v>2120</v>
      </c>
      <c r="AH2121" s="94"/>
      <c r="AI2121" s="94"/>
    </row>
    <row r="2122" spans="1:36" s="43" customFormat="1" ht="12" customHeight="1" x14ac:dyDescent="0.25">
      <c r="A2122" s="527" t="s">
        <v>1813</v>
      </c>
      <c r="B2122" s="527">
        <v>6</v>
      </c>
      <c r="C2122" s="527">
        <v>108</v>
      </c>
      <c r="D2122" s="407" t="s">
        <v>6638</v>
      </c>
      <c r="E2122" s="315" t="s">
        <v>6639</v>
      </c>
      <c r="F2122" s="169">
        <v>39569</v>
      </c>
      <c r="G2122" s="170"/>
      <c r="H2122" s="170">
        <v>4</v>
      </c>
      <c r="I2122" s="746">
        <f>TIME(1,52,35)</f>
        <v>7.8182870370370375E-2</v>
      </c>
      <c r="J2122" s="899" t="s">
        <v>4706</v>
      </c>
      <c r="K2122" s="167" t="s">
        <v>6248</v>
      </c>
      <c r="L2122" s="167" t="s">
        <v>3296</v>
      </c>
      <c r="M2122" s="167"/>
      <c r="N2122" s="167"/>
      <c r="O2122" s="167"/>
      <c r="P2122" s="168"/>
      <c r="Q2122" s="167" t="s">
        <v>3947</v>
      </c>
      <c r="R2122" s="172" t="s">
        <v>3146</v>
      </c>
      <c r="S2122" s="388" t="s">
        <v>7314</v>
      </c>
      <c r="T2122" s="168"/>
      <c r="U2122" s="168"/>
      <c r="V2122" s="168"/>
      <c r="W2122" s="312" t="s">
        <v>8671</v>
      </c>
      <c r="X2122" s="644" t="s">
        <v>15471</v>
      </c>
      <c r="Y2122" s="352" t="s">
        <v>5643</v>
      </c>
      <c r="Z2122" s="353">
        <v>486</v>
      </c>
      <c r="AA2122" s="353">
        <v>4</v>
      </c>
      <c r="AB2122" s="40">
        <f t="shared" ca="1" si="44"/>
        <v>0.3550280345101452</v>
      </c>
      <c r="AC2122" s="810"/>
      <c r="AD2122" s="811" t="s">
        <v>16602</v>
      </c>
      <c r="AE2122" s="940"/>
      <c r="AF2122" s="920">
        <f>IF(X2122=X2121,AF2121,0)+IF(ISNUMBER(I2122),IF(I2122&lt;1,I2122,I2122*VLOOKUP(J2122,Summary!$H$2:$I$9,2)),VLOOKUP(J2122,Summary!$J$2:$K$9,2)*IF(ISNUMBER(H2122),H2122,1))</f>
        <v>8.5127314814814822E-2</v>
      </c>
      <c r="AG2122" s="287">
        <v>2121</v>
      </c>
      <c r="AH2122" s="94"/>
      <c r="AI2122" s="94"/>
      <c r="AJ2122" s="22"/>
    </row>
    <row r="2123" spans="1:36" s="43" customFormat="1" ht="12" customHeight="1" x14ac:dyDescent="0.25">
      <c r="A2123" s="522" t="s">
        <v>1813</v>
      </c>
      <c r="B2123" s="522">
        <v>6</v>
      </c>
      <c r="C2123" s="522">
        <v>29.11</v>
      </c>
      <c r="D2123" s="176" t="s">
        <v>960</v>
      </c>
      <c r="E2123" s="313" t="s">
        <v>4059</v>
      </c>
      <c r="F2123" s="174">
        <v>39692</v>
      </c>
      <c r="G2123" s="174"/>
      <c r="H2123" s="176" t="s">
        <v>461</v>
      </c>
      <c r="I2123" s="176">
        <v>8</v>
      </c>
      <c r="J2123" s="900" t="s">
        <v>2755</v>
      </c>
      <c r="K2123" s="164" t="s">
        <v>4058</v>
      </c>
      <c r="L2123" s="164" t="s">
        <v>461</v>
      </c>
      <c r="M2123" s="164"/>
      <c r="N2123" s="164" t="s">
        <v>5664</v>
      </c>
      <c r="O2123" s="164"/>
      <c r="P2123" s="173" t="s">
        <v>6707</v>
      </c>
      <c r="Q2123" s="164" t="s">
        <v>3947</v>
      </c>
      <c r="R2123" s="177" t="s">
        <v>2723</v>
      </c>
      <c r="S2123" s="354" t="s">
        <v>7314</v>
      </c>
      <c r="T2123" s="173"/>
      <c r="U2123" s="173"/>
      <c r="V2123" s="173"/>
      <c r="W2123" s="313" t="s">
        <v>4059</v>
      </c>
      <c r="X2123" s="645" t="s">
        <v>15471</v>
      </c>
      <c r="Y2123" s="354"/>
      <c r="Z2123" s="176"/>
      <c r="AA2123" s="176"/>
      <c r="AB2123" s="32">
        <f t="shared" ca="1" si="44"/>
        <v>5.4649401385585827E-2</v>
      </c>
      <c r="AC2123" s="812"/>
      <c r="AD2123" s="763"/>
      <c r="AE2123" s="807"/>
      <c r="AF2123" s="921">
        <f>IF(X2123=X2122,AF2122,0)+IF(ISNUMBER(I2123),IF(I2123&lt;1,I2123,I2123*VLOOKUP(J2123,Summary!$H$2:$I$9,2)),VLOOKUP(J2123,Summary!$J$2:$K$9,2)*IF(ISNUMBER(H2123),H2123,1))</f>
        <v>9.0682870370370372E-2</v>
      </c>
      <c r="AG2123" s="289">
        <v>2122</v>
      </c>
      <c r="AH2123" s="94"/>
      <c r="AI2123" s="94"/>
      <c r="AJ2123" s="22"/>
    </row>
    <row r="2124" spans="1:36" s="43" customFormat="1" ht="12" customHeight="1" x14ac:dyDescent="0.25">
      <c r="A2124" s="522" t="s">
        <v>1813</v>
      </c>
      <c r="B2124" s="522">
        <v>6</v>
      </c>
      <c r="C2124" s="522">
        <v>30.13</v>
      </c>
      <c r="D2124" s="176" t="s">
        <v>5366</v>
      </c>
      <c r="E2124" s="313" t="s">
        <v>12761</v>
      </c>
      <c r="F2124" s="174">
        <v>39783</v>
      </c>
      <c r="G2124" s="174"/>
      <c r="H2124" s="176" t="s">
        <v>461</v>
      </c>
      <c r="I2124" s="176">
        <v>16</v>
      </c>
      <c r="J2124" s="900" t="s">
        <v>2755</v>
      </c>
      <c r="K2124" s="164" t="s">
        <v>2554</v>
      </c>
      <c r="L2124" s="164" t="s">
        <v>461</v>
      </c>
      <c r="M2124" s="164"/>
      <c r="N2124" s="164" t="s">
        <v>4944</v>
      </c>
      <c r="O2124" s="164"/>
      <c r="P2124" s="173" t="s">
        <v>6702</v>
      </c>
      <c r="Q2124" s="164" t="s">
        <v>3947</v>
      </c>
      <c r="R2124" s="177" t="s">
        <v>2723</v>
      </c>
      <c r="S2124" s="354" t="s">
        <v>7314</v>
      </c>
      <c r="T2124" s="173"/>
      <c r="U2124" s="173"/>
      <c r="V2124" s="173"/>
      <c r="W2124" s="313" t="s">
        <v>608</v>
      </c>
      <c r="X2124" s="645" t="s">
        <v>15471</v>
      </c>
      <c r="Y2124" s="354"/>
      <c r="Z2124" s="176"/>
      <c r="AA2124" s="176"/>
      <c r="AB2124" s="32">
        <f t="shared" ca="1" si="44"/>
        <v>0.90029125759499729</v>
      </c>
      <c r="AC2124" s="812"/>
      <c r="AD2124" s="763"/>
      <c r="AE2124" s="807"/>
      <c r="AF2124" s="921">
        <f>IF(X2124=X2123,AF2123,0)+IF(ISNUMBER(I2124),IF(I2124&lt;1,I2124,I2124*VLOOKUP(J2124,Summary!$H$2:$I$9,2)),VLOOKUP(J2124,Summary!$J$2:$K$9,2)*IF(ISNUMBER(H2124),H2124,1))</f>
        <v>0.10179398148148149</v>
      </c>
      <c r="AG2124" s="289">
        <v>2123</v>
      </c>
      <c r="AH2124" s="94"/>
      <c r="AI2124" s="94"/>
      <c r="AJ2124" s="22"/>
    </row>
    <row r="2125" spans="1:36" s="6" customFormat="1" ht="12" customHeight="1" x14ac:dyDescent="0.25">
      <c r="A2125" s="522" t="s">
        <v>1813</v>
      </c>
      <c r="B2125" s="522">
        <v>6</v>
      </c>
      <c r="C2125" s="522">
        <v>31.14</v>
      </c>
      <c r="D2125" s="176" t="s">
        <v>621</v>
      </c>
      <c r="E2125" s="313" t="s">
        <v>631</v>
      </c>
      <c r="F2125" s="174">
        <v>39873</v>
      </c>
      <c r="G2125" s="174"/>
      <c r="H2125" s="176" t="s">
        <v>461</v>
      </c>
      <c r="I2125" s="176">
        <v>15</v>
      </c>
      <c r="J2125" s="900" t="s">
        <v>2755</v>
      </c>
      <c r="K2125" s="164" t="s">
        <v>4042</v>
      </c>
      <c r="L2125" s="164" t="s">
        <v>461</v>
      </c>
      <c r="M2125" s="164"/>
      <c r="N2125" s="164" t="s">
        <v>1805</v>
      </c>
      <c r="O2125" s="164"/>
      <c r="P2125" s="173" t="s">
        <v>6699</v>
      </c>
      <c r="Q2125" s="164" t="s">
        <v>3947</v>
      </c>
      <c r="R2125" s="177" t="s">
        <v>2723</v>
      </c>
      <c r="S2125" s="354" t="s">
        <v>7314</v>
      </c>
      <c r="T2125" s="173"/>
      <c r="U2125" s="173"/>
      <c r="V2125" s="173"/>
      <c r="W2125" s="313" t="s">
        <v>631</v>
      </c>
      <c r="X2125" s="645" t="s">
        <v>15471</v>
      </c>
      <c r="Y2125" s="354"/>
      <c r="Z2125" s="176"/>
      <c r="AA2125" s="176"/>
      <c r="AB2125" s="32">
        <f t="shared" ca="1" si="44"/>
        <v>0.52165122147025944</v>
      </c>
      <c r="AC2125" s="812"/>
      <c r="AD2125" s="763"/>
      <c r="AE2125" s="807"/>
      <c r="AF2125" s="921">
        <f>IF(X2125=X2124,AF2124,0)+IF(ISNUMBER(I2125),IF(I2125&lt;1,I2125,I2125*VLOOKUP(J2125,Summary!$H$2:$I$9,2)),VLOOKUP(J2125,Summary!$J$2:$K$9,2)*IF(ISNUMBER(H2125),H2125,1))</f>
        <v>0.11221064814814816</v>
      </c>
      <c r="AG2125" s="289">
        <v>2124</v>
      </c>
      <c r="AH2125" s="94"/>
      <c r="AI2125" s="94"/>
      <c r="AJ2125" s="43"/>
    </row>
    <row r="2126" spans="1:36" s="29" customFormat="1" ht="12" customHeight="1" x14ac:dyDescent="0.25">
      <c r="A2126" s="524" t="s">
        <v>1813</v>
      </c>
      <c r="B2126" s="524">
        <v>6</v>
      </c>
      <c r="C2126" s="530">
        <v>0.34</v>
      </c>
      <c r="D2126" s="192" t="s">
        <v>15407</v>
      </c>
      <c r="E2126" s="317" t="s">
        <v>15409</v>
      </c>
      <c r="F2126" s="209">
        <v>43179</v>
      </c>
      <c r="G2126" s="209"/>
      <c r="H2126" s="192" t="s">
        <v>461</v>
      </c>
      <c r="I2126" s="753"/>
      <c r="J2126" s="903" t="s">
        <v>2755</v>
      </c>
      <c r="K2126" s="194" t="s">
        <v>4058</v>
      </c>
      <c r="L2126" s="194" t="s">
        <v>3365</v>
      </c>
      <c r="M2126" s="194" t="s">
        <v>9290</v>
      </c>
      <c r="N2126" s="194"/>
      <c r="O2126" s="194"/>
      <c r="P2126" s="190" t="s">
        <v>461</v>
      </c>
      <c r="Q2126" s="194" t="s">
        <v>3947</v>
      </c>
      <c r="R2126" s="193" t="s">
        <v>2722</v>
      </c>
      <c r="S2126" s="357" t="s">
        <v>7314</v>
      </c>
      <c r="T2126" s="190"/>
      <c r="U2126" s="190"/>
      <c r="V2126" s="190"/>
      <c r="W2126" s="317" t="s">
        <v>15409</v>
      </c>
      <c r="X2126" s="649" t="s">
        <v>15471</v>
      </c>
      <c r="Y2126" s="357"/>
      <c r="Z2126" s="176"/>
      <c r="AA2126" s="192"/>
      <c r="AB2126" s="37">
        <f t="shared" ca="1" si="44"/>
        <v>0.51653117918271507</v>
      </c>
      <c r="AC2126" s="816"/>
      <c r="AD2126" s="817"/>
      <c r="AE2126" s="943"/>
      <c r="AF2126" s="924">
        <f>IF(X2126=X2125,AF2125,0)+IF(ISNUMBER(I2126),IF(I2126&lt;1,I2126,I2126*VLOOKUP(J2126,Summary!$H$2:$I$9,2)),VLOOKUP(J2126,Summary!$J$2:$K$9,2)*IF(ISNUMBER(H2126),H2126,1))</f>
        <v>0.12957175925925926</v>
      </c>
      <c r="AG2126" s="292">
        <v>2125</v>
      </c>
      <c r="AH2126" s="94"/>
      <c r="AI2126" s="94"/>
    </row>
    <row r="2127" spans="1:36" s="43" customFormat="1" ht="12" customHeight="1" x14ac:dyDescent="0.25">
      <c r="A2127" s="523" t="s">
        <v>1813</v>
      </c>
      <c r="B2127" s="523">
        <v>6</v>
      </c>
      <c r="C2127" s="523">
        <v>12</v>
      </c>
      <c r="D2127" s="417" t="s">
        <v>732</v>
      </c>
      <c r="E2127" s="316" t="s">
        <v>733</v>
      </c>
      <c r="F2127" s="187">
        <v>35947</v>
      </c>
      <c r="G2127" s="188"/>
      <c r="H2127" s="188" t="str">
        <f>IF(J2127="Book","n/a","")</f>
        <v>n/a</v>
      </c>
      <c r="I2127" s="188">
        <v>280</v>
      </c>
      <c r="J2127" s="902" t="s">
        <v>6868</v>
      </c>
      <c r="K2127" s="162" t="s">
        <v>6234</v>
      </c>
      <c r="L2127" s="162" t="str">
        <f>IF(J2127="Book","n/a","")</f>
        <v>n/a</v>
      </c>
      <c r="M2127" s="162"/>
      <c r="N2127" s="162"/>
      <c r="O2127" s="162"/>
      <c r="P2127" s="178" t="s">
        <v>8937</v>
      </c>
      <c r="Q2127" s="162" t="s">
        <v>3953</v>
      </c>
      <c r="R2127" s="189" t="s">
        <v>2717</v>
      </c>
      <c r="S2127" s="366"/>
      <c r="T2127" s="178" t="s">
        <v>7313</v>
      </c>
      <c r="U2127" s="178"/>
      <c r="V2127" s="178"/>
      <c r="W2127" s="316" t="s">
        <v>733</v>
      </c>
      <c r="X2127" s="648" t="s">
        <v>15471</v>
      </c>
      <c r="Y2127" s="356" t="s">
        <v>6868</v>
      </c>
      <c r="Z2127" s="272"/>
      <c r="AA2127" s="272"/>
      <c r="AB2127" s="34">
        <f t="shared" ca="1" si="44"/>
        <v>0.76873753588948512</v>
      </c>
      <c r="AC2127" s="814"/>
      <c r="AD2127" s="815" t="s">
        <v>16449</v>
      </c>
      <c r="AE2127" s="942" t="s">
        <v>3365</v>
      </c>
      <c r="AF2127" s="923">
        <f>IF(X2127=X2126,AF2126,0)+IF(ISNUMBER(I2127),IF(I2127&lt;1,I2127,I2127*VLOOKUP(J2127,Summary!$H$2:$I$9,2)),VLOOKUP(J2127,Summary!$J$2:$K$9,2)*IF(ISNUMBER(H2127),H2127,1))</f>
        <v>0.32401620370370371</v>
      </c>
      <c r="AG2127" s="291">
        <v>2126</v>
      </c>
      <c r="AH2127" s="94"/>
      <c r="AI2127" s="94"/>
      <c r="AJ2127" s="2"/>
    </row>
    <row r="2128" spans="1:36" s="43" customFormat="1" ht="12" customHeight="1" x14ac:dyDescent="0.25">
      <c r="A2128" s="527" t="s">
        <v>1813</v>
      </c>
      <c r="B2128" s="527">
        <v>6</v>
      </c>
      <c r="C2128" s="527">
        <v>33.5</v>
      </c>
      <c r="D2128" s="407" t="s">
        <v>734</v>
      </c>
      <c r="E2128" s="315" t="s">
        <v>735</v>
      </c>
      <c r="F2128" s="196">
        <v>37574</v>
      </c>
      <c r="G2128" s="170"/>
      <c r="H2128" s="170">
        <v>1</v>
      </c>
      <c r="I2128" s="746">
        <f>TIME(0,68,19)</f>
        <v>4.7442129629629626E-2</v>
      </c>
      <c r="J2128" s="899" t="s">
        <v>4706</v>
      </c>
      <c r="K2128" s="167" t="s">
        <v>3800</v>
      </c>
      <c r="L2128" s="167" t="s">
        <v>7375</v>
      </c>
      <c r="M2128" s="167"/>
      <c r="N2128" s="167"/>
      <c r="O2128" s="167" t="s">
        <v>2909</v>
      </c>
      <c r="P2128" s="168" t="s">
        <v>8633</v>
      </c>
      <c r="Q2128" s="167" t="s">
        <v>3947</v>
      </c>
      <c r="R2128" s="172" t="s">
        <v>576</v>
      </c>
      <c r="S2128" s="388"/>
      <c r="T2128" s="168" t="s">
        <v>7313</v>
      </c>
      <c r="U2128" s="168"/>
      <c r="V2128" s="168"/>
      <c r="W2128" s="315" t="s">
        <v>735</v>
      </c>
      <c r="X2128" s="647" t="s">
        <v>15471</v>
      </c>
      <c r="Y2128" s="352" t="s">
        <v>2798</v>
      </c>
      <c r="Z2128" s="353">
        <v>85</v>
      </c>
      <c r="AA2128" s="353">
        <v>7.5</v>
      </c>
      <c r="AB2128" s="40">
        <f t="shared" ca="1" si="44"/>
        <v>0.48518406006950532</v>
      </c>
      <c r="AC2128" s="810"/>
      <c r="AD2128" s="811" t="s">
        <v>16466</v>
      </c>
      <c r="AE2128" s="940" t="s">
        <v>12543</v>
      </c>
      <c r="AF2128" s="920">
        <f>IF(X2128=X2127,AF2127,0)+IF(ISNUMBER(I2128),IF(I2128&lt;1,I2128,I2128*VLOOKUP(J2128,Summary!$H$2:$I$9,2)),VLOOKUP(J2128,Summary!$J$2:$K$9,2)*IF(ISNUMBER(H2128),H2128,1))</f>
        <v>0.37145833333333333</v>
      </c>
      <c r="AG2128" s="287">
        <v>2127</v>
      </c>
      <c r="AH2128" s="94"/>
      <c r="AI2128" s="94"/>
      <c r="AJ2128" s="22"/>
    </row>
    <row r="2129" spans="1:36" s="43" customFormat="1" ht="12" customHeight="1" x14ac:dyDescent="0.25">
      <c r="A2129" s="527" t="s">
        <v>1813</v>
      </c>
      <c r="B2129" s="527">
        <v>6</v>
      </c>
      <c r="C2129" s="527">
        <v>14</v>
      </c>
      <c r="D2129" s="407" t="s">
        <v>736</v>
      </c>
      <c r="E2129" s="315" t="s">
        <v>737</v>
      </c>
      <c r="F2129" s="169">
        <v>36831</v>
      </c>
      <c r="G2129" s="170"/>
      <c r="H2129" s="170">
        <v>4</v>
      </c>
      <c r="I2129" s="746">
        <f>TIME(2,16,21)</f>
        <v>9.4687499999999994E-2</v>
      </c>
      <c r="J2129" s="899" t="s">
        <v>4706</v>
      </c>
      <c r="K2129" s="167" t="s">
        <v>3800</v>
      </c>
      <c r="L2129" s="167" t="s">
        <v>2910</v>
      </c>
      <c r="M2129" s="167"/>
      <c r="N2129" s="167"/>
      <c r="O2129" s="167" t="s">
        <v>2909</v>
      </c>
      <c r="P2129" s="168"/>
      <c r="Q2129" s="167" t="s">
        <v>3947</v>
      </c>
      <c r="R2129" s="172" t="s">
        <v>3146</v>
      </c>
      <c r="S2129" s="388"/>
      <c r="T2129" s="168" t="s">
        <v>7313</v>
      </c>
      <c r="U2129" s="168"/>
      <c r="V2129" s="168"/>
      <c r="W2129" s="312" t="s">
        <v>8725</v>
      </c>
      <c r="X2129" s="644" t="s">
        <v>15471</v>
      </c>
      <c r="Y2129" s="352" t="s">
        <v>5643</v>
      </c>
      <c r="Z2129" s="353">
        <v>50</v>
      </c>
      <c r="AA2129" s="353">
        <v>8.5</v>
      </c>
      <c r="AB2129" s="40">
        <f t="shared" ca="1" si="44"/>
        <v>0.41250467043941719</v>
      </c>
      <c r="AC2129" s="810"/>
      <c r="AD2129" s="811" t="s">
        <v>461</v>
      </c>
      <c r="AE2129" s="940"/>
      <c r="AF2129" s="920">
        <f>IF(X2129=X2128,AF2128,0)+IF(ISNUMBER(I2129),IF(I2129&lt;1,I2129,I2129*VLOOKUP(J2129,Summary!$H$2:$I$9,2)),VLOOKUP(J2129,Summary!$J$2:$K$9,2)*IF(ISNUMBER(H2129),H2129,1))</f>
        <v>0.46614583333333331</v>
      </c>
      <c r="AG2129" s="287">
        <v>2128</v>
      </c>
      <c r="AH2129" s="94"/>
      <c r="AI2129" s="94"/>
      <c r="AJ2129" s="22"/>
    </row>
    <row r="2130" spans="1:36" s="43" customFormat="1" ht="12" customHeight="1" x14ac:dyDescent="0.25">
      <c r="A2130" s="537" t="s">
        <v>1813</v>
      </c>
      <c r="B2130" s="537">
        <v>6</v>
      </c>
      <c r="C2130" s="537"/>
      <c r="D2130" s="493" t="s">
        <v>6651</v>
      </c>
      <c r="E2130" s="333" t="s">
        <v>15432</v>
      </c>
      <c r="F2130" s="233">
        <v>34613</v>
      </c>
      <c r="G2130" s="226"/>
      <c r="H2130" s="226">
        <v>4</v>
      </c>
      <c r="I2130" s="226">
        <v>88</v>
      </c>
      <c r="J2130" s="907" t="s">
        <v>1796</v>
      </c>
      <c r="K2130" s="228" t="s">
        <v>1986</v>
      </c>
      <c r="L2130" s="228" t="s">
        <v>6654</v>
      </c>
      <c r="M2130" s="165" t="s">
        <v>6653</v>
      </c>
      <c r="N2130" s="165" t="s">
        <v>7375</v>
      </c>
      <c r="O2130" s="165"/>
      <c r="P2130" s="225" t="s">
        <v>461</v>
      </c>
      <c r="Q2130" s="165" t="s">
        <v>4062</v>
      </c>
      <c r="R2130" s="234" t="s">
        <v>5266</v>
      </c>
      <c r="S2130" s="369" t="s">
        <v>2319</v>
      </c>
      <c r="T2130" s="225" t="s">
        <v>7313</v>
      </c>
      <c r="U2130" s="225"/>
      <c r="V2130" s="225"/>
      <c r="W2130" s="333" t="s">
        <v>6652</v>
      </c>
      <c r="X2130" s="665" t="s">
        <v>15471</v>
      </c>
      <c r="Y2130" s="372"/>
      <c r="Z2130" s="269"/>
      <c r="AA2130" s="269"/>
      <c r="AB2130" s="33">
        <f t="shared" ca="1" si="44"/>
        <v>1.6600919744295561E-2</v>
      </c>
      <c r="AC2130" s="813"/>
      <c r="AD2130" s="211" t="s">
        <v>16196</v>
      </c>
      <c r="AE2130" s="941" t="s">
        <v>12543</v>
      </c>
      <c r="AF2130" s="922">
        <f>IF(X2130=X2129,AF2129,0)+IF(ISNUMBER(I2130),IF(I2130&lt;1,I2130,I2130*VLOOKUP(J2130,Summary!$H$2:$I$9,2)),VLOOKUP(J2130,Summary!$J$2:$K$9,2)*IF(ISNUMBER(H2130),H2130,1))</f>
        <v>0.49670138888888887</v>
      </c>
      <c r="AG2130" s="290">
        <v>2129</v>
      </c>
      <c r="AH2130" s="94"/>
      <c r="AI2130" s="94"/>
      <c r="AJ2130" s="22"/>
    </row>
    <row r="2131" spans="1:36" s="43" customFormat="1" ht="12" customHeight="1" x14ac:dyDescent="0.25">
      <c r="A2131" s="523" t="s">
        <v>1813</v>
      </c>
      <c r="B2131" s="523">
        <v>6</v>
      </c>
      <c r="C2131" s="523">
        <v>41</v>
      </c>
      <c r="D2131" s="417" t="s">
        <v>1811</v>
      </c>
      <c r="E2131" s="316" t="s">
        <v>1812</v>
      </c>
      <c r="F2131" s="187">
        <v>36982</v>
      </c>
      <c r="G2131" s="188"/>
      <c r="H2131" s="188" t="str">
        <f>IF(J2131="Book","n/a","")</f>
        <v>n/a</v>
      </c>
      <c r="I2131" s="188">
        <v>286</v>
      </c>
      <c r="J2131" s="902" t="s">
        <v>6868</v>
      </c>
      <c r="K2131" s="162" t="s">
        <v>295</v>
      </c>
      <c r="L2131" s="162" t="str">
        <f>IF(J2131="Book","n/a","")</f>
        <v>n/a</v>
      </c>
      <c r="M2131" s="162"/>
      <c r="N2131" s="162"/>
      <c r="O2131" s="162"/>
      <c r="P2131" s="178" t="s">
        <v>8966</v>
      </c>
      <c r="Q2131" s="162" t="s">
        <v>3953</v>
      </c>
      <c r="R2131" s="189" t="s">
        <v>2717</v>
      </c>
      <c r="S2131" s="366"/>
      <c r="T2131" s="178" t="s">
        <v>2597</v>
      </c>
      <c r="U2131" s="178"/>
      <c r="V2131" s="178"/>
      <c r="W2131" s="316" t="s">
        <v>1812</v>
      </c>
      <c r="X2131" s="648" t="s">
        <v>15471</v>
      </c>
      <c r="Y2131" s="356" t="s">
        <v>6868</v>
      </c>
      <c r="Z2131" s="272"/>
      <c r="AA2131" s="272"/>
      <c r="AB2131" s="34">
        <f t="shared" ca="1" si="44"/>
        <v>0.15813544234918264</v>
      </c>
      <c r="AC2131" s="814"/>
      <c r="AD2131" s="815" t="s">
        <v>16744</v>
      </c>
      <c r="AE2131" s="942"/>
      <c r="AF2131" s="923">
        <f>IF(X2131=X2130,AF2130,0)+IF(ISNUMBER(I2131),IF(I2131&lt;1,I2131,I2131*VLOOKUP(J2131,Summary!$H$2:$I$9,2)),VLOOKUP(J2131,Summary!$J$2:$K$9,2)*IF(ISNUMBER(H2131),H2131,1))</f>
        <v>0.6953125</v>
      </c>
      <c r="AG2131" s="291">
        <v>2130</v>
      </c>
      <c r="AH2131" s="94"/>
      <c r="AI2131" s="94"/>
      <c r="AJ2131" s="22"/>
    </row>
    <row r="2132" spans="1:36" s="6" customFormat="1" ht="12" customHeight="1" x14ac:dyDescent="0.25">
      <c r="A2132" s="405" t="s">
        <v>1813</v>
      </c>
      <c r="B2132" s="406" t="s">
        <v>2650</v>
      </c>
      <c r="C2132" s="405">
        <v>2.1</v>
      </c>
      <c r="D2132" s="407" t="s">
        <v>12796</v>
      </c>
      <c r="E2132" s="336" t="s">
        <v>12798</v>
      </c>
      <c r="F2132" s="196">
        <v>42729</v>
      </c>
      <c r="G2132" s="169"/>
      <c r="H2132" s="170">
        <v>1</v>
      </c>
      <c r="I2132" s="747">
        <f>TIME(0,60,0)</f>
        <v>4.1666666666666664E-2</v>
      </c>
      <c r="J2132" s="899" t="s">
        <v>4706</v>
      </c>
      <c r="K2132" s="167" t="s">
        <v>1826</v>
      </c>
      <c r="L2132" s="167" t="s">
        <v>2313</v>
      </c>
      <c r="M2132" s="167"/>
      <c r="N2132" s="167"/>
      <c r="O2132" s="167" t="s">
        <v>3295</v>
      </c>
      <c r="P2132" s="168" t="s">
        <v>12764</v>
      </c>
      <c r="Q2132" s="167" t="s">
        <v>3947</v>
      </c>
      <c r="R2132" s="172" t="s">
        <v>10102</v>
      </c>
      <c r="S2132" s="388"/>
      <c r="T2132" s="168"/>
      <c r="U2132" s="168" t="s">
        <v>7344</v>
      </c>
      <c r="V2132" s="168"/>
      <c r="W2132" s="336" t="s">
        <v>12798</v>
      </c>
      <c r="X2132" s="644" t="s">
        <v>15471</v>
      </c>
      <c r="Y2132" s="352"/>
      <c r="Z2132" s="353"/>
      <c r="AA2132" s="353"/>
      <c r="AB2132" s="31">
        <f t="shared" ca="1" si="44"/>
        <v>0.30089706490877888</v>
      </c>
      <c r="AC2132" s="810"/>
      <c r="AD2132" s="811"/>
      <c r="AE2132" s="945"/>
      <c r="AF2132" s="920">
        <f>IF(X2132=X2131,AF2131,0)+IF(ISNUMBER(I2132),IF(I2132&lt;1,I2132,I2132*VLOOKUP(J2132,Summary!$H$2:$I$9,2)),VLOOKUP(J2132,Summary!$J$2:$K$9,2)*IF(ISNUMBER(H2132),H2132,1))</f>
        <v>0.73697916666666663</v>
      </c>
      <c r="AG2132" s="287">
        <v>2131</v>
      </c>
      <c r="AH2132" s="94"/>
      <c r="AI2132" s="94"/>
      <c r="AJ2132" s="1"/>
    </row>
    <row r="2133" spans="1:36" s="26" customFormat="1" ht="12" customHeight="1" x14ac:dyDescent="0.2">
      <c r="A2133" s="405" t="s">
        <v>1813</v>
      </c>
      <c r="B2133" s="406" t="s">
        <v>2650</v>
      </c>
      <c r="C2133" s="405">
        <v>2.2000000000000002</v>
      </c>
      <c r="D2133" s="407" t="s">
        <v>12797</v>
      </c>
      <c r="E2133" s="336" t="s">
        <v>12799</v>
      </c>
      <c r="F2133" s="196">
        <v>42729</v>
      </c>
      <c r="G2133" s="169"/>
      <c r="H2133" s="170">
        <v>1</v>
      </c>
      <c r="I2133" s="747">
        <f>TIME(0,60,0)</f>
        <v>4.1666666666666664E-2</v>
      </c>
      <c r="J2133" s="899" t="s">
        <v>4706</v>
      </c>
      <c r="K2133" s="167" t="s">
        <v>5666</v>
      </c>
      <c r="L2133" s="167" t="s">
        <v>2313</v>
      </c>
      <c r="M2133" s="167"/>
      <c r="N2133" s="167"/>
      <c r="O2133" s="167" t="s">
        <v>3295</v>
      </c>
      <c r="P2133" s="168" t="s">
        <v>12764</v>
      </c>
      <c r="Q2133" s="167" t="s">
        <v>3947</v>
      </c>
      <c r="R2133" s="172" t="s">
        <v>10102</v>
      </c>
      <c r="S2133" s="388"/>
      <c r="T2133" s="168"/>
      <c r="U2133" s="168" t="s">
        <v>7344</v>
      </c>
      <c r="V2133" s="168"/>
      <c r="W2133" s="336" t="s">
        <v>12799</v>
      </c>
      <c r="X2133" s="644" t="s">
        <v>15471</v>
      </c>
      <c r="Y2133" s="352"/>
      <c r="Z2133" s="353"/>
      <c r="AA2133" s="353"/>
      <c r="AB2133" s="31">
        <f t="shared" ca="1" si="44"/>
        <v>0.87528733362283406</v>
      </c>
      <c r="AC2133" s="810"/>
      <c r="AD2133" s="811"/>
      <c r="AE2133" s="945"/>
      <c r="AF2133" s="920">
        <f>IF(X2133=X2132,AF2132,0)+IF(ISNUMBER(I2133),IF(I2133&lt;1,I2133,I2133*VLOOKUP(J2133,Summary!$H$2:$I$9,2)),VLOOKUP(J2133,Summary!$J$2:$K$9,2)*IF(ISNUMBER(H2133),H2133,1))</f>
        <v>0.77864583333333326</v>
      </c>
      <c r="AG2133" s="287">
        <v>2132</v>
      </c>
      <c r="AH2133" s="94"/>
      <c r="AI2133" s="94"/>
    </row>
    <row r="2134" spans="1:36" s="6" customFormat="1" ht="12" customHeight="1" x14ac:dyDescent="0.25">
      <c r="A2134" s="527" t="s">
        <v>1813</v>
      </c>
      <c r="B2134" s="527">
        <v>6</v>
      </c>
      <c r="C2134" s="527">
        <v>2.2999999999999998</v>
      </c>
      <c r="D2134" s="407" t="s">
        <v>12762</v>
      </c>
      <c r="E2134" s="336" t="s">
        <v>12763</v>
      </c>
      <c r="F2134" s="196">
        <v>42729</v>
      </c>
      <c r="G2134" s="169"/>
      <c r="H2134" s="170">
        <v>1</v>
      </c>
      <c r="I2134" s="747">
        <f>TIME(0,60,0)</f>
        <v>4.1666666666666664E-2</v>
      </c>
      <c r="J2134" s="899" t="s">
        <v>4706</v>
      </c>
      <c r="K2134" s="167" t="s">
        <v>1643</v>
      </c>
      <c r="L2134" s="167" t="s">
        <v>2313</v>
      </c>
      <c r="M2134" s="167"/>
      <c r="N2134" s="167"/>
      <c r="O2134" s="167" t="s">
        <v>3295</v>
      </c>
      <c r="P2134" s="168" t="s">
        <v>12764</v>
      </c>
      <c r="Q2134" s="167" t="s">
        <v>3947</v>
      </c>
      <c r="R2134" s="172" t="s">
        <v>10102</v>
      </c>
      <c r="S2134" s="388"/>
      <c r="T2134" s="168"/>
      <c r="U2134" s="168" t="s">
        <v>7344</v>
      </c>
      <c r="V2134" s="168"/>
      <c r="W2134" s="336" t="s">
        <v>12763</v>
      </c>
      <c r="X2134" s="644" t="s">
        <v>15471</v>
      </c>
      <c r="Y2134" s="352"/>
      <c r="Z2134" s="353"/>
      <c r="AA2134" s="353"/>
      <c r="AB2134" s="31">
        <f t="shared" ca="1" si="44"/>
        <v>0.8524884557991983</v>
      </c>
      <c r="AC2134" s="810"/>
      <c r="AD2134" s="811"/>
      <c r="AE2134" s="945"/>
      <c r="AF2134" s="920">
        <f>IF(X2134=X2133,AF2133,0)+IF(ISNUMBER(I2134),IF(I2134&lt;1,I2134,I2134*VLOOKUP(J2134,Summary!$H$2:$I$9,2)),VLOOKUP(J2134,Summary!$J$2:$K$9,2)*IF(ISNUMBER(H2134),H2134,1))</f>
        <v>0.82031249999999989</v>
      </c>
      <c r="AG2134" s="287">
        <v>2133</v>
      </c>
      <c r="AH2134" s="94"/>
      <c r="AI2134" s="94"/>
      <c r="AJ2134" s="22"/>
    </row>
    <row r="2135" spans="1:36" s="6" customFormat="1" ht="12" customHeight="1" x14ac:dyDescent="0.25">
      <c r="A2135" s="527" t="s">
        <v>1813</v>
      </c>
      <c r="B2135" s="527">
        <v>6</v>
      </c>
      <c r="C2135" s="527">
        <v>2.4</v>
      </c>
      <c r="D2135" s="407" t="s">
        <v>12795</v>
      </c>
      <c r="E2135" s="336" t="s">
        <v>12800</v>
      </c>
      <c r="F2135" s="196">
        <v>42729</v>
      </c>
      <c r="G2135" s="169"/>
      <c r="H2135" s="170">
        <v>1</v>
      </c>
      <c r="I2135" s="747">
        <f>TIME(0,60,0)</f>
        <v>4.1666666666666664E-2</v>
      </c>
      <c r="J2135" s="899" t="s">
        <v>4706</v>
      </c>
      <c r="K2135" s="167" t="s">
        <v>6452</v>
      </c>
      <c r="L2135" s="167" t="s">
        <v>2313</v>
      </c>
      <c r="M2135" s="167"/>
      <c r="N2135" s="167"/>
      <c r="O2135" s="167" t="s">
        <v>3295</v>
      </c>
      <c r="P2135" s="168" t="s">
        <v>12764</v>
      </c>
      <c r="Q2135" s="167" t="s">
        <v>3947</v>
      </c>
      <c r="R2135" s="172" t="s">
        <v>10102</v>
      </c>
      <c r="S2135" s="388"/>
      <c r="T2135" s="168"/>
      <c r="U2135" s="168" t="s">
        <v>7344</v>
      </c>
      <c r="V2135" s="168">
        <v>7</v>
      </c>
      <c r="W2135" s="336" t="s">
        <v>12800</v>
      </c>
      <c r="X2135" s="644" t="s">
        <v>15471</v>
      </c>
      <c r="Y2135" s="352"/>
      <c r="Z2135" s="353"/>
      <c r="AA2135" s="353"/>
      <c r="AB2135" s="31">
        <f t="shared" ca="1" si="44"/>
        <v>0.47277464007522907</v>
      </c>
      <c r="AC2135" s="810"/>
      <c r="AD2135" s="811"/>
      <c r="AE2135" s="945"/>
      <c r="AF2135" s="920">
        <f>IF(X2135=X2134,AF2134,0)+IF(ISNUMBER(I2135),IF(I2135&lt;1,I2135,I2135*VLOOKUP(J2135,Summary!$H$2:$I$9,2)),VLOOKUP(J2135,Summary!$J$2:$K$9,2)*IF(ISNUMBER(H2135),H2135,1))</f>
        <v>0.86197916666666652</v>
      </c>
      <c r="AG2135" s="287">
        <v>2134</v>
      </c>
      <c r="AH2135" s="94"/>
      <c r="AI2135" s="94"/>
      <c r="AJ2135" s="22"/>
    </row>
    <row r="2136" spans="1:36" s="22" customFormat="1" ht="12" customHeight="1" x14ac:dyDescent="0.2">
      <c r="A2136" s="527" t="s">
        <v>1813</v>
      </c>
      <c r="B2136" s="527">
        <v>6</v>
      </c>
      <c r="C2136" s="527">
        <v>199</v>
      </c>
      <c r="D2136" s="407"/>
      <c r="E2136" s="315" t="s">
        <v>9395</v>
      </c>
      <c r="F2136" s="169">
        <v>42125</v>
      </c>
      <c r="G2136" s="170"/>
      <c r="H2136" s="170">
        <v>4</v>
      </c>
      <c r="I2136" s="746">
        <f>TIME(1,58,21)</f>
        <v>8.2187500000000011E-2</v>
      </c>
      <c r="J2136" s="899" t="s">
        <v>4706</v>
      </c>
      <c r="K2136" s="167" t="s">
        <v>7374</v>
      </c>
      <c r="L2136" s="167" t="s">
        <v>3296</v>
      </c>
      <c r="M2136" s="167"/>
      <c r="N2136" s="167"/>
      <c r="O2136" s="167"/>
      <c r="P2136" s="168" t="s">
        <v>9396</v>
      </c>
      <c r="Q2136" s="167" t="s">
        <v>3947</v>
      </c>
      <c r="R2136" s="172" t="s">
        <v>3146</v>
      </c>
      <c r="S2136" s="388" t="s">
        <v>2596</v>
      </c>
      <c r="T2136" s="168" t="s">
        <v>2598</v>
      </c>
      <c r="U2136" s="168"/>
      <c r="V2136" s="168"/>
      <c r="W2136" s="312"/>
      <c r="X2136" s="644" t="s">
        <v>15471</v>
      </c>
      <c r="Y2136" s="352" t="s">
        <v>5643</v>
      </c>
      <c r="Z2136" s="353"/>
      <c r="AA2136" s="353"/>
      <c r="AB2136" s="40">
        <f t="shared" ca="1" si="44"/>
        <v>0.12430023440288573</v>
      </c>
      <c r="AC2136" s="810"/>
      <c r="AD2136" s="811"/>
      <c r="AE2136" s="940"/>
      <c r="AF2136" s="920">
        <f>IF(X2136=X2135,AF2135,0)+IF(ISNUMBER(I2136),IF(I2136&lt;1,I2136,I2136*VLOOKUP(J2136,Summary!$H$2:$I$9,2)),VLOOKUP(J2136,Summary!$J$2:$K$9,2)*IF(ISNUMBER(H2136),H2136,1))</f>
        <v>0.94416666666666649</v>
      </c>
      <c r="AG2136" s="287">
        <v>2135</v>
      </c>
      <c r="AH2136" s="94"/>
      <c r="AI2136" s="94"/>
    </row>
    <row r="2137" spans="1:36" s="6" customFormat="1" ht="12" customHeight="1" x14ac:dyDescent="0.25">
      <c r="A2137" s="527" t="s">
        <v>1813</v>
      </c>
      <c r="B2137" s="527">
        <v>6</v>
      </c>
      <c r="C2137" s="527">
        <v>1.2</v>
      </c>
      <c r="D2137" s="407" t="s">
        <v>10837</v>
      </c>
      <c r="E2137" s="336" t="s">
        <v>10838</v>
      </c>
      <c r="F2137" s="196">
        <v>42579</v>
      </c>
      <c r="G2137" s="169"/>
      <c r="H2137" s="170">
        <v>1</v>
      </c>
      <c r="I2137" s="746">
        <f>TIME(1,17,55)</f>
        <v>5.4108796296296301E-2</v>
      </c>
      <c r="J2137" s="899" t="s">
        <v>4706</v>
      </c>
      <c r="K2137" s="167" t="s">
        <v>2983</v>
      </c>
      <c r="L2137" s="167" t="s">
        <v>3296</v>
      </c>
      <c r="M2137" s="167"/>
      <c r="N2137" s="167"/>
      <c r="O2137" s="167"/>
      <c r="P2137" s="168" t="s">
        <v>10834</v>
      </c>
      <c r="Q2137" s="167" t="s">
        <v>3947</v>
      </c>
      <c r="R2137" s="172" t="s">
        <v>14260</v>
      </c>
      <c r="S2137" s="388"/>
      <c r="T2137" s="168"/>
      <c r="U2137" s="168"/>
      <c r="V2137" s="168"/>
      <c r="W2137" s="336" t="s">
        <v>10838</v>
      </c>
      <c r="X2137" s="668" t="s">
        <v>15471</v>
      </c>
      <c r="Y2137" s="352" t="s">
        <v>5643</v>
      </c>
      <c r="Z2137" s="353">
        <v>352</v>
      </c>
      <c r="AA2137" s="353">
        <v>5</v>
      </c>
      <c r="AB2137" s="31">
        <f t="shared" ca="1" si="44"/>
        <v>0.17062580285771667</v>
      </c>
      <c r="AC2137" s="810"/>
      <c r="AD2137" s="811"/>
      <c r="AE2137" s="945"/>
      <c r="AF2137" s="920">
        <f>IF(X2137=X2136,AF2136,0)+IF(ISNUMBER(I2137),IF(I2137&lt;1,I2137,I2137*VLOOKUP(J2137,Summary!$H$2:$I$9,2)),VLOOKUP(J2137,Summary!$J$2:$K$9,2)*IF(ISNUMBER(H2137),H2137,1))</f>
        <v>0.99827546296296277</v>
      </c>
      <c r="AG2137" s="287">
        <v>2136</v>
      </c>
      <c r="AH2137" s="94"/>
      <c r="AI2137" s="94"/>
      <c r="AJ2137" s="2"/>
    </row>
    <row r="2138" spans="1:36" s="22" customFormat="1" ht="12" customHeight="1" x14ac:dyDescent="0.25">
      <c r="A2138" s="527" t="s">
        <v>1813</v>
      </c>
      <c r="B2138" s="527">
        <v>6</v>
      </c>
      <c r="C2138" s="527">
        <v>143</v>
      </c>
      <c r="D2138" s="407" t="s">
        <v>5321</v>
      </c>
      <c r="E2138" s="315" t="s">
        <v>5324</v>
      </c>
      <c r="F2138" s="169">
        <v>40544</v>
      </c>
      <c r="G2138" s="170"/>
      <c r="H2138" s="170">
        <v>4</v>
      </c>
      <c r="I2138" s="746">
        <f>TIME(1,48,24)</f>
        <v>7.5277777777777777E-2</v>
      </c>
      <c r="J2138" s="899" t="s">
        <v>4706</v>
      </c>
      <c r="K2138" s="167" t="s">
        <v>177</v>
      </c>
      <c r="L2138" s="167" t="s">
        <v>4549</v>
      </c>
      <c r="M2138" s="167"/>
      <c r="N2138" s="167"/>
      <c r="O2138" s="167"/>
      <c r="P2138" s="168"/>
      <c r="Q2138" s="167" t="s">
        <v>3947</v>
      </c>
      <c r="R2138" s="172" t="s">
        <v>3146</v>
      </c>
      <c r="S2138" s="388" t="s">
        <v>7314</v>
      </c>
      <c r="T2138" s="168" t="s">
        <v>7310</v>
      </c>
      <c r="U2138" s="168"/>
      <c r="V2138" s="168"/>
      <c r="W2138" s="312" t="s">
        <v>10172</v>
      </c>
      <c r="X2138" s="644" t="s">
        <v>15471</v>
      </c>
      <c r="Y2138" s="352" t="s">
        <v>5643</v>
      </c>
      <c r="Z2138" s="353">
        <v>287</v>
      </c>
      <c r="AA2138" s="353">
        <v>5.5</v>
      </c>
      <c r="AB2138" s="40">
        <f t="shared" ca="1" si="44"/>
        <v>0.35127602967861637</v>
      </c>
      <c r="AC2138" s="810"/>
      <c r="AD2138" s="811" t="s">
        <v>15888</v>
      </c>
      <c r="AE2138" s="940" t="s">
        <v>12543</v>
      </c>
      <c r="AF2138" s="920">
        <f>IF(X2138=X2137,AF2137,0)+IF(ISNUMBER(I2138),IF(I2138&lt;1,I2138,I2138*VLOOKUP(J2138,Summary!$H$2:$I$9,2)),VLOOKUP(J2138,Summary!$J$2:$K$9,2)*IF(ISNUMBER(H2138),H2138,1))</f>
        <v>1.0735532407407407</v>
      </c>
      <c r="AG2138" s="287">
        <v>2137</v>
      </c>
      <c r="AH2138" s="94"/>
      <c r="AI2138" s="94"/>
      <c r="AJ2138" s="6"/>
    </row>
    <row r="2139" spans="1:36" s="6" customFormat="1" ht="12" customHeight="1" x14ac:dyDescent="0.25">
      <c r="A2139" s="527" t="s">
        <v>1813</v>
      </c>
      <c r="B2139" s="527">
        <v>6</v>
      </c>
      <c r="C2139" s="527">
        <v>144</v>
      </c>
      <c r="D2139" s="407" t="s">
        <v>5322</v>
      </c>
      <c r="E2139" s="315" t="s">
        <v>293</v>
      </c>
      <c r="F2139" s="169">
        <v>40575</v>
      </c>
      <c r="G2139" s="170"/>
      <c r="H2139" s="170">
        <v>4</v>
      </c>
      <c r="I2139" s="746">
        <f>TIME(1,59,9)</f>
        <v>8.2743055555555556E-2</v>
      </c>
      <c r="J2139" s="899" t="s">
        <v>4706</v>
      </c>
      <c r="K2139" s="167" t="s">
        <v>294</v>
      </c>
      <c r="L2139" s="167" t="s">
        <v>4549</v>
      </c>
      <c r="M2139" s="167"/>
      <c r="N2139" s="167"/>
      <c r="O2139" s="167"/>
      <c r="P2139" s="168"/>
      <c r="Q2139" s="167" t="s">
        <v>3947</v>
      </c>
      <c r="R2139" s="172" t="s">
        <v>3146</v>
      </c>
      <c r="S2139" s="388" t="s">
        <v>7314</v>
      </c>
      <c r="T2139" s="168" t="s">
        <v>7310</v>
      </c>
      <c r="U2139" s="168"/>
      <c r="V2139" s="168"/>
      <c r="W2139" s="312" t="s">
        <v>10173</v>
      </c>
      <c r="X2139" s="644" t="s">
        <v>15471</v>
      </c>
      <c r="Y2139" s="352" t="s">
        <v>5643</v>
      </c>
      <c r="Z2139" s="353">
        <v>488</v>
      </c>
      <c r="AA2139" s="353">
        <v>4</v>
      </c>
      <c r="AB2139" s="40">
        <f t="shared" ca="1" si="44"/>
        <v>0.48675635271571971</v>
      </c>
      <c r="AC2139" s="810"/>
      <c r="AD2139" s="811" t="s">
        <v>16085</v>
      </c>
      <c r="AE2139" s="940" t="s">
        <v>12543</v>
      </c>
      <c r="AF2139" s="920">
        <f>IF(X2139=X2138,AF2138,0)+IF(ISNUMBER(I2139),IF(I2139&lt;1,I2139,I2139*VLOOKUP(J2139,Summary!$H$2:$I$9,2)),VLOOKUP(J2139,Summary!$J$2:$K$9,2)*IF(ISNUMBER(H2139),H2139,1))</f>
        <v>1.1562962962962962</v>
      </c>
      <c r="AG2139" s="287">
        <v>2138</v>
      </c>
      <c r="AH2139" s="94"/>
      <c r="AI2139" s="94"/>
      <c r="AJ2139" s="2"/>
    </row>
    <row r="2140" spans="1:36" s="6" customFormat="1" ht="12" customHeight="1" x14ac:dyDescent="0.25">
      <c r="A2140" s="527" t="s">
        <v>1813</v>
      </c>
      <c r="B2140" s="527">
        <v>6</v>
      </c>
      <c r="C2140" s="527">
        <v>145</v>
      </c>
      <c r="D2140" s="407" t="s">
        <v>5323</v>
      </c>
      <c r="E2140" s="315" t="s">
        <v>5101</v>
      </c>
      <c r="F2140" s="169">
        <v>40603</v>
      </c>
      <c r="G2140" s="170"/>
      <c r="H2140" s="170">
        <v>4</v>
      </c>
      <c r="I2140" s="746">
        <f>TIME(1,50,13)</f>
        <v>7.6539351851851858E-2</v>
      </c>
      <c r="J2140" s="899" t="s">
        <v>4706</v>
      </c>
      <c r="K2140" s="167" t="s">
        <v>6353</v>
      </c>
      <c r="L2140" s="167" t="s">
        <v>4549</v>
      </c>
      <c r="M2140" s="167"/>
      <c r="N2140" s="167"/>
      <c r="O2140" s="167"/>
      <c r="P2140" s="168"/>
      <c r="Q2140" s="167" t="s">
        <v>3947</v>
      </c>
      <c r="R2140" s="172" t="s">
        <v>3146</v>
      </c>
      <c r="S2140" s="388" t="s">
        <v>7314</v>
      </c>
      <c r="T2140" s="168" t="s">
        <v>7310</v>
      </c>
      <c r="U2140" s="168"/>
      <c r="V2140" s="168"/>
      <c r="W2140" s="312" t="s">
        <v>10171</v>
      </c>
      <c r="X2140" s="644" t="s">
        <v>15471</v>
      </c>
      <c r="Y2140" s="352" t="s">
        <v>5643</v>
      </c>
      <c r="Z2140" s="353">
        <v>643</v>
      </c>
      <c r="AA2140" s="353">
        <v>3</v>
      </c>
      <c r="AB2140" s="40">
        <f t="shared" ca="1" si="44"/>
        <v>0.80916593063387376</v>
      </c>
      <c r="AC2140" s="810"/>
      <c r="AD2140" s="811" t="s">
        <v>16612</v>
      </c>
      <c r="AE2140" s="940" t="s">
        <v>12543</v>
      </c>
      <c r="AF2140" s="920">
        <f>IF(X2140=X2139,AF2139,0)+IF(ISNUMBER(I2140),IF(I2140&lt;1,I2140,I2140*VLOOKUP(J2140,Summary!$H$2:$I$9,2)),VLOOKUP(J2140,Summary!$J$2:$K$9,2)*IF(ISNUMBER(H2140),H2140,1))</f>
        <v>1.2328356481481479</v>
      </c>
      <c r="AG2140" s="287">
        <v>2139</v>
      </c>
      <c r="AH2140" s="94"/>
      <c r="AI2140" s="94"/>
    </row>
    <row r="2141" spans="1:36" s="22" customFormat="1" ht="12" customHeight="1" x14ac:dyDescent="0.25">
      <c r="A2141" s="527" t="s">
        <v>1813</v>
      </c>
      <c r="B2141" s="527">
        <v>6</v>
      </c>
      <c r="C2141" s="527">
        <v>169</v>
      </c>
      <c r="D2141" s="407"/>
      <c r="E2141" s="315" t="s">
        <v>2016</v>
      </c>
      <c r="F2141" s="169">
        <v>41275</v>
      </c>
      <c r="G2141" s="170"/>
      <c r="H2141" s="170">
        <v>4</v>
      </c>
      <c r="I2141" s="746">
        <f>TIME(1,59,53)</f>
        <v>8.3252314814814821E-2</v>
      </c>
      <c r="J2141" s="899" t="s">
        <v>4706</v>
      </c>
      <c r="K2141" s="167" t="s">
        <v>6452</v>
      </c>
      <c r="L2141" s="167" t="s">
        <v>4549</v>
      </c>
      <c r="M2141" s="167"/>
      <c r="N2141" s="167"/>
      <c r="O2141" s="167"/>
      <c r="P2141" s="168" t="s">
        <v>2017</v>
      </c>
      <c r="Q2141" s="167" t="s">
        <v>3947</v>
      </c>
      <c r="R2141" s="172" t="s">
        <v>3146</v>
      </c>
      <c r="S2141" s="388"/>
      <c r="T2141" s="168" t="s">
        <v>2321</v>
      </c>
      <c r="U2141" s="168"/>
      <c r="V2141" s="168"/>
      <c r="W2141" s="312" t="s">
        <v>11498</v>
      </c>
      <c r="X2141" s="644" t="s">
        <v>15471</v>
      </c>
      <c r="Y2141" s="352" t="s">
        <v>5643</v>
      </c>
      <c r="Z2141" s="353">
        <v>257</v>
      </c>
      <c r="AA2141" s="353">
        <v>5.5</v>
      </c>
      <c r="AB2141" s="40">
        <f t="shared" ca="1" si="44"/>
        <v>0.33912442628157546</v>
      </c>
      <c r="AC2141" s="810"/>
      <c r="AD2141" s="811"/>
      <c r="AE2141" s="940"/>
      <c r="AF2141" s="920">
        <f>IF(X2141=X2140,AF2140,0)+IF(ISNUMBER(I2141),IF(I2141&lt;1,I2141,I2141*VLOOKUP(J2141,Summary!$H$2:$I$9,2)),VLOOKUP(J2141,Summary!$J$2:$K$9,2)*IF(ISNUMBER(H2141),H2141,1))</f>
        <v>1.3160879629629627</v>
      </c>
      <c r="AG2141" s="287">
        <v>2140</v>
      </c>
      <c r="AH2141" s="94"/>
      <c r="AI2141" s="94"/>
      <c r="AJ2141" s="3"/>
    </row>
    <row r="2142" spans="1:36" s="6" customFormat="1" ht="12" customHeight="1" x14ac:dyDescent="0.25">
      <c r="A2142" s="522" t="s">
        <v>1813</v>
      </c>
      <c r="B2142" s="522">
        <v>6</v>
      </c>
      <c r="C2142" s="528">
        <v>26.11</v>
      </c>
      <c r="D2142" s="434" t="s">
        <v>6657</v>
      </c>
      <c r="E2142" s="324" t="s">
        <v>5053</v>
      </c>
      <c r="F2142" s="174">
        <v>39508</v>
      </c>
      <c r="G2142" s="174"/>
      <c r="H2142" s="176">
        <v>1</v>
      </c>
      <c r="I2142" s="176">
        <v>7</v>
      </c>
      <c r="J2142" s="900" t="s">
        <v>2755</v>
      </c>
      <c r="K2142" s="164" t="s">
        <v>2870</v>
      </c>
      <c r="L2142" s="164" t="s">
        <v>461</v>
      </c>
      <c r="M2142" s="164"/>
      <c r="N2142" s="164" t="s">
        <v>7381</v>
      </c>
      <c r="O2142" s="164"/>
      <c r="P2142" s="173" t="s">
        <v>6706</v>
      </c>
      <c r="Q2142" s="164" t="s">
        <v>3947</v>
      </c>
      <c r="R2142" s="179" t="s">
        <v>2723</v>
      </c>
      <c r="S2142" s="354"/>
      <c r="T2142" s="173"/>
      <c r="U2142" s="173"/>
      <c r="V2142" s="173"/>
      <c r="W2142" s="324" t="s">
        <v>5053</v>
      </c>
      <c r="X2142" s="656" t="s">
        <v>15471</v>
      </c>
      <c r="Y2142" s="363"/>
      <c r="Z2142" s="364"/>
      <c r="AA2142" s="364"/>
      <c r="AB2142" s="32">
        <f t="shared" ca="1" si="44"/>
        <v>0.99787533085181168</v>
      </c>
      <c r="AC2142" s="812"/>
      <c r="AD2142" s="763"/>
      <c r="AE2142" s="951"/>
      <c r="AF2142" s="921">
        <f>IF(X2142=X2141,AF2141,0)+IF(ISNUMBER(I2142),IF(I2142&lt;1,I2142,I2142*VLOOKUP(J2142,Summary!$H$2:$I$9,2)),VLOOKUP(J2142,Summary!$J$2:$K$9,2)*IF(ISNUMBER(H2142),H2142,1))</f>
        <v>1.3209490740740739</v>
      </c>
      <c r="AG2142" s="288">
        <v>2141</v>
      </c>
      <c r="AH2142" s="94"/>
      <c r="AI2142" s="94"/>
      <c r="AJ2142" s="22"/>
    </row>
    <row r="2143" spans="1:36" s="6" customFormat="1" ht="12" customHeight="1" x14ac:dyDescent="0.25">
      <c r="A2143" s="522" t="s">
        <v>1813</v>
      </c>
      <c r="B2143" s="522">
        <v>6</v>
      </c>
      <c r="C2143" s="522">
        <v>23</v>
      </c>
      <c r="D2143" s="176" t="s">
        <v>9800</v>
      </c>
      <c r="E2143" s="313" t="s">
        <v>9799</v>
      </c>
      <c r="F2143" s="175">
        <v>41802</v>
      </c>
      <c r="G2143" s="174"/>
      <c r="H2143" s="176">
        <v>1</v>
      </c>
      <c r="I2143" s="176">
        <v>8</v>
      </c>
      <c r="J2143" s="900" t="s">
        <v>2755</v>
      </c>
      <c r="K2143" s="164" t="s">
        <v>9281</v>
      </c>
      <c r="L2143" s="164" t="s">
        <v>461</v>
      </c>
      <c r="M2143" s="164"/>
      <c r="N2143" s="164" t="s">
        <v>543</v>
      </c>
      <c r="O2143" s="164"/>
      <c r="P2143" s="173" t="s">
        <v>9278</v>
      </c>
      <c r="Q2143" s="164" t="s">
        <v>3953</v>
      </c>
      <c r="R2143" s="177" t="s">
        <v>9279</v>
      </c>
      <c r="S2143" s="354"/>
      <c r="T2143" s="173"/>
      <c r="U2143" s="173"/>
      <c r="V2143" s="173"/>
      <c r="W2143" s="313" t="s">
        <v>9799</v>
      </c>
      <c r="X2143" s="645" t="s">
        <v>12532</v>
      </c>
      <c r="Y2143" s="354" t="s">
        <v>6868</v>
      </c>
      <c r="Z2143" s="176"/>
      <c r="AA2143" s="176"/>
      <c r="AB2143" s="32">
        <f t="shared" ca="1" si="44"/>
        <v>0.49146981866127548</v>
      </c>
      <c r="AC2143" s="812"/>
      <c r="AD2143" s="763"/>
      <c r="AE2143" s="807"/>
      <c r="AF2143" s="921">
        <f>IF(X2143=X2142,AF2142,0)+IF(ISNUMBER(I2143),IF(I2143&lt;1,I2143,I2143*VLOOKUP(J2143,Summary!$H$2:$I$9,2)),VLOOKUP(J2143,Summary!$J$2:$K$9,2)*IF(ISNUMBER(H2143),H2143,1))</f>
        <v>5.5555555555555558E-3</v>
      </c>
      <c r="AG2143" s="289">
        <v>2142</v>
      </c>
      <c r="AH2143" s="94"/>
      <c r="AI2143" s="94"/>
      <c r="AJ2143" s="58"/>
    </row>
    <row r="2144" spans="1:36" s="706" customFormat="1" ht="12" customHeight="1" x14ac:dyDescent="0.25">
      <c r="A2144" s="691" t="s">
        <v>12279</v>
      </c>
      <c r="B2144" s="692" t="s">
        <v>12279</v>
      </c>
      <c r="C2144" s="708">
        <v>4.01</v>
      </c>
      <c r="D2144" s="693" t="s">
        <v>14731</v>
      </c>
      <c r="E2144" s="694" t="s">
        <v>14724</v>
      </c>
      <c r="F2144" s="720">
        <v>3136</v>
      </c>
      <c r="G2144" s="695"/>
      <c r="H2144" s="695" t="s">
        <v>461</v>
      </c>
      <c r="I2144" s="695"/>
      <c r="J2144" s="911" t="s">
        <v>2755</v>
      </c>
      <c r="K2144" s="697" t="s">
        <v>14605</v>
      </c>
      <c r="L2144" s="697" t="s">
        <v>14768</v>
      </c>
      <c r="M2144" s="697"/>
      <c r="N2144" s="697"/>
      <c r="O2144" s="697"/>
      <c r="P2144" s="696"/>
      <c r="Q2144" s="697" t="s">
        <v>14722</v>
      </c>
      <c r="R2144" s="698" t="s">
        <v>14633</v>
      </c>
      <c r="S2144" s="699"/>
      <c r="T2144" s="696"/>
      <c r="U2144" s="696"/>
      <c r="V2144" s="696" t="s">
        <v>12280</v>
      </c>
      <c r="W2144" s="694" t="s">
        <v>14724</v>
      </c>
      <c r="X2144" s="700" t="s">
        <v>12532</v>
      </c>
      <c r="Y2144" s="701" t="s">
        <v>6868</v>
      </c>
      <c r="Z2144" s="702"/>
      <c r="AA2144" s="702"/>
      <c r="AB2144" s="703">
        <f t="shared" ca="1" si="44"/>
        <v>0.73067273116950693</v>
      </c>
      <c r="AC2144" s="855"/>
      <c r="AD2144" s="892" t="s">
        <v>14804</v>
      </c>
      <c r="AE2144" s="960"/>
      <c r="AF2144" s="932">
        <f>IF(X2144=X2143,AF2143,0)+IF(ISNUMBER(I2144),IF(I2144&lt;1,I2144,I2144*VLOOKUP(J2144,Summary!$H$2:$I$9,2)),VLOOKUP(J2144,Summary!$J$2:$K$9,2)*IF(ISNUMBER(H2144),H2144,1))</f>
        <v>2.2916666666666669E-2</v>
      </c>
      <c r="AG2144" s="704">
        <v>2143</v>
      </c>
      <c r="AH2144" s="705"/>
      <c r="AI2144" s="705"/>
    </row>
    <row r="2145" spans="1:36" s="706" customFormat="1" ht="12" customHeight="1" x14ac:dyDescent="0.25">
      <c r="A2145" s="405" t="s">
        <v>12279</v>
      </c>
      <c r="B2145" s="406" t="s">
        <v>12279</v>
      </c>
      <c r="C2145" s="565">
        <v>4.01</v>
      </c>
      <c r="D2145" s="407" t="s">
        <v>14870</v>
      </c>
      <c r="E2145" s="315" t="s">
        <v>14874</v>
      </c>
      <c r="F2145" s="169">
        <v>41974</v>
      </c>
      <c r="G2145" s="170"/>
      <c r="H2145" s="170">
        <v>1</v>
      </c>
      <c r="I2145" s="747">
        <f>TIME(0,60,0)</f>
        <v>4.1666666666666664E-2</v>
      </c>
      <c r="J2145" s="899" t="s">
        <v>4706</v>
      </c>
      <c r="K2145" s="167" t="s">
        <v>8131</v>
      </c>
      <c r="L2145" s="167" t="s">
        <v>2313</v>
      </c>
      <c r="M2145" s="167"/>
      <c r="N2145" s="167"/>
      <c r="O2145" s="167"/>
      <c r="P2145" s="168" t="s">
        <v>14869</v>
      </c>
      <c r="Q2145" s="167" t="s">
        <v>3947</v>
      </c>
      <c r="R2145" s="172" t="s">
        <v>14834</v>
      </c>
      <c r="S2145" s="388"/>
      <c r="T2145" s="168"/>
      <c r="U2145" s="168" t="s">
        <v>12185</v>
      </c>
      <c r="V2145" s="168"/>
      <c r="W2145" s="315" t="s">
        <v>14874</v>
      </c>
      <c r="X2145" s="647" t="s">
        <v>12532</v>
      </c>
      <c r="Y2145" s="352"/>
      <c r="Z2145" s="353"/>
      <c r="AA2145" s="353"/>
      <c r="AB2145" s="31">
        <f t="shared" ca="1" si="44"/>
        <v>0.33293863457864004</v>
      </c>
      <c r="AC2145" s="810"/>
      <c r="AD2145" s="846">
        <v>1892</v>
      </c>
      <c r="AE2145" s="940"/>
      <c r="AF2145" s="920">
        <f>IF(X2145=X2144,AF2144,0)+IF(ISNUMBER(I2145),IF(I2145&lt;1,I2145,I2145*VLOOKUP(J2145,Summary!$H$2:$I$9,2)),VLOOKUP(J2145,Summary!$J$2:$K$9,2)*IF(ISNUMBER(H2145),H2145,1))</f>
        <v>6.4583333333333326E-2</v>
      </c>
      <c r="AG2145" s="287">
        <v>2144</v>
      </c>
      <c r="AH2145" s="705"/>
      <c r="AI2145" s="705"/>
    </row>
    <row r="2146" spans="1:36" s="706" customFormat="1" ht="12" customHeight="1" x14ac:dyDescent="0.25">
      <c r="A2146" s="405" t="s">
        <v>12279</v>
      </c>
      <c r="B2146" s="406" t="s">
        <v>12279</v>
      </c>
      <c r="C2146" s="565">
        <v>4.0199999999999996</v>
      </c>
      <c r="D2146" s="407" t="s">
        <v>14871</v>
      </c>
      <c r="E2146" s="315" t="s">
        <v>14875</v>
      </c>
      <c r="F2146" s="169">
        <v>41974</v>
      </c>
      <c r="G2146" s="170"/>
      <c r="H2146" s="170">
        <v>1</v>
      </c>
      <c r="I2146" s="747">
        <f>TIME(0,60,0)</f>
        <v>4.1666666666666664E-2</v>
      </c>
      <c r="J2146" s="899" t="s">
        <v>4706</v>
      </c>
      <c r="K2146" s="167" t="s">
        <v>8131</v>
      </c>
      <c r="L2146" s="167" t="s">
        <v>2313</v>
      </c>
      <c r="M2146" s="167"/>
      <c r="N2146" s="167"/>
      <c r="O2146" s="167"/>
      <c r="P2146" s="168" t="s">
        <v>14869</v>
      </c>
      <c r="Q2146" s="167" t="s">
        <v>3947</v>
      </c>
      <c r="R2146" s="172" t="s">
        <v>14834</v>
      </c>
      <c r="S2146" s="388"/>
      <c r="T2146" s="168"/>
      <c r="U2146" s="168" t="s">
        <v>12185</v>
      </c>
      <c r="V2146" s="168"/>
      <c r="W2146" s="315" t="s">
        <v>14875</v>
      </c>
      <c r="X2146" s="647" t="s">
        <v>12532</v>
      </c>
      <c r="Y2146" s="352"/>
      <c r="Z2146" s="353"/>
      <c r="AA2146" s="353"/>
      <c r="AB2146" s="31">
        <f t="shared" ca="1" si="44"/>
        <v>0.98198547176186746</v>
      </c>
      <c r="AC2146" s="810"/>
      <c r="AD2146" s="846">
        <v>1892</v>
      </c>
      <c r="AE2146" s="940"/>
      <c r="AF2146" s="920">
        <f>IF(X2146=X2145,AF2145,0)+IF(ISNUMBER(I2146),IF(I2146&lt;1,I2146,I2146*VLOOKUP(J2146,Summary!$H$2:$I$9,2)),VLOOKUP(J2146,Summary!$J$2:$K$9,2)*IF(ISNUMBER(H2146),H2146,1))</f>
        <v>0.10624999999999998</v>
      </c>
      <c r="AG2146" s="287">
        <v>2145</v>
      </c>
      <c r="AH2146" s="705"/>
      <c r="AI2146" s="705"/>
    </row>
    <row r="2147" spans="1:36" s="706" customFormat="1" ht="12" customHeight="1" x14ac:dyDescent="0.25">
      <c r="A2147" s="405" t="s">
        <v>12279</v>
      </c>
      <c r="B2147" s="406" t="s">
        <v>12279</v>
      </c>
      <c r="C2147" s="565">
        <v>4.03</v>
      </c>
      <c r="D2147" s="407" t="s">
        <v>14872</v>
      </c>
      <c r="E2147" s="315" t="s">
        <v>14876</v>
      </c>
      <c r="F2147" s="169">
        <v>41974</v>
      </c>
      <c r="G2147" s="170"/>
      <c r="H2147" s="170">
        <v>1</v>
      </c>
      <c r="I2147" s="747">
        <f>TIME(0,60,0)</f>
        <v>4.1666666666666664E-2</v>
      </c>
      <c r="J2147" s="899" t="s">
        <v>4706</v>
      </c>
      <c r="K2147" s="167" t="s">
        <v>8131</v>
      </c>
      <c r="L2147" s="167" t="s">
        <v>2313</v>
      </c>
      <c r="M2147" s="167"/>
      <c r="N2147" s="167"/>
      <c r="O2147" s="167"/>
      <c r="P2147" s="168" t="s">
        <v>14869</v>
      </c>
      <c r="Q2147" s="167" t="s">
        <v>3947</v>
      </c>
      <c r="R2147" s="172" t="s">
        <v>14834</v>
      </c>
      <c r="S2147" s="388"/>
      <c r="T2147" s="168"/>
      <c r="U2147" s="168" t="s">
        <v>12185</v>
      </c>
      <c r="V2147" s="168"/>
      <c r="W2147" s="315" t="s">
        <v>14876</v>
      </c>
      <c r="X2147" s="647" t="s">
        <v>12532</v>
      </c>
      <c r="Y2147" s="352"/>
      <c r="Z2147" s="353"/>
      <c r="AA2147" s="353"/>
      <c r="AB2147" s="31">
        <f t="shared" ca="1" si="44"/>
        <v>0.81075312512270425</v>
      </c>
      <c r="AC2147" s="810"/>
      <c r="AD2147" s="846">
        <v>1892</v>
      </c>
      <c r="AE2147" s="940"/>
      <c r="AF2147" s="920">
        <f>IF(X2147=X2146,AF2146,0)+IF(ISNUMBER(I2147),IF(I2147&lt;1,I2147,I2147*VLOOKUP(J2147,Summary!$H$2:$I$9,2)),VLOOKUP(J2147,Summary!$J$2:$K$9,2)*IF(ISNUMBER(H2147),H2147,1))</f>
        <v>0.14791666666666664</v>
      </c>
      <c r="AG2147" s="287">
        <v>2146</v>
      </c>
      <c r="AH2147" s="705"/>
      <c r="AI2147" s="705"/>
    </row>
    <row r="2148" spans="1:36" s="706" customFormat="1" ht="12" customHeight="1" x14ac:dyDescent="0.25">
      <c r="A2148" s="405" t="s">
        <v>12279</v>
      </c>
      <c r="B2148" s="406" t="s">
        <v>12279</v>
      </c>
      <c r="C2148" s="565">
        <v>4.04</v>
      </c>
      <c r="D2148" s="407" t="s">
        <v>14873</v>
      </c>
      <c r="E2148" s="315" t="s">
        <v>14877</v>
      </c>
      <c r="F2148" s="169">
        <v>41974</v>
      </c>
      <c r="G2148" s="170"/>
      <c r="H2148" s="170">
        <v>1</v>
      </c>
      <c r="I2148" s="747">
        <f>TIME(0,60,0)</f>
        <v>4.1666666666666664E-2</v>
      </c>
      <c r="J2148" s="899" t="s">
        <v>4706</v>
      </c>
      <c r="K2148" s="167" t="s">
        <v>8131</v>
      </c>
      <c r="L2148" s="167" t="s">
        <v>2313</v>
      </c>
      <c r="M2148" s="167"/>
      <c r="N2148" s="167"/>
      <c r="O2148" s="167"/>
      <c r="P2148" s="168" t="s">
        <v>14869</v>
      </c>
      <c r="Q2148" s="167" t="s">
        <v>3947</v>
      </c>
      <c r="R2148" s="172" t="s">
        <v>14834</v>
      </c>
      <c r="S2148" s="388"/>
      <c r="T2148" s="168"/>
      <c r="U2148" s="168" t="s">
        <v>12185</v>
      </c>
      <c r="V2148" s="168"/>
      <c r="W2148" s="315" t="s">
        <v>14877</v>
      </c>
      <c r="X2148" s="647" t="s">
        <v>12532</v>
      </c>
      <c r="Y2148" s="352"/>
      <c r="Z2148" s="353"/>
      <c r="AA2148" s="353"/>
      <c r="AB2148" s="31">
        <f t="shared" ca="1" si="44"/>
        <v>0.47857424956593708</v>
      </c>
      <c r="AC2148" s="810"/>
      <c r="AD2148" s="846">
        <v>1892</v>
      </c>
      <c r="AE2148" s="940"/>
      <c r="AF2148" s="920">
        <f>IF(X2148=X2147,AF2147,0)+IF(ISNUMBER(I2148),IF(I2148&lt;1,I2148,I2148*VLOOKUP(J2148,Summary!$H$2:$I$9,2)),VLOOKUP(J2148,Summary!$J$2:$K$9,2)*IF(ISNUMBER(H2148),H2148,1))</f>
        <v>0.1895833333333333</v>
      </c>
      <c r="AG2148" s="287">
        <v>2147</v>
      </c>
      <c r="AH2148" s="705"/>
      <c r="AI2148" s="705"/>
    </row>
    <row r="2149" spans="1:36" s="706" customFormat="1" ht="12" customHeight="1" x14ac:dyDescent="0.25">
      <c r="A2149" s="691" t="s">
        <v>12279</v>
      </c>
      <c r="B2149" s="692" t="s">
        <v>12279</v>
      </c>
      <c r="C2149" s="708">
        <v>5.04</v>
      </c>
      <c r="D2149" s="693" t="s">
        <v>14755</v>
      </c>
      <c r="E2149" s="694" t="s">
        <v>14742</v>
      </c>
      <c r="F2149" s="720">
        <v>9741</v>
      </c>
      <c r="G2149" s="695"/>
      <c r="H2149" s="695" t="s">
        <v>461</v>
      </c>
      <c r="I2149" s="695"/>
      <c r="J2149" s="911" t="s">
        <v>2755</v>
      </c>
      <c r="K2149" s="697" t="s">
        <v>14605</v>
      </c>
      <c r="L2149" s="697" t="s">
        <v>14771</v>
      </c>
      <c r="M2149" s="697"/>
      <c r="N2149" s="697"/>
      <c r="O2149" s="697"/>
      <c r="P2149" s="696"/>
      <c r="Q2149" s="697" t="s">
        <v>14751</v>
      </c>
      <c r="R2149" s="698" t="s">
        <v>14633</v>
      </c>
      <c r="S2149" s="699"/>
      <c r="T2149" s="696"/>
      <c r="U2149" s="696"/>
      <c r="V2149" s="696" t="s">
        <v>12280</v>
      </c>
      <c r="W2149" s="694" t="s">
        <v>14742</v>
      </c>
      <c r="X2149" s="700" t="s">
        <v>12532</v>
      </c>
      <c r="Y2149" s="701" t="s">
        <v>6868</v>
      </c>
      <c r="Z2149" s="702"/>
      <c r="AA2149" s="702"/>
      <c r="AB2149" s="703">
        <f t="shared" ca="1" si="44"/>
        <v>0.75138642551408641</v>
      </c>
      <c r="AC2149" s="855"/>
      <c r="AD2149" s="892" t="s">
        <v>14805</v>
      </c>
      <c r="AE2149" s="960"/>
      <c r="AF2149" s="932">
        <f>IF(X2149=X2148,AF2148,0)+IF(ISNUMBER(I2149),IF(I2149&lt;1,I2149,I2149*VLOOKUP(J2149,Summary!$H$2:$I$9,2)),VLOOKUP(J2149,Summary!$J$2:$K$9,2)*IF(ISNUMBER(H2149),H2149,1))</f>
        <v>0.2069444444444444</v>
      </c>
      <c r="AG2149" s="704">
        <v>2148</v>
      </c>
      <c r="AH2149" s="705"/>
      <c r="AI2149" s="705"/>
    </row>
    <row r="2150" spans="1:36" s="2" customFormat="1" ht="12" customHeight="1" x14ac:dyDescent="0.25">
      <c r="A2150" s="405" t="s">
        <v>7297</v>
      </c>
      <c r="B2150" s="406" t="s">
        <v>4451</v>
      </c>
      <c r="C2150" s="405">
        <v>3.11</v>
      </c>
      <c r="D2150" s="407" t="s">
        <v>1616</v>
      </c>
      <c r="E2150" s="315" t="s">
        <v>5005</v>
      </c>
      <c r="F2150" s="169">
        <v>39934</v>
      </c>
      <c r="G2150" s="170"/>
      <c r="H2150" s="170">
        <v>2</v>
      </c>
      <c r="I2150" s="746">
        <f>TIME(1,1,43)</f>
        <v>4.2858796296296298E-2</v>
      </c>
      <c r="J2150" s="899" t="s">
        <v>4706</v>
      </c>
      <c r="K2150" s="167" t="s">
        <v>175</v>
      </c>
      <c r="L2150" s="167" t="s">
        <v>5662</v>
      </c>
      <c r="M2150" s="167" t="s">
        <v>8044</v>
      </c>
      <c r="N2150" s="167"/>
      <c r="O2150" s="167"/>
      <c r="P2150" s="168" t="s">
        <v>9173</v>
      </c>
      <c r="Q2150" s="167" t="s">
        <v>3947</v>
      </c>
      <c r="R2150" s="172" t="s">
        <v>3153</v>
      </c>
      <c r="S2150" s="388"/>
      <c r="T2150" s="167"/>
      <c r="U2150" s="168" t="s">
        <v>5287</v>
      </c>
      <c r="V2150" s="168" t="s">
        <v>5288</v>
      </c>
      <c r="W2150" s="312" t="s">
        <v>10348</v>
      </c>
      <c r="X2150" s="644" t="s">
        <v>12532</v>
      </c>
      <c r="Y2150" s="352" t="s">
        <v>5398</v>
      </c>
      <c r="Z2150" s="353">
        <v>75</v>
      </c>
      <c r="AA2150" s="353">
        <v>8</v>
      </c>
      <c r="AB2150" s="31">
        <f t="shared" ca="1" si="44"/>
        <v>0.16015567178656309</v>
      </c>
      <c r="AC2150" s="810"/>
      <c r="AD2150" s="825" t="s">
        <v>16638</v>
      </c>
      <c r="AE2150" s="940" t="s">
        <v>12543</v>
      </c>
      <c r="AF2150" s="920">
        <f>IF(X2150=X2149,AF2149,0)+IF(ISNUMBER(I2150),IF(I2150&lt;1,I2150,I2150*VLOOKUP(J2150,Summary!$H$2:$I$9,2)),VLOOKUP(J2150,Summary!$J$2:$K$9,2)*IF(ISNUMBER(H2150),H2150,1))</f>
        <v>0.2498032407407407</v>
      </c>
      <c r="AG2150" s="287">
        <v>2149</v>
      </c>
      <c r="AH2150" s="94"/>
      <c r="AI2150" s="94"/>
    </row>
    <row r="2151" spans="1:36" s="2" customFormat="1" ht="12" customHeight="1" x14ac:dyDescent="0.25">
      <c r="A2151" s="405" t="s">
        <v>10713</v>
      </c>
      <c r="B2151" s="405" t="s">
        <v>4451</v>
      </c>
      <c r="C2151" s="405">
        <v>1.1000000000000001</v>
      </c>
      <c r="D2151" s="407" t="s">
        <v>10722</v>
      </c>
      <c r="E2151" s="315" t="s">
        <v>5290</v>
      </c>
      <c r="F2151" s="169">
        <v>40330</v>
      </c>
      <c r="G2151" s="170"/>
      <c r="H2151" s="170">
        <v>1</v>
      </c>
      <c r="I2151" s="747">
        <f t="shared" ref="I2151:I2166" si="45">TIME(0,60,0)</f>
        <v>4.1666666666666664E-2</v>
      </c>
      <c r="J2151" s="899" t="s">
        <v>4706</v>
      </c>
      <c r="K2151" s="167" t="s">
        <v>543</v>
      </c>
      <c r="L2151" s="167" t="s">
        <v>5662</v>
      </c>
      <c r="M2151" s="167"/>
      <c r="N2151" s="167"/>
      <c r="O2151" s="167" t="s">
        <v>2500</v>
      </c>
      <c r="P2151" s="168" t="s">
        <v>9146</v>
      </c>
      <c r="Q2151" s="167" t="s">
        <v>3947</v>
      </c>
      <c r="R2151" s="172" t="s">
        <v>5286</v>
      </c>
      <c r="S2151" s="388"/>
      <c r="T2151" s="158"/>
      <c r="U2151" s="168" t="s">
        <v>5287</v>
      </c>
      <c r="V2151" s="168" t="s">
        <v>5288</v>
      </c>
      <c r="W2151" s="315" t="s">
        <v>5290</v>
      </c>
      <c r="X2151" s="647" t="s">
        <v>12532</v>
      </c>
      <c r="Y2151" s="352" t="s">
        <v>5643</v>
      </c>
      <c r="Z2151" s="353">
        <v>7999</v>
      </c>
      <c r="AA2151" s="353"/>
      <c r="AB2151" s="31">
        <f t="shared" ca="1" si="44"/>
        <v>0.5397797118347738</v>
      </c>
      <c r="AC2151" s="810"/>
      <c r="AD2151" s="825" t="s">
        <v>16638</v>
      </c>
      <c r="AE2151" s="940"/>
      <c r="AF2151" s="920">
        <f>IF(X2151=X2150,AF2150,0)+IF(ISNUMBER(I2151),IF(I2151&lt;1,I2151,I2151*VLOOKUP(J2151,Summary!$H$2:$I$9,2)),VLOOKUP(J2151,Summary!$J$2:$K$9,2)*IF(ISNUMBER(H2151),H2151,1))</f>
        <v>0.29146990740740736</v>
      </c>
      <c r="AG2151" s="287">
        <v>2150</v>
      </c>
      <c r="AH2151" s="94"/>
      <c r="AI2151" s="94"/>
    </row>
    <row r="2152" spans="1:36" s="3" customFormat="1" ht="12" customHeight="1" x14ac:dyDescent="0.25">
      <c r="A2152" s="405" t="s">
        <v>10713</v>
      </c>
      <c r="B2152" s="406" t="s">
        <v>4451</v>
      </c>
      <c r="C2152" s="405">
        <v>1.2</v>
      </c>
      <c r="D2152" s="407" t="s">
        <v>10723</v>
      </c>
      <c r="E2152" s="315" t="s">
        <v>5289</v>
      </c>
      <c r="F2152" s="169">
        <v>40330</v>
      </c>
      <c r="G2152" s="170"/>
      <c r="H2152" s="170">
        <v>1</v>
      </c>
      <c r="I2152" s="747">
        <f t="shared" si="45"/>
        <v>4.1666666666666664E-2</v>
      </c>
      <c r="J2152" s="899" t="s">
        <v>4706</v>
      </c>
      <c r="K2152" s="167" t="s">
        <v>7374</v>
      </c>
      <c r="L2152" s="167" t="s">
        <v>5662</v>
      </c>
      <c r="M2152" s="167"/>
      <c r="N2152" s="167"/>
      <c r="O2152" s="167" t="s">
        <v>2500</v>
      </c>
      <c r="P2152" s="168" t="s">
        <v>9146</v>
      </c>
      <c r="Q2152" s="167" t="s">
        <v>3947</v>
      </c>
      <c r="R2152" s="172" t="s">
        <v>5286</v>
      </c>
      <c r="S2152" s="388"/>
      <c r="T2152" s="167"/>
      <c r="U2152" s="168" t="s">
        <v>5287</v>
      </c>
      <c r="V2152" s="168" t="s">
        <v>5288</v>
      </c>
      <c r="W2152" s="315" t="s">
        <v>5289</v>
      </c>
      <c r="X2152" s="647" t="s">
        <v>12532</v>
      </c>
      <c r="Y2152" s="352" t="s">
        <v>5643</v>
      </c>
      <c r="Z2152" s="353">
        <v>7999</v>
      </c>
      <c r="AA2152" s="353"/>
      <c r="AB2152" s="31">
        <f t="shared" ca="1" si="44"/>
        <v>9.6401099339120666E-2</v>
      </c>
      <c r="AC2152" s="810"/>
      <c r="AD2152" s="825" t="s">
        <v>16638</v>
      </c>
      <c r="AE2152" s="940"/>
      <c r="AF2152" s="920">
        <f>IF(X2152=X2151,AF2151,0)+IF(ISNUMBER(I2152),IF(I2152&lt;1,I2152,I2152*VLOOKUP(J2152,Summary!$H$2:$I$9,2)),VLOOKUP(J2152,Summary!$J$2:$K$9,2)*IF(ISNUMBER(H2152),H2152,1))</f>
        <v>0.33313657407407404</v>
      </c>
      <c r="AG2152" s="287">
        <v>2151</v>
      </c>
      <c r="AH2152" s="94"/>
      <c r="AI2152" s="94"/>
    </row>
    <row r="2153" spans="1:36" s="3" customFormat="1" ht="12" customHeight="1" x14ac:dyDescent="0.25">
      <c r="A2153" s="405" t="s">
        <v>10713</v>
      </c>
      <c r="B2153" s="406" t="s">
        <v>4451</v>
      </c>
      <c r="C2153" s="405">
        <v>1.3</v>
      </c>
      <c r="D2153" s="407" t="s">
        <v>10724</v>
      </c>
      <c r="E2153" s="315" t="s">
        <v>5291</v>
      </c>
      <c r="F2153" s="169">
        <v>40330</v>
      </c>
      <c r="G2153" s="170"/>
      <c r="H2153" s="170">
        <v>1</v>
      </c>
      <c r="I2153" s="747">
        <f t="shared" si="45"/>
        <v>4.1666666666666664E-2</v>
      </c>
      <c r="J2153" s="899" t="s">
        <v>4706</v>
      </c>
      <c r="K2153" s="167" t="s">
        <v>177</v>
      </c>
      <c r="L2153" s="167" t="s">
        <v>5662</v>
      </c>
      <c r="M2153" s="167"/>
      <c r="N2153" s="167"/>
      <c r="O2153" s="167" t="s">
        <v>2500</v>
      </c>
      <c r="P2153" s="168" t="s">
        <v>9146</v>
      </c>
      <c r="Q2153" s="167" t="s">
        <v>3947</v>
      </c>
      <c r="R2153" s="172" t="s">
        <v>5286</v>
      </c>
      <c r="S2153" s="388"/>
      <c r="T2153" s="167"/>
      <c r="U2153" s="168" t="s">
        <v>5287</v>
      </c>
      <c r="V2153" s="168" t="s">
        <v>5288</v>
      </c>
      <c r="W2153" s="315" t="s">
        <v>5291</v>
      </c>
      <c r="X2153" s="647" t="s">
        <v>12532</v>
      </c>
      <c r="Y2153" s="352" t="s">
        <v>5643</v>
      </c>
      <c r="Z2153" s="353">
        <v>7999</v>
      </c>
      <c r="AA2153" s="353"/>
      <c r="AB2153" s="31">
        <f t="shared" ca="1" si="44"/>
        <v>0.81613896346925296</v>
      </c>
      <c r="AC2153" s="810"/>
      <c r="AD2153" s="825" t="s">
        <v>16638</v>
      </c>
      <c r="AE2153" s="940"/>
      <c r="AF2153" s="920">
        <f>IF(X2153=X2152,AF2152,0)+IF(ISNUMBER(I2153),IF(I2153&lt;1,I2153,I2153*VLOOKUP(J2153,Summary!$H$2:$I$9,2)),VLOOKUP(J2153,Summary!$J$2:$K$9,2)*IF(ISNUMBER(H2153),H2153,1))</f>
        <v>0.37480324074074073</v>
      </c>
      <c r="AG2153" s="287">
        <v>2152</v>
      </c>
      <c r="AH2153" s="94"/>
      <c r="AI2153" s="94"/>
    </row>
    <row r="2154" spans="1:36" s="3" customFormat="1" ht="12" customHeight="1" x14ac:dyDescent="0.25">
      <c r="A2154" s="405" t="s">
        <v>10713</v>
      </c>
      <c r="B2154" s="406" t="s">
        <v>4451</v>
      </c>
      <c r="C2154" s="405">
        <v>1.4</v>
      </c>
      <c r="D2154" s="407" t="s">
        <v>10725</v>
      </c>
      <c r="E2154" s="315" t="s">
        <v>5292</v>
      </c>
      <c r="F2154" s="169">
        <v>40330</v>
      </c>
      <c r="G2154" s="170"/>
      <c r="H2154" s="170">
        <v>1</v>
      </c>
      <c r="I2154" s="747">
        <f t="shared" si="45"/>
        <v>4.1666666666666664E-2</v>
      </c>
      <c r="J2154" s="899" t="s">
        <v>4706</v>
      </c>
      <c r="K2154" s="167" t="s">
        <v>175</v>
      </c>
      <c r="L2154" s="167" t="s">
        <v>5662</v>
      </c>
      <c r="M2154" s="167"/>
      <c r="N2154" s="167"/>
      <c r="O2154" s="167" t="s">
        <v>2500</v>
      </c>
      <c r="P2154" s="168" t="s">
        <v>9146</v>
      </c>
      <c r="Q2154" s="167" t="s">
        <v>3947</v>
      </c>
      <c r="R2154" s="172" t="s">
        <v>5286</v>
      </c>
      <c r="S2154" s="388"/>
      <c r="T2154" s="167"/>
      <c r="U2154" s="168" t="s">
        <v>5287</v>
      </c>
      <c r="V2154" s="168" t="s">
        <v>5288</v>
      </c>
      <c r="W2154" s="315" t="s">
        <v>5292</v>
      </c>
      <c r="X2154" s="647" t="s">
        <v>12532</v>
      </c>
      <c r="Y2154" s="352" t="s">
        <v>5643</v>
      </c>
      <c r="Z2154" s="353">
        <v>7999</v>
      </c>
      <c r="AA2154" s="353"/>
      <c r="AB2154" s="31">
        <f t="shared" ca="1" si="44"/>
        <v>0.16491248323101948</v>
      </c>
      <c r="AC2154" s="810"/>
      <c r="AD2154" s="825" t="s">
        <v>16638</v>
      </c>
      <c r="AE2154" s="940"/>
      <c r="AF2154" s="920">
        <f>IF(X2154=X2153,AF2153,0)+IF(ISNUMBER(I2154),IF(I2154&lt;1,I2154,I2154*VLOOKUP(J2154,Summary!$H$2:$I$9,2)),VLOOKUP(J2154,Summary!$J$2:$K$9,2)*IF(ISNUMBER(H2154),H2154,1))</f>
        <v>0.41646990740740741</v>
      </c>
      <c r="AG2154" s="287">
        <v>2153</v>
      </c>
      <c r="AH2154" s="94"/>
      <c r="AI2154" s="94"/>
    </row>
    <row r="2155" spans="1:36" s="6" customFormat="1" ht="12" customHeight="1" x14ac:dyDescent="0.25">
      <c r="A2155" s="405" t="s">
        <v>10714</v>
      </c>
      <c r="B2155" s="406" t="s">
        <v>4451</v>
      </c>
      <c r="C2155" s="405">
        <v>2.1</v>
      </c>
      <c r="D2155" s="407" t="s">
        <v>10726</v>
      </c>
      <c r="E2155" s="315" t="s">
        <v>6209</v>
      </c>
      <c r="F2155" s="169">
        <v>40544</v>
      </c>
      <c r="G2155" s="170"/>
      <c r="H2155" s="170">
        <v>1</v>
      </c>
      <c r="I2155" s="747">
        <f t="shared" si="45"/>
        <v>4.1666666666666664E-2</v>
      </c>
      <c r="J2155" s="899" t="s">
        <v>4706</v>
      </c>
      <c r="K2155" s="167" t="s">
        <v>543</v>
      </c>
      <c r="L2155" s="167" t="s">
        <v>5662</v>
      </c>
      <c r="M2155" s="167"/>
      <c r="N2155" s="167"/>
      <c r="O2155" s="167" t="s">
        <v>2500</v>
      </c>
      <c r="P2155" s="168" t="s">
        <v>9147</v>
      </c>
      <c r="Q2155" s="167" t="s">
        <v>3947</v>
      </c>
      <c r="R2155" s="172" t="s">
        <v>5286</v>
      </c>
      <c r="S2155" s="388"/>
      <c r="T2155" s="158"/>
      <c r="U2155" s="168" t="s">
        <v>5287</v>
      </c>
      <c r="V2155" s="168" t="s">
        <v>5288</v>
      </c>
      <c r="W2155" s="312" t="s">
        <v>6209</v>
      </c>
      <c r="X2155" s="644" t="s">
        <v>12532</v>
      </c>
      <c r="Y2155" s="352" t="s">
        <v>11456</v>
      </c>
      <c r="Z2155" s="353">
        <v>7999</v>
      </c>
      <c r="AA2155" s="353"/>
      <c r="AB2155" s="31">
        <f t="shared" ca="1" si="44"/>
        <v>0.85271225219686542</v>
      </c>
      <c r="AC2155" s="810"/>
      <c r="AD2155" s="825" t="s">
        <v>16638</v>
      </c>
      <c r="AE2155" s="940"/>
      <c r="AF2155" s="920">
        <f>IF(X2155=X2154,AF2154,0)+IF(ISNUMBER(I2155),IF(I2155&lt;1,I2155,I2155*VLOOKUP(J2155,Summary!$H$2:$I$9,2)),VLOOKUP(J2155,Summary!$J$2:$K$9,2)*IF(ISNUMBER(H2155),H2155,1))</f>
        <v>0.4581365740740741</v>
      </c>
      <c r="AG2155" s="287">
        <v>2154</v>
      </c>
      <c r="AH2155" s="94"/>
      <c r="AI2155" s="94"/>
      <c r="AJ2155" s="22"/>
    </row>
    <row r="2156" spans="1:36" s="6" customFormat="1" ht="12" customHeight="1" x14ac:dyDescent="0.25">
      <c r="A2156" s="405" t="s">
        <v>10714</v>
      </c>
      <c r="B2156" s="406" t="s">
        <v>4451</v>
      </c>
      <c r="C2156" s="405">
        <v>2.2000000000000002</v>
      </c>
      <c r="D2156" s="407" t="s">
        <v>10727</v>
      </c>
      <c r="E2156" s="315" t="s">
        <v>5097</v>
      </c>
      <c r="F2156" s="169">
        <v>40544</v>
      </c>
      <c r="G2156" s="170"/>
      <c r="H2156" s="170">
        <v>1</v>
      </c>
      <c r="I2156" s="747">
        <f t="shared" si="45"/>
        <v>4.1666666666666664E-2</v>
      </c>
      <c r="J2156" s="899" t="s">
        <v>4706</v>
      </c>
      <c r="K2156" s="167" t="s">
        <v>4033</v>
      </c>
      <c r="L2156" s="167" t="s">
        <v>5662</v>
      </c>
      <c r="M2156" s="167"/>
      <c r="N2156" s="167"/>
      <c r="O2156" s="167" t="s">
        <v>2500</v>
      </c>
      <c r="P2156" s="168" t="s">
        <v>9147</v>
      </c>
      <c r="Q2156" s="167" t="s">
        <v>3947</v>
      </c>
      <c r="R2156" s="172" t="s">
        <v>5286</v>
      </c>
      <c r="S2156" s="388"/>
      <c r="T2156" s="167"/>
      <c r="U2156" s="168" t="s">
        <v>5287</v>
      </c>
      <c r="V2156" s="168" t="s">
        <v>5288</v>
      </c>
      <c r="W2156" s="312" t="s">
        <v>5097</v>
      </c>
      <c r="X2156" s="644" t="s">
        <v>12532</v>
      </c>
      <c r="Y2156" s="352" t="s">
        <v>11456</v>
      </c>
      <c r="Z2156" s="353">
        <v>7999</v>
      </c>
      <c r="AA2156" s="353"/>
      <c r="AB2156" s="31">
        <f t="shared" ca="1" si="44"/>
        <v>0.96433314286423133</v>
      </c>
      <c r="AC2156" s="810"/>
      <c r="AD2156" s="825" t="s">
        <v>16639</v>
      </c>
      <c r="AE2156" s="940"/>
      <c r="AF2156" s="920">
        <f>IF(X2156=X2155,AF2155,0)+IF(ISNUMBER(I2156),IF(I2156&lt;1,I2156,I2156*VLOOKUP(J2156,Summary!$H$2:$I$9,2)),VLOOKUP(J2156,Summary!$J$2:$K$9,2)*IF(ISNUMBER(H2156),H2156,1))</f>
        <v>0.49980324074074078</v>
      </c>
      <c r="AG2156" s="287">
        <v>2155</v>
      </c>
      <c r="AH2156" s="94"/>
      <c r="AI2156" s="94"/>
      <c r="AJ2156" s="1"/>
    </row>
    <row r="2157" spans="1:36" s="43" customFormat="1" ht="12" customHeight="1" x14ac:dyDescent="0.25">
      <c r="A2157" s="405" t="s">
        <v>10714</v>
      </c>
      <c r="B2157" s="406" t="s">
        <v>4451</v>
      </c>
      <c r="C2157" s="405">
        <v>2.2999999999999998</v>
      </c>
      <c r="D2157" s="407" t="s">
        <v>10728</v>
      </c>
      <c r="E2157" s="315" t="s">
        <v>5098</v>
      </c>
      <c r="F2157" s="169">
        <v>40544</v>
      </c>
      <c r="G2157" s="170"/>
      <c r="H2157" s="170">
        <v>1</v>
      </c>
      <c r="I2157" s="747">
        <f t="shared" si="45"/>
        <v>4.1666666666666664E-2</v>
      </c>
      <c r="J2157" s="899" t="s">
        <v>4706</v>
      </c>
      <c r="K2157" s="167" t="s">
        <v>177</v>
      </c>
      <c r="L2157" s="167" t="s">
        <v>5662</v>
      </c>
      <c r="M2157" s="167"/>
      <c r="N2157" s="167"/>
      <c r="O2157" s="167" t="s">
        <v>2500</v>
      </c>
      <c r="P2157" s="168" t="s">
        <v>9147</v>
      </c>
      <c r="Q2157" s="167" t="s">
        <v>3947</v>
      </c>
      <c r="R2157" s="172" t="s">
        <v>5286</v>
      </c>
      <c r="S2157" s="388"/>
      <c r="T2157" s="167"/>
      <c r="U2157" s="168" t="s">
        <v>5287</v>
      </c>
      <c r="V2157" s="168" t="s">
        <v>5288</v>
      </c>
      <c r="W2157" s="312" t="s">
        <v>5098</v>
      </c>
      <c r="X2157" s="644" t="s">
        <v>12532</v>
      </c>
      <c r="Y2157" s="352" t="s">
        <v>11456</v>
      </c>
      <c r="Z2157" s="353">
        <v>7999</v>
      </c>
      <c r="AA2157" s="353"/>
      <c r="AB2157" s="31">
        <f t="shared" ca="1" si="44"/>
        <v>0.65319551119185271</v>
      </c>
      <c r="AC2157" s="810"/>
      <c r="AD2157" s="825" t="s">
        <v>16639</v>
      </c>
      <c r="AE2157" s="940"/>
      <c r="AF2157" s="920">
        <f>IF(X2157=X2156,AF2156,0)+IF(ISNUMBER(I2157),IF(I2157&lt;1,I2157,I2157*VLOOKUP(J2157,Summary!$H$2:$I$9,2)),VLOOKUP(J2157,Summary!$J$2:$K$9,2)*IF(ISNUMBER(H2157),H2157,1))</f>
        <v>0.54146990740740741</v>
      </c>
      <c r="AG2157" s="287">
        <v>2156</v>
      </c>
      <c r="AH2157" s="94"/>
      <c r="AI2157" s="94"/>
      <c r="AJ2157" s="22"/>
    </row>
    <row r="2158" spans="1:36" s="43" customFormat="1" ht="12" customHeight="1" x14ac:dyDescent="0.25">
      <c r="A2158" s="405" t="s">
        <v>10714</v>
      </c>
      <c r="B2158" s="406" t="s">
        <v>4451</v>
      </c>
      <c r="C2158" s="405">
        <v>2.4</v>
      </c>
      <c r="D2158" s="407" t="s">
        <v>10729</v>
      </c>
      <c r="E2158" s="315" t="s">
        <v>7753</v>
      </c>
      <c r="F2158" s="169">
        <v>40544</v>
      </c>
      <c r="G2158" s="170"/>
      <c r="H2158" s="170">
        <v>1</v>
      </c>
      <c r="I2158" s="747">
        <f t="shared" si="45"/>
        <v>4.1666666666666664E-2</v>
      </c>
      <c r="J2158" s="899" t="s">
        <v>4706</v>
      </c>
      <c r="K2158" s="167" t="s">
        <v>175</v>
      </c>
      <c r="L2158" s="167" t="s">
        <v>5662</v>
      </c>
      <c r="M2158" s="167"/>
      <c r="N2158" s="167"/>
      <c r="O2158" s="167" t="s">
        <v>2500</v>
      </c>
      <c r="P2158" s="168" t="s">
        <v>9147</v>
      </c>
      <c r="Q2158" s="167" t="s">
        <v>3947</v>
      </c>
      <c r="R2158" s="172" t="s">
        <v>5286</v>
      </c>
      <c r="S2158" s="388"/>
      <c r="T2158" s="162"/>
      <c r="U2158" s="168" t="s">
        <v>5287</v>
      </c>
      <c r="V2158" s="168" t="s">
        <v>5288</v>
      </c>
      <c r="W2158" s="312" t="s">
        <v>7753</v>
      </c>
      <c r="X2158" s="644" t="s">
        <v>12532</v>
      </c>
      <c r="Y2158" s="352" t="s">
        <v>11456</v>
      </c>
      <c r="Z2158" s="353">
        <v>7999</v>
      </c>
      <c r="AA2158" s="353"/>
      <c r="AB2158" s="31">
        <f t="shared" ca="1" si="44"/>
        <v>0.24654365471173989</v>
      </c>
      <c r="AC2158" s="810"/>
      <c r="AD2158" s="825" t="s">
        <v>16639</v>
      </c>
      <c r="AE2158" s="940"/>
      <c r="AF2158" s="920">
        <f>IF(X2158=X2157,AF2157,0)+IF(ISNUMBER(I2158),IF(I2158&lt;1,I2158,I2158*VLOOKUP(J2158,Summary!$H$2:$I$9,2)),VLOOKUP(J2158,Summary!$J$2:$K$9,2)*IF(ISNUMBER(H2158),H2158,1))</f>
        <v>0.58313657407407404</v>
      </c>
      <c r="AG2158" s="287">
        <v>2157</v>
      </c>
      <c r="AH2158" s="94"/>
      <c r="AI2158" s="94"/>
      <c r="AJ2158" s="6"/>
    </row>
    <row r="2159" spans="1:36" s="6" customFormat="1" ht="12" customHeight="1" x14ac:dyDescent="0.25">
      <c r="A2159" s="405" t="s">
        <v>10715</v>
      </c>
      <c r="B2159" s="405" t="s">
        <v>4451</v>
      </c>
      <c r="C2159" s="405">
        <v>3.1</v>
      </c>
      <c r="D2159" s="407" t="s">
        <v>10730</v>
      </c>
      <c r="E2159" s="315" t="s">
        <v>7754</v>
      </c>
      <c r="F2159" s="169">
        <v>40695</v>
      </c>
      <c r="G2159" s="170"/>
      <c r="H2159" s="170">
        <v>1</v>
      </c>
      <c r="I2159" s="747">
        <f t="shared" si="45"/>
        <v>4.1666666666666664E-2</v>
      </c>
      <c r="J2159" s="899" t="s">
        <v>4706</v>
      </c>
      <c r="K2159" s="167" t="s">
        <v>543</v>
      </c>
      <c r="L2159" s="167" t="s">
        <v>5662</v>
      </c>
      <c r="M2159" s="167"/>
      <c r="N2159" s="167"/>
      <c r="O2159" s="167" t="s">
        <v>2500</v>
      </c>
      <c r="P2159" s="168" t="s">
        <v>9148</v>
      </c>
      <c r="Q2159" s="167" t="s">
        <v>3947</v>
      </c>
      <c r="R2159" s="172" t="s">
        <v>5286</v>
      </c>
      <c r="S2159" s="388" t="s">
        <v>2608</v>
      </c>
      <c r="T2159" s="157"/>
      <c r="U2159" s="168" t="s">
        <v>5287</v>
      </c>
      <c r="V2159" s="168" t="s">
        <v>5288</v>
      </c>
      <c r="W2159" s="312" t="s">
        <v>7754</v>
      </c>
      <c r="X2159" s="644" t="s">
        <v>12532</v>
      </c>
      <c r="Y2159" s="352" t="s">
        <v>11456</v>
      </c>
      <c r="Z2159" s="353"/>
      <c r="AA2159" s="353"/>
      <c r="AB2159" s="31">
        <f t="shared" ca="1" si="44"/>
        <v>0.89020660448796263</v>
      </c>
      <c r="AC2159" s="810"/>
      <c r="AD2159" s="825" t="s">
        <v>14976</v>
      </c>
      <c r="AE2159" s="940"/>
      <c r="AF2159" s="920">
        <f>IF(X2159=X2158,AF2158,0)+IF(ISNUMBER(I2159),IF(I2159&lt;1,I2159,I2159*VLOOKUP(J2159,Summary!$H$2:$I$9,2)),VLOOKUP(J2159,Summary!$J$2:$K$9,2)*IF(ISNUMBER(H2159),H2159,1))</f>
        <v>0.62480324074074067</v>
      </c>
      <c r="AG2159" s="287">
        <v>2158</v>
      </c>
      <c r="AH2159" s="94"/>
      <c r="AI2159" s="94"/>
      <c r="AJ2159" s="1"/>
    </row>
    <row r="2160" spans="1:36" s="43" customFormat="1" ht="12" customHeight="1" x14ac:dyDescent="0.25">
      <c r="A2160" s="405" t="s">
        <v>10715</v>
      </c>
      <c r="B2160" s="406" t="s">
        <v>4451</v>
      </c>
      <c r="C2160" s="405">
        <v>3.2</v>
      </c>
      <c r="D2160" s="407" t="s">
        <v>10731</v>
      </c>
      <c r="E2160" s="315" t="s">
        <v>7755</v>
      </c>
      <c r="F2160" s="169">
        <v>40695</v>
      </c>
      <c r="G2160" s="170"/>
      <c r="H2160" s="170">
        <v>1</v>
      </c>
      <c r="I2160" s="747">
        <f t="shared" si="45"/>
        <v>4.1666666666666664E-2</v>
      </c>
      <c r="J2160" s="899" t="s">
        <v>4706</v>
      </c>
      <c r="K2160" s="167" t="s">
        <v>7802</v>
      </c>
      <c r="L2160" s="167" t="s">
        <v>5662</v>
      </c>
      <c r="M2160" s="167"/>
      <c r="N2160" s="167"/>
      <c r="O2160" s="167" t="s">
        <v>2500</v>
      </c>
      <c r="P2160" s="168" t="s">
        <v>9148</v>
      </c>
      <c r="Q2160" s="167" t="s">
        <v>3947</v>
      </c>
      <c r="R2160" s="172" t="s">
        <v>5286</v>
      </c>
      <c r="S2160" s="388" t="s">
        <v>2608</v>
      </c>
      <c r="T2160" s="167"/>
      <c r="U2160" s="168" t="s">
        <v>5287</v>
      </c>
      <c r="V2160" s="168" t="s">
        <v>5288</v>
      </c>
      <c r="W2160" s="312" t="s">
        <v>7755</v>
      </c>
      <c r="X2160" s="644" t="s">
        <v>12532</v>
      </c>
      <c r="Y2160" s="352" t="s">
        <v>11456</v>
      </c>
      <c r="Z2160" s="353"/>
      <c r="AA2160" s="353"/>
      <c r="AB2160" s="31">
        <f t="shared" ca="1" si="44"/>
        <v>0.56632939261115434</v>
      </c>
      <c r="AC2160" s="810"/>
      <c r="AD2160" s="825" t="s">
        <v>16642</v>
      </c>
      <c r="AE2160" s="940"/>
      <c r="AF2160" s="920">
        <f>IF(X2160=X2159,AF2159,0)+IF(ISNUMBER(I2160),IF(I2160&lt;1,I2160,I2160*VLOOKUP(J2160,Summary!$H$2:$I$9,2)),VLOOKUP(J2160,Summary!$J$2:$K$9,2)*IF(ISNUMBER(H2160),H2160,1))</f>
        <v>0.6664699074074073</v>
      </c>
      <c r="AG2160" s="287">
        <v>2159</v>
      </c>
      <c r="AH2160" s="94"/>
      <c r="AI2160" s="94"/>
      <c r="AJ2160" s="22"/>
    </row>
    <row r="2161" spans="1:36" s="43" customFormat="1" ht="12" customHeight="1" x14ac:dyDescent="0.25">
      <c r="A2161" s="405" t="s">
        <v>10715</v>
      </c>
      <c r="B2161" s="406" t="s">
        <v>4451</v>
      </c>
      <c r="C2161" s="405">
        <v>3.3</v>
      </c>
      <c r="D2161" s="407" t="s">
        <v>10732</v>
      </c>
      <c r="E2161" s="315" t="s">
        <v>7756</v>
      </c>
      <c r="F2161" s="169">
        <v>40695</v>
      </c>
      <c r="G2161" s="170"/>
      <c r="H2161" s="170">
        <v>1</v>
      </c>
      <c r="I2161" s="747">
        <f t="shared" si="45"/>
        <v>4.1666666666666664E-2</v>
      </c>
      <c r="J2161" s="899" t="s">
        <v>4706</v>
      </c>
      <c r="K2161" s="167" t="s">
        <v>5666</v>
      </c>
      <c r="L2161" s="167" t="s">
        <v>5662</v>
      </c>
      <c r="M2161" s="167"/>
      <c r="N2161" s="167"/>
      <c r="O2161" s="167" t="s">
        <v>2500</v>
      </c>
      <c r="P2161" s="168" t="s">
        <v>9148</v>
      </c>
      <c r="Q2161" s="167" t="s">
        <v>3947</v>
      </c>
      <c r="R2161" s="172" t="s">
        <v>5286</v>
      </c>
      <c r="S2161" s="388" t="s">
        <v>2608</v>
      </c>
      <c r="T2161" s="167"/>
      <c r="U2161" s="168" t="s">
        <v>5287</v>
      </c>
      <c r="V2161" s="168" t="s">
        <v>5288</v>
      </c>
      <c r="W2161" s="312" t="s">
        <v>7756</v>
      </c>
      <c r="X2161" s="644" t="s">
        <v>12532</v>
      </c>
      <c r="Y2161" s="352" t="s">
        <v>11456</v>
      </c>
      <c r="Z2161" s="353"/>
      <c r="AA2161" s="353"/>
      <c r="AB2161" s="31">
        <f t="shared" ca="1" si="44"/>
        <v>0.90195560718153411</v>
      </c>
      <c r="AC2161" s="810"/>
      <c r="AD2161" s="825" t="s">
        <v>15889</v>
      </c>
      <c r="AE2161" s="940"/>
      <c r="AF2161" s="920">
        <f>IF(X2161=X2160,AF2160,0)+IF(ISNUMBER(I2161),IF(I2161&lt;1,I2161,I2161*VLOOKUP(J2161,Summary!$H$2:$I$9,2)),VLOOKUP(J2161,Summary!$J$2:$K$9,2)*IF(ISNUMBER(H2161),H2161,1))</f>
        <v>0.70813657407407393</v>
      </c>
      <c r="AG2161" s="287">
        <v>2160</v>
      </c>
      <c r="AH2161" s="94"/>
      <c r="AI2161" s="94"/>
      <c r="AJ2161" s="22"/>
    </row>
    <row r="2162" spans="1:36" s="43" customFormat="1" ht="12" customHeight="1" x14ac:dyDescent="0.25">
      <c r="A2162" s="527" t="s">
        <v>10715</v>
      </c>
      <c r="B2162" s="527" t="s">
        <v>4451</v>
      </c>
      <c r="C2162" s="527">
        <v>3.4</v>
      </c>
      <c r="D2162" s="407" t="s">
        <v>10733</v>
      </c>
      <c r="E2162" s="315" t="s">
        <v>2489</v>
      </c>
      <c r="F2162" s="169">
        <v>40695</v>
      </c>
      <c r="G2162" s="170"/>
      <c r="H2162" s="170">
        <v>1</v>
      </c>
      <c r="I2162" s="747">
        <f t="shared" si="45"/>
        <v>4.1666666666666664E-2</v>
      </c>
      <c r="J2162" s="899" t="s">
        <v>4706</v>
      </c>
      <c r="K2162" s="167" t="s">
        <v>175</v>
      </c>
      <c r="L2162" s="167" t="s">
        <v>5662</v>
      </c>
      <c r="M2162" s="167"/>
      <c r="N2162" s="167"/>
      <c r="O2162" s="167" t="s">
        <v>2500</v>
      </c>
      <c r="P2162" s="168" t="s">
        <v>9148</v>
      </c>
      <c r="Q2162" s="167" t="s">
        <v>3947</v>
      </c>
      <c r="R2162" s="172" t="s">
        <v>5286</v>
      </c>
      <c r="S2162" s="388" t="s">
        <v>2608</v>
      </c>
      <c r="T2162" s="166"/>
      <c r="U2162" s="168" t="s">
        <v>5287</v>
      </c>
      <c r="V2162" s="168" t="s">
        <v>5288</v>
      </c>
      <c r="W2162" s="312" t="s">
        <v>2489</v>
      </c>
      <c r="X2162" s="644" t="s">
        <v>12532</v>
      </c>
      <c r="Y2162" s="352" t="s">
        <v>11456</v>
      </c>
      <c r="Z2162" s="353"/>
      <c r="AA2162" s="353"/>
      <c r="AB2162" s="31">
        <f t="shared" ca="1" si="44"/>
        <v>0.81799092734535939</v>
      </c>
      <c r="AC2162" s="810"/>
      <c r="AD2162" s="825" t="s">
        <v>14606</v>
      </c>
      <c r="AE2162" s="940"/>
      <c r="AF2162" s="920">
        <f>IF(X2162=X2161,AF2161,0)+IF(ISNUMBER(I2162),IF(I2162&lt;1,I2162,I2162*VLOOKUP(J2162,Summary!$H$2:$I$9,2)),VLOOKUP(J2162,Summary!$J$2:$K$9,2)*IF(ISNUMBER(H2162),H2162,1))</f>
        <v>0.74980324074074056</v>
      </c>
      <c r="AG2162" s="287">
        <v>2161</v>
      </c>
      <c r="AH2162" s="94"/>
      <c r="AI2162" s="94"/>
      <c r="AJ2162" s="22"/>
    </row>
    <row r="2163" spans="1:36" s="43" customFormat="1" ht="12" customHeight="1" x14ac:dyDescent="0.25">
      <c r="A2163" s="527" t="s">
        <v>10716</v>
      </c>
      <c r="B2163" s="527" t="s">
        <v>4451</v>
      </c>
      <c r="C2163" s="527">
        <v>4.0999999999999996</v>
      </c>
      <c r="D2163" s="407" t="s">
        <v>10734</v>
      </c>
      <c r="E2163" s="315" t="s">
        <v>2490</v>
      </c>
      <c r="F2163" s="169">
        <v>40969</v>
      </c>
      <c r="G2163" s="170"/>
      <c r="H2163" s="170">
        <v>1</v>
      </c>
      <c r="I2163" s="747">
        <f t="shared" si="45"/>
        <v>4.1666666666666664E-2</v>
      </c>
      <c r="J2163" s="899" t="s">
        <v>4706</v>
      </c>
      <c r="K2163" s="167" t="s">
        <v>7757</v>
      </c>
      <c r="L2163" s="167" t="s">
        <v>5662</v>
      </c>
      <c r="M2163" s="167"/>
      <c r="N2163" s="167"/>
      <c r="O2163" s="167" t="s">
        <v>2500</v>
      </c>
      <c r="P2163" s="168" t="s">
        <v>9149</v>
      </c>
      <c r="Q2163" s="167" t="s">
        <v>3947</v>
      </c>
      <c r="R2163" s="172" t="s">
        <v>5286</v>
      </c>
      <c r="S2163" s="388" t="s">
        <v>2608</v>
      </c>
      <c r="T2163" s="157"/>
      <c r="U2163" s="168" t="s">
        <v>5287</v>
      </c>
      <c r="V2163" s="168" t="s">
        <v>5288</v>
      </c>
      <c r="W2163" s="312" t="s">
        <v>2490</v>
      </c>
      <c r="X2163" s="644" t="s">
        <v>12532</v>
      </c>
      <c r="Y2163" s="352" t="s">
        <v>11456</v>
      </c>
      <c r="Z2163" s="353"/>
      <c r="AA2163" s="353"/>
      <c r="AB2163" s="31">
        <f t="shared" ca="1" si="44"/>
        <v>0.54592741445666115</v>
      </c>
      <c r="AC2163" s="810"/>
      <c r="AD2163" s="825" t="s">
        <v>14606</v>
      </c>
      <c r="AE2163" s="940"/>
      <c r="AF2163" s="920">
        <f>IF(X2163=X2162,AF2162,0)+IF(ISNUMBER(I2163),IF(I2163&lt;1,I2163,I2163*VLOOKUP(J2163,Summary!$H$2:$I$9,2)),VLOOKUP(J2163,Summary!$J$2:$K$9,2)*IF(ISNUMBER(H2163),H2163,1))</f>
        <v>0.79146990740740719</v>
      </c>
      <c r="AG2163" s="287">
        <v>2162</v>
      </c>
      <c r="AH2163" s="94"/>
      <c r="AI2163" s="94"/>
      <c r="AJ2163" s="22"/>
    </row>
    <row r="2164" spans="1:36" s="43" customFormat="1" ht="12" customHeight="1" x14ac:dyDescent="0.25">
      <c r="A2164" s="527" t="s">
        <v>10716</v>
      </c>
      <c r="B2164" s="527" t="s">
        <v>4451</v>
      </c>
      <c r="C2164" s="527">
        <v>4.2</v>
      </c>
      <c r="D2164" s="407" t="s">
        <v>10735</v>
      </c>
      <c r="E2164" s="315" t="s">
        <v>2491</v>
      </c>
      <c r="F2164" s="169">
        <v>40969</v>
      </c>
      <c r="G2164" s="170"/>
      <c r="H2164" s="170">
        <v>1</v>
      </c>
      <c r="I2164" s="747">
        <f t="shared" si="45"/>
        <v>4.1666666666666664E-2</v>
      </c>
      <c r="J2164" s="899" t="s">
        <v>4706</v>
      </c>
      <c r="K2164" s="167" t="s">
        <v>5666</v>
      </c>
      <c r="L2164" s="167" t="s">
        <v>5662</v>
      </c>
      <c r="M2164" s="167"/>
      <c r="N2164" s="167"/>
      <c r="O2164" s="167" t="s">
        <v>2500</v>
      </c>
      <c r="P2164" s="168" t="s">
        <v>9149</v>
      </c>
      <c r="Q2164" s="167" t="s">
        <v>3947</v>
      </c>
      <c r="R2164" s="172" t="s">
        <v>5286</v>
      </c>
      <c r="S2164" s="388" t="s">
        <v>2608</v>
      </c>
      <c r="T2164" s="167"/>
      <c r="U2164" s="168" t="s">
        <v>5287</v>
      </c>
      <c r="V2164" s="168" t="s">
        <v>5288</v>
      </c>
      <c r="W2164" s="312" t="s">
        <v>2491</v>
      </c>
      <c r="X2164" s="644" t="s">
        <v>12532</v>
      </c>
      <c r="Y2164" s="352" t="s">
        <v>11456</v>
      </c>
      <c r="Z2164" s="353"/>
      <c r="AA2164" s="353"/>
      <c r="AB2164" s="31">
        <f t="shared" ca="1" si="44"/>
        <v>0.28257912021170128</v>
      </c>
      <c r="AC2164" s="810"/>
      <c r="AD2164" s="825" t="s">
        <v>14606</v>
      </c>
      <c r="AE2164" s="940"/>
      <c r="AF2164" s="920">
        <f>IF(X2164=X2163,AF2163,0)+IF(ISNUMBER(I2164),IF(I2164&lt;1,I2164,I2164*VLOOKUP(J2164,Summary!$H$2:$I$9,2)),VLOOKUP(J2164,Summary!$J$2:$K$9,2)*IF(ISNUMBER(H2164),H2164,1))</f>
        <v>0.83313657407407382</v>
      </c>
      <c r="AG2164" s="287">
        <v>2163</v>
      </c>
      <c r="AH2164" s="94"/>
      <c r="AI2164" s="94"/>
      <c r="AJ2164" s="22"/>
    </row>
    <row r="2165" spans="1:36" s="43" customFormat="1" ht="12" customHeight="1" x14ac:dyDescent="0.25">
      <c r="A2165" s="527" t="s">
        <v>10716</v>
      </c>
      <c r="B2165" s="527" t="s">
        <v>4451</v>
      </c>
      <c r="C2165" s="527">
        <v>4.3</v>
      </c>
      <c r="D2165" s="407" t="s">
        <v>10736</v>
      </c>
      <c r="E2165" s="315" t="s">
        <v>2492</v>
      </c>
      <c r="F2165" s="169">
        <v>40969</v>
      </c>
      <c r="G2165" s="170"/>
      <c r="H2165" s="170">
        <v>1</v>
      </c>
      <c r="I2165" s="747">
        <f t="shared" si="45"/>
        <v>4.1666666666666664E-2</v>
      </c>
      <c r="J2165" s="899" t="s">
        <v>4706</v>
      </c>
      <c r="K2165" s="167" t="s">
        <v>7802</v>
      </c>
      <c r="L2165" s="167" t="s">
        <v>5662</v>
      </c>
      <c r="M2165" s="167"/>
      <c r="N2165" s="167"/>
      <c r="O2165" s="167" t="s">
        <v>2500</v>
      </c>
      <c r="P2165" s="168" t="s">
        <v>9149</v>
      </c>
      <c r="Q2165" s="167" t="s">
        <v>3947</v>
      </c>
      <c r="R2165" s="172" t="s">
        <v>5286</v>
      </c>
      <c r="S2165" s="388" t="s">
        <v>2608</v>
      </c>
      <c r="T2165" s="157"/>
      <c r="U2165" s="168" t="s">
        <v>5287</v>
      </c>
      <c r="V2165" s="168" t="s">
        <v>5288</v>
      </c>
      <c r="W2165" s="312" t="s">
        <v>2492</v>
      </c>
      <c r="X2165" s="644" t="s">
        <v>12532</v>
      </c>
      <c r="Y2165" s="352" t="s">
        <v>11456</v>
      </c>
      <c r="Z2165" s="353"/>
      <c r="AA2165" s="353"/>
      <c r="AB2165" s="31">
        <f t="shared" ca="1" si="44"/>
        <v>0.76026190176316377</v>
      </c>
      <c r="AC2165" s="810"/>
      <c r="AD2165" s="825" t="s">
        <v>14606</v>
      </c>
      <c r="AE2165" s="940"/>
      <c r="AF2165" s="920">
        <f>IF(X2165=X2164,AF2164,0)+IF(ISNUMBER(I2165),IF(I2165&lt;1,I2165,I2165*VLOOKUP(J2165,Summary!$H$2:$I$9,2)),VLOOKUP(J2165,Summary!$J$2:$K$9,2)*IF(ISNUMBER(H2165),H2165,1))</f>
        <v>0.87480324074074045</v>
      </c>
      <c r="AG2165" s="287">
        <v>2164</v>
      </c>
      <c r="AH2165" s="94"/>
      <c r="AI2165" s="94"/>
      <c r="AJ2165" s="22"/>
    </row>
    <row r="2166" spans="1:36" s="43" customFormat="1" ht="12" customHeight="1" x14ac:dyDescent="0.25">
      <c r="A2166" s="527" t="s">
        <v>10716</v>
      </c>
      <c r="B2166" s="527" t="s">
        <v>4451</v>
      </c>
      <c r="C2166" s="527">
        <v>4.4000000000000004</v>
      </c>
      <c r="D2166" s="407" t="s">
        <v>10737</v>
      </c>
      <c r="E2166" s="315" t="s">
        <v>1849</v>
      </c>
      <c r="F2166" s="169">
        <v>40969</v>
      </c>
      <c r="G2166" s="170"/>
      <c r="H2166" s="170">
        <v>1</v>
      </c>
      <c r="I2166" s="747">
        <f t="shared" si="45"/>
        <v>4.1666666666666664E-2</v>
      </c>
      <c r="J2166" s="899" t="s">
        <v>4706</v>
      </c>
      <c r="K2166" s="167" t="s">
        <v>543</v>
      </c>
      <c r="L2166" s="167" t="s">
        <v>5662</v>
      </c>
      <c r="M2166" s="167"/>
      <c r="N2166" s="167"/>
      <c r="O2166" s="167" t="s">
        <v>2500</v>
      </c>
      <c r="P2166" s="168" t="s">
        <v>9149</v>
      </c>
      <c r="Q2166" s="167" t="s">
        <v>3947</v>
      </c>
      <c r="R2166" s="172" t="s">
        <v>5286</v>
      </c>
      <c r="S2166" s="388" t="s">
        <v>2608</v>
      </c>
      <c r="T2166" s="157"/>
      <c r="U2166" s="168" t="s">
        <v>5287</v>
      </c>
      <c r="V2166" s="168" t="s">
        <v>5288</v>
      </c>
      <c r="W2166" s="312" t="s">
        <v>1849</v>
      </c>
      <c r="X2166" s="644" t="s">
        <v>12532</v>
      </c>
      <c r="Y2166" s="352" t="s">
        <v>11456</v>
      </c>
      <c r="Z2166" s="353"/>
      <c r="AA2166" s="353"/>
      <c r="AB2166" s="31">
        <f t="shared" ca="1" si="44"/>
        <v>0.2214460532011161</v>
      </c>
      <c r="AC2166" s="810"/>
      <c r="AD2166" s="825" t="s">
        <v>14606</v>
      </c>
      <c r="AE2166" s="940"/>
      <c r="AF2166" s="920">
        <f>IF(X2166=X2165,AF2165,0)+IF(ISNUMBER(I2166),IF(I2166&lt;1,I2166,I2166*VLOOKUP(J2166,Summary!$H$2:$I$9,2)),VLOOKUP(J2166,Summary!$J$2:$K$9,2)*IF(ISNUMBER(H2166),H2166,1))</f>
        <v>0.91646990740740708</v>
      </c>
      <c r="AG2166" s="287">
        <v>2165</v>
      </c>
      <c r="AH2166" s="94"/>
      <c r="AI2166" s="94"/>
      <c r="AJ2166" s="22"/>
    </row>
    <row r="2167" spans="1:36" s="43" customFormat="1" ht="12" customHeight="1" x14ac:dyDescent="0.25">
      <c r="A2167" s="527" t="s">
        <v>10716</v>
      </c>
      <c r="B2167" s="527">
        <v>6</v>
      </c>
      <c r="C2167" s="527">
        <v>3</v>
      </c>
      <c r="D2167" s="407"/>
      <c r="E2167" s="315" t="s">
        <v>7741</v>
      </c>
      <c r="F2167" s="169">
        <v>41183</v>
      </c>
      <c r="G2167" s="170"/>
      <c r="H2167" s="170">
        <v>1</v>
      </c>
      <c r="I2167" s="746">
        <f>TIME(1,3,49)</f>
        <v>4.431712962962963E-2</v>
      </c>
      <c r="J2167" s="899" t="s">
        <v>4706</v>
      </c>
      <c r="K2167" s="167" t="s">
        <v>177</v>
      </c>
      <c r="L2167" s="167" t="s">
        <v>2313</v>
      </c>
      <c r="M2167" s="167"/>
      <c r="N2167" s="167"/>
      <c r="O2167" s="167" t="s">
        <v>2500</v>
      </c>
      <c r="P2167" s="168" t="s">
        <v>7743</v>
      </c>
      <c r="Q2167" s="167" t="s">
        <v>3947</v>
      </c>
      <c r="R2167" s="172" t="s">
        <v>3147</v>
      </c>
      <c r="S2167" s="388"/>
      <c r="T2167" s="158"/>
      <c r="U2167" s="168" t="s">
        <v>5287</v>
      </c>
      <c r="V2167" s="168" t="s">
        <v>5288</v>
      </c>
      <c r="W2167" s="312" t="s">
        <v>7741</v>
      </c>
      <c r="X2167" s="644" t="s">
        <v>15031</v>
      </c>
      <c r="Y2167" s="352" t="s">
        <v>5643</v>
      </c>
      <c r="Z2167" s="353">
        <v>142</v>
      </c>
      <c r="AA2167" s="353">
        <v>6.5</v>
      </c>
      <c r="AB2167" s="31">
        <f t="shared" ca="1" si="44"/>
        <v>0.24280201405465129</v>
      </c>
      <c r="AC2167" s="810"/>
      <c r="AD2167" s="811"/>
      <c r="AE2167" s="940"/>
      <c r="AF2167" s="920">
        <f>IF(X2167=X2166,AF2166,0)+IF(ISNUMBER(I2167),IF(I2167&lt;1,I2167,I2167*VLOOKUP(J2167,Summary!$H$2:$I$9,2)),VLOOKUP(J2167,Summary!$J$2:$K$9,2)*IF(ISNUMBER(H2167),H2167,1))</f>
        <v>4.431712962962963E-2</v>
      </c>
      <c r="AG2167" s="287">
        <v>2166</v>
      </c>
      <c r="AH2167" s="94"/>
      <c r="AI2167" s="94"/>
      <c r="AJ2167" s="22"/>
    </row>
    <row r="2168" spans="1:36" s="43" customFormat="1" ht="12" customHeight="1" x14ac:dyDescent="0.25">
      <c r="A2168" s="527" t="s">
        <v>10716</v>
      </c>
      <c r="B2168" s="527">
        <v>6</v>
      </c>
      <c r="C2168" s="527">
        <v>4</v>
      </c>
      <c r="D2168" s="407"/>
      <c r="E2168" s="315" t="s">
        <v>7742</v>
      </c>
      <c r="F2168" s="169">
        <v>41244</v>
      </c>
      <c r="G2168" s="170"/>
      <c r="H2168" s="170">
        <v>1</v>
      </c>
      <c r="I2168" s="746">
        <f>TIME(1,16,5)</f>
        <v>5.2835648148148145E-2</v>
      </c>
      <c r="J2168" s="899" t="s">
        <v>4706</v>
      </c>
      <c r="K2168" s="167" t="s">
        <v>7802</v>
      </c>
      <c r="L2168" s="167" t="s">
        <v>2313</v>
      </c>
      <c r="M2168" s="167"/>
      <c r="N2168" s="167"/>
      <c r="O2168" s="167" t="s">
        <v>2500</v>
      </c>
      <c r="P2168" s="168" t="s">
        <v>8874</v>
      </c>
      <c r="Q2168" s="167" t="s">
        <v>3947</v>
      </c>
      <c r="R2168" s="172" t="s">
        <v>3147</v>
      </c>
      <c r="S2168" s="388"/>
      <c r="T2168" s="162"/>
      <c r="U2168" s="168" t="s">
        <v>5287</v>
      </c>
      <c r="V2168" s="168" t="s">
        <v>5288</v>
      </c>
      <c r="W2168" s="312" t="s">
        <v>7742</v>
      </c>
      <c r="X2168" s="644" t="s">
        <v>15031</v>
      </c>
      <c r="Y2168" s="352" t="s">
        <v>5643</v>
      </c>
      <c r="Z2168" s="353">
        <v>407</v>
      </c>
      <c r="AA2168" s="353">
        <v>4.5</v>
      </c>
      <c r="AB2168" s="31">
        <f t="shared" ca="1" si="44"/>
        <v>3.7023990438044607E-2</v>
      </c>
      <c r="AC2168" s="810"/>
      <c r="AD2168" s="811"/>
      <c r="AE2168" s="940"/>
      <c r="AF2168" s="920">
        <f>IF(X2168=X2167,AF2167,0)+IF(ISNUMBER(I2168),IF(I2168&lt;1,I2168,I2168*VLOOKUP(J2168,Summary!$H$2:$I$9,2)),VLOOKUP(J2168,Summary!$J$2:$K$9,2)*IF(ISNUMBER(H2168),H2168,1))</f>
        <v>9.7152777777777782E-2</v>
      </c>
      <c r="AG2168" s="287">
        <v>2167</v>
      </c>
      <c r="AH2168" s="94"/>
      <c r="AI2168" s="94"/>
      <c r="AJ2168" s="22"/>
    </row>
    <row r="2169" spans="1:36" s="43" customFormat="1" ht="12" customHeight="1" x14ac:dyDescent="0.25">
      <c r="A2169" s="405" t="s">
        <v>10717</v>
      </c>
      <c r="B2169" s="406" t="s">
        <v>4451</v>
      </c>
      <c r="C2169" s="405">
        <v>5.0999999999999996</v>
      </c>
      <c r="D2169" s="407" t="s">
        <v>10738</v>
      </c>
      <c r="E2169" s="315" t="s">
        <v>10695</v>
      </c>
      <c r="F2169" s="196">
        <v>41339</v>
      </c>
      <c r="G2169" s="170"/>
      <c r="H2169" s="170">
        <v>1</v>
      </c>
      <c r="I2169" s="747">
        <f t="shared" ref="I2169:I2174" si="46">TIME(0,60,0)</f>
        <v>4.1666666666666664E-2</v>
      </c>
      <c r="J2169" s="899" t="s">
        <v>4706</v>
      </c>
      <c r="K2169" s="167" t="s">
        <v>177</v>
      </c>
      <c r="L2169" s="167" t="s">
        <v>5662</v>
      </c>
      <c r="M2169" s="167"/>
      <c r="N2169" s="167"/>
      <c r="O2169" s="167"/>
      <c r="P2169" s="168" t="s">
        <v>10703</v>
      </c>
      <c r="Q2169" s="167" t="s">
        <v>3947</v>
      </c>
      <c r="R2169" s="172" t="s">
        <v>5286</v>
      </c>
      <c r="S2169" s="388"/>
      <c r="T2169" s="243"/>
      <c r="U2169" s="168" t="s">
        <v>5287</v>
      </c>
      <c r="V2169" s="168" t="s">
        <v>5288</v>
      </c>
      <c r="W2169" s="312" t="s">
        <v>10695</v>
      </c>
      <c r="X2169" s="644" t="s">
        <v>15031</v>
      </c>
      <c r="Y2169" s="352" t="s">
        <v>11456</v>
      </c>
      <c r="Z2169" s="353"/>
      <c r="AA2169" s="353"/>
      <c r="AB2169" s="31">
        <f t="shared" ca="1" si="44"/>
        <v>0.40214462128460282</v>
      </c>
      <c r="AC2169" s="810"/>
      <c r="AD2169" s="811"/>
      <c r="AE2169" s="940"/>
      <c r="AF2169" s="920">
        <f>IF(X2169=X2168,AF2168,0)+IF(ISNUMBER(I2169),IF(I2169&lt;1,I2169,I2169*VLOOKUP(J2169,Summary!$H$2:$I$9,2)),VLOOKUP(J2169,Summary!$J$2:$K$9,2)*IF(ISNUMBER(H2169),H2169,1))</f>
        <v>0.13881944444444444</v>
      </c>
      <c r="AG2169" s="287">
        <v>2168</v>
      </c>
      <c r="AH2169" s="94"/>
      <c r="AI2169" s="94"/>
      <c r="AJ2169" s="22"/>
    </row>
    <row r="2170" spans="1:36" s="43" customFormat="1" ht="12" customHeight="1" x14ac:dyDescent="0.25">
      <c r="A2170" s="405" t="s">
        <v>10717</v>
      </c>
      <c r="B2170" s="406" t="s">
        <v>4451</v>
      </c>
      <c r="C2170" s="405">
        <v>5.2</v>
      </c>
      <c r="D2170" s="407" t="s">
        <v>10739</v>
      </c>
      <c r="E2170" s="315" t="s">
        <v>10696</v>
      </c>
      <c r="F2170" s="196">
        <v>41339</v>
      </c>
      <c r="G2170" s="170"/>
      <c r="H2170" s="170">
        <v>1</v>
      </c>
      <c r="I2170" s="747">
        <f t="shared" si="46"/>
        <v>4.1666666666666664E-2</v>
      </c>
      <c r="J2170" s="899" t="s">
        <v>4706</v>
      </c>
      <c r="K2170" s="167" t="s">
        <v>941</v>
      </c>
      <c r="L2170" s="167" t="s">
        <v>5662</v>
      </c>
      <c r="M2170" s="167"/>
      <c r="N2170" s="167"/>
      <c r="O2170" s="167"/>
      <c r="P2170" s="168" t="s">
        <v>10703</v>
      </c>
      <c r="Q2170" s="167" t="s">
        <v>3947</v>
      </c>
      <c r="R2170" s="172" t="s">
        <v>5286</v>
      </c>
      <c r="S2170" s="388"/>
      <c r="T2170" s="243"/>
      <c r="U2170" s="168" t="s">
        <v>5287</v>
      </c>
      <c r="V2170" s="168" t="s">
        <v>5288</v>
      </c>
      <c r="W2170" s="312" t="s">
        <v>10696</v>
      </c>
      <c r="X2170" s="644" t="s">
        <v>15031</v>
      </c>
      <c r="Y2170" s="352" t="s">
        <v>11456</v>
      </c>
      <c r="Z2170" s="353"/>
      <c r="AA2170" s="353"/>
      <c r="AB2170" s="31">
        <f t="shared" ca="1" si="44"/>
        <v>0.9754409524583465</v>
      </c>
      <c r="AC2170" s="810"/>
      <c r="AD2170" s="811"/>
      <c r="AE2170" s="940"/>
      <c r="AF2170" s="920">
        <f>IF(X2170=X2169,AF2169,0)+IF(ISNUMBER(I2170),IF(I2170&lt;1,I2170,I2170*VLOOKUP(J2170,Summary!$H$2:$I$9,2)),VLOOKUP(J2170,Summary!$J$2:$K$9,2)*IF(ISNUMBER(H2170),H2170,1))</f>
        <v>0.1804861111111111</v>
      </c>
      <c r="AG2170" s="287">
        <v>2169</v>
      </c>
      <c r="AH2170" s="94"/>
      <c r="AI2170" s="94"/>
      <c r="AJ2170" s="22"/>
    </row>
    <row r="2171" spans="1:36" s="6" customFormat="1" ht="12" customHeight="1" x14ac:dyDescent="0.25">
      <c r="A2171" s="405" t="s">
        <v>10717</v>
      </c>
      <c r="B2171" s="406" t="s">
        <v>4451</v>
      </c>
      <c r="C2171" s="405">
        <v>5.3</v>
      </c>
      <c r="D2171" s="407" t="s">
        <v>10740</v>
      </c>
      <c r="E2171" s="315" t="s">
        <v>10697</v>
      </c>
      <c r="F2171" s="196">
        <v>41339</v>
      </c>
      <c r="G2171" s="170"/>
      <c r="H2171" s="170">
        <v>1</v>
      </c>
      <c r="I2171" s="747">
        <f t="shared" si="46"/>
        <v>4.1666666666666664E-2</v>
      </c>
      <c r="J2171" s="899" t="s">
        <v>4706</v>
      </c>
      <c r="K2171" s="167" t="s">
        <v>6355</v>
      </c>
      <c r="L2171" s="167" t="s">
        <v>5662</v>
      </c>
      <c r="M2171" s="167"/>
      <c r="N2171" s="167"/>
      <c r="O2171" s="167"/>
      <c r="P2171" s="168" t="s">
        <v>10703</v>
      </c>
      <c r="Q2171" s="167" t="s">
        <v>3947</v>
      </c>
      <c r="R2171" s="172" t="s">
        <v>5286</v>
      </c>
      <c r="S2171" s="388"/>
      <c r="T2171" s="243"/>
      <c r="U2171" s="168" t="s">
        <v>5287</v>
      </c>
      <c r="V2171" s="168" t="s">
        <v>5288</v>
      </c>
      <c r="W2171" s="312" t="s">
        <v>10697</v>
      </c>
      <c r="X2171" s="644" t="s">
        <v>15031</v>
      </c>
      <c r="Y2171" s="352" t="s">
        <v>11456</v>
      </c>
      <c r="Z2171" s="353"/>
      <c r="AA2171" s="353"/>
      <c r="AB2171" s="31">
        <f t="shared" ca="1" si="44"/>
        <v>0.59138998152138644</v>
      </c>
      <c r="AC2171" s="810"/>
      <c r="AD2171" s="811"/>
      <c r="AE2171" s="940"/>
      <c r="AF2171" s="920">
        <f>IF(X2171=X2170,AF2170,0)+IF(ISNUMBER(I2171),IF(I2171&lt;1,I2171,I2171*VLOOKUP(J2171,Summary!$H$2:$I$9,2)),VLOOKUP(J2171,Summary!$J$2:$K$9,2)*IF(ISNUMBER(H2171),H2171,1))</f>
        <v>0.22215277777777775</v>
      </c>
      <c r="AG2171" s="287">
        <v>2170</v>
      </c>
      <c r="AH2171" s="94"/>
      <c r="AI2171" s="94"/>
      <c r="AJ2171" s="22"/>
    </row>
    <row r="2172" spans="1:36" s="43" customFormat="1" ht="12" customHeight="1" x14ac:dyDescent="0.25">
      <c r="A2172" s="405" t="s">
        <v>10717</v>
      </c>
      <c r="B2172" s="406" t="s">
        <v>4451</v>
      </c>
      <c r="C2172" s="405">
        <v>5.4</v>
      </c>
      <c r="D2172" s="407" t="s">
        <v>10741</v>
      </c>
      <c r="E2172" s="315" t="s">
        <v>10698</v>
      </c>
      <c r="F2172" s="196">
        <v>41339</v>
      </c>
      <c r="G2172" s="170"/>
      <c r="H2172" s="170">
        <v>1</v>
      </c>
      <c r="I2172" s="747">
        <f t="shared" si="46"/>
        <v>4.1666666666666664E-2</v>
      </c>
      <c r="J2172" s="899" t="s">
        <v>4706</v>
      </c>
      <c r="K2172" s="167" t="s">
        <v>543</v>
      </c>
      <c r="L2172" s="167" t="s">
        <v>5662</v>
      </c>
      <c r="M2172" s="167"/>
      <c r="N2172" s="167"/>
      <c r="O2172" s="167"/>
      <c r="P2172" s="168" t="s">
        <v>10703</v>
      </c>
      <c r="Q2172" s="167" t="s">
        <v>3947</v>
      </c>
      <c r="R2172" s="172" t="s">
        <v>5286</v>
      </c>
      <c r="S2172" s="388"/>
      <c r="T2172" s="167"/>
      <c r="U2172" s="168" t="s">
        <v>5287</v>
      </c>
      <c r="V2172" s="168" t="s">
        <v>5288</v>
      </c>
      <c r="W2172" s="312" t="s">
        <v>10698</v>
      </c>
      <c r="X2172" s="644" t="s">
        <v>15031</v>
      </c>
      <c r="Y2172" s="352" t="s">
        <v>11456</v>
      </c>
      <c r="Z2172" s="353"/>
      <c r="AA2172" s="353"/>
      <c r="AB2172" s="31">
        <f t="shared" ca="1" si="44"/>
        <v>0.29103382150660584</v>
      </c>
      <c r="AC2172" s="810"/>
      <c r="AD2172" s="811"/>
      <c r="AE2172" s="940"/>
      <c r="AF2172" s="920">
        <f>IF(X2172=X2171,AF2171,0)+IF(ISNUMBER(I2172),IF(I2172&lt;1,I2172,I2172*VLOOKUP(J2172,Summary!$H$2:$I$9,2)),VLOOKUP(J2172,Summary!$J$2:$K$9,2)*IF(ISNUMBER(H2172),H2172,1))</f>
        <v>0.26381944444444444</v>
      </c>
      <c r="AG2172" s="287">
        <v>2171</v>
      </c>
      <c r="AH2172" s="94"/>
      <c r="AI2172" s="94"/>
      <c r="AJ2172" s="22"/>
    </row>
    <row r="2173" spans="1:36" s="1" customFormat="1" ht="12" customHeight="1" x14ac:dyDescent="0.25">
      <c r="A2173" s="405" t="s">
        <v>10718</v>
      </c>
      <c r="B2173" s="406" t="s">
        <v>4451</v>
      </c>
      <c r="C2173" s="405">
        <v>6.1</v>
      </c>
      <c r="D2173" s="407" t="s">
        <v>10742</v>
      </c>
      <c r="E2173" s="315" t="s">
        <v>10699</v>
      </c>
      <c r="F2173" s="196">
        <v>41535</v>
      </c>
      <c r="G2173" s="170"/>
      <c r="H2173" s="170">
        <v>1</v>
      </c>
      <c r="I2173" s="747">
        <f t="shared" si="46"/>
        <v>4.1666666666666664E-2</v>
      </c>
      <c r="J2173" s="899" t="s">
        <v>4706</v>
      </c>
      <c r="K2173" s="167" t="s">
        <v>177</v>
      </c>
      <c r="L2173" s="167" t="s">
        <v>5662</v>
      </c>
      <c r="M2173" s="167"/>
      <c r="N2173" s="167"/>
      <c r="O2173" s="167"/>
      <c r="P2173" s="168" t="s">
        <v>10704</v>
      </c>
      <c r="Q2173" s="167" t="s">
        <v>3947</v>
      </c>
      <c r="R2173" s="172" t="s">
        <v>5286</v>
      </c>
      <c r="S2173" s="388"/>
      <c r="T2173" s="167"/>
      <c r="U2173" s="168" t="s">
        <v>5287</v>
      </c>
      <c r="V2173" s="168" t="s">
        <v>5288</v>
      </c>
      <c r="W2173" s="312" t="s">
        <v>10699</v>
      </c>
      <c r="X2173" s="644" t="s">
        <v>15031</v>
      </c>
      <c r="Y2173" s="352" t="s">
        <v>5643</v>
      </c>
      <c r="Z2173" s="353"/>
      <c r="AA2173" s="353"/>
      <c r="AB2173" s="31">
        <f t="shared" ca="1" si="44"/>
        <v>0.22778314498581242</v>
      </c>
      <c r="AC2173" s="810"/>
      <c r="AD2173" s="811"/>
      <c r="AE2173" s="940"/>
      <c r="AF2173" s="920">
        <f>IF(X2173=X2172,AF2172,0)+IF(ISNUMBER(I2173),IF(I2173&lt;1,I2173,I2173*VLOOKUP(J2173,Summary!$H$2:$I$9,2)),VLOOKUP(J2173,Summary!$J$2:$K$9,2)*IF(ISNUMBER(H2173),H2173,1))</f>
        <v>0.30548611111111112</v>
      </c>
      <c r="AG2173" s="287">
        <v>2172</v>
      </c>
      <c r="AH2173" s="94"/>
      <c r="AI2173" s="94"/>
    </row>
    <row r="2174" spans="1:36" s="43" customFormat="1" ht="12" customHeight="1" x14ac:dyDescent="0.25">
      <c r="A2174" s="405" t="s">
        <v>10718</v>
      </c>
      <c r="B2174" s="406" t="s">
        <v>4451</v>
      </c>
      <c r="C2174" s="405">
        <v>6.2</v>
      </c>
      <c r="D2174" s="407" t="s">
        <v>10743</v>
      </c>
      <c r="E2174" s="315" t="s">
        <v>10700</v>
      </c>
      <c r="F2174" s="196">
        <v>41535</v>
      </c>
      <c r="G2174" s="170"/>
      <c r="H2174" s="170">
        <v>1</v>
      </c>
      <c r="I2174" s="747">
        <f t="shared" si="46"/>
        <v>4.1666666666666664E-2</v>
      </c>
      <c r="J2174" s="899" t="s">
        <v>4706</v>
      </c>
      <c r="K2174" s="167" t="s">
        <v>7802</v>
      </c>
      <c r="L2174" s="167" t="s">
        <v>5662</v>
      </c>
      <c r="M2174" s="167"/>
      <c r="N2174" s="167"/>
      <c r="O2174" s="167"/>
      <c r="P2174" s="168" t="s">
        <v>10704</v>
      </c>
      <c r="Q2174" s="167" t="s">
        <v>3947</v>
      </c>
      <c r="R2174" s="172" t="s">
        <v>5286</v>
      </c>
      <c r="S2174" s="388"/>
      <c r="T2174" s="162"/>
      <c r="U2174" s="168" t="s">
        <v>5287</v>
      </c>
      <c r="V2174" s="168" t="s">
        <v>5288</v>
      </c>
      <c r="W2174" s="312" t="s">
        <v>10700</v>
      </c>
      <c r="X2174" s="644" t="s">
        <v>15031</v>
      </c>
      <c r="Y2174" s="352" t="s">
        <v>5643</v>
      </c>
      <c r="Z2174" s="353"/>
      <c r="AA2174" s="353"/>
      <c r="AB2174" s="31">
        <f t="shared" ca="1" si="44"/>
        <v>0.38213463569147577</v>
      </c>
      <c r="AC2174" s="810"/>
      <c r="AD2174" s="811"/>
      <c r="AE2174" s="940"/>
      <c r="AF2174" s="920">
        <f>IF(X2174=X2173,AF2173,0)+IF(ISNUMBER(I2174),IF(I2174&lt;1,I2174,I2174*VLOOKUP(J2174,Summary!$H$2:$I$9,2)),VLOOKUP(J2174,Summary!$J$2:$K$9,2)*IF(ISNUMBER(H2174),H2174,1))</f>
        <v>0.34715277777777781</v>
      </c>
      <c r="AG2174" s="287">
        <v>2173</v>
      </c>
      <c r="AH2174" s="94"/>
      <c r="AI2174" s="94"/>
      <c r="AJ2174" s="22"/>
    </row>
    <row r="2175" spans="1:36" s="43" customFormat="1" ht="12" customHeight="1" x14ac:dyDescent="0.25">
      <c r="A2175" s="405" t="s">
        <v>10718</v>
      </c>
      <c r="B2175" s="406" t="s">
        <v>4451</v>
      </c>
      <c r="C2175" s="405">
        <v>8.1</v>
      </c>
      <c r="D2175" s="407" t="s">
        <v>8554</v>
      </c>
      <c r="E2175" s="315" t="s">
        <v>8555</v>
      </c>
      <c r="F2175" s="196">
        <v>41890</v>
      </c>
      <c r="G2175" s="170"/>
      <c r="H2175" s="170">
        <v>1</v>
      </c>
      <c r="I2175" s="746">
        <f>TIME(0,54,22)</f>
        <v>3.7754629629629631E-2</v>
      </c>
      <c r="J2175" s="899" t="s">
        <v>4706</v>
      </c>
      <c r="K2175" s="167" t="s">
        <v>543</v>
      </c>
      <c r="L2175" s="167" t="s">
        <v>8556</v>
      </c>
      <c r="M2175" s="167"/>
      <c r="N2175" s="167"/>
      <c r="O2175" s="167"/>
      <c r="P2175" s="168" t="s">
        <v>8557</v>
      </c>
      <c r="Q2175" s="167" t="s">
        <v>3947</v>
      </c>
      <c r="R2175" s="172" t="s">
        <v>3147</v>
      </c>
      <c r="S2175" s="388"/>
      <c r="T2175" s="200"/>
      <c r="U2175" s="168" t="s">
        <v>5287</v>
      </c>
      <c r="V2175" s="168" t="s">
        <v>5288</v>
      </c>
      <c r="W2175" s="315" t="s">
        <v>8555</v>
      </c>
      <c r="X2175" s="644" t="s">
        <v>15031</v>
      </c>
      <c r="Y2175" s="352" t="s">
        <v>5643</v>
      </c>
      <c r="Z2175" s="353">
        <v>265</v>
      </c>
      <c r="AA2175" s="353">
        <v>5.5</v>
      </c>
      <c r="AB2175" s="31">
        <f t="shared" ca="1" si="44"/>
        <v>0.73039283780267583</v>
      </c>
      <c r="AC2175" s="810" t="s">
        <v>8559</v>
      </c>
      <c r="AD2175" s="811"/>
      <c r="AE2175" s="940"/>
      <c r="AF2175" s="920">
        <f>IF(X2175=X2174,AF2174,0)+IF(ISNUMBER(I2175),IF(I2175&lt;1,I2175,I2175*VLOOKUP(J2175,Summary!$H$2:$I$9,2)),VLOOKUP(J2175,Summary!$J$2:$K$9,2)*IF(ISNUMBER(H2175),H2175,1))</f>
        <v>0.38490740740740742</v>
      </c>
      <c r="AG2175" s="287">
        <v>2174</v>
      </c>
      <c r="AH2175" s="94"/>
      <c r="AI2175" s="94"/>
      <c r="AJ2175" s="22"/>
    </row>
    <row r="2176" spans="1:36" s="6" customFormat="1" ht="12" customHeight="1" x14ac:dyDescent="0.25">
      <c r="A2176" s="405" t="s">
        <v>10718</v>
      </c>
      <c r="B2176" s="406" t="s">
        <v>4451</v>
      </c>
      <c r="C2176" s="405">
        <v>6.3</v>
      </c>
      <c r="D2176" s="407" t="s">
        <v>10744</v>
      </c>
      <c r="E2176" s="315" t="s">
        <v>10701</v>
      </c>
      <c r="F2176" s="196">
        <v>41535</v>
      </c>
      <c r="G2176" s="170"/>
      <c r="H2176" s="170">
        <v>1</v>
      </c>
      <c r="I2176" s="747">
        <f>TIME(0,60,0)</f>
        <v>4.1666666666666664E-2</v>
      </c>
      <c r="J2176" s="899" t="s">
        <v>4706</v>
      </c>
      <c r="K2176" s="167" t="s">
        <v>2310</v>
      </c>
      <c r="L2176" s="167" t="s">
        <v>5662</v>
      </c>
      <c r="M2176" s="167"/>
      <c r="N2176" s="167"/>
      <c r="O2176" s="167"/>
      <c r="P2176" s="168" t="s">
        <v>10704</v>
      </c>
      <c r="Q2176" s="167" t="s">
        <v>3947</v>
      </c>
      <c r="R2176" s="172" t="s">
        <v>5286</v>
      </c>
      <c r="S2176" s="388"/>
      <c r="T2176" s="167"/>
      <c r="U2176" s="168" t="s">
        <v>5287</v>
      </c>
      <c r="V2176" s="168" t="s">
        <v>5288</v>
      </c>
      <c r="W2176" s="312" t="s">
        <v>10701</v>
      </c>
      <c r="X2176" s="644" t="s">
        <v>15031</v>
      </c>
      <c r="Y2176" s="352" t="s">
        <v>5643</v>
      </c>
      <c r="Z2176" s="353"/>
      <c r="AA2176" s="353"/>
      <c r="AB2176" s="31">
        <f t="shared" ca="1" si="44"/>
        <v>6.3619156690069012E-2</v>
      </c>
      <c r="AC2176" s="810"/>
      <c r="AD2176" s="811"/>
      <c r="AE2176" s="940"/>
      <c r="AF2176" s="920">
        <f>IF(X2176=X2175,AF2175,0)+IF(ISNUMBER(I2176),IF(I2176&lt;1,I2176,I2176*VLOOKUP(J2176,Summary!$H$2:$I$9,2)),VLOOKUP(J2176,Summary!$J$2:$K$9,2)*IF(ISNUMBER(H2176),H2176,1))</f>
        <v>0.42657407407407411</v>
      </c>
      <c r="AG2176" s="287">
        <v>2175</v>
      </c>
      <c r="AH2176" s="94"/>
      <c r="AI2176" s="94"/>
      <c r="AJ2176" s="3"/>
    </row>
    <row r="2177" spans="1:36" s="6" customFormat="1" ht="12" customHeight="1" x14ac:dyDescent="0.25">
      <c r="A2177" s="405" t="s">
        <v>10718</v>
      </c>
      <c r="B2177" s="406" t="s">
        <v>4451</v>
      </c>
      <c r="C2177" s="405">
        <v>6.4</v>
      </c>
      <c r="D2177" s="407" t="s">
        <v>10745</v>
      </c>
      <c r="E2177" s="315" t="s">
        <v>10702</v>
      </c>
      <c r="F2177" s="196">
        <v>41535</v>
      </c>
      <c r="G2177" s="170"/>
      <c r="H2177" s="170">
        <v>1</v>
      </c>
      <c r="I2177" s="747">
        <f>TIME(0,60,0)</f>
        <v>4.1666666666666664E-2</v>
      </c>
      <c r="J2177" s="899" t="s">
        <v>4706</v>
      </c>
      <c r="K2177" s="167" t="s">
        <v>543</v>
      </c>
      <c r="L2177" s="167" t="s">
        <v>5662</v>
      </c>
      <c r="M2177" s="167"/>
      <c r="N2177" s="167"/>
      <c r="O2177" s="167"/>
      <c r="P2177" s="168" t="s">
        <v>10704</v>
      </c>
      <c r="Q2177" s="167" t="s">
        <v>3947</v>
      </c>
      <c r="R2177" s="172" t="s">
        <v>5286</v>
      </c>
      <c r="S2177" s="388"/>
      <c r="T2177" s="167"/>
      <c r="U2177" s="168" t="s">
        <v>5287</v>
      </c>
      <c r="V2177" s="168" t="s">
        <v>5288</v>
      </c>
      <c r="W2177" s="312" t="s">
        <v>10702</v>
      </c>
      <c r="X2177" s="644" t="s">
        <v>15031</v>
      </c>
      <c r="Y2177" s="352" t="s">
        <v>5643</v>
      </c>
      <c r="Z2177" s="353"/>
      <c r="AA2177" s="353"/>
      <c r="AB2177" s="31">
        <f t="shared" ca="1" si="44"/>
        <v>6.8664380380744294E-2</v>
      </c>
      <c r="AC2177" s="810"/>
      <c r="AD2177" s="811"/>
      <c r="AE2177" s="940"/>
      <c r="AF2177" s="920">
        <f>IF(X2177=X2176,AF2176,0)+IF(ISNUMBER(I2177),IF(I2177&lt;1,I2177,I2177*VLOOKUP(J2177,Summary!$H$2:$I$9,2)),VLOOKUP(J2177,Summary!$J$2:$K$9,2)*IF(ISNUMBER(H2177),H2177,1))</f>
        <v>0.46824074074074079</v>
      </c>
      <c r="AG2177" s="287">
        <v>2176</v>
      </c>
      <c r="AH2177" s="94"/>
      <c r="AI2177" s="94"/>
      <c r="AJ2177" s="22"/>
    </row>
    <row r="2178" spans="1:36" s="43" customFormat="1" ht="12" customHeight="1" x14ac:dyDescent="0.25">
      <c r="A2178" s="527" t="s">
        <v>170</v>
      </c>
      <c r="B2178" s="527">
        <v>6</v>
      </c>
      <c r="C2178" s="527">
        <v>105</v>
      </c>
      <c r="D2178" s="407" t="s">
        <v>1814</v>
      </c>
      <c r="E2178" s="315" t="s">
        <v>1815</v>
      </c>
      <c r="F2178" s="169">
        <v>39479</v>
      </c>
      <c r="G2178" s="170"/>
      <c r="H2178" s="170">
        <v>4</v>
      </c>
      <c r="I2178" s="746">
        <f>TIME(0,109,31)</f>
        <v>7.6053240740740741E-2</v>
      </c>
      <c r="J2178" s="899" t="s">
        <v>4706</v>
      </c>
      <c r="K2178" s="167" t="s">
        <v>6353</v>
      </c>
      <c r="L2178" s="167" t="s">
        <v>4549</v>
      </c>
      <c r="M2178" s="167"/>
      <c r="N2178" s="167"/>
      <c r="O2178" s="167"/>
      <c r="P2178" s="168"/>
      <c r="Q2178" s="167" t="s">
        <v>3947</v>
      </c>
      <c r="R2178" s="172" t="s">
        <v>3146</v>
      </c>
      <c r="S2178" s="388" t="s">
        <v>2612</v>
      </c>
      <c r="T2178" s="168"/>
      <c r="U2178" s="168"/>
      <c r="V2178" s="168"/>
      <c r="W2178" s="312" t="s">
        <v>9518</v>
      </c>
      <c r="X2178" s="644" t="s">
        <v>15031</v>
      </c>
      <c r="Y2178" s="352" t="s">
        <v>5398</v>
      </c>
      <c r="Z2178" s="353">
        <v>389</v>
      </c>
      <c r="AA2178" s="353">
        <v>5</v>
      </c>
      <c r="AB2178" s="40">
        <f t="shared" ref="AB2178:AB2241" ca="1" si="47">RAND()</f>
        <v>0.24809495001150994</v>
      </c>
      <c r="AC2178" s="810"/>
      <c r="AD2178" s="811" t="s">
        <v>15867</v>
      </c>
      <c r="AE2178" s="940"/>
      <c r="AF2178" s="920">
        <f>IF(X2178=X2177,AF2177,0)+IF(ISNUMBER(I2178),IF(I2178&lt;1,I2178,I2178*VLOOKUP(J2178,Summary!$H$2:$I$9,2)),VLOOKUP(J2178,Summary!$J$2:$K$9,2)*IF(ISNUMBER(H2178),H2178,1))</f>
        <v>0.54429398148148156</v>
      </c>
      <c r="AG2178" s="287">
        <v>2177</v>
      </c>
      <c r="AH2178" s="94"/>
      <c r="AI2178" s="94"/>
      <c r="AJ2178" s="22"/>
    </row>
    <row r="2179" spans="1:36" s="6" customFormat="1" ht="12" customHeight="1" x14ac:dyDescent="0.25">
      <c r="A2179" s="527" t="s">
        <v>170</v>
      </c>
      <c r="B2179" s="527">
        <v>6</v>
      </c>
      <c r="C2179" s="527">
        <v>111</v>
      </c>
      <c r="D2179" s="407" t="s">
        <v>1816</v>
      </c>
      <c r="E2179" s="315" t="s">
        <v>1817</v>
      </c>
      <c r="F2179" s="169">
        <v>39661</v>
      </c>
      <c r="G2179" s="170"/>
      <c r="H2179" s="170">
        <v>4</v>
      </c>
      <c r="I2179" s="746">
        <f>TIME(1,40,18)</f>
        <v>6.9652777777777772E-2</v>
      </c>
      <c r="J2179" s="899" t="s">
        <v>4706</v>
      </c>
      <c r="K2179" s="167" t="s">
        <v>4552</v>
      </c>
      <c r="L2179" s="167" t="s">
        <v>3296</v>
      </c>
      <c r="M2179" s="167"/>
      <c r="N2179" s="167"/>
      <c r="O2179" s="167"/>
      <c r="P2179" s="168"/>
      <c r="Q2179" s="167" t="s">
        <v>3947</v>
      </c>
      <c r="R2179" s="172" t="s">
        <v>3146</v>
      </c>
      <c r="S2179" s="388" t="s">
        <v>2612</v>
      </c>
      <c r="T2179" s="168"/>
      <c r="U2179" s="168"/>
      <c r="V2179" s="168"/>
      <c r="W2179" s="312" t="s">
        <v>9556</v>
      </c>
      <c r="X2179" s="644" t="s">
        <v>15031</v>
      </c>
      <c r="Y2179" s="352" t="s">
        <v>5398</v>
      </c>
      <c r="Z2179" s="353">
        <v>89</v>
      </c>
      <c r="AA2179" s="353">
        <v>7.5</v>
      </c>
      <c r="AB2179" s="40">
        <f t="shared" ca="1" si="47"/>
        <v>0.36790248319087071</v>
      </c>
      <c r="AC2179" s="810"/>
      <c r="AD2179" s="811" t="s">
        <v>16553</v>
      </c>
      <c r="AE2179" s="940"/>
      <c r="AF2179" s="920">
        <f>IF(X2179=X2178,AF2178,0)+IF(ISNUMBER(I2179),IF(I2179&lt;1,I2179,I2179*VLOOKUP(J2179,Summary!$H$2:$I$9,2)),VLOOKUP(J2179,Summary!$J$2:$K$9,2)*IF(ISNUMBER(H2179),H2179,1))</f>
        <v>0.61394675925925934</v>
      </c>
      <c r="AG2179" s="287">
        <v>2178</v>
      </c>
      <c r="AH2179" s="94"/>
      <c r="AI2179" s="94"/>
      <c r="AJ2179" s="2"/>
    </row>
    <row r="2180" spans="1:36" s="6" customFormat="1" ht="12" customHeight="1" x14ac:dyDescent="0.25">
      <c r="A2180" s="527" t="s">
        <v>170</v>
      </c>
      <c r="B2180" s="527">
        <v>6</v>
      </c>
      <c r="C2180" s="527">
        <v>114</v>
      </c>
      <c r="D2180" s="407" t="s">
        <v>1818</v>
      </c>
      <c r="E2180" s="315" t="s">
        <v>1819</v>
      </c>
      <c r="F2180" s="169">
        <v>39722</v>
      </c>
      <c r="G2180" s="170"/>
      <c r="H2180" s="170">
        <v>4</v>
      </c>
      <c r="I2180" s="746">
        <f>TIME(1,51,41)</f>
        <v>7.7557870370370374E-2</v>
      </c>
      <c r="J2180" s="899" t="s">
        <v>4706</v>
      </c>
      <c r="K2180" s="167" t="s">
        <v>7374</v>
      </c>
      <c r="L2180" s="167" t="s">
        <v>4549</v>
      </c>
      <c r="M2180" s="167"/>
      <c r="N2180" s="167"/>
      <c r="O2180" s="167"/>
      <c r="P2180" s="168"/>
      <c r="Q2180" s="167" t="s">
        <v>3947</v>
      </c>
      <c r="R2180" s="172" t="s">
        <v>3146</v>
      </c>
      <c r="S2180" s="388" t="s">
        <v>2612</v>
      </c>
      <c r="T2180" s="168"/>
      <c r="U2180" s="168"/>
      <c r="V2180" s="168"/>
      <c r="W2180" s="312" t="s">
        <v>9561</v>
      </c>
      <c r="X2180" s="644" t="s">
        <v>15031</v>
      </c>
      <c r="Y2180" s="352" t="s">
        <v>5398</v>
      </c>
      <c r="Z2180" s="353">
        <v>274</v>
      </c>
      <c r="AA2180" s="353">
        <v>5.5</v>
      </c>
      <c r="AB2180" s="40">
        <f t="shared" ca="1" si="47"/>
        <v>0.4738184059710826</v>
      </c>
      <c r="AC2180" s="810"/>
      <c r="AD2180" s="811" t="s">
        <v>16440</v>
      </c>
      <c r="AE2180" s="940" t="s">
        <v>3365</v>
      </c>
      <c r="AF2180" s="920">
        <f>IF(X2180=X2179,AF2179,0)+IF(ISNUMBER(I2180),IF(I2180&lt;1,I2180,I2180*VLOOKUP(J2180,Summary!$H$2:$I$9,2)),VLOOKUP(J2180,Summary!$J$2:$K$9,2)*IF(ISNUMBER(H2180),H2180,1))</f>
        <v>0.69150462962962966</v>
      </c>
      <c r="AG2180" s="287">
        <v>2179</v>
      </c>
      <c r="AH2180" s="94"/>
      <c r="AI2180" s="94"/>
      <c r="AJ2180" s="2"/>
    </row>
    <row r="2181" spans="1:36" s="43" customFormat="1" ht="12" customHeight="1" x14ac:dyDescent="0.25">
      <c r="A2181" s="527" t="s">
        <v>170</v>
      </c>
      <c r="B2181" s="527">
        <v>6</v>
      </c>
      <c r="C2181" s="527">
        <v>2</v>
      </c>
      <c r="D2181" s="407"/>
      <c r="E2181" s="315" t="s">
        <v>10013</v>
      </c>
      <c r="F2181" s="196">
        <v>42233</v>
      </c>
      <c r="G2181" s="170"/>
      <c r="H2181" s="170">
        <v>1</v>
      </c>
      <c r="I2181" s="746">
        <f>TIME(1,0,26)</f>
        <v>4.1967592592592591E-2</v>
      </c>
      <c r="J2181" s="899" t="s">
        <v>4706</v>
      </c>
      <c r="K2181" s="167" t="s">
        <v>7374</v>
      </c>
      <c r="L2181" s="167" t="s">
        <v>4549</v>
      </c>
      <c r="M2181" s="167"/>
      <c r="N2181" s="167"/>
      <c r="O2181" s="167"/>
      <c r="P2181" s="168" t="s">
        <v>8557</v>
      </c>
      <c r="Q2181" s="167" t="s">
        <v>3947</v>
      </c>
      <c r="R2181" s="172" t="s">
        <v>10014</v>
      </c>
      <c r="S2181" s="388" t="s">
        <v>2612</v>
      </c>
      <c r="T2181" s="168"/>
      <c r="U2181" s="168"/>
      <c r="V2181" s="168"/>
      <c r="W2181" s="315" t="s">
        <v>10013</v>
      </c>
      <c r="X2181" s="644" t="s">
        <v>15031</v>
      </c>
      <c r="Y2181" s="352" t="s">
        <v>5643</v>
      </c>
      <c r="Z2181" s="353">
        <v>527</v>
      </c>
      <c r="AA2181" s="353">
        <v>4</v>
      </c>
      <c r="AB2181" s="40">
        <f t="shared" ca="1" si="47"/>
        <v>0.58086315710783887</v>
      </c>
      <c r="AC2181" s="810"/>
      <c r="AD2181" s="811"/>
      <c r="AE2181" s="940"/>
      <c r="AF2181" s="920">
        <f>IF(X2181=X2180,AF2180,0)+IF(ISNUMBER(I2181),IF(I2181&lt;1,I2181,I2181*VLOOKUP(J2181,Summary!$H$2:$I$9,2)),VLOOKUP(J2181,Summary!$J$2:$K$9,2)*IF(ISNUMBER(H2181),H2181,1))</f>
        <v>0.7334722222222223</v>
      </c>
      <c r="AG2181" s="287">
        <v>2180</v>
      </c>
      <c r="AH2181" s="94"/>
      <c r="AI2181" s="94"/>
      <c r="AJ2181" s="2"/>
    </row>
    <row r="2182" spans="1:36" s="6" customFormat="1" ht="12" customHeight="1" x14ac:dyDescent="0.25">
      <c r="A2182" s="527" t="s">
        <v>170</v>
      </c>
      <c r="B2182" s="527">
        <v>6</v>
      </c>
      <c r="C2182" s="527">
        <v>7</v>
      </c>
      <c r="D2182" s="407" t="s">
        <v>162</v>
      </c>
      <c r="E2182" s="315" t="s">
        <v>296</v>
      </c>
      <c r="F2182" s="169">
        <v>39783</v>
      </c>
      <c r="G2182" s="170"/>
      <c r="H2182" s="170">
        <v>1</v>
      </c>
      <c r="I2182" s="746">
        <f>TIME(0,79,24)</f>
        <v>5.5138888888888897E-2</v>
      </c>
      <c r="J2182" s="899" t="s">
        <v>4706</v>
      </c>
      <c r="K2182" s="167" t="s">
        <v>4549</v>
      </c>
      <c r="L2182" s="167" t="s">
        <v>4549</v>
      </c>
      <c r="M2182" s="167"/>
      <c r="N2182" s="167"/>
      <c r="O2182" s="167"/>
      <c r="P2182" s="168" t="s">
        <v>8637</v>
      </c>
      <c r="Q2182" s="167" t="s">
        <v>3947</v>
      </c>
      <c r="R2182" s="172" t="s">
        <v>576</v>
      </c>
      <c r="S2182" s="388" t="s">
        <v>2612</v>
      </c>
      <c r="T2182" s="168"/>
      <c r="U2182" s="168"/>
      <c r="V2182" s="168"/>
      <c r="W2182" s="312" t="s">
        <v>296</v>
      </c>
      <c r="X2182" s="644" t="s">
        <v>15031</v>
      </c>
      <c r="Y2182" s="352" t="s">
        <v>5398</v>
      </c>
      <c r="Z2182" s="353">
        <v>357</v>
      </c>
      <c r="AA2182" s="353">
        <v>5</v>
      </c>
      <c r="AB2182" s="40">
        <f t="shared" ca="1" si="47"/>
        <v>0.26076855213649108</v>
      </c>
      <c r="AC2182" s="810"/>
      <c r="AD2182" s="811" t="s">
        <v>16455</v>
      </c>
      <c r="AE2182" s="940" t="s">
        <v>12543</v>
      </c>
      <c r="AF2182" s="920">
        <f>IF(X2182=X2181,AF2181,0)+IF(ISNUMBER(I2182),IF(I2182&lt;1,I2182,I2182*VLOOKUP(J2182,Summary!$H$2:$I$9,2)),VLOOKUP(J2182,Summary!$J$2:$K$9,2)*IF(ISNUMBER(H2182),H2182,1))</f>
        <v>0.78861111111111115</v>
      </c>
      <c r="AG2182" s="287">
        <v>2181</v>
      </c>
      <c r="AH2182" s="94"/>
      <c r="AI2182" s="94"/>
    </row>
    <row r="2183" spans="1:36" s="3" customFormat="1" ht="12" customHeight="1" x14ac:dyDescent="0.25">
      <c r="A2183" s="527" t="s">
        <v>170</v>
      </c>
      <c r="B2183" s="527">
        <v>6</v>
      </c>
      <c r="C2183" s="527">
        <v>116</v>
      </c>
      <c r="D2183" s="407" t="s">
        <v>164</v>
      </c>
      <c r="E2183" s="315" t="s">
        <v>163</v>
      </c>
      <c r="F2183" s="169">
        <v>39783</v>
      </c>
      <c r="G2183" s="170"/>
      <c r="H2183" s="170">
        <v>4</v>
      </c>
      <c r="I2183" s="746">
        <f>TIME(0,107,15)</f>
        <v>7.4479166666666666E-2</v>
      </c>
      <c r="J2183" s="899" t="s">
        <v>4706</v>
      </c>
      <c r="K2183" s="167" t="s">
        <v>6353</v>
      </c>
      <c r="L2183" s="167" t="s">
        <v>4549</v>
      </c>
      <c r="M2183" s="167"/>
      <c r="N2183" s="167"/>
      <c r="O2183" s="167"/>
      <c r="P2183" s="168"/>
      <c r="Q2183" s="167" t="s">
        <v>3947</v>
      </c>
      <c r="R2183" s="172" t="s">
        <v>3146</v>
      </c>
      <c r="S2183" s="388" t="s">
        <v>2612</v>
      </c>
      <c r="T2183" s="168"/>
      <c r="U2183" s="168"/>
      <c r="V2183" s="168"/>
      <c r="W2183" s="312" t="s">
        <v>9581</v>
      </c>
      <c r="X2183" s="644" t="s">
        <v>15031</v>
      </c>
      <c r="Y2183" s="352" t="s">
        <v>5398</v>
      </c>
      <c r="Z2183" s="353">
        <v>490</v>
      </c>
      <c r="AA2183" s="353">
        <v>4</v>
      </c>
      <c r="AB2183" s="40">
        <f t="shared" ca="1" si="47"/>
        <v>0.13758289928064416</v>
      </c>
      <c r="AC2183" s="810"/>
      <c r="AD2183" s="811" t="s">
        <v>15869</v>
      </c>
      <c r="AE2183" s="940"/>
      <c r="AF2183" s="920">
        <f>IF(X2183=X2182,AF2182,0)+IF(ISNUMBER(I2183),IF(I2183&lt;1,I2183,I2183*VLOOKUP(J2183,Summary!$H$2:$I$9,2)),VLOOKUP(J2183,Summary!$J$2:$K$9,2)*IF(ISNUMBER(H2183),H2183,1))</f>
        <v>0.8630902777777778</v>
      </c>
      <c r="AG2183" s="287">
        <v>2182</v>
      </c>
      <c r="AH2183" s="94"/>
      <c r="AI2183" s="94"/>
    </row>
    <row r="2184" spans="1:36" s="43" customFormat="1" ht="12" customHeight="1" x14ac:dyDescent="0.25">
      <c r="A2184" s="527" t="s">
        <v>170</v>
      </c>
      <c r="B2184" s="527">
        <v>6</v>
      </c>
      <c r="C2184" s="527">
        <v>124</v>
      </c>
      <c r="D2184" s="407" t="s">
        <v>166</v>
      </c>
      <c r="E2184" s="315" t="s">
        <v>165</v>
      </c>
      <c r="F2184" s="169">
        <v>40026</v>
      </c>
      <c r="G2184" s="170"/>
      <c r="H2184" s="170">
        <v>4</v>
      </c>
      <c r="I2184" s="746">
        <f>TIME(2,1,52)</f>
        <v>8.4629629629629624E-2</v>
      </c>
      <c r="J2184" s="899" t="s">
        <v>4706</v>
      </c>
      <c r="K2184" s="167" t="s">
        <v>4549</v>
      </c>
      <c r="L2184" s="167" t="s">
        <v>4549</v>
      </c>
      <c r="M2184" s="167"/>
      <c r="N2184" s="167"/>
      <c r="O2184" s="167"/>
      <c r="P2184" s="168"/>
      <c r="Q2184" s="167" t="s">
        <v>3947</v>
      </c>
      <c r="R2184" s="172" t="s">
        <v>3146</v>
      </c>
      <c r="S2184" s="388" t="s">
        <v>2612</v>
      </c>
      <c r="T2184" s="168"/>
      <c r="U2184" s="168"/>
      <c r="V2184" s="168"/>
      <c r="W2184" s="312" t="s">
        <v>9578</v>
      </c>
      <c r="X2184" s="644" t="s">
        <v>15031</v>
      </c>
      <c r="Y2184" s="352" t="s">
        <v>5398</v>
      </c>
      <c r="Z2184" s="353">
        <v>482</v>
      </c>
      <c r="AA2184" s="353">
        <v>4</v>
      </c>
      <c r="AB2184" s="40">
        <f t="shared" ca="1" si="47"/>
        <v>0.36441498560886698</v>
      </c>
      <c r="AC2184" s="810"/>
      <c r="AD2184" s="811" t="s">
        <v>16457</v>
      </c>
      <c r="AE2184" s="940" t="s">
        <v>12543</v>
      </c>
      <c r="AF2184" s="920">
        <f>IF(X2184=X2183,AF2183,0)+IF(ISNUMBER(I2184),IF(I2184&lt;1,I2184,I2184*VLOOKUP(J2184,Summary!$H$2:$I$9,2)),VLOOKUP(J2184,Summary!$J$2:$K$9,2)*IF(ISNUMBER(H2184),H2184,1))</f>
        <v>0.94771990740740741</v>
      </c>
      <c r="AG2184" s="287">
        <v>2183</v>
      </c>
      <c r="AH2184" s="94"/>
      <c r="AI2184" s="94"/>
    </row>
    <row r="2185" spans="1:36" s="22" customFormat="1" ht="12" customHeight="1" x14ac:dyDescent="0.2">
      <c r="A2185" s="527" t="s">
        <v>170</v>
      </c>
      <c r="B2185" s="527">
        <v>6</v>
      </c>
      <c r="C2185" s="527">
        <v>125</v>
      </c>
      <c r="D2185" s="407" t="s">
        <v>168</v>
      </c>
      <c r="E2185" s="315" t="s">
        <v>167</v>
      </c>
      <c r="F2185" s="169">
        <v>40057</v>
      </c>
      <c r="G2185" s="170"/>
      <c r="H2185" s="170">
        <v>4</v>
      </c>
      <c r="I2185" s="746">
        <f>TIME(2,8,36)</f>
        <v>8.9305555555555569E-2</v>
      </c>
      <c r="J2185" s="899" t="s">
        <v>4706</v>
      </c>
      <c r="K2185" s="167" t="s">
        <v>941</v>
      </c>
      <c r="L2185" s="167" t="s">
        <v>4549</v>
      </c>
      <c r="M2185" s="167"/>
      <c r="N2185" s="167"/>
      <c r="O2185" s="167"/>
      <c r="P2185" s="168"/>
      <c r="Q2185" s="167" t="s">
        <v>3947</v>
      </c>
      <c r="R2185" s="172" t="s">
        <v>3146</v>
      </c>
      <c r="S2185" s="388" t="s">
        <v>2612</v>
      </c>
      <c r="T2185" s="168"/>
      <c r="U2185" s="168"/>
      <c r="V2185" s="168"/>
      <c r="W2185" s="312" t="s">
        <v>9579</v>
      </c>
      <c r="X2185" s="644" t="s">
        <v>15031</v>
      </c>
      <c r="Y2185" s="352" t="s">
        <v>5398</v>
      </c>
      <c r="Z2185" s="353">
        <v>422</v>
      </c>
      <c r="AA2185" s="353">
        <v>4.5</v>
      </c>
      <c r="AB2185" s="40">
        <f t="shared" ca="1" si="47"/>
        <v>0.32832732345204185</v>
      </c>
      <c r="AC2185" s="810"/>
      <c r="AD2185" s="811" t="s">
        <v>16107</v>
      </c>
      <c r="AE2185" s="940" t="s">
        <v>12543</v>
      </c>
      <c r="AF2185" s="920">
        <f>IF(X2185=X2184,AF2184,0)+IF(ISNUMBER(I2185),IF(I2185&lt;1,I2185,I2185*VLOOKUP(J2185,Summary!$H$2:$I$9,2)),VLOOKUP(J2185,Summary!$J$2:$K$9,2)*IF(ISNUMBER(H2185),H2185,1))</f>
        <v>1.0370254629629629</v>
      </c>
      <c r="AG2185" s="287">
        <v>2184</v>
      </c>
      <c r="AH2185" s="94"/>
      <c r="AI2185" s="94"/>
    </row>
    <row r="2186" spans="1:36" s="22" customFormat="1" ht="12" customHeight="1" x14ac:dyDescent="0.2">
      <c r="A2186" s="527" t="s">
        <v>170</v>
      </c>
      <c r="B2186" s="527">
        <v>6</v>
      </c>
      <c r="C2186" s="527">
        <v>126</v>
      </c>
      <c r="D2186" s="407" t="s">
        <v>297</v>
      </c>
      <c r="E2186" s="315" t="s">
        <v>169</v>
      </c>
      <c r="F2186" s="169">
        <v>40057</v>
      </c>
      <c r="G2186" s="170"/>
      <c r="H2186" s="170">
        <v>4</v>
      </c>
      <c r="I2186" s="746">
        <f>TIME(1,59,25)</f>
        <v>8.2928240740740733E-2</v>
      </c>
      <c r="J2186" s="899" t="s">
        <v>4706</v>
      </c>
      <c r="K2186" s="167" t="s">
        <v>4549</v>
      </c>
      <c r="L2186" s="167" t="s">
        <v>4549</v>
      </c>
      <c r="M2186" s="167"/>
      <c r="N2186" s="167"/>
      <c r="O2186" s="167" t="s">
        <v>2302</v>
      </c>
      <c r="P2186" s="168"/>
      <c r="Q2186" s="167" t="s">
        <v>3947</v>
      </c>
      <c r="R2186" s="172" t="s">
        <v>3146</v>
      </c>
      <c r="S2186" s="388" t="s">
        <v>2612</v>
      </c>
      <c r="T2186" s="168"/>
      <c r="U2186" s="168"/>
      <c r="V2186" s="168"/>
      <c r="W2186" s="312" t="s">
        <v>9580</v>
      </c>
      <c r="X2186" s="644" t="s">
        <v>15031</v>
      </c>
      <c r="Y2186" s="352" t="s">
        <v>5398</v>
      </c>
      <c r="Z2186" s="353">
        <v>272</v>
      </c>
      <c r="AA2186" s="353">
        <v>5.5</v>
      </c>
      <c r="AB2186" s="40">
        <f t="shared" ca="1" si="47"/>
        <v>0.69989716184660244</v>
      </c>
      <c r="AC2186" s="810"/>
      <c r="AD2186" s="811" t="s">
        <v>14585</v>
      </c>
      <c r="AE2186" s="940" t="s">
        <v>15093</v>
      </c>
      <c r="AF2186" s="920">
        <f>IF(X2186=X2185,AF2185,0)+IF(ISNUMBER(I2186),IF(I2186&lt;1,I2186,I2186*VLOOKUP(J2186,Summary!$H$2:$I$9,2)),VLOOKUP(J2186,Summary!$J$2:$K$9,2)*IF(ISNUMBER(H2186),H2186,1))</f>
        <v>1.1199537037037037</v>
      </c>
      <c r="AG2186" s="287">
        <v>2185</v>
      </c>
      <c r="AH2186" s="94"/>
      <c r="AI2186" s="94"/>
    </row>
    <row r="2187" spans="1:36" s="43" customFormat="1" ht="12" customHeight="1" x14ac:dyDescent="0.25">
      <c r="A2187" s="405" t="s">
        <v>170</v>
      </c>
      <c r="B2187" s="510" t="s">
        <v>3234</v>
      </c>
      <c r="C2187" s="533">
        <v>6.01</v>
      </c>
      <c r="D2187" s="407" t="s">
        <v>7563</v>
      </c>
      <c r="E2187" s="315" t="s">
        <v>3330</v>
      </c>
      <c r="F2187" s="169">
        <v>40725</v>
      </c>
      <c r="G2187" s="170"/>
      <c r="H2187" s="170">
        <v>2</v>
      </c>
      <c r="I2187" s="746">
        <f>TIME(0,58,8)</f>
        <v>4.0370370370370369E-2</v>
      </c>
      <c r="J2187" s="899" t="s">
        <v>4706</v>
      </c>
      <c r="K2187" s="167" t="s">
        <v>177</v>
      </c>
      <c r="L2187" s="167" t="s">
        <v>5662</v>
      </c>
      <c r="M2187" s="167" t="s">
        <v>3331</v>
      </c>
      <c r="N2187" s="167"/>
      <c r="O2187" s="167"/>
      <c r="P2187" s="168" t="s">
        <v>6703</v>
      </c>
      <c r="Q2187" s="167" t="s">
        <v>3947</v>
      </c>
      <c r="R2187" s="172" t="s">
        <v>3153</v>
      </c>
      <c r="S2187" s="388"/>
      <c r="T2187" s="168" t="s">
        <v>14302</v>
      </c>
      <c r="U2187" s="168" t="s">
        <v>14303</v>
      </c>
      <c r="V2187" s="168"/>
      <c r="W2187" s="312" t="s">
        <v>10354</v>
      </c>
      <c r="X2187" s="644" t="s">
        <v>15031</v>
      </c>
      <c r="Y2187" s="352" t="s">
        <v>5643</v>
      </c>
      <c r="Z2187" s="353">
        <v>390</v>
      </c>
      <c r="AA2187" s="353">
        <v>5</v>
      </c>
      <c r="AB2187" s="31">
        <f t="shared" ca="1" si="47"/>
        <v>0.91178456179149003</v>
      </c>
      <c r="AC2187" s="810"/>
      <c r="AD2187" s="811" t="s">
        <v>15888</v>
      </c>
      <c r="AE2187" s="940" t="s">
        <v>12543</v>
      </c>
      <c r="AF2187" s="920">
        <f>IF(X2187=X2186,AF2186,0)+IF(ISNUMBER(I2187),IF(I2187&lt;1,I2187,I2187*VLOOKUP(J2187,Summary!$H$2:$I$9,2)),VLOOKUP(J2187,Summary!$J$2:$K$9,2)*IF(ISNUMBER(H2187),H2187,1))</f>
        <v>1.1603240740740741</v>
      </c>
      <c r="AG2187" s="287">
        <v>2186</v>
      </c>
      <c r="AH2187" s="94"/>
      <c r="AI2187" s="94"/>
    </row>
    <row r="2188" spans="1:36" s="43" customFormat="1" ht="12" customHeight="1" x14ac:dyDescent="0.25">
      <c r="A2188" s="405" t="s">
        <v>170</v>
      </c>
      <c r="B2188" s="510" t="s">
        <v>3234</v>
      </c>
      <c r="C2188" s="533">
        <v>8.01</v>
      </c>
      <c r="D2188" s="407" t="s">
        <v>6433</v>
      </c>
      <c r="E2188" s="315" t="s">
        <v>6434</v>
      </c>
      <c r="F2188" s="196">
        <v>41466</v>
      </c>
      <c r="G2188" s="170"/>
      <c r="H2188" s="170">
        <v>2</v>
      </c>
      <c r="I2188" s="746">
        <f>TIME(1,3,17)</f>
        <v>4.3946759259259255E-2</v>
      </c>
      <c r="J2188" s="899" t="s">
        <v>4706</v>
      </c>
      <c r="K2188" s="167" t="s">
        <v>177</v>
      </c>
      <c r="L2188" s="167" t="s">
        <v>2313</v>
      </c>
      <c r="M2188" s="167" t="s">
        <v>6435</v>
      </c>
      <c r="N2188" s="167"/>
      <c r="O2188" s="167"/>
      <c r="P2188" s="168" t="s">
        <v>6436</v>
      </c>
      <c r="Q2188" s="167" t="s">
        <v>3947</v>
      </c>
      <c r="R2188" s="172" t="s">
        <v>3153</v>
      </c>
      <c r="S2188" s="388"/>
      <c r="T2188" s="168" t="s">
        <v>14302</v>
      </c>
      <c r="U2188" s="168" t="s">
        <v>14303</v>
      </c>
      <c r="V2188" s="168"/>
      <c r="W2188" s="312" t="s">
        <v>10350</v>
      </c>
      <c r="X2188" s="644" t="s">
        <v>15031</v>
      </c>
      <c r="Y2188" s="352" t="s">
        <v>5643</v>
      </c>
      <c r="Z2188" s="353">
        <v>86</v>
      </c>
      <c r="AA2188" s="353">
        <v>7.5</v>
      </c>
      <c r="AB2188" s="31">
        <f t="shared" ca="1" si="47"/>
        <v>0.63665000766843971</v>
      </c>
      <c r="AC2188" s="810"/>
      <c r="AD2188" s="811"/>
      <c r="AE2188" s="940"/>
      <c r="AF2188" s="920">
        <f>IF(X2188=X2187,AF2187,0)+IF(ISNUMBER(I2188),IF(I2188&lt;1,I2188,I2188*VLOOKUP(J2188,Summary!$H$2:$I$9,2)),VLOOKUP(J2188,Summary!$J$2:$K$9,2)*IF(ISNUMBER(H2188),H2188,1))</f>
        <v>1.2042708333333334</v>
      </c>
      <c r="AG2188" s="287">
        <v>2187</v>
      </c>
      <c r="AH2188" s="94"/>
      <c r="AI2188" s="94"/>
    </row>
    <row r="2189" spans="1:36" s="43" customFormat="1" ht="12" customHeight="1" x14ac:dyDescent="0.25">
      <c r="A2189" s="405" t="s">
        <v>170</v>
      </c>
      <c r="B2189" s="406" t="s">
        <v>3234</v>
      </c>
      <c r="C2189" s="405">
        <v>8.3000000000000007</v>
      </c>
      <c r="D2189" s="407" t="s">
        <v>8562</v>
      </c>
      <c r="E2189" s="315" t="s">
        <v>8563</v>
      </c>
      <c r="F2189" s="196">
        <v>41890</v>
      </c>
      <c r="G2189" s="170"/>
      <c r="H2189" s="170">
        <v>1</v>
      </c>
      <c r="I2189" s="746">
        <f>TIME(0,52,56)</f>
        <v>3.6759259259259255E-2</v>
      </c>
      <c r="J2189" s="899" t="s">
        <v>4706</v>
      </c>
      <c r="K2189" s="167" t="s">
        <v>177</v>
      </c>
      <c r="L2189" s="167" t="s">
        <v>8556</v>
      </c>
      <c r="M2189" s="167"/>
      <c r="N2189" s="167"/>
      <c r="O2189" s="167"/>
      <c r="P2189" s="168" t="s">
        <v>7745</v>
      </c>
      <c r="Q2189" s="167" t="s">
        <v>3947</v>
      </c>
      <c r="R2189" s="172" t="s">
        <v>3147</v>
      </c>
      <c r="S2189" s="388"/>
      <c r="T2189" s="168" t="s">
        <v>14302</v>
      </c>
      <c r="U2189" s="168" t="s">
        <v>14303</v>
      </c>
      <c r="V2189" s="168" t="s">
        <v>2601</v>
      </c>
      <c r="W2189" s="315" t="s">
        <v>8563</v>
      </c>
      <c r="X2189" s="644" t="s">
        <v>15031</v>
      </c>
      <c r="Y2189" s="352" t="s">
        <v>5643</v>
      </c>
      <c r="Z2189" s="353">
        <v>157</v>
      </c>
      <c r="AA2189" s="353">
        <v>6.5</v>
      </c>
      <c r="AB2189" s="31">
        <f t="shared" ca="1" si="47"/>
        <v>0.24481186621903783</v>
      </c>
      <c r="AC2189" s="810" t="s">
        <v>11120</v>
      </c>
      <c r="AD2189" s="811"/>
      <c r="AE2189" s="940"/>
      <c r="AF2189" s="920">
        <f>IF(X2189=X2188,AF2188,0)+IF(ISNUMBER(I2189),IF(I2189&lt;1,I2189,I2189*VLOOKUP(J2189,Summary!$H$2:$I$9,2)),VLOOKUP(J2189,Summary!$J$2:$K$9,2)*IF(ISNUMBER(H2189),H2189,1))</f>
        <v>1.2410300925925926</v>
      </c>
      <c r="AG2189" s="287">
        <v>2188</v>
      </c>
      <c r="AH2189" s="94"/>
      <c r="AI2189" s="94"/>
    </row>
    <row r="2190" spans="1:36" s="6" customFormat="1" ht="12" customHeight="1" x14ac:dyDescent="0.25">
      <c r="A2190" s="527" t="s">
        <v>170</v>
      </c>
      <c r="B2190" s="527">
        <v>6</v>
      </c>
      <c r="C2190" s="527">
        <v>8.4</v>
      </c>
      <c r="D2190" s="407" t="s">
        <v>8564</v>
      </c>
      <c r="E2190" s="315" t="s">
        <v>8565</v>
      </c>
      <c r="F2190" s="196">
        <v>41890</v>
      </c>
      <c r="G2190" s="170"/>
      <c r="H2190" s="170">
        <v>1</v>
      </c>
      <c r="I2190" s="746">
        <f>TIME(0,51,26)</f>
        <v>3.5717592592592592E-2</v>
      </c>
      <c r="J2190" s="899" t="s">
        <v>4706</v>
      </c>
      <c r="K2190" s="167" t="s">
        <v>8566</v>
      </c>
      <c r="L2190" s="167" t="s">
        <v>8556</v>
      </c>
      <c r="M2190" s="167"/>
      <c r="N2190" s="167"/>
      <c r="O2190" s="167"/>
      <c r="P2190" s="168" t="s">
        <v>7745</v>
      </c>
      <c r="Q2190" s="167" t="s">
        <v>3947</v>
      </c>
      <c r="R2190" s="172" t="s">
        <v>3147</v>
      </c>
      <c r="S2190" s="388" t="s">
        <v>2608</v>
      </c>
      <c r="T2190" s="168" t="s">
        <v>2610</v>
      </c>
      <c r="U2190" s="168"/>
      <c r="V2190" s="168" t="s">
        <v>2601</v>
      </c>
      <c r="W2190" s="315" t="s">
        <v>8565</v>
      </c>
      <c r="X2190" s="644" t="s">
        <v>15031</v>
      </c>
      <c r="Y2190" s="352" t="s">
        <v>5643</v>
      </c>
      <c r="Z2190" s="353">
        <v>658</v>
      </c>
      <c r="AA2190" s="353">
        <v>2.5</v>
      </c>
      <c r="AB2190" s="31">
        <f t="shared" ca="1" si="47"/>
        <v>0.93939582589537762</v>
      </c>
      <c r="AC2190" s="810" t="s">
        <v>11121</v>
      </c>
      <c r="AD2190" s="811"/>
      <c r="AE2190" s="940"/>
      <c r="AF2190" s="920">
        <f>IF(X2190=X2189,AF2189,0)+IF(ISNUMBER(I2190),IF(I2190&lt;1,I2190,I2190*VLOOKUP(J2190,Summary!$H$2:$I$9,2)),VLOOKUP(J2190,Summary!$J$2:$K$9,2)*IF(ISNUMBER(H2190),H2190,1))</f>
        <v>1.2767476851851851</v>
      </c>
      <c r="AG2190" s="287">
        <v>2189</v>
      </c>
      <c r="AH2190" s="94"/>
      <c r="AI2190" s="94"/>
      <c r="AJ2190" s="2"/>
    </row>
    <row r="2191" spans="1:36" s="22" customFormat="1" ht="12" customHeight="1" x14ac:dyDescent="0.2">
      <c r="A2191" s="527" t="s">
        <v>170</v>
      </c>
      <c r="B2191" s="527">
        <v>6</v>
      </c>
      <c r="C2191" s="527">
        <v>133</v>
      </c>
      <c r="D2191" s="407" t="s">
        <v>6343</v>
      </c>
      <c r="E2191" s="315" t="s">
        <v>298</v>
      </c>
      <c r="F2191" s="169">
        <v>40269</v>
      </c>
      <c r="G2191" s="170"/>
      <c r="H2191" s="170">
        <v>4</v>
      </c>
      <c r="I2191" s="746">
        <f>TIME(2,4,11)</f>
        <v>8.6238425925925913E-2</v>
      </c>
      <c r="J2191" s="899" t="s">
        <v>4706</v>
      </c>
      <c r="K2191" s="167" t="s">
        <v>299</v>
      </c>
      <c r="L2191" s="167" t="s">
        <v>4549</v>
      </c>
      <c r="M2191" s="167"/>
      <c r="N2191" s="167"/>
      <c r="O2191" s="167"/>
      <c r="P2191" s="168"/>
      <c r="Q2191" s="167" t="s">
        <v>3947</v>
      </c>
      <c r="R2191" s="172" t="s">
        <v>3146</v>
      </c>
      <c r="S2191" s="388" t="s">
        <v>2596</v>
      </c>
      <c r="T2191" s="168"/>
      <c r="U2191" s="168"/>
      <c r="V2191" s="168"/>
      <c r="W2191" s="312" t="s">
        <v>9555</v>
      </c>
      <c r="X2191" s="644" t="s">
        <v>15031</v>
      </c>
      <c r="Y2191" s="352" t="s">
        <v>5643</v>
      </c>
      <c r="Z2191" s="353">
        <v>455</v>
      </c>
      <c r="AA2191" s="353">
        <v>4.5</v>
      </c>
      <c r="AB2191" s="40">
        <f t="shared" ca="1" si="47"/>
        <v>0.55617435352787059</v>
      </c>
      <c r="AC2191" s="810"/>
      <c r="AD2191" s="811" t="s">
        <v>461</v>
      </c>
      <c r="AE2191" s="940"/>
      <c r="AF2191" s="920">
        <f>IF(X2191=X2190,AF2190,0)+IF(ISNUMBER(I2191),IF(I2191&lt;1,I2191,I2191*VLOOKUP(J2191,Summary!$H$2:$I$9,2)),VLOOKUP(J2191,Summary!$J$2:$K$9,2)*IF(ISNUMBER(H2191),H2191,1))</f>
        <v>1.362986111111111</v>
      </c>
      <c r="AG2191" s="287">
        <v>2190</v>
      </c>
      <c r="AH2191" s="94"/>
      <c r="AI2191" s="94"/>
    </row>
    <row r="2192" spans="1:36" s="22" customFormat="1" ht="12" customHeight="1" x14ac:dyDescent="0.2">
      <c r="A2192" s="527" t="s">
        <v>170</v>
      </c>
      <c r="B2192" s="527">
        <v>6</v>
      </c>
      <c r="C2192" s="536">
        <v>4.1100000000000003</v>
      </c>
      <c r="D2192" s="407" t="s">
        <v>302</v>
      </c>
      <c r="E2192" s="315" t="s">
        <v>301</v>
      </c>
      <c r="F2192" s="169">
        <v>40299</v>
      </c>
      <c r="G2192" s="170"/>
      <c r="H2192" s="170">
        <v>2</v>
      </c>
      <c r="I2192" s="746">
        <f>TIME(0,58,27)</f>
        <v>4.0590277777777781E-2</v>
      </c>
      <c r="J2192" s="899" t="s">
        <v>4706</v>
      </c>
      <c r="K2192" s="167" t="s">
        <v>300</v>
      </c>
      <c r="L2192" s="167" t="s">
        <v>5662</v>
      </c>
      <c r="M2192" s="167" t="s">
        <v>8052</v>
      </c>
      <c r="N2192" s="167"/>
      <c r="O2192" s="167"/>
      <c r="P2192" s="168" t="s">
        <v>9188</v>
      </c>
      <c r="Q2192" s="167" t="s">
        <v>3947</v>
      </c>
      <c r="R2192" s="172" t="s">
        <v>3153</v>
      </c>
      <c r="S2192" s="388" t="s">
        <v>2596</v>
      </c>
      <c r="T2192" s="168"/>
      <c r="U2192" s="168"/>
      <c r="V2192" s="168"/>
      <c r="W2192" s="312" t="s">
        <v>10181</v>
      </c>
      <c r="X2192" s="644" t="s">
        <v>15031</v>
      </c>
      <c r="Y2192" s="352" t="s">
        <v>5398</v>
      </c>
      <c r="Z2192" s="353">
        <v>615</v>
      </c>
      <c r="AA2192" s="353">
        <v>3.5</v>
      </c>
      <c r="AB2192" s="40">
        <f t="shared" ca="1" si="47"/>
        <v>0.77030876094787126</v>
      </c>
      <c r="AC2192" s="810"/>
      <c r="AD2192" s="811" t="s">
        <v>461</v>
      </c>
      <c r="AE2192" s="940"/>
      <c r="AF2192" s="920">
        <f>IF(X2192=X2191,AF2191,0)+IF(ISNUMBER(I2192),IF(I2192&lt;1,I2192,I2192*VLOOKUP(J2192,Summary!$H$2:$I$9,2)),VLOOKUP(J2192,Summary!$J$2:$K$9,2)*IF(ISNUMBER(H2192),H2192,1))</f>
        <v>1.4035763888888888</v>
      </c>
      <c r="AG2192" s="287">
        <v>2191</v>
      </c>
      <c r="AH2192" s="94"/>
      <c r="AI2192" s="94"/>
    </row>
    <row r="2193" spans="1:36" s="43" customFormat="1" ht="12" customHeight="1" x14ac:dyDescent="0.25">
      <c r="A2193" s="527" t="s">
        <v>170</v>
      </c>
      <c r="B2193" s="527">
        <v>6</v>
      </c>
      <c r="C2193" s="527">
        <v>134</v>
      </c>
      <c r="D2193" s="407" t="s">
        <v>6344</v>
      </c>
      <c r="E2193" s="315" t="s">
        <v>6338</v>
      </c>
      <c r="F2193" s="169">
        <v>40299</v>
      </c>
      <c r="G2193" s="170"/>
      <c r="H2193" s="170">
        <v>4</v>
      </c>
      <c r="I2193" s="746">
        <f>TIME(1,55,27)</f>
        <v>8.0173611111111112E-2</v>
      </c>
      <c r="J2193" s="899" t="s">
        <v>4706</v>
      </c>
      <c r="K2193" s="167" t="s">
        <v>3296</v>
      </c>
      <c r="L2193" s="167" t="s">
        <v>3296</v>
      </c>
      <c r="M2193" s="167"/>
      <c r="N2193" s="167"/>
      <c r="O2193" s="167"/>
      <c r="P2193" s="168"/>
      <c r="Q2193" s="167" t="s">
        <v>3947</v>
      </c>
      <c r="R2193" s="172" t="s">
        <v>3146</v>
      </c>
      <c r="S2193" s="388" t="s">
        <v>2596</v>
      </c>
      <c r="T2193" s="168"/>
      <c r="U2193" s="168"/>
      <c r="V2193" s="168"/>
      <c r="W2193" s="312" t="s">
        <v>10179</v>
      </c>
      <c r="X2193" s="644" t="s">
        <v>15031</v>
      </c>
      <c r="Y2193" s="352" t="s">
        <v>5643</v>
      </c>
      <c r="Z2193" s="353">
        <v>254</v>
      </c>
      <c r="AA2193" s="353">
        <v>5.5</v>
      </c>
      <c r="AB2193" s="31">
        <f t="shared" ca="1" si="47"/>
        <v>0.73583701779809774</v>
      </c>
      <c r="AC2193" s="810"/>
      <c r="AD2193" s="811" t="s">
        <v>461</v>
      </c>
      <c r="AE2193" s="940"/>
      <c r="AF2193" s="920">
        <f>IF(X2193=X2192,AF2192,0)+IF(ISNUMBER(I2193),IF(I2193&lt;1,I2193,I2193*VLOOKUP(J2193,Summary!$H$2:$I$9,2)),VLOOKUP(J2193,Summary!$J$2:$K$9,2)*IF(ISNUMBER(H2193),H2193,1))</f>
        <v>1.4837499999999999</v>
      </c>
      <c r="AG2193" s="287">
        <v>2192</v>
      </c>
      <c r="AH2193" s="94"/>
      <c r="AI2193" s="94"/>
      <c r="AJ2193" s="22"/>
    </row>
    <row r="2194" spans="1:36" s="43" customFormat="1" ht="12" customHeight="1" x14ac:dyDescent="0.25">
      <c r="A2194" s="527" t="s">
        <v>170</v>
      </c>
      <c r="B2194" s="527">
        <v>6</v>
      </c>
      <c r="C2194" s="527">
        <v>135</v>
      </c>
      <c r="D2194" s="407" t="s">
        <v>6345</v>
      </c>
      <c r="E2194" s="315" t="s">
        <v>6339</v>
      </c>
      <c r="F2194" s="169">
        <v>40330</v>
      </c>
      <c r="G2194" s="170"/>
      <c r="H2194" s="170">
        <v>4</v>
      </c>
      <c r="I2194" s="746">
        <f>TIME(2,13,3)</f>
        <v>9.239583333333333E-2</v>
      </c>
      <c r="J2194" s="899" t="s">
        <v>4706</v>
      </c>
      <c r="K2194" s="167" t="s">
        <v>294</v>
      </c>
      <c r="L2194" s="167" t="s">
        <v>4549</v>
      </c>
      <c r="M2194" s="167"/>
      <c r="N2194" s="167"/>
      <c r="O2194" s="167"/>
      <c r="P2194" s="168"/>
      <c r="Q2194" s="167" t="s">
        <v>3947</v>
      </c>
      <c r="R2194" s="172" t="s">
        <v>3146</v>
      </c>
      <c r="S2194" s="388" t="s">
        <v>2596</v>
      </c>
      <c r="T2194" s="168" t="s">
        <v>2598</v>
      </c>
      <c r="U2194" s="168"/>
      <c r="V2194" s="168"/>
      <c r="W2194" s="312" t="s">
        <v>10180</v>
      </c>
      <c r="X2194" s="644" t="s">
        <v>15031</v>
      </c>
      <c r="Y2194" s="352" t="s">
        <v>5643</v>
      </c>
      <c r="Z2194" s="353">
        <v>20</v>
      </c>
      <c r="AA2194" s="353">
        <v>9.5</v>
      </c>
      <c r="AB2194" s="40">
        <f t="shared" ca="1" si="47"/>
        <v>0.64965446867530408</v>
      </c>
      <c r="AC2194" s="810"/>
      <c r="AD2194" s="811" t="s">
        <v>16778</v>
      </c>
      <c r="AE2194" s="940" t="s">
        <v>15062</v>
      </c>
      <c r="AF2194" s="920">
        <f>IF(X2194=X2193,AF2193,0)+IF(ISNUMBER(I2194),IF(I2194&lt;1,I2194,I2194*VLOOKUP(J2194,Summary!$H$2:$I$9,2)),VLOOKUP(J2194,Summary!$J$2:$K$9,2)*IF(ISNUMBER(H2194),H2194,1))</f>
        <v>1.5761458333333331</v>
      </c>
      <c r="AG2194" s="287">
        <v>2193</v>
      </c>
      <c r="AH2194" s="94"/>
      <c r="AI2194" s="94"/>
      <c r="AJ2194" s="22"/>
    </row>
    <row r="2195" spans="1:36" s="43" customFormat="1" ht="12" customHeight="1" x14ac:dyDescent="0.25">
      <c r="A2195" s="527" t="s">
        <v>170</v>
      </c>
      <c r="B2195" s="527">
        <v>6</v>
      </c>
      <c r="C2195" s="527">
        <v>156</v>
      </c>
      <c r="D2195" s="407" t="s">
        <v>6512</v>
      </c>
      <c r="E2195" s="315" t="s">
        <v>6515</v>
      </c>
      <c r="F2195" s="169">
        <v>40909</v>
      </c>
      <c r="G2195" s="170"/>
      <c r="H2195" s="170">
        <v>4</v>
      </c>
      <c r="I2195" s="746">
        <f>TIME(2,5,13)</f>
        <v>8.6956018518518516E-2</v>
      </c>
      <c r="J2195" s="899" t="s">
        <v>4706</v>
      </c>
      <c r="K2195" s="167" t="s">
        <v>177</v>
      </c>
      <c r="L2195" s="167" t="s">
        <v>4549</v>
      </c>
      <c r="M2195" s="167"/>
      <c r="N2195" s="167"/>
      <c r="O2195" s="167" t="s">
        <v>2500</v>
      </c>
      <c r="P2195" s="168" t="s">
        <v>6518</v>
      </c>
      <c r="Q2195" s="167" t="s">
        <v>3947</v>
      </c>
      <c r="R2195" s="172" t="s">
        <v>3146</v>
      </c>
      <c r="S2195" s="388"/>
      <c r="T2195" s="168" t="s">
        <v>6519</v>
      </c>
      <c r="U2195" s="168"/>
      <c r="V2195" s="168"/>
      <c r="W2195" s="312" t="s">
        <v>10182</v>
      </c>
      <c r="X2195" s="644" t="s">
        <v>15421</v>
      </c>
      <c r="Y2195" s="352" t="s">
        <v>5643</v>
      </c>
      <c r="Z2195" s="353">
        <v>331</v>
      </c>
      <c r="AA2195" s="353">
        <v>5</v>
      </c>
      <c r="AB2195" s="40">
        <f t="shared" ca="1" si="47"/>
        <v>0.43238890286609954</v>
      </c>
      <c r="AC2195" s="810"/>
      <c r="AD2195" s="811"/>
      <c r="AE2195" s="940"/>
      <c r="AF2195" s="920">
        <f>IF(X2195=X2194,AF2194,0)+IF(ISNUMBER(I2195),IF(I2195&lt;1,I2195,I2195*VLOOKUP(J2195,Summary!$H$2:$I$9,2)),VLOOKUP(J2195,Summary!$J$2:$K$9,2)*IF(ISNUMBER(H2195),H2195,1))</f>
        <v>8.6956018518518516E-2</v>
      </c>
      <c r="AG2195" s="287">
        <v>2194</v>
      </c>
      <c r="AH2195" s="94"/>
      <c r="AI2195" s="94"/>
      <c r="AJ2195" s="22"/>
    </row>
    <row r="2196" spans="1:36" s="43" customFormat="1" ht="12" customHeight="1" x14ac:dyDescent="0.25">
      <c r="A2196" s="527" t="s">
        <v>170</v>
      </c>
      <c r="B2196" s="527">
        <v>6</v>
      </c>
      <c r="C2196" s="527">
        <v>157</v>
      </c>
      <c r="D2196" s="407" t="s">
        <v>6513</v>
      </c>
      <c r="E2196" s="315" t="s">
        <v>6516</v>
      </c>
      <c r="F2196" s="169">
        <v>40940</v>
      </c>
      <c r="G2196" s="170"/>
      <c r="H2196" s="170">
        <v>4</v>
      </c>
      <c r="I2196" s="746">
        <f>TIME(2,6,21)</f>
        <v>8.774305555555556E-2</v>
      </c>
      <c r="J2196" s="899" t="s">
        <v>4706</v>
      </c>
      <c r="K2196" s="167" t="s">
        <v>5666</v>
      </c>
      <c r="L2196" s="167" t="s">
        <v>4549</v>
      </c>
      <c r="M2196" s="167"/>
      <c r="N2196" s="167"/>
      <c r="O2196" s="167" t="s">
        <v>2500</v>
      </c>
      <c r="P2196" s="168" t="s">
        <v>6520</v>
      </c>
      <c r="Q2196" s="167" t="s">
        <v>3947</v>
      </c>
      <c r="R2196" s="172" t="s">
        <v>3146</v>
      </c>
      <c r="S2196" s="388"/>
      <c r="T2196" s="168" t="s">
        <v>6519</v>
      </c>
      <c r="U2196" s="168"/>
      <c r="V2196" s="168"/>
      <c r="W2196" s="312" t="s">
        <v>10258</v>
      </c>
      <c r="X2196" s="644" t="s">
        <v>15421</v>
      </c>
      <c r="Y2196" s="352" t="s">
        <v>5643</v>
      </c>
      <c r="Z2196" s="353">
        <v>184</v>
      </c>
      <c r="AA2196" s="353">
        <v>6</v>
      </c>
      <c r="AB2196" s="40">
        <f t="shared" ca="1" si="47"/>
        <v>0.12736774151684482</v>
      </c>
      <c r="AC2196" s="810"/>
      <c r="AD2196" s="811"/>
      <c r="AE2196" s="940"/>
      <c r="AF2196" s="920">
        <f>IF(X2196=X2195,AF2195,0)+IF(ISNUMBER(I2196),IF(I2196&lt;1,I2196,I2196*VLOOKUP(J2196,Summary!$H$2:$I$9,2)),VLOOKUP(J2196,Summary!$J$2:$K$9,2)*IF(ISNUMBER(H2196),H2196,1))</f>
        <v>0.17469907407407409</v>
      </c>
      <c r="AG2196" s="287">
        <v>2195</v>
      </c>
      <c r="AH2196" s="94"/>
      <c r="AI2196" s="94"/>
      <c r="AJ2196" s="22"/>
    </row>
    <row r="2197" spans="1:36" s="43" customFormat="1" ht="12" customHeight="1" x14ac:dyDescent="0.25">
      <c r="A2197" s="527" t="s">
        <v>170</v>
      </c>
      <c r="B2197" s="527">
        <v>6</v>
      </c>
      <c r="C2197" s="527">
        <v>158</v>
      </c>
      <c r="D2197" s="407" t="s">
        <v>6514</v>
      </c>
      <c r="E2197" s="315" t="s">
        <v>6517</v>
      </c>
      <c r="F2197" s="169">
        <v>40969</v>
      </c>
      <c r="G2197" s="170"/>
      <c r="H2197" s="170">
        <v>4</v>
      </c>
      <c r="I2197" s="747">
        <f>TIME(0,120,0)</f>
        <v>8.3333333333333329E-2</v>
      </c>
      <c r="J2197" s="899" t="s">
        <v>4706</v>
      </c>
      <c r="K2197" s="167" t="s">
        <v>6330</v>
      </c>
      <c r="L2197" s="167" t="s">
        <v>4549</v>
      </c>
      <c r="M2197" s="167"/>
      <c r="N2197" s="167"/>
      <c r="O2197" s="167" t="s">
        <v>2500</v>
      </c>
      <c r="P2197" s="168" t="s">
        <v>6521</v>
      </c>
      <c r="Q2197" s="167" t="s">
        <v>3947</v>
      </c>
      <c r="R2197" s="172" t="s">
        <v>3146</v>
      </c>
      <c r="S2197" s="388"/>
      <c r="T2197" s="168" t="s">
        <v>6519</v>
      </c>
      <c r="U2197" s="168"/>
      <c r="V2197" s="168"/>
      <c r="W2197" s="312"/>
      <c r="X2197" s="644" t="s">
        <v>15421</v>
      </c>
      <c r="Y2197" s="352"/>
      <c r="Z2197" s="353"/>
      <c r="AA2197" s="353"/>
      <c r="AB2197" s="40">
        <f t="shared" ca="1" si="47"/>
        <v>0.18593907501551066</v>
      </c>
      <c r="AC2197" s="810"/>
      <c r="AD2197" s="811"/>
      <c r="AE2197" s="940"/>
      <c r="AF2197" s="920">
        <f>IF(X2197=X2196,AF2196,0)+IF(ISNUMBER(I2197),IF(I2197&lt;1,I2197,I2197*VLOOKUP(J2197,Summary!$H$2:$I$9,2)),VLOOKUP(J2197,Summary!$J$2:$K$9,2)*IF(ISNUMBER(H2197),H2197,1))</f>
        <v>0.2580324074074074</v>
      </c>
      <c r="AG2197" s="287">
        <v>2196</v>
      </c>
      <c r="AH2197" s="94"/>
      <c r="AI2197" s="94"/>
      <c r="AJ2197" s="22"/>
    </row>
    <row r="2198" spans="1:36" s="142" customFormat="1" ht="12" customHeight="1" x14ac:dyDescent="0.25">
      <c r="A2198" s="478" t="s">
        <v>170</v>
      </c>
      <c r="B2198" s="478" t="s">
        <v>2650</v>
      </c>
      <c r="C2198" s="478">
        <v>2</v>
      </c>
      <c r="D2198" s="192" t="s">
        <v>13413</v>
      </c>
      <c r="E2198" s="317" t="s">
        <v>13414</v>
      </c>
      <c r="F2198" s="209">
        <v>42278</v>
      </c>
      <c r="G2198" s="209"/>
      <c r="H2198" s="192">
        <v>1</v>
      </c>
      <c r="I2198" s="192"/>
      <c r="J2198" s="903" t="s">
        <v>2755</v>
      </c>
      <c r="K2198" s="194" t="s">
        <v>543</v>
      </c>
      <c r="L2198" s="194" t="s">
        <v>13401</v>
      </c>
      <c r="M2198" s="194" t="s">
        <v>12643</v>
      </c>
      <c r="N2198" s="194"/>
      <c r="O2198" s="194"/>
      <c r="P2198" s="190" t="s">
        <v>13331</v>
      </c>
      <c r="Q2198" s="194" t="s">
        <v>3953</v>
      </c>
      <c r="R2198" s="193" t="s">
        <v>11447</v>
      </c>
      <c r="S2198" s="357"/>
      <c r="T2198" s="190"/>
      <c r="U2198" s="190"/>
      <c r="V2198" s="190"/>
      <c r="W2198" s="317" t="s">
        <v>13414</v>
      </c>
      <c r="X2198" s="662" t="s">
        <v>15421</v>
      </c>
      <c r="Y2198" s="357"/>
      <c r="Z2198" s="192"/>
      <c r="AA2198" s="192"/>
      <c r="AB2198" s="37">
        <f t="shared" ca="1" si="47"/>
        <v>0.6311147752858024</v>
      </c>
      <c r="AC2198" s="816"/>
      <c r="AD2198" s="817"/>
      <c r="AE2198" s="943"/>
      <c r="AF2198" s="924">
        <f>IF(X2198=X2197,AF2197,0)+IF(ISNUMBER(I2198),IF(I2198&lt;1,I2198,I2198*VLOOKUP(J2198,Summary!$H$2:$I$9,2)),VLOOKUP(J2198,Summary!$J$2:$K$9,2)*IF(ISNUMBER(H2198),H2198,1))</f>
        <v>0.27539351851851851</v>
      </c>
      <c r="AG2198" s="292">
        <v>2197</v>
      </c>
      <c r="AH2198" s="94"/>
      <c r="AI2198" s="94"/>
    </row>
    <row r="2199" spans="1:36" s="43" customFormat="1" ht="12" customHeight="1" x14ac:dyDescent="0.25">
      <c r="A2199" s="405" t="s">
        <v>10719</v>
      </c>
      <c r="B2199" s="406" t="s">
        <v>4451</v>
      </c>
      <c r="C2199" s="405">
        <v>7.1</v>
      </c>
      <c r="D2199" s="407" t="s">
        <v>10746</v>
      </c>
      <c r="E2199" s="315" t="s">
        <v>10707</v>
      </c>
      <c r="F2199" s="196">
        <v>41732</v>
      </c>
      <c r="G2199" s="170"/>
      <c r="H2199" s="170">
        <v>1</v>
      </c>
      <c r="I2199" s="747">
        <f t="shared" ref="I2199:I2211" si="48">TIME(0,60,0)</f>
        <v>4.1666666666666664E-2</v>
      </c>
      <c r="J2199" s="899" t="s">
        <v>4706</v>
      </c>
      <c r="K2199" s="167" t="s">
        <v>177</v>
      </c>
      <c r="L2199" s="167" t="s">
        <v>5662</v>
      </c>
      <c r="M2199" s="167"/>
      <c r="N2199" s="167"/>
      <c r="O2199" s="167"/>
      <c r="P2199" s="168" t="s">
        <v>10706</v>
      </c>
      <c r="Q2199" s="167" t="s">
        <v>3947</v>
      </c>
      <c r="R2199" s="172" t="s">
        <v>5286</v>
      </c>
      <c r="S2199" s="388"/>
      <c r="T2199" s="162"/>
      <c r="U2199" s="168" t="s">
        <v>5287</v>
      </c>
      <c r="V2199" s="168" t="s">
        <v>5288</v>
      </c>
      <c r="W2199" s="312" t="s">
        <v>10707</v>
      </c>
      <c r="X2199" s="644" t="s">
        <v>15421</v>
      </c>
      <c r="Y2199" s="352"/>
      <c r="Z2199" s="353"/>
      <c r="AA2199" s="353"/>
      <c r="AB2199" s="31">
        <f t="shared" ca="1" si="47"/>
        <v>0.51271056761092337</v>
      </c>
      <c r="AC2199" s="810"/>
      <c r="AD2199" s="811"/>
      <c r="AE2199" s="940"/>
      <c r="AF2199" s="920">
        <f>IF(X2199=X2198,AF2198,0)+IF(ISNUMBER(I2199),IF(I2199&lt;1,I2199,I2199*VLOOKUP(J2199,Summary!$H$2:$I$9,2)),VLOOKUP(J2199,Summary!$J$2:$K$9,2)*IF(ISNUMBER(H2199),H2199,1))</f>
        <v>0.31706018518518519</v>
      </c>
      <c r="AG2199" s="287">
        <v>2198</v>
      </c>
      <c r="AH2199" s="94"/>
      <c r="AI2199" s="94"/>
      <c r="AJ2199" s="22"/>
    </row>
    <row r="2200" spans="1:36" s="43" customFormat="1" ht="12" customHeight="1" x14ac:dyDescent="0.25">
      <c r="A2200" s="405" t="s">
        <v>10719</v>
      </c>
      <c r="B2200" s="406" t="s">
        <v>4451</v>
      </c>
      <c r="C2200" s="405">
        <v>7.2</v>
      </c>
      <c r="D2200" s="407" t="s">
        <v>10747</v>
      </c>
      <c r="E2200" s="315" t="s">
        <v>10708</v>
      </c>
      <c r="F2200" s="196">
        <v>41732</v>
      </c>
      <c r="G2200" s="170"/>
      <c r="H2200" s="170">
        <v>1</v>
      </c>
      <c r="I2200" s="747">
        <f t="shared" si="48"/>
        <v>4.1666666666666664E-2</v>
      </c>
      <c r="J2200" s="899" t="s">
        <v>4706</v>
      </c>
      <c r="K2200" s="167" t="s">
        <v>1643</v>
      </c>
      <c r="L2200" s="167" t="s">
        <v>5662</v>
      </c>
      <c r="M2200" s="167"/>
      <c r="N2200" s="167"/>
      <c r="O2200" s="167"/>
      <c r="P2200" s="168" t="s">
        <v>10706</v>
      </c>
      <c r="Q2200" s="167" t="s">
        <v>3947</v>
      </c>
      <c r="R2200" s="172" t="s">
        <v>5286</v>
      </c>
      <c r="S2200" s="388" t="s">
        <v>2608</v>
      </c>
      <c r="T2200" s="162"/>
      <c r="U2200" s="168" t="s">
        <v>5287</v>
      </c>
      <c r="V2200" s="168" t="s">
        <v>5288</v>
      </c>
      <c r="W2200" s="312" t="s">
        <v>10708</v>
      </c>
      <c r="X2200" s="644" t="s">
        <v>15421</v>
      </c>
      <c r="Y2200" s="352"/>
      <c r="Z2200" s="353"/>
      <c r="AA2200" s="353"/>
      <c r="AB2200" s="31">
        <f t="shared" ca="1" si="47"/>
        <v>0.23553228240469148</v>
      </c>
      <c r="AC2200" s="810"/>
      <c r="AD2200" s="811"/>
      <c r="AE2200" s="940"/>
      <c r="AF2200" s="920">
        <f>IF(X2200=X2199,AF2199,0)+IF(ISNUMBER(I2200),IF(I2200&lt;1,I2200,I2200*VLOOKUP(J2200,Summary!$H$2:$I$9,2)),VLOOKUP(J2200,Summary!$J$2:$K$9,2)*IF(ISNUMBER(H2200),H2200,1))</f>
        <v>0.35872685185185188</v>
      </c>
      <c r="AG2200" s="287">
        <v>2199</v>
      </c>
      <c r="AH2200" s="94"/>
      <c r="AI2200" s="94"/>
      <c r="AJ2200" s="22"/>
    </row>
    <row r="2201" spans="1:36" s="43" customFormat="1" ht="12" customHeight="1" x14ac:dyDescent="0.25">
      <c r="A2201" s="405" t="s">
        <v>10719</v>
      </c>
      <c r="B2201" s="406" t="s">
        <v>4451</v>
      </c>
      <c r="C2201" s="405">
        <v>7.3</v>
      </c>
      <c r="D2201" s="407" t="s">
        <v>10748</v>
      </c>
      <c r="E2201" s="315" t="s">
        <v>10709</v>
      </c>
      <c r="F2201" s="196">
        <v>41732</v>
      </c>
      <c r="G2201" s="170"/>
      <c r="H2201" s="170">
        <v>1</v>
      </c>
      <c r="I2201" s="747">
        <f t="shared" si="48"/>
        <v>4.1666666666666664E-2</v>
      </c>
      <c r="J2201" s="899" t="s">
        <v>4706</v>
      </c>
      <c r="K2201" s="167" t="s">
        <v>2983</v>
      </c>
      <c r="L2201" s="167" t="s">
        <v>5662</v>
      </c>
      <c r="M2201" s="167"/>
      <c r="N2201" s="167"/>
      <c r="O2201" s="167"/>
      <c r="P2201" s="168" t="s">
        <v>10706</v>
      </c>
      <c r="Q2201" s="167" t="s">
        <v>3947</v>
      </c>
      <c r="R2201" s="172" t="s">
        <v>5286</v>
      </c>
      <c r="S2201" s="388"/>
      <c r="T2201" s="157"/>
      <c r="U2201" s="168" t="s">
        <v>5287</v>
      </c>
      <c r="V2201" s="168" t="s">
        <v>5288</v>
      </c>
      <c r="W2201" s="312" t="s">
        <v>10709</v>
      </c>
      <c r="X2201" s="644" t="s">
        <v>15421</v>
      </c>
      <c r="Y2201" s="352"/>
      <c r="Z2201" s="353"/>
      <c r="AA2201" s="353"/>
      <c r="AB2201" s="31">
        <f t="shared" ca="1" si="47"/>
        <v>0.97617860737523565</v>
      </c>
      <c r="AC2201" s="810"/>
      <c r="AD2201" s="811"/>
      <c r="AE2201" s="940"/>
      <c r="AF2201" s="920">
        <f>IF(X2201=X2200,AF2200,0)+IF(ISNUMBER(I2201),IF(I2201&lt;1,I2201,I2201*VLOOKUP(J2201,Summary!$H$2:$I$9,2)),VLOOKUP(J2201,Summary!$J$2:$K$9,2)*IF(ISNUMBER(H2201),H2201,1))</f>
        <v>0.40039351851851857</v>
      </c>
      <c r="AG2201" s="287">
        <v>2200</v>
      </c>
      <c r="AH2201" s="94"/>
      <c r="AI2201" s="94"/>
      <c r="AJ2201" s="22"/>
    </row>
    <row r="2202" spans="1:36" s="6" customFormat="1" ht="12" customHeight="1" x14ac:dyDescent="0.25">
      <c r="A2202" s="405" t="s">
        <v>10719</v>
      </c>
      <c r="B2202" s="406" t="s">
        <v>4451</v>
      </c>
      <c r="C2202" s="405">
        <v>7.4</v>
      </c>
      <c r="D2202" s="407" t="s">
        <v>10749</v>
      </c>
      <c r="E2202" s="315" t="s">
        <v>10710</v>
      </c>
      <c r="F2202" s="196">
        <v>41732</v>
      </c>
      <c r="G2202" s="170"/>
      <c r="H2202" s="170">
        <v>1</v>
      </c>
      <c r="I2202" s="747">
        <f t="shared" si="48"/>
        <v>4.1666666666666664E-2</v>
      </c>
      <c r="J2202" s="899" t="s">
        <v>4706</v>
      </c>
      <c r="K2202" s="167" t="s">
        <v>543</v>
      </c>
      <c r="L2202" s="167" t="s">
        <v>5662</v>
      </c>
      <c r="M2202" s="167"/>
      <c r="N2202" s="167"/>
      <c r="O2202" s="167"/>
      <c r="P2202" s="168" t="s">
        <v>10706</v>
      </c>
      <c r="Q2202" s="167" t="s">
        <v>3947</v>
      </c>
      <c r="R2202" s="172" t="s">
        <v>5286</v>
      </c>
      <c r="S2202" s="388"/>
      <c r="T2202" s="167"/>
      <c r="U2202" s="168" t="s">
        <v>5287</v>
      </c>
      <c r="V2202" s="168" t="s">
        <v>5288</v>
      </c>
      <c r="W2202" s="312" t="s">
        <v>10710</v>
      </c>
      <c r="X2202" s="644" t="s">
        <v>15421</v>
      </c>
      <c r="Y2202" s="352"/>
      <c r="Z2202" s="353"/>
      <c r="AA2202" s="353"/>
      <c r="AB2202" s="31">
        <f t="shared" ca="1" si="47"/>
        <v>0.87394681382131834</v>
      </c>
      <c r="AC2202" s="810"/>
      <c r="AD2202" s="811"/>
      <c r="AE2202" s="940"/>
      <c r="AF2202" s="920">
        <f>IF(X2202=X2201,AF2201,0)+IF(ISNUMBER(I2202),IF(I2202&lt;1,I2202,I2202*VLOOKUP(J2202,Summary!$H$2:$I$9,2)),VLOOKUP(J2202,Summary!$J$2:$K$9,2)*IF(ISNUMBER(H2202),H2202,1))</f>
        <v>0.44206018518518525</v>
      </c>
      <c r="AG2202" s="287">
        <v>2201</v>
      </c>
      <c r="AH2202" s="94"/>
      <c r="AI2202" s="94"/>
    </row>
    <row r="2203" spans="1:36" s="2" customFormat="1" ht="12" customHeight="1" x14ac:dyDescent="0.25">
      <c r="A2203" s="405" t="s">
        <v>10720</v>
      </c>
      <c r="B2203" s="406" t="s">
        <v>4451</v>
      </c>
      <c r="C2203" s="405">
        <v>8.1</v>
      </c>
      <c r="D2203" s="407" t="s">
        <v>10750</v>
      </c>
      <c r="E2203" s="315" t="s">
        <v>10754</v>
      </c>
      <c r="F2203" s="196">
        <v>41928</v>
      </c>
      <c r="G2203" s="170"/>
      <c r="H2203" s="170">
        <v>1</v>
      </c>
      <c r="I2203" s="747">
        <f t="shared" si="48"/>
        <v>4.1666666666666664E-2</v>
      </c>
      <c r="J2203" s="899" t="s">
        <v>4706</v>
      </c>
      <c r="K2203" s="167" t="s">
        <v>1643</v>
      </c>
      <c r="L2203" s="167" t="s">
        <v>5662</v>
      </c>
      <c r="M2203" s="167"/>
      <c r="N2203" s="167"/>
      <c r="O2203" s="167"/>
      <c r="P2203" s="168" t="s">
        <v>10711</v>
      </c>
      <c r="Q2203" s="167" t="s">
        <v>3947</v>
      </c>
      <c r="R2203" s="172" t="s">
        <v>5286</v>
      </c>
      <c r="S2203" s="388"/>
      <c r="T2203" s="876"/>
      <c r="U2203" s="168" t="s">
        <v>5287</v>
      </c>
      <c r="V2203" s="168" t="s">
        <v>5288</v>
      </c>
      <c r="W2203" s="312" t="s">
        <v>10754</v>
      </c>
      <c r="X2203" s="644" t="s">
        <v>15421</v>
      </c>
      <c r="Y2203" s="352"/>
      <c r="Z2203" s="353"/>
      <c r="AA2203" s="353"/>
      <c r="AB2203" s="31">
        <f t="shared" ca="1" si="47"/>
        <v>0.34206826397150736</v>
      </c>
      <c r="AC2203" s="810"/>
      <c r="AD2203" s="811"/>
      <c r="AE2203" s="940"/>
      <c r="AF2203" s="920">
        <f>IF(X2203=X2202,AF2202,0)+IF(ISNUMBER(I2203),IF(I2203&lt;1,I2203,I2203*VLOOKUP(J2203,Summary!$H$2:$I$9,2)),VLOOKUP(J2203,Summary!$J$2:$K$9,2)*IF(ISNUMBER(H2203),H2203,1))</f>
        <v>0.48372685185185194</v>
      </c>
      <c r="AG2203" s="287">
        <v>2202</v>
      </c>
      <c r="AH2203" s="94"/>
      <c r="AI2203" s="94"/>
    </row>
    <row r="2204" spans="1:36" s="29" customFormat="1" ht="12" customHeight="1" x14ac:dyDescent="0.25">
      <c r="A2204" s="405" t="s">
        <v>10720</v>
      </c>
      <c r="B2204" s="406" t="s">
        <v>4451</v>
      </c>
      <c r="C2204" s="405">
        <v>8.1999999999999993</v>
      </c>
      <c r="D2204" s="407" t="s">
        <v>10751</v>
      </c>
      <c r="E2204" s="315" t="s">
        <v>10755</v>
      </c>
      <c r="F2204" s="196">
        <v>41928</v>
      </c>
      <c r="G2204" s="170"/>
      <c r="H2204" s="170">
        <v>1</v>
      </c>
      <c r="I2204" s="747">
        <f t="shared" si="48"/>
        <v>4.1666666666666664E-2</v>
      </c>
      <c r="J2204" s="899" t="s">
        <v>4706</v>
      </c>
      <c r="K2204" s="167" t="s">
        <v>175</v>
      </c>
      <c r="L2204" s="167" t="s">
        <v>5662</v>
      </c>
      <c r="M2204" s="167"/>
      <c r="N2204" s="167"/>
      <c r="O2204" s="167"/>
      <c r="P2204" s="168" t="s">
        <v>10711</v>
      </c>
      <c r="Q2204" s="167" t="s">
        <v>3947</v>
      </c>
      <c r="R2204" s="172" t="s">
        <v>5286</v>
      </c>
      <c r="S2204" s="388"/>
      <c r="T2204" s="232"/>
      <c r="U2204" s="168" t="s">
        <v>5287</v>
      </c>
      <c r="V2204" s="168" t="s">
        <v>5288</v>
      </c>
      <c r="W2204" s="312" t="s">
        <v>10755</v>
      </c>
      <c r="X2204" s="644" t="s">
        <v>15421</v>
      </c>
      <c r="Y2204" s="352"/>
      <c r="Z2204" s="353"/>
      <c r="AA2204" s="353"/>
      <c r="AB2204" s="31">
        <f t="shared" ca="1" si="47"/>
        <v>0.84522783049666694</v>
      </c>
      <c r="AC2204" s="810"/>
      <c r="AD2204" s="811"/>
      <c r="AE2204" s="940"/>
      <c r="AF2204" s="920">
        <f>IF(X2204=X2203,AF2203,0)+IF(ISNUMBER(I2204),IF(I2204&lt;1,I2204,I2204*VLOOKUP(J2204,Summary!$H$2:$I$9,2)),VLOOKUP(J2204,Summary!$J$2:$K$9,2)*IF(ISNUMBER(H2204),H2204,1))</f>
        <v>0.52539351851851857</v>
      </c>
      <c r="AG2204" s="287">
        <v>2203</v>
      </c>
      <c r="AH2204" s="94"/>
      <c r="AI2204" s="94"/>
    </row>
    <row r="2205" spans="1:36" s="2" customFormat="1" ht="12" customHeight="1" x14ac:dyDescent="0.25">
      <c r="A2205" s="405" t="s">
        <v>10720</v>
      </c>
      <c r="B2205" s="406" t="s">
        <v>4451</v>
      </c>
      <c r="C2205" s="405">
        <v>8.3000000000000007</v>
      </c>
      <c r="D2205" s="407" t="s">
        <v>10752</v>
      </c>
      <c r="E2205" s="315" t="s">
        <v>10756</v>
      </c>
      <c r="F2205" s="196">
        <v>41928</v>
      </c>
      <c r="G2205" s="170"/>
      <c r="H2205" s="170">
        <v>1</v>
      </c>
      <c r="I2205" s="747">
        <f t="shared" si="48"/>
        <v>4.1666666666666664E-2</v>
      </c>
      <c r="J2205" s="899" t="s">
        <v>4706</v>
      </c>
      <c r="K2205" s="167" t="s">
        <v>2983</v>
      </c>
      <c r="L2205" s="167" t="s">
        <v>5662</v>
      </c>
      <c r="M2205" s="167"/>
      <c r="N2205" s="167"/>
      <c r="O2205" s="167"/>
      <c r="P2205" s="168" t="s">
        <v>10711</v>
      </c>
      <c r="Q2205" s="167" t="s">
        <v>3947</v>
      </c>
      <c r="R2205" s="172" t="s">
        <v>5286</v>
      </c>
      <c r="S2205" s="388"/>
      <c r="T2205" s="245"/>
      <c r="U2205" s="168" t="s">
        <v>5287</v>
      </c>
      <c r="V2205" s="168" t="s">
        <v>5288</v>
      </c>
      <c r="W2205" s="312" t="s">
        <v>10756</v>
      </c>
      <c r="X2205" s="644" t="s">
        <v>15421</v>
      </c>
      <c r="Y2205" s="352"/>
      <c r="Z2205" s="353"/>
      <c r="AA2205" s="353"/>
      <c r="AB2205" s="31">
        <f t="shared" ca="1" si="47"/>
        <v>0.37170824063550023</v>
      </c>
      <c r="AC2205" s="810"/>
      <c r="AD2205" s="811"/>
      <c r="AE2205" s="940"/>
      <c r="AF2205" s="920">
        <f>IF(X2205=X2204,AF2204,0)+IF(ISNUMBER(I2205),IF(I2205&lt;1,I2205,I2205*VLOOKUP(J2205,Summary!$H$2:$I$9,2)),VLOOKUP(J2205,Summary!$J$2:$K$9,2)*IF(ISNUMBER(H2205),H2205,1))</f>
        <v>0.56706018518518519</v>
      </c>
      <c r="AG2205" s="287">
        <v>2204</v>
      </c>
      <c r="AH2205" s="94"/>
      <c r="AI2205" s="94"/>
    </row>
    <row r="2206" spans="1:36" s="2" customFormat="1" ht="12" customHeight="1" x14ac:dyDescent="0.25">
      <c r="A2206" s="405" t="s">
        <v>10720</v>
      </c>
      <c r="B2206" s="406" t="s">
        <v>4451</v>
      </c>
      <c r="C2206" s="405">
        <v>8.4</v>
      </c>
      <c r="D2206" s="407" t="s">
        <v>10753</v>
      </c>
      <c r="E2206" s="315" t="s">
        <v>10757</v>
      </c>
      <c r="F2206" s="196">
        <v>41928</v>
      </c>
      <c r="G2206" s="170"/>
      <c r="H2206" s="170">
        <v>1</v>
      </c>
      <c r="I2206" s="747">
        <f t="shared" si="48"/>
        <v>4.1666666666666664E-2</v>
      </c>
      <c r="J2206" s="899" t="s">
        <v>4706</v>
      </c>
      <c r="K2206" s="167" t="s">
        <v>543</v>
      </c>
      <c r="L2206" s="167" t="s">
        <v>5662</v>
      </c>
      <c r="M2206" s="167"/>
      <c r="N2206" s="167"/>
      <c r="O2206" s="167"/>
      <c r="P2206" s="168" t="s">
        <v>10711</v>
      </c>
      <c r="Q2206" s="167" t="s">
        <v>3947</v>
      </c>
      <c r="R2206" s="172" t="s">
        <v>5286</v>
      </c>
      <c r="S2206" s="388"/>
      <c r="T2206" s="232"/>
      <c r="U2206" s="168" t="s">
        <v>5287</v>
      </c>
      <c r="V2206" s="168" t="s">
        <v>5288</v>
      </c>
      <c r="W2206" s="312" t="s">
        <v>10757</v>
      </c>
      <c r="X2206" s="644" t="s">
        <v>15421</v>
      </c>
      <c r="Y2206" s="352"/>
      <c r="Z2206" s="353"/>
      <c r="AA2206" s="353"/>
      <c r="AB2206" s="31">
        <f t="shared" ca="1" si="47"/>
        <v>0.3575239078113488</v>
      </c>
      <c r="AC2206" s="810"/>
      <c r="AD2206" s="811"/>
      <c r="AE2206" s="940"/>
      <c r="AF2206" s="920">
        <f>IF(X2206=X2205,AF2205,0)+IF(ISNUMBER(I2206),IF(I2206&lt;1,I2206,I2206*VLOOKUP(J2206,Summary!$H$2:$I$9,2)),VLOOKUP(J2206,Summary!$J$2:$K$9,2)*IF(ISNUMBER(H2206),H2206,1))</f>
        <v>0.60872685185185182</v>
      </c>
      <c r="AG2206" s="287">
        <v>2205</v>
      </c>
      <c r="AH2206" s="94"/>
      <c r="AI2206" s="94"/>
    </row>
    <row r="2207" spans="1:36" s="3" customFormat="1" ht="12" customHeight="1" x14ac:dyDescent="0.25">
      <c r="A2207" s="405" t="s">
        <v>10721</v>
      </c>
      <c r="B2207" s="406" t="s">
        <v>4451</v>
      </c>
      <c r="C2207" s="405">
        <v>9.1</v>
      </c>
      <c r="D2207" s="407" t="s">
        <v>10759</v>
      </c>
      <c r="E2207" s="315" t="s">
        <v>10763</v>
      </c>
      <c r="F2207" s="196">
        <v>42122</v>
      </c>
      <c r="G2207" s="170"/>
      <c r="H2207" s="170">
        <v>1</v>
      </c>
      <c r="I2207" s="747">
        <f t="shared" si="48"/>
        <v>4.1666666666666664E-2</v>
      </c>
      <c r="J2207" s="899" t="s">
        <v>4706</v>
      </c>
      <c r="K2207" s="167" t="s">
        <v>177</v>
      </c>
      <c r="L2207" s="167" t="s">
        <v>5662</v>
      </c>
      <c r="M2207" s="167"/>
      <c r="N2207" s="167"/>
      <c r="O2207" s="167"/>
      <c r="P2207" s="168" t="s">
        <v>10758</v>
      </c>
      <c r="Q2207" s="167" t="s">
        <v>3947</v>
      </c>
      <c r="R2207" s="172" t="s">
        <v>5286</v>
      </c>
      <c r="S2207" s="388"/>
      <c r="T2207" s="807"/>
      <c r="U2207" s="168" t="s">
        <v>5287</v>
      </c>
      <c r="V2207" s="168" t="s">
        <v>5288</v>
      </c>
      <c r="W2207" s="312" t="s">
        <v>10763</v>
      </c>
      <c r="X2207" s="644" t="s">
        <v>15421</v>
      </c>
      <c r="Y2207" s="352"/>
      <c r="Z2207" s="353"/>
      <c r="AA2207" s="353"/>
      <c r="AB2207" s="31">
        <f t="shared" ca="1" si="47"/>
        <v>0.56642454976868883</v>
      </c>
      <c r="AC2207" s="810"/>
      <c r="AD2207" s="811"/>
      <c r="AE2207" s="940"/>
      <c r="AF2207" s="920">
        <f>IF(X2207=X2206,AF2206,0)+IF(ISNUMBER(I2207),IF(I2207&lt;1,I2207,I2207*VLOOKUP(J2207,Summary!$H$2:$I$9,2)),VLOOKUP(J2207,Summary!$J$2:$K$9,2)*IF(ISNUMBER(H2207),H2207,1))</f>
        <v>0.65039351851851845</v>
      </c>
      <c r="AG2207" s="287">
        <v>2206</v>
      </c>
      <c r="AH2207" s="94"/>
      <c r="AI2207" s="94"/>
      <c r="AJ2207" s="29"/>
    </row>
    <row r="2208" spans="1:36" s="43" customFormat="1" ht="12" customHeight="1" x14ac:dyDescent="0.25">
      <c r="A2208" s="405" t="s">
        <v>10721</v>
      </c>
      <c r="B2208" s="406" t="s">
        <v>4451</v>
      </c>
      <c r="C2208" s="405">
        <v>9.1999999999999993</v>
      </c>
      <c r="D2208" s="407" t="s">
        <v>10760</v>
      </c>
      <c r="E2208" s="315" t="s">
        <v>10764</v>
      </c>
      <c r="F2208" s="196">
        <v>42122</v>
      </c>
      <c r="G2208" s="170"/>
      <c r="H2208" s="170">
        <v>1</v>
      </c>
      <c r="I2208" s="747">
        <f t="shared" si="48"/>
        <v>4.1666666666666664E-2</v>
      </c>
      <c r="J2208" s="899" t="s">
        <v>4706</v>
      </c>
      <c r="K2208" s="167" t="s">
        <v>543</v>
      </c>
      <c r="L2208" s="167" t="s">
        <v>5662</v>
      </c>
      <c r="M2208" s="167"/>
      <c r="N2208" s="167"/>
      <c r="O2208" s="167"/>
      <c r="P2208" s="168" t="s">
        <v>10758</v>
      </c>
      <c r="Q2208" s="167" t="s">
        <v>3947</v>
      </c>
      <c r="R2208" s="172" t="s">
        <v>5286</v>
      </c>
      <c r="S2208" s="388"/>
      <c r="T2208" s="807"/>
      <c r="U2208" s="168" t="s">
        <v>5287</v>
      </c>
      <c r="V2208" s="168" t="s">
        <v>5288</v>
      </c>
      <c r="W2208" s="312" t="s">
        <v>10764</v>
      </c>
      <c r="X2208" s="644" t="s">
        <v>15421</v>
      </c>
      <c r="Y2208" s="352"/>
      <c r="Z2208" s="353"/>
      <c r="AA2208" s="353"/>
      <c r="AB2208" s="31">
        <f t="shared" ca="1" si="47"/>
        <v>0.58118343167636932</v>
      </c>
      <c r="AC2208" s="810"/>
      <c r="AD2208" s="811"/>
      <c r="AE2208" s="940"/>
      <c r="AF2208" s="920">
        <f>IF(X2208=X2207,AF2207,0)+IF(ISNUMBER(I2208),IF(I2208&lt;1,I2208,I2208*VLOOKUP(J2208,Summary!$H$2:$I$9,2)),VLOOKUP(J2208,Summary!$J$2:$K$9,2)*IF(ISNUMBER(H2208),H2208,1))</f>
        <v>0.69206018518518508</v>
      </c>
      <c r="AG2208" s="287">
        <v>2207</v>
      </c>
      <c r="AH2208" s="94"/>
      <c r="AI2208" s="94"/>
    </row>
    <row r="2209" spans="1:36" s="2" customFormat="1" ht="12" customHeight="1" x14ac:dyDescent="0.25">
      <c r="A2209" s="405" t="s">
        <v>10721</v>
      </c>
      <c r="B2209" s="406" t="s">
        <v>4451</v>
      </c>
      <c r="C2209" s="405">
        <v>9.3000000000000007</v>
      </c>
      <c r="D2209" s="407" t="s">
        <v>10761</v>
      </c>
      <c r="E2209" s="315" t="s">
        <v>6978</v>
      </c>
      <c r="F2209" s="196">
        <v>42122</v>
      </c>
      <c r="G2209" s="170"/>
      <c r="H2209" s="170">
        <v>1</v>
      </c>
      <c r="I2209" s="747">
        <f t="shared" si="48"/>
        <v>4.1666666666666664E-2</v>
      </c>
      <c r="J2209" s="899" t="s">
        <v>4706</v>
      </c>
      <c r="K2209" s="167" t="s">
        <v>2983</v>
      </c>
      <c r="L2209" s="167" t="s">
        <v>5662</v>
      </c>
      <c r="M2209" s="167"/>
      <c r="N2209" s="167"/>
      <c r="O2209" s="167"/>
      <c r="P2209" s="168" t="s">
        <v>10758</v>
      </c>
      <c r="Q2209" s="167" t="s">
        <v>3947</v>
      </c>
      <c r="R2209" s="172" t="s">
        <v>5286</v>
      </c>
      <c r="S2209" s="388"/>
      <c r="T2209" s="807"/>
      <c r="U2209" s="168" t="s">
        <v>5287</v>
      </c>
      <c r="V2209" s="168" t="s">
        <v>5288</v>
      </c>
      <c r="W2209" s="312" t="s">
        <v>6978</v>
      </c>
      <c r="X2209" s="644" t="s">
        <v>15421</v>
      </c>
      <c r="Y2209" s="352"/>
      <c r="Z2209" s="353"/>
      <c r="AA2209" s="353"/>
      <c r="AB2209" s="31">
        <f t="shared" ca="1" si="47"/>
        <v>0.12528000286085739</v>
      </c>
      <c r="AC2209" s="810"/>
      <c r="AD2209" s="811"/>
      <c r="AE2209" s="940"/>
      <c r="AF2209" s="920">
        <f>IF(X2209=X2208,AF2208,0)+IF(ISNUMBER(I2209),IF(I2209&lt;1,I2209,I2209*VLOOKUP(J2209,Summary!$H$2:$I$9,2)),VLOOKUP(J2209,Summary!$J$2:$K$9,2)*IF(ISNUMBER(H2209),H2209,1))</f>
        <v>0.73372685185185171</v>
      </c>
      <c r="AG2209" s="287">
        <v>2208</v>
      </c>
      <c r="AH2209" s="94"/>
      <c r="AI2209" s="94"/>
    </row>
    <row r="2210" spans="1:36" s="2" customFormat="1" ht="12" customHeight="1" x14ac:dyDescent="0.25">
      <c r="A2210" s="405" t="s">
        <v>10721</v>
      </c>
      <c r="B2210" s="406" t="s">
        <v>4451</v>
      </c>
      <c r="C2210" s="405">
        <v>9.4</v>
      </c>
      <c r="D2210" s="407" t="s">
        <v>10762</v>
      </c>
      <c r="E2210" s="315" t="s">
        <v>10765</v>
      </c>
      <c r="F2210" s="196">
        <v>42122</v>
      </c>
      <c r="G2210" s="170"/>
      <c r="H2210" s="170">
        <v>1</v>
      </c>
      <c r="I2210" s="747">
        <f t="shared" si="48"/>
        <v>4.1666666666666664E-2</v>
      </c>
      <c r="J2210" s="899" t="s">
        <v>4706</v>
      </c>
      <c r="K2210" s="167" t="s">
        <v>543</v>
      </c>
      <c r="L2210" s="167" t="s">
        <v>5662</v>
      </c>
      <c r="M2210" s="167"/>
      <c r="N2210" s="167"/>
      <c r="O2210" s="167"/>
      <c r="P2210" s="168" t="s">
        <v>10758</v>
      </c>
      <c r="Q2210" s="167" t="s">
        <v>3947</v>
      </c>
      <c r="R2210" s="172" t="s">
        <v>5286</v>
      </c>
      <c r="S2210" s="388"/>
      <c r="T2210" s="245"/>
      <c r="U2210" s="168" t="s">
        <v>5287</v>
      </c>
      <c r="V2210" s="168" t="s">
        <v>5288</v>
      </c>
      <c r="W2210" s="312" t="s">
        <v>10765</v>
      </c>
      <c r="X2210" s="644" t="s">
        <v>15421</v>
      </c>
      <c r="Y2210" s="352"/>
      <c r="Z2210" s="353"/>
      <c r="AA2210" s="353"/>
      <c r="AB2210" s="31">
        <f t="shared" ca="1" si="47"/>
        <v>0.44947299863270507</v>
      </c>
      <c r="AC2210" s="810"/>
      <c r="AD2210" s="811"/>
      <c r="AE2210" s="940"/>
      <c r="AF2210" s="920">
        <f>IF(X2210=X2209,AF2209,0)+IF(ISNUMBER(I2210),IF(I2210&lt;1,I2210,I2210*VLOOKUP(J2210,Summary!$H$2:$I$9,2)),VLOOKUP(J2210,Summary!$J$2:$K$9,2)*IF(ISNUMBER(H2210),H2210,1))</f>
        <v>0.77539351851851834</v>
      </c>
      <c r="AG2210" s="287">
        <v>2209</v>
      </c>
      <c r="AH2210" s="94"/>
      <c r="AI2210" s="94"/>
    </row>
    <row r="2211" spans="1:36" s="6" customFormat="1" ht="12" customHeight="1" x14ac:dyDescent="0.25">
      <c r="A2211" s="405" t="s">
        <v>10712</v>
      </c>
      <c r="B2211" s="406" t="s">
        <v>4451</v>
      </c>
      <c r="C2211" s="405">
        <v>10.1</v>
      </c>
      <c r="D2211" s="407" t="s">
        <v>10768</v>
      </c>
      <c r="E2211" s="315" t="s">
        <v>10772</v>
      </c>
      <c r="F2211" s="196">
        <v>42298</v>
      </c>
      <c r="G2211" s="170"/>
      <c r="H2211" s="170">
        <v>1</v>
      </c>
      <c r="I2211" s="747">
        <f t="shared" si="48"/>
        <v>4.1666666666666664E-2</v>
      </c>
      <c r="J2211" s="899" t="s">
        <v>4706</v>
      </c>
      <c r="K2211" s="167" t="s">
        <v>2983</v>
      </c>
      <c r="L2211" s="167" t="s">
        <v>5662</v>
      </c>
      <c r="M2211" s="167"/>
      <c r="N2211" s="167"/>
      <c r="O2211" s="167"/>
      <c r="P2211" s="168" t="s">
        <v>10766</v>
      </c>
      <c r="Q2211" s="167" t="s">
        <v>3947</v>
      </c>
      <c r="R2211" s="172" t="s">
        <v>5286</v>
      </c>
      <c r="S2211" s="388"/>
      <c r="T2211" s="162"/>
      <c r="U2211" s="168" t="s">
        <v>5287</v>
      </c>
      <c r="V2211" s="168" t="s">
        <v>5288</v>
      </c>
      <c r="W2211" s="312" t="s">
        <v>10772</v>
      </c>
      <c r="X2211" s="644" t="s">
        <v>15421</v>
      </c>
      <c r="Y2211" s="352"/>
      <c r="Z2211" s="353"/>
      <c r="AA2211" s="353"/>
      <c r="AB2211" s="31">
        <f t="shared" ca="1" si="47"/>
        <v>0.25985477723145989</v>
      </c>
      <c r="AC2211" s="810"/>
      <c r="AD2211" s="811"/>
      <c r="AE2211" s="940"/>
      <c r="AF2211" s="920">
        <f>IF(X2211=X2210,AF2210,0)+IF(ISNUMBER(I2211),IF(I2211&lt;1,I2211,I2211*VLOOKUP(J2211,Summary!$H$2:$I$9,2)),VLOOKUP(J2211,Summary!$J$2:$K$9,2)*IF(ISNUMBER(H2211),H2211,1))</f>
        <v>0.81706018518518497</v>
      </c>
      <c r="AG2211" s="287">
        <v>2210</v>
      </c>
      <c r="AH2211" s="94"/>
      <c r="AI2211" s="94"/>
    </row>
    <row r="2212" spans="1:36" s="43" customFormat="1" ht="12" customHeight="1" x14ac:dyDescent="0.25">
      <c r="A2212" s="527" t="s">
        <v>10712</v>
      </c>
      <c r="B2212" s="527">
        <v>6</v>
      </c>
      <c r="C2212" s="527">
        <v>3</v>
      </c>
      <c r="D2212" s="407"/>
      <c r="E2212" s="315" t="s">
        <v>10015</v>
      </c>
      <c r="F2212" s="196">
        <v>42233</v>
      </c>
      <c r="G2212" s="170"/>
      <c r="H2212" s="170">
        <v>1</v>
      </c>
      <c r="I2212" s="746">
        <f>TIME(1,1,26)</f>
        <v>4.2662037037037033E-2</v>
      </c>
      <c r="J2212" s="899" t="s">
        <v>4706</v>
      </c>
      <c r="K2212" s="167" t="s">
        <v>6452</v>
      </c>
      <c r="L2212" s="167" t="s">
        <v>4549</v>
      </c>
      <c r="M2212" s="167"/>
      <c r="N2212" s="167"/>
      <c r="O2212" s="167"/>
      <c r="P2212" s="168" t="s">
        <v>8557</v>
      </c>
      <c r="Q2212" s="167" t="s">
        <v>3947</v>
      </c>
      <c r="R2212" s="172" t="s">
        <v>10014</v>
      </c>
      <c r="S2212" s="388"/>
      <c r="T2212" s="351" t="s">
        <v>6519</v>
      </c>
      <c r="U2212" s="168" t="s">
        <v>5287</v>
      </c>
      <c r="V2212" s="168" t="s">
        <v>5288</v>
      </c>
      <c r="W2212" s="315" t="s">
        <v>10015</v>
      </c>
      <c r="X2212" s="647" t="s">
        <v>15421</v>
      </c>
      <c r="Y2212" s="352" t="s">
        <v>5643</v>
      </c>
      <c r="Z2212" s="353">
        <v>110</v>
      </c>
      <c r="AA2212" s="353">
        <v>7</v>
      </c>
      <c r="AB2212" s="40">
        <f t="shared" ca="1" si="47"/>
        <v>0.69606204083685219</v>
      </c>
      <c r="AC2212" s="810"/>
      <c r="AD2212" s="811"/>
      <c r="AE2212" s="940"/>
      <c r="AF2212" s="920">
        <f>IF(X2212=X2211,AF2211,0)+IF(ISNUMBER(I2212),IF(I2212&lt;1,I2212,I2212*VLOOKUP(J2212,Summary!$H$2:$I$9,2)),VLOOKUP(J2212,Summary!$J$2:$K$9,2)*IF(ISNUMBER(H2212),H2212,1))</f>
        <v>0.85972222222222205</v>
      </c>
      <c r="AG2212" s="287">
        <v>2211</v>
      </c>
      <c r="AH2212" s="94"/>
      <c r="AI2212" s="94"/>
    </row>
    <row r="2213" spans="1:36" s="6" customFormat="1" ht="12" customHeight="1" x14ac:dyDescent="0.25">
      <c r="A2213" s="405" t="s">
        <v>10712</v>
      </c>
      <c r="B2213" s="406" t="s">
        <v>4451</v>
      </c>
      <c r="C2213" s="405">
        <v>10.199999999999999</v>
      </c>
      <c r="D2213" s="407" t="s">
        <v>10769</v>
      </c>
      <c r="E2213" s="315" t="s">
        <v>10773</v>
      </c>
      <c r="F2213" s="196">
        <v>42298</v>
      </c>
      <c r="G2213" s="170"/>
      <c r="H2213" s="170">
        <v>1</v>
      </c>
      <c r="I2213" s="747">
        <f>TIME(0,60,0)</f>
        <v>4.1666666666666664E-2</v>
      </c>
      <c r="J2213" s="899" t="s">
        <v>4706</v>
      </c>
      <c r="K2213" s="167" t="s">
        <v>177</v>
      </c>
      <c r="L2213" s="167" t="s">
        <v>5662</v>
      </c>
      <c r="M2213" s="167"/>
      <c r="N2213" s="167"/>
      <c r="O2213" s="167"/>
      <c r="P2213" s="168" t="s">
        <v>10766</v>
      </c>
      <c r="Q2213" s="167" t="s">
        <v>3947</v>
      </c>
      <c r="R2213" s="172" t="s">
        <v>5286</v>
      </c>
      <c r="S2213" s="388"/>
      <c r="T2213" s="232"/>
      <c r="U2213" s="168" t="s">
        <v>5287</v>
      </c>
      <c r="V2213" s="168" t="s">
        <v>5288</v>
      </c>
      <c r="W2213" s="312" t="s">
        <v>10773</v>
      </c>
      <c r="X2213" s="644" t="s">
        <v>15421</v>
      </c>
      <c r="Y2213" s="352"/>
      <c r="Z2213" s="353"/>
      <c r="AA2213" s="353"/>
      <c r="AB2213" s="31">
        <f t="shared" ca="1" si="47"/>
        <v>0.71315420396941254</v>
      </c>
      <c r="AC2213" s="810"/>
      <c r="AD2213" s="811"/>
      <c r="AE2213" s="940"/>
      <c r="AF2213" s="920">
        <f>IF(X2213=X2212,AF2212,0)+IF(ISNUMBER(I2213),IF(I2213&lt;1,I2213,I2213*VLOOKUP(J2213,Summary!$H$2:$I$9,2)),VLOOKUP(J2213,Summary!$J$2:$K$9,2)*IF(ISNUMBER(H2213),H2213,1))</f>
        <v>0.90138888888888868</v>
      </c>
      <c r="AG2213" s="287">
        <v>2212</v>
      </c>
      <c r="AH2213" s="94"/>
      <c r="AI2213" s="94"/>
    </row>
    <row r="2214" spans="1:36" s="43" customFormat="1" ht="12" customHeight="1" x14ac:dyDescent="0.25">
      <c r="A2214" s="405" t="s">
        <v>10712</v>
      </c>
      <c r="B2214" s="406" t="s">
        <v>4451</v>
      </c>
      <c r="C2214" s="405"/>
      <c r="D2214" s="407"/>
      <c r="E2214" s="315" t="s">
        <v>10774</v>
      </c>
      <c r="F2214" s="196">
        <v>42319</v>
      </c>
      <c r="G2214" s="170"/>
      <c r="H2214" s="170">
        <v>2</v>
      </c>
      <c r="I2214" s="747">
        <f>TIME(0,120,0)</f>
        <v>8.3333333333333329E-2</v>
      </c>
      <c r="J2214" s="899" t="s">
        <v>4706</v>
      </c>
      <c r="K2214" s="167" t="s">
        <v>543</v>
      </c>
      <c r="L2214" s="167" t="s">
        <v>5662</v>
      </c>
      <c r="M2214" s="167"/>
      <c r="N2214" s="167"/>
      <c r="O2214" s="167"/>
      <c r="P2214" s="168" t="s">
        <v>10775</v>
      </c>
      <c r="Q2214" s="167" t="s">
        <v>3947</v>
      </c>
      <c r="R2214" s="172" t="s">
        <v>5286</v>
      </c>
      <c r="S2214" s="388"/>
      <c r="T2214" s="351" t="s">
        <v>6925</v>
      </c>
      <c r="U2214" s="168" t="s">
        <v>5287</v>
      </c>
      <c r="V2214" s="168" t="s">
        <v>5288</v>
      </c>
      <c r="W2214" s="312" t="s">
        <v>15312</v>
      </c>
      <c r="X2214" s="644" t="s">
        <v>15421</v>
      </c>
      <c r="Y2214" s="352" t="s">
        <v>5643</v>
      </c>
      <c r="Z2214" s="353">
        <v>161</v>
      </c>
      <c r="AA2214" s="353">
        <v>6.5</v>
      </c>
      <c r="AB2214" s="31">
        <f t="shared" ca="1" si="47"/>
        <v>0.12111887576906177</v>
      </c>
      <c r="AC2214" s="810"/>
      <c r="AD2214" s="825" t="s">
        <v>14977</v>
      </c>
      <c r="AE2214" s="940"/>
      <c r="AF2214" s="920">
        <f>IF(X2214=X2213,AF2213,0)+IF(ISNUMBER(I2214),IF(I2214&lt;1,I2214,I2214*VLOOKUP(J2214,Summary!$H$2:$I$9,2)),VLOOKUP(J2214,Summary!$J$2:$K$9,2)*IF(ISNUMBER(H2214),H2214,1))</f>
        <v>0.98472222222222205</v>
      </c>
      <c r="AG2214" s="287">
        <v>2213</v>
      </c>
      <c r="AH2214" s="94"/>
      <c r="AI2214" s="94"/>
      <c r="AJ2214" s="3"/>
    </row>
    <row r="2215" spans="1:36" s="43" customFormat="1" ht="12" customHeight="1" x14ac:dyDescent="0.25">
      <c r="A2215" s="405" t="s">
        <v>10712</v>
      </c>
      <c r="B2215" s="406" t="s">
        <v>4451</v>
      </c>
      <c r="C2215" s="405">
        <v>10.3</v>
      </c>
      <c r="D2215" s="407" t="s">
        <v>10770</v>
      </c>
      <c r="E2215" s="315" t="s">
        <v>10787</v>
      </c>
      <c r="F2215" s="196">
        <v>42298</v>
      </c>
      <c r="G2215" s="170"/>
      <c r="H2215" s="170">
        <v>1</v>
      </c>
      <c r="I2215" s="747">
        <f>TIME(0,60,0)</f>
        <v>4.1666666666666664E-2</v>
      </c>
      <c r="J2215" s="899" t="s">
        <v>4706</v>
      </c>
      <c r="K2215" s="167" t="s">
        <v>1643</v>
      </c>
      <c r="L2215" s="167" t="s">
        <v>5662</v>
      </c>
      <c r="M2215" s="167"/>
      <c r="N2215" s="167"/>
      <c r="O2215" s="167"/>
      <c r="P2215" s="168" t="s">
        <v>10766</v>
      </c>
      <c r="Q2215" s="167" t="s">
        <v>3947</v>
      </c>
      <c r="R2215" s="172" t="s">
        <v>5286</v>
      </c>
      <c r="S2215" s="388"/>
      <c r="T2215" s="232"/>
      <c r="U2215" s="168" t="s">
        <v>5287</v>
      </c>
      <c r="V2215" s="168" t="s">
        <v>5288</v>
      </c>
      <c r="W2215" s="312" t="s">
        <v>10787</v>
      </c>
      <c r="X2215" s="644" t="s">
        <v>15421</v>
      </c>
      <c r="Y2215" s="352"/>
      <c r="Z2215" s="353"/>
      <c r="AA2215" s="353"/>
      <c r="AB2215" s="31">
        <f t="shared" ca="1" si="47"/>
        <v>0.99172427597068924</v>
      </c>
      <c r="AC2215" s="810"/>
      <c r="AD2215" s="825" t="s">
        <v>14977</v>
      </c>
      <c r="AE2215" s="940"/>
      <c r="AF2215" s="920">
        <f>IF(X2215=X2214,AF2214,0)+IF(ISNUMBER(I2215),IF(I2215&lt;1,I2215,I2215*VLOOKUP(J2215,Summary!$H$2:$I$9,2)),VLOOKUP(J2215,Summary!$J$2:$K$9,2)*IF(ISNUMBER(H2215),H2215,1))</f>
        <v>1.0263888888888888</v>
      </c>
      <c r="AG2215" s="287">
        <v>2214</v>
      </c>
      <c r="AH2215" s="94"/>
      <c r="AI2215" s="94"/>
    </row>
    <row r="2216" spans="1:36" s="29" customFormat="1" ht="12" customHeight="1" x14ac:dyDescent="0.25">
      <c r="A2216" s="405" t="s">
        <v>10712</v>
      </c>
      <c r="B2216" s="406" t="s">
        <v>4451</v>
      </c>
      <c r="C2216" s="405">
        <v>10.4</v>
      </c>
      <c r="D2216" s="407" t="s">
        <v>10771</v>
      </c>
      <c r="E2216" s="315" t="s">
        <v>10788</v>
      </c>
      <c r="F2216" s="196">
        <v>42298</v>
      </c>
      <c r="G2216" s="170"/>
      <c r="H2216" s="170">
        <v>1</v>
      </c>
      <c r="I2216" s="747">
        <f>TIME(0,60,0)</f>
        <v>4.1666666666666664E-2</v>
      </c>
      <c r="J2216" s="899" t="s">
        <v>4706</v>
      </c>
      <c r="K2216" s="167" t="s">
        <v>543</v>
      </c>
      <c r="L2216" s="167" t="s">
        <v>5662</v>
      </c>
      <c r="M2216" s="167"/>
      <c r="N2216" s="167"/>
      <c r="O2216" s="167"/>
      <c r="P2216" s="168" t="s">
        <v>10766</v>
      </c>
      <c r="Q2216" s="167" t="s">
        <v>3947</v>
      </c>
      <c r="R2216" s="172" t="s">
        <v>5286</v>
      </c>
      <c r="S2216" s="388"/>
      <c r="T2216" s="232"/>
      <c r="U2216" s="168" t="s">
        <v>5287</v>
      </c>
      <c r="V2216" s="168" t="s">
        <v>5288</v>
      </c>
      <c r="W2216" s="312" t="s">
        <v>10788</v>
      </c>
      <c r="X2216" s="644" t="s">
        <v>15421</v>
      </c>
      <c r="Y2216" s="352"/>
      <c r="Z2216" s="353"/>
      <c r="AA2216" s="353"/>
      <c r="AB2216" s="31">
        <f t="shared" ca="1" si="47"/>
        <v>0.40835738698791324</v>
      </c>
      <c r="AC2216" s="810"/>
      <c r="AD2216" s="825" t="s">
        <v>14977</v>
      </c>
      <c r="AE2216" s="940"/>
      <c r="AF2216" s="920">
        <f>IF(X2216=X2215,AF2215,0)+IF(ISNUMBER(I2216),IF(I2216&lt;1,I2216,I2216*VLOOKUP(J2216,Summary!$H$2:$I$9,2)),VLOOKUP(J2216,Summary!$J$2:$K$9,2)*IF(ISNUMBER(H2216),H2216,1))</f>
        <v>1.0680555555555555</v>
      </c>
      <c r="AG2216" s="287">
        <v>2215</v>
      </c>
      <c r="AH2216" s="94"/>
      <c r="AI2216" s="94"/>
    </row>
    <row r="2217" spans="1:36" s="3" customFormat="1" ht="12" customHeight="1" x14ac:dyDescent="0.25">
      <c r="A2217" s="527" t="s">
        <v>10691</v>
      </c>
      <c r="B2217" s="527">
        <v>6</v>
      </c>
      <c r="C2217" s="527">
        <v>225.1</v>
      </c>
      <c r="D2217" s="407"/>
      <c r="E2217" s="315" t="s">
        <v>12766</v>
      </c>
      <c r="F2217" s="196">
        <v>42871</v>
      </c>
      <c r="G2217" s="170"/>
      <c r="H2217" s="170">
        <v>2</v>
      </c>
      <c r="I2217" s="747">
        <f>TIME(0,60,0)</f>
        <v>4.1666666666666664E-2</v>
      </c>
      <c r="J2217" s="899" t="s">
        <v>4706</v>
      </c>
      <c r="K2217" s="167" t="s">
        <v>177</v>
      </c>
      <c r="L2217" s="167" t="s">
        <v>2313</v>
      </c>
      <c r="M2217" s="167"/>
      <c r="N2217" s="167"/>
      <c r="O2217" s="167" t="s">
        <v>3295</v>
      </c>
      <c r="P2217" s="168" t="s">
        <v>12765</v>
      </c>
      <c r="Q2217" s="167" t="s">
        <v>3947</v>
      </c>
      <c r="R2217" s="172" t="s">
        <v>3146</v>
      </c>
      <c r="S2217" s="388"/>
      <c r="T2217" s="351" t="s">
        <v>6519</v>
      </c>
      <c r="U2217" s="168"/>
      <c r="V2217" s="168"/>
      <c r="W2217" s="312"/>
      <c r="X2217" s="644" t="s">
        <v>15421</v>
      </c>
      <c r="Y2217" s="352"/>
      <c r="Z2217" s="353"/>
      <c r="AA2217" s="353"/>
      <c r="AB2217" s="40">
        <f t="shared" ca="1" si="47"/>
        <v>0.7598446737746074</v>
      </c>
      <c r="AC2217" s="810"/>
      <c r="AD2217" s="811"/>
      <c r="AE2217" s="940"/>
      <c r="AF2217" s="920">
        <f>IF(X2217=X2216,AF2216,0)+IF(ISNUMBER(I2217),IF(I2217&lt;1,I2217,I2217*VLOOKUP(J2217,Summary!$H$2:$I$9,2)),VLOOKUP(J2217,Summary!$J$2:$K$9,2)*IF(ISNUMBER(H2217),H2217,1))</f>
        <v>1.1097222222222223</v>
      </c>
      <c r="AG2217" s="287">
        <v>2216</v>
      </c>
      <c r="AH2217" s="94"/>
      <c r="AI2217" s="94"/>
    </row>
    <row r="2218" spans="1:36" s="57" customFormat="1" ht="12" customHeight="1" x14ac:dyDescent="0.25">
      <c r="A2218" s="527" t="s">
        <v>10691</v>
      </c>
      <c r="B2218" s="527">
        <v>6</v>
      </c>
      <c r="C2218" s="527">
        <v>225.2</v>
      </c>
      <c r="D2218" s="407"/>
      <c r="E2218" s="315" t="s">
        <v>12767</v>
      </c>
      <c r="F2218" s="196">
        <v>42871</v>
      </c>
      <c r="G2218" s="170"/>
      <c r="H2218" s="170">
        <v>2</v>
      </c>
      <c r="I2218" s="747">
        <f>TIME(0,60,0)</f>
        <v>4.1666666666666664E-2</v>
      </c>
      <c r="J2218" s="899" t="s">
        <v>4706</v>
      </c>
      <c r="K2218" s="167" t="s">
        <v>3424</v>
      </c>
      <c r="L2218" s="167" t="s">
        <v>2313</v>
      </c>
      <c r="M2218" s="167"/>
      <c r="N2218" s="167"/>
      <c r="O2218" s="167" t="s">
        <v>3295</v>
      </c>
      <c r="P2218" s="168" t="s">
        <v>12765</v>
      </c>
      <c r="Q2218" s="167" t="s">
        <v>3947</v>
      </c>
      <c r="R2218" s="172" t="s">
        <v>3146</v>
      </c>
      <c r="S2218" s="388"/>
      <c r="T2218" s="351" t="s">
        <v>6519</v>
      </c>
      <c r="U2218" s="168"/>
      <c r="V2218" s="168"/>
      <c r="W2218" s="312"/>
      <c r="X2218" s="644" t="s">
        <v>15421</v>
      </c>
      <c r="Y2218" s="352"/>
      <c r="Z2218" s="353"/>
      <c r="AA2218" s="353"/>
      <c r="AB2218" s="40">
        <f t="shared" ca="1" si="47"/>
        <v>6.6451188823020035E-2</v>
      </c>
      <c r="AC2218" s="810"/>
      <c r="AD2218" s="811"/>
      <c r="AE2218" s="940"/>
      <c r="AF2218" s="920">
        <f>IF(X2218=X2217,AF2217,0)+IF(ISNUMBER(I2218),IF(I2218&lt;1,I2218,I2218*VLOOKUP(J2218,Summary!$H$2:$I$9,2)),VLOOKUP(J2218,Summary!$J$2:$K$9,2)*IF(ISNUMBER(H2218),H2218,1))</f>
        <v>1.151388888888889</v>
      </c>
      <c r="AG2218" s="287">
        <v>2217</v>
      </c>
      <c r="AH2218" s="94"/>
      <c r="AI2218" s="94"/>
    </row>
    <row r="2219" spans="1:36" s="57" customFormat="1" ht="12" customHeight="1" x14ac:dyDescent="0.25">
      <c r="A2219" s="527" t="s">
        <v>10691</v>
      </c>
      <c r="B2219" s="527">
        <v>6</v>
      </c>
      <c r="C2219" s="527">
        <v>182</v>
      </c>
      <c r="D2219" s="407"/>
      <c r="E2219" s="315" t="s">
        <v>8146</v>
      </c>
      <c r="F2219" s="169">
        <v>41640</v>
      </c>
      <c r="G2219" s="170"/>
      <c r="H2219" s="170">
        <v>4</v>
      </c>
      <c r="I2219" s="746">
        <f>TIME(2,20,16)</f>
        <v>9.7407407407407401E-2</v>
      </c>
      <c r="J2219" s="899" t="s">
        <v>4706</v>
      </c>
      <c r="K2219" s="167" t="s">
        <v>197</v>
      </c>
      <c r="L2219" s="167" t="s">
        <v>4549</v>
      </c>
      <c r="M2219" s="167"/>
      <c r="N2219" s="167"/>
      <c r="O2219" s="167" t="s">
        <v>2500</v>
      </c>
      <c r="P2219" s="168" t="s">
        <v>8149</v>
      </c>
      <c r="Q2219" s="167" t="s">
        <v>3947</v>
      </c>
      <c r="R2219" s="172" t="s">
        <v>3146</v>
      </c>
      <c r="S2219" s="388"/>
      <c r="T2219" s="351" t="s">
        <v>6519</v>
      </c>
      <c r="U2219" s="168"/>
      <c r="V2219" s="168"/>
      <c r="W2219" s="312" t="s">
        <v>11495</v>
      </c>
      <c r="X2219" s="644" t="s">
        <v>15421</v>
      </c>
      <c r="Y2219" s="352" t="s">
        <v>5643</v>
      </c>
      <c r="Z2219" s="353">
        <v>666</v>
      </c>
      <c r="AA2219" s="353">
        <v>2.5</v>
      </c>
      <c r="AB2219" s="40">
        <f t="shared" ca="1" si="47"/>
        <v>0.54958228091500838</v>
      </c>
      <c r="AC2219" s="810"/>
      <c r="AD2219" s="811"/>
      <c r="AE2219" s="940"/>
      <c r="AF2219" s="920">
        <f>IF(X2219=X2218,AF2218,0)+IF(ISNUMBER(I2219),IF(I2219&lt;1,I2219,I2219*VLOOKUP(J2219,Summary!$H$2:$I$9,2)),VLOOKUP(J2219,Summary!$J$2:$K$9,2)*IF(ISNUMBER(H2219),H2219,1))</f>
        <v>1.2487962962962964</v>
      </c>
      <c r="AG2219" s="287">
        <v>2218</v>
      </c>
      <c r="AH2219" s="94"/>
      <c r="AI2219" s="94"/>
    </row>
    <row r="2220" spans="1:36" s="57" customFormat="1" ht="12" customHeight="1" x14ac:dyDescent="0.25">
      <c r="A2220" s="527" t="s">
        <v>10691</v>
      </c>
      <c r="B2220" s="527">
        <v>6</v>
      </c>
      <c r="C2220" s="527">
        <v>183</v>
      </c>
      <c r="D2220" s="407"/>
      <c r="E2220" s="315" t="s">
        <v>8147</v>
      </c>
      <c r="F2220" s="196">
        <v>41684</v>
      </c>
      <c r="G2220" s="170"/>
      <c r="H2220" s="170">
        <v>4</v>
      </c>
      <c r="I2220" s="746">
        <f>TIME(1,52,52)</f>
        <v>7.8379629629629632E-2</v>
      </c>
      <c r="J2220" s="899" t="s">
        <v>4706</v>
      </c>
      <c r="K2220" s="167" t="s">
        <v>6970</v>
      </c>
      <c r="L2220" s="167" t="s">
        <v>4549</v>
      </c>
      <c r="M2220" s="167"/>
      <c r="N2220" s="167"/>
      <c r="O2220" s="167" t="s">
        <v>2500</v>
      </c>
      <c r="P2220" s="168" t="s">
        <v>8150</v>
      </c>
      <c r="Q2220" s="167" t="s">
        <v>3947</v>
      </c>
      <c r="R2220" s="172" t="s">
        <v>3146</v>
      </c>
      <c r="S2220" s="388"/>
      <c r="T2220" s="351" t="s">
        <v>6519</v>
      </c>
      <c r="U2220" s="168"/>
      <c r="V2220" s="168"/>
      <c r="W2220" s="312" t="s">
        <v>11497</v>
      </c>
      <c r="X2220" s="644" t="s">
        <v>15421</v>
      </c>
      <c r="Y2220" s="352" t="s">
        <v>5643</v>
      </c>
      <c r="Z2220" s="353">
        <v>670</v>
      </c>
      <c r="AA2220" s="353">
        <v>2.5</v>
      </c>
      <c r="AB2220" s="40">
        <f t="shared" ca="1" si="47"/>
        <v>0.5883731345073584</v>
      </c>
      <c r="AC2220" s="810"/>
      <c r="AD2220" s="811"/>
      <c r="AE2220" s="940"/>
      <c r="AF2220" s="920">
        <f>IF(X2220=X2219,AF2219,0)+IF(ISNUMBER(I2220),IF(I2220&lt;1,I2220,I2220*VLOOKUP(J2220,Summary!$H$2:$I$9,2)),VLOOKUP(J2220,Summary!$J$2:$K$9,2)*IF(ISNUMBER(H2220),H2220,1))</f>
        <v>1.3271759259259261</v>
      </c>
      <c r="AG2220" s="287">
        <v>2219</v>
      </c>
      <c r="AH2220" s="94"/>
      <c r="AI2220" s="94"/>
    </row>
    <row r="2221" spans="1:36" s="6" customFormat="1" ht="12" customHeight="1" x14ac:dyDescent="0.25">
      <c r="A2221" s="527" t="s">
        <v>10691</v>
      </c>
      <c r="B2221" s="527">
        <v>6</v>
      </c>
      <c r="C2221" s="527">
        <v>184</v>
      </c>
      <c r="D2221" s="407"/>
      <c r="E2221" s="315" t="s">
        <v>8148</v>
      </c>
      <c r="F2221" s="196">
        <v>41712</v>
      </c>
      <c r="G2221" s="170"/>
      <c r="H2221" s="170">
        <v>4</v>
      </c>
      <c r="I2221" s="746">
        <f>TIME(1,49,22)</f>
        <v>7.5949074074074072E-2</v>
      </c>
      <c r="J2221" s="899" t="s">
        <v>4706</v>
      </c>
      <c r="K2221" s="167" t="s">
        <v>6330</v>
      </c>
      <c r="L2221" s="167" t="s">
        <v>4549</v>
      </c>
      <c r="M2221" s="167"/>
      <c r="N2221" s="167"/>
      <c r="O2221" s="167" t="s">
        <v>2500</v>
      </c>
      <c r="P2221" s="168" t="s">
        <v>8151</v>
      </c>
      <c r="Q2221" s="167" t="s">
        <v>3947</v>
      </c>
      <c r="R2221" s="172" t="s">
        <v>3146</v>
      </c>
      <c r="S2221" s="388"/>
      <c r="T2221" s="351" t="s">
        <v>6519</v>
      </c>
      <c r="U2221" s="168"/>
      <c r="V2221" s="168"/>
      <c r="W2221" s="312" t="s">
        <v>11331</v>
      </c>
      <c r="X2221" s="644" t="s">
        <v>15421</v>
      </c>
      <c r="Y2221" s="352" t="s">
        <v>5643</v>
      </c>
      <c r="Z2221" s="353">
        <v>276</v>
      </c>
      <c r="AA2221" s="353">
        <v>5.5</v>
      </c>
      <c r="AB2221" s="40">
        <f t="shared" ca="1" si="47"/>
        <v>0.7869940917822168</v>
      </c>
      <c r="AC2221" s="810"/>
      <c r="AD2221" s="811"/>
      <c r="AE2221" s="940"/>
      <c r="AF2221" s="920">
        <f>IF(X2221=X2220,AF2220,0)+IF(ISNUMBER(I2221),IF(I2221&lt;1,I2221,I2221*VLOOKUP(J2221,Summary!$H$2:$I$9,2)),VLOOKUP(J2221,Summary!$J$2:$K$9,2)*IF(ISNUMBER(H2221),H2221,1))</f>
        <v>1.4031250000000002</v>
      </c>
      <c r="AG2221" s="287">
        <v>2220</v>
      </c>
      <c r="AH2221" s="94"/>
      <c r="AI2221" s="94"/>
      <c r="AJ2221" s="22"/>
    </row>
    <row r="2222" spans="1:36" s="6" customFormat="1" ht="12" customHeight="1" x14ac:dyDescent="0.25">
      <c r="A2222" s="527" t="s">
        <v>10691</v>
      </c>
      <c r="B2222" s="527">
        <v>6</v>
      </c>
      <c r="C2222" s="527">
        <v>192</v>
      </c>
      <c r="D2222" s="407"/>
      <c r="E2222" s="315" t="s">
        <v>9381</v>
      </c>
      <c r="F2222" s="196">
        <v>41942</v>
      </c>
      <c r="G2222" s="170"/>
      <c r="H2222" s="170">
        <v>4</v>
      </c>
      <c r="I2222" s="746">
        <f>TIME(2,19,54)</f>
        <v>9.7152777777777768E-2</v>
      </c>
      <c r="J2222" s="899" t="s">
        <v>4706</v>
      </c>
      <c r="K2222" s="167" t="s">
        <v>3284</v>
      </c>
      <c r="L2222" s="167" t="s">
        <v>2313</v>
      </c>
      <c r="M2222" s="167"/>
      <c r="N2222" s="167"/>
      <c r="O2222" s="167" t="s">
        <v>2500</v>
      </c>
      <c r="P2222" s="168" t="s">
        <v>9384</v>
      </c>
      <c r="Q2222" s="167" t="s">
        <v>3947</v>
      </c>
      <c r="R2222" s="172" t="s">
        <v>3146</v>
      </c>
      <c r="S2222" s="388" t="s">
        <v>2319</v>
      </c>
      <c r="T2222" s="351"/>
      <c r="U2222" s="168"/>
      <c r="V2222" s="168"/>
      <c r="W2222" s="312" t="s">
        <v>12541</v>
      </c>
      <c r="X2222" s="644" t="s">
        <v>12466</v>
      </c>
      <c r="Y2222" s="352" t="s">
        <v>5643</v>
      </c>
      <c r="Z2222" s="353">
        <v>216</v>
      </c>
      <c r="AA2222" s="353">
        <v>6</v>
      </c>
      <c r="AB2222" s="40">
        <f t="shared" ca="1" si="47"/>
        <v>0.88686987875426082</v>
      </c>
      <c r="AC2222" s="810"/>
      <c r="AD2222" s="811"/>
      <c r="AE2222" s="940"/>
      <c r="AF2222" s="920">
        <f>IF(X2222=X2221,AF2221,0)+IF(ISNUMBER(I2222),IF(I2222&lt;1,I2222,I2222*VLOOKUP(J2222,Summary!$H$2:$I$9,2)),VLOOKUP(J2222,Summary!$J$2:$K$9,2)*IF(ISNUMBER(H2222),H2222,1))</f>
        <v>9.7152777777777768E-2</v>
      </c>
      <c r="AG2222" s="287">
        <v>2221</v>
      </c>
      <c r="AH2222" s="94"/>
      <c r="AI2222" s="94"/>
      <c r="AJ2222" s="22"/>
    </row>
    <row r="2223" spans="1:36" s="3" customFormat="1" ht="12" customHeight="1" x14ac:dyDescent="0.25">
      <c r="A2223" s="527" t="s">
        <v>10691</v>
      </c>
      <c r="B2223" s="527">
        <v>6</v>
      </c>
      <c r="C2223" s="527">
        <v>193</v>
      </c>
      <c r="D2223" s="407"/>
      <c r="E2223" s="315" t="s">
        <v>9382</v>
      </c>
      <c r="F2223" s="196">
        <v>41954</v>
      </c>
      <c r="G2223" s="170"/>
      <c r="H2223" s="170">
        <v>4</v>
      </c>
      <c r="I2223" s="746">
        <f>TIME(2,13,2)</f>
        <v>9.2384259259259263E-2</v>
      </c>
      <c r="J2223" s="899" t="s">
        <v>4706</v>
      </c>
      <c r="K2223" s="167" t="s">
        <v>9385</v>
      </c>
      <c r="L2223" s="167" t="s">
        <v>4549</v>
      </c>
      <c r="M2223" s="167"/>
      <c r="N2223" s="167"/>
      <c r="O2223" s="167" t="s">
        <v>2500</v>
      </c>
      <c r="P2223" s="168" t="s">
        <v>9386</v>
      </c>
      <c r="Q2223" s="167" t="s">
        <v>3947</v>
      </c>
      <c r="R2223" s="172" t="s">
        <v>3146</v>
      </c>
      <c r="S2223" s="388" t="s">
        <v>2319</v>
      </c>
      <c r="T2223" s="351"/>
      <c r="U2223" s="168"/>
      <c r="V2223" s="168"/>
      <c r="W2223" s="312" t="s">
        <v>12179</v>
      </c>
      <c r="X2223" s="644" t="s">
        <v>12466</v>
      </c>
      <c r="Y2223" s="352" t="s">
        <v>5643</v>
      </c>
      <c r="Z2223" s="353">
        <v>326</v>
      </c>
      <c r="AA2223" s="353">
        <v>5</v>
      </c>
      <c r="AB2223" s="40">
        <f t="shared" ca="1" si="47"/>
        <v>0.1749538375482953</v>
      </c>
      <c r="AC2223" s="810"/>
      <c r="AD2223" s="811"/>
      <c r="AE2223" s="940"/>
      <c r="AF2223" s="920">
        <f>IF(X2223=X2222,AF2222,0)+IF(ISNUMBER(I2223),IF(I2223&lt;1,I2223,I2223*VLOOKUP(J2223,Summary!$H$2:$I$9,2)),VLOOKUP(J2223,Summary!$J$2:$K$9,2)*IF(ISNUMBER(H2223),H2223,1))</f>
        <v>0.18953703703703703</v>
      </c>
      <c r="AG2223" s="287">
        <v>2222</v>
      </c>
      <c r="AH2223" s="94"/>
      <c r="AI2223" s="94"/>
    </row>
    <row r="2224" spans="1:36" s="1" customFormat="1" ht="12" customHeight="1" x14ac:dyDescent="0.25">
      <c r="A2224" s="527" t="s">
        <v>10691</v>
      </c>
      <c r="B2224" s="527">
        <v>6</v>
      </c>
      <c r="C2224" s="527">
        <v>194</v>
      </c>
      <c r="D2224" s="407"/>
      <c r="E2224" s="315" t="s">
        <v>9383</v>
      </c>
      <c r="F2224" s="196">
        <v>41990</v>
      </c>
      <c r="G2224" s="170"/>
      <c r="H2224" s="170">
        <v>4</v>
      </c>
      <c r="I2224" s="746">
        <f>TIME(1,47,37)</f>
        <v>7.4733796296296298E-2</v>
      </c>
      <c r="J2224" s="899" t="s">
        <v>4706</v>
      </c>
      <c r="K2224" s="167" t="s">
        <v>543</v>
      </c>
      <c r="L2224" s="167" t="s">
        <v>2313</v>
      </c>
      <c r="M2224" s="167"/>
      <c r="N2224" s="167"/>
      <c r="O2224" s="167" t="s">
        <v>2500</v>
      </c>
      <c r="P2224" s="168" t="s">
        <v>9387</v>
      </c>
      <c r="Q2224" s="167" t="s">
        <v>3947</v>
      </c>
      <c r="R2224" s="172" t="s">
        <v>3146</v>
      </c>
      <c r="S2224" s="388" t="s">
        <v>2319</v>
      </c>
      <c r="T2224" s="351"/>
      <c r="U2224" s="168"/>
      <c r="V2224" s="168"/>
      <c r="W2224" s="312" t="s">
        <v>12555</v>
      </c>
      <c r="X2224" s="644" t="s">
        <v>12466</v>
      </c>
      <c r="Y2224" s="352" t="s">
        <v>5643</v>
      </c>
      <c r="Z2224" s="353">
        <v>534</v>
      </c>
      <c r="AA2224" s="353">
        <v>4</v>
      </c>
      <c r="AB2224" s="40">
        <f t="shared" ca="1" si="47"/>
        <v>0.8183913915423624</v>
      </c>
      <c r="AC2224" s="810"/>
      <c r="AD2224" s="811"/>
      <c r="AE2224" s="940"/>
      <c r="AF2224" s="920">
        <f>IF(X2224=X2223,AF2223,0)+IF(ISNUMBER(I2224),IF(I2224&lt;1,I2224,I2224*VLOOKUP(J2224,Summary!$H$2:$I$9,2)),VLOOKUP(J2224,Summary!$J$2:$K$9,2)*IF(ISNUMBER(H2224),H2224,1))</f>
        <v>0.26427083333333334</v>
      </c>
      <c r="AG2224" s="287">
        <v>2223</v>
      </c>
      <c r="AH2224" s="94"/>
      <c r="AI2224" s="94"/>
    </row>
    <row r="2225" spans="1:36" s="6" customFormat="1" ht="12" customHeight="1" x14ac:dyDescent="0.25">
      <c r="A2225" s="522" t="s">
        <v>10691</v>
      </c>
      <c r="B2225" s="522">
        <v>6</v>
      </c>
      <c r="C2225" s="528">
        <v>6.13</v>
      </c>
      <c r="D2225" s="434" t="s">
        <v>6665</v>
      </c>
      <c r="E2225" s="324" t="s">
        <v>537</v>
      </c>
      <c r="F2225" s="174">
        <v>37773</v>
      </c>
      <c r="G2225" s="174"/>
      <c r="H2225" s="176">
        <v>1</v>
      </c>
      <c r="I2225" s="176">
        <v>13</v>
      </c>
      <c r="J2225" s="900" t="s">
        <v>2755</v>
      </c>
      <c r="K2225" s="164" t="s">
        <v>3800</v>
      </c>
      <c r="L2225" s="164" t="s">
        <v>461</v>
      </c>
      <c r="M2225" s="164"/>
      <c r="N2225" s="164" t="s">
        <v>4996</v>
      </c>
      <c r="O2225" s="164"/>
      <c r="P2225" s="173" t="s">
        <v>4997</v>
      </c>
      <c r="Q2225" s="164" t="s">
        <v>3947</v>
      </c>
      <c r="R2225" s="179" t="s">
        <v>2723</v>
      </c>
      <c r="S2225" s="354"/>
      <c r="T2225" s="393"/>
      <c r="U2225" s="173"/>
      <c r="V2225" s="173"/>
      <c r="W2225" s="324" t="s">
        <v>537</v>
      </c>
      <c r="X2225" s="656" t="s">
        <v>12466</v>
      </c>
      <c r="Y2225" s="363"/>
      <c r="Z2225" s="364">
        <v>999</v>
      </c>
      <c r="AA2225" s="364"/>
      <c r="AB2225" s="32">
        <f t="shared" ca="1" si="47"/>
        <v>0.62092701183409793</v>
      </c>
      <c r="AC2225" s="812"/>
      <c r="AD2225" s="763"/>
      <c r="AE2225" s="951"/>
      <c r="AF2225" s="921">
        <f>IF(X2225=X2224,AF2224,0)+IF(ISNUMBER(I2225),IF(I2225&lt;1,I2225,I2225*VLOOKUP(J2225,Summary!$H$2:$I$9,2)),VLOOKUP(J2225,Summary!$J$2:$K$9,2)*IF(ISNUMBER(H2225),H2225,1))</f>
        <v>0.27329861111111114</v>
      </c>
      <c r="AG2225" s="288">
        <v>2224</v>
      </c>
      <c r="AH2225" s="94"/>
      <c r="AI2225" s="94"/>
      <c r="AJ2225" s="2"/>
    </row>
    <row r="2226" spans="1:36" s="6" customFormat="1" ht="12" customHeight="1" x14ac:dyDescent="0.25">
      <c r="A2226" s="522" t="s">
        <v>10691</v>
      </c>
      <c r="B2226" s="522">
        <v>6</v>
      </c>
      <c r="C2226" s="528">
        <v>7.01</v>
      </c>
      <c r="D2226" s="434" t="s">
        <v>6666</v>
      </c>
      <c r="E2226" s="324" t="s">
        <v>6667</v>
      </c>
      <c r="F2226" s="174">
        <v>37865</v>
      </c>
      <c r="G2226" s="174"/>
      <c r="H2226" s="176">
        <v>1</v>
      </c>
      <c r="I2226" s="176">
        <v>15</v>
      </c>
      <c r="J2226" s="900" t="s">
        <v>2755</v>
      </c>
      <c r="K2226" s="164" t="s">
        <v>3800</v>
      </c>
      <c r="L2226" s="164" t="s">
        <v>461</v>
      </c>
      <c r="M2226" s="164"/>
      <c r="N2226" s="164" t="s">
        <v>4552</v>
      </c>
      <c r="O2226" s="164"/>
      <c r="P2226" s="173" t="s">
        <v>6281</v>
      </c>
      <c r="Q2226" s="164" t="s">
        <v>3947</v>
      </c>
      <c r="R2226" s="179" t="s">
        <v>2723</v>
      </c>
      <c r="S2226" s="354"/>
      <c r="T2226" s="393"/>
      <c r="U2226" s="173"/>
      <c r="V2226" s="173"/>
      <c r="W2226" s="324" t="s">
        <v>6667</v>
      </c>
      <c r="X2226" s="656" t="s">
        <v>12466</v>
      </c>
      <c r="Y2226" s="363"/>
      <c r="Z2226" s="364"/>
      <c r="AA2226" s="364"/>
      <c r="AB2226" s="32">
        <f t="shared" ca="1" si="47"/>
        <v>0.57168972399748408</v>
      </c>
      <c r="AC2226" s="812"/>
      <c r="AD2226" s="763"/>
      <c r="AE2226" s="951"/>
      <c r="AF2226" s="921">
        <f>IF(X2226=X2225,AF2225,0)+IF(ISNUMBER(I2226),IF(I2226&lt;1,I2226,I2226*VLOOKUP(J2226,Summary!$H$2:$I$9,2)),VLOOKUP(J2226,Summary!$J$2:$K$9,2)*IF(ISNUMBER(H2226),H2226,1))</f>
        <v>0.28371527777777783</v>
      </c>
      <c r="AG2226" s="288">
        <v>2225</v>
      </c>
      <c r="AH2226" s="94"/>
      <c r="AI2226" s="94"/>
    </row>
    <row r="2227" spans="1:36" s="6" customFormat="1" ht="12" customHeight="1" x14ac:dyDescent="0.25">
      <c r="A2227" s="405" t="s">
        <v>10767</v>
      </c>
      <c r="B2227" s="406" t="s">
        <v>4451</v>
      </c>
      <c r="C2227" s="405">
        <v>11.1</v>
      </c>
      <c r="D2227" s="407" t="s">
        <v>10778</v>
      </c>
      <c r="E2227" s="315" t="s">
        <v>10789</v>
      </c>
      <c r="F2227" s="196">
        <v>42488</v>
      </c>
      <c r="G2227" s="170"/>
      <c r="H2227" s="170">
        <v>1</v>
      </c>
      <c r="I2227" s="747">
        <f t="shared" ref="I2227:I2239" si="49">TIME(0,60,0)</f>
        <v>4.1666666666666664E-2</v>
      </c>
      <c r="J2227" s="899" t="s">
        <v>4706</v>
      </c>
      <c r="K2227" s="167" t="s">
        <v>7757</v>
      </c>
      <c r="L2227" s="167" t="s">
        <v>5662</v>
      </c>
      <c r="M2227" s="167"/>
      <c r="N2227" s="167"/>
      <c r="O2227" s="167"/>
      <c r="P2227" s="168" t="s">
        <v>10776</v>
      </c>
      <c r="Q2227" s="167" t="s">
        <v>3947</v>
      </c>
      <c r="R2227" s="172" t="s">
        <v>5286</v>
      </c>
      <c r="S2227" s="388"/>
      <c r="T2227" s="167"/>
      <c r="U2227" s="168" t="s">
        <v>5287</v>
      </c>
      <c r="V2227" s="168" t="s">
        <v>5288</v>
      </c>
      <c r="W2227" s="312" t="s">
        <v>10789</v>
      </c>
      <c r="X2227" s="644" t="s">
        <v>12466</v>
      </c>
      <c r="Y2227" s="352"/>
      <c r="Z2227" s="353"/>
      <c r="AA2227" s="353"/>
      <c r="AB2227" s="31">
        <f t="shared" ca="1" si="47"/>
        <v>0.17601803959465523</v>
      </c>
      <c r="AC2227" s="810"/>
      <c r="AD2227" s="825" t="s">
        <v>14977</v>
      </c>
      <c r="AE2227" s="940"/>
      <c r="AF2227" s="920">
        <f>IF(X2227=X2226,AF2226,0)+IF(ISNUMBER(I2227),IF(I2227&lt;1,I2227,I2227*VLOOKUP(J2227,Summary!$H$2:$I$9,2)),VLOOKUP(J2227,Summary!$J$2:$K$9,2)*IF(ISNUMBER(H2227),H2227,1))</f>
        <v>0.32538194444444452</v>
      </c>
      <c r="AG2227" s="287">
        <v>2226</v>
      </c>
      <c r="AH2227" s="94"/>
      <c r="AI2227" s="94"/>
      <c r="AJ2227" s="43"/>
    </row>
    <row r="2228" spans="1:36" s="3" customFormat="1" ht="12" customHeight="1" x14ac:dyDescent="0.25">
      <c r="A2228" s="405" t="s">
        <v>10767</v>
      </c>
      <c r="B2228" s="406" t="s">
        <v>4451</v>
      </c>
      <c r="C2228" s="405">
        <v>11.2</v>
      </c>
      <c r="D2228" s="407" t="s">
        <v>10779</v>
      </c>
      <c r="E2228" s="315" t="s">
        <v>10790</v>
      </c>
      <c r="F2228" s="196">
        <v>42488</v>
      </c>
      <c r="G2228" s="170"/>
      <c r="H2228" s="170">
        <v>1</v>
      </c>
      <c r="I2228" s="747">
        <f t="shared" si="49"/>
        <v>4.1666666666666664E-2</v>
      </c>
      <c r="J2228" s="899" t="s">
        <v>4706</v>
      </c>
      <c r="K2228" s="167" t="s">
        <v>7802</v>
      </c>
      <c r="L2228" s="167" t="s">
        <v>5662</v>
      </c>
      <c r="M2228" s="167"/>
      <c r="N2228" s="167"/>
      <c r="O2228" s="167"/>
      <c r="P2228" s="168" t="s">
        <v>10776</v>
      </c>
      <c r="Q2228" s="167" t="s">
        <v>3947</v>
      </c>
      <c r="R2228" s="172" t="s">
        <v>5286</v>
      </c>
      <c r="S2228" s="388"/>
      <c r="T2228" s="167"/>
      <c r="U2228" s="168" t="s">
        <v>5287</v>
      </c>
      <c r="V2228" s="168" t="s">
        <v>5288</v>
      </c>
      <c r="W2228" s="312" t="s">
        <v>10790</v>
      </c>
      <c r="X2228" s="644" t="s">
        <v>12466</v>
      </c>
      <c r="Y2228" s="352"/>
      <c r="Z2228" s="353"/>
      <c r="AA2228" s="353"/>
      <c r="AB2228" s="31">
        <f t="shared" ca="1" si="47"/>
        <v>0.73766856416911619</v>
      </c>
      <c r="AC2228" s="810"/>
      <c r="AD2228" s="825" t="s">
        <v>14977</v>
      </c>
      <c r="AE2228" s="940"/>
      <c r="AF2228" s="920">
        <f>IF(X2228=X2227,AF2227,0)+IF(ISNUMBER(I2228),IF(I2228&lt;1,I2228,I2228*VLOOKUP(J2228,Summary!$H$2:$I$9,2)),VLOOKUP(J2228,Summary!$J$2:$K$9,2)*IF(ISNUMBER(H2228),H2228,1))</f>
        <v>0.3670486111111112</v>
      </c>
      <c r="AG2228" s="287">
        <v>2227</v>
      </c>
      <c r="AH2228" s="94"/>
      <c r="AI2228" s="94"/>
      <c r="AJ2228" s="6"/>
    </row>
    <row r="2229" spans="1:36" s="3" customFormat="1" ht="12" customHeight="1" x14ac:dyDescent="0.25">
      <c r="A2229" s="405" t="s">
        <v>10767</v>
      </c>
      <c r="B2229" s="406" t="s">
        <v>4451</v>
      </c>
      <c r="C2229" s="405">
        <v>11.3</v>
      </c>
      <c r="D2229" s="407" t="s">
        <v>10780</v>
      </c>
      <c r="E2229" s="315" t="s">
        <v>10791</v>
      </c>
      <c r="F2229" s="196">
        <v>42488</v>
      </c>
      <c r="G2229" s="170"/>
      <c r="H2229" s="170">
        <v>1</v>
      </c>
      <c r="I2229" s="747">
        <f t="shared" si="49"/>
        <v>4.1666666666666664E-2</v>
      </c>
      <c r="J2229" s="899" t="s">
        <v>4706</v>
      </c>
      <c r="K2229" s="167" t="s">
        <v>2983</v>
      </c>
      <c r="L2229" s="167" t="s">
        <v>5662</v>
      </c>
      <c r="M2229" s="167"/>
      <c r="N2229" s="167"/>
      <c r="O2229" s="167"/>
      <c r="P2229" s="168" t="s">
        <v>10776</v>
      </c>
      <c r="Q2229" s="167" t="s">
        <v>3947</v>
      </c>
      <c r="R2229" s="172" t="s">
        <v>5286</v>
      </c>
      <c r="S2229" s="388"/>
      <c r="T2229" s="167"/>
      <c r="U2229" s="168" t="s">
        <v>5287</v>
      </c>
      <c r="V2229" s="168" t="s">
        <v>5288</v>
      </c>
      <c r="W2229" s="312" t="s">
        <v>10791</v>
      </c>
      <c r="X2229" s="644" t="s">
        <v>12466</v>
      </c>
      <c r="Y2229" s="352"/>
      <c r="Z2229" s="353"/>
      <c r="AA2229" s="353"/>
      <c r="AB2229" s="31">
        <f t="shared" ca="1" si="47"/>
        <v>0.85863085481548318</v>
      </c>
      <c r="AC2229" s="810"/>
      <c r="AD2229" s="825" t="s">
        <v>14977</v>
      </c>
      <c r="AE2229" s="940"/>
      <c r="AF2229" s="920">
        <f>IF(X2229=X2228,AF2228,0)+IF(ISNUMBER(I2229),IF(I2229&lt;1,I2229,I2229*VLOOKUP(J2229,Summary!$H$2:$I$9,2)),VLOOKUP(J2229,Summary!$J$2:$K$9,2)*IF(ISNUMBER(H2229),H2229,1))</f>
        <v>0.40871527777777789</v>
      </c>
      <c r="AG2229" s="287">
        <v>2228</v>
      </c>
      <c r="AH2229" s="94"/>
      <c r="AI2229" s="94"/>
      <c r="AJ2229" s="2"/>
    </row>
    <row r="2230" spans="1:36" s="6" customFormat="1" ht="12" customHeight="1" x14ac:dyDescent="0.25">
      <c r="A2230" s="527" t="s">
        <v>10767</v>
      </c>
      <c r="B2230" s="527">
        <v>6</v>
      </c>
      <c r="C2230" s="527">
        <v>11.4</v>
      </c>
      <c r="D2230" s="407" t="s">
        <v>10781</v>
      </c>
      <c r="E2230" s="315" t="s">
        <v>10792</v>
      </c>
      <c r="F2230" s="196">
        <v>42488</v>
      </c>
      <c r="G2230" s="170"/>
      <c r="H2230" s="170">
        <v>1</v>
      </c>
      <c r="I2230" s="747">
        <f t="shared" si="49"/>
        <v>4.1666666666666664E-2</v>
      </c>
      <c r="J2230" s="899" t="s">
        <v>4706</v>
      </c>
      <c r="K2230" s="167" t="s">
        <v>543</v>
      </c>
      <c r="L2230" s="167" t="s">
        <v>5662</v>
      </c>
      <c r="M2230" s="167"/>
      <c r="N2230" s="167"/>
      <c r="O2230" s="167"/>
      <c r="P2230" s="168" t="s">
        <v>10776</v>
      </c>
      <c r="Q2230" s="167" t="s">
        <v>3947</v>
      </c>
      <c r="R2230" s="172" t="s">
        <v>5286</v>
      </c>
      <c r="S2230" s="388"/>
      <c r="T2230" s="167"/>
      <c r="U2230" s="168" t="s">
        <v>5287</v>
      </c>
      <c r="V2230" s="168" t="s">
        <v>5288</v>
      </c>
      <c r="W2230" s="312" t="s">
        <v>10792</v>
      </c>
      <c r="X2230" s="644" t="s">
        <v>12466</v>
      </c>
      <c r="Y2230" s="352"/>
      <c r="Z2230" s="353"/>
      <c r="AA2230" s="353"/>
      <c r="AB2230" s="31">
        <f t="shared" ca="1" si="47"/>
        <v>0.24087759434731637</v>
      </c>
      <c r="AC2230" s="810"/>
      <c r="AD2230" s="825" t="s">
        <v>14977</v>
      </c>
      <c r="AE2230" s="940"/>
      <c r="AF2230" s="920">
        <f>IF(X2230=X2229,AF2229,0)+IF(ISNUMBER(I2230),IF(I2230&lt;1,I2230,I2230*VLOOKUP(J2230,Summary!$H$2:$I$9,2)),VLOOKUP(J2230,Summary!$J$2:$K$9,2)*IF(ISNUMBER(H2230),H2230,1))</f>
        <v>0.45038194444444457</v>
      </c>
      <c r="AG2230" s="287">
        <v>2229</v>
      </c>
      <c r="AH2230" s="94"/>
      <c r="AI2230" s="94"/>
    </row>
    <row r="2231" spans="1:36" s="6" customFormat="1" ht="12" customHeight="1" x14ac:dyDescent="0.25">
      <c r="A2231" s="405" t="s">
        <v>10777</v>
      </c>
      <c r="B2231" s="406" t="s">
        <v>4451</v>
      </c>
      <c r="C2231" s="405">
        <v>12.1</v>
      </c>
      <c r="D2231" s="407" t="s">
        <v>10783</v>
      </c>
      <c r="E2231" s="315" t="s">
        <v>10793</v>
      </c>
      <c r="F2231" s="196">
        <v>42669</v>
      </c>
      <c r="G2231" s="170"/>
      <c r="H2231" s="170">
        <v>1</v>
      </c>
      <c r="I2231" s="747">
        <f t="shared" si="49"/>
        <v>4.1666666666666664E-2</v>
      </c>
      <c r="J2231" s="899" t="s">
        <v>4706</v>
      </c>
      <c r="K2231" s="167" t="s">
        <v>543</v>
      </c>
      <c r="L2231" s="167" t="s">
        <v>5662</v>
      </c>
      <c r="M2231" s="167"/>
      <c r="N2231" s="167"/>
      <c r="O2231" s="167"/>
      <c r="P2231" s="168" t="s">
        <v>10782</v>
      </c>
      <c r="Q2231" s="167" t="s">
        <v>3947</v>
      </c>
      <c r="R2231" s="172" t="s">
        <v>5286</v>
      </c>
      <c r="S2231" s="388"/>
      <c r="T2231" s="157"/>
      <c r="U2231" s="168" t="s">
        <v>5287</v>
      </c>
      <c r="V2231" s="168" t="s">
        <v>5288</v>
      </c>
      <c r="W2231" s="312" t="s">
        <v>10793</v>
      </c>
      <c r="X2231" s="644" t="s">
        <v>12466</v>
      </c>
      <c r="Y2231" s="352"/>
      <c r="Z2231" s="353"/>
      <c r="AA2231" s="353"/>
      <c r="AB2231" s="31">
        <f t="shared" ca="1" si="47"/>
        <v>0.12242766012223616</v>
      </c>
      <c r="AC2231" s="810"/>
      <c r="AD2231" s="811"/>
      <c r="AE2231" s="940"/>
      <c r="AF2231" s="920">
        <f>IF(X2231=X2230,AF2230,0)+IF(ISNUMBER(I2231),IF(I2231&lt;1,I2231,I2231*VLOOKUP(J2231,Summary!$H$2:$I$9,2)),VLOOKUP(J2231,Summary!$J$2:$K$9,2)*IF(ISNUMBER(H2231),H2231,1))</f>
        <v>0.49204861111111126</v>
      </c>
      <c r="AG2231" s="287">
        <v>2230</v>
      </c>
      <c r="AH2231" s="94"/>
      <c r="AI2231" s="94"/>
      <c r="AJ2231" s="2"/>
    </row>
    <row r="2232" spans="1:36" s="6" customFormat="1" ht="12" customHeight="1" x14ac:dyDescent="0.25">
      <c r="A2232" s="405" t="s">
        <v>10777</v>
      </c>
      <c r="B2232" s="406" t="s">
        <v>4451</v>
      </c>
      <c r="C2232" s="405">
        <v>12.2</v>
      </c>
      <c r="D2232" s="407" t="s">
        <v>10784</v>
      </c>
      <c r="E2232" s="315" t="s">
        <v>10794</v>
      </c>
      <c r="F2232" s="196">
        <v>42669</v>
      </c>
      <c r="G2232" s="170"/>
      <c r="H2232" s="170">
        <v>1</v>
      </c>
      <c r="I2232" s="747">
        <f t="shared" si="49"/>
        <v>4.1666666666666664E-2</v>
      </c>
      <c r="J2232" s="899" t="s">
        <v>4706</v>
      </c>
      <c r="K2232" s="167" t="s">
        <v>2983</v>
      </c>
      <c r="L2232" s="167" t="s">
        <v>5662</v>
      </c>
      <c r="M2232" s="167"/>
      <c r="N2232" s="167"/>
      <c r="O2232" s="167"/>
      <c r="P2232" s="168" t="s">
        <v>10782</v>
      </c>
      <c r="Q2232" s="167" t="s">
        <v>3947</v>
      </c>
      <c r="R2232" s="172" t="s">
        <v>5286</v>
      </c>
      <c r="S2232" s="388"/>
      <c r="T2232" s="157"/>
      <c r="U2232" s="168" t="s">
        <v>5287</v>
      </c>
      <c r="V2232" s="168" t="s">
        <v>5288</v>
      </c>
      <c r="W2232" s="312" t="s">
        <v>10794</v>
      </c>
      <c r="X2232" s="644" t="s">
        <v>12466</v>
      </c>
      <c r="Y2232" s="352"/>
      <c r="Z2232" s="353"/>
      <c r="AA2232" s="353"/>
      <c r="AB2232" s="31">
        <f t="shared" ca="1" si="47"/>
        <v>0.16039638436774428</v>
      </c>
      <c r="AC2232" s="810"/>
      <c r="AD2232" s="811"/>
      <c r="AE2232" s="940"/>
      <c r="AF2232" s="920">
        <f>IF(X2232=X2231,AF2231,0)+IF(ISNUMBER(I2232),IF(I2232&lt;1,I2232,I2232*VLOOKUP(J2232,Summary!$H$2:$I$9,2)),VLOOKUP(J2232,Summary!$J$2:$K$9,2)*IF(ISNUMBER(H2232),H2232,1))</f>
        <v>0.53371527777777794</v>
      </c>
      <c r="AG2232" s="287">
        <v>2231</v>
      </c>
      <c r="AH2232" s="94"/>
      <c r="AI2232" s="94"/>
    </row>
    <row r="2233" spans="1:36" s="6" customFormat="1" ht="12" customHeight="1" x14ac:dyDescent="0.25">
      <c r="A2233" s="405" t="s">
        <v>10777</v>
      </c>
      <c r="B2233" s="406" t="s">
        <v>4451</v>
      </c>
      <c r="C2233" s="405">
        <v>12.3</v>
      </c>
      <c r="D2233" s="407" t="s">
        <v>10785</v>
      </c>
      <c r="E2233" s="315" t="s">
        <v>10795</v>
      </c>
      <c r="F2233" s="196">
        <v>42669</v>
      </c>
      <c r="G2233" s="170"/>
      <c r="H2233" s="170">
        <v>1</v>
      </c>
      <c r="I2233" s="747">
        <f t="shared" si="49"/>
        <v>4.1666666666666664E-2</v>
      </c>
      <c r="J2233" s="899" t="s">
        <v>4706</v>
      </c>
      <c r="K2233" s="167" t="s">
        <v>10797</v>
      </c>
      <c r="L2233" s="167" t="s">
        <v>5662</v>
      </c>
      <c r="M2233" s="167"/>
      <c r="N2233" s="167"/>
      <c r="O2233" s="167"/>
      <c r="P2233" s="168" t="s">
        <v>10782</v>
      </c>
      <c r="Q2233" s="167" t="s">
        <v>3947</v>
      </c>
      <c r="R2233" s="172" t="s">
        <v>5286</v>
      </c>
      <c r="S2233" s="388"/>
      <c r="T2233" s="167"/>
      <c r="U2233" s="168" t="s">
        <v>5287</v>
      </c>
      <c r="V2233" s="168" t="s">
        <v>5288</v>
      </c>
      <c r="W2233" s="312" t="s">
        <v>10795</v>
      </c>
      <c r="X2233" s="644" t="s">
        <v>12466</v>
      </c>
      <c r="Y2233" s="352"/>
      <c r="Z2233" s="353"/>
      <c r="AA2233" s="353"/>
      <c r="AB2233" s="31">
        <f t="shared" ca="1" si="47"/>
        <v>0.24955835035813145</v>
      </c>
      <c r="AC2233" s="810"/>
      <c r="AD2233" s="811"/>
      <c r="AE2233" s="940"/>
      <c r="AF2233" s="920">
        <f>IF(X2233=X2232,AF2232,0)+IF(ISNUMBER(I2233),IF(I2233&lt;1,I2233,I2233*VLOOKUP(J2233,Summary!$H$2:$I$9,2)),VLOOKUP(J2233,Summary!$J$2:$K$9,2)*IF(ISNUMBER(H2233),H2233,1))</f>
        <v>0.57538194444444457</v>
      </c>
      <c r="AG2233" s="287">
        <v>2232</v>
      </c>
      <c r="AH2233" s="94"/>
      <c r="AI2233" s="94"/>
      <c r="AJ2233" s="43"/>
    </row>
    <row r="2234" spans="1:36" s="6" customFormat="1" ht="12" customHeight="1" x14ac:dyDescent="0.25">
      <c r="A2234" s="405" t="s">
        <v>10777</v>
      </c>
      <c r="B2234" s="406" t="s">
        <v>4451</v>
      </c>
      <c r="C2234" s="405">
        <v>12.4</v>
      </c>
      <c r="D2234" s="407" t="s">
        <v>10786</v>
      </c>
      <c r="E2234" s="315" t="s">
        <v>10796</v>
      </c>
      <c r="F2234" s="196">
        <v>42669</v>
      </c>
      <c r="G2234" s="170"/>
      <c r="H2234" s="170">
        <v>1</v>
      </c>
      <c r="I2234" s="747">
        <f t="shared" si="49"/>
        <v>4.1666666666666664E-2</v>
      </c>
      <c r="J2234" s="899" t="s">
        <v>4706</v>
      </c>
      <c r="K2234" s="167" t="s">
        <v>543</v>
      </c>
      <c r="L2234" s="167" t="s">
        <v>5662</v>
      </c>
      <c r="M2234" s="167"/>
      <c r="N2234" s="167"/>
      <c r="O2234" s="167"/>
      <c r="P2234" s="168" t="s">
        <v>10782</v>
      </c>
      <c r="Q2234" s="167" t="s">
        <v>3947</v>
      </c>
      <c r="R2234" s="172" t="s">
        <v>5286</v>
      </c>
      <c r="S2234" s="388"/>
      <c r="T2234" s="167"/>
      <c r="U2234" s="168" t="s">
        <v>5287</v>
      </c>
      <c r="V2234" s="168" t="s">
        <v>5288</v>
      </c>
      <c r="W2234" s="312" t="s">
        <v>10796</v>
      </c>
      <c r="X2234" s="644" t="s">
        <v>12466</v>
      </c>
      <c r="Y2234" s="352"/>
      <c r="Z2234" s="353"/>
      <c r="AA2234" s="353"/>
      <c r="AB2234" s="31">
        <f t="shared" ca="1" si="47"/>
        <v>0.4782818340163687</v>
      </c>
      <c r="AC2234" s="810"/>
      <c r="AD2234" s="811"/>
      <c r="AE2234" s="940"/>
      <c r="AF2234" s="920">
        <f>IF(X2234=X2233,AF2233,0)+IF(ISNUMBER(I2234),IF(I2234&lt;1,I2234,I2234*VLOOKUP(J2234,Summary!$H$2:$I$9,2)),VLOOKUP(J2234,Summary!$J$2:$K$9,2)*IF(ISNUMBER(H2234),H2234,1))</f>
        <v>0.6170486111111112</v>
      </c>
      <c r="AG2234" s="287">
        <v>2233</v>
      </c>
      <c r="AH2234" s="94"/>
      <c r="AI2234" s="94"/>
      <c r="AJ2234" s="2"/>
    </row>
    <row r="2235" spans="1:36" s="6" customFormat="1" ht="12" customHeight="1" x14ac:dyDescent="0.25">
      <c r="A2235" s="405" t="s">
        <v>12858</v>
      </c>
      <c r="B2235" s="406" t="s">
        <v>4451</v>
      </c>
      <c r="C2235" s="405">
        <v>13.1</v>
      </c>
      <c r="D2235" s="407" t="s">
        <v>12859</v>
      </c>
      <c r="E2235" s="315" t="s">
        <v>1113</v>
      </c>
      <c r="F2235" s="196">
        <v>42849</v>
      </c>
      <c r="G2235" s="170"/>
      <c r="H2235" s="170">
        <v>1</v>
      </c>
      <c r="I2235" s="747">
        <f t="shared" si="49"/>
        <v>4.1666666666666664E-2</v>
      </c>
      <c r="J2235" s="899" t="s">
        <v>4706</v>
      </c>
      <c r="K2235" s="167" t="s">
        <v>10797</v>
      </c>
      <c r="L2235" s="167" t="s">
        <v>5662</v>
      </c>
      <c r="M2235" s="167"/>
      <c r="N2235" s="167"/>
      <c r="O2235" s="167" t="s">
        <v>3295</v>
      </c>
      <c r="P2235" s="168" t="s">
        <v>12866</v>
      </c>
      <c r="Q2235" s="167" t="s">
        <v>3947</v>
      </c>
      <c r="R2235" s="172" t="s">
        <v>5286</v>
      </c>
      <c r="S2235" s="388"/>
      <c r="T2235" s="157"/>
      <c r="U2235" s="168" t="s">
        <v>5287</v>
      </c>
      <c r="V2235" s="168" t="s">
        <v>5288</v>
      </c>
      <c r="W2235" s="312" t="s">
        <v>1113</v>
      </c>
      <c r="X2235" s="644" t="s">
        <v>12466</v>
      </c>
      <c r="Y2235" s="352"/>
      <c r="Z2235" s="353"/>
      <c r="AA2235" s="353"/>
      <c r="AB2235" s="31">
        <f t="shared" ca="1" si="47"/>
        <v>0.88686614524915097</v>
      </c>
      <c r="AC2235" s="810"/>
      <c r="AD2235" s="811"/>
      <c r="AE2235" s="940"/>
      <c r="AF2235" s="920">
        <f>IF(X2235=X2234,AF2234,0)+IF(ISNUMBER(I2235),IF(I2235&lt;1,I2235,I2235*VLOOKUP(J2235,Summary!$H$2:$I$9,2)),VLOOKUP(J2235,Summary!$J$2:$K$9,2)*IF(ISNUMBER(H2235),H2235,1))</f>
        <v>0.65871527777777783</v>
      </c>
      <c r="AG2235" s="287">
        <v>2234</v>
      </c>
      <c r="AH2235" s="94"/>
      <c r="AI2235" s="94"/>
      <c r="AJ2235" s="3"/>
    </row>
    <row r="2236" spans="1:36" s="6" customFormat="1" ht="12" customHeight="1" x14ac:dyDescent="0.25">
      <c r="A2236" s="405" t="s">
        <v>12858</v>
      </c>
      <c r="B2236" s="406" t="s">
        <v>4451</v>
      </c>
      <c r="C2236" s="405">
        <v>13.2</v>
      </c>
      <c r="D2236" s="407" t="s">
        <v>12860</v>
      </c>
      <c r="E2236" s="315" t="s">
        <v>12863</v>
      </c>
      <c r="F2236" s="196">
        <v>42849</v>
      </c>
      <c r="G2236" s="170"/>
      <c r="H2236" s="170">
        <v>1</v>
      </c>
      <c r="I2236" s="747">
        <f t="shared" si="49"/>
        <v>4.1666666666666664E-2</v>
      </c>
      <c r="J2236" s="899" t="s">
        <v>4706</v>
      </c>
      <c r="K2236" s="167" t="s">
        <v>8131</v>
      </c>
      <c r="L2236" s="167" t="s">
        <v>5662</v>
      </c>
      <c r="M2236" s="167"/>
      <c r="N2236" s="167"/>
      <c r="O2236" s="167" t="s">
        <v>3295</v>
      </c>
      <c r="P2236" s="168" t="s">
        <v>12866</v>
      </c>
      <c r="Q2236" s="167" t="s">
        <v>3947</v>
      </c>
      <c r="R2236" s="172" t="s">
        <v>5286</v>
      </c>
      <c r="S2236" s="388"/>
      <c r="T2236" s="157"/>
      <c r="U2236" s="168" t="s">
        <v>5287</v>
      </c>
      <c r="V2236" s="168" t="s">
        <v>5288</v>
      </c>
      <c r="W2236" s="312" t="s">
        <v>12863</v>
      </c>
      <c r="X2236" s="644" t="s">
        <v>12466</v>
      </c>
      <c r="Y2236" s="352"/>
      <c r="Z2236" s="353"/>
      <c r="AA2236" s="353"/>
      <c r="AB2236" s="31">
        <f t="shared" ca="1" si="47"/>
        <v>8.7442667373668459E-2</v>
      </c>
      <c r="AC2236" s="810"/>
      <c r="AD2236" s="811"/>
      <c r="AE2236" s="940"/>
      <c r="AF2236" s="920">
        <f>IF(X2236=X2235,AF2235,0)+IF(ISNUMBER(I2236),IF(I2236&lt;1,I2236,I2236*VLOOKUP(J2236,Summary!$H$2:$I$9,2)),VLOOKUP(J2236,Summary!$J$2:$K$9,2)*IF(ISNUMBER(H2236),H2236,1))</f>
        <v>0.70038194444444446</v>
      </c>
      <c r="AG2236" s="287">
        <v>2235</v>
      </c>
      <c r="AH2236" s="94"/>
      <c r="AI2236" s="94"/>
      <c r="AJ2236" s="3"/>
    </row>
    <row r="2237" spans="1:36" s="22" customFormat="1" ht="12" customHeight="1" x14ac:dyDescent="0.25">
      <c r="A2237" s="405" t="s">
        <v>12858</v>
      </c>
      <c r="B2237" s="406" t="s">
        <v>4451</v>
      </c>
      <c r="C2237" s="405">
        <v>13.3</v>
      </c>
      <c r="D2237" s="407" t="s">
        <v>12861</v>
      </c>
      <c r="E2237" s="315" t="s">
        <v>12864</v>
      </c>
      <c r="F2237" s="196">
        <v>42849</v>
      </c>
      <c r="G2237" s="170"/>
      <c r="H2237" s="170">
        <v>1</v>
      </c>
      <c r="I2237" s="747">
        <f t="shared" si="49"/>
        <v>4.1666666666666664E-2</v>
      </c>
      <c r="J2237" s="899" t="s">
        <v>4706</v>
      </c>
      <c r="K2237" s="167" t="s">
        <v>7802</v>
      </c>
      <c r="L2237" s="167" t="s">
        <v>5662</v>
      </c>
      <c r="M2237" s="167"/>
      <c r="N2237" s="167"/>
      <c r="O2237" s="167" t="s">
        <v>3295</v>
      </c>
      <c r="P2237" s="168" t="s">
        <v>12866</v>
      </c>
      <c r="Q2237" s="167" t="s">
        <v>3947</v>
      </c>
      <c r="R2237" s="172" t="s">
        <v>5286</v>
      </c>
      <c r="S2237" s="388"/>
      <c r="T2237" s="167"/>
      <c r="U2237" s="168" t="s">
        <v>5287</v>
      </c>
      <c r="V2237" s="168" t="s">
        <v>5288</v>
      </c>
      <c r="W2237" s="312" t="s">
        <v>12864</v>
      </c>
      <c r="X2237" s="644" t="s">
        <v>12466</v>
      </c>
      <c r="Y2237" s="352"/>
      <c r="Z2237" s="353"/>
      <c r="AA2237" s="353"/>
      <c r="AB2237" s="31">
        <f t="shared" ca="1" si="47"/>
        <v>0.21090978063113441</v>
      </c>
      <c r="AC2237" s="810"/>
      <c r="AD2237" s="811"/>
      <c r="AE2237" s="940"/>
      <c r="AF2237" s="920">
        <f>IF(X2237=X2236,AF2236,0)+IF(ISNUMBER(I2237),IF(I2237&lt;1,I2237,I2237*VLOOKUP(J2237,Summary!$H$2:$I$9,2)),VLOOKUP(J2237,Summary!$J$2:$K$9,2)*IF(ISNUMBER(H2237),H2237,1))</f>
        <v>0.74204861111111109</v>
      </c>
      <c r="AG2237" s="287">
        <v>2236</v>
      </c>
      <c r="AH2237" s="94"/>
      <c r="AI2237" s="94"/>
      <c r="AJ2237" s="3"/>
    </row>
    <row r="2238" spans="1:36" s="3" customFormat="1" ht="12" customHeight="1" x14ac:dyDescent="0.25">
      <c r="A2238" s="405" t="s">
        <v>12858</v>
      </c>
      <c r="B2238" s="406" t="s">
        <v>4451</v>
      </c>
      <c r="C2238" s="405">
        <v>13.4</v>
      </c>
      <c r="D2238" s="407" t="s">
        <v>12862</v>
      </c>
      <c r="E2238" s="315" t="s">
        <v>12865</v>
      </c>
      <c r="F2238" s="196">
        <v>42849</v>
      </c>
      <c r="G2238" s="170"/>
      <c r="H2238" s="170">
        <v>1</v>
      </c>
      <c r="I2238" s="747">
        <f t="shared" si="49"/>
        <v>4.1666666666666664E-2</v>
      </c>
      <c r="J2238" s="899" t="s">
        <v>4706</v>
      </c>
      <c r="K2238" s="167" t="s">
        <v>543</v>
      </c>
      <c r="L2238" s="167" t="s">
        <v>5662</v>
      </c>
      <c r="M2238" s="167"/>
      <c r="N2238" s="167"/>
      <c r="O2238" s="167" t="s">
        <v>3295</v>
      </c>
      <c r="P2238" s="168" t="s">
        <v>12866</v>
      </c>
      <c r="Q2238" s="167" t="s">
        <v>3947</v>
      </c>
      <c r="R2238" s="172" t="s">
        <v>5286</v>
      </c>
      <c r="S2238" s="388"/>
      <c r="T2238" s="167"/>
      <c r="U2238" s="168" t="s">
        <v>5287</v>
      </c>
      <c r="V2238" s="168" t="s">
        <v>5288</v>
      </c>
      <c r="W2238" s="312" t="s">
        <v>12865</v>
      </c>
      <c r="X2238" s="644" t="s">
        <v>12466</v>
      </c>
      <c r="Y2238" s="352"/>
      <c r="Z2238" s="353"/>
      <c r="AA2238" s="353"/>
      <c r="AB2238" s="31">
        <f t="shared" ca="1" si="47"/>
        <v>0.84017395388756244</v>
      </c>
      <c r="AC2238" s="810"/>
      <c r="AD2238" s="811"/>
      <c r="AE2238" s="940"/>
      <c r="AF2238" s="920">
        <f>IF(X2238=X2237,AF2237,0)+IF(ISNUMBER(I2238),IF(I2238&lt;1,I2238,I2238*VLOOKUP(J2238,Summary!$H$2:$I$9,2)),VLOOKUP(J2238,Summary!$J$2:$K$9,2)*IF(ISNUMBER(H2238),H2238,1))</f>
        <v>0.78371527777777772</v>
      </c>
      <c r="AG2238" s="287">
        <v>2237</v>
      </c>
      <c r="AH2238" s="94"/>
      <c r="AI2238" s="94"/>
      <c r="AJ2238" s="43"/>
    </row>
    <row r="2239" spans="1:36" s="3" customFormat="1" ht="12" customHeight="1" x14ac:dyDescent="0.25">
      <c r="A2239" s="527" t="s">
        <v>12858</v>
      </c>
      <c r="B2239" s="527">
        <v>6</v>
      </c>
      <c r="C2239" s="527">
        <v>14</v>
      </c>
      <c r="D2239" s="407" t="s">
        <v>14397</v>
      </c>
      <c r="E2239" s="315" t="s">
        <v>14398</v>
      </c>
      <c r="F2239" s="196">
        <v>43244</v>
      </c>
      <c r="G2239" s="170"/>
      <c r="H2239" s="170">
        <v>1</v>
      </c>
      <c r="I2239" s="747">
        <f t="shared" si="49"/>
        <v>4.1666666666666664E-2</v>
      </c>
      <c r="J2239" s="899" t="s">
        <v>4706</v>
      </c>
      <c r="K2239" s="167" t="s">
        <v>10797</v>
      </c>
      <c r="L2239" s="167" t="s">
        <v>5662</v>
      </c>
      <c r="M2239" s="167"/>
      <c r="N2239" s="167"/>
      <c r="O2239" s="167" t="s">
        <v>3295</v>
      </c>
      <c r="P2239" s="168" t="s">
        <v>14399</v>
      </c>
      <c r="Q2239" s="167" t="s">
        <v>3947</v>
      </c>
      <c r="R2239" s="172" t="s">
        <v>5286</v>
      </c>
      <c r="S2239" s="388" t="s">
        <v>2608</v>
      </c>
      <c r="T2239" s="167"/>
      <c r="U2239" s="168" t="s">
        <v>5287</v>
      </c>
      <c r="V2239" s="168" t="s">
        <v>5288</v>
      </c>
      <c r="W2239" s="312" t="s">
        <v>14398</v>
      </c>
      <c r="X2239" s="644" t="s">
        <v>12466</v>
      </c>
      <c r="Y2239" s="352"/>
      <c r="Z2239" s="353"/>
      <c r="AA2239" s="353"/>
      <c r="AB2239" s="31">
        <f t="shared" ca="1" si="47"/>
        <v>8.0514113537933585E-2</v>
      </c>
      <c r="AC2239" s="810"/>
      <c r="AD2239" s="811"/>
      <c r="AE2239" s="940"/>
      <c r="AF2239" s="920">
        <f>IF(X2239=X2238,AF2238,0)+IF(ISNUMBER(I2239),IF(I2239&lt;1,I2239,I2239*VLOOKUP(J2239,Summary!$H$2:$I$9,2)),VLOOKUP(J2239,Summary!$J$2:$K$9,2)*IF(ISNUMBER(H2239),H2239,1))</f>
        <v>0.82538194444444435</v>
      </c>
      <c r="AG2239" s="287">
        <v>2238</v>
      </c>
      <c r="AH2239" s="94"/>
      <c r="AI2239" s="94"/>
      <c r="AJ2239" s="43"/>
    </row>
    <row r="2240" spans="1:36" s="3" customFormat="1" ht="12" customHeight="1" x14ac:dyDescent="0.25">
      <c r="A2240" s="527" t="s">
        <v>10692</v>
      </c>
      <c r="B2240" s="527">
        <v>6</v>
      </c>
      <c r="C2240" s="527">
        <v>1</v>
      </c>
      <c r="D2240" s="407" t="s">
        <v>4322</v>
      </c>
      <c r="E2240" s="315" t="s">
        <v>4318</v>
      </c>
      <c r="F2240" s="169">
        <v>39692</v>
      </c>
      <c r="G2240" s="170"/>
      <c r="H2240" s="170"/>
      <c r="I2240" s="746">
        <f>TIME(1,41,9)</f>
        <v>7.0243055555555559E-2</v>
      </c>
      <c r="J2240" s="899" t="s">
        <v>4706</v>
      </c>
      <c r="K2240" s="167" t="s">
        <v>1088</v>
      </c>
      <c r="L2240" s="167" t="s">
        <v>6354</v>
      </c>
      <c r="M2240" s="167"/>
      <c r="N2240" s="167"/>
      <c r="O2240" s="167"/>
      <c r="P2240" s="168" t="s">
        <v>8639</v>
      </c>
      <c r="Q2240" s="167" t="s">
        <v>3947</v>
      </c>
      <c r="R2240" s="172" t="s">
        <v>3152</v>
      </c>
      <c r="S2240" s="388" t="s">
        <v>4319</v>
      </c>
      <c r="T2240" s="168" t="s">
        <v>4320</v>
      </c>
      <c r="U2240" s="168"/>
      <c r="V2240" s="168"/>
      <c r="W2240" s="312"/>
      <c r="X2240" s="644" t="s">
        <v>12466</v>
      </c>
      <c r="Y2240" s="352" t="s">
        <v>5398</v>
      </c>
      <c r="Z2240" s="353">
        <v>473</v>
      </c>
      <c r="AA2240" s="353">
        <v>4</v>
      </c>
      <c r="AB2240" s="40">
        <f t="shared" ca="1" si="47"/>
        <v>0.71074529029131372</v>
      </c>
      <c r="AC2240" s="810"/>
      <c r="AD2240" s="811"/>
      <c r="AE2240" s="940"/>
      <c r="AF2240" s="920">
        <f>IF(X2240=X2239,AF2239,0)+IF(ISNUMBER(I2240),IF(I2240&lt;1,I2240,I2240*VLOOKUP(J2240,Summary!$H$2:$I$9,2)),VLOOKUP(J2240,Summary!$J$2:$K$9,2)*IF(ISNUMBER(H2240),H2240,1))</f>
        <v>0.89562499999999989</v>
      </c>
      <c r="AG2240" s="287">
        <v>2239</v>
      </c>
      <c r="AH2240" s="94"/>
      <c r="AI2240" s="94"/>
      <c r="AJ2240" s="1"/>
    </row>
    <row r="2241" spans="1:36" s="29" customFormat="1" ht="12" customHeight="1" x14ac:dyDescent="0.25">
      <c r="A2241" s="522" t="s">
        <v>10692</v>
      </c>
      <c r="B2241" s="522">
        <v>6</v>
      </c>
      <c r="C2241" s="522">
        <v>3.18</v>
      </c>
      <c r="D2241" s="434" t="s">
        <v>6685</v>
      </c>
      <c r="E2241" s="324" t="s">
        <v>6684</v>
      </c>
      <c r="F2241" s="174">
        <v>36586</v>
      </c>
      <c r="G2241" s="174"/>
      <c r="H2241" s="176">
        <v>1</v>
      </c>
      <c r="I2241" s="176">
        <v>22</v>
      </c>
      <c r="J2241" s="900" t="s">
        <v>2755</v>
      </c>
      <c r="K2241" s="164" t="s">
        <v>176</v>
      </c>
      <c r="L2241" s="164" t="s">
        <v>461</v>
      </c>
      <c r="M2241" s="164"/>
      <c r="N2241" s="164" t="s">
        <v>4992</v>
      </c>
      <c r="O2241" s="164"/>
      <c r="P2241" s="173" t="s">
        <v>4993</v>
      </c>
      <c r="Q2241" s="164" t="s">
        <v>3953</v>
      </c>
      <c r="R2241" s="177" t="s">
        <v>2723</v>
      </c>
      <c r="S2241" s="354" t="s">
        <v>4319</v>
      </c>
      <c r="T2241" s="173" t="s">
        <v>4320</v>
      </c>
      <c r="U2241" s="173"/>
      <c r="V2241" s="173"/>
      <c r="W2241" s="324" t="s">
        <v>6684</v>
      </c>
      <c r="X2241" s="656" t="s">
        <v>12466</v>
      </c>
      <c r="Y2241" s="354" t="s">
        <v>6868</v>
      </c>
      <c r="Z2241" s="176">
        <v>999</v>
      </c>
      <c r="AA2241" s="364"/>
      <c r="AB2241" s="32">
        <f t="shared" ca="1" si="47"/>
        <v>0.63157705488420712</v>
      </c>
      <c r="AC2241" s="812"/>
      <c r="AD2241" s="763"/>
      <c r="AE2241" s="951"/>
      <c r="AF2241" s="921">
        <f>IF(X2241=X2240,AF2240,0)+IF(ISNUMBER(I2241),IF(I2241&lt;1,I2241,I2241*VLOOKUP(J2241,Summary!$H$2:$I$9,2)),VLOOKUP(J2241,Summary!$J$2:$K$9,2)*IF(ISNUMBER(H2241),H2241,1))</f>
        <v>0.91090277777777762</v>
      </c>
      <c r="AG2241" s="289">
        <v>2240</v>
      </c>
      <c r="AH2241" s="94"/>
      <c r="AI2241" s="94"/>
      <c r="AJ2241" s="22"/>
    </row>
    <row r="2242" spans="1:36" s="2" customFormat="1" ht="12" customHeight="1" x14ac:dyDescent="0.25">
      <c r="A2242" s="527" t="s">
        <v>10692</v>
      </c>
      <c r="B2242" s="527">
        <v>6</v>
      </c>
      <c r="C2242" s="536">
        <v>6.06</v>
      </c>
      <c r="D2242" s="407" t="s">
        <v>4323</v>
      </c>
      <c r="E2242" s="315" t="s">
        <v>4321</v>
      </c>
      <c r="F2242" s="169">
        <v>40878</v>
      </c>
      <c r="G2242" s="170"/>
      <c r="H2242" s="170"/>
      <c r="I2242" s="747">
        <f>TIME(0,60,0)</f>
        <v>4.1666666666666664E-2</v>
      </c>
      <c r="J2242" s="899" t="s">
        <v>4706</v>
      </c>
      <c r="K2242" s="167" t="s">
        <v>1088</v>
      </c>
      <c r="L2242" s="167" t="s">
        <v>6354</v>
      </c>
      <c r="M2242" s="167" t="s">
        <v>8064</v>
      </c>
      <c r="N2242" s="167"/>
      <c r="O2242" s="167"/>
      <c r="P2242" s="168" t="s">
        <v>9153</v>
      </c>
      <c r="Q2242" s="167" t="s">
        <v>3947</v>
      </c>
      <c r="R2242" s="172" t="s">
        <v>3153</v>
      </c>
      <c r="S2242" s="388" t="s">
        <v>4319</v>
      </c>
      <c r="T2242" s="168" t="s">
        <v>4320</v>
      </c>
      <c r="U2242" s="168"/>
      <c r="V2242" s="168"/>
      <c r="W2242" s="312"/>
      <c r="X2242" s="644" t="s">
        <v>12466</v>
      </c>
      <c r="Y2242" s="352"/>
      <c r="Z2242" s="353"/>
      <c r="AA2242" s="353"/>
      <c r="AB2242" s="40">
        <f t="shared" ref="AB2242:AB2305" ca="1" si="50">RAND()</f>
        <v>0.3855199275668505</v>
      </c>
      <c r="AC2242" s="810"/>
      <c r="AD2242" s="811"/>
      <c r="AE2242" s="940"/>
      <c r="AF2242" s="920">
        <f>IF(X2242=X2241,AF2241,0)+IF(ISNUMBER(I2242),IF(I2242&lt;1,I2242,I2242*VLOOKUP(J2242,Summary!$H$2:$I$9,2)),VLOOKUP(J2242,Summary!$J$2:$K$9,2)*IF(ISNUMBER(H2242),H2242,1))</f>
        <v>0.95256944444444425</v>
      </c>
      <c r="AG2242" s="287">
        <v>2241</v>
      </c>
      <c r="AH2242" s="94"/>
      <c r="AI2242" s="94"/>
      <c r="AJ2242" s="6"/>
    </row>
    <row r="2243" spans="1:36" s="3" customFormat="1" ht="12" customHeight="1" x14ac:dyDescent="0.25">
      <c r="A2243" s="522" t="s">
        <v>10692</v>
      </c>
      <c r="B2243" s="522">
        <v>6</v>
      </c>
      <c r="C2243" s="528">
        <v>11.06</v>
      </c>
      <c r="D2243" s="434" t="s">
        <v>6668</v>
      </c>
      <c r="E2243" s="324" t="s">
        <v>538</v>
      </c>
      <c r="F2243" s="174">
        <v>38200</v>
      </c>
      <c r="G2243" s="174"/>
      <c r="H2243" s="176">
        <v>1</v>
      </c>
      <c r="I2243" s="176">
        <v>12</v>
      </c>
      <c r="J2243" s="900" t="s">
        <v>2755</v>
      </c>
      <c r="K2243" s="164" t="s">
        <v>6064</v>
      </c>
      <c r="L2243" s="164" t="s">
        <v>461</v>
      </c>
      <c r="M2243" s="164"/>
      <c r="N2243" s="164" t="s">
        <v>7375</v>
      </c>
      <c r="O2243" s="164"/>
      <c r="P2243" s="173" t="s">
        <v>2559</v>
      </c>
      <c r="Q2243" s="164" t="s">
        <v>3947</v>
      </c>
      <c r="R2243" s="179" t="s">
        <v>2723</v>
      </c>
      <c r="S2243" s="354"/>
      <c r="T2243" s="173"/>
      <c r="U2243" s="173"/>
      <c r="V2243" s="173"/>
      <c r="W2243" s="324" t="s">
        <v>538</v>
      </c>
      <c r="X2243" s="656" t="s">
        <v>12466</v>
      </c>
      <c r="Y2243" s="363"/>
      <c r="Z2243" s="364">
        <v>999</v>
      </c>
      <c r="AA2243" s="364"/>
      <c r="AB2243" s="32">
        <f t="shared" ca="1" si="50"/>
        <v>0.12332169082511635</v>
      </c>
      <c r="AC2243" s="812"/>
      <c r="AD2243" s="763"/>
      <c r="AE2243" s="951"/>
      <c r="AF2243" s="921">
        <f>IF(X2243=X2242,AF2242,0)+IF(ISNUMBER(I2243),IF(I2243&lt;1,I2243,I2243*VLOOKUP(J2243,Summary!$H$2:$I$9,2)),VLOOKUP(J2243,Summary!$J$2:$K$9,2)*IF(ISNUMBER(H2243),H2243,1))</f>
        <v>0.96090277777777755</v>
      </c>
      <c r="AG2243" s="288">
        <v>2242</v>
      </c>
      <c r="AH2243" s="94"/>
      <c r="AI2243" s="94"/>
    </row>
    <row r="2244" spans="1:36" s="3" customFormat="1" ht="12" customHeight="1" x14ac:dyDescent="0.25">
      <c r="A2244" s="522" t="s">
        <v>10692</v>
      </c>
      <c r="B2244" s="522">
        <v>6</v>
      </c>
      <c r="C2244" s="522">
        <v>14.05</v>
      </c>
      <c r="D2244" s="434" t="s">
        <v>2637</v>
      </c>
      <c r="E2244" s="324" t="s">
        <v>2636</v>
      </c>
      <c r="F2244" s="174">
        <v>38322</v>
      </c>
      <c r="G2244" s="174"/>
      <c r="H2244" s="176">
        <v>1</v>
      </c>
      <c r="I2244" s="176">
        <v>8</v>
      </c>
      <c r="J2244" s="900" t="s">
        <v>2755</v>
      </c>
      <c r="K2244" s="164" t="s">
        <v>2748</v>
      </c>
      <c r="L2244" s="164" t="s">
        <v>461</v>
      </c>
      <c r="M2244" s="164"/>
      <c r="N2244" s="164" t="s">
        <v>3807</v>
      </c>
      <c r="O2244" s="164"/>
      <c r="P2244" s="173" t="s">
        <v>6565</v>
      </c>
      <c r="Q2244" s="164" t="s">
        <v>3947</v>
      </c>
      <c r="R2244" s="179" t="s">
        <v>2723</v>
      </c>
      <c r="S2244" s="354"/>
      <c r="T2244" s="393"/>
      <c r="U2244" s="173"/>
      <c r="V2244" s="173"/>
      <c r="W2244" s="324" t="s">
        <v>2636</v>
      </c>
      <c r="X2244" s="656" t="s">
        <v>12466</v>
      </c>
      <c r="Y2244" s="363"/>
      <c r="Z2244" s="364"/>
      <c r="AA2244" s="364"/>
      <c r="AB2244" s="32">
        <f t="shared" ca="1" si="50"/>
        <v>0.67485681495000993</v>
      </c>
      <c r="AC2244" s="812"/>
      <c r="AD2244" s="763"/>
      <c r="AE2244" s="951"/>
      <c r="AF2244" s="921">
        <f>IF(X2244=X2243,AF2243,0)+IF(ISNUMBER(I2244),IF(I2244&lt;1,I2244,I2244*VLOOKUP(J2244,Summary!$H$2:$I$9,2)),VLOOKUP(J2244,Summary!$J$2:$K$9,2)*IF(ISNUMBER(H2244),H2244,1))</f>
        <v>0.96645833333333309</v>
      </c>
      <c r="AG2244" s="288">
        <v>2243</v>
      </c>
      <c r="AH2244" s="94"/>
      <c r="AI2244" s="94"/>
      <c r="AJ2244" s="29"/>
    </row>
    <row r="2245" spans="1:36" s="3" customFormat="1" ht="12" customHeight="1" x14ac:dyDescent="0.25">
      <c r="A2245" s="522" t="s">
        <v>10692</v>
      </c>
      <c r="B2245" s="522">
        <v>6</v>
      </c>
      <c r="C2245" s="528">
        <v>16.149999999999999</v>
      </c>
      <c r="D2245" s="434" t="s">
        <v>6656</v>
      </c>
      <c r="E2245" s="324" t="s">
        <v>5052</v>
      </c>
      <c r="F2245" s="174">
        <v>38473</v>
      </c>
      <c r="G2245" s="174"/>
      <c r="H2245" s="176">
        <v>1</v>
      </c>
      <c r="I2245" s="176">
        <v>14</v>
      </c>
      <c r="J2245" s="900" t="s">
        <v>2755</v>
      </c>
      <c r="K2245" s="164" t="s">
        <v>4425</v>
      </c>
      <c r="L2245" s="164" t="s">
        <v>461</v>
      </c>
      <c r="M2245" s="164"/>
      <c r="N2245" s="164" t="s">
        <v>7381</v>
      </c>
      <c r="O2245" s="164"/>
      <c r="P2245" s="173" t="s">
        <v>1652</v>
      </c>
      <c r="Q2245" s="164" t="s">
        <v>3947</v>
      </c>
      <c r="R2245" s="179" t="s">
        <v>2723</v>
      </c>
      <c r="S2245" s="354"/>
      <c r="T2245" s="393"/>
      <c r="U2245" s="173"/>
      <c r="V2245" s="173"/>
      <c r="W2245" s="324" t="s">
        <v>5052</v>
      </c>
      <c r="X2245" s="656" t="s">
        <v>12466</v>
      </c>
      <c r="Y2245" s="363"/>
      <c r="Z2245" s="364"/>
      <c r="AA2245" s="364"/>
      <c r="AB2245" s="32">
        <f t="shared" ca="1" si="50"/>
        <v>0.62366810282943164</v>
      </c>
      <c r="AC2245" s="812"/>
      <c r="AD2245" s="763"/>
      <c r="AE2245" s="951"/>
      <c r="AF2245" s="921">
        <f>IF(X2245=X2244,AF2244,0)+IF(ISNUMBER(I2245),IF(I2245&lt;1,I2245,I2245*VLOOKUP(J2245,Summary!$H$2:$I$9,2)),VLOOKUP(J2245,Summary!$J$2:$K$9,2)*IF(ISNUMBER(H2245),H2245,1))</f>
        <v>0.97618055555555527</v>
      </c>
      <c r="AG2245" s="288">
        <v>2244</v>
      </c>
      <c r="AH2245" s="94"/>
      <c r="AI2245" s="94"/>
      <c r="AJ2245" s="1"/>
    </row>
    <row r="2246" spans="1:36" s="43" customFormat="1" ht="12" customHeight="1" x14ac:dyDescent="0.25">
      <c r="A2246" s="522" t="s">
        <v>10692</v>
      </c>
      <c r="B2246" s="522">
        <v>6</v>
      </c>
      <c r="C2246" s="528">
        <v>20.079999999999998</v>
      </c>
      <c r="D2246" s="434" t="s">
        <v>6660</v>
      </c>
      <c r="E2246" s="324" t="s">
        <v>5054</v>
      </c>
      <c r="F2246" s="174">
        <v>38961</v>
      </c>
      <c r="G2246" s="174"/>
      <c r="H2246" s="176">
        <v>1</v>
      </c>
      <c r="I2246" s="176">
        <v>18</v>
      </c>
      <c r="J2246" s="900" t="s">
        <v>2755</v>
      </c>
      <c r="K2246" s="164" t="s">
        <v>5664</v>
      </c>
      <c r="L2246" s="164" t="s">
        <v>461</v>
      </c>
      <c r="M2246" s="164"/>
      <c r="N2246" s="164" t="s">
        <v>7381</v>
      </c>
      <c r="O2246" s="164"/>
      <c r="P2246" s="173" t="s">
        <v>705</v>
      </c>
      <c r="Q2246" s="164" t="s">
        <v>3947</v>
      </c>
      <c r="R2246" s="179" t="s">
        <v>2723</v>
      </c>
      <c r="S2246" s="354"/>
      <c r="T2246" s="393"/>
      <c r="U2246" s="173"/>
      <c r="V2246" s="173"/>
      <c r="W2246" s="324" t="s">
        <v>5054</v>
      </c>
      <c r="X2246" s="656" t="s">
        <v>12466</v>
      </c>
      <c r="Y2246" s="363"/>
      <c r="Z2246" s="364"/>
      <c r="AA2246" s="364"/>
      <c r="AB2246" s="32">
        <f t="shared" ca="1" si="50"/>
        <v>3.6195702122987505E-5</v>
      </c>
      <c r="AC2246" s="812"/>
      <c r="AD2246" s="763"/>
      <c r="AE2246" s="951"/>
      <c r="AF2246" s="921">
        <f>IF(X2246=X2245,AF2245,0)+IF(ISNUMBER(I2246),IF(I2246&lt;1,I2246,I2246*VLOOKUP(J2246,Summary!$H$2:$I$9,2)),VLOOKUP(J2246,Summary!$J$2:$K$9,2)*IF(ISNUMBER(H2246),H2246,1))</f>
        <v>0.98868055555555523</v>
      </c>
      <c r="AG2246" s="288">
        <v>2245</v>
      </c>
      <c r="AH2246" s="94"/>
      <c r="AI2246" s="94"/>
      <c r="AJ2246" s="2"/>
    </row>
    <row r="2247" spans="1:36" s="6" customFormat="1" ht="12" customHeight="1" x14ac:dyDescent="0.25">
      <c r="A2247" s="522" t="s">
        <v>10692</v>
      </c>
      <c r="B2247" s="522">
        <v>6</v>
      </c>
      <c r="C2247" s="528">
        <v>26.19</v>
      </c>
      <c r="D2247" s="434" t="s">
        <v>6659</v>
      </c>
      <c r="E2247" s="324" t="s">
        <v>10694</v>
      </c>
      <c r="F2247" s="174">
        <v>39508</v>
      </c>
      <c r="G2247" s="174"/>
      <c r="H2247" s="176">
        <v>7</v>
      </c>
      <c r="I2247" s="176">
        <v>9</v>
      </c>
      <c r="J2247" s="900" t="s">
        <v>2755</v>
      </c>
      <c r="K2247" s="164" t="s">
        <v>7381</v>
      </c>
      <c r="L2247" s="164" t="s">
        <v>461</v>
      </c>
      <c r="M2247" s="164"/>
      <c r="N2247" s="164" t="s">
        <v>7381</v>
      </c>
      <c r="O2247" s="164"/>
      <c r="P2247" s="173" t="s">
        <v>6706</v>
      </c>
      <c r="Q2247" s="164" t="s">
        <v>3947</v>
      </c>
      <c r="R2247" s="179" t="s">
        <v>2723</v>
      </c>
      <c r="S2247" s="354"/>
      <c r="T2247" s="393"/>
      <c r="U2247" s="173"/>
      <c r="V2247" s="173"/>
      <c r="W2247" s="324" t="s">
        <v>5055</v>
      </c>
      <c r="X2247" s="656" t="s">
        <v>12466</v>
      </c>
      <c r="Y2247" s="363"/>
      <c r="Z2247" s="364"/>
      <c r="AA2247" s="364"/>
      <c r="AB2247" s="32">
        <f t="shared" ca="1" si="50"/>
        <v>0.70821983041655134</v>
      </c>
      <c r="AC2247" s="812"/>
      <c r="AD2247" s="763"/>
      <c r="AE2247" s="951"/>
      <c r="AF2247" s="921">
        <f>IF(X2247=X2246,AF2246,0)+IF(ISNUMBER(I2247),IF(I2247&lt;1,I2247,I2247*VLOOKUP(J2247,Summary!$H$2:$I$9,2)),VLOOKUP(J2247,Summary!$J$2:$K$9,2)*IF(ISNUMBER(H2247),H2247,1))</f>
        <v>0.99493055555555521</v>
      </c>
      <c r="AG2247" s="288">
        <v>2246</v>
      </c>
      <c r="AH2247" s="94"/>
      <c r="AI2247" s="94"/>
      <c r="AJ2247" s="2"/>
    </row>
    <row r="2248" spans="1:36" s="6" customFormat="1" ht="12" customHeight="1" x14ac:dyDescent="0.25">
      <c r="A2248" s="527" t="s">
        <v>10692</v>
      </c>
      <c r="B2248" s="527">
        <v>6</v>
      </c>
      <c r="C2248" s="527">
        <v>2.2999999999999998</v>
      </c>
      <c r="D2248" s="407" t="s">
        <v>12768</v>
      </c>
      <c r="E2248" s="315" t="s">
        <v>12769</v>
      </c>
      <c r="F2248" s="196">
        <v>42943</v>
      </c>
      <c r="G2248" s="170"/>
      <c r="H2248" s="170">
        <v>1</v>
      </c>
      <c r="I2248" s="747">
        <f>TIME(0,60,0)</f>
        <v>4.1666666666666664E-2</v>
      </c>
      <c r="J2248" s="899" t="s">
        <v>4706</v>
      </c>
      <c r="K2248" s="167" t="s">
        <v>5664</v>
      </c>
      <c r="L2248" s="167" t="s">
        <v>3296</v>
      </c>
      <c r="M2248" s="162"/>
      <c r="N2248" s="167"/>
      <c r="O2248" s="167" t="s">
        <v>3295</v>
      </c>
      <c r="P2248" s="168" t="s">
        <v>12696</v>
      </c>
      <c r="Q2248" s="167" t="s">
        <v>3947</v>
      </c>
      <c r="R2248" s="172" t="s">
        <v>14260</v>
      </c>
      <c r="S2248" s="388"/>
      <c r="T2248" s="351"/>
      <c r="U2248" s="168"/>
      <c r="V2248" s="168"/>
      <c r="W2248" s="312" t="s">
        <v>12769</v>
      </c>
      <c r="X2248" s="644" t="s">
        <v>12466</v>
      </c>
      <c r="Y2248" s="352"/>
      <c r="Z2248" s="353"/>
      <c r="AA2248" s="353"/>
      <c r="AB2248" s="31">
        <f t="shared" ca="1" si="50"/>
        <v>0.25289258892317246</v>
      </c>
      <c r="AC2248" s="810"/>
      <c r="AD2248" s="811"/>
      <c r="AE2248" s="940"/>
      <c r="AF2248" s="920">
        <f>IF(X2248=X2247,AF2247,0)+IF(ISNUMBER(I2248),IF(I2248&lt;1,I2248,I2248*VLOOKUP(J2248,Summary!$H$2:$I$9,2)),VLOOKUP(J2248,Summary!$J$2:$K$9,2)*IF(ISNUMBER(H2248),H2248,1))</f>
        <v>1.0365972222222219</v>
      </c>
      <c r="AG2248" s="287">
        <v>2247</v>
      </c>
      <c r="AH2248" s="94"/>
      <c r="AI2248" s="94"/>
      <c r="AJ2248" s="3"/>
    </row>
    <row r="2249" spans="1:36" s="1" customFormat="1" ht="12" customHeight="1" x14ac:dyDescent="0.25">
      <c r="A2249" s="527" t="s">
        <v>10692</v>
      </c>
      <c r="B2249" s="527">
        <v>6</v>
      </c>
      <c r="C2249" s="527">
        <v>204</v>
      </c>
      <c r="D2249" s="407"/>
      <c r="E2249" s="315" t="s">
        <v>10282</v>
      </c>
      <c r="F2249" s="196">
        <v>42262</v>
      </c>
      <c r="G2249" s="170"/>
      <c r="H2249" s="170">
        <v>4</v>
      </c>
      <c r="I2249" s="746">
        <f>TIME(1,58,36)</f>
        <v>8.2361111111111107E-2</v>
      </c>
      <c r="J2249" s="899" t="s">
        <v>4706</v>
      </c>
      <c r="K2249" s="167" t="s">
        <v>6452</v>
      </c>
      <c r="L2249" s="167" t="s">
        <v>2313</v>
      </c>
      <c r="M2249" s="167"/>
      <c r="N2249" s="167"/>
      <c r="O2249" s="167" t="s">
        <v>3295</v>
      </c>
      <c r="P2249" s="168" t="s">
        <v>10299</v>
      </c>
      <c r="Q2249" s="167" t="s">
        <v>3947</v>
      </c>
      <c r="R2249" s="172" t="s">
        <v>3146</v>
      </c>
      <c r="S2249" s="388" t="s">
        <v>10017</v>
      </c>
      <c r="T2249" s="351"/>
      <c r="U2249" s="168"/>
      <c r="V2249" s="168"/>
      <c r="W2249" s="312"/>
      <c r="X2249" s="644" t="s">
        <v>12466</v>
      </c>
      <c r="Y2249" s="352" t="s">
        <v>5643</v>
      </c>
      <c r="Z2249" s="353">
        <v>244</v>
      </c>
      <c r="AA2249" s="353">
        <v>5.5</v>
      </c>
      <c r="AB2249" s="40">
        <f t="shared" ca="1" si="50"/>
        <v>0.9648568071790643</v>
      </c>
      <c r="AC2249" s="810"/>
      <c r="AD2249" s="811"/>
      <c r="AE2249" s="940"/>
      <c r="AF2249" s="920">
        <f>IF(X2249=X2248,AF2248,0)+IF(ISNUMBER(I2249),IF(I2249&lt;1,I2249,I2249*VLOOKUP(J2249,Summary!$H$2:$I$9,2)),VLOOKUP(J2249,Summary!$J$2:$K$9,2)*IF(ISNUMBER(H2249),H2249,1))</f>
        <v>1.1189583333333331</v>
      </c>
      <c r="AG2249" s="287">
        <v>2248</v>
      </c>
      <c r="AH2249" s="94"/>
      <c r="AI2249" s="94"/>
      <c r="AJ2249" s="2"/>
    </row>
    <row r="2250" spans="1:36" s="3" customFormat="1" ht="12" customHeight="1" x14ac:dyDescent="0.25">
      <c r="A2250" s="527" t="s">
        <v>10692</v>
      </c>
      <c r="B2250" s="527">
        <v>6</v>
      </c>
      <c r="C2250" s="527">
        <v>205</v>
      </c>
      <c r="D2250" s="407"/>
      <c r="E2250" s="315" t="s">
        <v>10281</v>
      </c>
      <c r="F2250" s="196">
        <v>42291</v>
      </c>
      <c r="G2250" s="170"/>
      <c r="H2250" s="170">
        <v>4</v>
      </c>
      <c r="I2250" s="746">
        <f>TIME(1,58,25)</f>
        <v>8.2233796296296291E-2</v>
      </c>
      <c r="J2250" s="899" t="s">
        <v>4706</v>
      </c>
      <c r="K2250" s="167" t="s">
        <v>941</v>
      </c>
      <c r="L2250" s="167" t="s">
        <v>2313</v>
      </c>
      <c r="M2250" s="167"/>
      <c r="N2250" s="167"/>
      <c r="O2250" s="167" t="s">
        <v>3295</v>
      </c>
      <c r="P2250" s="168" t="s">
        <v>10300</v>
      </c>
      <c r="Q2250" s="167" t="s">
        <v>3947</v>
      </c>
      <c r="R2250" s="172" t="s">
        <v>3146</v>
      </c>
      <c r="S2250" s="388" t="s">
        <v>10017</v>
      </c>
      <c r="T2250" s="351"/>
      <c r="U2250" s="168"/>
      <c r="V2250" s="168"/>
      <c r="W2250" s="312"/>
      <c r="X2250" s="644" t="s">
        <v>12466</v>
      </c>
      <c r="Y2250" s="352" t="s">
        <v>5643</v>
      </c>
      <c r="Z2250" s="353"/>
      <c r="AA2250" s="353"/>
      <c r="AB2250" s="40">
        <f t="shared" ca="1" si="50"/>
        <v>0.72279668647086093</v>
      </c>
      <c r="AC2250" s="810"/>
      <c r="AD2250" s="811"/>
      <c r="AE2250" s="940"/>
      <c r="AF2250" s="920">
        <f>IF(X2250=X2249,AF2249,0)+IF(ISNUMBER(I2250),IF(I2250&lt;1,I2250,I2250*VLOOKUP(J2250,Summary!$H$2:$I$9,2)),VLOOKUP(J2250,Summary!$J$2:$K$9,2)*IF(ISNUMBER(H2250),H2250,1))</f>
        <v>1.2011921296296293</v>
      </c>
      <c r="AG2250" s="287">
        <v>2249</v>
      </c>
      <c r="AH2250" s="94"/>
      <c r="AI2250" s="94"/>
      <c r="AJ2250" s="2"/>
    </row>
    <row r="2251" spans="1:36" s="1" customFormat="1" ht="12" customHeight="1" x14ac:dyDescent="0.25">
      <c r="A2251" s="527" t="s">
        <v>10692</v>
      </c>
      <c r="B2251" s="527">
        <v>6</v>
      </c>
      <c r="C2251" s="527">
        <v>206</v>
      </c>
      <c r="D2251" s="407"/>
      <c r="E2251" s="315" t="s">
        <v>10280</v>
      </c>
      <c r="F2251" s="196">
        <v>42324</v>
      </c>
      <c r="G2251" s="170"/>
      <c r="H2251" s="170">
        <v>4</v>
      </c>
      <c r="I2251" s="746">
        <f>TIME(2,8,5)</f>
        <v>8.8946759259259267E-2</v>
      </c>
      <c r="J2251" s="899" t="s">
        <v>4706</v>
      </c>
      <c r="K2251" s="167" t="s">
        <v>4714</v>
      </c>
      <c r="L2251" s="167" t="s">
        <v>7408</v>
      </c>
      <c r="M2251" s="167"/>
      <c r="N2251" s="167"/>
      <c r="O2251" s="167" t="s">
        <v>3295</v>
      </c>
      <c r="P2251" s="168" t="s">
        <v>10301</v>
      </c>
      <c r="Q2251" s="167" t="s">
        <v>3947</v>
      </c>
      <c r="R2251" s="172" t="s">
        <v>3146</v>
      </c>
      <c r="S2251" s="388" t="s">
        <v>10017</v>
      </c>
      <c r="T2251" s="351"/>
      <c r="U2251" s="168"/>
      <c r="V2251" s="168"/>
      <c r="W2251" s="312"/>
      <c r="X2251" s="644" t="s">
        <v>12466</v>
      </c>
      <c r="Y2251" s="352" t="s">
        <v>5643</v>
      </c>
      <c r="Z2251" s="353"/>
      <c r="AA2251" s="353"/>
      <c r="AB2251" s="40">
        <f t="shared" ca="1" si="50"/>
        <v>0.43939290973155598</v>
      </c>
      <c r="AC2251" s="810"/>
      <c r="AD2251" s="811"/>
      <c r="AE2251" s="940"/>
      <c r="AF2251" s="920">
        <f>IF(X2251=X2250,AF2250,0)+IF(ISNUMBER(I2251),IF(I2251&lt;1,I2251,I2251*VLOOKUP(J2251,Summary!$H$2:$I$9,2)),VLOOKUP(J2251,Summary!$J$2:$K$9,2)*IF(ISNUMBER(H2251),H2251,1))</f>
        <v>1.2901388888888885</v>
      </c>
      <c r="AG2251" s="287">
        <v>2250</v>
      </c>
      <c r="AH2251" s="94"/>
      <c r="AI2251" s="94"/>
      <c r="AJ2251" s="22"/>
    </row>
    <row r="2252" spans="1:36" s="43" customFormat="1" ht="12" customHeight="1" x14ac:dyDescent="0.25">
      <c r="A2252" s="527" t="s">
        <v>10692</v>
      </c>
      <c r="B2252" s="527">
        <v>6</v>
      </c>
      <c r="C2252" s="527">
        <v>1</v>
      </c>
      <c r="D2252" s="407"/>
      <c r="E2252" s="315" t="s">
        <v>10016</v>
      </c>
      <c r="F2252" s="196">
        <v>42233</v>
      </c>
      <c r="G2252" s="170"/>
      <c r="H2252" s="170">
        <v>1</v>
      </c>
      <c r="I2252" s="746">
        <f>TIME(1,7,12)</f>
        <v>4.6666666666666669E-2</v>
      </c>
      <c r="J2252" s="899" t="s">
        <v>4706</v>
      </c>
      <c r="K2252" s="167" t="s">
        <v>2983</v>
      </c>
      <c r="L2252" s="167" t="s">
        <v>4549</v>
      </c>
      <c r="M2252" s="167"/>
      <c r="N2252" s="167"/>
      <c r="O2252" s="167" t="s">
        <v>3295</v>
      </c>
      <c r="P2252" s="168" t="s">
        <v>8557</v>
      </c>
      <c r="Q2252" s="167" t="s">
        <v>3947</v>
      </c>
      <c r="R2252" s="172" t="s">
        <v>10014</v>
      </c>
      <c r="S2252" s="388" t="s">
        <v>10017</v>
      </c>
      <c r="T2252" s="351"/>
      <c r="U2252" s="168"/>
      <c r="V2252" s="168"/>
      <c r="W2252" s="315" t="s">
        <v>10016</v>
      </c>
      <c r="X2252" s="647" t="s">
        <v>12466</v>
      </c>
      <c r="Y2252" s="352" t="s">
        <v>5643</v>
      </c>
      <c r="Z2252" s="353">
        <v>252</v>
      </c>
      <c r="AA2252" s="353">
        <v>5.5</v>
      </c>
      <c r="AB2252" s="40">
        <f t="shared" ca="1" si="50"/>
        <v>0.61465248085245305</v>
      </c>
      <c r="AC2252" s="810"/>
      <c r="AD2252" s="811"/>
      <c r="AE2252" s="940"/>
      <c r="AF2252" s="920">
        <f>IF(X2252=X2251,AF2251,0)+IF(ISNUMBER(I2252),IF(I2252&lt;1,I2252,I2252*VLOOKUP(J2252,Summary!$H$2:$I$9,2)),VLOOKUP(J2252,Summary!$J$2:$K$9,2)*IF(ISNUMBER(H2252),H2252,1))</f>
        <v>1.3368055555555551</v>
      </c>
      <c r="AG2252" s="287">
        <v>2251</v>
      </c>
      <c r="AH2252" s="94"/>
      <c r="AI2252" s="94"/>
      <c r="AJ2252" s="1"/>
    </row>
    <row r="2253" spans="1:36" s="43" customFormat="1" ht="12" customHeight="1" x14ac:dyDescent="0.25">
      <c r="A2253" s="527" t="s">
        <v>10692</v>
      </c>
      <c r="B2253" s="527">
        <v>6</v>
      </c>
      <c r="C2253" s="527">
        <v>218</v>
      </c>
      <c r="D2253" s="407"/>
      <c r="E2253" s="315" t="s">
        <v>12770</v>
      </c>
      <c r="F2253" s="196">
        <v>42683</v>
      </c>
      <c r="G2253" s="170"/>
      <c r="H2253" s="170">
        <v>4</v>
      </c>
      <c r="I2253" s="747">
        <f>TIME(0,120,0)</f>
        <v>8.3333333333333329E-2</v>
      </c>
      <c r="J2253" s="899" t="s">
        <v>4706</v>
      </c>
      <c r="K2253" s="167" t="s">
        <v>1935</v>
      </c>
      <c r="L2253" s="167" t="s">
        <v>10304</v>
      </c>
      <c r="M2253" s="167"/>
      <c r="N2253" s="167"/>
      <c r="O2253" s="167" t="s">
        <v>3295</v>
      </c>
      <c r="P2253" s="168" t="s">
        <v>12771</v>
      </c>
      <c r="Q2253" s="167" t="s">
        <v>3947</v>
      </c>
      <c r="R2253" s="172" t="s">
        <v>3146</v>
      </c>
      <c r="S2253" s="388" t="s">
        <v>10017</v>
      </c>
      <c r="T2253" s="351"/>
      <c r="U2253" s="168"/>
      <c r="V2253" s="168"/>
      <c r="W2253" s="312"/>
      <c r="X2253" s="644" t="s">
        <v>12466</v>
      </c>
      <c r="Y2253" s="352" t="s">
        <v>5643</v>
      </c>
      <c r="Z2253" s="353"/>
      <c r="AA2253" s="353"/>
      <c r="AB2253" s="40">
        <f t="shared" ca="1" si="50"/>
        <v>0.56445938247946414</v>
      </c>
      <c r="AC2253" s="810"/>
      <c r="AD2253" s="811"/>
      <c r="AE2253" s="940"/>
      <c r="AF2253" s="920">
        <f>IF(X2253=X2252,AF2252,0)+IF(ISNUMBER(I2253),IF(I2253&lt;1,I2253,I2253*VLOOKUP(J2253,Summary!$H$2:$I$9,2)),VLOOKUP(J2253,Summary!$J$2:$K$9,2)*IF(ISNUMBER(H2253),H2253,1))</f>
        <v>1.4201388888888884</v>
      </c>
      <c r="AG2253" s="287">
        <v>2252</v>
      </c>
      <c r="AH2253" s="94"/>
      <c r="AI2253" s="94"/>
      <c r="AJ2253" s="2"/>
    </row>
    <row r="2254" spans="1:36" s="1" customFormat="1" ht="12" customHeight="1" x14ac:dyDescent="0.25">
      <c r="A2254" s="524" t="s">
        <v>10692</v>
      </c>
      <c r="B2254" s="524">
        <v>6</v>
      </c>
      <c r="C2254" s="530">
        <v>8.07</v>
      </c>
      <c r="D2254" s="192" t="s">
        <v>15008</v>
      </c>
      <c r="E2254" s="317" t="s">
        <v>15009</v>
      </c>
      <c r="F2254" s="191">
        <v>43311</v>
      </c>
      <c r="G2254" s="191"/>
      <c r="H2254" s="192" t="s">
        <v>461</v>
      </c>
      <c r="I2254" s="753"/>
      <c r="J2254" s="903" t="s">
        <v>2755</v>
      </c>
      <c r="K2254" s="194" t="s">
        <v>10208</v>
      </c>
      <c r="L2254" s="194" t="s">
        <v>5662</v>
      </c>
      <c r="M2254" s="194" t="s">
        <v>15010</v>
      </c>
      <c r="N2254" s="194" t="s">
        <v>5195</v>
      </c>
      <c r="O2254" s="194" t="s">
        <v>5195</v>
      </c>
      <c r="P2254" s="190" t="s">
        <v>15011</v>
      </c>
      <c r="Q2254" s="194" t="s">
        <v>3947</v>
      </c>
      <c r="R2254" s="193" t="s">
        <v>2722</v>
      </c>
      <c r="S2254" s="357"/>
      <c r="T2254" s="190"/>
      <c r="U2254" s="190"/>
      <c r="V2254" s="190"/>
      <c r="W2254" s="317" t="s">
        <v>1974</v>
      </c>
      <c r="X2254" s="649" t="s">
        <v>12466</v>
      </c>
      <c r="Y2254" s="357" t="s">
        <v>5643</v>
      </c>
      <c r="Z2254" s="192">
        <v>999</v>
      </c>
      <c r="AA2254" s="192"/>
      <c r="AB2254" s="37">
        <f t="shared" ca="1" si="50"/>
        <v>0.47485907194433363</v>
      </c>
      <c r="AC2254" s="816"/>
      <c r="AD2254" s="817"/>
      <c r="AE2254" s="943"/>
      <c r="AF2254" s="924">
        <f>IF(X2254=X2253,AF2253,0)+IF(ISNUMBER(I2254),IF(I2254&lt;1,I2254,I2254*VLOOKUP(J2254,Summary!$H$2:$I$9,2)),VLOOKUP(J2254,Summary!$J$2:$K$9,2)*IF(ISNUMBER(H2254),H2254,1))</f>
        <v>1.4374999999999996</v>
      </c>
      <c r="AG2254" s="292">
        <v>2253</v>
      </c>
      <c r="AH2254" s="94"/>
      <c r="AI2254" s="94"/>
    </row>
    <row r="2255" spans="1:36" s="43" customFormat="1" ht="12" customHeight="1" x14ac:dyDescent="0.25">
      <c r="A2255" s="527" t="s">
        <v>10692</v>
      </c>
      <c r="B2255" s="527">
        <v>6</v>
      </c>
      <c r="C2255" s="527">
        <v>219</v>
      </c>
      <c r="D2255" s="407"/>
      <c r="E2255" s="315" t="s">
        <v>12772</v>
      </c>
      <c r="F2255" s="196">
        <v>42717</v>
      </c>
      <c r="G2255" s="170"/>
      <c r="H2255" s="170">
        <v>4</v>
      </c>
      <c r="I2255" s="747">
        <f>TIME(0,120,0)</f>
        <v>8.3333333333333329E-2</v>
      </c>
      <c r="J2255" s="899" t="s">
        <v>4706</v>
      </c>
      <c r="K2255" s="167" t="s">
        <v>10304</v>
      </c>
      <c r="L2255" s="167" t="s">
        <v>10304</v>
      </c>
      <c r="M2255" s="167"/>
      <c r="N2255" s="167"/>
      <c r="O2255" s="167" t="s">
        <v>3295</v>
      </c>
      <c r="P2255" s="168" t="s">
        <v>12777</v>
      </c>
      <c r="Q2255" s="167" t="s">
        <v>3947</v>
      </c>
      <c r="R2255" s="172" t="s">
        <v>3146</v>
      </c>
      <c r="S2255" s="388" t="s">
        <v>10017</v>
      </c>
      <c r="T2255" s="351"/>
      <c r="U2255" s="168"/>
      <c r="V2255" s="168"/>
      <c r="W2255" s="312"/>
      <c r="X2255" s="644" t="s">
        <v>12466</v>
      </c>
      <c r="Y2255" s="352"/>
      <c r="Z2255" s="353"/>
      <c r="AA2255" s="353"/>
      <c r="AB2255" s="40">
        <f t="shared" ca="1" si="50"/>
        <v>0.20762017820263012</v>
      </c>
      <c r="AC2255" s="810"/>
      <c r="AD2255" s="811"/>
      <c r="AE2255" s="940"/>
      <c r="AF2255" s="920">
        <f>IF(X2255=X2254,AF2254,0)+IF(ISNUMBER(I2255),IF(I2255&lt;1,I2255,I2255*VLOOKUP(J2255,Summary!$H$2:$I$9,2)),VLOOKUP(J2255,Summary!$J$2:$K$9,2)*IF(ISNUMBER(H2255),H2255,1))</f>
        <v>1.5208333333333328</v>
      </c>
      <c r="AG2255" s="287">
        <v>2254</v>
      </c>
      <c r="AH2255" s="94"/>
      <c r="AI2255" s="94"/>
      <c r="AJ2255" s="1"/>
    </row>
    <row r="2256" spans="1:36" s="3" customFormat="1" ht="12" customHeight="1" x14ac:dyDescent="0.25">
      <c r="A2256" s="527" t="s">
        <v>10692</v>
      </c>
      <c r="B2256" s="527">
        <v>6</v>
      </c>
      <c r="C2256" s="527">
        <v>220</v>
      </c>
      <c r="D2256" s="407"/>
      <c r="E2256" s="315" t="s">
        <v>12773</v>
      </c>
      <c r="F2256" s="196">
        <v>42717</v>
      </c>
      <c r="G2256" s="170"/>
      <c r="H2256" s="170">
        <v>4</v>
      </c>
      <c r="I2256" s="747">
        <f>TIME(0,120,0)</f>
        <v>8.3333333333333329E-2</v>
      </c>
      <c r="J2256" s="899" t="s">
        <v>4706</v>
      </c>
      <c r="K2256" s="167" t="s">
        <v>6452</v>
      </c>
      <c r="L2256" s="167" t="s">
        <v>10304</v>
      </c>
      <c r="M2256" s="167"/>
      <c r="N2256" s="167"/>
      <c r="O2256" s="167" t="s">
        <v>3295</v>
      </c>
      <c r="P2256" s="168" t="s">
        <v>12778</v>
      </c>
      <c r="Q2256" s="167" t="s">
        <v>3947</v>
      </c>
      <c r="R2256" s="172" t="s">
        <v>3146</v>
      </c>
      <c r="S2256" s="388" t="s">
        <v>10017</v>
      </c>
      <c r="T2256" s="351" t="s">
        <v>6519</v>
      </c>
      <c r="U2256" s="168"/>
      <c r="V2256" s="168"/>
      <c r="W2256" s="312"/>
      <c r="X2256" s="644" t="s">
        <v>12466</v>
      </c>
      <c r="Y2256" s="352"/>
      <c r="Z2256" s="353"/>
      <c r="AA2256" s="353"/>
      <c r="AB2256" s="40">
        <f t="shared" ca="1" si="50"/>
        <v>0.67324265585482879</v>
      </c>
      <c r="AC2256" s="810"/>
      <c r="AD2256" s="811"/>
      <c r="AE2256" s="940"/>
      <c r="AF2256" s="920">
        <f>IF(X2256=X2255,AF2255,0)+IF(ISNUMBER(I2256),IF(I2256&lt;1,I2256,I2256*VLOOKUP(J2256,Summary!$H$2:$I$9,2)),VLOOKUP(J2256,Summary!$J$2:$K$9,2)*IF(ISNUMBER(H2256),H2256,1))</f>
        <v>1.6041666666666661</v>
      </c>
      <c r="AG2256" s="287">
        <v>2255</v>
      </c>
      <c r="AH2256" s="94"/>
      <c r="AI2256" s="94"/>
      <c r="AJ2256" s="2"/>
    </row>
    <row r="2257" spans="1:36" s="3" customFormat="1" ht="12" customHeight="1" x14ac:dyDescent="0.25">
      <c r="A2257" s="527" t="s">
        <v>10692</v>
      </c>
      <c r="B2257" s="527">
        <v>6</v>
      </c>
      <c r="C2257" s="527">
        <v>231</v>
      </c>
      <c r="D2257" s="407"/>
      <c r="E2257" s="315" t="s">
        <v>12774</v>
      </c>
      <c r="F2257" s="196">
        <v>43019</v>
      </c>
      <c r="G2257" s="170"/>
      <c r="H2257" s="170">
        <v>4</v>
      </c>
      <c r="I2257" s="747">
        <f>TIME(0,120,0)</f>
        <v>8.3333333333333329E-2</v>
      </c>
      <c r="J2257" s="899" t="s">
        <v>4706</v>
      </c>
      <c r="K2257" s="167" t="s">
        <v>941</v>
      </c>
      <c r="L2257" s="167" t="s">
        <v>10304</v>
      </c>
      <c r="M2257" s="167"/>
      <c r="N2257" s="167" t="s">
        <v>7374</v>
      </c>
      <c r="O2257" s="167" t="s">
        <v>3295</v>
      </c>
      <c r="P2257" s="168" t="s">
        <v>12745</v>
      </c>
      <c r="Q2257" s="167" t="s">
        <v>3947</v>
      </c>
      <c r="R2257" s="172" t="s">
        <v>3146</v>
      </c>
      <c r="S2257" s="388" t="s">
        <v>10017</v>
      </c>
      <c r="T2257" s="351" t="s">
        <v>6519</v>
      </c>
      <c r="U2257" s="168"/>
      <c r="V2257" s="168"/>
      <c r="W2257" s="312"/>
      <c r="X2257" s="644" t="s">
        <v>12466</v>
      </c>
      <c r="Y2257" s="352"/>
      <c r="Z2257" s="353"/>
      <c r="AA2257" s="353"/>
      <c r="AB2257" s="40">
        <f t="shared" ca="1" si="50"/>
        <v>0.89622506053679807</v>
      </c>
      <c r="AC2257" s="810"/>
      <c r="AD2257" s="811"/>
      <c r="AE2257" s="940"/>
      <c r="AF2257" s="920">
        <f>IF(X2257=X2256,AF2256,0)+IF(ISNUMBER(I2257),IF(I2257&lt;1,I2257,I2257*VLOOKUP(J2257,Summary!$H$2:$I$9,2)),VLOOKUP(J2257,Summary!$J$2:$K$9,2)*IF(ISNUMBER(H2257),H2257,1))</f>
        <v>1.6874999999999993</v>
      </c>
      <c r="AG2257" s="287">
        <v>2256</v>
      </c>
      <c r="AH2257" s="94"/>
      <c r="AI2257" s="94"/>
      <c r="AJ2257" s="22"/>
    </row>
    <row r="2258" spans="1:36" s="29" customFormat="1" ht="12" customHeight="1" x14ac:dyDescent="0.25">
      <c r="A2258" s="527" t="s">
        <v>10692</v>
      </c>
      <c r="B2258" s="527">
        <v>6</v>
      </c>
      <c r="C2258" s="527">
        <v>232</v>
      </c>
      <c r="D2258" s="407"/>
      <c r="E2258" s="315" t="s">
        <v>12775</v>
      </c>
      <c r="F2258" s="196">
        <v>43054</v>
      </c>
      <c r="G2258" s="170"/>
      <c r="H2258" s="170">
        <v>4</v>
      </c>
      <c r="I2258" s="747">
        <f>TIME(0,120,0)</f>
        <v>8.3333333333333329E-2</v>
      </c>
      <c r="J2258" s="899" t="s">
        <v>4706</v>
      </c>
      <c r="K2258" s="167" t="s">
        <v>12751</v>
      </c>
      <c r="L2258" s="167" t="s">
        <v>10304</v>
      </c>
      <c r="M2258" s="167"/>
      <c r="N2258" s="167" t="s">
        <v>7374</v>
      </c>
      <c r="O2258" s="167" t="s">
        <v>3295</v>
      </c>
      <c r="P2258" s="168" t="s">
        <v>12779</v>
      </c>
      <c r="Q2258" s="167" t="s">
        <v>3947</v>
      </c>
      <c r="R2258" s="172" t="s">
        <v>3146</v>
      </c>
      <c r="S2258" s="388" t="s">
        <v>10017</v>
      </c>
      <c r="T2258" s="168" t="s">
        <v>6519</v>
      </c>
      <c r="U2258" s="168"/>
      <c r="V2258" s="168"/>
      <c r="W2258" s="312"/>
      <c r="X2258" s="644" t="s">
        <v>12466</v>
      </c>
      <c r="Y2258" s="352"/>
      <c r="Z2258" s="353"/>
      <c r="AA2258" s="353"/>
      <c r="AB2258" s="40">
        <f t="shared" ca="1" si="50"/>
        <v>0.84245056356070236</v>
      </c>
      <c r="AC2258" s="810"/>
      <c r="AD2258" s="811"/>
      <c r="AE2258" s="940"/>
      <c r="AF2258" s="920">
        <f>IF(X2258=X2257,AF2257,0)+IF(ISNUMBER(I2258),IF(I2258&lt;1,I2258,I2258*VLOOKUP(J2258,Summary!$H$2:$I$9,2)),VLOOKUP(J2258,Summary!$J$2:$K$9,2)*IF(ISNUMBER(H2258),H2258,1))</f>
        <v>1.7708333333333326</v>
      </c>
      <c r="AG2258" s="287">
        <v>2257</v>
      </c>
      <c r="AH2258" s="94"/>
      <c r="AI2258" s="94"/>
      <c r="AJ2258" s="3"/>
    </row>
    <row r="2259" spans="1:36" s="1" customFormat="1" ht="12" customHeight="1" x14ac:dyDescent="0.25">
      <c r="A2259" s="527" t="s">
        <v>10692</v>
      </c>
      <c r="B2259" s="527">
        <v>6</v>
      </c>
      <c r="C2259" s="527">
        <v>233</v>
      </c>
      <c r="D2259" s="407"/>
      <c r="E2259" s="315" t="s">
        <v>12776</v>
      </c>
      <c r="F2259" s="196">
        <v>43081</v>
      </c>
      <c r="G2259" s="170"/>
      <c r="H2259" s="170">
        <v>4</v>
      </c>
      <c r="I2259" s="747">
        <f>TIME(0,120,0)</f>
        <v>8.3333333333333329E-2</v>
      </c>
      <c r="J2259" s="899" t="s">
        <v>4706</v>
      </c>
      <c r="K2259" s="167" t="s">
        <v>177</v>
      </c>
      <c r="L2259" s="167" t="s">
        <v>10304</v>
      </c>
      <c r="M2259" s="167"/>
      <c r="N2259" s="167" t="s">
        <v>7374</v>
      </c>
      <c r="O2259" s="167" t="s">
        <v>3295</v>
      </c>
      <c r="P2259" s="168" t="s">
        <v>12780</v>
      </c>
      <c r="Q2259" s="167" t="s">
        <v>3947</v>
      </c>
      <c r="R2259" s="172" t="s">
        <v>3146</v>
      </c>
      <c r="S2259" s="388" t="s">
        <v>10017</v>
      </c>
      <c r="T2259" s="351" t="s">
        <v>6519</v>
      </c>
      <c r="U2259" s="168"/>
      <c r="V2259" s="168"/>
      <c r="W2259" s="312"/>
      <c r="X2259" s="644" t="s">
        <v>12466</v>
      </c>
      <c r="Y2259" s="352"/>
      <c r="Z2259" s="353"/>
      <c r="AA2259" s="353"/>
      <c r="AB2259" s="40">
        <f t="shared" ca="1" si="50"/>
        <v>0.73909431584340712</v>
      </c>
      <c r="AC2259" s="810"/>
      <c r="AD2259" s="811"/>
      <c r="AE2259" s="940"/>
      <c r="AF2259" s="920">
        <f>IF(X2259=X2258,AF2258,0)+IF(ISNUMBER(I2259),IF(I2259&lt;1,I2259,I2259*VLOOKUP(J2259,Summary!$H$2:$I$9,2)),VLOOKUP(J2259,Summary!$J$2:$K$9,2)*IF(ISNUMBER(H2259),H2259,1))</f>
        <v>1.8541666666666659</v>
      </c>
      <c r="AG2259" s="287">
        <v>2258</v>
      </c>
      <c r="AH2259" s="94"/>
      <c r="AI2259" s="94"/>
    </row>
    <row r="2260" spans="1:36" s="1" customFormat="1" ht="12" customHeight="1" x14ac:dyDescent="0.25">
      <c r="A2260" s="524" t="s">
        <v>10692</v>
      </c>
      <c r="B2260" s="524">
        <v>6</v>
      </c>
      <c r="C2260" s="530">
        <v>1.06</v>
      </c>
      <c r="D2260" s="192" t="s">
        <v>3851</v>
      </c>
      <c r="E2260" s="317" t="s">
        <v>1974</v>
      </c>
      <c r="F2260" s="191">
        <v>40483</v>
      </c>
      <c r="G2260" s="191"/>
      <c r="H2260" s="192">
        <v>1</v>
      </c>
      <c r="I2260" s="753">
        <f>TIME(0,18,54)</f>
        <v>1.3125E-2</v>
      </c>
      <c r="J2260" s="903" t="s">
        <v>2755</v>
      </c>
      <c r="K2260" s="194" t="s">
        <v>1986</v>
      </c>
      <c r="L2260" s="194" t="s">
        <v>3426</v>
      </c>
      <c r="M2260" s="194" t="s">
        <v>1986</v>
      </c>
      <c r="N2260" s="194"/>
      <c r="O2260" s="194"/>
      <c r="P2260" s="190" t="s">
        <v>5599</v>
      </c>
      <c r="Q2260" s="194" t="s">
        <v>3947</v>
      </c>
      <c r="R2260" s="193" t="s">
        <v>2722</v>
      </c>
      <c r="S2260" s="357"/>
      <c r="T2260" s="190"/>
      <c r="U2260" s="190"/>
      <c r="V2260" s="190"/>
      <c r="W2260" s="317" t="s">
        <v>1974</v>
      </c>
      <c r="X2260" s="649" t="s">
        <v>12466</v>
      </c>
      <c r="Y2260" s="357" t="s">
        <v>5643</v>
      </c>
      <c r="Z2260" s="192">
        <v>999</v>
      </c>
      <c r="AA2260" s="192"/>
      <c r="AB2260" s="37">
        <f t="shared" ca="1" si="50"/>
        <v>0.25773685948461456</v>
      </c>
      <c r="AC2260" s="816"/>
      <c r="AD2260" s="817"/>
      <c r="AE2260" s="943"/>
      <c r="AF2260" s="924">
        <f>IF(X2260=X2259,AF2259,0)+IF(ISNUMBER(I2260),IF(I2260&lt;1,I2260,I2260*VLOOKUP(J2260,Summary!$H$2:$I$9,2)),VLOOKUP(J2260,Summary!$J$2:$K$9,2)*IF(ISNUMBER(H2260),H2260,1))</f>
        <v>1.8672916666666659</v>
      </c>
      <c r="AG2260" s="292">
        <v>2259</v>
      </c>
      <c r="AH2260" s="94"/>
      <c r="AI2260" s="94"/>
    </row>
    <row r="2261" spans="1:36" s="1" customFormat="1" ht="12" customHeight="1" x14ac:dyDescent="0.25">
      <c r="A2261" s="801" t="s">
        <v>10692</v>
      </c>
      <c r="B2261" s="801">
        <v>6</v>
      </c>
      <c r="C2261" s="801">
        <v>3</v>
      </c>
      <c r="D2261" s="619" t="s">
        <v>15569</v>
      </c>
      <c r="E2261" s="345" t="s">
        <v>15570</v>
      </c>
      <c r="F2261" s="219">
        <v>31652</v>
      </c>
      <c r="G2261" s="219"/>
      <c r="H2261" s="210" t="s">
        <v>461</v>
      </c>
      <c r="I2261" s="210">
        <v>128</v>
      </c>
      <c r="J2261" s="908" t="s">
        <v>15556</v>
      </c>
      <c r="K2261" s="166" t="s">
        <v>4439</v>
      </c>
      <c r="L2261" s="166"/>
      <c r="M2261" s="166"/>
      <c r="N2261" s="166"/>
      <c r="O2261" s="166"/>
      <c r="P2261" s="267" t="s">
        <v>15571</v>
      </c>
      <c r="Q2261" s="166" t="s">
        <v>15562</v>
      </c>
      <c r="R2261" s="268" t="s">
        <v>15568</v>
      </c>
      <c r="S2261" s="386"/>
      <c r="T2261" s="267"/>
      <c r="U2261" s="267"/>
      <c r="V2261" s="267"/>
      <c r="W2261" s="345" t="s">
        <v>15570</v>
      </c>
      <c r="X2261" s="680" t="s">
        <v>12466</v>
      </c>
      <c r="Y2261" s="384"/>
      <c r="Z2261" s="385"/>
      <c r="AA2261" s="385"/>
      <c r="AB2261" s="41">
        <f t="shared" ca="1" si="50"/>
        <v>0.19482820447936</v>
      </c>
      <c r="AC2261" s="832"/>
      <c r="AD2261" s="833"/>
      <c r="AE2261" s="956"/>
      <c r="AF2261" s="929">
        <f>IF(X2261=X2260,AF2260,0)+IF(ISNUMBER(I2261),IF(I2261&lt;1,I2261,I2261*VLOOKUP(J2261,Summary!$H$2:$I$9,2)),VLOOKUP(J2261,Summary!$J$2:$K$9,2)*IF(ISNUMBER(H2261),H2261,1))</f>
        <v>1.9117361111111104</v>
      </c>
      <c r="AG2261" s="307">
        <v>2260</v>
      </c>
      <c r="AH2261" s="94"/>
      <c r="AI2261" s="94"/>
    </row>
    <row r="2262" spans="1:36" s="22" customFormat="1" ht="12" customHeight="1" x14ac:dyDescent="0.25">
      <c r="A2262" s="522" t="s">
        <v>10692</v>
      </c>
      <c r="B2262" s="522">
        <v>6</v>
      </c>
      <c r="C2262" s="528">
        <v>26.18</v>
      </c>
      <c r="D2262" s="434" t="s">
        <v>6658</v>
      </c>
      <c r="E2262" s="324" t="s">
        <v>5056</v>
      </c>
      <c r="F2262" s="174">
        <v>39508</v>
      </c>
      <c r="G2262" s="174"/>
      <c r="H2262" s="176">
        <v>1</v>
      </c>
      <c r="I2262" s="176">
        <v>6</v>
      </c>
      <c r="J2262" s="900" t="s">
        <v>2755</v>
      </c>
      <c r="K2262" s="164" t="s">
        <v>6833</v>
      </c>
      <c r="L2262" s="164" t="s">
        <v>461</v>
      </c>
      <c r="M2262" s="164"/>
      <c r="N2262" s="164" t="s">
        <v>7381</v>
      </c>
      <c r="O2262" s="164"/>
      <c r="P2262" s="173" t="s">
        <v>6706</v>
      </c>
      <c r="Q2262" s="164" t="s">
        <v>3947</v>
      </c>
      <c r="R2262" s="179" t="s">
        <v>2723</v>
      </c>
      <c r="S2262" s="354"/>
      <c r="T2262" s="173"/>
      <c r="U2262" s="173"/>
      <c r="V2262" s="173"/>
      <c r="W2262" s="324" t="s">
        <v>5056</v>
      </c>
      <c r="X2262" s="656" t="s">
        <v>12466</v>
      </c>
      <c r="Y2262" s="363"/>
      <c r="Z2262" s="364"/>
      <c r="AA2262" s="364"/>
      <c r="AB2262" s="32">
        <f t="shared" ca="1" si="50"/>
        <v>0.53694205424283525</v>
      </c>
      <c r="AC2262" s="812"/>
      <c r="AD2262" s="837"/>
      <c r="AE2262" s="951"/>
      <c r="AF2262" s="921">
        <f>IF(X2262=X2261,AF2261,0)+IF(ISNUMBER(I2262),IF(I2262&lt;1,I2262,I2262*VLOOKUP(J2262,Summary!$H$2:$I$9,2)),VLOOKUP(J2262,Summary!$J$2:$K$9,2)*IF(ISNUMBER(H2262),H2262,1))</f>
        <v>1.9159027777777771</v>
      </c>
      <c r="AG2262" s="288">
        <v>2261</v>
      </c>
      <c r="AH2262" s="94"/>
      <c r="AI2262" s="94"/>
    </row>
    <row r="2263" spans="1:36" s="22" customFormat="1" ht="12" customHeight="1" x14ac:dyDescent="0.25">
      <c r="A2263" s="522" t="s">
        <v>10692</v>
      </c>
      <c r="B2263" s="522">
        <v>6</v>
      </c>
      <c r="C2263" s="528">
        <v>3.13</v>
      </c>
      <c r="D2263" s="434" t="s">
        <v>6662</v>
      </c>
      <c r="E2263" s="324" t="s">
        <v>5057</v>
      </c>
      <c r="F2263" s="174">
        <v>36586</v>
      </c>
      <c r="G2263" s="174"/>
      <c r="H2263" s="176">
        <v>1</v>
      </c>
      <c r="I2263" s="176">
        <v>6</v>
      </c>
      <c r="J2263" s="900" t="s">
        <v>2755</v>
      </c>
      <c r="K2263" s="164" t="s">
        <v>6661</v>
      </c>
      <c r="L2263" s="164" t="s">
        <v>461</v>
      </c>
      <c r="M2263" s="164"/>
      <c r="N2263" s="164" t="s">
        <v>4992</v>
      </c>
      <c r="O2263" s="164"/>
      <c r="P2263" s="173" t="s">
        <v>4993</v>
      </c>
      <c r="Q2263" s="164" t="s">
        <v>3953</v>
      </c>
      <c r="R2263" s="179" t="s">
        <v>2723</v>
      </c>
      <c r="S2263" s="354"/>
      <c r="T2263" s="173"/>
      <c r="U2263" s="173"/>
      <c r="V2263" s="173"/>
      <c r="W2263" s="324" t="s">
        <v>5057</v>
      </c>
      <c r="X2263" s="656" t="s">
        <v>12466</v>
      </c>
      <c r="Y2263" s="354" t="s">
        <v>6868</v>
      </c>
      <c r="Z2263" s="176">
        <v>999</v>
      </c>
      <c r="AA2263" s="364"/>
      <c r="AB2263" s="32">
        <f t="shared" ca="1" si="50"/>
        <v>0.8829028132937945</v>
      </c>
      <c r="AC2263" s="812"/>
      <c r="AD2263" s="837"/>
      <c r="AE2263" s="951"/>
      <c r="AF2263" s="921">
        <f>IF(X2263=X2262,AF2262,0)+IF(ISNUMBER(I2263),IF(I2263&lt;1,I2263,I2263*VLOOKUP(J2263,Summary!$H$2:$I$9,2)),VLOOKUP(J2263,Summary!$J$2:$K$9,2)*IF(ISNUMBER(H2263),H2263,1))</f>
        <v>1.9200694444444437</v>
      </c>
      <c r="AG2263" s="288">
        <v>2262</v>
      </c>
      <c r="AH2263" s="94"/>
      <c r="AI2263" s="94"/>
    </row>
    <row r="2264" spans="1:36" s="22" customFormat="1" ht="12" customHeight="1" x14ac:dyDescent="0.25">
      <c r="A2264" s="523" t="s">
        <v>10693</v>
      </c>
      <c r="B2264" s="523">
        <v>6</v>
      </c>
      <c r="C2264" s="523">
        <v>4</v>
      </c>
      <c r="D2264" s="417" t="s">
        <v>171</v>
      </c>
      <c r="E2264" s="316" t="s">
        <v>2912</v>
      </c>
      <c r="F2264" s="187">
        <v>35674</v>
      </c>
      <c r="G2264" s="188"/>
      <c r="H2264" s="188" t="str">
        <f>IF(J2264="Book","n/a","")</f>
        <v>n/a</v>
      </c>
      <c r="I2264" s="188">
        <v>277</v>
      </c>
      <c r="J2264" s="902" t="s">
        <v>6868</v>
      </c>
      <c r="K2264" s="162" t="s">
        <v>7375</v>
      </c>
      <c r="L2264" s="162" t="str">
        <f>IF(J2264="Book","n/a","")</f>
        <v>n/a</v>
      </c>
      <c r="M2264" s="162"/>
      <c r="N2264" s="162"/>
      <c r="O2264" s="162"/>
      <c r="P2264" s="178" t="s">
        <v>8929</v>
      </c>
      <c r="Q2264" s="162" t="s">
        <v>3953</v>
      </c>
      <c r="R2264" s="189" t="s">
        <v>2717</v>
      </c>
      <c r="S2264" s="366"/>
      <c r="T2264" s="178" t="s">
        <v>2321</v>
      </c>
      <c r="U2264" s="178"/>
      <c r="V2264" s="178"/>
      <c r="W2264" s="316" t="s">
        <v>2912</v>
      </c>
      <c r="X2264" s="648" t="s">
        <v>12338</v>
      </c>
      <c r="Y2264" s="356" t="s">
        <v>6868</v>
      </c>
      <c r="Z2264" s="272"/>
      <c r="AA2264" s="272"/>
      <c r="AB2264" s="34">
        <f t="shared" ca="1" si="50"/>
        <v>0.10402967845889255</v>
      </c>
      <c r="AC2264" s="814"/>
      <c r="AD2264" s="871" t="s">
        <v>16030</v>
      </c>
      <c r="AE2264" s="942"/>
      <c r="AF2264" s="923">
        <f>IF(X2264=X2263,AF2263,0)+IF(ISNUMBER(I2264),IF(I2264&lt;1,I2264,I2264*VLOOKUP(J2264,Summary!$H$2:$I$9,2)),VLOOKUP(J2264,Summary!$J$2:$K$9,2)*IF(ISNUMBER(H2264),H2264,1))</f>
        <v>0.19236111111111112</v>
      </c>
      <c r="AG2264" s="291">
        <v>2263</v>
      </c>
      <c r="AH2264" s="94"/>
      <c r="AI2264" s="94"/>
    </row>
    <row r="2265" spans="1:36" s="43" customFormat="1" ht="12" customHeight="1" x14ac:dyDescent="0.25">
      <c r="A2265" s="410" t="s">
        <v>10693</v>
      </c>
      <c r="B2265" s="410" t="s">
        <v>2650</v>
      </c>
      <c r="C2265" s="410"/>
      <c r="D2265" s="176" t="s">
        <v>14424</v>
      </c>
      <c r="E2265" s="313" t="s">
        <v>13717</v>
      </c>
      <c r="F2265" s="175">
        <v>42472</v>
      </c>
      <c r="G2265" s="181"/>
      <c r="H2265" s="176" t="s">
        <v>461</v>
      </c>
      <c r="I2265" s="176"/>
      <c r="J2265" s="900" t="s">
        <v>2755</v>
      </c>
      <c r="K2265" s="164" t="s">
        <v>13688</v>
      </c>
      <c r="L2265" s="164" t="s">
        <v>461</v>
      </c>
      <c r="M2265" s="164"/>
      <c r="N2265" s="164"/>
      <c r="O2265" s="164"/>
      <c r="P2265" s="173"/>
      <c r="Q2265" s="164" t="s">
        <v>13674</v>
      </c>
      <c r="R2265" s="177" t="s">
        <v>13703</v>
      </c>
      <c r="S2265" s="354"/>
      <c r="T2265" s="173"/>
      <c r="U2265" s="173" t="s">
        <v>2597</v>
      </c>
      <c r="V2265" s="173"/>
      <c r="W2265" s="313" t="s">
        <v>13717</v>
      </c>
      <c r="X2265" s="645" t="s">
        <v>12338</v>
      </c>
      <c r="Y2265" s="354"/>
      <c r="Z2265" s="157"/>
      <c r="AA2265" s="176"/>
      <c r="AB2265" s="32">
        <f t="shared" ca="1" si="50"/>
        <v>0.59765846158075397</v>
      </c>
      <c r="AC2265" s="812"/>
      <c r="AD2265" s="763"/>
      <c r="AE2265" s="807"/>
      <c r="AF2265" s="921">
        <f>IF(X2265=X2264,AF2264,0)+IF(ISNUMBER(I2265),IF(I2265&lt;1,I2265,I2265*VLOOKUP(J2265,Summary!$H$2:$I$9,2)),VLOOKUP(J2265,Summary!$J$2:$K$9,2)*IF(ISNUMBER(H2265),H2265,1))</f>
        <v>0.20972222222222223</v>
      </c>
      <c r="AG2265" s="289">
        <v>2264</v>
      </c>
      <c r="AH2265" s="94"/>
      <c r="AI2265" s="94"/>
    </row>
    <row r="2266" spans="1:36" s="2" customFormat="1" ht="12" customHeight="1" x14ac:dyDescent="0.25">
      <c r="A2266" s="410" t="s">
        <v>10693</v>
      </c>
      <c r="B2266" s="410" t="s">
        <v>2650</v>
      </c>
      <c r="C2266" s="410"/>
      <c r="D2266" s="176" t="s">
        <v>14454</v>
      </c>
      <c r="E2266" s="313" t="s">
        <v>14459</v>
      </c>
      <c r="F2266" s="175">
        <v>43160</v>
      </c>
      <c r="G2266" s="181"/>
      <c r="H2266" s="176" t="s">
        <v>461</v>
      </c>
      <c r="I2266" s="176"/>
      <c r="J2266" s="900" t="s">
        <v>2755</v>
      </c>
      <c r="K2266" s="164" t="s">
        <v>14464</v>
      </c>
      <c r="L2266" s="164" t="s">
        <v>461</v>
      </c>
      <c r="M2266" s="164"/>
      <c r="N2266" s="164"/>
      <c r="O2266" s="164"/>
      <c r="P2266" s="173"/>
      <c r="Q2266" s="164" t="s">
        <v>13674</v>
      </c>
      <c r="R2266" s="177" t="s">
        <v>13703</v>
      </c>
      <c r="S2266" s="354"/>
      <c r="T2266" s="173"/>
      <c r="U2266" s="173" t="s">
        <v>2597</v>
      </c>
      <c r="V2266" s="173"/>
      <c r="W2266" s="313" t="s">
        <v>14459</v>
      </c>
      <c r="X2266" s="645" t="s">
        <v>12338</v>
      </c>
      <c r="Y2266" s="354"/>
      <c r="Z2266" s="157"/>
      <c r="AA2266" s="176"/>
      <c r="AB2266" s="32">
        <f t="shared" ca="1" si="50"/>
        <v>0.44671299153307376</v>
      </c>
      <c r="AC2266" s="812"/>
      <c r="AD2266" s="763"/>
      <c r="AE2266" s="807"/>
      <c r="AF2266" s="921">
        <f>IF(X2266=X2265,AF2265,0)+IF(ISNUMBER(I2266),IF(I2266&lt;1,I2266,I2266*VLOOKUP(J2266,Summary!$H$2:$I$9,2)),VLOOKUP(J2266,Summary!$J$2:$K$9,2)*IF(ISNUMBER(H2266),H2266,1))</f>
        <v>0.22708333333333333</v>
      </c>
      <c r="AG2266" s="289">
        <v>2265</v>
      </c>
      <c r="AH2266" s="94"/>
      <c r="AI2266" s="94"/>
    </row>
    <row r="2267" spans="1:36" s="22" customFormat="1" ht="12" customHeight="1" x14ac:dyDescent="0.25">
      <c r="A2267" s="522" t="s">
        <v>10693</v>
      </c>
      <c r="B2267" s="522">
        <v>6</v>
      </c>
      <c r="C2267" s="522">
        <v>40</v>
      </c>
      <c r="D2267" s="176" t="s">
        <v>5847</v>
      </c>
      <c r="E2267" s="313" t="s">
        <v>6019</v>
      </c>
      <c r="F2267" s="174">
        <v>33482</v>
      </c>
      <c r="G2267" s="174"/>
      <c r="H2267" s="176">
        <v>1</v>
      </c>
      <c r="I2267" s="176">
        <v>2</v>
      </c>
      <c r="J2267" s="900" t="s">
        <v>2755</v>
      </c>
      <c r="K2267" s="164" t="s">
        <v>1986</v>
      </c>
      <c r="L2267" s="164" t="s">
        <v>461</v>
      </c>
      <c r="M2267" s="164"/>
      <c r="N2267" s="164" t="s">
        <v>561</v>
      </c>
      <c r="O2267" s="164"/>
      <c r="P2267" s="173" t="s">
        <v>5849</v>
      </c>
      <c r="Q2267" s="164" t="s">
        <v>4062</v>
      </c>
      <c r="R2267" s="177" t="s">
        <v>4599</v>
      </c>
      <c r="S2267" s="354"/>
      <c r="T2267" s="173" t="s">
        <v>2321</v>
      </c>
      <c r="U2267" s="173"/>
      <c r="V2267" s="173"/>
      <c r="W2267" s="313" t="s">
        <v>6019</v>
      </c>
      <c r="X2267" s="645" t="s">
        <v>12338</v>
      </c>
      <c r="Y2267" s="354" t="s">
        <v>6868</v>
      </c>
      <c r="Z2267" s="176">
        <v>999</v>
      </c>
      <c r="AA2267" s="176"/>
      <c r="AB2267" s="32">
        <f t="shared" ca="1" si="50"/>
        <v>0.12101860311041823</v>
      </c>
      <c r="AC2267" s="812"/>
      <c r="AD2267" s="837"/>
      <c r="AE2267" s="951"/>
      <c r="AF2267" s="921">
        <f>IF(X2267=X2266,AF2266,0)+IF(ISNUMBER(I2267),IF(I2267&lt;1,I2267,I2267*VLOOKUP(J2267,Summary!$H$2:$I$9,2)),VLOOKUP(J2267,Summary!$J$2:$K$9,2)*IF(ISNUMBER(H2267),H2267,1))</f>
        <v>0.22847222222222222</v>
      </c>
      <c r="AG2267" s="289">
        <v>2266</v>
      </c>
      <c r="AH2267" s="94"/>
      <c r="AI2267" s="94"/>
    </row>
    <row r="2268" spans="1:36" s="1" customFormat="1" ht="12" customHeight="1" x14ac:dyDescent="0.25">
      <c r="A2268" s="522" t="s">
        <v>10693</v>
      </c>
      <c r="B2268" s="522">
        <v>6</v>
      </c>
      <c r="C2268" s="522">
        <v>35</v>
      </c>
      <c r="D2268" s="176" t="s">
        <v>3544</v>
      </c>
      <c r="E2268" s="313" t="s">
        <v>3482</v>
      </c>
      <c r="F2268" s="174">
        <v>33543</v>
      </c>
      <c r="G2268" s="174"/>
      <c r="H2268" s="176">
        <v>1</v>
      </c>
      <c r="I2268" s="176">
        <v>2</v>
      </c>
      <c r="J2268" s="900" t="s">
        <v>2755</v>
      </c>
      <c r="K2268" s="164" t="s">
        <v>1986</v>
      </c>
      <c r="L2268" s="164" t="s">
        <v>6043</v>
      </c>
      <c r="M2268" s="164"/>
      <c r="N2268" s="164" t="s">
        <v>561</v>
      </c>
      <c r="O2268" s="164"/>
      <c r="P2268" s="173" t="s">
        <v>461</v>
      </c>
      <c r="Q2268" s="164" t="s">
        <v>4062</v>
      </c>
      <c r="R2268" s="177" t="s">
        <v>4599</v>
      </c>
      <c r="S2268" s="354"/>
      <c r="T2268" s="393" t="s">
        <v>2321</v>
      </c>
      <c r="U2268" s="173" t="s">
        <v>2597</v>
      </c>
      <c r="V2268" s="173"/>
      <c r="W2268" s="313" t="s">
        <v>3482</v>
      </c>
      <c r="X2268" s="645" t="s">
        <v>12338</v>
      </c>
      <c r="Y2268" s="354"/>
      <c r="Z2268" s="176"/>
      <c r="AA2268" s="176"/>
      <c r="AB2268" s="32">
        <f t="shared" ca="1" si="50"/>
        <v>0.99417908655455101</v>
      </c>
      <c r="AC2268" s="812"/>
      <c r="AD2268" s="763"/>
      <c r="AE2268" s="807"/>
      <c r="AF2268" s="921">
        <f>IF(X2268=X2267,AF2267,0)+IF(ISNUMBER(I2268),IF(I2268&lt;1,I2268,I2268*VLOOKUP(J2268,Summary!$H$2:$I$9,2)),VLOOKUP(J2268,Summary!$J$2:$K$9,2)*IF(ISNUMBER(H2268),H2268,1))</f>
        <v>0.2298611111111111</v>
      </c>
      <c r="AG2268" s="289">
        <v>2267</v>
      </c>
      <c r="AH2268" s="94"/>
      <c r="AI2268" s="94"/>
    </row>
    <row r="2269" spans="1:36" s="1" customFormat="1" ht="12" customHeight="1" x14ac:dyDescent="0.25">
      <c r="A2269" s="522" t="s">
        <v>10693</v>
      </c>
      <c r="B2269" s="522">
        <v>6</v>
      </c>
      <c r="C2269" s="522">
        <v>47</v>
      </c>
      <c r="D2269" s="176" t="s">
        <v>186</v>
      </c>
      <c r="E2269" s="313" t="s">
        <v>5541</v>
      </c>
      <c r="F2269" s="174">
        <v>33848</v>
      </c>
      <c r="G2269" s="174"/>
      <c r="H2269" s="176">
        <v>1</v>
      </c>
      <c r="I2269" s="176">
        <v>2</v>
      </c>
      <c r="J2269" s="900" t="s">
        <v>2755</v>
      </c>
      <c r="K2269" s="164" t="s">
        <v>1986</v>
      </c>
      <c r="L2269" s="164" t="s">
        <v>6043</v>
      </c>
      <c r="M2269" s="164"/>
      <c r="N2269" s="164" t="s">
        <v>7375</v>
      </c>
      <c r="O2269" s="164"/>
      <c r="P2269" s="173" t="s">
        <v>189</v>
      </c>
      <c r="Q2269" s="164" t="s">
        <v>4062</v>
      </c>
      <c r="R2269" s="177" t="s">
        <v>4599</v>
      </c>
      <c r="S2269" s="354"/>
      <c r="T2269" s="393" t="s">
        <v>2321</v>
      </c>
      <c r="U2269" s="173"/>
      <c r="V2269" s="173"/>
      <c r="W2269" s="313" t="s">
        <v>5541</v>
      </c>
      <c r="X2269" s="645" t="s">
        <v>12338</v>
      </c>
      <c r="Y2269" s="354" t="s">
        <v>6868</v>
      </c>
      <c r="Z2269" s="176">
        <v>999</v>
      </c>
      <c r="AA2269" s="176"/>
      <c r="AB2269" s="32">
        <f t="shared" ca="1" si="50"/>
        <v>0.19977059632680305</v>
      </c>
      <c r="AC2269" s="812"/>
      <c r="AD2269" s="763"/>
      <c r="AE2269" s="807"/>
      <c r="AF2269" s="921">
        <f>IF(X2269=X2268,AF2268,0)+IF(ISNUMBER(I2269),IF(I2269&lt;1,I2269,I2269*VLOOKUP(J2269,Summary!$H$2:$I$9,2)),VLOOKUP(J2269,Summary!$J$2:$K$9,2)*IF(ISNUMBER(H2269),H2269,1))</f>
        <v>0.23124999999999998</v>
      </c>
      <c r="AG2269" s="289">
        <v>2268</v>
      </c>
      <c r="AH2269" s="94"/>
      <c r="AI2269" s="94"/>
    </row>
    <row r="2270" spans="1:36" s="1" customFormat="1" ht="12" customHeight="1" x14ac:dyDescent="0.25">
      <c r="A2270" s="522" t="s">
        <v>10693</v>
      </c>
      <c r="B2270" s="522">
        <v>6</v>
      </c>
      <c r="C2270" s="522">
        <v>3.07</v>
      </c>
      <c r="D2270" s="434" t="s">
        <v>2746</v>
      </c>
      <c r="E2270" s="324" t="s">
        <v>2743</v>
      </c>
      <c r="F2270" s="176">
        <v>1996</v>
      </c>
      <c r="G2270" s="176"/>
      <c r="H2270" s="176" t="s">
        <v>461</v>
      </c>
      <c r="I2270" s="176"/>
      <c r="J2270" s="900" t="s">
        <v>2755</v>
      </c>
      <c r="K2270" s="164" t="s">
        <v>3451</v>
      </c>
      <c r="L2270" s="164" t="s">
        <v>461</v>
      </c>
      <c r="M2270" s="164"/>
      <c r="N2270" s="164" t="s">
        <v>333</v>
      </c>
      <c r="O2270" s="164"/>
      <c r="P2270" s="173" t="s">
        <v>3523</v>
      </c>
      <c r="Q2270" s="164" t="s">
        <v>6548</v>
      </c>
      <c r="R2270" s="179" t="s">
        <v>4598</v>
      </c>
      <c r="S2270" s="354"/>
      <c r="T2270" s="393" t="s">
        <v>2321</v>
      </c>
      <c r="U2270" s="173"/>
      <c r="V2270" s="173"/>
      <c r="W2270" s="324" t="s">
        <v>2743</v>
      </c>
      <c r="X2270" s="656" t="s">
        <v>12338</v>
      </c>
      <c r="Y2270" s="354" t="s">
        <v>6868</v>
      </c>
      <c r="Z2270" s="176">
        <v>25</v>
      </c>
      <c r="AA2270" s="364">
        <v>6</v>
      </c>
      <c r="AB2270" s="32">
        <f t="shared" ca="1" si="50"/>
        <v>0.43969903703964464</v>
      </c>
      <c r="AC2270" s="812"/>
      <c r="AD2270" s="763"/>
      <c r="AE2270" s="951"/>
      <c r="AF2270" s="921">
        <f>IF(X2270=X2269,AF2269,0)+IF(ISNUMBER(I2270),IF(I2270&lt;1,I2270,I2270*VLOOKUP(J2270,Summary!$H$2:$I$9,2)),VLOOKUP(J2270,Summary!$J$2:$K$9,2)*IF(ISNUMBER(H2270),H2270,1))</f>
        <v>0.24861111111111109</v>
      </c>
      <c r="AG2270" s="288">
        <v>2269</v>
      </c>
      <c r="AH2270" s="94"/>
      <c r="AI2270" s="94"/>
    </row>
    <row r="2271" spans="1:36" s="43" customFormat="1" ht="12" customHeight="1" x14ac:dyDescent="0.25">
      <c r="A2271" s="522" t="s">
        <v>10693</v>
      </c>
      <c r="B2271" s="522">
        <v>6</v>
      </c>
      <c r="C2271" s="522">
        <v>29.21</v>
      </c>
      <c r="D2271" s="176" t="s">
        <v>951</v>
      </c>
      <c r="E2271" s="313" t="s">
        <v>5350</v>
      </c>
      <c r="F2271" s="174">
        <v>39692</v>
      </c>
      <c r="G2271" s="174"/>
      <c r="H2271" s="176" t="s">
        <v>461</v>
      </c>
      <c r="I2271" s="176">
        <v>10</v>
      </c>
      <c r="J2271" s="900" t="s">
        <v>2755</v>
      </c>
      <c r="K2271" s="164" t="s">
        <v>5846</v>
      </c>
      <c r="L2271" s="164" t="s">
        <v>461</v>
      </c>
      <c r="M2271" s="164"/>
      <c r="N2271" s="164" t="s">
        <v>5664</v>
      </c>
      <c r="O2271" s="164"/>
      <c r="P2271" s="173" t="s">
        <v>6707</v>
      </c>
      <c r="Q2271" s="164" t="s">
        <v>3947</v>
      </c>
      <c r="R2271" s="177" t="s">
        <v>2723</v>
      </c>
      <c r="S2271" s="354"/>
      <c r="T2271" s="173" t="s">
        <v>2321</v>
      </c>
      <c r="U2271" s="173"/>
      <c r="V2271" s="173"/>
      <c r="W2271" s="313" t="s">
        <v>5350</v>
      </c>
      <c r="X2271" s="656" t="s">
        <v>12338</v>
      </c>
      <c r="Y2271" s="354"/>
      <c r="Z2271" s="176"/>
      <c r="AA2271" s="176"/>
      <c r="AB2271" s="32">
        <f t="shared" ca="1" si="50"/>
        <v>0.79904553736755934</v>
      </c>
      <c r="AC2271" s="812"/>
      <c r="AD2271" s="763"/>
      <c r="AE2271" s="807"/>
      <c r="AF2271" s="921">
        <f>IF(X2271=X2270,AF2270,0)+IF(ISNUMBER(I2271),IF(I2271&lt;1,I2271,I2271*VLOOKUP(J2271,Summary!$H$2:$I$9,2)),VLOOKUP(J2271,Summary!$J$2:$K$9,2)*IF(ISNUMBER(H2271),H2271,1))</f>
        <v>0.25555555555555554</v>
      </c>
      <c r="AG2271" s="289">
        <v>2270</v>
      </c>
      <c r="AH2271" s="94"/>
      <c r="AI2271" s="94"/>
    </row>
    <row r="2272" spans="1:36" s="1" customFormat="1" ht="12" customHeight="1" x14ac:dyDescent="0.25">
      <c r="A2272" s="524" t="s">
        <v>10693</v>
      </c>
      <c r="B2272" s="524">
        <v>6</v>
      </c>
      <c r="C2272" s="530">
        <v>0.11</v>
      </c>
      <c r="D2272" s="192" t="s">
        <v>13131</v>
      </c>
      <c r="E2272" s="317" t="s">
        <v>12781</v>
      </c>
      <c r="F2272" s="191">
        <v>41995</v>
      </c>
      <c r="G2272" s="191"/>
      <c r="H2272" s="192" t="s">
        <v>461</v>
      </c>
      <c r="I2272" s="753">
        <f>TIME(0,36,16)</f>
        <v>2.5185185185185185E-2</v>
      </c>
      <c r="J2272" s="903" t="s">
        <v>2755</v>
      </c>
      <c r="K2272" s="194" t="s">
        <v>10216</v>
      </c>
      <c r="L2272" s="194" t="s">
        <v>10635</v>
      </c>
      <c r="M2272" s="194" t="s">
        <v>9290</v>
      </c>
      <c r="N2272" s="194"/>
      <c r="O2272" s="194"/>
      <c r="P2272" s="190" t="s">
        <v>12782</v>
      </c>
      <c r="Q2272" s="194" t="s">
        <v>3947</v>
      </c>
      <c r="R2272" s="193" t="s">
        <v>2722</v>
      </c>
      <c r="S2272" s="357"/>
      <c r="T2272" s="881" t="s">
        <v>2321</v>
      </c>
      <c r="U2272" s="190"/>
      <c r="V2272" s="190"/>
      <c r="W2272" s="317" t="s">
        <v>1974</v>
      </c>
      <c r="X2272" s="649" t="s">
        <v>12338</v>
      </c>
      <c r="Y2272" s="357" t="s">
        <v>5643</v>
      </c>
      <c r="Z2272" s="192">
        <v>999</v>
      </c>
      <c r="AA2272" s="192"/>
      <c r="AB2272" s="37">
        <f t="shared" ca="1" si="50"/>
        <v>0.7562560529146074</v>
      </c>
      <c r="AC2272" s="816"/>
      <c r="AD2272" s="817"/>
      <c r="AE2272" s="943"/>
      <c r="AF2272" s="924">
        <f>IF(X2272=X2271,AF2271,0)+IF(ISNUMBER(I2272),IF(I2272&lt;1,I2272,I2272*VLOOKUP(J2272,Summary!$H$2:$I$9,2)),VLOOKUP(J2272,Summary!$J$2:$K$9,2)*IF(ISNUMBER(H2272),H2272,1))</f>
        <v>0.28074074074074074</v>
      </c>
      <c r="AG2272" s="292">
        <v>2271</v>
      </c>
      <c r="AH2272" s="94"/>
      <c r="AI2272" s="94"/>
    </row>
    <row r="2273" spans="1:36" s="1" customFormat="1" ht="12" customHeight="1" x14ac:dyDescent="0.25">
      <c r="A2273" s="527" t="s">
        <v>10693</v>
      </c>
      <c r="B2273" s="527">
        <v>6</v>
      </c>
      <c r="C2273" s="527">
        <v>27</v>
      </c>
      <c r="D2273" s="407" t="s">
        <v>2919</v>
      </c>
      <c r="E2273" s="315" t="s">
        <v>2920</v>
      </c>
      <c r="F2273" s="196">
        <v>37242</v>
      </c>
      <c r="G2273" s="170"/>
      <c r="H2273" s="170">
        <v>4</v>
      </c>
      <c r="I2273" s="746">
        <f>TIME(2,2,43)</f>
        <v>8.5219907407407411E-2</v>
      </c>
      <c r="J2273" s="899" t="s">
        <v>4706</v>
      </c>
      <c r="K2273" s="167" t="s">
        <v>6340</v>
      </c>
      <c r="L2273" s="167" t="s">
        <v>7375</v>
      </c>
      <c r="M2273" s="167"/>
      <c r="N2273" s="167"/>
      <c r="O2273" s="167" t="s">
        <v>2909</v>
      </c>
      <c r="P2273" s="168" t="s">
        <v>12964</v>
      </c>
      <c r="Q2273" s="167" t="s">
        <v>3947</v>
      </c>
      <c r="R2273" s="172" t="s">
        <v>3146</v>
      </c>
      <c r="S2273" s="388"/>
      <c r="T2273" s="168" t="s">
        <v>2321</v>
      </c>
      <c r="U2273" s="168"/>
      <c r="V2273" s="168"/>
      <c r="W2273" s="312" t="s">
        <v>8768</v>
      </c>
      <c r="X2273" s="644" t="s">
        <v>12338</v>
      </c>
      <c r="Y2273" s="352" t="s">
        <v>5643</v>
      </c>
      <c r="Z2273" s="353">
        <v>3</v>
      </c>
      <c r="AA2273" s="353">
        <v>10</v>
      </c>
      <c r="AB2273" s="31">
        <f t="shared" ca="1" si="50"/>
        <v>0.83142693512014987</v>
      </c>
      <c r="AC2273" s="810"/>
      <c r="AD2273" s="811"/>
      <c r="AE2273" s="940"/>
      <c r="AF2273" s="920">
        <f>IF(X2273=X2272,AF2272,0)+IF(ISNUMBER(I2273),IF(I2273&lt;1,I2273,I2273*VLOOKUP(J2273,Summary!$H$2:$I$9,2)),VLOOKUP(J2273,Summary!$J$2:$K$9,2)*IF(ISNUMBER(H2273),H2273,1))</f>
        <v>0.36596064814814816</v>
      </c>
      <c r="AG2273" s="287">
        <v>2272</v>
      </c>
      <c r="AH2273" s="94"/>
      <c r="AI2273" s="94"/>
    </row>
    <row r="2274" spans="1:36" s="1" customFormat="1" ht="12" customHeight="1" x14ac:dyDescent="0.25">
      <c r="A2274" s="522" t="s">
        <v>10693</v>
      </c>
      <c r="B2274" s="522">
        <v>6</v>
      </c>
      <c r="C2274" s="522">
        <v>9.1300000000000008</v>
      </c>
      <c r="D2274" s="434" t="s">
        <v>2735</v>
      </c>
      <c r="E2274" s="324" t="s">
        <v>2731</v>
      </c>
      <c r="F2274" s="174">
        <v>38047</v>
      </c>
      <c r="G2274" s="174"/>
      <c r="H2274" s="176">
        <v>1</v>
      </c>
      <c r="I2274" s="176">
        <v>8</v>
      </c>
      <c r="J2274" s="900" t="s">
        <v>2755</v>
      </c>
      <c r="K2274" s="164" t="s">
        <v>3284</v>
      </c>
      <c r="L2274" s="164" t="s">
        <v>461</v>
      </c>
      <c r="M2274" s="164"/>
      <c r="N2274" s="164" t="s">
        <v>7381</v>
      </c>
      <c r="O2274" s="164"/>
      <c r="P2274" s="173" t="s">
        <v>3431</v>
      </c>
      <c r="Q2274" s="164" t="s">
        <v>3947</v>
      </c>
      <c r="R2274" s="179" t="s">
        <v>2723</v>
      </c>
      <c r="S2274" s="354"/>
      <c r="T2274" s="173" t="s">
        <v>2321</v>
      </c>
      <c r="U2274" s="173"/>
      <c r="V2274" s="173"/>
      <c r="W2274" s="324" t="s">
        <v>2731</v>
      </c>
      <c r="X2274" s="656" t="s">
        <v>12338</v>
      </c>
      <c r="Y2274" s="363"/>
      <c r="Z2274" s="364">
        <v>999</v>
      </c>
      <c r="AA2274" s="364"/>
      <c r="AB2274" s="32">
        <f t="shared" ca="1" si="50"/>
        <v>0.54020901887619921</v>
      </c>
      <c r="AC2274" s="812"/>
      <c r="AD2274" s="763"/>
      <c r="AE2274" s="951"/>
      <c r="AF2274" s="921">
        <f>IF(X2274=X2273,AF2273,0)+IF(ISNUMBER(I2274),IF(I2274&lt;1,I2274,I2274*VLOOKUP(J2274,Summary!$H$2:$I$9,2)),VLOOKUP(J2274,Summary!$J$2:$K$9,2)*IF(ISNUMBER(H2274),H2274,1))</f>
        <v>0.3715162037037037</v>
      </c>
      <c r="AG2274" s="288">
        <v>2273</v>
      </c>
      <c r="AH2274" s="94"/>
      <c r="AI2274" s="94"/>
    </row>
    <row r="2275" spans="1:36" s="1" customFormat="1" ht="12" customHeight="1" x14ac:dyDescent="0.25">
      <c r="A2275" s="522" t="s">
        <v>10693</v>
      </c>
      <c r="B2275" s="522">
        <v>6</v>
      </c>
      <c r="C2275" s="522">
        <v>10.050000000000001</v>
      </c>
      <c r="D2275" s="434" t="s">
        <v>2736</v>
      </c>
      <c r="E2275" s="324" t="s">
        <v>2732</v>
      </c>
      <c r="F2275" s="174">
        <v>38139</v>
      </c>
      <c r="G2275" s="174"/>
      <c r="H2275" s="176">
        <v>1</v>
      </c>
      <c r="I2275" s="176">
        <v>12</v>
      </c>
      <c r="J2275" s="900" t="s">
        <v>2755</v>
      </c>
      <c r="K2275" s="164" t="s">
        <v>4032</v>
      </c>
      <c r="L2275" s="164" t="s">
        <v>461</v>
      </c>
      <c r="M2275" s="164"/>
      <c r="N2275" s="164" t="s">
        <v>4996</v>
      </c>
      <c r="O2275" s="164"/>
      <c r="P2275" s="173" t="s">
        <v>5669</v>
      </c>
      <c r="Q2275" s="164" t="s">
        <v>3947</v>
      </c>
      <c r="R2275" s="179" t="s">
        <v>2723</v>
      </c>
      <c r="S2275" s="354"/>
      <c r="T2275" s="173" t="s">
        <v>2321</v>
      </c>
      <c r="U2275" s="173"/>
      <c r="V2275" s="173"/>
      <c r="W2275" s="324" t="s">
        <v>2732</v>
      </c>
      <c r="X2275" s="656" t="s">
        <v>12338</v>
      </c>
      <c r="Y2275" s="363"/>
      <c r="Z2275" s="364">
        <v>999</v>
      </c>
      <c r="AA2275" s="364"/>
      <c r="AB2275" s="32">
        <f t="shared" ca="1" si="50"/>
        <v>0.92881245921831523</v>
      </c>
      <c r="AC2275" s="812"/>
      <c r="AD2275" s="763"/>
      <c r="AE2275" s="951"/>
      <c r="AF2275" s="921">
        <f>IF(X2275=X2274,AF2274,0)+IF(ISNUMBER(I2275),IF(I2275&lt;1,I2275,I2275*VLOOKUP(J2275,Summary!$H$2:$I$9,2)),VLOOKUP(J2275,Summary!$J$2:$K$9,2)*IF(ISNUMBER(H2275),H2275,1))</f>
        <v>0.37984953703703705</v>
      </c>
      <c r="AG2275" s="288">
        <v>2274</v>
      </c>
      <c r="AH2275" s="94"/>
      <c r="AI2275" s="94"/>
    </row>
    <row r="2276" spans="1:36" s="1" customFormat="1" ht="12" customHeight="1" x14ac:dyDescent="0.25">
      <c r="A2276" s="527" t="s">
        <v>10693</v>
      </c>
      <c r="B2276" s="527">
        <v>6</v>
      </c>
      <c r="C2276" s="527">
        <v>65</v>
      </c>
      <c r="D2276" s="407" t="s">
        <v>2921</v>
      </c>
      <c r="E2276" s="315" t="s">
        <v>2922</v>
      </c>
      <c r="F2276" s="169">
        <v>38384</v>
      </c>
      <c r="G2276" s="170"/>
      <c r="H2276" s="170">
        <v>4</v>
      </c>
      <c r="I2276" s="746">
        <f>TIME(2,2,58)</f>
        <v>8.5393518518518521E-2</v>
      </c>
      <c r="J2276" s="899" t="s">
        <v>4706</v>
      </c>
      <c r="K2276" s="167" t="s">
        <v>6341</v>
      </c>
      <c r="L2276" s="167" t="s">
        <v>7375</v>
      </c>
      <c r="M2276" s="167"/>
      <c r="N2276" s="167"/>
      <c r="O2276" s="167" t="s">
        <v>2909</v>
      </c>
      <c r="P2276" s="168" t="s">
        <v>12965</v>
      </c>
      <c r="Q2276" s="167" t="s">
        <v>3947</v>
      </c>
      <c r="R2276" s="172" t="s">
        <v>3146</v>
      </c>
      <c r="S2276" s="388"/>
      <c r="T2276" s="168" t="s">
        <v>2321</v>
      </c>
      <c r="U2276" s="168"/>
      <c r="V2276" s="168"/>
      <c r="W2276" s="312" t="s">
        <v>9308</v>
      </c>
      <c r="X2276" s="644" t="s">
        <v>12338</v>
      </c>
      <c r="Y2276" s="352" t="s">
        <v>6141</v>
      </c>
      <c r="Z2276" s="353">
        <v>45</v>
      </c>
      <c r="AA2276" s="353">
        <v>8.5</v>
      </c>
      <c r="AB2276" s="31">
        <f t="shared" ca="1" si="50"/>
        <v>0.44276998360726316</v>
      </c>
      <c r="AC2276" s="810"/>
      <c r="AD2276" s="811" t="s">
        <v>16415</v>
      </c>
      <c r="AE2276" s="940" t="s">
        <v>3365</v>
      </c>
      <c r="AF2276" s="920">
        <f>IF(X2276=X2275,AF2275,0)+IF(ISNUMBER(I2276),IF(I2276&lt;1,I2276,I2276*VLOOKUP(J2276,Summary!$H$2:$I$9,2)),VLOOKUP(J2276,Summary!$J$2:$K$9,2)*IF(ISNUMBER(H2276),H2276,1))</f>
        <v>0.46524305555555556</v>
      </c>
      <c r="AG2276" s="287">
        <v>2275</v>
      </c>
      <c r="AH2276" s="94"/>
      <c r="AI2276" s="94"/>
    </row>
    <row r="2277" spans="1:36" s="1" customFormat="1" ht="12" customHeight="1" x14ac:dyDescent="0.25">
      <c r="A2277" s="527" t="s">
        <v>10693</v>
      </c>
      <c r="B2277" s="527">
        <v>6</v>
      </c>
      <c r="C2277" s="527">
        <v>68</v>
      </c>
      <c r="D2277" s="407" t="s">
        <v>2923</v>
      </c>
      <c r="E2277" s="315" t="s">
        <v>2924</v>
      </c>
      <c r="F2277" s="169">
        <v>38443</v>
      </c>
      <c r="G2277" s="170"/>
      <c r="H2277" s="170">
        <v>4</v>
      </c>
      <c r="I2277" s="746">
        <f>TIME(1,43,16)</f>
        <v>7.1712962962962964E-2</v>
      </c>
      <c r="J2277" s="899" t="s">
        <v>4706</v>
      </c>
      <c r="K2277" s="167" t="s">
        <v>6342</v>
      </c>
      <c r="L2277" s="167" t="s">
        <v>7375</v>
      </c>
      <c r="M2277" s="167"/>
      <c r="N2277" s="167"/>
      <c r="O2277" s="167" t="s">
        <v>2909</v>
      </c>
      <c r="P2277" s="168" t="s">
        <v>12966</v>
      </c>
      <c r="Q2277" s="167" t="s">
        <v>3947</v>
      </c>
      <c r="R2277" s="172" t="s">
        <v>3146</v>
      </c>
      <c r="S2277" s="388"/>
      <c r="T2277" s="168" t="s">
        <v>2321</v>
      </c>
      <c r="U2277" s="168"/>
      <c r="V2277" s="168"/>
      <c r="W2277" s="312" t="s">
        <v>9316</v>
      </c>
      <c r="X2277" s="644" t="s">
        <v>12338</v>
      </c>
      <c r="Y2277" s="352" t="s">
        <v>5398</v>
      </c>
      <c r="Z2277" s="353">
        <v>323</v>
      </c>
      <c r="AA2277" s="353">
        <v>5</v>
      </c>
      <c r="AB2277" s="31">
        <f t="shared" ca="1" si="50"/>
        <v>0.80397819102444956</v>
      </c>
      <c r="AC2277" s="810"/>
      <c r="AD2277" s="811" t="s">
        <v>15852</v>
      </c>
      <c r="AE2277" s="940"/>
      <c r="AF2277" s="920">
        <f>IF(X2277=X2276,AF2276,0)+IF(ISNUMBER(I2277),IF(I2277&lt;1,I2277,I2277*VLOOKUP(J2277,Summary!$H$2:$I$9,2)),VLOOKUP(J2277,Summary!$J$2:$K$9,2)*IF(ISNUMBER(H2277),H2277,1))</f>
        <v>0.53695601851851849</v>
      </c>
      <c r="AG2277" s="287">
        <v>2276</v>
      </c>
      <c r="AH2277" s="94"/>
      <c r="AI2277" s="94"/>
    </row>
    <row r="2278" spans="1:36" s="1" customFormat="1" ht="12" customHeight="1" x14ac:dyDescent="0.25">
      <c r="A2278" s="522" t="s">
        <v>10693</v>
      </c>
      <c r="B2278" s="522">
        <v>6</v>
      </c>
      <c r="C2278" s="522">
        <v>16.02</v>
      </c>
      <c r="D2278" s="434" t="s">
        <v>2738</v>
      </c>
      <c r="E2278" s="324" t="s">
        <v>2734</v>
      </c>
      <c r="F2278" s="174">
        <v>38473</v>
      </c>
      <c r="G2278" s="174"/>
      <c r="H2278" s="176">
        <v>1</v>
      </c>
      <c r="I2278" s="176">
        <v>20</v>
      </c>
      <c r="J2278" s="900" t="s">
        <v>2755</v>
      </c>
      <c r="K2278" s="164" t="s">
        <v>2739</v>
      </c>
      <c r="L2278" s="164" t="s">
        <v>461</v>
      </c>
      <c r="M2278" s="164"/>
      <c r="N2278" s="164" t="s">
        <v>7381</v>
      </c>
      <c r="O2278" s="164"/>
      <c r="P2278" s="173" t="s">
        <v>1652</v>
      </c>
      <c r="Q2278" s="164" t="s">
        <v>3947</v>
      </c>
      <c r="R2278" s="179" t="s">
        <v>2723</v>
      </c>
      <c r="S2278" s="354"/>
      <c r="T2278" s="173" t="s">
        <v>2321</v>
      </c>
      <c r="U2278" s="173"/>
      <c r="V2278" s="173"/>
      <c r="W2278" s="324" t="s">
        <v>2734</v>
      </c>
      <c r="X2278" s="656" t="s">
        <v>12338</v>
      </c>
      <c r="Y2278" s="363"/>
      <c r="Z2278" s="364"/>
      <c r="AA2278" s="364"/>
      <c r="AB2278" s="32">
        <f t="shared" ca="1" si="50"/>
        <v>0.7966272861321384</v>
      </c>
      <c r="AC2278" s="812"/>
      <c r="AD2278" s="763"/>
      <c r="AE2278" s="951"/>
      <c r="AF2278" s="921">
        <f>IF(X2278=X2277,AF2277,0)+IF(ISNUMBER(I2278),IF(I2278&lt;1,I2278,I2278*VLOOKUP(J2278,Summary!$H$2:$I$9,2)),VLOOKUP(J2278,Summary!$J$2:$K$9,2)*IF(ISNUMBER(H2278),H2278,1))</f>
        <v>0.55084490740740732</v>
      </c>
      <c r="AG2278" s="288">
        <v>2277</v>
      </c>
      <c r="AH2278" s="94"/>
      <c r="AI2278" s="94"/>
    </row>
    <row r="2279" spans="1:36" s="1" customFormat="1" ht="12" customHeight="1" x14ac:dyDescent="0.25">
      <c r="A2279" s="527" t="s">
        <v>10693</v>
      </c>
      <c r="B2279" s="527">
        <v>6</v>
      </c>
      <c r="C2279" s="527">
        <v>73</v>
      </c>
      <c r="D2279" s="407" t="s">
        <v>2925</v>
      </c>
      <c r="E2279" s="315" t="s">
        <v>2926</v>
      </c>
      <c r="F2279" s="169">
        <v>38596</v>
      </c>
      <c r="G2279" s="170"/>
      <c r="H2279" s="170">
        <v>4</v>
      </c>
      <c r="I2279" s="746">
        <f>TIME(1,37,56)</f>
        <v>6.8009259259259255E-2</v>
      </c>
      <c r="J2279" s="899" t="s">
        <v>4706</v>
      </c>
      <c r="K2279" s="167" t="s">
        <v>2911</v>
      </c>
      <c r="L2279" s="167" t="s">
        <v>6245</v>
      </c>
      <c r="M2279" s="167"/>
      <c r="N2279" s="167"/>
      <c r="O2279" s="167" t="s">
        <v>2909</v>
      </c>
      <c r="P2279" s="168" t="s">
        <v>12963</v>
      </c>
      <c r="Q2279" s="167" t="s">
        <v>3947</v>
      </c>
      <c r="R2279" s="172" t="s">
        <v>3146</v>
      </c>
      <c r="S2279" s="388" t="s">
        <v>7314</v>
      </c>
      <c r="T2279" s="168" t="s">
        <v>2321</v>
      </c>
      <c r="U2279" s="168"/>
      <c r="V2279" s="168"/>
      <c r="W2279" s="312" t="s">
        <v>9332</v>
      </c>
      <c r="X2279" s="644" t="s">
        <v>12338</v>
      </c>
      <c r="Y2279" s="352" t="s">
        <v>5398</v>
      </c>
      <c r="Z2279" s="353">
        <v>201</v>
      </c>
      <c r="AA2279" s="353">
        <v>6</v>
      </c>
      <c r="AB2279" s="31">
        <f t="shared" ca="1" si="50"/>
        <v>3.3715613374991293E-2</v>
      </c>
      <c r="AC2279" s="810"/>
      <c r="AD2279" s="811" t="s">
        <v>16257</v>
      </c>
      <c r="AE2279" s="940" t="s">
        <v>15062</v>
      </c>
      <c r="AF2279" s="920">
        <f>IF(X2279=X2278,AF2278,0)+IF(ISNUMBER(I2279),IF(I2279&lt;1,I2279,I2279*VLOOKUP(J2279,Summary!$H$2:$I$9,2)),VLOOKUP(J2279,Summary!$J$2:$K$9,2)*IF(ISNUMBER(H2279),H2279,1))</f>
        <v>0.61885416666666659</v>
      </c>
      <c r="AG2279" s="287">
        <v>2278</v>
      </c>
      <c r="AH2279" s="94"/>
      <c r="AI2279" s="94"/>
    </row>
    <row r="2280" spans="1:36" s="3" customFormat="1" ht="12" customHeight="1" x14ac:dyDescent="0.25">
      <c r="A2280" s="522" t="s">
        <v>10693</v>
      </c>
      <c r="B2280" s="522">
        <v>6</v>
      </c>
      <c r="C2280" s="522">
        <v>19.11</v>
      </c>
      <c r="D2280" s="434" t="s">
        <v>7337</v>
      </c>
      <c r="E2280" s="324" t="s">
        <v>7334</v>
      </c>
      <c r="F2280" s="174">
        <v>38808</v>
      </c>
      <c r="G2280" s="174"/>
      <c r="H2280" s="176">
        <v>1</v>
      </c>
      <c r="I2280" s="176">
        <v>12</v>
      </c>
      <c r="J2280" s="900" t="s">
        <v>2755</v>
      </c>
      <c r="K2280" s="164" t="s">
        <v>4425</v>
      </c>
      <c r="L2280" s="164" t="s">
        <v>461</v>
      </c>
      <c r="M2280" s="164"/>
      <c r="N2280" s="164" t="s">
        <v>4552</v>
      </c>
      <c r="O2280" s="164"/>
      <c r="P2280" s="173" t="s">
        <v>5020</v>
      </c>
      <c r="Q2280" s="164" t="s">
        <v>3947</v>
      </c>
      <c r="R2280" s="179" t="s">
        <v>2723</v>
      </c>
      <c r="S2280" s="354"/>
      <c r="T2280" s="173"/>
      <c r="U2280" s="173"/>
      <c r="V2280" s="173"/>
      <c r="W2280" s="324" t="s">
        <v>7334</v>
      </c>
      <c r="X2280" s="656" t="s">
        <v>12338</v>
      </c>
      <c r="Y2280" s="363"/>
      <c r="Z2280" s="364"/>
      <c r="AA2280" s="364"/>
      <c r="AB2280" s="32">
        <f t="shared" ca="1" si="50"/>
        <v>0.67375190549550434</v>
      </c>
      <c r="AC2280" s="812"/>
      <c r="AD2280" s="763"/>
      <c r="AE2280" s="951"/>
      <c r="AF2280" s="921">
        <f>IF(X2280=X2279,AF2279,0)+IF(ISNUMBER(I2280),IF(I2280&lt;1,I2280,I2280*VLOOKUP(J2280,Summary!$H$2:$I$9,2)),VLOOKUP(J2280,Summary!$J$2:$K$9,2)*IF(ISNUMBER(H2280),H2280,1))</f>
        <v>0.6271874999999999</v>
      </c>
      <c r="AG2280" s="288">
        <v>2279</v>
      </c>
      <c r="AH2280" s="94"/>
      <c r="AI2280" s="94"/>
      <c r="AJ2280" s="2"/>
    </row>
    <row r="2281" spans="1:36" s="2" customFormat="1" ht="12" customHeight="1" x14ac:dyDescent="0.25">
      <c r="A2281" s="522" t="s">
        <v>10693</v>
      </c>
      <c r="B2281" s="522">
        <v>6</v>
      </c>
      <c r="C2281" s="522">
        <v>22.06</v>
      </c>
      <c r="D2281" s="434" t="s">
        <v>2745</v>
      </c>
      <c r="E2281" s="324" t="s">
        <v>2742</v>
      </c>
      <c r="F2281" s="174">
        <v>39052</v>
      </c>
      <c r="G2281" s="174"/>
      <c r="H2281" s="176">
        <v>1</v>
      </c>
      <c r="I2281" s="176">
        <v>17</v>
      </c>
      <c r="J2281" s="900" t="s">
        <v>2755</v>
      </c>
      <c r="K2281" s="164" t="s">
        <v>5664</v>
      </c>
      <c r="L2281" s="164" t="s">
        <v>461</v>
      </c>
      <c r="M2281" s="164"/>
      <c r="N2281" s="164" t="s">
        <v>4549</v>
      </c>
      <c r="O2281" s="164"/>
      <c r="P2281" s="173" t="s">
        <v>522</v>
      </c>
      <c r="Q2281" s="164" t="s">
        <v>3947</v>
      </c>
      <c r="R2281" s="179" t="s">
        <v>2723</v>
      </c>
      <c r="S2281" s="354"/>
      <c r="T2281" s="393" t="s">
        <v>2321</v>
      </c>
      <c r="U2281" s="173"/>
      <c r="V2281" s="173"/>
      <c r="W2281" s="324" t="s">
        <v>2742</v>
      </c>
      <c r="X2281" s="656" t="s">
        <v>12338</v>
      </c>
      <c r="Y2281" s="363"/>
      <c r="Z2281" s="364"/>
      <c r="AA2281" s="364"/>
      <c r="AB2281" s="32">
        <f t="shared" ca="1" si="50"/>
        <v>0.34168604404797742</v>
      </c>
      <c r="AC2281" s="812"/>
      <c r="AD2281" s="763"/>
      <c r="AE2281" s="951"/>
      <c r="AF2281" s="921">
        <f>IF(X2281=X2280,AF2280,0)+IF(ISNUMBER(I2281),IF(I2281&lt;1,I2281,I2281*VLOOKUP(J2281,Summary!$H$2:$I$9,2)),VLOOKUP(J2281,Summary!$J$2:$K$9,2)*IF(ISNUMBER(H2281),H2281,1))</f>
        <v>0.63899305555555541</v>
      </c>
      <c r="AG2281" s="288">
        <v>2280</v>
      </c>
      <c r="AH2281" s="94"/>
      <c r="AI2281" s="94"/>
      <c r="AJ2281" s="1"/>
    </row>
    <row r="2282" spans="1:36" s="22" customFormat="1" ht="12" customHeight="1" x14ac:dyDescent="0.25">
      <c r="A2282" s="522" t="s">
        <v>10693</v>
      </c>
      <c r="B2282" s="522">
        <v>6</v>
      </c>
      <c r="C2282" s="522">
        <v>6</v>
      </c>
      <c r="D2282" s="176" t="s">
        <v>13282</v>
      </c>
      <c r="E2282" s="313" t="s">
        <v>13283</v>
      </c>
      <c r="F2282" s="175">
        <v>42649</v>
      </c>
      <c r="G2282" s="174"/>
      <c r="H2282" s="176" t="s">
        <v>461</v>
      </c>
      <c r="I2282" s="176"/>
      <c r="J2282" s="900" t="s">
        <v>2755</v>
      </c>
      <c r="K2282" s="164" t="s">
        <v>7375</v>
      </c>
      <c r="L2282" s="164" t="s">
        <v>13284</v>
      </c>
      <c r="M2282" s="164"/>
      <c r="N2282" s="164"/>
      <c r="O2282" s="164"/>
      <c r="P2282" s="173" t="s">
        <v>12400</v>
      </c>
      <c r="Q2282" s="164" t="s">
        <v>3953</v>
      </c>
      <c r="R2282" s="177" t="s">
        <v>13260</v>
      </c>
      <c r="S2282" s="354"/>
      <c r="T2282" s="173" t="s">
        <v>2321</v>
      </c>
      <c r="U2282" s="173"/>
      <c r="V2282" s="173"/>
      <c r="W2282" s="313" t="s">
        <v>13283</v>
      </c>
      <c r="X2282" s="656" t="s">
        <v>12338</v>
      </c>
      <c r="Y2282" s="354"/>
      <c r="Z2282" s="176"/>
      <c r="AA2282" s="176"/>
      <c r="AB2282" s="32">
        <f t="shared" ca="1" si="50"/>
        <v>0.14237258505320116</v>
      </c>
      <c r="AC2282" s="812"/>
      <c r="AD2282" s="763"/>
      <c r="AE2282" s="807"/>
      <c r="AF2282" s="921">
        <f>IF(X2282=X2281,AF2281,0)+IF(ISNUMBER(I2282),IF(I2282&lt;1,I2282,I2282*VLOOKUP(J2282,Summary!$H$2:$I$9,2)),VLOOKUP(J2282,Summary!$J$2:$K$9,2)*IF(ISNUMBER(H2282),H2282,1))</f>
        <v>0.65635416666666657</v>
      </c>
      <c r="AG2282" s="289">
        <v>2281</v>
      </c>
      <c r="AH2282" s="94"/>
      <c r="AI2282" s="94"/>
    </row>
    <row r="2283" spans="1:36" s="2" customFormat="1" ht="12" customHeight="1" x14ac:dyDescent="0.25">
      <c r="A2283" s="527" t="s">
        <v>10693</v>
      </c>
      <c r="B2283" s="527">
        <v>6</v>
      </c>
      <c r="C2283" s="527">
        <v>97.1</v>
      </c>
      <c r="D2283" s="407" t="s">
        <v>2927</v>
      </c>
      <c r="E2283" s="315" t="s">
        <v>2928</v>
      </c>
      <c r="F2283" s="169">
        <v>39264</v>
      </c>
      <c r="G2283" s="170"/>
      <c r="H2283" s="170">
        <v>3</v>
      </c>
      <c r="I2283" s="746">
        <f>TIME(1,15,58)</f>
        <v>5.275462962962963E-2</v>
      </c>
      <c r="J2283" s="899" t="s">
        <v>4706</v>
      </c>
      <c r="K2283" s="167" t="s">
        <v>5658</v>
      </c>
      <c r="L2283" s="167" t="s">
        <v>6231</v>
      </c>
      <c r="M2283" s="167"/>
      <c r="N2283" s="167"/>
      <c r="O2283" s="167"/>
      <c r="P2283" s="168" t="s">
        <v>12962</v>
      </c>
      <c r="Q2283" s="167" t="s">
        <v>3947</v>
      </c>
      <c r="R2283" s="172" t="s">
        <v>3146</v>
      </c>
      <c r="S2283" s="388"/>
      <c r="T2283" s="351" t="s">
        <v>2321</v>
      </c>
      <c r="U2283" s="168"/>
      <c r="V2283" s="168"/>
      <c r="W2283" s="312" t="s">
        <v>9352</v>
      </c>
      <c r="X2283" s="644" t="s">
        <v>12338</v>
      </c>
      <c r="Y2283" s="352" t="s">
        <v>5398</v>
      </c>
      <c r="Z2283" s="353">
        <v>437</v>
      </c>
      <c r="AA2283" s="353">
        <v>4.5</v>
      </c>
      <c r="AB2283" s="31">
        <f t="shared" ca="1" si="50"/>
        <v>0.19785350773624988</v>
      </c>
      <c r="AC2283" s="810"/>
      <c r="AD2283" s="811"/>
      <c r="AE2283" s="940"/>
      <c r="AF2283" s="920">
        <f>IF(X2283=X2282,AF2282,0)+IF(ISNUMBER(I2283),IF(I2283&lt;1,I2283,I2283*VLOOKUP(J2283,Summary!$H$2:$I$9,2)),VLOOKUP(J2283,Summary!$J$2:$K$9,2)*IF(ISNUMBER(H2283),H2283,1))</f>
        <v>0.7091087962962962</v>
      </c>
      <c r="AG2283" s="287">
        <v>2282</v>
      </c>
      <c r="AH2283" s="94"/>
      <c r="AI2283" s="94"/>
      <c r="AJ2283" s="22"/>
    </row>
    <row r="2284" spans="1:36" s="2" customFormat="1" ht="12" customHeight="1" x14ac:dyDescent="0.25">
      <c r="A2284" s="527" t="s">
        <v>10693</v>
      </c>
      <c r="B2284" s="527">
        <v>6</v>
      </c>
      <c r="C2284" s="527">
        <v>97.2</v>
      </c>
      <c r="D2284" s="407" t="s">
        <v>2929</v>
      </c>
      <c r="E2284" s="315" t="s">
        <v>2930</v>
      </c>
      <c r="F2284" s="169">
        <v>39264</v>
      </c>
      <c r="G2284" s="170"/>
      <c r="H2284" s="170">
        <v>1</v>
      </c>
      <c r="I2284" s="746">
        <f>TIME(0,26,38)</f>
        <v>1.849537037037037E-2</v>
      </c>
      <c r="J2284" s="899" t="s">
        <v>4706</v>
      </c>
      <c r="K2284" s="167" t="s">
        <v>5658</v>
      </c>
      <c r="L2284" s="167" t="s">
        <v>6231</v>
      </c>
      <c r="M2284" s="167"/>
      <c r="N2284" s="167"/>
      <c r="O2284" s="167"/>
      <c r="P2284" s="168" t="s">
        <v>12962</v>
      </c>
      <c r="Q2284" s="167" t="s">
        <v>3947</v>
      </c>
      <c r="R2284" s="172" t="s">
        <v>3146</v>
      </c>
      <c r="S2284" s="388"/>
      <c r="T2284" s="351" t="s">
        <v>2321</v>
      </c>
      <c r="U2284" s="168"/>
      <c r="V2284" s="168"/>
      <c r="W2284" s="315" t="s">
        <v>2930</v>
      </c>
      <c r="X2284" s="647" t="s">
        <v>12338</v>
      </c>
      <c r="Y2284" s="352" t="s">
        <v>5398</v>
      </c>
      <c r="Z2284" s="353">
        <v>414</v>
      </c>
      <c r="AA2284" s="353">
        <v>4.5</v>
      </c>
      <c r="AB2284" s="31">
        <f t="shared" ca="1" si="50"/>
        <v>0.48186337627920928</v>
      </c>
      <c r="AC2284" s="810"/>
      <c r="AD2284" s="825" t="s">
        <v>15853</v>
      </c>
      <c r="AE2284" s="948"/>
      <c r="AF2284" s="920">
        <f>IF(X2284=X2283,AF2283,0)+IF(ISNUMBER(I2284),IF(I2284&lt;1,I2284,I2284*VLOOKUP(J2284,Summary!$H$2:$I$9,2)),VLOOKUP(J2284,Summary!$J$2:$K$9,2)*IF(ISNUMBER(H2284),H2284,1))</f>
        <v>0.72760416666666661</v>
      </c>
      <c r="AG2284" s="287">
        <v>2283</v>
      </c>
      <c r="AH2284" s="94"/>
      <c r="AI2284" s="94"/>
      <c r="AJ2284" s="43"/>
    </row>
    <row r="2285" spans="1:36" s="2" customFormat="1" ht="12" customHeight="1" x14ac:dyDescent="0.25">
      <c r="A2285" s="527" t="s">
        <v>10693</v>
      </c>
      <c r="B2285" s="527">
        <v>6</v>
      </c>
      <c r="C2285" s="527">
        <v>170</v>
      </c>
      <c r="D2285" s="407"/>
      <c r="E2285" s="315" t="s">
        <v>2019</v>
      </c>
      <c r="F2285" s="169">
        <v>41306</v>
      </c>
      <c r="G2285" s="170"/>
      <c r="H2285" s="170">
        <v>4</v>
      </c>
      <c r="I2285" s="746">
        <f>TIME(2,1,24)</f>
        <v>8.4305555555555564E-2</v>
      </c>
      <c r="J2285" s="899" t="s">
        <v>4706</v>
      </c>
      <c r="K2285" s="167" t="s">
        <v>6330</v>
      </c>
      <c r="L2285" s="167" t="s">
        <v>3296</v>
      </c>
      <c r="M2285" s="167"/>
      <c r="N2285" s="167"/>
      <c r="O2285" s="167"/>
      <c r="P2285" s="168" t="s">
        <v>2020</v>
      </c>
      <c r="Q2285" s="167" t="s">
        <v>3947</v>
      </c>
      <c r="R2285" s="172" t="s">
        <v>3146</v>
      </c>
      <c r="S2285" s="388"/>
      <c r="T2285" s="351" t="s">
        <v>2321</v>
      </c>
      <c r="U2285" s="168"/>
      <c r="V2285" s="168"/>
      <c r="W2285" s="312" t="s">
        <v>10317</v>
      </c>
      <c r="X2285" s="644" t="s">
        <v>12338</v>
      </c>
      <c r="Y2285" s="352" t="s">
        <v>5643</v>
      </c>
      <c r="Z2285" s="353">
        <v>353</v>
      </c>
      <c r="AA2285" s="353">
        <v>5</v>
      </c>
      <c r="AB2285" s="31">
        <f t="shared" ca="1" si="50"/>
        <v>0.28237333711871171</v>
      </c>
      <c r="AC2285" s="810"/>
      <c r="AD2285" s="811"/>
      <c r="AE2285" s="940"/>
      <c r="AF2285" s="920">
        <f>IF(X2285=X2284,AF2284,0)+IF(ISNUMBER(I2285),IF(I2285&lt;1,I2285,I2285*VLOOKUP(J2285,Summary!$H$2:$I$9,2)),VLOOKUP(J2285,Summary!$J$2:$K$9,2)*IF(ISNUMBER(H2285),H2285,1))</f>
        <v>0.81190972222222213</v>
      </c>
      <c r="AG2285" s="287">
        <v>2284</v>
      </c>
      <c r="AH2285" s="94"/>
      <c r="AI2285" s="94"/>
      <c r="AJ2285" s="1"/>
    </row>
    <row r="2286" spans="1:36" s="43" customFormat="1" ht="12" customHeight="1" x14ac:dyDescent="0.25">
      <c r="A2286" s="524" t="s">
        <v>10693</v>
      </c>
      <c r="B2286" s="524">
        <v>6</v>
      </c>
      <c r="C2286" s="530">
        <v>8.02</v>
      </c>
      <c r="D2286" s="192" t="s">
        <v>12783</v>
      </c>
      <c r="E2286" s="317" t="s">
        <v>12784</v>
      </c>
      <c r="F2286" s="209">
        <v>43159</v>
      </c>
      <c r="G2286" s="191"/>
      <c r="H2286" s="192" t="s">
        <v>461</v>
      </c>
      <c r="I2286" s="753"/>
      <c r="J2286" s="903" t="s">
        <v>2755</v>
      </c>
      <c r="K2286" s="194" t="s">
        <v>2308</v>
      </c>
      <c r="L2286" s="194" t="s">
        <v>12662</v>
      </c>
      <c r="M2286" s="194" t="s">
        <v>12785</v>
      </c>
      <c r="N2286" s="194"/>
      <c r="O2286" s="194"/>
      <c r="P2286" s="190" t="s">
        <v>12786</v>
      </c>
      <c r="Q2286" s="194" t="s">
        <v>3947</v>
      </c>
      <c r="R2286" s="193" t="s">
        <v>2722</v>
      </c>
      <c r="S2286" s="357"/>
      <c r="T2286" s="881" t="s">
        <v>2321</v>
      </c>
      <c r="U2286" s="190"/>
      <c r="V2286" s="190"/>
      <c r="W2286" s="317" t="s">
        <v>12784</v>
      </c>
      <c r="X2286" s="649" t="s">
        <v>12338</v>
      </c>
      <c r="Y2286" s="357"/>
      <c r="Z2286" s="192"/>
      <c r="AA2286" s="192"/>
      <c r="AB2286" s="37">
        <f t="shared" ca="1" si="50"/>
        <v>0.55361774178374079</v>
      </c>
      <c r="AC2286" s="816"/>
      <c r="AD2286" s="817"/>
      <c r="AE2286" s="943"/>
      <c r="AF2286" s="924">
        <f>IF(X2286=X2285,AF2285,0)+IF(ISNUMBER(I2286),IF(I2286&lt;1,I2286,I2286*VLOOKUP(J2286,Summary!$H$2:$I$9,2)),VLOOKUP(J2286,Summary!$J$2:$K$9,2)*IF(ISNUMBER(H2286),H2286,1))</f>
        <v>0.82927083333333329</v>
      </c>
      <c r="AG2286" s="292">
        <v>2285</v>
      </c>
      <c r="AH2286" s="94"/>
      <c r="AI2286" s="94"/>
      <c r="AJ2286" s="1"/>
    </row>
    <row r="2287" spans="1:36" s="43" customFormat="1" ht="12" customHeight="1" x14ac:dyDescent="0.25">
      <c r="A2287" s="523" t="s">
        <v>10693</v>
      </c>
      <c r="B2287" s="523">
        <v>6</v>
      </c>
      <c r="C2287" s="523">
        <v>15</v>
      </c>
      <c r="D2287" s="417" t="s">
        <v>2913</v>
      </c>
      <c r="E2287" s="316" t="s">
        <v>2914</v>
      </c>
      <c r="F2287" s="187">
        <v>34973</v>
      </c>
      <c r="G2287" s="188"/>
      <c r="H2287" s="188" t="str">
        <f>IF(J2287="Book","n/a","")</f>
        <v>n/a</v>
      </c>
      <c r="I2287" s="188">
        <v>311</v>
      </c>
      <c r="J2287" s="902" t="s">
        <v>6868</v>
      </c>
      <c r="K2287" s="162" t="s">
        <v>4031</v>
      </c>
      <c r="L2287" s="162" t="str">
        <f>IF(J2287="Book","n/a","")</f>
        <v>n/a</v>
      </c>
      <c r="M2287" s="162"/>
      <c r="N2287" s="162"/>
      <c r="O2287" s="162"/>
      <c r="P2287" s="178" t="s">
        <v>8600</v>
      </c>
      <c r="Q2287" s="162" t="s">
        <v>601</v>
      </c>
      <c r="R2287" s="189" t="s">
        <v>2715</v>
      </c>
      <c r="S2287" s="366"/>
      <c r="T2287" s="396" t="s">
        <v>2321</v>
      </c>
      <c r="U2287" s="178"/>
      <c r="V2287" s="178"/>
      <c r="W2287" s="316" t="s">
        <v>2914</v>
      </c>
      <c r="X2287" s="648" t="s">
        <v>12338</v>
      </c>
      <c r="Y2287" s="356"/>
      <c r="Z2287" s="272">
        <v>62</v>
      </c>
      <c r="AA2287" s="272">
        <v>6.5</v>
      </c>
      <c r="AB2287" s="34">
        <f t="shared" ca="1" si="50"/>
        <v>0.44067830689482124</v>
      </c>
      <c r="AC2287" s="814"/>
      <c r="AD2287" s="815" t="s">
        <v>16066</v>
      </c>
      <c r="AE2287" s="942"/>
      <c r="AF2287" s="923">
        <f>IF(X2287=X2286,AF2286,0)+IF(ISNUMBER(I2287),IF(I2287&lt;1,I2287,I2287*VLOOKUP(J2287,Summary!$H$2:$I$9,2)),VLOOKUP(J2287,Summary!$J$2:$K$9,2)*IF(ISNUMBER(H2287),H2287,1))</f>
        <v>1.0452430555555554</v>
      </c>
      <c r="AG2287" s="291">
        <v>2286</v>
      </c>
      <c r="AH2287" s="94"/>
      <c r="AI2287" s="94"/>
      <c r="AJ2287" s="22"/>
    </row>
    <row r="2288" spans="1:36" s="2" customFormat="1" ht="12" customHeight="1" x14ac:dyDescent="0.25">
      <c r="A2288" s="410" t="s">
        <v>10693</v>
      </c>
      <c r="B2288" s="410" t="s">
        <v>2650</v>
      </c>
      <c r="C2288" s="410"/>
      <c r="D2288" s="176" t="s">
        <v>14451</v>
      </c>
      <c r="E2288" s="313" t="s">
        <v>13741</v>
      </c>
      <c r="F2288" s="175">
        <v>42940</v>
      </c>
      <c r="G2288" s="181"/>
      <c r="H2288" s="176" t="s">
        <v>461</v>
      </c>
      <c r="I2288" s="176">
        <v>34</v>
      </c>
      <c r="J2288" s="900" t="s">
        <v>2755</v>
      </c>
      <c r="K2288" s="164" t="s">
        <v>13742</v>
      </c>
      <c r="L2288" s="164" t="s">
        <v>461</v>
      </c>
      <c r="M2288" s="164"/>
      <c r="N2288" s="164"/>
      <c r="O2288" s="164"/>
      <c r="P2288" s="173"/>
      <c r="Q2288" s="164" t="s">
        <v>13674</v>
      </c>
      <c r="R2288" s="177" t="s">
        <v>13703</v>
      </c>
      <c r="S2288" s="354"/>
      <c r="T2288" s="173"/>
      <c r="U2288" s="173" t="s">
        <v>2597</v>
      </c>
      <c r="V2288" s="173"/>
      <c r="W2288" s="313" t="s">
        <v>13741</v>
      </c>
      <c r="X2288" s="645" t="s">
        <v>12338</v>
      </c>
      <c r="Y2288" s="354"/>
      <c r="Z2288" s="157"/>
      <c r="AA2288" s="176"/>
      <c r="AB2288" s="32">
        <f t="shared" ca="1" si="50"/>
        <v>0.14311111445901159</v>
      </c>
      <c r="AC2288" s="812"/>
      <c r="AD2288" s="763" t="s">
        <v>15834</v>
      </c>
      <c r="AE2288" s="807"/>
      <c r="AF2288" s="921">
        <f>IF(X2288=X2287,AF2287,0)+IF(ISNUMBER(I2288),IF(I2288&lt;1,I2288,I2288*VLOOKUP(J2288,Summary!$H$2:$I$9,2)),VLOOKUP(J2288,Summary!$J$2:$K$9,2)*IF(ISNUMBER(H2288),H2288,1))</f>
        <v>1.0688541666666664</v>
      </c>
      <c r="AG2288" s="289">
        <v>2287</v>
      </c>
      <c r="AH2288" s="94"/>
      <c r="AI2288" s="94"/>
    </row>
    <row r="2289" spans="1:36" s="2" customFormat="1" ht="12" customHeight="1" x14ac:dyDescent="0.25">
      <c r="A2289" s="521" t="s">
        <v>217</v>
      </c>
      <c r="B2289" s="521">
        <v>6</v>
      </c>
      <c r="C2289" s="521">
        <v>143.30000000000001</v>
      </c>
      <c r="D2289" s="424" t="s">
        <v>223</v>
      </c>
      <c r="E2289" s="319" t="s">
        <v>224</v>
      </c>
      <c r="F2289" s="198">
        <v>31717</v>
      </c>
      <c r="G2289" s="198">
        <v>31738</v>
      </c>
      <c r="H2289" s="199">
        <v>4</v>
      </c>
      <c r="I2289" s="791">
        <f>TIME(0,24,56)+TIME(0,24,18)+TIME(0,24, 7)+TIME(0,24,45)</f>
        <v>6.8124999999999991E-2</v>
      </c>
      <c r="J2289" s="904" t="s">
        <v>1588</v>
      </c>
      <c r="K2289" s="200" t="s">
        <v>4679</v>
      </c>
      <c r="L2289" s="200" t="s">
        <v>225</v>
      </c>
      <c r="M2289" s="200"/>
      <c r="N2289" s="200"/>
      <c r="O2289" s="200" t="s">
        <v>6962</v>
      </c>
      <c r="P2289" s="197" t="s">
        <v>461</v>
      </c>
      <c r="Q2289" s="200" t="s">
        <v>3946</v>
      </c>
      <c r="R2289" s="201" t="s">
        <v>5280</v>
      </c>
      <c r="S2289" s="390"/>
      <c r="T2289" s="883" t="s">
        <v>2321</v>
      </c>
      <c r="U2289" s="197"/>
      <c r="V2289" s="197"/>
      <c r="W2289" s="318" t="s">
        <v>8752</v>
      </c>
      <c r="X2289" s="650" t="s">
        <v>12338</v>
      </c>
      <c r="Y2289" s="358" t="s">
        <v>6141</v>
      </c>
      <c r="Z2289" s="253">
        <v>135</v>
      </c>
      <c r="AA2289" s="253">
        <v>6</v>
      </c>
      <c r="AB2289" s="35">
        <f t="shared" ca="1" si="50"/>
        <v>0.14374581026277533</v>
      </c>
      <c r="AC2289" s="820"/>
      <c r="AD2289" s="821" t="s">
        <v>16334</v>
      </c>
      <c r="AE2289" s="944"/>
      <c r="AF2289" s="925">
        <f>IF(X2289=X2288,AF2288,0)+IF(ISNUMBER(I2289),IF(I2289&lt;1,I2289,I2289*VLOOKUP(J2289,Summary!$H$2:$I$9,2)),VLOOKUP(J2289,Summary!$J$2:$K$9,2)*IF(ISNUMBER(H2289),H2289,1))</f>
        <v>1.1369791666666664</v>
      </c>
      <c r="AG2289" s="293">
        <v>2288</v>
      </c>
      <c r="AH2289" s="94"/>
      <c r="AI2289" s="94"/>
    </row>
    <row r="2290" spans="1:36" s="2" customFormat="1" ht="12" customHeight="1" x14ac:dyDescent="0.25">
      <c r="A2290" s="523" t="s">
        <v>10705</v>
      </c>
      <c r="B2290" s="523">
        <v>6</v>
      </c>
      <c r="C2290" s="523">
        <v>38</v>
      </c>
      <c r="D2290" s="417" t="s">
        <v>2915</v>
      </c>
      <c r="E2290" s="316" t="s">
        <v>2916</v>
      </c>
      <c r="F2290" s="187">
        <v>36892</v>
      </c>
      <c r="G2290" s="188"/>
      <c r="H2290" s="188">
        <v>2</v>
      </c>
      <c r="I2290" s="188">
        <v>284</v>
      </c>
      <c r="J2290" s="902" t="s">
        <v>6868</v>
      </c>
      <c r="K2290" s="162" t="s">
        <v>4031</v>
      </c>
      <c r="L2290" s="162" t="str">
        <f>IF(J2290="Book","n/a","")</f>
        <v>n/a</v>
      </c>
      <c r="M2290" s="162"/>
      <c r="N2290" s="162"/>
      <c r="O2290" s="162"/>
      <c r="P2290" s="178" t="s">
        <v>8963</v>
      </c>
      <c r="Q2290" s="162" t="s">
        <v>3953</v>
      </c>
      <c r="R2290" s="189" t="s">
        <v>2717</v>
      </c>
      <c r="S2290" s="366"/>
      <c r="T2290" s="396" t="s">
        <v>2321</v>
      </c>
      <c r="U2290" s="178"/>
      <c r="V2290" s="178"/>
      <c r="W2290" s="316" t="s">
        <v>11417</v>
      </c>
      <c r="X2290" s="648" t="s">
        <v>12338</v>
      </c>
      <c r="Y2290" s="356"/>
      <c r="Z2290" s="272">
        <v>26</v>
      </c>
      <c r="AA2290" s="272">
        <v>8.5</v>
      </c>
      <c r="AB2290" s="34">
        <f t="shared" ca="1" si="50"/>
        <v>0.36985931548816886</v>
      </c>
      <c r="AC2290" s="814"/>
      <c r="AD2290" s="815" t="s">
        <v>15833</v>
      </c>
      <c r="AE2290" s="942"/>
      <c r="AF2290" s="923">
        <f>IF(X2290=X2289,AF2289,0)+IF(ISNUMBER(I2290),IF(I2290&lt;1,I2290,I2290*VLOOKUP(J2290,Summary!$H$2:$I$9,2)),VLOOKUP(J2290,Summary!$J$2:$K$9,2)*IF(ISNUMBER(H2290),H2290,1))</f>
        <v>1.3342013888888886</v>
      </c>
      <c r="AG2290" s="291">
        <v>2289</v>
      </c>
      <c r="AH2290" s="94"/>
      <c r="AI2290" s="94"/>
      <c r="AJ2290" s="22"/>
    </row>
    <row r="2291" spans="1:36" s="43" customFormat="1" ht="12" customHeight="1" x14ac:dyDescent="0.25">
      <c r="A2291" s="523" t="s">
        <v>10705</v>
      </c>
      <c r="B2291" s="523">
        <v>6</v>
      </c>
      <c r="C2291" s="523">
        <v>48</v>
      </c>
      <c r="D2291" s="417" t="s">
        <v>2917</v>
      </c>
      <c r="E2291" s="316" t="s">
        <v>2918</v>
      </c>
      <c r="F2291" s="187">
        <v>37196</v>
      </c>
      <c r="G2291" s="188"/>
      <c r="H2291" s="188" t="str">
        <f>IF(J2291="Book","n/a","")</f>
        <v>n/a</v>
      </c>
      <c r="I2291" s="188">
        <v>287</v>
      </c>
      <c r="J2291" s="902" t="s">
        <v>6868</v>
      </c>
      <c r="K2291" s="162" t="s">
        <v>7375</v>
      </c>
      <c r="L2291" s="162" t="str">
        <f>IF(J2291="Book","n/a","")</f>
        <v>n/a</v>
      </c>
      <c r="M2291" s="162"/>
      <c r="N2291" s="162"/>
      <c r="O2291" s="162"/>
      <c r="P2291" s="178" t="s">
        <v>8972</v>
      </c>
      <c r="Q2291" s="162" t="s">
        <v>3953</v>
      </c>
      <c r="R2291" s="189" t="s">
        <v>2717</v>
      </c>
      <c r="S2291" s="366" t="s">
        <v>7314</v>
      </c>
      <c r="T2291" s="178" t="s">
        <v>2321</v>
      </c>
      <c r="U2291" s="178"/>
      <c r="V2291" s="178"/>
      <c r="W2291" s="316" t="s">
        <v>2918</v>
      </c>
      <c r="X2291" s="648" t="s">
        <v>12338</v>
      </c>
      <c r="Y2291" s="356"/>
      <c r="Z2291" s="272"/>
      <c r="AA2291" s="272"/>
      <c r="AB2291" s="34">
        <f t="shared" ca="1" si="50"/>
        <v>0.91717853778026737</v>
      </c>
      <c r="AC2291" s="814"/>
      <c r="AD2291" s="815" t="s">
        <v>16043</v>
      </c>
      <c r="AE2291" s="942"/>
      <c r="AF2291" s="923">
        <f>IF(X2291=X2290,AF2290,0)+IF(ISNUMBER(I2291),IF(I2291&lt;1,I2291,I2291*VLOOKUP(J2291,Summary!$H$2:$I$9,2)),VLOOKUP(J2291,Summary!$J$2:$K$9,2)*IF(ISNUMBER(H2291),H2291,1))</f>
        <v>1.5335069444444442</v>
      </c>
      <c r="AG2291" s="291">
        <v>2290</v>
      </c>
      <c r="AH2291" s="94"/>
      <c r="AI2291" s="94"/>
      <c r="AJ2291" s="2"/>
    </row>
    <row r="2292" spans="1:36" s="1" customFormat="1" ht="12" customHeight="1" x14ac:dyDescent="0.25">
      <c r="A2292" s="522" t="s">
        <v>10705</v>
      </c>
      <c r="B2292" s="522">
        <v>6</v>
      </c>
      <c r="C2292" s="522">
        <v>20.149999999999999</v>
      </c>
      <c r="D2292" s="434" t="s">
        <v>5766</v>
      </c>
      <c r="E2292" s="324" t="s">
        <v>5758</v>
      </c>
      <c r="F2292" s="174">
        <v>38961</v>
      </c>
      <c r="G2292" s="174"/>
      <c r="H2292" s="176">
        <v>1</v>
      </c>
      <c r="I2292" s="176">
        <v>10</v>
      </c>
      <c r="J2292" s="900" t="s">
        <v>2755</v>
      </c>
      <c r="K2292" s="164" t="s">
        <v>2740</v>
      </c>
      <c r="L2292" s="164" t="s">
        <v>461</v>
      </c>
      <c r="M2292" s="164"/>
      <c r="N2292" s="164" t="s">
        <v>7381</v>
      </c>
      <c r="O2292" s="164"/>
      <c r="P2292" s="173" t="s">
        <v>705</v>
      </c>
      <c r="Q2292" s="164" t="s">
        <v>3947</v>
      </c>
      <c r="R2292" s="179" t="s">
        <v>2723</v>
      </c>
      <c r="S2292" s="354" t="s">
        <v>7314</v>
      </c>
      <c r="T2292" s="173" t="s">
        <v>2321</v>
      </c>
      <c r="U2292" s="173" t="s">
        <v>2319</v>
      </c>
      <c r="V2292" s="173"/>
      <c r="W2292" s="324" t="s">
        <v>5758</v>
      </c>
      <c r="X2292" s="656" t="s">
        <v>12338</v>
      </c>
      <c r="Y2292" s="363"/>
      <c r="Z2292" s="364"/>
      <c r="AA2292" s="364"/>
      <c r="AB2292" s="32">
        <f t="shared" ca="1" si="50"/>
        <v>0.55256731655592306</v>
      </c>
      <c r="AC2292" s="812"/>
      <c r="AD2292" s="763"/>
      <c r="AE2292" s="951"/>
      <c r="AF2292" s="921">
        <f>IF(X2292=X2291,AF2291,0)+IF(ISNUMBER(I2292),IF(I2292&lt;1,I2292,I2292*VLOOKUP(J2292,Summary!$H$2:$I$9,2)),VLOOKUP(J2292,Summary!$J$2:$K$9,2)*IF(ISNUMBER(H2292),H2292,1))</f>
        <v>1.5404513888888887</v>
      </c>
      <c r="AG2292" s="288">
        <v>2291</v>
      </c>
      <c r="AH2292" s="94"/>
      <c r="AI2292" s="94"/>
    </row>
    <row r="2293" spans="1:36" s="1" customFormat="1" ht="12" customHeight="1" x14ac:dyDescent="0.25">
      <c r="A2293" s="522" t="s">
        <v>10705</v>
      </c>
      <c r="B2293" s="522">
        <v>6</v>
      </c>
      <c r="C2293" s="522">
        <v>24.04</v>
      </c>
      <c r="D2293" s="434" t="s">
        <v>7336</v>
      </c>
      <c r="E2293" s="324" t="s">
        <v>7333</v>
      </c>
      <c r="F2293" s="174">
        <v>39264</v>
      </c>
      <c r="G2293" s="174"/>
      <c r="H2293" s="176">
        <v>1</v>
      </c>
      <c r="I2293" s="176">
        <v>7</v>
      </c>
      <c r="J2293" s="900" t="s">
        <v>2755</v>
      </c>
      <c r="K2293" s="164" t="s">
        <v>7335</v>
      </c>
      <c r="L2293" s="164" t="s">
        <v>461</v>
      </c>
      <c r="M2293" s="164"/>
      <c r="N2293" s="164" t="s">
        <v>4425</v>
      </c>
      <c r="O2293" s="164"/>
      <c r="P2293" s="173" t="s">
        <v>5601</v>
      </c>
      <c r="Q2293" s="164" t="s">
        <v>3947</v>
      </c>
      <c r="R2293" s="179" t="s">
        <v>2723</v>
      </c>
      <c r="S2293" s="354"/>
      <c r="T2293" s="173" t="s">
        <v>2321</v>
      </c>
      <c r="U2293" s="173"/>
      <c r="V2293" s="173"/>
      <c r="W2293" s="324" t="s">
        <v>7333</v>
      </c>
      <c r="X2293" s="656" t="s">
        <v>12338</v>
      </c>
      <c r="Y2293" s="363"/>
      <c r="Z2293" s="364"/>
      <c r="AA2293" s="364"/>
      <c r="AB2293" s="32">
        <f t="shared" ca="1" si="50"/>
        <v>0.40760685631042437</v>
      </c>
      <c r="AC2293" s="812"/>
      <c r="AD2293" s="763"/>
      <c r="AE2293" s="951"/>
      <c r="AF2293" s="921">
        <f>IF(X2293=X2292,AF2292,0)+IF(ISNUMBER(I2293),IF(I2293&lt;1,I2293,I2293*VLOOKUP(J2293,Summary!$H$2:$I$9,2)),VLOOKUP(J2293,Summary!$J$2:$K$9,2)*IF(ISNUMBER(H2293),H2293,1))</f>
        <v>1.5453124999999999</v>
      </c>
      <c r="AG2293" s="288">
        <v>2292</v>
      </c>
      <c r="AH2293" s="94"/>
      <c r="AI2293" s="94"/>
    </row>
    <row r="2294" spans="1:36" s="22" customFormat="1" ht="12" customHeight="1" x14ac:dyDescent="0.25">
      <c r="A2294" s="522" t="s">
        <v>10705</v>
      </c>
      <c r="B2294" s="522">
        <v>6</v>
      </c>
      <c r="C2294" s="522">
        <v>25.18</v>
      </c>
      <c r="D2294" s="434" t="s">
        <v>2747</v>
      </c>
      <c r="E2294" s="324" t="s">
        <v>2744</v>
      </c>
      <c r="F2294" s="174">
        <v>39417</v>
      </c>
      <c r="G2294" s="174"/>
      <c r="H2294" s="176">
        <v>1</v>
      </c>
      <c r="I2294" s="176">
        <v>13</v>
      </c>
      <c r="J2294" s="900" t="s">
        <v>2755</v>
      </c>
      <c r="K2294" s="164" t="s">
        <v>4032</v>
      </c>
      <c r="L2294" s="164" t="s">
        <v>461</v>
      </c>
      <c r="M2294" s="164"/>
      <c r="N2294" s="164" t="s">
        <v>5146</v>
      </c>
      <c r="O2294" s="164"/>
      <c r="P2294" s="173" t="s">
        <v>6701</v>
      </c>
      <c r="Q2294" s="164" t="s">
        <v>3947</v>
      </c>
      <c r="R2294" s="179" t="s">
        <v>2723</v>
      </c>
      <c r="S2294" s="354"/>
      <c r="T2294" s="173" t="s">
        <v>2321</v>
      </c>
      <c r="U2294" s="173"/>
      <c r="V2294" s="173"/>
      <c r="W2294" s="324" t="s">
        <v>2744</v>
      </c>
      <c r="X2294" s="656" t="s">
        <v>12338</v>
      </c>
      <c r="Y2294" s="363"/>
      <c r="Z2294" s="364"/>
      <c r="AA2294" s="364"/>
      <c r="AB2294" s="32">
        <f t="shared" ca="1" si="50"/>
        <v>0.44939199127306906</v>
      </c>
      <c r="AC2294" s="812"/>
      <c r="AD2294" s="763"/>
      <c r="AE2294" s="951"/>
      <c r="AF2294" s="921">
        <f>IF(X2294=X2293,AF2293,0)+IF(ISNUMBER(I2294),IF(I2294&lt;1,I2294,I2294*VLOOKUP(J2294,Summary!$H$2:$I$9,2)),VLOOKUP(J2294,Summary!$J$2:$K$9,2)*IF(ISNUMBER(H2294),H2294,1))</f>
        <v>1.5543402777777777</v>
      </c>
      <c r="AG2294" s="288">
        <v>2293</v>
      </c>
      <c r="AH2294" s="94"/>
      <c r="AI2294" s="94"/>
    </row>
    <row r="2295" spans="1:36" s="2" customFormat="1" ht="12" customHeight="1" x14ac:dyDescent="0.25">
      <c r="A2295" s="522" t="s">
        <v>10705</v>
      </c>
      <c r="B2295" s="522">
        <v>6</v>
      </c>
      <c r="C2295" s="522">
        <v>29.02</v>
      </c>
      <c r="D2295" s="176" t="s">
        <v>954</v>
      </c>
      <c r="E2295" s="313" t="s">
        <v>2781</v>
      </c>
      <c r="F2295" s="174">
        <v>39692</v>
      </c>
      <c r="G2295" s="174"/>
      <c r="H2295" s="176" t="s">
        <v>461</v>
      </c>
      <c r="I2295" s="176">
        <v>8</v>
      </c>
      <c r="J2295" s="900" t="s">
        <v>2755</v>
      </c>
      <c r="K2295" s="164" t="s">
        <v>2782</v>
      </c>
      <c r="L2295" s="164" t="s">
        <v>461</v>
      </c>
      <c r="M2295" s="164"/>
      <c r="N2295" s="164" t="s">
        <v>5664</v>
      </c>
      <c r="O2295" s="164"/>
      <c r="P2295" s="173" t="s">
        <v>6707</v>
      </c>
      <c r="Q2295" s="164" t="s">
        <v>3947</v>
      </c>
      <c r="R2295" s="177" t="s">
        <v>2723</v>
      </c>
      <c r="S2295" s="354"/>
      <c r="T2295" s="173" t="s">
        <v>2321</v>
      </c>
      <c r="U2295" s="173"/>
      <c r="V2295" s="173"/>
      <c r="W2295" s="313" t="s">
        <v>2781</v>
      </c>
      <c r="X2295" s="645" t="s">
        <v>12338</v>
      </c>
      <c r="Y2295" s="354"/>
      <c r="Z2295" s="176"/>
      <c r="AA2295" s="176"/>
      <c r="AB2295" s="32">
        <f t="shared" ca="1" si="50"/>
        <v>0.15909849319896474</v>
      </c>
      <c r="AC2295" s="812"/>
      <c r="AD2295" s="763"/>
      <c r="AE2295" s="807"/>
      <c r="AF2295" s="921">
        <f>IF(X2295=X2294,AF2294,0)+IF(ISNUMBER(I2295),IF(I2295&lt;1,I2295,I2295*VLOOKUP(J2295,Summary!$H$2:$I$9,2)),VLOOKUP(J2295,Summary!$J$2:$K$9,2)*IF(ISNUMBER(H2295),H2295,1))</f>
        <v>1.5598958333333333</v>
      </c>
      <c r="AG2295" s="289">
        <v>2294</v>
      </c>
      <c r="AH2295" s="94"/>
      <c r="AI2295" s="94"/>
      <c r="AJ2295" s="3"/>
    </row>
    <row r="2296" spans="1:36" s="3" customFormat="1" ht="12" customHeight="1" x14ac:dyDescent="0.25">
      <c r="A2296" s="527" t="s">
        <v>10705</v>
      </c>
      <c r="B2296" s="527">
        <v>6</v>
      </c>
      <c r="C2296" s="527">
        <v>171</v>
      </c>
      <c r="D2296" s="407"/>
      <c r="E2296" s="315" t="s">
        <v>2021</v>
      </c>
      <c r="F2296" s="169">
        <v>41334</v>
      </c>
      <c r="G2296" s="170"/>
      <c r="H2296" s="170">
        <v>4</v>
      </c>
      <c r="I2296" s="746">
        <f>TIME(1,55,59)</f>
        <v>8.054398148148148E-2</v>
      </c>
      <c r="J2296" s="899" t="s">
        <v>4706</v>
      </c>
      <c r="K2296" s="167" t="s">
        <v>2022</v>
      </c>
      <c r="L2296" s="167" t="s">
        <v>3296</v>
      </c>
      <c r="M2296" s="167"/>
      <c r="N2296" s="167"/>
      <c r="O2296" s="167"/>
      <c r="P2296" s="168" t="s">
        <v>2674</v>
      </c>
      <c r="Q2296" s="167" t="s">
        <v>3947</v>
      </c>
      <c r="R2296" s="172" t="s">
        <v>3146</v>
      </c>
      <c r="S2296" s="388"/>
      <c r="T2296" s="168" t="s">
        <v>2321</v>
      </c>
      <c r="U2296" s="168"/>
      <c r="V2296" s="168"/>
      <c r="W2296" s="312" t="s">
        <v>10256</v>
      </c>
      <c r="X2296" s="644" t="s">
        <v>12338</v>
      </c>
      <c r="Y2296" s="352" t="s">
        <v>5643</v>
      </c>
      <c r="Z2296" s="353">
        <v>456</v>
      </c>
      <c r="AA2296" s="353">
        <v>4.5</v>
      </c>
      <c r="AB2296" s="31">
        <f t="shared" ca="1" si="50"/>
        <v>0.89084046612628265</v>
      </c>
      <c r="AC2296" s="810"/>
      <c r="AD2296" s="811"/>
      <c r="AE2296" s="940"/>
      <c r="AF2296" s="920">
        <f>IF(X2296=X2295,AF2295,0)+IF(ISNUMBER(I2296),IF(I2296&lt;1,I2296,I2296*VLOOKUP(J2296,Summary!$H$2:$I$9,2)),VLOOKUP(J2296,Summary!$J$2:$K$9,2)*IF(ISNUMBER(H2296),H2296,1))</f>
        <v>1.6404398148148147</v>
      </c>
      <c r="AG2296" s="287">
        <v>2295</v>
      </c>
      <c r="AH2296" s="94"/>
      <c r="AI2296" s="94"/>
      <c r="AJ2296" s="6"/>
    </row>
    <row r="2297" spans="1:36" s="11" customFormat="1" ht="12" customHeight="1" x14ac:dyDescent="0.25">
      <c r="A2297" s="523" t="s">
        <v>10705</v>
      </c>
      <c r="B2297" s="523">
        <v>6</v>
      </c>
      <c r="C2297" s="523">
        <v>72</v>
      </c>
      <c r="D2297" s="417" t="s">
        <v>2931</v>
      </c>
      <c r="E2297" s="316" t="s">
        <v>2932</v>
      </c>
      <c r="F2297" s="195">
        <v>38568</v>
      </c>
      <c r="G2297" s="188"/>
      <c r="H2297" s="188" t="str">
        <f>IF(J2297="Book","n/a","")</f>
        <v>n/a</v>
      </c>
      <c r="I2297" s="188">
        <v>288</v>
      </c>
      <c r="J2297" s="902" t="s">
        <v>6868</v>
      </c>
      <c r="K2297" s="162" t="s">
        <v>7375</v>
      </c>
      <c r="L2297" s="162" t="str">
        <f>IF(J2297="Book","n/a","")</f>
        <v>n/a</v>
      </c>
      <c r="M2297" s="162"/>
      <c r="N2297" s="162"/>
      <c r="O2297" s="162"/>
      <c r="P2297" s="178" t="s">
        <v>8995</v>
      </c>
      <c r="Q2297" s="162" t="s">
        <v>3953</v>
      </c>
      <c r="R2297" s="189" t="s">
        <v>2717</v>
      </c>
      <c r="S2297" s="366"/>
      <c r="T2297" s="178" t="s">
        <v>2321</v>
      </c>
      <c r="U2297" s="178"/>
      <c r="V2297" s="178"/>
      <c r="W2297" s="316" t="s">
        <v>2932</v>
      </c>
      <c r="X2297" s="648" t="s">
        <v>12338</v>
      </c>
      <c r="Y2297" s="356"/>
      <c r="Z2297" s="272"/>
      <c r="AA2297" s="272"/>
      <c r="AB2297" s="34">
        <f t="shared" ca="1" si="50"/>
        <v>0.67179653253351823</v>
      </c>
      <c r="AC2297" s="814"/>
      <c r="AD2297" s="815" t="s">
        <v>16771</v>
      </c>
      <c r="AE2297" s="942"/>
      <c r="AF2297" s="923">
        <f>IF(X2297=X2296,AF2296,0)+IF(ISNUMBER(I2297),IF(I2297&lt;1,I2297,I2297*VLOOKUP(J2297,Summary!$H$2:$I$9,2)),VLOOKUP(J2297,Summary!$J$2:$K$9,2)*IF(ISNUMBER(H2297),H2297,1))</f>
        <v>1.8404398148148147</v>
      </c>
      <c r="AG2297" s="291">
        <v>2296</v>
      </c>
      <c r="AH2297" s="94"/>
      <c r="AI2297" s="94"/>
    </row>
    <row r="2298" spans="1:36" s="43" customFormat="1" ht="12" customHeight="1" x14ac:dyDescent="0.25">
      <c r="A2298" s="527" t="s">
        <v>10705</v>
      </c>
      <c r="B2298" s="527">
        <v>6</v>
      </c>
      <c r="C2298" s="527">
        <v>4</v>
      </c>
      <c r="D2298" s="407"/>
      <c r="E2298" s="315" t="s">
        <v>10018</v>
      </c>
      <c r="F2298" s="196">
        <v>42233</v>
      </c>
      <c r="G2298" s="170"/>
      <c r="H2298" s="170">
        <v>1</v>
      </c>
      <c r="I2298" s="746">
        <f>TIME(0,59,8)</f>
        <v>4.1064814814814811E-2</v>
      </c>
      <c r="J2298" s="899" t="s">
        <v>4706</v>
      </c>
      <c r="K2298" s="167" t="s">
        <v>4549</v>
      </c>
      <c r="L2298" s="167" t="s">
        <v>4549</v>
      </c>
      <c r="M2298" s="167"/>
      <c r="N2298" s="167"/>
      <c r="O2298" s="167"/>
      <c r="P2298" s="168" t="s">
        <v>8557</v>
      </c>
      <c r="Q2298" s="167" t="s">
        <v>3947</v>
      </c>
      <c r="R2298" s="172" t="s">
        <v>10014</v>
      </c>
      <c r="S2298" s="388"/>
      <c r="T2298" s="168" t="s">
        <v>2321</v>
      </c>
      <c r="U2298" s="168"/>
      <c r="V2298" s="168"/>
      <c r="W2298" s="315" t="s">
        <v>10018</v>
      </c>
      <c r="X2298" s="647" t="s">
        <v>12338</v>
      </c>
      <c r="Y2298" s="352" t="s">
        <v>5643</v>
      </c>
      <c r="Z2298" s="353">
        <v>196</v>
      </c>
      <c r="AA2298" s="353">
        <v>6</v>
      </c>
      <c r="AB2298" s="40">
        <f t="shared" ca="1" si="50"/>
        <v>0.84634241182136283</v>
      </c>
      <c r="AC2298" s="810"/>
      <c r="AD2298" s="811"/>
      <c r="AE2298" s="940"/>
      <c r="AF2298" s="920">
        <f>IF(X2298=X2297,AF2297,0)+IF(ISNUMBER(I2298),IF(I2298&lt;1,I2298,I2298*VLOOKUP(J2298,Summary!$H$2:$I$9,2)),VLOOKUP(J2298,Summary!$J$2:$K$9,2)*IF(ISNUMBER(H2298),H2298,1))</f>
        <v>1.8815046296296294</v>
      </c>
      <c r="AG2298" s="287">
        <v>2297</v>
      </c>
      <c r="AH2298" s="94"/>
      <c r="AI2298" s="94"/>
      <c r="AJ2298" s="22"/>
    </row>
    <row r="2299" spans="1:36" s="43" customFormat="1" ht="12" customHeight="1" x14ac:dyDescent="0.25">
      <c r="A2299" s="527" t="s">
        <v>10705</v>
      </c>
      <c r="B2299" s="527" t="s">
        <v>3464</v>
      </c>
      <c r="C2299" s="527">
        <v>4</v>
      </c>
      <c r="D2299" s="407" t="s">
        <v>2933</v>
      </c>
      <c r="E2299" s="315" t="s">
        <v>2934</v>
      </c>
      <c r="F2299" s="169">
        <v>37834</v>
      </c>
      <c r="G2299" s="170"/>
      <c r="H2299" s="170">
        <v>1</v>
      </c>
      <c r="I2299" s="746">
        <f>TIME(0,78,29)</f>
        <v>5.4502314814814816E-2</v>
      </c>
      <c r="J2299" s="899" t="s">
        <v>4706</v>
      </c>
      <c r="K2299" s="167" t="s">
        <v>7375</v>
      </c>
      <c r="L2299" s="167" t="s">
        <v>7375</v>
      </c>
      <c r="M2299" s="167"/>
      <c r="N2299" s="167"/>
      <c r="O2299" s="167" t="s">
        <v>546</v>
      </c>
      <c r="P2299" s="168" t="s">
        <v>8878</v>
      </c>
      <c r="Q2299" s="167" t="s">
        <v>3947</v>
      </c>
      <c r="R2299" s="172" t="s">
        <v>3145</v>
      </c>
      <c r="S2299" s="388"/>
      <c r="T2299" s="168" t="s">
        <v>2321</v>
      </c>
      <c r="U2299" s="168"/>
      <c r="V2299" s="168"/>
      <c r="W2299" s="315" t="s">
        <v>2934</v>
      </c>
      <c r="X2299" s="647" t="s">
        <v>12338</v>
      </c>
      <c r="Y2299" s="352"/>
      <c r="Z2299" s="353">
        <v>692</v>
      </c>
      <c r="AA2299" s="353">
        <v>1.5</v>
      </c>
      <c r="AB2299" s="31">
        <f t="shared" ca="1" si="50"/>
        <v>0.5163783860531368</v>
      </c>
      <c r="AC2299" s="810"/>
      <c r="AD2299" s="811"/>
      <c r="AE2299" s="940"/>
      <c r="AF2299" s="920">
        <f>IF(X2299=X2298,AF2298,0)+IF(ISNUMBER(I2299),IF(I2299&lt;1,I2299,I2299*VLOOKUP(J2299,Summary!$H$2:$I$9,2)),VLOOKUP(J2299,Summary!$J$2:$K$9,2)*IF(ISNUMBER(H2299),H2299,1))</f>
        <v>1.9360069444444441</v>
      </c>
      <c r="AG2299" s="287">
        <v>2298</v>
      </c>
      <c r="AH2299" s="94"/>
      <c r="AI2299" s="94"/>
      <c r="AJ2299" s="2"/>
    </row>
    <row r="2300" spans="1:36" s="713" customFormat="1" ht="12" customHeight="1" x14ac:dyDescent="0.25">
      <c r="A2300" s="691" t="s">
        <v>12279</v>
      </c>
      <c r="B2300" s="692" t="s">
        <v>12279</v>
      </c>
      <c r="C2300" s="708">
        <v>3.01</v>
      </c>
      <c r="D2300" s="693" t="s">
        <v>14709</v>
      </c>
      <c r="E2300" s="694" t="s">
        <v>14696</v>
      </c>
      <c r="F2300" s="720">
        <v>1340</v>
      </c>
      <c r="G2300" s="695"/>
      <c r="H2300" s="695" t="s">
        <v>461</v>
      </c>
      <c r="I2300" s="695"/>
      <c r="J2300" s="911" t="s">
        <v>2755</v>
      </c>
      <c r="K2300" s="697" t="s">
        <v>14605</v>
      </c>
      <c r="L2300" s="697" t="s">
        <v>14607</v>
      </c>
      <c r="M2300" s="697"/>
      <c r="N2300" s="697"/>
      <c r="O2300" s="697"/>
      <c r="P2300" s="696" t="s">
        <v>14847</v>
      </c>
      <c r="Q2300" s="697" t="s">
        <v>14722</v>
      </c>
      <c r="R2300" s="698" t="s">
        <v>14633</v>
      </c>
      <c r="S2300" s="699"/>
      <c r="T2300" s="696"/>
      <c r="U2300" s="696"/>
      <c r="V2300" s="696" t="s">
        <v>12280</v>
      </c>
      <c r="W2300" s="694" t="s">
        <v>14696</v>
      </c>
      <c r="X2300" s="700" t="s">
        <v>15178</v>
      </c>
      <c r="Y2300" s="701" t="s">
        <v>6868</v>
      </c>
      <c r="Z2300" s="702"/>
      <c r="AA2300" s="702"/>
      <c r="AB2300" s="703">
        <f t="shared" ca="1" si="50"/>
        <v>0.86085402878544204</v>
      </c>
      <c r="AC2300" s="855"/>
      <c r="AD2300" s="892" t="s">
        <v>14806</v>
      </c>
      <c r="AE2300" s="960"/>
      <c r="AF2300" s="932">
        <f>IF(X2300=X2299,AF2299,0)+IF(ISNUMBER(I2300),IF(I2300&lt;1,I2300,I2300*VLOOKUP(J2300,Summary!$H$2:$I$9,2)),VLOOKUP(J2300,Summary!$J$2:$K$9,2)*IF(ISNUMBER(H2300),H2300,1))</f>
        <v>1.7361111111111112E-2</v>
      </c>
      <c r="AG2300" s="704">
        <v>2299</v>
      </c>
      <c r="AH2300" s="712"/>
      <c r="AI2300" s="712"/>
    </row>
    <row r="2301" spans="1:36" s="706" customFormat="1" ht="12" customHeight="1" x14ac:dyDescent="0.25">
      <c r="A2301" s="691" t="s">
        <v>12279</v>
      </c>
      <c r="B2301" s="692" t="s">
        <v>12279</v>
      </c>
      <c r="C2301" s="708">
        <v>5.03</v>
      </c>
      <c r="D2301" s="693" t="s">
        <v>14754</v>
      </c>
      <c r="E2301" s="694" t="s">
        <v>14741</v>
      </c>
      <c r="F2301" s="720">
        <v>7945</v>
      </c>
      <c r="G2301" s="695"/>
      <c r="H2301" s="695" t="s">
        <v>461</v>
      </c>
      <c r="I2301" s="695"/>
      <c r="J2301" s="911" t="s">
        <v>2755</v>
      </c>
      <c r="K2301" s="697" t="s">
        <v>14605</v>
      </c>
      <c r="L2301" s="697" t="s">
        <v>14770</v>
      </c>
      <c r="M2301" s="697"/>
      <c r="N2301" s="697"/>
      <c r="O2301" s="697"/>
      <c r="P2301" s="696"/>
      <c r="Q2301" s="697" t="s">
        <v>14608</v>
      </c>
      <c r="R2301" s="698" t="s">
        <v>14633</v>
      </c>
      <c r="S2301" s="699"/>
      <c r="T2301" s="696"/>
      <c r="U2301" s="696"/>
      <c r="V2301" s="696" t="s">
        <v>12280</v>
      </c>
      <c r="W2301" s="694" t="s">
        <v>14741</v>
      </c>
      <c r="X2301" s="700" t="s">
        <v>15178</v>
      </c>
      <c r="Y2301" s="701" t="s">
        <v>6868</v>
      </c>
      <c r="Z2301" s="702"/>
      <c r="AA2301" s="702"/>
      <c r="AB2301" s="703">
        <f t="shared" ca="1" si="50"/>
        <v>0.73281414142618351</v>
      </c>
      <c r="AC2301" s="855"/>
      <c r="AD2301" s="892" t="s">
        <v>14807</v>
      </c>
      <c r="AE2301" s="960"/>
      <c r="AF2301" s="932">
        <f>IF(X2301=X2300,AF2300,0)+IF(ISNUMBER(I2301),IF(I2301&lt;1,I2301,I2301*VLOOKUP(J2301,Summary!$H$2:$I$9,2)),VLOOKUP(J2301,Summary!$J$2:$K$9,2)*IF(ISNUMBER(H2301),H2301,1))</f>
        <v>3.4722222222222224E-2</v>
      </c>
      <c r="AG2301" s="704">
        <v>2300</v>
      </c>
      <c r="AH2301" s="705"/>
      <c r="AI2301" s="705"/>
    </row>
    <row r="2302" spans="1:36" s="706" customFormat="1" ht="12" customHeight="1" x14ac:dyDescent="0.25">
      <c r="A2302" s="691" t="s">
        <v>12279</v>
      </c>
      <c r="B2302" s="692" t="s">
        <v>12279</v>
      </c>
      <c r="C2302" s="708">
        <v>3.02</v>
      </c>
      <c r="D2302" s="693" t="s">
        <v>14710</v>
      </c>
      <c r="E2302" s="694" t="s">
        <v>14697</v>
      </c>
      <c r="F2302" s="720">
        <v>1370</v>
      </c>
      <c r="G2302" s="695"/>
      <c r="H2302" s="695" t="s">
        <v>461</v>
      </c>
      <c r="I2302" s="695"/>
      <c r="J2302" s="911" t="s">
        <v>2755</v>
      </c>
      <c r="K2302" s="697" t="s">
        <v>14605</v>
      </c>
      <c r="L2302" s="697" t="s">
        <v>14607</v>
      </c>
      <c r="M2302" s="697"/>
      <c r="N2302" s="697"/>
      <c r="O2302" s="697"/>
      <c r="P2302" s="696"/>
      <c r="Q2302" s="697" t="s">
        <v>14722</v>
      </c>
      <c r="R2302" s="698" t="s">
        <v>14633</v>
      </c>
      <c r="S2302" s="699"/>
      <c r="T2302" s="696"/>
      <c r="U2302" s="696"/>
      <c r="V2302" s="696" t="s">
        <v>12280</v>
      </c>
      <c r="W2302" s="694" t="s">
        <v>14697</v>
      </c>
      <c r="X2302" s="700" t="s">
        <v>15178</v>
      </c>
      <c r="Y2302" s="701" t="s">
        <v>6868</v>
      </c>
      <c r="Z2302" s="702"/>
      <c r="AA2302" s="702"/>
      <c r="AB2302" s="703">
        <f t="shared" ca="1" si="50"/>
        <v>0.32294905424417264</v>
      </c>
      <c r="AC2302" s="855"/>
      <c r="AD2302" s="892" t="s">
        <v>14808</v>
      </c>
      <c r="AE2302" s="960"/>
      <c r="AF2302" s="932">
        <f>IF(X2302=X2301,AF2301,0)+IF(ISNUMBER(I2302),IF(I2302&lt;1,I2302,I2302*VLOOKUP(J2302,Summary!$H$2:$I$9,2)),VLOOKUP(J2302,Summary!$J$2:$K$9,2)*IF(ISNUMBER(H2302),H2302,1))</f>
        <v>5.2083333333333336E-2</v>
      </c>
      <c r="AG2302" s="704">
        <v>2301</v>
      </c>
      <c r="AH2302" s="705"/>
      <c r="AI2302" s="705"/>
    </row>
    <row r="2303" spans="1:36" s="706" customFormat="1" ht="12" customHeight="1" x14ac:dyDescent="0.25">
      <c r="A2303" s="691" t="s">
        <v>12279</v>
      </c>
      <c r="B2303" s="692" t="s">
        <v>12279</v>
      </c>
      <c r="C2303" s="708">
        <v>3.1</v>
      </c>
      <c r="D2303" s="709" t="s">
        <v>14718</v>
      </c>
      <c r="E2303" s="694" t="s">
        <v>14705</v>
      </c>
      <c r="F2303" s="720">
        <v>1644</v>
      </c>
      <c r="G2303" s="695"/>
      <c r="H2303" s="695" t="s">
        <v>461</v>
      </c>
      <c r="I2303" s="695"/>
      <c r="J2303" s="911" t="s">
        <v>2755</v>
      </c>
      <c r="K2303" s="697" t="s">
        <v>14605</v>
      </c>
      <c r="L2303" s="697" t="s">
        <v>14607</v>
      </c>
      <c r="M2303" s="697"/>
      <c r="N2303" s="697"/>
      <c r="O2303" s="697"/>
      <c r="P2303" s="696"/>
      <c r="Q2303" s="697" t="s">
        <v>14608</v>
      </c>
      <c r="R2303" s="698" t="s">
        <v>14633</v>
      </c>
      <c r="S2303" s="699"/>
      <c r="T2303" s="696"/>
      <c r="U2303" s="696"/>
      <c r="V2303" s="696" t="s">
        <v>12280</v>
      </c>
      <c r="W2303" s="694" t="s">
        <v>14705</v>
      </c>
      <c r="X2303" s="700" t="s">
        <v>15178</v>
      </c>
      <c r="Y2303" s="701" t="s">
        <v>6868</v>
      </c>
      <c r="Z2303" s="702"/>
      <c r="AA2303" s="702"/>
      <c r="AB2303" s="703">
        <f t="shared" ca="1" si="50"/>
        <v>0.52743701535835585</v>
      </c>
      <c r="AC2303" s="855"/>
      <c r="AD2303" s="892" t="s">
        <v>14809</v>
      </c>
      <c r="AE2303" s="960"/>
      <c r="AF2303" s="932">
        <f>IF(X2303=X2302,AF2302,0)+IF(ISNUMBER(I2303),IF(I2303&lt;1,I2303,I2303*VLOOKUP(J2303,Summary!$H$2:$I$9,2)),VLOOKUP(J2303,Summary!$J$2:$K$9,2)*IF(ISNUMBER(H2303),H2303,1))</f>
        <v>6.9444444444444448E-2</v>
      </c>
      <c r="AG2303" s="704">
        <v>2302</v>
      </c>
      <c r="AH2303" s="705"/>
      <c r="AI2303" s="705"/>
    </row>
    <row r="2304" spans="1:36" s="706" customFormat="1" ht="12" customHeight="1" x14ac:dyDescent="0.25">
      <c r="A2304" s="405" t="s">
        <v>12279</v>
      </c>
      <c r="B2304" s="406" t="s">
        <v>12279</v>
      </c>
      <c r="C2304" s="565">
        <v>2.02</v>
      </c>
      <c r="D2304" s="407"/>
      <c r="E2304" s="315" t="s">
        <v>14844</v>
      </c>
      <c r="F2304" s="169">
        <v>40848</v>
      </c>
      <c r="G2304" s="170"/>
      <c r="H2304" s="170">
        <v>2</v>
      </c>
      <c r="I2304" s="747">
        <f>TIME(2,0,0)</f>
        <v>8.3333333333333329E-2</v>
      </c>
      <c r="J2304" s="899" t="s">
        <v>4706</v>
      </c>
      <c r="K2304" s="167" t="s">
        <v>2310</v>
      </c>
      <c r="L2304" s="167" t="s">
        <v>3426</v>
      </c>
      <c r="M2304" s="167"/>
      <c r="N2304" s="167"/>
      <c r="O2304" s="167"/>
      <c r="P2304" s="168" t="s">
        <v>14845</v>
      </c>
      <c r="Q2304" s="167" t="s">
        <v>3947</v>
      </c>
      <c r="R2304" s="172" t="s">
        <v>14834</v>
      </c>
      <c r="S2304" s="388"/>
      <c r="T2304" s="168"/>
      <c r="U2304" s="168" t="s">
        <v>12185</v>
      </c>
      <c r="V2304" s="168"/>
      <c r="W2304" s="315"/>
      <c r="X2304" s="647" t="s">
        <v>15178</v>
      </c>
      <c r="Y2304" s="352"/>
      <c r="Z2304" s="353"/>
      <c r="AA2304" s="353"/>
      <c r="AB2304" s="31">
        <f t="shared" ca="1" si="50"/>
        <v>0.31850671801995634</v>
      </c>
      <c r="AC2304" s="810"/>
      <c r="AD2304" s="849">
        <v>1895</v>
      </c>
      <c r="AE2304" s="940"/>
      <c r="AF2304" s="920">
        <f>IF(X2304=X2303,AF2303,0)+IF(ISNUMBER(I2304),IF(I2304&lt;1,I2304,I2304*VLOOKUP(J2304,Summary!$H$2:$I$9,2)),VLOOKUP(J2304,Summary!$J$2:$K$9,2)*IF(ISNUMBER(H2304),H2304,1))</f>
        <v>0.15277777777777779</v>
      </c>
      <c r="AG2304" s="287">
        <v>2303</v>
      </c>
      <c r="AH2304" s="705"/>
      <c r="AI2304" s="705"/>
    </row>
    <row r="2305" spans="1:35" s="706" customFormat="1" ht="12" customHeight="1" x14ac:dyDescent="0.25">
      <c r="A2305" s="691" t="s">
        <v>12279</v>
      </c>
      <c r="B2305" s="692" t="s">
        <v>12279</v>
      </c>
      <c r="C2305" s="708">
        <v>3.04</v>
      </c>
      <c r="D2305" s="693" t="s">
        <v>14712</v>
      </c>
      <c r="E2305" s="694" t="s">
        <v>14699</v>
      </c>
      <c r="F2305" s="720">
        <v>1431</v>
      </c>
      <c r="G2305" s="695"/>
      <c r="H2305" s="695" t="s">
        <v>461</v>
      </c>
      <c r="I2305" s="695"/>
      <c r="J2305" s="911" t="s">
        <v>2755</v>
      </c>
      <c r="K2305" s="697" t="s">
        <v>14605</v>
      </c>
      <c r="L2305" s="697" t="s">
        <v>14607</v>
      </c>
      <c r="M2305" s="697"/>
      <c r="N2305" s="697"/>
      <c r="O2305" s="697"/>
      <c r="P2305" s="696"/>
      <c r="Q2305" s="697" t="s">
        <v>14722</v>
      </c>
      <c r="R2305" s="698" t="s">
        <v>14633</v>
      </c>
      <c r="S2305" s="699"/>
      <c r="T2305" s="696"/>
      <c r="U2305" s="696"/>
      <c r="V2305" s="696" t="s">
        <v>12280</v>
      </c>
      <c r="W2305" s="694" t="s">
        <v>14699</v>
      </c>
      <c r="X2305" s="700" t="s">
        <v>15178</v>
      </c>
      <c r="Y2305" s="701" t="s">
        <v>6868</v>
      </c>
      <c r="Z2305" s="702"/>
      <c r="AA2305" s="702"/>
      <c r="AB2305" s="703">
        <f t="shared" ca="1" si="50"/>
        <v>0.61744354857608674</v>
      </c>
      <c r="AC2305" s="855"/>
      <c r="AD2305" s="892" t="s">
        <v>14810</v>
      </c>
      <c r="AE2305" s="960"/>
      <c r="AF2305" s="932">
        <f>IF(X2305=X2304,AF2304,0)+IF(ISNUMBER(I2305),IF(I2305&lt;1,I2305,I2305*VLOOKUP(J2305,Summary!$H$2:$I$9,2)),VLOOKUP(J2305,Summary!$J$2:$K$9,2)*IF(ISNUMBER(H2305),H2305,1))</f>
        <v>0.1701388888888889</v>
      </c>
      <c r="AG2305" s="704">
        <v>2304</v>
      </c>
      <c r="AH2305" s="705"/>
      <c r="AI2305" s="705"/>
    </row>
    <row r="2306" spans="1:35" s="22" customFormat="1" ht="12" customHeight="1" x14ac:dyDescent="0.25">
      <c r="A2306" s="691" t="s">
        <v>12279</v>
      </c>
      <c r="B2306" s="692" t="s">
        <v>12279</v>
      </c>
      <c r="C2306" s="708">
        <v>3.09</v>
      </c>
      <c r="D2306" s="693" t="s">
        <v>14717</v>
      </c>
      <c r="E2306" s="694" t="s">
        <v>14704</v>
      </c>
      <c r="F2306" s="720">
        <v>1614</v>
      </c>
      <c r="G2306" s="695"/>
      <c r="H2306" s="695" t="s">
        <v>461</v>
      </c>
      <c r="I2306" s="695"/>
      <c r="J2306" s="911" t="s">
        <v>2755</v>
      </c>
      <c r="K2306" s="697" t="s">
        <v>14605</v>
      </c>
      <c r="L2306" s="697" t="s">
        <v>14607</v>
      </c>
      <c r="M2306" s="697"/>
      <c r="N2306" s="697"/>
      <c r="O2306" s="697"/>
      <c r="P2306" s="696"/>
      <c r="Q2306" s="697" t="s">
        <v>14608</v>
      </c>
      <c r="R2306" s="698" t="s">
        <v>14633</v>
      </c>
      <c r="S2306" s="699"/>
      <c r="T2306" s="696"/>
      <c r="U2306" s="696"/>
      <c r="V2306" s="696" t="s">
        <v>12280</v>
      </c>
      <c r="W2306" s="694" t="s">
        <v>14704</v>
      </c>
      <c r="X2306" s="700" t="s">
        <v>15178</v>
      </c>
      <c r="Y2306" s="701" t="s">
        <v>6868</v>
      </c>
      <c r="Z2306" s="702"/>
      <c r="AA2306" s="702"/>
      <c r="AB2306" s="703">
        <f t="shared" ref="AB2306:AB2369" ca="1" si="51">RAND()</f>
        <v>0.90694228208311944</v>
      </c>
      <c r="AC2306" s="855"/>
      <c r="AD2306" s="892" t="s">
        <v>14811</v>
      </c>
      <c r="AE2306" s="960"/>
      <c r="AF2306" s="932">
        <f>IF(X2306=X2305,AF2305,0)+IF(ISNUMBER(I2306),IF(I2306&lt;1,I2306,I2306*VLOOKUP(J2306,Summary!$H$2:$I$9,2)),VLOOKUP(J2306,Summary!$J$2:$K$9,2)*IF(ISNUMBER(H2306),H2306,1))</f>
        <v>0.1875</v>
      </c>
      <c r="AG2306" s="704">
        <v>2305</v>
      </c>
      <c r="AH2306" s="94"/>
      <c r="AI2306" s="94"/>
    </row>
    <row r="2307" spans="1:35" s="22" customFormat="1" ht="12" customHeight="1" x14ac:dyDescent="0.25">
      <c r="A2307" s="691" t="s">
        <v>12279</v>
      </c>
      <c r="B2307" s="692" t="s">
        <v>12279</v>
      </c>
      <c r="C2307" s="708">
        <v>3.06</v>
      </c>
      <c r="D2307" s="693" t="s">
        <v>14714</v>
      </c>
      <c r="E2307" s="694" t="s">
        <v>14701</v>
      </c>
      <c r="F2307" s="720">
        <v>1493</v>
      </c>
      <c r="G2307" s="695"/>
      <c r="H2307" s="695" t="s">
        <v>461</v>
      </c>
      <c r="I2307" s="695"/>
      <c r="J2307" s="911" t="s">
        <v>2755</v>
      </c>
      <c r="K2307" s="697" t="s">
        <v>14605</v>
      </c>
      <c r="L2307" s="697" t="s">
        <v>14607</v>
      </c>
      <c r="M2307" s="697"/>
      <c r="N2307" s="697"/>
      <c r="O2307" s="697"/>
      <c r="P2307" s="696"/>
      <c r="Q2307" s="697" t="s">
        <v>14722</v>
      </c>
      <c r="R2307" s="698" t="s">
        <v>14633</v>
      </c>
      <c r="S2307" s="699"/>
      <c r="T2307" s="696"/>
      <c r="U2307" s="696"/>
      <c r="V2307" s="696" t="s">
        <v>12280</v>
      </c>
      <c r="W2307" s="694" t="s">
        <v>14701</v>
      </c>
      <c r="X2307" s="700" t="s">
        <v>15178</v>
      </c>
      <c r="Y2307" s="701" t="s">
        <v>6868</v>
      </c>
      <c r="Z2307" s="702"/>
      <c r="AA2307" s="702"/>
      <c r="AB2307" s="703">
        <f t="shared" ca="1" si="51"/>
        <v>0.73221648272198858</v>
      </c>
      <c r="AC2307" s="855"/>
      <c r="AD2307" s="892" t="s">
        <v>14812</v>
      </c>
      <c r="AE2307" s="960"/>
      <c r="AF2307" s="932">
        <f>IF(X2307=X2306,AF2306,0)+IF(ISNUMBER(I2307),IF(I2307&lt;1,I2307,I2307*VLOOKUP(J2307,Summary!$H$2:$I$9,2)),VLOOKUP(J2307,Summary!$J$2:$K$9,2)*IF(ISNUMBER(H2307),H2307,1))</f>
        <v>0.2048611111111111</v>
      </c>
      <c r="AG2307" s="704">
        <v>2306</v>
      </c>
      <c r="AH2307" s="94"/>
      <c r="AI2307" s="94"/>
    </row>
    <row r="2308" spans="1:35" s="22" customFormat="1" ht="12" customHeight="1" x14ac:dyDescent="0.25">
      <c r="A2308" s="691" t="s">
        <v>12279</v>
      </c>
      <c r="B2308" s="692" t="s">
        <v>12279</v>
      </c>
      <c r="C2308" s="708">
        <v>4.03</v>
      </c>
      <c r="D2308" s="693" t="s">
        <v>14732</v>
      </c>
      <c r="E2308" s="694" t="s">
        <v>14726</v>
      </c>
      <c r="F2308" s="720">
        <v>3258</v>
      </c>
      <c r="G2308" s="695"/>
      <c r="H2308" s="695" t="s">
        <v>461</v>
      </c>
      <c r="I2308" s="695"/>
      <c r="J2308" s="911" t="s">
        <v>2755</v>
      </c>
      <c r="K2308" s="697" t="s">
        <v>14605</v>
      </c>
      <c r="L2308" s="697" t="s">
        <v>14768</v>
      </c>
      <c r="M2308" s="697"/>
      <c r="N2308" s="697"/>
      <c r="O2308" s="697"/>
      <c r="P2308" s="696"/>
      <c r="Q2308" s="697" t="s">
        <v>14608</v>
      </c>
      <c r="R2308" s="698" t="s">
        <v>14633</v>
      </c>
      <c r="S2308" s="699"/>
      <c r="T2308" s="696"/>
      <c r="U2308" s="696"/>
      <c r="V2308" s="696" t="s">
        <v>12280</v>
      </c>
      <c r="W2308" s="694" t="s">
        <v>14726</v>
      </c>
      <c r="X2308" s="700" t="s">
        <v>15178</v>
      </c>
      <c r="Y2308" s="701" t="s">
        <v>6868</v>
      </c>
      <c r="Z2308" s="702"/>
      <c r="AA2308" s="702"/>
      <c r="AB2308" s="703">
        <f t="shared" ca="1" si="51"/>
        <v>0.73333705122371418</v>
      </c>
      <c r="AC2308" s="855"/>
      <c r="AD2308" s="892" t="s">
        <v>14813</v>
      </c>
      <c r="AE2308" s="960"/>
      <c r="AF2308" s="932">
        <f>IF(X2308=X2307,AF2307,0)+IF(ISNUMBER(I2308),IF(I2308&lt;1,I2308,I2308*VLOOKUP(J2308,Summary!$H$2:$I$9,2)),VLOOKUP(J2308,Summary!$J$2:$K$9,2)*IF(ISNUMBER(H2308),H2308,1))</f>
        <v>0.22222222222222221</v>
      </c>
      <c r="AG2308" s="704">
        <v>2307</v>
      </c>
      <c r="AH2308" s="94"/>
      <c r="AI2308" s="94"/>
    </row>
    <row r="2309" spans="1:35" s="22" customFormat="1" ht="12" customHeight="1" x14ac:dyDescent="0.2">
      <c r="A2309" s="405" t="s">
        <v>12279</v>
      </c>
      <c r="B2309" s="406" t="s">
        <v>12279</v>
      </c>
      <c r="C2309" s="565">
        <v>3.02</v>
      </c>
      <c r="D2309" s="407" t="s">
        <v>14856</v>
      </c>
      <c r="E2309" s="315" t="s">
        <v>14860</v>
      </c>
      <c r="F2309" s="169">
        <v>41000</v>
      </c>
      <c r="G2309" s="170"/>
      <c r="H2309" s="170">
        <v>1</v>
      </c>
      <c r="I2309" s="747">
        <f>TIME(0,60,0)</f>
        <v>4.1666666666666664E-2</v>
      </c>
      <c r="J2309" s="899" t="s">
        <v>4706</v>
      </c>
      <c r="K2309" s="167" t="s">
        <v>8131</v>
      </c>
      <c r="L2309" s="167" t="s">
        <v>2313</v>
      </c>
      <c r="M2309" s="167"/>
      <c r="N2309" s="167"/>
      <c r="O2309" s="167"/>
      <c r="P2309" s="168" t="s">
        <v>14855</v>
      </c>
      <c r="Q2309" s="167" t="s">
        <v>3947</v>
      </c>
      <c r="R2309" s="172" t="s">
        <v>14834</v>
      </c>
      <c r="S2309" s="388"/>
      <c r="T2309" s="168"/>
      <c r="U2309" s="168" t="s">
        <v>12185</v>
      </c>
      <c r="V2309" s="168"/>
      <c r="W2309" s="315" t="s">
        <v>14860</v>
      </c>
      <c r="X2309" s="647" t="s">
        <v>15178</v>
      </c>
      <c r="Y2309" s="352"/>
      <c r="Z2309" s="353"/>
      <c r="AA2309" s="353"/>
      <c r="AB2309" s="31">
        <f t="shared" ca="1" si="51"/>
        <v>6.2543065468210202E-3</v>
      </c>
      <c r="AC2309" s="810"/>
      <c r="AD2309" s="849" t="s">
        <v>14864</v>
      </c>
      <c r="AE2309" s="940"/>
      <c r="AF2309" s="920">
        <f>IF(X2309=X2308,AF2308,0)+IF(ISNUMBER(I2309),IF(I2309&lt;1,I2309,I2309*VLOOKUP(J2309,Summary!$H$2:$I$9,2)),VLOOKUP(J2309,Summary!$J$2:$K$9,2)*IF(ISNUMBER(H2309),H2309,1))</f>
        <v>0.2638888888888889</v>
      </c>
      <c r="AG2309" s="287">
        <v>2308</v>
      </c>
      <c r="AH2309" s="94"/>
      <c r="AI2309" s="94"/>
    </row>
    <row r="2310" spans="1:35" s="706" customFormat="1" ht="12" customHeight="1" x14ac:dyDescent="0.25">
      <c r="A2310" s="691" t="s">
        <v>12279</v>
      </c>
      <c r="B2310" s="692" t="s">
        <v>12279</v>
      </c>
      <c r="C2310" s="708">
        <v>5.0999999999999996</v>
      </c>
      <c r="D2310" s="709" t="s">
        <v>14761</v>
      </c>
      <c r="E2310" s="694" t="s">
        <v>14748</v>
      </c>
      <c r="F2310" s="720">
        <v>9863</v>
      </c>
      <c r="G2310" s="695"/>
      <c r="H2310" s="695" t="s">
        <v>461</v>
      </c>
      <c r="I2310" s="695"/>
      <c r="J2310" s="911" t="s">
        <v>2755</v>
      </c>
      <c r="K2310" s="697" t="s">
        <v>14605</v>
      </c>
      <c r="L2310" s="697" t="s">
        <v>14769</v>
      </c>
      <c r="M2310" s="697"/>
      <c r="N2310" s="697"/>
      <c r="O2310" s="697"/>
      <c r="P2310" s="696"/>
      <c r="Q2310" s="697" t="s">
        <v>14751</v>
      </c>
      <c r="R2310" s="698" t="s">
        <v>14633</v>
      </c>
      <c r="S2310" s="699"/>
      <c r="T2310" s="696"/>
      <c r="U2310" s="696"/>
      <c r="V2310" s="696" t="s">
        <v>12280</v>
      </c>
      <c r="W2310" s="694" t="s">
        <v>14748</v>
      </c>
      <c r="X2310" s="700" t="s">
        <v>15178</v>
      </c>
      <c r="Y2310" s="701" t="s">
        <v>6868</v>
      </c>
      <c r="Z2310" s="702"/>
      <c r="AA2310" s="702"/>
      <c r="AB2310" s="703">
        <f t="shared" ca="1" si="51"/>
        <v>0.54351957064445999</v>
      </c>
      <c r="AC2310" s="855"/>
      <c r="AD2310" s="892" t="s">
        <v>14814</v>
      </c>
      <c r="AE2310" s="960"/>
      <c r="AF2310" s="932">
        <f>IF(X2310=X2309,AF2309,0)+IF(ISNUMBER(I2310),IF(I2310&lt;1,I2310,I2310*VLOOKUP(J2310,Summary!$H$2:$I$9,2)),VLOOKUP(J2310,Summary!$J$2:$K$9,2)*IF(ISNUMBER(H2310),H2310,1))</f>
        <v>0.28125</v>
      </c>
      <c r="AG2310" s="704">
        <v>2309</v>
      </c>
      <c r="AH2310" s="705"/>
      <c r="AI2310" s="705"/>
    </row>
    <row r="2311" spans="1:35" s="706" customFormat="1" ht="12" customHeight="1" x14ac:dyDescent="0.25">
      <c r="A2311" s="691" t="s">
        <v>12279</v>
      </c>
      <c r="B2311" s="692" t="s">
        <v>12279</v>
      </c>
      <c r="C2311" s="708">
        <v>3.11</v>
      </c>
      <c r="D2311" s="693" t="s">
        <v>14719</v>
      </c>
      <c r="E2311" s="694" t="s">
        <v>14706</v>
      </c>
      <c r="F2311" s="720">
        <v>1675</v>
      </c>
      <c r="G2311" s="695"/>
      <c r="H2311" s="695" t="s">
        <v>461</v>
      </c>
      <c r="I2311" s="695"/>
      <c r="J2311" s="911" t="s">
        <v>2755</v>
      </c>
      <c r="K2311" s="697" t="s">
        <v>14605</v>
      </c>
      <c r="L2311" s="697" t="s">
        <v>14607</v>
      </c>
      <c r="M2311" s="697"/>
      <c r="N2311" s="697"/>
      <c r="O2311" s="697"/>
      <c r="P2311" s="696"/>
      <c r="Q2311" s="697" t="s">
        <v>14608</v>
      </c>
      <c r="R2311" s="698" t="s">
        <v>14633</v>
      </c>
      <c r="S2311" s="699"/>
      <c r="T2311" s="696"/>
      <c r="U2311" s="696"/>
      <c r="V2311" s="696" t="s">
        <v>12280</v>
      </c>
      <c r="W2311" s="694" t="s">
        <v>14706</v>
      </c>
      <c r="X2311" s="700" t="s">
        <v>15178</v>
      </c>
      <c r="Y2311" s="701" t="s">
        <v>6868</v>
      </c>
      <c r="Z2311" s="702"/>
      <c r="AA2311" s="702"/>
      <c r="AB2311" s="703">
        <f t="shared" ca="1" si="51"/>
        <v>0.88387911533190444</v>
      </c>
      <c r="AC2311" s="855"/>
      <c r="AD2311" s="892" t="s">
        <v>14815</v>
      </c>
      <c r="AE2311" s="960"/>
      <c r="AF2311" s="932">
        <f>IF(X2311=X2310,AF2310,0)+IF(ISNUMBER(I2311),IF(I2311&lt;1,I2311,I2311*VLOOKUP(J2311,Summary!$H$2:$I$9,2)),VLOOKUP(J2311,Summary!$J$2:$K$9,2)*IF(ISNUMBER(H2311),H2311,1))</f>
        <v>0.2986111111111111</v>
      </c>
      <c r="AG2311" s="704">
        <v>2310</v>
      </c>
      <c r="AH2311" s="705"/>
      <c r="AI2311" s="705"/>
    </row>
    <row r="2312" spans="1:35" s="690" customFormat="1" ht="12" customHeight="1" x14ac:dyDescent="0.25">
      <c r="A2312" s="691" t="s">
        <v>12279</v>
      </c>
      <c r="B2312" s="692" t="s">
        <v>12279</v>
      </c>
      <c r="C2312" s="708">
        <v>3.12</v>
      </c>
      <c r="D2312" s="693" t="s">
        <v>14720</v>
      </c>
      <c r="E2312" s="694" t="s">
        <v>14707</v>
      </c>
      <c r="F2312" s="720">
        <v>1706</v>
      </c>
      <c r="G2312" s="695"/>
      <c r="H2312" s="695" t="s">
        <v>461</v>
      </c>
      <c r="I2312" s="695"/>
      <c r="J2312" s="911" t="s">
        <v>2755</v>
      </c>
      <c r="K2312" s="697" t="s">
        <v>14605</v>
      </c>
      <c r="L2312" s="697" t="s">
        <v>14607</v>
      </c>
      <c r="M2312" s="697"/>
      <c r="N2312" s="697"/>
      <c r="O2312" s="697"/>
      <c r="P2312" s="696"/>
      <c r="Q2312" s="697" t="s">
        <v>14608</v>
      </c>
      <c r="R2312" s="698" t="s">
        <v>14633</v>
      </c>
      <c r="S2312" s="699"/>
      <c r="T2312" s="696"/>
      <c r="U2312" s="696"/>
      <c r="V2312" s="696" t="s">
        <v>12280</v>
      </c>
      <c r="W2312" s="694" t="s">
        <v>14707</v>
      </c>
      <c r="X2312" s="700" t="s">
        <v>15178</v>
      </c>
      <c r="Y2312" s="701" t="s">
        <v>6868</v>
      </c>
      <c r="Z2312" s="702"/>
      <c r="AA2312" s="702"/>
      <c r="AB2312" s="703">
        <f t="shared" ca="1" si="51"/>
        <v>0.32052687746780029</v>
      </c>
      <c r="AC2312" s="855"/>
      <c r="AD2312" s="892" t="s">
        <v>14816</v>
      </c>
      <c r="AE2312" s="960"/>
      <c r="AF2312" s="932">
        <f>IF(X2312=X2311,AF2311,0)+IF(ISNUMBER(I2312),IF(I2312&lt;1,I2312,I2312*VLOOKUP(J2312,Summary!$H$2:$I$9,2)),VLOOKUP(J2312,Summary!$J$2:$K$9,2)*IF(ISNUMBER(H2312),H2312,1))</f>
        <v>0.31597222222222221</v>
      </c>
      <c r="AG2312" s="704">
        <v>2311</v>
      </c>
      <c r="AH2312" s="689"/>
      <c r="AI2312" s="689"/>
    </row>
    <row r="2313" spans="1:35" s="706" customFormat="1" ht="12" customHeight="1" x14ac:dyDescent="0.25">
      <c r="A2313" s="691" t="s">
        <v>12279</v>
      </c>
      <c r="B2313" s="692" t="s">
        <v>12279</v>
      </c>
      <c r="C2313" s="708">
        <v>4.0599999999999996</v>
      </c>
      <c r="D2313" s="693" t="s">
        <v>14733</v>
      </c>
      <c r="E2313" s="694" t="s">
        <v>14729</v>
      </c>
      <c r="F2313" s="720">
        <v>3988</v>
      </c>
      <c r="G2313" s="695"/>
      <c r="H2313" s="695" t="s">
        <v>461</v>
      </c>
      <c r="I2313" s="695"/>
      <c r="J2313" s="911" t="s">
        <v>2755</v>
      </c>
      <c r="K2313" s="697" t="s">
        <v>14605</v>
      </c>
      <c r="L2313" s="697" t="s">
        <v>14766</v>
      </c>
      <c r="M2313" s="697"/>
      <c r="N2313" s="697"/>
      <c r="O2313" s="697"/>
      <c r="P2313" s="696"/>
      <c r="Q2313" s="697" t="s">
        <v>14608</v>
      </c>
      <c r="R2313" s="698" t="s">
        <v>14633</v>
      </c>
      <c r="S2313" s="699"/>
      <c r="T2313" s="696"/>
      <c r="U2313" s="696"/>
      <c r="V2313" s="696" t="s">
        <v>12280</v>
      </c>
      <c r="W2313" s="694" t="s">
        <v>14729</v>
      </c>
      <c r="X2313" s="700" t="s">
        <v>15178</v>
      </c>
      <c r="Y2313" s="701" t="s">
        <v>6868</v>
      </c>
      <c r="Z2313" s="702"/>
      <c r="AA2313" s="702"/>
      <c r="AB2313" s="703">
        <f t="shared" ca="1" si="51"/>
        <v>0.7912606431270931</v>
      </c>
      <c r="AC2313" s="855"/>
      <c r="AD2313" s="892" t="s">
        <v>14817</v>
      </c>
      <c r="AE2313" s="960"/>
      <c r="AF2313" s="932">
        <f>IF(X2313=X2312,AF2312,0)+IF(ISNUMBER(I2313),IF(I2313&lt;1,I2313,I2313*VLOOKUP(J2313,Summary!$H$2:$I$9,2)),VLOOKUP(J2313,Summary!$J$2:$K$9,2)*IF(ISNUMBER(H2313),H2313,1))</f>
        <v>0.33333333333333331</v>
      </c>
      <c r="AG2313" s="704">
        <v>2312</v>
      </c>
      <c r="AH2313" s="705"/>
      <c r="AI2313" s="705"/>
    </row>
    <row r="2314" spans="1:35" s="706" customFormat="1" ht="12" customHeight="1" x14ac:dyDescent="0.25">
      <c r="A2314" s="691" t="s">
        <v>12279</v>
      </c>
      <c r="B2314" s="692" t="s">
        <v>12279</v>
      </c>
      <c r="C2314" s="708">
        <v>3.03</v>
      </c>
      <c r="D2314" s="693" t="s">
        <v>14711</v>
      </c>
      <c r="E2314" s="694" t="s">
        <v>14698</v>
      </c>
      <c r="F2314" s="720">
        <v>1431</v>
      </c>
      <c r="G2314" s="695"/>
      <c r="H2314" s="695" t="s">
        <v>461</v>
      </c>
      <c r="I2314" s="695"/>
      <c r="J2314" s="911" t="s">
        <v>2755</v>
      </c>
      <c r="K2314" s="697" t="s">
        <v>14605</v>
      </c>
      <c r="L2314" s="697" t="s">
        <v>14607</v>
      </c>
      <c r="M2314" s="697"/>
      <c r="N2314" s="697"/>
      <c r="O2314" s="697"/>
      <c r="P2314" s="696"/>
      <c r="Q2314" s="697" t="s">
        <v>14722</v>
      </c>
      <c r="R2314" s="698" t="s">
        <v>14633</v>
      </c>
      <c r="S2314" s="699"/>
      <c r="T2314" s="696"/>
      <c r="U2314" s="696"/>
      <c r="V2314" s="696" t="s">
        <v>12280</v>
      </c>
      <c r="W2314" s="694" t="s">
        <v>14698</v>
      </c>
      <c r="X2314" s="700" t="s">
        <v>15178</v>
      </c>
      <c r="Y2314" s="701" t="s">
        <v>6868</v>
      </c>
      <c r="Z2314" s="702"/>
      <c r="AA2314" s="702"/>
      <c r="AB2314" s="703">
        <f t="shared" ca="1" si="51"/>
        <v>0.45294462080826992</v>
      </c>
      <c r="AC2314" s="855"/>
      <c r="AD2314" s="892" t="s">
        <v>14818</v>
      </c>
      <c r="AE2314" s="960"/>
      <c r="AF2314" s="932">
        <f>IF(X2314=X2313,AF2313,0)+IF(ISNUMBER(I2314),IF(I2314&lt;1,I2314,I2314*VLOOKUP(J2314,Summary!$H$2:$I$9,2)),VLOOKUP(J2314,Summary!$J$2:$K$9,2)*IF(ISNUMBER(H2314),H2314,1))</f>
        <v>0.35069444444444442</v>
      </c>
      <c r="AG2314" s="704">
        <v>2313</v>
      </c>
      <c r="AH2314" s="705"/>
      <c r="AI2314" s="705"/>
    </row>
    <row r="2315" spans="1:35" s="22" customFormat="1" ht="12" customHeight="1" x14ac:dyDescent="0.25">
      <c r="A2315" s="691" t="s">
        <v>12279</v>
      </c>
      <c r="B2315" s="692" t="s">
        <v>12279</v>
      </c>
      <c r="C2315" s="708">
        <v>5.12</v>
      </c>
      <c r="D2315" s="693" t="s">
        <v>14763</v>
      </c>
      <c r="E2315" s="694" t="s">
        <v>14750</v>
      </c>
      <c r="F2315" s="720">
        <v>9832</v>
      </c>
      <c r="G2315" s="695"/>
      <c r="H2315" s="695" t="s">
        <v>461</v>
      </c>
      <c r="I2315" s="695"/>
      <c r="J2315" s="911" t="s">
        <v>2755</v>
      </c>
      <c r="K2315" s="697" t="s">
        <v>14605</v>
      </c>
      <c r="L2315" s="697" t="s">
        <v>14769</v>
      </c>
      <c r="M2315" s="697"/>
      <c r="N2315" s="697"/>
      <c r="O2315" s="697"/>
      <c r="P2315" s="696"/>
      <c r="Q2315" s="697" t="s">
        <v>14751</v>
      </c>
      <c r="R2315" s="698" t="s">
        <v>14633</v>
      </c>
      <c r="S2315" s="699"/>
      <c r="T2315" s="696"/>
      <c r="U2315" s="696"/>
      <c r="V2315" s="696" t="s">
        <v>12280</v>
      </c>
      <c r="W2315" s="694" t="s">
        <v>14750</v>
      </c>
      <c r="X2315" s="700" t="s">
        <v>15178</v>
      </c>
      <c r="Y2315" s="701" t="s">
        <v>6868</v>
      </c>
      <c r="Z2315" s="702"/>
      <c r="AA2315" s="702"/>
      <c r="AB2315" s="703">
        <f t="shared" ca="1" si="51"/>
        <v>0.41322622522008767</v>
      </c>
      <c r="AC2315" s="855"/>
      <c r="AD2315" s="892" t="s">
        <v>14819</v>
      </c>
      <c r="AE2315" s="960"/>
      <c r="AF2315" s="932">
        <f>IF(X2315=X2314,AF2314,0)+IF(ISNUMBER(I2315),IF(I2315&lt;1,I2315,I2315*VLOOKUP(J2315,Summary!$H$2:$I$9,2)),VLOOKUP(J2315,Summary!$J$2:$K$9,2)*IF(ISNUMBER(H2315),H2315,1))</f>
        <v>0.36805555555555552</v>
      </c>
      <c r="AG2315" s="704">
        <v>2314</v>
      </c>
      <c r="AH2315" s="94"/>
      <c r="AI2315" s="94"/>
    </row>
    <row r="2316" spans="1:35" s="22" customFormat="1" ht="12" customHeight="1" x14ac:dyDescent="0.2">
      <c r="A2316" s="405" t="s">
        <v>12279</v>
      </c>
      <c r="B2316" s="406" t="s">
        <v>12279</v>
      </c>
      <c r="C2316" s="565">
        <v>6.01</v>
      </c>
      <c r="D2316" s="407" t="s">
        <v>14892</v>
      </c>
      <c r="E2316" s="315" t="s">
        <v>14891</v>
      </c>
      <c r="F2316" s="169">
        <v>43070</v>
      </c>
      <c r="G2316" s="170"/>
      <c r="H2316" s="170">
        <v>3</v>
      </c>
      <c r="I2316" s="747">
        <f>TIME(3,0,0)</f>
        <v>0.125</v>
      </c>
      <c r="J2316" s="899" t="s">
        <v>4706</v>
      </c>
      <c r="K2316" s="167" t="s">
        <v>8131</v>
      </c>
      <c r="L2316" s="167" t="s">
        <v>2313</v>
      </c>
      <c r="M2316" s="167"/>
      <c r="N2316" s="167"/>
      <c r="O2316" s="167"/>
      <c r="P2316" s="168" t="s">
        <v>14890</v>
      </c>
      <c r="Q2316" s="167" t="s">
        <v>3947</v>
      </c>
      <c r="R2316" s="172" t="s">
        <v>14834</v>
      </c>
      <c r="S2316" s="388"/>
      <c r="T2316" s="168"/>
      <c r="U2316" s="168" t="s">
        <v>12185</v>
      </c>
      <c r="V2316" s="168"/>
      <c r="W2316" s="315"/>
      <c r="X2316" s="647" t="s">
        <v>15178</v>
      </c>
      <c r="Y2316" s="352"/>
      <c r="Z2316" s="353"/>
      <c r="AA2316" s="353"/>
      <c r="AB2316" s="31">
        <f t="shared" ca="1" si="51"/>
        <v>0.84099285956274938</v>
      </c>
      <c r="AC2316" s="810"/>
      <c r="AD2316" s="849">
        <v>1899</v>
      </c>
      <c r="AE2316" s="940"/>
      <c r="AF2316" s="920">
        <f>IF(X2316=X2315,AF2315,0)+IF(ISNUMBER(I2316),IF(I2316&lt;1,I2316,I2316*VLOOKUP(J2316,Summary!$H$2:$I$9,2)),VLOOKUP(J2316,Summary!$J$2:$K$9,2)*IF(ISNUMBER(H2316),H2316,1))</f>
        <v>0.49305555555555552</v>
      </c>
      <c r="AG2316" s="287">
        <v>2315</v>
      </c>
      <c r="AH2316" s="94"/>
      <c r="AI2316" s="94"/>
    </row>
    <row r="2317" spans="1:35" s="22" customFormat="1" ht="12" customHeight="1" x14ac:dyDescent="0.2">
      <c r="A2317" s="405" t="s">
        <v>12279</v>
      </c>
      <c r="B2317" s="406" t="s">
        <v>12279</v>
      </c>
      <c r="C2317" s="565">
        <v>6.02</v>
      </c>
      <c r="D2317" s="407" t="s">
        <v>14889</v>
      </c>
      <c r="E2317" s="315" t="s">
        <v>14887</v>
      </c>
      <c r="F2317" s="169">
        <v>43070</v>
      </c>
      <c r="G2317" s="170"/>
      <c r="H2317" s="170">
        <v>1</v>
      </c>
      <c r="I2317" s="747">
        <f>TIME(0,60,0)</f>
        <v>4.1666666666666664E-2</v>
      </c>
      <c r="J2317" s="899" t="s">
        <v>4706</v>
      </c>
      <c r="K2317" s="167" t="s">
        <v>8131</v>
      </c>
      <c r="L2317" s="167" t="s">
        <v>2313</v>
      </c>
      <c r="M2317" s="167"/>
      <c r="N2317" s="167"/>
      <c r="O2317" s="167"/>
      <c r="P2317" s="168" t="s">
        <v>14890</v>
      </c>
      <c r="Q2317" s="167" t="s">
        <v>3947</v>
      </c>
      <c r="R2317" s="172" t="s">
        <v>14834</v>
      </c>
      <c r="S2317" s="388"/>
      <c r="T2317" s="168"/>
      <c r="U2317" s="168" t="s">
        <v>12185</v>
      </c>
      <c r="V2317" s="168"/>
      <c r="W2317" s="315" t="s">
        <v>14887</v>
      </c>
      <c r="X2317" s="647" t="s">
        <v>15178</v>
      </c>
      <c r="Y2317" s="352"/>
      <c r="Z2317" s="353"/>
      <c r="AA2317" s="353"/>
      <c r="AB2317" s="31">
        <f t="shared" ca="1" si="51"/>
        <v>0.20000864163565857</v>
      </c>
      <c r="AC2317" s="810"/>
      <c r="AD2317" s="849" t="s">
        <v>14888</v>
      </c>
      <c r="AE2317" s="940"/>
      <c r="AF2317" s="920">
        <f>IF(X2317=X2316,AF2316,0)+IF(ISNUMBER(I2317),IF(I2317&lt;1,I2317,I2317*VLOOKUP(J2317,Summary!$H$2:$I$9,2)),VLOOKUP(J2317,Summary!$J$2:$K$9,2)*IF(ISNUMBER(H2317),H2317,1))</f>
        <v>0.53472222222222221</v>
      </c>
      <c r="AG2317" s="287">
        <v>2316</v>
      </c>
      <c r="AH2317" s="94"/>
      <c r="AI2317" s="94"/>
    </row>
    <row r="2318" spans="1:35" s="706" customFormat="1" ht="12" customHeight="1" x14ac:dyDescent="0.25">
      <c r="A2318" s="405" t="s">
        <v>12181</v>
      </c>
      <c r="B2318" s="406" t="s">
        <v>12181</v>
      </c>
      <c r="C2318" s="565">
        <v>1.01</v>
      </c>
      <c r="D2318" s="407" t="s">
        <v>12192</v>
      </c>
      <c r="E2318" s="315" t="s">
        <v>12193</v>
      </c>
      <c r="F2318" s="169">
        <v>41183</v>
      </c>
      <c r="G2318" s="170"/>
      <c r="H2318" s="170">
        <v>1</v>
      </c>
      <c r="I2318" s="746">
        <f>TIME(0,30,50)</f>
        <v>2.1412037037037035E-2</v>
      </c>
      <c r="J2318" s="899" t="s">
        <v>4706</v>
      </c>
      <c r="K2318" s="167" t="s">
        <v>12194</v>
      </c>
      <c r="L2318" s="167" t="s">
        <v>179</v>
      </c>
      <c r="M2318" s="167"/>
      <c r="N2318" s="167"/>
      <c r="O2318" s="167" t="s">
        <v>179</v>
      </c>
      <c r="P2318" s="168" t="s">
        <v>12304</v>
      </c>
      <c r="Q2318" s="167" t="s">
        <v>3947</v>
      </c>
      <c r="R2318" s="172" t="s">
        <v>12184</v>
      </c>
      <c r="S2318" s="388"/>
      <c r="T2318" s="168"/>
      <c r="U2318" s="168" t="s">
        <v>12185</v>
      </c>
      <c r="V2318" s="168"/>
      <c r="W2318" s="315" t="s">
        <v>12193</v>
      </c>
      <c r="X2318" s="647" t="s">
        <v>15178</v>
      </c>
      <c r="Y2318" s="352" t="s">
        <v>5643</v>
      </c>
      <c r="Z2318" s="353">
        <v>9999</v>
      </c>
      <c r="AA2318" s="353"/>
      <c r="AB2318" s="31">
        <f t="shared" ca="1" si="51"/>
        <v>0.19249706791484877</v>
      </c>
      <c r="AC2318" s="810"/>
      <c r="AD2318" s="846">
        <v>1900</v>
      </c>
      <c r="AE2318" s="940"/>
      <c r="AF2318" s="920">
        <f>IF(X2318=X2317,AF2317,0)+IF(ISNUMBER(I2318),IF(I2318&lt;1,I2318,I2318*VLOOKUP(J2318,Summary!$H$2:$I$9,2)),VLOOKUP(J2318,Summary!$J$2:$K$9,2)*IF(ISNUMBER(H2318),H2318,1))</f>
        <v>0.5561342592592593</v>
      </c>
      <c r="AG2318" s="287">
        <v>2317</v>
      </c>
      <c r="AH2318" s="705"/>
      <c r="AI2318" s="705"/>
    </row>
    <row r="2319" spans="1:35" s="706" customFormat="1" ht="12" customHeight="1" x14ac:dyDescent="0.25">
      <c r="A2319" s="405" t="s">
        <v>12181</v>
      </c>
      <c r="B2319" s="406" t="s">
        <v>12181</v>
      </c>
      <c r="C2319" s="565">
        <v>4.05</v>
      </c>
      <c r="D2319" s="407" t="s">
        <v>12195</v>
      </c>
      <c r="E2319" s="315" t="s">
        <v>12196</v>
      </c>
      <c r="F2319" s="169">
        <v>42309</v>
      </c>
      <c r="G2319" s="170"/>
      <c r="H2319" s="170">
        <v>1</v>
      </c>
      <c r="I2319" s="752">
        <f>TIME(0,30,0)</f>
        <v>2.0833333333333332E-2</v>
      </c>
      <c r="J2319" s="899" t="s">
        <v>4706</v>
      </c>
      <c r="K2319" s="167" t="s">
        <v>12197</v>
      </c>
      <c r="L2319" s="167" t="s">
        <v>179</v>
      </c>
      <c r="M2319" s="167"/>
      <c r="N2319" s="167"/>
      <c r="O2319" s="167" t="s">
        <v>179</v>
      </c>
      <c r="P2319" s="168" t="s">
        <v>12283</v>
      </c>
      <c r="Q2319" s="167" t="s">
        <v>3947</v>
      </c>
      <c r="R2319" s="172" t="s">
        <v>12184</v>
      </c>
      <c r="S2319" s="388"/>
      <c r="T2319" s="168"/>
      <c r="U2319" s="168" t="s">
        <v>12185</v>
      </c>
      <c r="V2319" s="168"/>
      <c r="W2319" s="315" t="s">
        <v>12196</v>
      </c>
      <c r="X2319" s="647" t="s">
        <v>15178</v>
      </c>
      <c r="Y2319" s="352"/>
      <c r="Z2319" s="353"/>
      <c r="AA2319" s="353"/>
      <c r="AB2319" s="31">
        <f t="shared" ca="1" si="51"/>
        <v>0.25796128691940168</v>
      </c>
      <c r="AC2319" s="810"/>
      <c r="AD2319" s="846">
        <v>1900</v>
      </c>
      <c r="AE2319" s="940"/>
      <c r="AF2319" s="920">
        <f>IF(X2319=X2318,AF2318,0)+IF(ISNUMBER(I2319),IF(I2319&lt;1,I2319,I2319*VLOOKUP(J2319,Summary!$H$2:$I$9,2)),VLOOKUP(J2319,Summary!$J$2:$K$9,2)*IF(ISNUMBER(H2319),H2319,1))</f>
        <v>0.57696759259259267</v>
      </c>
      <c r="AG2319" s="287">
        <v>2318</v>
      </c>
      <c r="AH2319" s="705"/>
      <c r="AI2319" s="705"/>
    </row>
    <row r="2320" spans="1:35" s="706" customFormat="1" ht="12" customHeight="1" x14ac:dyDescent="0.25">
      <c r="A2320" s="691" t="s">
        <v>12279</v>
      </c>
      <c r="B2320" s="692" t="s">
        <v>12279</v>
      </c>
      <c r="C2320" s="708">
        <v>5.07</v>
      </c>
      <c r="D2320" s="693" t="s">
        <v>14758</v>
      </c>
      <c r="E2320" s="694" t="s">
        <v>14745</v>
      </c>
      <c r="F2320" s="720">
        <v>8068</v>
      </c>
      <c r="G2320" s="720">
        <v>8096</v>
      </c>
      <c r="H2320" s="695" t="s">
        <v>461</v>
      </c>
      <c r="I2320" s="695"/>
      <c r="J2320" s="911" t="s">
        <v>2755</v>
      </c>
      <c r="K2320" s="697" t="s">
        <v>14605</v>
      </c>
      <c r="L2320" s="697" t="s">
        <v>14770</v>
      </c>
      <c r="M2320" s="697"/>
      <c r="N2320" s="697"/>
      <c r="O2320" s="697"/>
      <c r="P2320" s="696"/>
      <c r="Q2320" s="697" t="s">
        <v>14608</v>
      </c>
      <c r="R2320" s="698" t="s">
        <v>14633</v>
      </c>
      <c r="S2320" s="699"/>
      <c r="T2320" s="696"/>
      <c r="U2320" s="696"/>
      <c r="V2320" s="696" t="s">
        <v>12280</v>
      </c>
      <c r="W2320" s="694" t="s">
        <v>14745</v>
      </c>
      <c r="X2320" s="700" t="s">
        <v>15178</v>
      </c>
      <c r="Y2320" s="701" t="s">
        <v>6868</v>
      </c>
      <c r="Z2320" s="702"/>
      <c r="AA2320" s="702"/>
      <c r="AB2320" s="703">
        <f t="shared" ca="1" si="51"/>
        <v>0.60245376010170237</v>
      </c>
      <c r="AC2320" s="855"/>
      <c r="AD2320" s="890" t="s">
        <v>14820</v>
      </c>
      <c r="AE2320" s="960"/>
      <c r="AF2320" s="932">
        <f>IF(X2320=X2319,AF2319,0)+IF(ISNUMBER(I2320),IF(I2320&lt;1,I2320,I2320*VLOOKUP(J2320,Summary!$H$2:$I$9,2)),VLOOKUP(J2320,Summary!$J$2:$K$9,2)*IF(ISNUMBER(H2320),H2320,1))</f>
        <v>0.59432870370370383</v>
      </c>
      <c r="AG2320" s="704">
        <v>2319</v>
      </c>
      <c r="AH2320" s="705"/>
      <c r="AI2320" s="705"/>
    </row>
    <row r="2321" spans="1:35" s="706" customFormat="1" ht="12" customHeight="1" x14ac:dyDescent="0.25">
      <c r="A2321" s="691" t="s">
        <v>12279</v>
      </c>
      <c r="B2321" s="692" t="s">
        <v>12279</v>
      </c>
      <c r="C2321" s="708"/>
      <c r="D2321" s="693"/>
      <c r="E2321" s="694" t="s">
        <v>14893</v>
      </c>
      <c r="F2321" s="721">
        <v>41609</v>
      </c>
      <c r="G2321" s="695"/>
      <c r="H2321" s="695">
        <v>1</v>
      </c>
      <c r="I2321" s="753">
        <f>TIME(0,5,35)</f>
        <v>3.8773148148148143E-3</v>
      </c>
      <c r="J2321" s="911" t="s">
        <v>4706</v>
      </c>
      <c r="K2321" s="697" t="s">
        <v>14894</v>
      </c>
      <c r="L2321" s="697" t="s">
        <v>4549</v>
      </c>
      <c r="M2321" s="697"/>
      <c r="N2321" s="697"/>
      <c r="O2321" s="697"/>
      <c r="P2321" s="696"/>
      <c r="Q2321" s="697" t="s">
        <v>3947</v>
      </c>
      <c r="R2321" s="698" t="s">
        <v>14834</v>
      </c>
      <c r="S2321" s="699"/>
      <c r="T2321" s="696"/>
      <c r="U2321" s="696" t="s">
        <v>12185</v>
      </c>
      <c r="V2321" s="696"/>
      <c r="W2321" s="694" t="s">
        <v>14893</v>
      </c>
      <c r="X2321" s="700" t="s">
        <v>15178</v>
      </c>
      <c r="Y2321" s="701" t="s">
        <v>5643</v>
      </c>
      <c r="Z2321" s="702"/>
      <c r="AA2321" s="702"/>
      <c r="AB2321" s="703">
        <f t="shared" ca="1" si="51"/>
        <v>0.5927852457968148</v>
      </c>
      <c r="AC2321" s="855"/>
      <c r="AD2321" s="890" t="s">
        <v>14895</v>
      </c>
      <c r="AE2321" s="960"/>
      <c r="AF2321" s="932">
        <f>IF(X2321=X2320,AF2320,0)+IF(ISNUMBER(I2321),IF(I2321&lt;1,I2321,I2321*VLOOKUP(J2321,Summary!$H$2:$I$9,2)),VLOOKUP(J2321,Summary!$J$2:$K$9,2)*IF(ISNUMBER(H2321),H2321,1))</f>
        <v>0.59820601851851862</v>
      </c>
      <c r="AG2321" s="704">
        <v>2320</v>
      </c>
      <c r="AH2321" s="705"/>
      <c r="AI2321" s="705"/>
    </row>
    <row r="2322" spans="1:35" s="22" customFormat="1" ht="12" customHeight="1" x14ac:dyDescent="0.25">
      <c r="A2322" s="691" t="s">
        <v>12279</v>
      </c>
      <c r="B2322" s="692" t="s">
        <v>12279</v>
      </c>
      <c r="C2322" s="708">
        <v>3.05</v>
      </c>
      <c r="D2322" s="693" t="s">
        <v>14713</v>
      </c>
      <c r="E2322" s="694" t="s">
        <v>14700</v>
      </c>
      <c r="F2322" s="720">
        <v>1462</v>
      </c>
      <c r="G2322" s="695"/>
      <c r="H2322" s="695" t="s">
        <v>461</v>
      </c>
      <c r="I2322" s="695"/>
      <c r="J2322" s="911" t="s">
        <v>2755</v>
      </c>
      <c r="K2322" s="697" t="s">
        <v>14605</v>
      </c>
      <c r="L2322" s="697" t="s">
        <v>14607</v>
      </c>
      <c r="M2322" s="697"/>
      <c r="N2322" s="697"/>
      <c r="O2322" s="697"/>
      <c r="P2322" s="696"/>
      <c r="Q2322" s="697" t="s">
        <v>14722</v>
      </c>
      <c r="R2322" s="698" t="s">
        <v>14633</v>
      </c>
      <c r="S2322" s="699"/>
      <c r="T2322" s="696"/>
      <c r="U2322" s="696"/>
      <c r="V2322" s="696" t="s">
        <v>12280</v>
      </c>
      <c r="W2322" s="694" t="s">
        <v>14700</v>
      </c>
      <c r="X2322" s="700" t="s">
        <v>15177</v>
      </c>
      <c r="Y2322" s="701" t="s">
        <v>6868</v>
      </c>
      <c r="Z2322" s="702"/>
      <c r="AA2322" s="702"/>
      <c r="AB2322" s="703">
        <f t="shared" ca="1" si="51"/>
        <v>0.65859854564725739</v>
      </c>
      <c r="AC2322" s="855"/>
      <c r="AD2322" s="890" t="s">
        <v>14821</v>
      </c>
      <c r="AE2322" s="960"/>
      <c r="AF2322" s="932">
        <f>IF(X2322=X2321,AF2321,0)+IF(ISNUMBER(I2322),IF(I2322&lt;1,I2322,I2322*VLOOKUP(J2322,Summary!$H$2:$I$9,2)),VLOOKUP(J2322,Summary!$J$2:$K$9,2)*IF(ISNUMBER(H2322),H2322,1))</f>
        <v>1.7361111111111112E-2</v>
      </c>
      <c r="AG2322" s="704">
        <v>2321</v>
      </c>
      <c r="AH2322" s="94"/>
      <c r="AI2322" s="94"/>
    </row>
    <row r="2323" spans="1:35" s="706" customFormat="1" ht="12" customHeight="1" x14ac:dyDescent="0.25">
      <c r="A2323" s="691" t="s">
        <v>12279</v>
      </c>
      <c r="B2323" s="692" t="s">
        <v>12279</v>
      </c>
      <c r="C2323" s="708">
        <v>5.05</v>
      </c>
      <c r="D2323" s="693" t="s">
        <v>14756</v>
      </c>
      <c r="E2323" s="694" t="s">
        <v>14743</v>
      </c>
      <c r="F2323" s="720">
        <v>8767</v>
      </c>
      <c r="G2323" s="695"/>
      <c r="H2323" s="695" t="s">
        <v>461</v>
      </c>
      <c r="I2323" s="695"/>
      <c r="J2323" s="911" t="s">
        <v>2755</v>
      </c>
      <c r="K2323" s="697" t="s">
        <v>14605</v>
      </c>
      <c r="L2323" s="697" t="s">
        <v>14771</v>
      </c>
      <c r="M2323" s="697"/>
      <c r="N2323" s="697"/>
      <c r="O2323" s="697"/>
      <c r="P2323" s="696"/>
      <c r="Q2323" s="697" t="s">
        <v>14608</v>
      </c>
      <c r="R2323" s="698" t="s">
        <v>14633</v>
      </c>
      <c r="S2323" s="699"/>
      <c r="T2323" s="696"/>
      <c r="U2323" s="696"/>
      <c r="V2323" s="696" t="s">
        <v>12280</v>
      </c>
      <c r="W2323" s="694" t="s">
        <v>14743</v>
      </c>
      <c r="X2323" s="700" t="s">
        <v>15177</v>
      </c>
      <c r="Y2323" s="701" t="s">
        <v>6868</v>
      </c>
      <c r="Z2323" s="702"/>
      <c r="AA2323" s="702"/>
      <c r="AB2323" s="703">
        <f t="shared" ca="1" si="51"/>
        <v>0.99416192790800773</v>
      </c>
      <c r="AC2323" s="855"/>
      <c r="AD2323" s="890" t="s">
        <v>14822</v>
      </c>
      <c r="AE2323" s="960"/>
      <c r="AF2323" s="932">
        <f>IF(X2323=X2322,AF2322,0)+IF(ISNUMBER(I2323),IF(I2323&lt;1,I2323,I2323*VLOOKUP(J2323,Summary!$H$2:$I$9,2)),VLOOKUP(J2323,Summary!$J$2:$K$9,2)*IF(ISNUMBER(H2323),H2323,1))</f>
        <v>3.4722222222222224E-2</v>
      </c>
      <c r="AG2323" s="704">
        <v>2322</v>
      </c>
      <c r="AH2323" s="705"/>
      <c r="AI2323" s="705"/>
    </row>
    <row r="2324" spans="1:35" s="706" customFormat="1" ht="12" customHeight="1" x14ac:dyDescent="0.25">
      <c r="A2324" s="691" t="s">
        <v>12279</v>
      </c>
      <c r="B2324" s="692" t="s">
        <v>12279</v>
      </c>
      <c r="C2324" s="708">
        <v>3.08</v>
      </c>
      <c r="D2324" s="693" t="s">
        <v>14716</v>
      </c>
      <c r="E2324" s="694" t="s">
        <v>14703</v>
      </c>
      <c r="F2324" s="720">
        <v>1553</v>
      </c>
      <c r="G2324" s="695"/>
      <c r="H2324" s="695" t="s">
        <v>461</v>
      </c>
      <c r="I2324" s="695"/>
      <c r="J2324" s="911" t="s">
        <v>2755</v>
      </c>
      <c r="K2324" s="697" t="s">
        <v>14605</v>
      </c>
      <c r="L2324" s="697" t="s">
        <v>14607</v>
      </c>
      <c r="M2324" s="697"/>
      <c r="N2324" s="697"/>
      <c r="O2324" s="697"/>
      <c r="P2324" s="696"/>
      <c r="Q2324" s="697" t="s">
        <v>14722</v>
      </c>
      <c r="R2324" s="698" t="s">
        <v>14633</v>
      </c>
      <c r="S2324" s="699"/>
      <c r="T2324" s="696"/>
      <c r="U2324" s="696"/>
      <c r="V2324" s="696" t="s">
        <v>12280</v>
      </c>
      <c r="W2324" s="694" t="s">
        <v>14703</v>
      </c>
      <c r="X2324" s="700" t="s">
        <v>15177</v>
      </c>
      <c r="Y2324" s="701" t="s">
        <v>6868</v>
      </c>
      <c r="Z2324" s="702"/>
      <c r="AA2324" s="702"/>
      <c r="AB2324" s="703">
        <f t="shared" ca="1" si="51"/>
        <v>0.67512916562092651</v>
      </c>
      <c r="AC2324" s="855"/>
      <c r="AD2324" s="890" t="s">
        <v>14823</v>
      </c>
      <c r="AE2324" s="960"/>
      <c r="AF2324" s="932">
        <f>IF(X2324=X2323,AF2323,0)+IF(ISNUMBER(I2324),IF(I2324&lt;1,I2324,I2324*VLOOKUP(J2324,Summary!$H$2:$I$9,2)),VLOOKUP(J2324,Summary!$J$2:$K$9,2)*IF(ISNUMBER(H2324),H2324,1))</f>
        <v>5.2083333333333336E-2</v>
      </c>
      <c r="AG2324" s="704">
        <v>2323</v>
      </c>
      <c r="AH2324" s="705"/>
      <c r="AI2324" s="705"/>
    </row>
    <row r="2325" spans="1:35" s="706" customFormat="1" ht="12" customHeight="1" x14ac:dyDescent="0.25">
      <c r="A2325" s="691" t="s">
        <v>12279</v>
      </c>
      <c r="B2325" s="692" t="s">
        <v>12279</v>
      </c>
      <c r="C2325" s="708">
        <v>5.0599999999999996</v>
      </c>
      <c r="D2325" s="693" t="s">
        <v>14757</v>
      </c>
      <c r="E2325" s="694" t="s">
        <v>14744</v>
      </c>
      <c r="F2325" s="720">
        <v>9041</v>
      </c>
      <c r="G2325" s="695"/>
      <c r="H2325" s="695" t="s">
        <v>461</v>
      </c>
      <c r="I2325" s="695"/>
      <c r="J2325" s="911" t="s">
        <v>2755</v>
      </c>
      <c r="K2325" s="697" t="s">
        <v>14605</v>
      </c>
      <c r="L2325" s="697" t="s">
        <v>14771</v>
      </c>
      <c r="M2325" s="697"/>
      <c r="N2325" s="697"/>
      <c r="O2325" s="697"/>
      <c r="P2325" s="696"/>
      <c r="Q2325" s="697" t="s">
        <v>14722</v>
      </c>
      <c r="R2325" s="698" t="s">
        <v>14633</v>
      </c>
      <c r="S2325" s="699"/>
      <c r="T2325" s="696"/>
      <c r="U2325" s="696"/>
      <c r="V2325" s="696" t="s">
        <v>12280</v>
      </c>
      <c r="W2325" s="694" t="s">
        <v>14744</v>
      </c>
      <c r="X2325" s="700" t="s">
        <v>15177</v>
      </c>
      <c r="Y2325" s="701" t="s">
        <v>6868</v>
      </c>
      <c r="Z2325" s="702"/>
      <c r="AA2325" s="702"/>
      <c r="AB2325" s="703">
        <f t="shared" ca="1" si="51"/>
        <v>0.93846242766951338</v>
      </c>
      <c r="AC2325" s="855"/>
      <c r="AD2325" s="890" t="s">
        <v>14824</v>
      </c>
      <c r="AE2325" s="960"/>
      <c r="AF2325" s="932">
        <f>IF(X2325=X2324,AF2324,0)+IF(ISNUMBER(I2325),IF(I2325&lt;1,I2325,I2325*VLOOKUP(J2325,Summary!$H$2:$I$9,2)),VLOOKUP(J2325,Summary!$J$2:$K$9,2)*IF(ISNUMBER(H2325),H2325,1))</f>
        <v>6.9444444444444448E-2</v>
      </c>
      <c r="AG2325" s="704">
        <v>2324</v>
      </c>
      <c r="AH2325" s="705"/>
      <c r="AI2325" s="705"/>
    </row>
    <row r="2326" spans="1:35" s="706" customFormat="1" ht="12" customHeight="1" x14ac:dyDescent="0.25">
      <c r="A2326" s="691" t="s">
        <v>12279</v>
      </c>
      <c r="B2326" s="692" t="s">
        <v>12279</v>
      </c>
      <c r="C2326" s="708">
        <v>4.05</v>
      </c>
      <c r="D2326" s="693" t="s">
        <v>14735</v>
      </c>
      <c r="E2326" s="694" t="s">
        <v>14728</v>
      </c>
      <c r="F2326" s="720">
        <v>4353</v>
      </c>
      <c r="G2326" s="695"/>
      <c r="H2326" s="695" t="s">
        <v>461</v>
      </c>
      <c r="I2326" s="695"/>
      <c r="J2326" s="911" t="s">
        <v>2755</v>
      </c>
      <c r="K2326" s="697" t="s">
        <v>14605</v>
      </c>
      <c r="L2326" s="697" t="s">
        <v>14767</v>
      </c>
      <c r="M2326" s="697"/>
      <c r="N2326" s="697"/>
      <c r="O2326" s="697"/>
      <c r="P2326" s="696"/>
      <c r="Q2326" s="697" t="s">
        <v>14608</v>
      </c>
      <c r="R2326" s="698" t="s">
        <v>14633</v>
      </c>
      <c r="S2326" s="699"/>
      <c r="T2326" s="696"/>
      <c r="U2326" s="696"/>
      <c r="V2326" s="696" t="s">
        <v>12280</v>
      </c>
      <c r="W2326" s="694" t="s">
        <v>14728</v>
      </c>
      <c r="X2326" s="700" t="s">
        <v>15177</v>
      </c>
      <c r="Y2326" s="701" t="s">
        <v>6868</v>
      </c>
      <c r="Z2326" s="702"/>
      <c r="AA2326" s="702"/>
      <c r="AB2326" s="703">
        <f t="shared" ca="1" si="51"/>
        <v>0.50598895282527856</v>
      </c>
      <c r="AC2326" s="855"/>
      <c r="AD2326" s="890" t="s">
        <v>14825</v>
      </c>
      <c r="AE2326" s="960"/>
      <c r="AF2326" s="932">
        <f>IF(X2326=X2325,AF2325,0)+IF(ISNUMBER(I2326),IF(I2326&lt;1,I2326,I2326*VLOOKUP(J2326,Summary!$H$2:$I$9,2)),VLOOKUP(J2326,Summary!$J$2:$K$9,2)*IF(ISNUMBER(H2326),H2326,1))</f>
        <v>8.6805555555555552E-2</v>
      </c>
      <c r="AG2326" s="704">
        <v>2325</v>
      </c>
      <c r="AH2326" s="705"/>
      <c r="AI2326" s="705"/>
    </row>
    <row r="2327" spans="1:35" s="706" customFormat="1" ht="12" customHeight="1" x14ac:dyDescent="0.25">
      <c r="A2327" s="691" t="s">
        <v>12279</v>
      </c>
      <c r="B2327" s="692" t="s">
        <v>12279</v>
      </c>
      <c r="C2327" s="708">
        <v>5.01</v>
      </c>
      <c r="D2327" s="693" t="s">
        <v>14752</v>
      </c>
      <c r="E2327" s="694" t="s">
        <v>14739</v>
      </c>
      <c r="F2327" s="720">
        <v>9072</v>
      </c>
      <c r="G2327" s="695"/>
      <c r="H2327" s="695" t="s">
        <v>461</v>
      </c>
      <c r="I2327" s="695"/>
      <c r="J2327" s="911" t="s">
        <v>2755</v>
      </c>
      <c r="K2327" s="697" t="s">
        <v>14605</v>
      </c>
      <c r="L2327" s="697" t="s">
        <v>14771</v>
      </c>
      <c r="M2327" s="697"/>
      <c r="N2327" s="697"/>
      <c r="O2327" s="697"/>
      <c r="P2327" s="696"/>
      <c r="Q2327" s="697" t="s">
        <v>14722</v>
      </c>
      <c r="R2327" s="698" t="s">
        <v>14633</v>
      </c>
      <c r="S2327" s="699"/>
      <c r="T2327" s="696"/>
      <c r="U2327" s="696"/>
      <c r="V2327" s="696" t="s">
        <v>12280</v>
      </c>
      <c r="W2327" s="694" t="s">
        <v>14739</v>
      </c>
      <c r="X2327" s="700" t="s">
        <v>15177</v>
      </c>
      <c r="Y2327" s="701" t="s">
        <v>6868</v>
      </c>
      <c r="Z2327" s="702"/>
      <c r="AA2327" s="702"/>
      <c r="AB2327" s="703">
        <f t="shared" ca="1" si="51"/>
        <v>0.58423688794487139</v>
      </c>
      <c r="AC2327" s="855"/>
      <c r="AD2327" s="890" t="s">
        <v>14826</v>
      </c>
      <c r="AE2327" s="960"/>
      <c r="AF2327" s="932">
        <f>IF(X2327=X2326,AF2326,0)+IF(ISNUMBER(I2327),IF(I2327&lt;1,I2327,I2327*VLOOKUP(J2327,Summary!$H$2:$I$9,2)),VLOOKUP(J2327,Summary!$J$2:$K$9,2)*IF(ISNUMBER(H2327),H2327,1))</f>
        <v>0.10416666666666666</v>
      </c>
      <c r="AG2327" s="704">
        <v>2326</v>
      </c>
      <c r="AH2327" s="705"/>
      <c r="AI2327" s="705"/>
    </row>
    <row r="2328" spans="1:35" s="706" customFormat="1" ht="12" customHeight="1" x14ac:dyDescent="0.25">
      <c r="A2328" s="691" t="s">
        <v>12279</v>
      </c>
      <c r="B2328" s="692" t="s">
        <v>12279</v>
      </c>
      <c r="C2328" s="708">
        <v>5.0199999999999996</v>
      </c>
      <c r="D2328" s="693" t="s">
        <v>14753</v>
      </c>
      <c r="E2328" s="694" t="s">
        <v>14740</v>
      </c>
      <c r="F2328" s="720">
        <v>9771</v>
      </c>
      <c r="G2328" s="695"/>
      <c r="H2328" s="695" t="s">
        <v>461</v>
      </c>
      <c r="I2328" s="695"/>
      <c r="J2328" s="911" t="s">
        <v>2755</v>
      </c>
      <c r="K2328" s="697" t="s">
        <v>14605</v>
      </c>
      <c r="L2328" s="697" t="s">
        <v>14771</v>
      </c>
      <c r="M2328" s="697"/>
      <c r="N2328" s="697"/>
      <c r="O2328" s="697"/>
      <c r="P2328" s="696"/>
      <c r="Q2328" s="697" t="s">
        <v>14751</v>
      </c>
      <c r="R2328" s="698" t="s">
        <v>14633</v>
      </c>
      <c r="S2328" s="699"/>
      <c r="T2328" s="696"/>
      <c r="U2328" s="696"/>
      <c r="V2328" s="696" t="s">
        <v>12280</v>
      </c>
      <c r="W2328" s="694" t="s">
        <v>14740</v>
      </c>
      <c r="X2328" s="700" t="s">
        <v>15177</v>
      </c>
      <c r="Y2328" s="701" t="s">
        <v>6868</v>
      </c>
      <c r="Z2328" s="702"/>
      <c r="AA2328" s="702"/>
      <c r="AB2328" s="703">
        <f t="shared" ca="1" si="51"/>
        <v>7.2301038941012252E-2</v>
      </c>
      <c r="AC2328" s="855"/>
      <c r="AD2328" s="890" t="s">
        <v>14827</v>
      </c>
      <c r="AE2328" s="960"/>
      <c r="AF2328" s="932">
        <f>IF(X2328=X2327,AF2327,0)+IF(ISNUMBER(I2328),IF(I2328&lt;1,I2328,I2328*VLOOKUP(J2328,Summary!$H$2:$I$9,2)),VLOOKUP(J2328,Summary!$J$2:$K$9,2)*IF(ISNUMBER(H2328),H2328,1))</f>
        <v>0.12152777777777776</v>
      </c>
      <c r="AG2328" s="704">
        <v>2327</v>
      </c>
      <c r="AH2328" s="705"/>
      <c r="AI2328" s="705"/>
    </row>
    <row r="2329" spans="1:35" s="22" customFormat="1" ht="12" customHeight="1" x14ac:dyDescent="0.25">
      <c r="A2329" s="691" t="s">
        <v>12279</v>
      </c>
      <c r="B2329" s="692" t="s">
        <v>12279</v>
      </c>
      <c r="C2329" s="708">
        <v>5.1100000000000003</v>
      </c>
      <c r="D2329" s="693" t="s">
        <v>14762</v>
      </c>
      <c r="E2329" s="694" t="s">
        <v>14749</v>
      </c>
      <c r="F2329" s="720">
        <v>9922</v>
      </c>
      <c r="G2329" s="695"/>
      <c r="H2329" s="695" t="s">
        <v>461</v>
      </c>
      <c r="I2329" s="695"/>
      <c r="J2329" s="911" t="s">
        <v>2755</v>
      </c>
      <c r="K2329" s="697" t="s">
        <v>14605</v>
      </c>
      <c r="L2329" s="697" t="s">
        <v>14769</v>
      </c>
      <c r="M2329" s="697"/>
      <c r="N2329" s="697"/>
      <c r="O2329" s="697"/>
      <c r="P2329" s="696"/>
      <c r="Q2329" s="697" t="s">
        <v>14751</v>
      </c>
      <c r="R2329" s="698" t="s">
        <v>14633</v>
      </c>
      <c r="S2329" s="699"/>
      <c r="T2329" s="696"/>
      <c r="U2329" s="696"/>
      <c r="V2329" s="696" t="s">
        <v>12280</v>
      </c>
      <c r="W2329" s="694" t="s">
        <v>14749</v>
      </c>
      <c r="X2329" s="700" t="s">
        <v>15177</v>
      </c>
      <c r="Y2329" s="701" t="s">
        <v>6868</v>
      </c>
      <c r="Z2329" s="702"/>
      <c r="AA2329" s="702"/>
      <c r="AB2329" s="703">
        <f t="shared" ca="1" si="51"/>
        <v>0.22566302365600865</v>
      </c>
      <c r="AC2329" s="855"/>
      <c r="AD2329" s="890" t="s">
        <v>14830</v>
      </c>
      <c r="AE2329" s="960"/>
      <c r="AF2329" s="932">
        <f>IF(X2329=X2328,AF2328,0)+IF(ISNUMBER(I2329),IF(I2329&lt;1,I2329,I2329*VLOOKUP(J2329,Summary!$H$2:$I$9,2)),VLOOKUP(J2329,Summary!$J$2:$K$9,2)*IF(ISNUMBER(H2329),H2329,1))</f>
        <v>0.13888888888888887</v>
      </c>
      <c r="AG2329" s="704">
        <v>2328</v>
      </c>
      <c r="AH2329" s="94"/>
      <c r="AI2329" s="94"/>
    </row>
    <row r="2330" spans="1:35" s="22" customFormat="1" ht="12" customHeight="1" x14ac:dyDescent="0.25">
      <c r="A2330" s="691" t="s">
        <v>12279</v>
      </c>
      <c r="B2330" s="692" t="s">
        <v>12279</v>
      </c>
      <c r="C2330" s="708">
        <v>5.08</v>
      </c>
      <c r="D2330" s="693" t="s">
        <v>14759</v>
      </c>
      <c r="E2330" s="694" t="s">
        <v>14746</v>
      </c>
      <c r="F2330" s="720">
        <v>8461</v>
      </c>
      <c r="G2330" s="695"/>
      <c r="H2330" s="695" t="s">
        <v>461</v>
      </c>
      <c r="I2330" s="695"/>
      <c r="J2330" s="911" t="s">
        <v>2755</v>
      </c>
      <c r="K2330" s="697" t="s">
        <v>14605</v>
      </c>
      <c r="L2330" s="697" t="s">
        <v>14771</v>
      </c>
      <c r="M2330" s="697"/>
      <c r="N2330" s="697"/>
      <c r="O2330" s="697"/>
      <c r="P2330" s="696"/>
      <c r="Q2330" s="697" t="s">
        <v>14608</v>
      </c>
      <c r="R2330" s="698" t="s">
        <v>14633</v>
      </c>
      <c r="S2330" s="699"/>
      <c r="T2330" s="696"/>
      <c r="U2330" s="696"/>
      <c r="V2330" s="696" t="s">
        <v>12280</v>
      </c>
      <c r="W2330" s="694" t="s">
        <v>14746</v>
      </c>
      <c r="X2330" s="700" t="s">
        <v>15177</v>
      </c>
      <c r="Y2330" s="701" t="s">
        <v>6868</v>
      </c>
      <c r="Z2330" s="702"/>
      <c r="AA2330" s="702"/>
      <c r="AB2330" s="703">
        <f t="shared" ca="1" si="51"/>
        <v>0.68694215230729194</v>
      </c>
      <c r="AC2330" s="855"/>
      <c r="AD2330" s="890" t="s">
        <v>14831</v>
      </c>
      <c r="AE2330" s="960"/>
      <c r="AF2330" s="932">
        <f>IF(X2330=X2329,AF2329,0)+IF(ISNUMBER(I2330),IF(I2330&lt;1,I2330,I2330*VLOOKUP(J2330,Summary!$H$2:$I$9,2)),VLOOKUP(J2330,Summary!$J$2:$K$9,2)*IF(ISNUMBER(H2330),H2330,1))</f>
        <v>0.15624999999999997</v>
      </c>
      <c r="AG2330" s="704">
        <v>2329</v>
      </c>
      <c r="AH2330" s="94"/>
      <c r="AI2330" s="94"/>
    </row>
    <row r="2331" spans="1:35" s="22" customFormat="1" ht="12" customHeight="1" x14ac:dyDescent="0.25">
      <c r="A2331" s="691" t="s">
        <v>12279</v>
      </c>
      <c r="B2331" s="692" t="s">
        <v>12279</v>
      </c>
      <c r="C2331" s="708">
        <v>4.04</v>
      </c>
      <c r="D2331" s="693" t="s">
        <v>14736</v>
      </c>
      <c r="E2331" s="694" t="s">
        <v>14727</v>
      </c>
      <c r="F2331" s="720">
        <v>5054</v>
      </c>
      <c r="G2331" s="695"/>
      <c r="H2331" s="695" t="s">
        <v>461</v>
      </c>
      <c r="I2331" s="695"/>
      <c r="J2331" s="911" t="s">
        <v>2755</v>
      </c>
      <c r="K2331" s="697" t="s">
        <v>14605</v>
      </c>
      <c r="L2331" s="697" t="s">
        <v>14764</v>
      </c>
      <c r="M2331" s="697"/>
      <c r="N2331" s="697"/>
      <c r="O2331" s="697"/>
      <c r="P2331" s="696"/>
      <c r="Q2331" s="697" t="s">
        <v>14608</v>
      </c>
      <c r="R2331" s="698" t="s">
        <v>14633</v>
      </c>
      <c r="S2331" s="699"/>
      <c r="T2331" s="696"/>
      <c r="U2331" s="696"/>
      <c r="V2331" s="696" t="s">
        <v>12280</v>
      </c>
      <c r="W2331" s="694" t="s">
        <v>14727</v>
      </c>
      <c r="X2331" s="700" t="s">
        <v>15177</v>
      </c>
      <c r="Y2331" s="701" t="s">
        <v>6868</v>
      </c>
      <c r="Z2331" s="702"/>
      <c r="AA2331" s="702"/>
      <c r="AB2331" s="703">
        <f t="shared" ca="1" si="51"/>
        <v>0.52482981333093415</v>
      </c>
      <c r="AC2331" s="855"/>
      <c r="AD2331" s="857" t="s">
        <v>14832</v>
      </c>
      <c r="AE2331" s="960"/>
      <c r="AF2331" s="932">
        <f>IF(X2331=X2330,AF2330,0)+IF(ISNUMBER(I2331),IF(I2331&lt;1,I2331,I2331*VLOOKUP(J2331,Summary!$H$2:$I$9,2)),VLOOKUP(J2331,Summary!$J$2:$K$9,2)*IF(ISNUMBER(H2331),H2331,1))</f>
        <v>0.17361111111111108</v>
      </c>
      <c r="AG2331" s="704">
        <v>2330</v>
      </c>
      <c r="AH2331" s="94"/>
      <c r="AI2331" s="94"/>
    </row>
    <row r="2332" spans="1:35" s="22" customFormat="1" ht="12" customHeight="1" x14ac:dyDescent="0.2">
      <c r="A2332" s="405" t="s">
        <v>12279</v>
      </c>
      <c r="B2332" s="406" t="s">
        <v>12279</v>
      </c>
      <c r="C2332" s="565">
        <v>3.03</v>
      </c>
      <c r="D2332" s="407" t="s">
        <v>14857</v>
      </c>
      <c r="E2332" s="315" t="s">
        <v>14861</v>
      </c>
      <c r="F2332" s="169">
        <v>41000</v>
      </c>
      <c r="G2332" s="170"/>
      <c r="H2332" s="170">
        <v>1</v>
      </c>
      <c r="I2332" s="747">
        <f>TIME(0,60,0)</f>
        <v>4.1666666666666664E-2</v>
      </c>
      <c r="J2332" s="899" t="s">
        <v>4706</v>
      </c>
      <c r="K2332" s="167" t="s">
        <v>8131</v>
      </c>
      <c r="L2332" s="167" t="s">
        <v>2313</v>
      </c>
      <c r="M2332" s="167"/>
      <c r="N2332" s="167"/>
      <c r="O2332" s="167"/>
      <c r="P2332" s="168" t="s">
        <v>14855</v>
      </c>
      <c r="Q2332" s="167" t="s">
        <v>3947</v>
      </c>
      <c r="R2332" s="172" t="s">
        <v>14834</v>
      </c>
      <c r="S2332" s="388"/>
      <c r="T2332" s="168"/>
      <c r="U2332" s="168" t="s">
        <v>12185</v>
      </c>
      <c r="V2332" s="168"/>
      <c r="W2332" s="315" t="s">
        <v>14861</v>
      </c>
      <c r="X2332" s="647" t="s">
        <v>15177</v>
      </c>
      <c r="Y2332" s="352"/>
      <c r="Z2332" s="353"/>
      <c r="AA2332" s="353"/>
      <c r="AB2332" s="31">
        <f t="shared" ca="1" si="51"/>
        <v>0.95570833869441096</v>
      </c>
      <c r="AC2332" s="810"/>
      <c r="AD2332" s="825" t="s">
        <v>14865</v>
      </c>
      <c r="AE2332" s="940"/>
      <c r="AF2332" s="920">
        <f>IF(X2332=X2331,AF2331,0)+IF(ISNUMBER(I2332),IF(I2332&lt;1,I2332,I2332*VLOOKUP(J2332,Summary!$H$2:$I$9,2)),VLOOKUP(J2332,Summary!$J$2:$K$9,2)*IF(ISNUMBER(H2332),H2332,1))</f>
        <v>0.21527777777777773</v>
      </c>
      <c r="AG2332" s="287">
        <v>2331</v>
      </c>
      <c r="AH2332" s="94"/>
      <c r="AI2332" s="94"/>
    </row>
    <row r="2333" spans="1:35" s="22" customFormat="1" ht="12" customHeight="1" x14ac:dyDescent="0.25">
      <c r="A2333" s="691" t="s">
        <v>12279</v>
      </c>
      <c r="B2333" s="692" t="s">
        <v>12279</v>
      </c>
      <c r="C2333" s="708">
        <v>5.09</v>
      </c>
      <c r="D2333" s="693" t="s">
        <v>14760</v>
      </c>
      <c r="E2333" s="694" t="s">
        <v>14747</v>
      </c>
      <c r="F2333" s="720">
        <v>9802</v>
      </c>
      <c r="G2333" s="695"/>
      <c r="H2333" s="695" t="s">
        <v>461</v>
      </c>
      <c r="I2333" s="695"/>
      <c r="J2333" s="911" t="s">
        <v>2755</v>
      </c>
      <c r="K2333" s="697" t="s">
        <v>14605</v>
      </c>
      <c r="L2333" s="697" t="s">
        <v>14771</v>
      </c>
      <c r="M2333" s="697"/>
      <c r="N2333" s="697"/>
      <c r="O2333" s="697"/>
      <c r="P2333" s="696"/>
      <c r="Q2333" s="697" t="s">
        <v>14751</v>
      </c>
      <c r="R2333" s="698" t="s">
        <v>14633</v>
      </c>
      <c r="S2333" s="699"/>
      <c r="T2333" s="696"/>
      <c r="U2333" s="696"/>
      <c r="V2333" s="696" t="s">
        <v>12280</v>
      </c>
      <c r="W2333" s="694" t="s">
        <v>14747</v>
      </c>
      <c r="X2333" s="700" t="s">
        <v>15177</v>
      </c>
      <c r="Y2333" s="701" t="s">
        <v>6868</v>
      </c>
      <c r="Z2333" s="702"/>
      <c r="AA2333" s="702"/>
      <c r="AB2333" s="703">
        <f t="shared" ca="1" si="51"/>
        <v>0.39933168466868574</v>
      </c>
      <c r="AC2333" s="855"/>
      <c r="AD2333" s="890" t="s">
        <v>14829</v>
      </c>
      <c r="AE2333" s="960"/>
      <c r="AF2333" s="932">
        <f>IF(X2333=X2332,AF2332,0)+IF(ISNUMBER(I2333),IF(I2333&lt;1,I2333,I2333*VLOOKUP(J2333,Summary!$H$2:$I$9,2)),VLOOKUP(J2333,Summary!$J$2:$K$9,2)*IF(ISNUMBER(H2333),H2333,1))</f>
        <v>0.23263888888888884</v>
      </c>
      <c r="AG2333" s="704">
        <v>2332</v>
      </c>
      <c r="AH2333" s="94"/>
      <c r="AI2333" s="94"/>
    </row>
    <row r="2334" spans="1:35" s="713" customFormat="1" ht="12" customHeight="1" x14ac:dyDescent="0.25">
      <c r="A2334" s="405" t="s">
        <v>12279</v>
      </c>
      <c r="B2334" s="406" t="s">
        <v>12279</v>
      </c>
      <c r="C2334" s="637">
        <v>2</v>
      </c>
      <c r="D2334" s="407" t="s">
        <v>12307</v>
      </c>
      <c r="E2334" s="315" t="s">
        <v>12277</v>
      </c>
      <c r="F2334" s="196">
        <v>42139</v>
      </c>
      <c r="G2334" s="170"/>
      <c r="H2334" s="170">
        <v>1</v>
      </c>
      <c r="I2334" s="746">
        <f>TIME(0,34,41)</f>
        <v>2.4085648148148148E-2</v>
      </c>
      <c r="J2334" s="899" t="s">
        <v>4706</v>
      </c>
      <c r="K2334" s="167" t="s">
        <v>12194</v>
      </c>
      <c r="L2334" s="167" t="s">
        <v>179</v>
      </c>
      <c r="M2334" s="167"/>
      <c r="N2334" s="167"/>
      <c r="O2334" s="167" t="s">
        <v>179</v>
      </c>
      <c r="P2334" s="168" t="s">
        <v>11521</v>
      </c>
      <c r="Q2334" s="167" t="s">
        <v>3947</v>
      </c>
      <c r="R2334" s="172" t="s">
        <v>11533</v>
      </c>
      <c r="S2334" s="388"/>
      <c r="T2334" s="168"/>
      <c r="U2334" s="168" t="s">
        <v>12185</v>
      </c>
      <c r="V2334" s="168"/>
      <c r="W2334" s="315" t="s">
        <v>12277</v>
      </c>
      <c r="X2334" s="647" t="s">
        <v>15177</v>
      </c>
      <c r="Y2334" s="352" t="s">
        <v>5643</v>
      </c>
      <c r="Z2334" s="353">
        <v>263</v>
      </c>
      <c r="AA2334" s="353">
        <v>5.5</v>
      </c>
      <c r="AB2334" s="31">
        <f t="shared" ca="1" si="51"/>
        <v>5.9291235650629992E-2</v>
      </c>
      <c r="AC2334" s="810"/>
      <c r="AD2334" s="846">
        <v>1911</v>
      </c>
      <c r="AE2334" s="940"/>
      <c r="AF2334" s="920">
        <f>IF(X2334=X2333,AF2333,0)+IF(ISNUMBER(I2334),IF(I2334&lt;1,I2334,I2334*VLOOKUP(J2334,Summary!$H$2:$I$9,2)),VLOOKUP(J2334,Summary!$J$2:$K$9,2)*IF(ISNUMBER(H2334),H2334,1))</f>
        <v>0.25672453703703701</v>
      </c>
      <c r="AG2334" s="287">
        <v>2333</v>
      </c>
      <c r="AH2334" s="705"/>
      <c r="AI2334" s="705"/>
    </row>
    <row r="2335" spans="1:35" s="22" customFormat="1" ht="12" customHeight="1" x14ac:dyDescent="0.2">
      <c r="A2335" s="405" t="s">
        <v>12279</v>
      </c>
      <c r="B2335" s="406" t="s">
        <v>12279</v>
      </c>
      <c r="C2335" s="565">
        <v>3</v>
      </c>
      <c r="D2335" s="407"/>
      <c r="E2335" s="315" t="s">
        <v>14851</v>
      </c>
      <c r="F2335" s="169">
        <v>41000</v>
      </c>
      <c r="G2335" s="170"/>
      <c r="H2335" s="170">
        <v>1</v>
      </c>
      <c r="I2335" s="747">
        <f>TIME(0,60,0)</f>
        <v>4.1666666666666664E-2</v>
      </c>
      <c r="J2335" s="899" t="s">
        <v>4706</v>
      </c>
      <c r="K2335" s="167" t="s">
        <v>8131</v>
      </c>
      <c r="L2335" s="167" t="s">
        <v>14852</v>
      </c>
      <c r="M2335" s="167"/>
      <c r="N2335" s="167"/>
      <c r="O2335" s="167"/>
      <c r="P2335" s="168" t="s">
        <v>14853</v>
      </c>
      <c r="Q2335" s="167" t="s">
        <v>3947</v>
      </c>
      <c r="R2335" s="172" t="s">
        <v>14834</v>
      </c>
      <c r="S2335" s="388"/>
      <c r="T2335" s="168"/>
      <c r="U2335" s="168" t="s">
        <v>12185</v>
      </c>
      <c r="V2335" s="168"/>
      <c r="W2335" s="315" t="s">
        <v>14851</v>
      </c>
      <c r="X2335" s="647" t="s">
        <v>15177</v>
      </c>
      <c r="Y2335" s="352" t="s">
        <v>5643</v>
      </c>
      <c r="Z2335" s="353">
        <v>9999</v>
      </c>
      <c r="AA2335" s="353"/>
      <c r="AB2335" s="31">
        <f t="shared" ca="1" si="51"/>
        <v>0.43148775051978272</v>
      </c>
      <c r="AC2335" s="810"/>
      <c r="AD2335" s="849" t="s">
        <v>14866</v>
      </c>
      <c r="AE2335" s="940"/>
      <c r="AF2335" s="920">
        <f>IF(X2335=X2334,AF2334,0)+IF(ISNUMBER(I2335),IF(I2335&lt;1,I2335,I2335*VLOOKUP(J2335,Summary!$H$2:$I$9,2)),VLOOKUP(J2335,Summary!$J$2:$K$9,2)*IF(ISNUMBER(H2335),H2335,1))</f>
        <v>0.2983912037037037</v>
      </c>
      <c r="AG2335" s="287">
        <v>2334</v>
      </c>
      <c r="AH2335" s="94"/>
      <c r="AI2335" s="94"/>
    </row>
    <row r="2336" spans="1:35" s="22" customFormat="1" ht="12" customHeight="1" x14ac:dyDescent="0.2">
      <c r="A2336" s="405" t="s">
        <v>12181</v>
      </c>
      <c r="B2336" s="406" t="s">
        <v>12181</v>
      </c>
      <c r="C2336" s="565">
        <v>1.06</v>
      </c>
      <c r="D2336" s="407" t="s">
        <v>12299</v>
      </c>
      <c r="E2336" s="315" t="s">
        <v>12198</v>
      </c>
      <c r="F2336" s="169">
        <v>41244</v>
      </c>
      <c r="G2336" s="170"/>
      <c r="H2336" s="170">
        <v>1</v>
      </c>
      <c r="I2336" s="747">
        <f>TIME(0,60,0)</f>
        <v>4.1666666666666664E-2</v>
      </c>
      <c r="J2336" s="899" t="s">
        <v>4706</v>
      </c>
      <c r="K2336" s="167" t="s">
        <v>12199</v>
      </c>
      <c r="L2336" s="167" t="s">
        <v>179</v>
      </c>
      <c r="M2336" s="167"/>
      <c r="N2336" s="167"/>
      <c r="O2336" s="167" t="s">
        <v>179</v>
      </c>
      <c r="P2336" s="168" t="s">
        <v>12298</v>
      </c>
      <c r="Q2336" s="167" t="s">
        <v>3947</v>
      </c>
      <c r="R2336" s="172" t="s">
        <v>12184</v>
      </c>
      <c r="S2336" s="388"/>
      <c r="T2336" s="168"/>
      <c r="U2336" s="168" t="s">
        <v>12185</v>
      </c>
      <c r="V2336" s="168" t="s">
        <v>12280</v>
      </c>
      <c r="W2336" s="315" t="s">
        <v>12198</v>
      </c>
      <c r="X2336" s="647" t="s">
        <v>15177</v>
      </c>
      <c r="Y2336" s="352" t="s">
        <v>5643</v>
      </c>
      <c r="Z2336" s="353">
        <v>9999</v>
      </c>
      <c r="AA2336" s="353"/>
      <c r="AB2336" s="31">
        <f t="shared" ca="1" si="51"/>
        <v>0.47048765046567376</v>
      </c>
      <c r="AC2336" s="810"/>
      <c r="AD2336" s="846" t="s">
        <v>14867</v>
      </c>
      <c r="AE2336" s="940"/>
      <c r="AF2336" s="920">
        <f>IF(X2336=X2335,AF2335,0)+IF(ISNUMBER(I2336),IF(I2336&lt;1,I2336,I2336*VLOOKUP(J2336,Summary!$H$2:$I$9,2)),VLOOKUP(J2336,Summary!$J$2:$K$9,2)*IF(ISNUMBER(H2336),H2336,1))</f>
        <v>0.34005787037037039</v>
      </c>
      <c r="AG2336" s="287">
        <v>2335</v>
      </c>
      <c r="AH2336" s="94"/>
      <c r="AI2336" s="94"/>
    </row>
    <row r="2337" spans="1:35" s="22" customFormat="1" ht="12" customHeight="1" x14ac:dyDescent="0.2">
      <c r="A2337" s="405" t="s">
        <v>12181</v>
      </c>
      <c r="B2337" s="406" t="s">
        <v>12181</v>
      </c>
      <c r="C2337" s="565">
        <v>2.04</v>
      </c>
      <c r="D2337" s="407" t="s">
        <v>12200</v>
      </c>
      <c r="E2337" s="315" t="s">
        <v>12201</v>
      </c>
      <c r="F2337" s="169">
        <v>41487</v>
      </c>
      <c r="G2337" s="170"/>
      <c r="H2337" s="170">
        <v>1</v>
      </c>
      <c r="I2337" s="752">
        <f>TIME(0,30,0)</f>
        <v>2.0833333333333332E-2</v>
      </c>
      <c r="J2337" s="899" t="s">
        <v>4706</v>
      </c>
      <c r="K2337" s="167" t="s">
        <v>12202</v>
      </c>
      <c r="L2337" s="167" t="s">
        <v>179</v>
      </c>
      <c r="M2337" s="167"/>
      <c r="N2337" s="167"/>
      <c r="O2337" s="167" t="s">
        <v>179</v>
      </c>
      <c r="P2337" s="168" t="s">
        <v>12294</v>
      </c>
      <c r="Q2337" s="167" t="s">
        <v>3947</v>
      </c>
      <c r="R2337" s="172" t="s">
        <v>12184</v>
      </c>
      <c r="S2337" s="388"/>
      <c r="T2337" s="168"/>
      <c r="U2337" s="168" t="s">
        <v>12185</v>
      </c>
      <c r="V2337" s="168"/>
      <c r="W2337" s="315" t="s">
        <v>12201</v>
      </c>
      <c r="X2337" s="647" t="s">
        <v>15177</v>
      </c>
      <c r="Y2337" s="352" t="s">
        <v>11456</v>
      </c>
      <c r="Z2337" s="353"/>
      <c r="AA2337" s="353"/>
      <c r="AB2337" s="31">
        <f t="shared" ca="1" si="51"/>
        <v>0.3263217675847726</v>
      </c>
      <c r="AC2337" s="810"/>
      <c r="AD2337" s="846">
        <v>1913</v>
      </c>
      <c r="AE2337" s="940"/>
      <c r="AF2337" s="920">
        <f>IF(X2337=X2336,AF2336,0)+IF(ISNUMBER(I2337),IF(I2337&lt;1,I2337,I2337*VLOOKUP(J2337,Summary!$H$2:$I$9,2)),VLOOKUP(J2337,Summary!$J$2:$K$9,2)*IF(ISNUMBER(H2337),H2337,1))</f>
        <v>0.3608912037037037</v>
      </c>
      <c r="AG2337" s="287">
        <v>2336</v>
      </c>
      <c r="AH2337" s="94"/>
      <c r="AI2337" s="94"/>
    </row>
    <row r="2338" spans="1:35" s="22" customFormat="1" ht="12" customHeight="1" x14ac:dyDescent="0.25">
      <c r="A2338" s="691" t="s">
        <v>12279</v>
      </c>
      <c r="B2338" s="692" t="s">
        <v>12279</v>
      </c>
      <c r="C2338" s="708">
        <v>4.07</v>
      </c>
      <c r="D2338" s="693" t="s">
        <v>14737</v>
      </c>
      <c r="E2338" s="694" t="s">
        <v>14730</v>
      </c>
      <c r="F2338" s="720">
        <v>6454</v>
      </c>
      <c r="G2338" s="695"/>
      <c r="H2338" s="695" t="s">
        <v>461</v>
      </c>
      <c r="I2338" s="695"/>
      <c r="J2338" s="911" t="s">
        <v>2755</v>
      </c>
      <c r="K2338" s="697" t="s">
        <v>14605</v>
      </c>
      <c r="L2338" s="697" t="s">
        <v>14770</v>
      </c>
      <c r="M2338" s="697"/>
      <c r="N2338" s="697"/>
      <c r="O2338" s="697"/>
      <c r="P2338" s="696"/>
      <c r="Q2338" s="697" t="s">
        <v>14608</v>
      </c>
      <c r="R2338" s="698" t="s">
        <v>14633</v>
      </c>
      <c r="S2338" s="699"/>
      <c r="T2338" s="696"/>
      <c r="U2338" s="696"/>
      <c r="V2338" s="696" t="s">
        <v>12280</v>
      </c>
      <c r="W2338" s="694" t="s">
        <v>14730</v>
      </c>
      <c r="X2338" s="700" t="s">
        <v>15177</v>
      </c>
      <c r="Y2338" s="701" t="s">
        <v>6868</v>
      </c>
      <c r="Z2338" s="702"/>
      <c r="AA2338" s="702"/>
      <c r="AB2338" s="703">
        <f t="shared" ca="1" si="51"/>
        <v>0.94110681430207355</v>
      </c>
      <c r="AC2338" s="855"/>
      <c r="AD2338" s="890" t="s">
        <v>14828</v>
      </c>
      <c r="AE2338" s="960"/>
      <c r="AF2338" s="932">
        <f>IF(X2338=X2337,AF2337,0)+IF(ISNUMBER(I2338),IF(I2338&lt;1,I2338,I2338*VLOOKUP(J2338,Summary!$H$2:$I$9,2)),VLOOKUP(J2338,Summary!$J$2:$K$9,2)*IF(ISNUMBER(H2338),H2338,1))</f>
        <v>0.37825231481481481</v>
      </c>
      <c r="AG2338" s="704">
        <v>2337</v>
      </c>
      <c r="AH2338" s="94"/>
      <c r="AI2338" s="94"/>
    </row>
    <row r="2339" spans="1:35" s="22" customFormat="1" ht="12" customHeight="1" x14ac:dyDescent="0.25">
      <c r="A2339" s="578" t="s">
        <v>12279</v>
      </c>
      <c r="B2339" s="579" t="s">
        <v>12279</v>
      </c>
      <c r="C2339" s="710">
        <v>4</v>
      </c>
      <c r="D2339" s="580"/>
      <c r="E2339" s="341" t="s">
        <v>14723</v>
      </c>
      <c r="F2339" s="722">
        <v>6505</v>
      </c>
      <c r="G2339" s="258"/>
      <c r="H2339" s="258" t="s">
        <v>461</v>
      </c>
      <c r="I2339" s="258"/>
      <c r="J2339" s="912" t="s">
        <v>2755</v>
      </c>
      <c r="K2339" s="259" t="s">
        <v>14605</v>
      </c>
      <c r="L2339" s="259"/>
      <c r="M2339" s="259"/>
      <c r="N2339" s="259"/>
      <c r="O2339" s="259"/>
      <c r="P2339" s="255"/>
      <c r="Q2339" s="259" t="s">
        <v>14738</v>
      </c>
      <c r="R2339" s="260" t="s">
        <v>14633</v>
      </c>
      <c r="S2339" s="401"/>
      <c r="T2339" s="255"/>
      <c r="U2339" s="255"/>
      <c r="V2339" s="255" t="s">
        <v>12280</v>
      </c>
      <c r="W2339" s="341" t="s">
        <v>14723</v>
      </c>
      <c r="X2339" s="676" t="s">
        <v>15177</v>
      </c>
      <c r="Y2339" s="381" t="s">
        <v>6868</v>
      </c>
      <c r="Z2339" s="382"/>
      <c r="AA2339" s="382"/>
      <c r="AB2339" s="145">
        <f t="shared" ca="1" si="51"/>
        <v>0.20368027505430308</v>
      </c>
      <c r="AC2339" s="840"/>
      <c r="AD2339" s="896">
        <v>1915</v>
      </c>
      <c r="AE2339" s="961"/>
      <c r="AF2339" s="933">
        <f>IF(X2339=X2338,AF2338,0)+IF(ISNUMBER(I2339),IF(I2339&lt;1,I2339,I2339*VLOOKUP(J2339,Summary!$H$2:$I$9,2)),VLOOKUP(J2339,Summary!$J$2:$K$9,2)*IF(ISNUMBER(H2339),H2339,1))</f>
        <v>0.39561342592592591</v>
      </c>
      <c r="AG2339" s="305">
        <v>2338</v>
      </c>
      <c r="AH2339" s="94"/>
      <c r="AI2339" s="94"/>
    </row>
    <row r="2340" spans="1:35" s="22" customFormat="1" ht="12" customHeight="1" x14ac:dyDescent="0.2">
      <c r="A2340" s="405" t="s">
        <v>12181</v>
      </c>
      <c r="B2340" s="406" t="s">
        <v>12181</v>
      </c>
      <c r="C2340" s="565">
        <v>5.0199999999999996</v>
      </c>
      <c r="D2340" s="407" t="s">
        <v>12203</v>
      </c>
      <c r="E2340" s="315" t="s">
        <v>12204</v>
      </c>
      <c r="F2340" s="169">
        <v>42644</v>
      </c>
      <c r="G2340" s="170"/>
      <c r="H2340" s="170">
        <v>1</v>
      </c>
      <c r="I2340" s="747">
        <f>TIME(0,60,0)</f>
        <v>4.1666666666666664E-2</v>
      </c>
      <c r="J2340" s="899" t="s">
        <v>4706</v>
      </c>
      <c r="K2340" s="167" t="s">
        <v>12205</v>
      </c>
      <c r="L2340" s="167" t="s">
        <v>179</v>
      </c>
      <c r="M2340" s="167"/>
      <c r="N2340" s="167"/>
      <c r="O2340" s="167" t="s">
        <v>179</v>
      </c>
      <c r="P2340" s="168" t="s">
        <v>12281</v>
      </c>
      <c r="Q2340" s="167" t="s">
        <v>3947</v>
      </c>
      <c r="R2340" s="172" t="s">
        <v>12184</v>
      </c>
      <c r="S2340" s="388"/>
      <c r="T2340" s="168"/>
      <c r="U2340" s="168" t="s">
        <v>12185</v>
      </c>
      <c r="V2340" s="168"/>
      <c r="W2340" s="315" t="s">
        <v>12204</v>
      </c>
      <c r="X2340" s="647" t="s">
        <v>15177</v>
      </c>
      <c r="Y2340" s="352"/>
      <c r="Z2340" s="353"/>
      <c r="AA2340" s="353"/>
      <c r="AB2340" s="31">
        <f t="shared" ca="1" si="51"/>
        <v>0.556546804354352</v>
      </c>
      <c r="AC2340" s="810"/>
      <c r="AD2340" s="846">
        <v>1915</v>
      </c>
      <c r="AE2340" s="940"/>
      <c r="AF2340" s="920">
        <f>IF(X2340=X2339,AF2339,0)+IF(ISNUMBER(I2340),IF(I2340&lt;1,I2340,I2340*VLOOKUP(J2340,Summary!$H$2:$I$9,2)),VLOOKUP(J2340,Summary!$J$2:$K$9,2)*IF(ISNUMBER(H2340),H2340,1))</f>
        <v>0.4372800925925926</v>
      </c>
      <c r="AG2340" s="287">
        <v>2339</v>
      </c>
      <c r="AH2340" s="94"/>
      <c r="AI2340" s="94"/>
    </row>
    <row r="2341" spans="1:35" s="43" customFormat="1" ht="12" customHeight="1" x14ac:dyDescent="0.25">
      <c r="A2341" s="405" t="s">
        <v>12279</v>
      </c>
      <c r="B2341" s="406" t="s">
        <v>12279</v>
      </c>
      <c r="C2341" s="565">
        <v>1.01</v>
      </c>
      <c r="D2341" s="407"/>
      <c r="E2341" s="315" t="s">
        <v>14837</v>
      </c>
      <c r="F2341" s="169">
        <v>40118</v>
      </c>
      <c r="G2341" s="170"/>
      <c r="H2341" s="170">
        <v>2</v>
      </c>
      <c r="I2341" s="747">
        <f>TIME(2,0,0)</f>
        <v>8.3333333333333329E-2</v>
      </c>
      <c r="J2341" s="899" t="s">
        <v>4706</v>
      </c>
      <c r="K2341" s="167" t="s">
        <v>14835</v>
      </c>
      <c r="L2341" s="167" t="s">
        <v>4549</v>
      </c>
      <c r="M2341" s="167"/>
      <c r="N2341" s="167"/>
      <c r="O2341" s="167"/>
      <c r="P2341" s="168" t="s">
        <v>14836</v>
      </c>
      <c r="Q2341" s="167" t="s">
        <v>3947</v>
      </c>
      <c r="R2341" s="172" t="s">
        <v>14834</v>
      </c>
      <c r="S2341" s="388"/>
      <c r="T2341" s="168"/>
      <c r="U2341" s="168" t="s">
        <v>12185</v>
      </c>
      <c r="V2341" s="168"/>
      <c r="W2341" s="315"/>
      <c r="X2341" s="647" t="s">
        <v>15177</v>
      </c>
      <c r="Y2341" s="352"/>
      <c r="Z2341" s="353"/>
      <c r="AA2341" s="353"/>
      <c r="AB2341" s="31">
        <f t="shared" ca="1" si="51"/>
        <v>2.8738013262262885E-2</v>
      </c>
      <c r="AC2341" s="810"/>
      <c r="AD2341" s="825">
        <v>1916</v>
      </c>
      <c r="AE2341" s="940"/>
      <c r="AF2341" s="920">
        <f>IF(X2341=X2340,AF2340,0)+IF(ISNUMBER(I2341),IF(I2341&lt;1,I2341,I2341*VLOOKUP(J2341,Summary!$H$2:$I$9,2)),VLOOKUP(J2341,Summary!$J$2:$K$9,2)*IF(ISNUMBER(H2341),H2341,1))</f>
        <v>0.52061342592592597</v>
      </c>
      <c r="AG2341" s="287">
        <v>2340</v>
      </c>
      <c r="AH2341" s="94"/>
      <c r="AI2341" s="94"/>
    </row>
    <row r="2342" spans="1:35" s="22" customFormat="1" ht="12" customHeight="1" x14ac:dyDescent="0.2">
      <c r="A2342" s="405" t="s">
        <v>12279</v>
      </c>
      <c r="B2342" s="406" t="s">
        <v>12279</v>
      </c>
      <c r="C2342" s="565">
        <v>1.02</v>
      </c>
      <c r="D2342" s="407"/>
      <c r="E2342" s="315" t="s">
        <v>14838</v>
      </c>
      <c r="F2342" s="169">
        <v>40148</v>
      </c>
      <c r="G2342" s="170"/>
      <c r="H2342" s="170">
        <v>2</v>
      </c>
      <c r="I2342" s="747">
        <f>TIME(2,0,0)</f>
        <v>8.3333333333333329E-2</v>
      </c>
      <c r="J2342" s="899" t="s">
        <v>4706</v>
      </c>
      <c r="K2342" s="167" t="s">
        <v>14835</v>
      </c>
      <c r="L2342" s="167" t="s">
        <v>4549</v>
      </c>
      <c r="M2342" s="167"/>
      <c r="N2342" s="167"/>
      <c r="O2342" s="167"/>
      <c r="P2342" s="168" t="s">
        <v>14839</v>
      </c>
      <c r="Q2342" s="167" t="s">
        <v>3947</v>
      </c>
      <c r="R2342" s="172" t="s">
        <v>14834</v>
      </c>
      <c r="S2342" s="388"/>
      <c r="T2342" s="168"/>
      <c r="U2342" s="168" t="s">
        <v>12185</v>
      </c>
      <c r="V2342" s="168"/>
      <c r="W2342" s="315"/>
      <c r="X2342" s="647" t="s">
        <v>15177</v>
      </c>
      <c r="Y2342" s="352"/>
      <c r="Z2342" s="353"/>
      <c r="AA2342" s="353"/>
      <c r="AB2342" s="31">
        <f t="shared" ca="1" si="51"/>
        <v>7.0729449296131675E-2</v>
      </c>
      <c r="AC2342" s="810"/>
      <c r="AD2342" s="825">
        <v>1919</v>
      </c>
      <c r="AE2342" s="940"/>
      <c r="AF2342" s="920">
        <f>IF(X2342=X2341,AF2341,0)+IF(ISNUMBER(I2342),IF(I2342&lt;1,I2342,I2342*VLOOKUP(J2342,Summary!$H$2:$I$9,2)),VLOOKUP(J2342,Summary!$J$2:$K$9,2)*IF(ISNUMBER(H2342),H2342,1))</f>
        <v>0.60394675925925934</v>
      </c>
      <c r="AG2342" s="287">
        <v>2341</v>
      </c>
      <c r="AH2342" s="94"/>
      <c r="AI2342" s="94"/>
    </row>
    <row r="2343" spans="1:35" s="22" customFormat="1" ht="12" customHeight="1" x14ac:dyDescent="0.2">
      <c r="A2343" s="405" t="s">
        <v>12279</v>
      </c>
      <c r="B2343" s="406" t="s">
        <v>12279</v>
      </c>
      <c r="C2343" s="565">
        <v>3.04</v>
      </c>
      <c r="D2343" s="407" t="s">
        <v>14858</v>
      </c>
      <c r="E2343" s="315" t="s">
        <v>14862</v>
      </c>
      <c r="F2343" s="169">
        <v>41000</v>
      </c>
      <c r="G2343" s="170"/>
      <c r="H2343" s="170">
        <v>1</v>
      </c>
      <c r="I2343" s="747">
        <f>TIME(0,60,0)</f>
        <v>4.1666666666666664E-2</v>
      </c>
      <c r="J2343" s="899" t="s">
        <v>4706</v>
      </c>
      <c r="K2343" s="167" t="s">
        <v>8131</v>
      </c>
      <c r="L2343" s="167" t="s">
        <v>2313</v>
      </c>
      <c r="M2343" s="167"/>
      <c r="N2343" s="167"/>
      <c r="O2343" s="167"/>
      <c r="P2343" s="168" t="s">
        <v>14855</v>
      </c>
      <c r="Q2343" s="167" t="s">
        <v>3947</v>
      </c>
      <c r="R2343" s="172" t="s">
        <v>14834</v>
      </c>
      <c r="S2343" s="388"/>
      <c r="T2343" s="168"/>
      <c r="U2343" s="168" t="s">
        <v>12185</v>
      </c>
      <c r="V2343" s="168"/>
      <c r="W2343" s="315" t="s">
        <v>14862</v>
      </c>
      <c r="X2343" s="647" t="s">
        <v>15177</v>
      </c>
      <c r="Y2343" s="352"/>
      <c r="Z2343" s="353"/>
      <c r="AA2343" s="353"/>
      <c r="AB2343" s="31">
        <f t="shared" ca="1" si="51"/>
        <v>0.75439300564724598</v>
      </c>
      <c r="AC2343" s="810"/>
      <c r="AD2343" s="825">
        <v>1919</v>
      </c>
      <c r="AE2343" s="940"/>
      <c r="AF2343" s="920">
        <f>IF(X2343=X2342,AF2342,0)+IF(ISNUMBER(I2343),IF(I2343&lt;1,I2343,I2343*VLOOKUP(J2343,Summary!$H$2:$I$9,2)),VLOOKUP(J2343,Summary!$J$2:$K$9,2)*IF(ISNUMBER(H2343),H2343,1))</f>
        <v>0.64561342592592597</v>
      </c>
      <c r="AG2343" s="287">
        <v>2342</v>
      </c>
      <c r="AH2343" s="94"/>
      <c r="AI2343" s="94"/>
    </row>
    <row r="2344" spans="1:35" s="22" customFormat="1" ht="12" customHeight="1" x14ac:dyDescent="0.2">
      <c r="A2344" s="405" t="s">
        <v>12181</v>
      </c>
      <c r="B2344" s="406" t="s">
        <v>12181</v>
      </c>
      <c r="C2344" s="565">
        <v>2.06</v>
      </c>
      <c r="D2344" s="407" t="s">
        <v>12290</v>
      </c>
      <c r="E2344" s="315" t="s">
        <v>12206</v>
      </c>
      <c r="F2344" s="169">
        <v>41548</v>
      </c>
      <c r="G2344" s="170"/>
      <c r="H2344" s="170">
        <v>1</v>
      </c>
      <c r="I2344" s="746">
        <f>TIME(1,13,54)</f>
        <v>5.1319444444444445E-2</v>
      </c>
      <c r="J2344" s="899" t="s">
        <v>4706</v>
      </c>
      <c r="K2344" s="167" t="s">
        <v>12205</v>
      </c>
      <c r="L2344" s="167" t="s">
        <v>179</v>
      </c>
      <c r="M2344" s="167"/>
      <c r="N2344" s="167"/>
      <c r="O2344" s="167" t="s">
        <v>179</v>
      </c>
      <c r="P2344" s="168" t="s">
        <v>12289</v>
      </c>
      <c r="Q2344" s="167" t="s">
        <v>3947</v>
      </c>
      <c r="R2344" s="172" t="s">
        <v>12184</v>
      </c>
      <c r="S2344" s="388"/>
      <c r="T2344" s="168"/>
      <c r="U2344" s="168" t="s">
        <v>12185</v>
      </c>
      <c r="V2344" s="168"/>
      <c r="W2344" s="315" t="s">
        <v>12206</v>
      </c>
      <c r="X2344" s="647" t="s">
        <v>15177</v>
      </c>
      <c r="Y2344" s="352" t="s">
        <v>11456</v>
      </c>
      <c r="Z2344" s="353"/>
      <c r="AA2344" s="353"/>
      <c r="AB2344" s="31">
        <f t="shared" ca="1" si="51"/>
        <v>9.5521518706568664E-2</v>
      </c>
      <c r="AC2344" s="810"/>
      <c r="AD2344" s="811">
        <v>1920</v>
      </c>
      <c r="AE2344" s="940"/>
      <c r="AF2344" s="920">
        <f>IF(X2344=X2343,AF2343,0)+IF(ISNUMBER(I2344),IF(I2344&lt;1,I2344,I2344*VLOOKUP(J2344,Summary!$H$2:$I$9,2)),VLOOKUP(J2344,Summary!$J$2:$K$9,2)*IF(ISNUMBER(H2344),H2344,1))</f>
        <v>0.69693287037037044</v>
      </c>
      <c r="AG2344" s="287">
        <v>2343</v>
      </c>
      <c r="AH2344" s="94"/>
      <c r="AI2344" s="94"/>
    </row>
    <row r="2345" spans="1:35" s="22" customFormat="1" ht="12" customHeight="1" x14ac:dyDescent="0.2">
      <c r="A2345" s="405" t="s">
        <v>12279</v>
      </c>
      <c r="B2345" s="406" t="s">
        <v>12279</v>
      </c>
      <c r="C2345" s="565">
        <v>5.01</v>
      </c>
      <c r="D2345" s="407" t="s">
        <v>14879</v>
      </c>
      <c r="E2345" s="315" t="s">
        <v>14833</v>
      </c>
      <c r="F2345" s="169">
        <v>42583</v>
      </c>
      <c r="G2345" s="170"/>
      <c r="H2345" s="170">
        <v>1</v>
      </c>
      <c r="I2345" s="747">
        <f>TIME(0,60,0)</f>
        <v>4.1666666666666664E-2</v>
      </c>
      <c r="J2345" s="899" t="s">
        <v>4706</v>
      </c>
      <c r="K2345" s="167" t="s">
        <v>8131</v>
      </c>
      <c r="L2345" s="167" t="s">
        <v>2313</v>
      </c>
      <c r="M2345" s="167"/>
      <c r="N2345" s="167"/>
      <c r="O2345" s="167"/>
      <c r="P2345" s="168" t="s">
        <v>14878</v>
      </c>
      <c r="Q2345" s="167" t="s">
        <v>3947</v>
      </c>
      <c r="R2345" s="172" t="s">
        <v>14834</v>
      </c>
      <c r="S2345" s="388"/>
      <c r="T2345" s="168"/>
      <c r="U2345" s="168" t="s">
        <v>12185</v>
      </c>
      <c r="V2345" s="168"/>
      <c r="W2345" s="315" t="s">
        <v>14833</v>
      </c>
      <c r="X2345" s="647" t="s">
        <v>15177</v>
      </c>
      <c r="Y2345" s="352" t="s">
        <v>5643</v>
      </c>
      <c r="Z2345" s="353">
        <v>9999</v>
      </c>
      <c r="AA2345" s="353"/>
      <c r="AB2345" s="31">
        <f t="shared" ca="1" si="51"/>
        <v>0.52899602216882591</v>
      </c>
      <c r="AC2345" s="810"/>
      <c r="AD2345" s="849" t="s">
        <v>14886</v>
      </c>
      <c r="AE2345" s="940"/>
      <c r="AF2345" s="920">
        <f>IF(X2345=X2344,AF2344,0)+IF(ISNUMBER(I2345),IF(I2345&lt;1,I2345,I2345*VLOOKUP(J2345,Summary!$H$2:$I$9,2)),VLOOKUP(J2345,Summary!$J$2:$K$9,2)*IF(ISNUMBER(H2345),H2345,1))</f>
        <v>0.73859953703703707</v>
      </c>
      <c r="AG2345" s="287">
        <v>2344</v>
      </c>
      <c r="AH2345" s="94"/>
      <c r="AI2345" s="94"/>
    </row>
    <row r="2346" spans="1:35" s="706" customFormat="1" ht="12" customHeight="1" x14ac:dyDescent="0.25">
      <c r="A2346" s="405" t="s">
        <v>12279</v>
      </c>
      <c r="B2346" s="406" t="s">
        <v>12279</v>
      </c>
      <c r="C2346" s="565">
        <v>5.0199999999999996</v>
      </c>
      <c r="D2346" s="407" t="s">
        <v>14880</v>
      </c>
      <c r="E2346" s="315" t="s">
        <v>14883</v>
      </c>
      <c r="F2346" s="169">
        <v>42583</v>
      </c>
      <c r="G2346" s="170"/>
      <c r="H2346" s="170">
        <v>1</v>
      </c>
      <c r="I2346" s="747">
        <f>TIME(0,60,0)</f>
        <v>4.1666666666666664E-2</v>
      </c>
      <c r="J2346" s="899" t="s">
        <v>4706</v>
      </c>
      <c r="K2346" s="167" t="s">
        <v>8131</v>
      </c>
      <c r="L2346" s="167" t="s">
        <v>2313</v>
      </c>
      <c r="M2346" s="167"/>
      <c r="N2346" s="167"/>
      <c r="O2346" s="167"/>
      <c r="P2346" s="168" t="s">
        <v>14878</v>
      </c>
      <c r="Q2346" s="167" t="s">
        <v>3947</v>
      </c>
      <c r="R2346" s="172" t="s">
        <v>14834</v>
      </c>
      <c r="S2346" s="388"/>
      <c r="T2346" s="168"/>
      <c r="U2346" s="168" t="s">
        <v>12185</v>
      </c>
      <c r="V2346" s="168"/>
      <c r="W2346" s="315" t="s">
        <v>14883</v>
      </c>
      <c r="X2346" s="647" t="s">
        <v>15177</v>
      </c>
      <c r="Y2346" s="352" t="s">
        <v>5643</v>
      </c>
      <c r="Z2346" s="353">
        <v>9999</v>
      </c>
      <c r="AA2346" s="353"/>
      <c r="AB2346" s="31">
        <f t="shared" ca="1" si="51"/>
        <v>0.97747515605778013</v>
      </c>
      <c r="AC2346" s="810"/>
      <c r="AD2346" s="849" t="s">
        <v>14886</v>
      </c>
      <c r="AE2346" s="940"/>
      <c r="AF2346" s="920">
        <f>IF(X2346=X2345,AF2345,0)+IF(ISNUMBER(I2346),IF(I2346&lt;1,I2346,I2346*VLOOKUP(J2346,Summary!$H$2:$I$9,2)),VLOOKUP(J2346,Summary!$J$2:$K$9,2)*IF(ISNUMBER(H2346),H2346,1))</f>
        <v>0.7802662037037037</v>
      </c>
      <c r="AG2346" s="287">
        <v>2345</v>
      </c>
      <c r="AH2346" s="705"/>
      <c r="AI2346" s="705"/>
    </row>
    <row r="2347" spans="1:35" s="22" customFormat="1" ht="12" customHeight="1" x14ac:dyDescent="0.2">
      <c r="A2347" s="405" t="s">
        <v>12279</v>
      </c>
      <c r="B2347" s="406" t="s">
        <v>12279</v>
      </c>
      <c r="C2347" s="565">
        <v>5.03</v>
      </c>
      <c r="D2347" s="407" t="s">
        <v>14881</v>
      </c>
      <c r="E2347" s="315" t="s">
        <v>14884</v>
      </c>
      <c r="F2347" s="169">
        <v>42583</v>
      </c>
      <c r="G2347" s="170"/>
      <c r="H2347" s="170">
        <v>1</v>
      </c>
      <c r="I2347" s="747">
        <f>TIME(0,60,0)</f>
        <v>4.1666666666666664E-2</v>
      </c>
      <c r="J2347" s="899" t="s">
        <v>4706</v>
      </c>
      <c r="K2347" s="167" t="s">
        <v>8131</v>
      </c>
      <c r="L2347" s="167" t="s">
        <v>2313</v>
      </c>
      <c r="M2347" s="167"/>
      <c r="N2347" s="167"/>
      <c r="O2347" s="167"/>
      <c r="P2347" s="168" t="s">
        <v>14878</v>
      </c>
      <c r="Q2347" s="167" t="s">
        <v>3947</v>
      </c>
      <c r="R2347" s="172" t="s">
        <v>14834</v>
      </c>
      <c r="S2347" s="388"/>
      <c r="T2347" s="168"/>
      <c r="U2347" s="168" t="s">
        <v>12185</v>
      </c>
      <c r="V2347" s="168"/>
      <c r="W2347" s="315" t="s">
        <v>14884</v>
      </c>
      <c r="X2347" s="647" t="s">
        <v>15177</v>
      </c>
      <c r="Y2347" s="352" t="s">
        <v>5643</v>
      </c>
      <c r="Z2347" s="353">
        <v>9999</v>
      </c>
      <c r="AA2347" s="353"/>
      <c r="AB2347" s="31">
        <f t="shared" ca="1" si="51"/>
        <v>0.73105311088001812</v>
      </c>
      <c r="AC2347" s="810"/>
      <c r="AD2347" s="825" t="s">
        <v>14886</v>
      </c>
      <c r="AE2347" s="940"/>
      <c r="AF2347" s="920">
        <f>IF(X2347=X2346,AF2346,0)+IF(ISNUMBER(I2347),IF(I2347&lt;1,I2347,I2347*VLOOKUP(J2347,Summary!$H$2:$I$9,2)),VLOOKUP(J2347,Summary!$J$2:$K$9,2)*IF(ISNUMBER(H2347),H2347,1))</f>
        <v>0.82193287037037033</v>
      </c>
      <c r="AG2347" s="287">
        <v>2346</v>
      </c>
      <c r="AH2347" s="94"/>
      <c r="AI2347" s="94"/>
    </row>
    <row r="2348" spans="1:35" s="22" customFormat="1" ht="12" customHeight="1" x14ac:dyDescent="0.2">
      <c r="A2348" s="405" t="s">
        <v>12279</v>
      </c>
      <c r="B2348" s="406" t="s">
        <v>12279</v>
      </c>
      <c r="C2348" s="565">
        <v>5.04</v>
      </c>
      <c r="D2348" s="407" t="s">
        <v>14882</v>
      </c>
      <c r="E2348" s="315" t="s">
        <v>14885</v>
      </c>
      <c r="F2348" s="169">
        <v>42583</v>
      </c>
      <c r="G2348" s="170"/>
      <c r="H2348" s="170">
        <v>1</v>
      </c>
      <c r="I2348" s="747">
        <f>TIME(0,60,0)</f>
        <v>4.1666666666666664E-2</v>
      </c>
      <c r="J2348" s="899" t="s">
        <v>4706</v>
      </c>
      <c r="K2348" s="167" t="s">
        <v>8131</v>
      </c>
      <c r="L2348" s="167" t="s">
        <v>2313</v>
      </c>
      <c r="M2348" s="167"/>
      <c r="N2348" s="167"/>
      <c r="O2348" s="167"/>
      <c r="P2348" s="168" t="s">
        <v>14878</v>
      </c>
      <c r="Q2348" s="167" t="s">
        <v>3947</v>
      </c>
      <c r="R2348" s="172" t="s">
        <v>14834</v>
      </c>
      <c r="S2348" s="388"/>
      <c r="T2348" s="168"/>
      <c r="U2348" s="168" t="s">
        <v>12185</v>
      </c>
      <c r="V2348" s="168"/>
      <c r="W2348" s="315" t="s">
        <v>14885</v>
      </c>
      <c r="X2348" s="647" t="s">
        <v>15177</v>
      </c>
      <c r="Y2348" s="352" t="s">
        <v>5643</v>
      </c>
      <c r="Z2348" s="353">
        <v>9999</v>
      </c>
      <c r="AA2348" s="353"/>
      <c r="AB2348" s="31">
        <f t="shared" ca="1" si="51"/>
        <v>0.87049682337656276</v>
      </c>
      <c r="AC2348" s="810"/>
      <c r="AD2348" s="849" t="s">
        <v>14886</v>
      </c>
      <c r="AE2348" s="940"/>
      <c r="AF2348" s="920">
        <f>IF(X2348=X2347,AF2347,0)+IF(ISNUMBER(I2348),IF(I2348&lt;1,I2348,I2348*VLOOKUP(J2348,Summary!$H$2:$I$9,2)),VLOOKUP(J2348,Summary!$J$2:$K$9,2)*IF(ISNUMBER(H2348),H2348,1))</f>
        <v>0.86359953703703696</v>
      </c>
      <c r="AG2348" s="287">
        <v>2347</v>
      </c>
      <c r="AH2348" s="94"/>
      <c r="AI2348" s="94"/>
    </row>
    <row r="2349" spans="1:35" s="1" customFormat="1" ht="12" customHeight="1" x14ac:dyDescent="0.25">
      <c r="A2349" s="405" t="s">
        <v>12181</v>
      </c>
      <c r="B2349" s="406" t="s">
        <v>12181</v>
      </c>
      <c r="C2349" s="637">
        <v>3</v>
      </c>
      <c r="D2349" s="407" t="s">
        <v>12308</v>
      </c>
      <c r="E2349" s="315" t="s">
        <v>12278</v>
      </c>
      <c r="F2349" s="196">
        <v>42139</v>
      </c>
      <c r="G2349" s="170"/>
      <c r="H2349" s="170">
        <v>1</v>
      </c>
      <c r="I2349" s="746">
        <f>TIME(0,30,54)</f>
        <v>2.1458333333333333E-2</v>
      </c>
      <c r="J2349" s="899" t="s">
        <v>4706</v>
      </c>
      <c r="K2349" s="167" t="s">
        <v>12194</v>
      </c>
      <c r="L2349" s="167" t="s">
        <v>179</v>
      </c>
      <c r="M2349" s="167"/>
      <c r="N2349" s="167"/>
      <c r="O2349" s="167" t="s">
        <v>179</v>
      </c>
      <c r="P2349" s="168" t="s">
        <v>11521</v>
      </c>
      <c r="Q2349" s="167" t="s">
        <v>3947</v>
      </c>
      <c r="R2349" s="172" t="s">
        <v>11533</v>
      </c>
      <c r="S2349" s="388"/>
      <c r="T2349" s="168"/>
      <c r="U2349" s="168" t="s">
        <v>12185</v>
      </c>
      <c r="V2349" s="168" t="s">
        <v>12280</v>
      </c>
      <c r="W2349" s="315" t="s">
        <v>12278</v>
      </c>
      <c r="X2349" s="647" t="s">
        <v>15177</v>
      </c>
      <c r="Y2349" s="352" t="s">
        <v>5643</v>
      </c>
      <c r="Z2349" s="353">
        <v>445</v>
      </c>
      <c r="AA2349" s="353">
        <v>4.5</v>
      </c>
      <c r="AB2349" s="31">
        <f t="shared" ca="1" si="51"/>
        <v>0.58008625286305671</v>
      </c>
      <c r="AC2349" s="810"/>
      <c r="AD2349" s="811">
        <v>1927</v>
      </c>
      <c r="AE2349" s="940"/>
      <c r="AF2349" s="920">
        <f>IF(X2349=X2348,AF2348,0)+IF(ISNUMBER(I2349),IF(I2349&lt;1,I2349,I2349*VLOOKUP(J2349,Summary!$H$2:$I$9,2)),VLOOKUP(J2349,Summary!$J$2:$K$9,2)*IF(ISNUMBER(H2349),H2349,1))</f>
        <v>0.88505787037037031</v>
      </c>
      <c r="AG2349" s="287">
        <v>2348</v>
      </c>
      <c r="AH2349" s="94"/>
      <c r="AI2349" s="94"/>
    </row>
    <row r="2350" spans="1:35" s="1" customFormat="1" ht="12" customHeight="1" x14ac:dyDescent="0.25">
      <c r="A2350" s="405" t="s">
        <v>12181</v>
      </c>
      <c r="B2350" s="406" t="s">
        <v>12181</v>
      </c>
      <c r="C2350" s="565">
        <v>4.04</v>
      </c>
      <c r="D2350" s="407" t="s">
        <v>12207</v>
      </c>
      <c r="E2350" s="315" t="s">
        <v>12208</v>
      </c>
      <c r="F2350" s="169">
        <v>42309</v>
      </c>
      <c r="G2350" s="170"/>
      <c r="H2350" s="170">
        <v>1</v>
      </c>
      <c r="I2350" s="752">
        <f>TIME(0,30,0)</f>
        <v>2.0833333333333332E-2</v>
      </c>
      <c r="J2350" s="899" t="s">
        <v>4706</v>
      </c>
      <c r="K2350" s="167" t="s">
        <v>12209</v>
      </c>
      <c r="L2350" s="167" t="s">
        <v>179</v>
      </c>
      <c r="M2350" s="167"/>
      <c r="N2350" s="167"/>
      <c r="O2350" s="167" t="s">
        <v>179</v>
      </c>
      <c r="P2350" s="168" t="s">
        <v>12283</v>
      </c>
      <c r="Q2350" s="167" t="s">
        <v>3947</v>
      </c>
      <c r="R2350" s="172" t="s">
        <v>12184</v>
      </c>
      <c r="S2350" s="388"/>
      <c r="T2350" s="168"/>
      <c r="U2350" s="168" t="s">
        <v>12185</v>
      </c>
      <c r="V2350" s="168"/>
      <c r="W2350" s="315" t="s">
        <v>12208</v>
      </c>
      <c r="X2350" s="647" t="s">
        <v>15177</v>
      </c>
      <c r="Y2350" s="352"/>
      <c r="Z2350" s="353"/>
      <c r="AA2350" s="353"/>
      <c r="AB2350" s="31">
        <f t="shared" ca="1" si="51"/>
        <v>0.82343978417642805</v>
      </c>
      <c r="AC2350" s="810"/>
      <c r="AD2350" s="811">
        <v>1929</v>
      </c>
      <c r="AE2350" s="940"/>
      <c r="AF2350" s="920">
        <f>IF(X2350=X2349,AF2349,0)+IF(ISNUMBER(I2350),IF(I2350&lt;1,I2350,I2350*VLOOKUP(J2350,Summary!$H$2:$I$9,2)),VLOOKUP(J2350,Summary!$J$2:$K$9,2)*IF(ISNUMBER(H2350),H2350,1))</f>
        <v>0.90589120370370368</v>
      </c>
      <c r="AG2350" s="287">
        <v>2349</v>
      </c>
      <c r="AH2350" s="94"/>
      <c r="AI2350" s="94"/>
    </row>
    <row r="2351" spans="1:35" s="706" customFormat="1" ht="12" customHeight="1" x14ac:dyDescent="0.25">
      <c r="A2351" s="405" t="s">
        <v>12181</v>
      </c>
      <c r="B2351" s="406" t="s">
        <v>12181</v>
      </c>
      <c r="C2351" s="565">
        <v>2.0299999999999998</v>
      </c>
      <c r="D2351" s="407" t="s">
        <v>12210</v>
      </c>
      <c r="E2351" s="315" t="s">
        <v>12211</v>
      </c>
      <c r="F2351" s="169">
        <v>41487</v>
      </c>
      <c r="G2351" s="170"/>
      <c r="H2351" s="170">
        <v>1</v>
      </c>
      <c r="I2351" s="746">
        <f>TIME(0,29,49)</f>
        <v>2.0706018518518519E-2</v>
      </c>
      <c r="J2351" s="899" t="s">
        <v>4706</v>
      </c>
      <c r="K2351" s="167" t="s">
        <v>12194</v>
      </c>
      <c r="L2351" s="167" t="s">
        <v>179</v>
      </c>
      <c r="M2351" s="167"/>
      <c r="N2351" s="167"/>
      <c r="O2351" s="167" t="s">
        <v>179</v>
      </c>
      <c r="P2351" s="168" t="s">
        <v>12295</v>
      </c>
      <c r="Q2351" s="167" t="s">
        <v>3947</v>
      </c>
      <c r="R2351" s="172" t="s">
        <v>12184</v>
      </c>
      <c r="S2351" s="388"/>
      <c r="T2351" s="168"/>
      <c r="U2351" s="168" t="s">
        <v>12185</v>
      </c>
      <c r="V2351" s="168"/>
      <c r="W2351" s="315" t="s">
        <v>12211</v>
      </c>
      <c r="X2351" s="647" t="s">
        <v>15177</v>
      </c>
      <c r="Y2351" s="352" t="s">
        <v>11456</v>
      </c>
      <c r="Z2351" s="353"/>
      <c r="AA2351" s="353"/>
      <c r="AB2351" s="31">
        <f t="shared" ca="1" si="51"/>
        <v>0.90723874131602</v>
      </c>
      <c r="AC2351" s="810"/>
      <c r="AD2351" s="846">
        <v>1939</v>
      </c>
      <c r="AE2351" s="940"/>
      <c r="AF2351" s="920">
        <f>IF(X2351=X2350,AF2350,0)+IF(ISNUMBER(I2351),IF(I2351&lt;1,I2351,I2351*VLOOKUP(J2351,Summary!$H$2:$I$9,2)),VLOOKUP(J2351,Summary!$J$2:$K$9,2)*IF(ISNUMBER(H2351),H2351,1))</f>
        <v>0.92659722222222218</v>
      </c>
      <c r="AG2351" s="287">
        <v>2350</v>
      </c>
      <c r="AH2351" s="705"/>
      <c r="AI2351" s="705"/>
    </row>
    <row r="2352" spans="1:35" s="706" customFormat="1" ht="12" customHeight="1" x14ac:dyDescent="0.25">
      <c r="A2352" s="405" t="s">
        <v>12181</v>
      </c>
      <c r="B2352" s="406" t="s">
        <v>12181</v>
      </c>
      <c r="C2352" s="565">
        <v>1.02</v>
      </c>
      <c r="D2352" s="407" t="s">
        <v>12212</v>
      </c>
      <c r="E2352" s="315" t="s">
        <v>12213</v>
      </c>
      <c r="F2352" s="169">
        <v>41214</v>
      </c>
      <c r="G2352" s="170"/>
      <c r="H2352" s="170">
        <v>1</v>
      </c>
      <c r="I2352" s="746">
        <f>TIME(0,27,22)</f>
        <v>1.9004629629629632E-2</v>
      </c>
      <c r="J2352" s="899" t="s">
        <v>4706</v>
      </c>
      <c r="K2352" s="167" t="s">
        <v>12214</v>
      </c>
      <c r="L2352" s="167" t="s">
        <v>179</v>
      </c>
      <c r="M2352" s="167"/>
      <c r="N2352" s="167"/>
      <c r="O2352" s="167" t="s">
        <v>179</v>
      </c>
      <c r="P2352" s="168" t="s">
        <v>12303</v>
      </c>
      <c r="Q2352" s="167" t="s">
        <v>3947</v>
      </c>
      <c r="R2352" s="172" t="s">
        <v>12184</v>
      </c>
      <c r="S2352" s="388"/>
      <c r="T2352" s="168"/>
      <c r="U2352" s="168" t="s">
        <v>12185</v>
      </c>
      <c r="V2352" s="168"/>
      <c r="W2352" s="315" t="s">
        <v>12213</v>
      </c>
      <c r="X2352" s="647" t="s">
        <v>15177</v>
      </c>
      <c r="Y2352" s="352" t="s">
        <v>5643</v>
      </c>
      <c r="Z2352" s="353">
        <v>9999</v>
      </c>
      <c r="AA2352" s="353"/>
      <c r="AB2352" s="31">
        <f t="shared" ca="1" si="51"/>
        <v>0.60098502406884557</v>
      </c>
      <c r="AC2352" s="810"/>
      <c r="AD2352" s="846">
        <v>1940</v>
      </c>
      <c r="AE2352" s="940"/>
      <c r="AF2352" s="920">
        <f>IF(X2352=X2351,AF2351,0)+IF(ISNUMBER(I2352),IF(I2352&lt;1,I2352,I2352*VLOOKUP(J2352,Summary!$H$2:$I$9,2)),VLOOKUP(J2352,Summary!$J$2:$K$9,2)*IF(ISNUMBER(H2352),H2352,1))</f>
        <v>0.94560185185185186</v>
      </c>
      <c r="AG2352" s="287">
        <v>2351</v>
      </c>
      <c r="AH2352" s="705"/>
      <c r="AI2352" s="705"/>
    </row>
    <row r="2353" spans="1:35" s="27" customFormat="1" ht="12" customHeight="1" x14ac:dyDescent="0.25">
      <c r="A2353" s="405" t="s">
        <v>12181</v>
      </c>
      <c r="B2353" s="406" t="s">
        <v>12181</v>
      </c>
      <c r="C2353" s="565">
        <v>3.09</v>
      </c>
      <c r="D2353" s="407" t="s">
        <v>12215</v>
      </c>
      <c r="E2353" s="315" t="s">
        <v>12216</v>
      </c>
      <c r="F2353" s="169">
        <v>41974</v>
      </c>
      <c r="G2353" s="170"/>
      <c r="H2353" s="170">
        <v>1</v>
      </c>
      <c r="I2353" s="746">
        <f>TIME(0,6,51)</f>
        <v>4.7569444444444447E-3</v>
      </c>
      <c r="J2353" s="899" t="s">
        <v>4706</v>
      </c>
      <c r="K2353" s="167" t="s">
        <v>12217</v>
      </c>
      <c r="L2353" s="167" t="s">
        <v>179</v>
      </c>
      <c r="M2353" s="167"/>
      <c r="N2353" s="167" t="s">
        <v>4146</v>
      </c>
      <c r="O2353" s="167" t="s">
        <v>179</v>
      </c>
      <c r="P2353" s="168" t="s">
        <v>12285</v>
      </c>
      <c r="Q2353" s="167" t="s">
        <v>3947</v>
      </c>
      <c r="R2353" s="172" t="s">
        <v>12184</v>
      </c>
      <c r="S2353" s="388"/>
      <c r="T2353" s="168"/>
      <c r="U2353" s="168" t="s">
        <v>12185</v>
      </c>
      <c r="V2353" s="168"/>
      <c r="W2353" s="315" t="s">
        <v>12216</v>
      </c>
      <c r="X2353" s="647" t="s">
        <v>15937</v>
      </c>
      <c r="Y2353" s="352" t="s">
        <v>5643</v>
      </c>
      <c r="Z2353" s="353"/>
      <c r="AA2353" s="353"/>
      <c r="AB2353" s="31">
        <f t="shared" ca="1" si="51"/>
        <v>0.50927330337544952</v>
      </c>
      <c r="AC2353" s="810"/>
      <c r="AD2353" s="811">
        <v>1947</v>
      </c>
      <c r="AE2353" s="940"/>
      <c r="AF2353" s="920">
        <f>IF(X2353=X2352,AF2352,0)+IF(ISNUMBER(I2353),IF(I2353&lt;1,I2353,I2353*VLOOKUP(J2353,Summary!$H$2:$I$9,2)),VLOOKUP(J2353,Summary!$J$2:$K$9,2)*IF(ISNUMBER(H2353),H2353,1))</f>
        <v>4.7569444444444447E-3</v>
      </c>
      <c r="AG2353" s="287">
        <v>2352</v>
      </c>
      <c r="AH2353" s="119"/>
      <c r="AI2353" s="119"/>
    </row>
    <row r="2354" spans="1:35" s="22" customFormat="1" ht="12" customHeight="1" x14ac:dyDescent="0.2">
      <c r="A2354" s="405" t="s">
        <v>12181</v>
      </c>
      <c r="B2354" s="406" t="s">
        <v>12181</v>
      </c>
      <c r="C2354" s="565">
        <v>5.03</v>
      </c>
      <c r="D2354" s="407" t="s">
        <v>12218</v>
      </c>
      <c r="E2354" s="315" t="s">
        <v>12219</v>
      </c>
      <c r="F2354" s="169">
        <v>42644</v>
      </c>
      <c r="G2354" s="170"/>
      <c r="H2354" s="170">
        <v>1</v>
      </c>
      <c r="I2354" s="747">
        <f>TIME(0,60,0)</f>
        <v>4.1666666666666664E-2</v>
      </c>
      <c r="J2354" s="899" t="s">
        <v>4706</v>
      </c>
      <c r="K2354" s="167" t="s">
        <v>12194</v>
      </c>
      <c r="L2354" s="167" t="s">
        <v>179</v>
      </c>
      <c r="M2354" s="167"/>
      <c r="N2354" s="167"/>
      <c r="O2354" s="167" t="s">
        <v>179</v>
      </c>
      <c r="P2354" s="168" t="s">
        <v>12281</v>
      </c>
      <c r="Q2354" s="167" t="s">
        <v>3947</v>
      </c>
      <c r="R2354" s="172" t="s">
        <v>12184</v>
      </c>
      <c r="S2354" s="388"/>
      <c r="T2354" s="168"/>
      <c r="U2354" s="168" t="s">
        <v>12185</v>
      </c>
      <c r="V2354" s="168"/>
      <c r="W2354" s="315" t="s">
        <v>12219</v>
      </c>
      <c r="X2354" s="647" t="s">
        <v>15937</v>
      </c>
      <c r="Y2354" s="352"/>
      <c r="Z2354" s="353"/>
      <c r="AA2354" s="353"/>
      <c r="AB2354" s="31">
        <f t="shared" ca="1" si="51"/>
        <v>0.3399289945356232</v>
      </c>
      <c r="AC2354" s="810"/>
      <c r="AD2354" s="846">
        <v>1948</v>
      </c>
      <c r="AE2354" s="940"/>
      <c r="AF2354" s="920">
        <f>IF(X2354=X2353,AF2353,0)+IF(ISNUMBER(I2354),IF(I2354&lt;1,I2354,I2354*VLOOKUP(J2354,Summary!$H$2:$I$9,2)),VLOOKUP(J2354,Summary!$J$2:$K$9,2)*IF(ISNUMBER(H2354),H2354,1))</f>
        <v>4.642361111111111E-2</v>
      </c>
      <c r="AG2354" s="287">
        <v>2353</v>
      </c>
      <c r="AH2354" s="94"/>
      <c r="AI2354" s="94"/>
    </row>
    <row r="2355" spans="1:35" s="22" customFormat="1" ht="12" customHeight="1" x14ac:dyDescent="0.2">
      <c r="A2355" s="405" t="s">
        <v>12181</v>
      </c>
      <c r="B2355" s="406" t="s">
        <v>12181</v>
      </c>
      <c r="C2355" s="565">
        <v>4.08</v>
      </c>
      <c r="D2355" s="407" t="s">
        <v>12220</v>
      </c>
      <c r="E2355" s="315" t="s">
        <v>12221</v>
      </c>
      <c r="F2355" s="169">
        <v>42309</v>
      </c>
      <c r="G2355" s="170"/>
      <c r="H2355" s="170">
        <v>1</v>
      </c>
      <c r="I2355" s="752">
        <f>TIME(0,30,0)</f>
        <v>2.0833333333333332E-2</v>
      </c>
      <c r="J2355" s="899" t="s">
        <v>4706</v>
      </c>
      <c r="K2355" s="167" t="s">
        <v>12222</v>
      </c>
      <c r="L2355" s="167" t="s">
        <v>179</v>
      </c>
      <c r="M2355" s="167"/>
      <c r="N2355" s="167"/>
      <c r="O2355" s="167" t="s">
        <v>179</v>
      </c>
      <c r="P2355" s="168" t="s">
        <v>12283</v>
      </c>
      <c r="Q2355" s="167" t="s">
        <v>3947</v>
      </c>
      <c r="R2355" s="172" t="s">
        <v>12184</v>
      </c>
      <c r="S2355" s="388"/>
      <c r="T2355" s="168"/>
      <c r="U2355" s="168" t="s">
        <v>12185</v>
      </c>
      <c r="V2355" s="168"/>
      <c r="W2355" s="315" t="s">
        <v>12221</v>
      </c>
      <c r="X2355" s="647" t="s">
        <v>15937</v>
      </c>
      <c r="Y2355" s="352"/>
      <c r="Z2355" s="353"/>
      <c r="AA2355" s="353"/>
      <c r="AB2355" s="31">
        <f t="shared" ca="1" si="51"/>
        <v>0.21868393793742447</v>
      </c>
      <c r="AC2355" s="810"/>
      <c r="AD2355" s="846">
        <v>1949</v>
      </c>
      <c r="AE2355" s="940"/>
      <c r="AF2355" s="920">
        <f>IF(X2355=X2354,AF2354,0)+IF(ISNUMBER(I2355),IF(I2355&lt;1,I2355,I2355*VLOOKUP(J2355,Summary!$H$2:$I$9,2)),VLOOKUP(J2355,Summary!$J$2:$K$9,2)*IF(ISNUMBER(H2355),H2355,1))</f>
        <v>6.7256944444444439E-2</v>
      </c>
      <c r="AG2355" s="287">
        <v>2354</v>
      </c>
      <c r="AH2355" s="94"/>
      <c r="AI2355" s="94"/>
    </row>
    <row r="2356" spans="1:35" s="22" customFormat="1" ht="12" customHeight="1" x14ac:dyDescent="0.2">
      <c r="A2356" s="405" t="s">
        <v>12181</v>
      </c>
      <c r="B2356" s="406" t="s">
        <v>12181</v>
      </c>
      <c r="C2356" s="565">
        <v>1.03</v>
      </c>
      <c r="D2356" s="407" t="s">
        <v>12223</v>
      </c>
      <c r="E2356" s="315" t="s">
        <v>12224</v>
      </c>
      <c r="F2356" s="169">
        <v>41214</v>
      </c>
      <c r="G2356" s="170"/>
      <c r="H2356" s="170">
        <v>1</v>
      </c>
      <c r="I2356" s="746">
        <f>TIME(0,33,11)</f>
        <v>2.3043981481481481E-2</v>
      </c>
      <c r="J2356" s="899" t="s">
        <v>4706</v>
      </c>
      <c r="K2356" s="167" t="s">
        <v>12225</v>
      </c>
      <c r="L2356" s="167" t="s">
        <v>179</v>
      </c>
      <c r="M2356" s="167"/>
      <c r="N2356" s="167"/>
      <c r="O2356" s="167" t="s">
        <v>179</v>
      </c>
      <c r="P2356" s="168" t="s">
        <v>12302</v>
      </c>
      <c r="Q2356" s="167" t="s">
        <v>3947</v>
      </c>
      <c r="R2356" s="172" t="s">
        <v>12184</v>
      </c>
      <c r="S2356" s="388"/>
      <c r="T2356" s="168"/>
      <c r="U2356" s="168" t="s">
        <v>12185</v>
      </c>
      <c r="V2356" s="168"/>
      <c r="W2356" s="315" t="s">
        <v>12224</v>
      </c>
      <c r="X2356" s="647" t="s">
        <v>15937</v>
      </c>
      <c r="Y2356" s="352" t="s">
        <v>5643</v>
      </c>
      <c r="Z2356" s="353">
        <v>9999</v>
      </c>
      <c r="AA2356" s="353"/>
      <c r="AB2356" s="31">
        <f t="shared" ca="1" si="51"/>
        <v>0.29883716726317</v>
      </c>
      <c r="AC2356" s="810"/>
      <c r="AD2356" s="846">
        <v>1956</v>
      </c>
      <c r="AE2356" s="940"/>
      <c r="AF2356" s="920">
        <f>IF(X2356=X2355,AF2355,0)+IF(ISNUMBER(I2356),IF(I2356&lt;1,I2356,I2356*VLOOKUP(J2356,Summary!$H$2:$I$9,2)),VLOOKUP(J2356,Summary!$J$2:$K$9,2)*IF(ISNUMBER(H2356),H2356,1))</f>
        <v>9.0300925925925923E-2</v>
      </c>
      <c r="AG2356" s="287">
        <v>2355</v>
      </c>
      <c r="AH2356" s="94"/>
      <c r="AI2356" s="94"/>
    </row>
    <row r="2357" spans="1:35" s="1" customFormat="1" ht="12" customHeight="1" x14ac:dyDescent="0.25">
      <c r="A2357" s="405" t="s">
        <v>12181</v>
      </c>
      <c r="B2357" s="406" t="s">
        <v>12181</v>
      </c>
      <c r="C2357" s="565">
        <v>2.02</v>
      </c>
      <c r="D2357" s="407" t="s">
        <v>12226</v>
      </c>
      <c r="E2357" s="315" t="s">
        <v>12227</v>
      </c>
      <c r="F2357" s="169">
        <v>41487</v>
      </c>
      <c r="G2357" s="170"/>
      <c r="H2357" s="170">
        <v>1</v>
      </c>
      <c r="I2357" s="752">
        <f>TIME(0,30,0)</f>
        <v>2.0833333333333332E-2</v>
      </c>
      <c r="J2357" s="899" t="s">
        <v>4706</v>
      </c>
      <c r="K2357" s="167" t="s">
        <v>12228</v>
      </c>
      <c r="L2357" s="167" t="s">
        <v>179</v>
      </c>
      <c r="M2357" s="167"/>
      <c r="N2357" s="167"/>
      <c r="O2357" s="167" t="s">
        <v>179</v>
      </c>
      <c r="P2357" s="168" t="s">
        <v>12296</v>
      </c>
      <c r="Q2357" s="167" t="s">
        <v>3947</v>
      </c>
      <c r="R2357" s="172" t="s">
        <v>12184</v>
      </c>
      <c r="S2357" s="388"/>
      <c r="T2357" s="168"/>
      <c r="U2357" s="168" t="s">
        <v>12185</v>
      </c>
      <c r="V2357" s="168"/>
      <c r="W2357" s="315" t="s">
        <v>12227</v>
      </c>
      <c r="X2357" s="647" t="s">
        <v>15937</v>
      </c>
      <c r="Y2357" s="352" t="s">
        <v>11456</v>
      </c>
      <c r="Z2357" s="353"/>
      <c r="AA2357" s="353"/>
      <c r="AB2357" s="31">
        <f t="shared" ca="1" si="51"/>
        <v>0.11984096062183214</v>
      </c>
      <c r="AC2357" s="810"/>
      <c r="AD2357" s="811">
        <v>1964</v>
      </c>
      <c r="AE2357" s="940"/>
      <c r="AF2357" s="920">
        <f>IF(X2357=X2356,AF2356,0)+IF(ISNUMBER(I2357),IF(I2357&lt;1,I2357,I2357*VLOOKUP(J2357,Summary!$H$2:$I$9,2)),VLOOKUP(J2357,Summary!$J$2:$K$9,2)*IF(ISNUMBER(H2357),H2357,1))</f>
        <v>0.11113425925925925</v>
      </c>
      <c r="AG2357" s="287">
        <v>2356</v>
      </c>
      <c r="AH2357" s="94"/>
      <c r="AI2357" s="94"/>
    </row>
    <row r="2358" spans="1:35" s="22" customFormat="1" ht="12" customHeight="1" x14ac:dyDescent="0.2">
      <c r="A2358" s="405" t="s">
        <v>12181</v>
      </c>
      <c r="B2358" s="406" t="s">
        <v>12181</v>
      </c>
      <c r="C2358" s="565">
        <v>4.01</v>
      </c>
      <c r="D2358" s="407" t="s">
        <v>12229</v>
      </c>
      <c r="E2358" s="315" t="s">
        <v>12230</v>
      </c>
      <c r="F2358" s="169">
        <v>42309</v>
      </c>
      <c r="G2358" s="170"/>
      <c r="H2358" s="170">
        <v>1</v>
      </c>
      <c r="I2358" s="746">
        <f>TIME(0,34,24)</f>
        <v>2.388888888888889E-2</v>
      </c>
      <c r="J2358" s="899" t="s">
        <v>4706</v>
      </c>
      <c r="K2358" s="167" t="s">
        <v>12205</v>
      </c>
      <c r="L2358" s="167" t="s">
        <v>179</v>
      </c>
      <c r="M2358" s="167"/>
      <c r="N2358" s="167"/>
      <c r="O2358" s="167" t="s">
        <v>179</v>
      </c>
      <c r="P2358" s="168" t="s">
        <v>12283</v>
      </c>
      <c r="Q2358" s="167" t="s">
        <v>3947</v>
      </c>
      <c r="R2358" s="172" t="s">
        <v>12184</v>
      </c>
      <c r="S2358" s="388"/>
      <c r="T2358" s="168"/>
      <c r="U2358" s="168" t="s">
        <v>12185</v>
      </c>
      <c r="V2358" s="168"/>
      <c r="W2358" s="315" t="s">
        <v>12230</v>
      </c>
      <c r="X2358" s="647" t="s">
        <v>15937</v>
      </c>
      <c r="Y2358" s="352" t="s">
        <v>5643</v>
      </c>
      <c r="Z2358" s="353"/>
      <c r="AA2358" s="353"/>
      <c r="AB2358" s="31">
        <f t="shared" ca="1" si="51"/>
        <v>5.9466285992827217E-2</v>
      </c>
      <c r="AC2358" s="810"/>
      <c r="AD2358" s="846">
        <v>1968</v>
      </c>
      <c r="AE2358" s="940"/>
      <c r="AF2358" s="920">
        <f>IF(X2358=X2357,AF2357,0)+IF(ISNUMBER(I2358),IF(I2358&lt;1,I2358,I2358*VLOOKUP(J2358,Summary!$H$2:$I$9,2)),VLOOKUP(J2358,Summary!$J$2:$K$9,2)*IF(ISNUMBER(H2358),H2358,1))</f>
        <v>0.13502314814814814</v>
      </c>
      <c r="AG2358" s="287">
        <v>2357</v>
      </c>
      <c r="AH2358" s="94"/>
      <c r="AI2358" s="94"/>
    </row>
    <row r="2359" spans="1:35" s="1" customFormat="1" ht="12" customHeight="1" x14ac:dyDescent="0.25">
      <c r="A2359" s="405" t="s">
        <v>12181</v>
      </c>
      <c r="B2359" s="406" t="s">
        <v>12181</v>
      </c>
      <c r="C2359" s="565">
        <v>4.0199999999999996</v>
      </c>
      <c r="D2359" s="407" t="s">
        <v>12231</v>
      </c>
      <c r="E2359" s="315" t="s">
        <v>12232</v>
      </c>
      <c r="F2359" s="169">
        <v>42309</v>
      </c>
      <c r="G2359" s="170"/>
      <c r="H2359" s="170">
        <v>1</v>
      </c>
      <c r="I2359" s="752">
        <f>TIME(0,30,0)</f>
        <v>2.0833333333333332E-2</v>
      </c>
      <c r="J2359" s="899" t="s">
        <v>4706</v>
      </c>
      <c r="K2359" s="167" t="s">
        <v>12233</v>
      </c>
      <c r="L2359" s="167" t="s">
        <v>179</v>
      </c>
      <c r="M2359" s="167"/>
      <c r="N2359" s="167"/>
      <c r="O2359" s="167" t="s">
        <v>179</v>
      </c>
      <c r="P2359" s="168" t="s">
        <v>12283</v>
      </c>
      <c r="Q2359" s="167" t="s">
        <v>3947</v>
      </c>
      <c r="R2359" s="172" t="s">
        <v>12184</v>
      </c>
      <c r="S2359" s="388"/>
      <c r="T2359" s="168"/>
      <c r="U2359" s="168" t="s">
        <v>12185</v>
      </c>
      <c r="V2359" s="168"/>
      <c r="W2359" s="315" t="s">
        <v>12232</v>
      </c>
      <c r="X2359" s="647" t="s">
        <v>15937</v>
      </c>
      <c r="Y2359" s="352"/>
      <c r="Z2359" s="353"/>
      <c r="AA2359" s="353"/>
      <c r="AB2359" s="31">
        <f t="shared" ca="1" si="51"/>
        <v>0.95470484324355254</v>
      </c>
      <c r="AC2359" s="810"/>
      <c r="AD2359" s="811">
        <v>1974</v>
      </c>
      <c r="AE2359" s="940"/>
      <c r="AF2359" s="920">
        <f>IF(X2359=X2358,AF2358,0)+IF(ISNUMBER(I2359),IF(I2359&lt;1,I2359,I2359*VLOOKUP(J2359,Summary!$H$2:$I$9,2)),VLOOKUP(J2359,Summary!$J$2:$K$9,2)*IF(ISNUMBER(H2359),H2359,1))</f>
        <v>0.15585648148148148</v>
      </c>
      <c r="AG2359" s="287">
        <v>2358</v>
      </c>
      <c r="AH2359" s="94"/>
      <c r="AI2359" s="94"/>
    </row>
    <row r="2360" spans="1:35" s="22" customFormat="1" ht="12" customHeight="1" x14ac:dyDescent="0.2">
      <c r="A2360" s="405" t="s">
        <v>12181</v>
      </c>
      <c r="B2360" s="406" t="s">
        <v>12181</v>
      </c>
      <c r="C2360" s="565">
        <v>4.0599999999999996</v>
      </c>
      <c r="D2360" s="407" t="s">
        <v>12234</v>
      </c>
      <c r="E2360" s="315" t="s">
        <v>12235</v>
      </c>
      <c r="F2360" s="169">
        <v>42309</v>
      </c>
      <c r="G2360" s="170"/>
      <c r="H2360" s="170">
        <v>1</v>
      </c>
      <c r="I2360" s="752">
        <f>TIME(0,30,0)</f>
        <v>2.0833333333333332E-2</v>
      </c>
      <c r="J2360" s="899" t="s">
        <v>4706</v>
      </c>
      <c r="K2360" s="167" t="s">
        <v>12194</v>
      </c>
      <c r="L2360" s="167" t="s">
        <v>179</v>
      </c>
      <c r="M2360" s="167"/>
      <c r="N2360" s="167"/>
      <c r="O2360" s="167" t="s">
        <v>179</v>
      </c>
      <c r="P2360" s="168" t="s">
        <v>12283</v>
      </c>
      <c r="Q2360" s="167" t="s">
        <v>3947</v>
      </c>
      <c r="R2360" s="172" t="s">
        <v>12184</v>
      </c>
      <c r="S2360" s="388"/>
      <c r="T2360" s="168"/>
      <c r="U2360" s="168" t="s">
        <v>12185</v>
      </c>
      <c r="V2360" s="168"/>
      <c r="W2360" s="315" t="s">
        <v>12235</v>
      </c>
      <c r="X2360" s="647" t="s">
        <v>15937</v>
      </c>
      <c r="Y2360" s="352"/>
      <c r="Z2360" s="353"/>
      <c r="AA2360" s="353"/>
      <c r="AB2360" s="31">
        <f t="shared" ca="1" si="51"/>
        <v>0.68723878107209235</v>
      </c>
      <c r="AC2360" s="810"/>
      <c r="AD2360" s="811">
        <v>1974</v>
      </c>
      <c r="AE2360" s="940"/>
      <c r="AF2360" s="920">
        <f>IF(X2360=X2359,AF2359,0)+IF(ISNUMBER(I2360),IF(I2360&lt;1,I2360,I2360*VLOOKUP(J2360,Summary!$H$2:$I$9,2)),VLOOKUP(J2360,Summary!$J$2:$K$9,2)*IF(ISNUMBER(H2360),H2360,1))</f>
        <v>0.17668981481481483</v>
      </c>
      <c r="AG2360" s="287">
        <v>2359</v>
      </c>
      <c r="AH2360" s="94"/>
      <c r="AI2360" s="94"/>
    </row>
    <row r="2361" spans="1:35" s="22" customFormat="1" ht="12" customHeight="1" x14ac:dyDescent="0.2">
      <c r="A2361" s="405" t="s">
        <v>12181</v>
      </c>
      <c r="B2361" s="406" t="s">
        <v>12181</v>
      </c>
      <c r="C2361" s="565">
        <v>1.04</v>
      </c>
      <c r="D2361" s="407" t="s">
        <v>12236</v>
      </c>
      <c r="E2361" s="315" t="s">
        <v>12237</v>
      </c>
      <c r="F2361" s="169">
        <v>41214</v>
      </c>
      <c r="G2361" s="170"/>
      <c r="H2361" s="170">
        <v>1</v>
      </c>
      <c r="I2361" s="746">
        <f>TIME(0,31,41)</f>
        <v>2.2002314814814818E-2</v>
      </c>
      <c r="J2361" s="899" t="s">
        <v>4706</v>
      </c>
      <c r="K2361" s="167" t="s">
        <v>12188</v>
      </c>
      <c r="L2361" s="167" t="s">
        <v>179</v>
      </c>
      <c r="M2361" s="167"/>
      <c r="N2361" s="167"/>
      <c r="O2361" s="167" t="s">
        <v>179</v>
      </c>
      <c r="P2361" s="168" t="s">
        <v>12301</v>
      </c>
      <c r="Q2361" s="167" t="s">
        <v>3947</v>
      </c>
      <c r="R2361" s="172" t="s">
        <v>12184</v>
      </c>
      <c r="S2361" s="388"/>
      <c r="T2361" s="168"/>
      <c r="U2361" s="168" t="s">
        <v>12185</v>
      </c>
      <c r="V2361" s="168"/>
      <c r="W2361" s="315" t="s">
        <v>12237</v>
      </c>
      <c r="X2361" s="647" t="s">
        <v>15937</v>
      </c>
      <c r="Y2361" s="352" t="s">
        <v>5643</v>
      </c>
      <c r="Z2361" s="353">
        <v>9999</v>
      </c>
      <c r="AA2361" s="353"/>
      <c r="AB2361" s="31">
        <f t="shared" ca="1" si="51"/>
        <v>0.32153016509030241</v>
      </c>
      <c r="AC2361" s="810"/>
      <c r="AD2361" s="811">
        <v>1986</v>
      </c>
      <c r="AE2361" s="940"/>
      <c r="AF2361" s="920">
        <f>IF(X2361=X2360,AF2360,0)+IF(ISNUMBER(I2361),IF(I2361&lt;1,I2361,I2361*VLOOKUP(J2361,Summary!$H$2:$I$9,2)),VLOOKUP(J2361,Summary!$J$2:$K$9,2)*IF(ISNUMBER(H2361),H2361,1))</f>
        <v>0.19869212962962965</v>
      </c>
      <c r="AG2361" s="287">
        <v>2360</v>
      </c>
      <c r="AH2361" s="94"/>
      <c r="AI2361" s="94"/>
    </row>
    <row r="2362" spans="1:35" s="27" customFormat="1" ht="12" customHeight="1" x14ac:dyDescent="0.25">
      <c r="A2362" s="405" t="s">
        <v>12181</v>
      </c>
      <c r="B2362" s="406" t="s">
        <v>12181</v>
      </c>
      <c r="C2362" s="565">
        <v>3.1</v>
      </c>
      <c r="D2362" s="407" t="s">
        <v>12238</v>
      </c>
      <c r="E2362" s="315" t="s">
        <v>12239</v>
      </c>
      <c r="F2362" s="169">
        <v>42278</v>
      </c>
      <c r="G2362" s="170"/>
      <c r="H2362" s="170">
        <v>1</v>
      </c>
      <c r="I2362" s="746">
        <f>TIME(0,11,50)</f>
        <v>8.217592592592594E-3</v>
      </c>
      <c r="J2362" s="899" t="s">
        <v>4706</v>
      </c>
      <c r="K2362" s="167" t="s">
        <v>12188</v>
      </c>
      <c r="L2362" s="167" t="s">
        <v>179</v>
      </c>
      <c r="M2362" s="167"/>
      <c r="N2362" s="167" t="s">
        <v>4146</v>
      </c>
      <c r="O2362" s="167" t="s">
        <v>179</v>
      </c>
      <c r="P2362" s="168" t="s">
        <v>12284</v>
      </c>
      <c r="Q2362" s="167" t="s">
        <v>3947</v>
      </c>
      <c r="R2362" s="172" t="s">
        <v>12184</v>
      </c>
      <c r="S2362" s="388"/>
      <c r="T2362" s="168"/>
      <c r="U2362" s="168" t="s">
        <v>12185</v>
      </c>
      <c r="V2362" s="168"/>
      <c r="W2362" s="315" t="s">
        <v>12239</v>
      </c>
      <c r="X2362" s="647" t="s">
        <v>15937</v>
      </c>
      <c r="Y2362" s="352" t="s">
        <v>5643</v>
      </c>
      <c r="Z2362" s="353"/>
      <c r="AA2362" s="353"/>
      <c r="AB2362" s="31">
        <f t="shared" ca="1" si="51"/>
        <v>0.5170399385518103</v>
      </c>
      <c r="AC2362" s="810"/>
      <c r="AD2362" s="811">
        <v>1996</v>
      </c>
      <c r="AE2362" s="940"/>
      <c r="AF2362" s="920">
        <f>IF(X2362=X2361,AF2361,0)+IF(ISNUMBER(I2362),IF(I2362&lt;1,I2362,I2362*VLOOKUP(J2362,Summary!$H$2:$I$9,2)),VLOOKUP(J2362,Summary!$J$2:$K$9,2)*IF(ISNUMBER(H2362),H2362,1))</f>
        <v>0.20690972222222223</v>
      </c>
      <c r="AG2362" s="287">
        <v>2361</v>
      </c>
      <c r="AH2362" s="124"/>
      <c r="AI2362" s="124"/>
    </row>
    <row r="2363" spans="1:35" s="22" customFormat="1" ht="12" customHeight="1" x14ac:dyDescent="0.2">
      <c r="A2363" s="405" t="s">
        <v>12181</v>
      </c>
      <c r="B2363" s="406" t="s">
        <v>12181</v>
      </c>
      <c r="C2363" s="565">
        <v>4.03</v>
      </c>
      <c r="D2363" s="407" t="s">
        <v>12240</v>
      </c>
      <c r="E2363" s="315" t="s">
        <v>12241</v>
      </c>
      <c r="F2363" s="169">
        <v>42309</v>
      </c>
      <c r="G2363" s="170"/>
      <c r="H2363" s="170">
        <v>1</v>
      </c>
      <c r="I2363" s="752">
        <f>TIME(0,30,0)</f>
        <v>2.0833333333333332E-2</v>
      </c>
      <c r="J2363" s="899" t="s">
        <v>4706</v>
      </c>
      <c r="K2363" s="167" t="s">
        <v>12242</v>
      </c>
      <c r="L2363" s="167" t="s">
        <v>179</v>
      </c>
      <c r="M2363" s="167"/>
      <c r="N2363" s="167"/>
      <c r="O2363" s="167" t="s">
        <v>179</v>
      </c>
      <c r="P2363" s="168" t="s">
        <v>12283</v>
      </c>
      <c r="Q2363" s="167" t="s">
        <v>3947</v>
      </c>
      <c r="R2363" s="172" t="s">
        <v>12184</v>
      </c>
      <c r="S2363" s="388"/>
      <c r="T2363" s="168"/>
      <c r="U2363" s="168" t="s">
        <v>12185</v>
      </c>
      <c r="V2363" s="168"/>
      <c r="W2363" s="315" t="s">
        <v>12241</v>
      </c>
      <c r="X2363" s="647" t="s">
        <v>15937</v>
      </c>
      <c r="Y2363" s="352"/>
      <c r="Z2363" s="353"/>
      <c r="AA2363" s="353"/>
      <c r="AB2363" s="31">
        <f t="shared" ca="1" si="51"/>
        <v>0.46872183081322805</v>
      </c>
      <c r="AC2363" s="810"/>
      <c r="AD2363" s="811">
        <v>1998</v>
      </c>
      <c r="AE2363" s="940"/>
      <c r="AF2363" s="920">
        <f>IF(X2363=X2362,AF2362,0)+IF(ISNUMBER(I2363),IF(I2363&lt;1,I2363,I2363*VLOOKUP(J2363,Summary!$H$2:$I$9,2)),VLOOKUP(J2363,Summary!$J$2:$K$9,2)*IF(ISNUMBER(H2363),H2363,1))</f>
        <v>0.22774305555555557</v>
      </c>
      <c r="AG2363" s="287">
        <v>2362</v>
      </c>
      <c r="AH2363" s="94"/>
      <c r="AI2363" s="94"/>
    </row>
    <row r="2364" spans="1:35" s="57" customFormat="1" ht="12" customHeight="1" x14ac:dyDescent="0.25">
      <c r="A2364" s="405" t="s">
        <v>12181</v>
      </c>
      <c r="B2364" s="406" t="s">
        <v>12181</v>
      </c>
      <c r="C2364" s="565">
        <v>2.0699999999999998</v>
      </c>
      <c r="D2364" s="407" t="s">
        <v>12287</v>
      </c>
      <c r="E2364" s="315" t="s">
        <v>12243</v>
      </c>
      <c r="F2364" s="169">
        <v>41609</v>
      </c>
      <c r="G2364" s="169">
        <v>41640</v>
      </c>
      <c r="H2364" s="170">
        <v>2</v>
      </c>
      <c r="I2364" s="747">
        <f>TIME(0,60,0)</f>
        <v>4.1666666666666664E-2</v>
      </c>
      <c r="J2364" s="899" t="s">
        <v>4706</v>
      </c>
      <c r="K2364" s="167" t="s">
        <v>12244</v>
      </c>
      <c r="L2364" s="167" t="s">
        <v>179</v>
      </c>
      <c r="M2364" s="167"/>
      <c r="N2364" s="167"/>
      <c r="O2364" s="167" t="s">
        <v>179</v>
      </c>
      <c r="P2364" s="168" t="s">
        <v>12288</v>
      </c>
      <c r="Q2364" s="167" t="s">
        <v>3947</v>
      </c>
      <c r="R2364" s="172" t="s">
        <v>12184</v>
      </c>
      <c r="S2364" s="388"/>
      <c r="T2364" s="168"/>
      <c r="U2364" s="168" t="s">
        <v>12185</v>
      </c>
      <c r="V2364" s="168"/>
      <c r="W2364" s="315"/>
      <c r="X2364" s="647" t="s">
        <v>15937</v>
      </c>
      <c r="Y2364" s="352" t="s">
        <v>11456</v>
      </c>
      <c r="Z2364" s="353"/>
      <c r="AA2364" s="353"/>
      <c r="AB2364" s="31">
        <f t="shared" ca="1" si="51"/>
        <v>0.32215367231615111</v>
      </c>
      <c r="AC2364" s="810"/>
      <c r="AD2364" s="811">
        <v>1999</v>
      </c>
      <c r="AE2364" s="940"/>
      <c r="AF2364" s="920">
        <f>IF(X2364=X2363,AF2363,0)+IF(ISNUMBER(I2364),IF(I2364&lt;1,I2364,I2364*VLOOKUP(J2364,Summary!$H$2:$I$9,2)),VLOOKUP(J2364,Summary!$J$2:$K$9,2)*IF(ISNUMBER(H2364),H2364,1))</f>
        <v>0.26940972222222226</v>
      </c>
      <c r="AG2364" s="287">
        <v>2363</v>
      </c>
      <c r="AH2364" s="94"/>
      <c r="AI2364" s="94"/>
    </row>
    <row r="2365" spans="1:35" s="22" customFormat="1" ht="12" customHeight="1" x14ac:dyDescent="0.2">
      <c r="A2365" s="405" t="s">
        <v>12181</v>
      </c>
      <c r="B2365" s="406" t="s">
        <v>12181</v>
      </c>
      <c r="C2365" s="565">
        <v>1.05</v>
      </c>
      <c r="D2365" s="407" t="s">
        <v>12245</v>
      </c>
      <c r="E2365" s="315" t="s">
        <v>12246</v>
      </c>
      <c r="F2365" s="169">
        <v>41214</v>
      </c>
      <c r="G2365" s="170"/>
      <c r="H2365" s="170">
        <v>1</v>
      </c>
      <c r="I2365" s="746">
        <f>TIME(0,32,27)</f>
        <v>2.2534722222222223E-2</v>
      </c>
      <c r="J2365" s="899" t="s">
        <v>4706</v>
      </c>
      <c r="K2365" s="167" t="s">
        <v>12247</v>
      </c>
      <c r="L2365" s="167" t="s">
        <v>179</v>
      </c>
      <c r="M2365" s="167"/>
      <c r="N2365" s="167"/>
      <c r="O2365" s="167" t="s">
        <v>179</v>
      </c>
      <c r="P2365" s="168" t="s">
        <v>12300</v>
      </c>
      <c r="Q2365" s="167" t="s">
        <v>3947</v>
      </c>
      <c r="R2365" s="172" t="s">
        <v>12184</v>
      </c>
      <c r="S2365" s="388"/>
      <c r="T2365" s="168"/>
      <c r="U2365" s="168" t="s">
        <v>12185</v>
      </c>
      <c r="V2365" s="168"/>
      <c r="W2365" s="315" t="s">
        <v>12246</v>
      </c>
      <c r="X2365" s="647" t="s">
        <v>15937</v>
      </c>
      <c r="Y2365" s="352" t="s">
        <v>5643</v>
      </c>
      <c r="Z2365" s="353">
        <v>9999</v>
      </c>
      <c r="AA2365" s="353"/>
      <c r="AB2365" s="31">
        <f t="shared" ca="1" si="51"/>
        <v>7.4633184667875274E-2</v>
      </c>
      <c r="AC2365" s="810"/>
      <c r="AD2365" s="811">
        <v>2007</v>
      </c>
      <c r="AE2365" s="940"/>
      <c r="AF2365" s="920">
        <f>IF(X2365=X2364,AF2364,0)+IF(ISNUMBER(I2365),IF(I2365&lt;1,I2365,I2365*VLOOKUP(J2365,Summary!$H$2:$I$9,2)),VLOOKUP(J2365,Summary!$J$2:$K$9,2)*IF(ISNUMBER(H2365),H2365,1))</f>
        <v>0.29194444444444451</v>
      </c>
      <c r="AG2365" s="287">
        <v>2364</v>
      </c>
      <c r="AH2365" s="94"/>
      <c r="AI2365" s="94"/>
    </row>
    <row r="2366" spans="1:35" s="117" customFormat="1" ht="12" customHeight="1" x14ac:dyDescent="0.25">
      <c r="A2366" s="405" t="s">
        <v>12181</v>
      </c>
      <c r="B2366" s="406" t="s">
        <v>12181</v>
      </c>
      <c r="C2366" s="565">
        <v>4.07</v>
      </c>
      <c r="D2366" s="407" t="s">
        <v>12248</v>
      </c>
      <c r="E2366" s="315" t="s">
        <v>12249</v>
      </c>
      <c r="F2366" s="169">
        <v>42309</v>
      </c>
      <c r="G2366" s="170"/>
      <c r="H2366" s="170">
        <v>1</v>
      </c>
      <c r="I2366" s="752">
        <f t="shared" ref="I2366:I2375" si="52">TIME(0,30,0)</f>
        <v>2.0833333333333332E-2</v>
      </c>
      <c r="J2366" s="899" t="s">
        <v>4706</v>
      </c>
      <c r="K2366" s="167" t="s">
        <v>12217</v>
      </c>
      <c r="L2366" s="167" t="s">
        <v>179</v>
      </c>
      <c r="M2366" s="167"/>
      <c r="N2366" s="167"/>
      <c r="O2366" s="167" t="s">
        <v>179</v>
      </c>
      <c r="P2366" s="168" t="s">
        <v>12283</v>
      </c>
      <c r="Q2366" s="167" t="s">
        <v>3947</v>
      </c>
      <c r="R2366" s="172" t="s">
        <v>12184</v>
      </c>
      <c r="S2366" s="388"/>
      <c r="T2366" s="168"/>
      <c r="U2366" s="168" t="s">
        <v>12185</v>
      </c>
      <c r="V2366" s="168"/>
      <c r="W2366" s="315" t="s">
        <v>12249</v>
      </c>
      <c r="X2366" s="647" t="s">
        <v>15937</v>
      </c>
      <c r="Y2366" s="352"/>
      <c r="Z2366" s="353"/>
      <c r="AA2366" s="353"/>
      <c r="AB2366" s="31">
        <f t="shared" ca="1" si="51"/>
        <v>0.81571033669415449</v>
      </c>
      <c r="AC2366" s="810"/>
      <c r="AD2366" s="811">
        <v>2009</v>
      </c>
      <c r="AE2366" s="940"/>
      <c r="AF2366" s="920">
        <f>IF(X2366=X2365,AF2365,0)+IF(ISNUMBER(I2366),IF(I2366&lt;1,I2366,I2366*VLOOKUP(J2366,Summary!$H$2:$I$9,2)),VLOOKUP(J2366,Summary!$J$2:$K$9,2)*IF(ISNUMBER(H2366),H2366,1))</f>
        <v>0.31277777777777782</v>
      </c>
      <c r="AG2366" s="287">
        <v>2365</v>
      </c>
      <c r="AH2366" s="94"/>
      <c r="AI2366" s="94"/>
    </row>
    <row r="2367" spans="1:35" s="22" customFormat="1" ht="12" customHeight="1" x14ac:dyDescent="0.2">
      <c r="A2367" s="405" t="s">
        <v>12181</v>
      </c>
      <c r="B2367" s="406" t="s">
        <v>12181</v>
      </c>
      <c r="C2367" s="565">
        <v>2.0099999999999998</v>
      </c>
      <c r="D2367" s="407" t="s">
        <v>12250</v>
      </c>
      <c r="E2367" s="315" t="s">
        <v>12251</v>
      </c>
      <c r="F2367" s="169">
        <v>41456</v>
      </c>
      <c r="G2367" s="170"/>
      <c r="H2367" s="170">
        <v>1</v>
      </c>
      <c r="I2367" s="752">
        <f t="shared" si="52"/>
        <v>2.0833333333333332E-2</v>
      </c>
      <c r="J2367" s="899" t="s">
        <v>4706</v>
      </c>
      <c r="K2367" s="167" t="s">
        <v>12225</v>
      </c>
      <c r="L2367" s="167" t="s">
        <v>179</v>
      </c>
      <c r="M2367" s="167"/>
      <c r="N2367" s="167"/>
      <c r="O2367" s="167" t="s">
        <v>179</v>
      </c>
      <c r="P2367" s="168" t="s">
        <v>12297</v>
      </c>
      <c r="Q2367" s="167" t="s">
        <v>3947</v>
      </c>
      <c r="R2367" s="172" t="s">
        <v>12184</v>
      </c>
      <c r="S2367" s="388"/>
      <c r="T2367" s="168"/>
      <c r="U2367" s="168" t="s">
        <v>12185</v>
      </c>
      <c r="V2367" s="168"/>
      <c r="W2367" s="315" t="s">
        <v>12251</v>
      </c>
      <c r="X2367" s="647" t="s">
        <v>15937</v>
      </c>
      <c r="Y2367" s="352" t="s">
        <v>11456</v>
      </c>
      <c r="Z2367" s="353"/>
      <c r="AA2367" s="353"/>
      <c r="AB2367" s="31">
        <f t="shared" ca="1" si="51"/>
        <v>0.1804188041056165</v>
      </c>
      <c r="AC2367" s="810"/>
      <c r="AD2367" s="811">
        <v>2012</v>
      </c>
      <c r="AE2367" s="940"/>
      <c r="AF2367" s="920">
        <f>IF(X2367=X2366,AF2366,0)+IF(ISNUMBER(I2367),IF(I2367&lt;1,I2367,I2367*VLOOKUP(J2367,Summary!$H$2:$I$9,2)),VLOOKUP(J2367,Summary!$J$2:$K$9,2)*IF(ISNUMBER(H2367),H2367,1))</f>
        <v>0.33361111111111114</v>
      </c>
      <c r="AG2367" s="287">
        <v>2366</v>
      </c>
      <c r="AH2367" s="94"/>
      <c r="AI2367" s="94"/>
    </row>
    <row r="2368" spans="1:35" s="690" customFormat="1" ht="12" customHeight="1" x14ac:dyDescent="0.25">
      <c r="A2368" s="405" t="s">
        <v>12181</v>
      </c>
      <c r="B2368" s="406" t="s">
        <v>12181</v>
      </c>
      <c r="C2368" s="565">
        <v>3.01</v>
      </c>
      <c r="D2368" s="407" t="s">
        <v>12252</v>
      </c>
      <c r="E2368" s="315" t="s">
        <v>12253</v>
      </c>
      <c r="F2368" s="169">
        <v>41944</v>
      </c>
      <c r="G2368" s="170"/>
      <c r="H2368" s="170">
        <v>1</v>
      </c>
      <c r="I2368" s="752">
        <f t="shared" si="52"/>
        <v>2.0833333333333332E-2</v>
      </c>
      <c r="J2368" s="899" t="s">
        <v>4706</v>
      </c>
      <c r="K2368" s="167" t="s">
        <v>12242</v>
      </c>
      <c r="L2368" s="167" t="s">
        <v>179</v>
      </c>
      <c r="M2368" s="167"/>
      <c r="N2368" s="167"/>
      <c r="O2368" s="167" t="s">
        <v>179</v>
      </c>
      <c r="P2368" s="168" t="s">
        <v>12286</v>
      </c>
      <c r="Q2368" s="167" t="s">
        <v>3947</v>
      </c>
      <c r="R2368" s="172" t="s">
        <v>12184</v>
      </c>
      <c r="S2368" s="388"/>
      <c r="T2368" s="168"/>
      <c r="U2368" s="168" t="s">
        <v>12185</v>
      </c>
      <c r="V2368" s="168"/>
      <c r="W2368" s="315" t="s">
        <v>12253</v>
      </c>
      <c r="X2368" s="647" t="s">
        <v>15937</v>
      </c>
      <c r="Y2368" s="352" t="s">
        <v>11456</v>
      </c>
      <c r="Z2368" s="353"/>
      <c r="AA2368" s="353"/>
      <c r="AB2368" s="31">
        <f t="shared" ca="1" si="51"/>
        <v>0.6476304559035938</v>
      </c>
      <c r="AC2368" s="810"/>
      <c r="AD2368" s="846">
        <v>2014</v>
      </c>
      <c r="AE2368" s="940"/>
      <c r="AF2368" s="920">
        <f>IF(X2368=X2367,AF2367,0)+IF(ISNUMBER(I2368),IF(I2368&lt;1,I2368,I2368*VLOOKUP(J2368,Summary!$H$2:$I$9,2)),VLOOKUP(J2368,Summary!$J$2:$K$9,2)*IF(ISNUMBER(H2368),H2368,1))</f>
        <v>0.35444444444444445</v>
      </c>
      <c r="AG2368" s="287">
        <v>2367</v>
      </c>
      <c r="AH2368" s="689"/>
      <c r="AI2368" s="689"/>
    </row>
    <row r="2369" spans="1:36" s="690" customFormat="1" ht="12" customHeight="1" x14ac:dyDescent="0.25">
      <c r="A2369" s="405" t="s">
        <v>12181</v>
      </c>
      <c r="B2369" s="406" t="s">
        <v>12181</v>
      </c>
      <c r="C2369" s="565">
        <v>3.02</v>
      </c>
      <c r="D2369" s="407" t="s">
        <v>12254</v>
      </c>
      <c r="E2369" s="315" t="s">
        <v>12255</v>
      </c>
      <c r="F2369" s="169">
        <v>41944</v>
      </c>
      <c r="G2369" s="170"/>
      <c r="H2369" s="170">
        <v>1</v>
      </c>
      <c r="I2369" s="752">
        <f t="shared" si="52"/>
        <v>2.0833333333333332E-2</v>
      </c>
      <c r="J2369" s="899" t="s">
        <v>4706</v>
      </c>
      <c r="K2369" s="167" t="s">
        <v>12194</v>
      </c>
      <c r="L2369" s="167" t="s">
        <v>179</v>
      </c>
      <c r="M2369" s="167"/>
      <c r="N2369" s="167"/>
      <c r="O2369" s="167" t="s">
        <v>179</v>
      </c>
      <c r="P2369" s="168" t="s">
        <v>12286</v>
      </c>
      <c r="Q2369" s="167" t="s">
        <v>3947</v>
      </c>
      <c r="R2369" s="172" t="s">
        <v>12184</v>
      </c>
      <c r="S2369" s="388"/>
      <c r="T2369" s="168"/>
      <c r="U2369" s="168" t="s">
        <v>12185</v>
      </c>
      <c r="V2369" s="168"/>
      <c r="W2369" s="315" t="s">
        <v>12255</v>
      </c>
      <c r="X2369" s="647" t="s">
        <v>15937</v>
      </c>
      <c r="Y2369" s="352" t="s">
        <v>11456</v>
      </c>
      <c r="Z2369" s="353"/>
      <c r="AA2369" s="353"/>
      <c r="AB2369" s="31">
        <f t="shared" ca="1" si="51"/>
        <v>0.5323547226383627</v>
      </c>
      <c r="AC2369" s="810"/>
      <c r="AD2369" s="846">
        <v>2014</v>
      </c>
      <c r="AE2369" s="940"/>
      <c r="AF2369" s="920">
        <f>IF(X2369=X2368,AF2368,0)+IF(ISNUMBER(I2369),IF(I2369&lt;1,I2369,I2369*VLOOKUP(J2369,Summary!$H$2:$I$9,2)),VLOOKUP(J2369,Summary!$J$2:$K$9,2)*IF(ISNUMBER(H2369),H2369,1))</f>
        <v>0.37527777777777777</v>
      </c>
      <c r="AG2369" s="287">
        <v>2368</v>
      </c>
      <c r="AH2369" s="689"/>
      <c r="AI2369" s="689"/>
    </row>
    <row r="2370" spans="1:36" s="706" customFormat="1" ht="12" customHeight="1" x14ac:dyDescent="0.25">
      <c r="A2370" s="405" t="s">
        <v>12181</v>
      </c>
      <c r="B2370" s="406" t="s">
        <v>12181</v>
      </c>
      <c r="C2370" s="565">
        <v>3.03</v>
      </c>
      <c r="D2370" s="407" t="s">
        <v>12256</v>
      </c>
      <c r="E2370" s="315" t="s">
        <v>12257</v>
      </c>
      <c r="F2370" s="169">
        <v>41944</v>
      </c>
      <c r="G2370" s="170"/>
      <c r="H2370" s="170">
        <v>1</v>
      </c>
      <c r="I2370" s="752">
        <f t="shared" si="52"/>
        <v>2.0833333333333332E-2</v>
      </c>
      <c r="J2370" s="899" t="s">
        <v>4706</v>
      </c>
      <c r="K2370" s="167" t="s">
        <v>12205</v>
      </c>
      <c r="L2370" s="167" t="s">
        <v>179</v>
      </c>
      <c r="M2370" s="167"/>
      <c r="N2370" s="167"/>
      <c r="O2370" s="167" t="s">
        <v>179</v>
      </c>
      <c r="P2370" s="168" t="s">
        <v>12286</v>
      </c>
      <c r="Q2370" s="167" t="s">
        <v>3947</v>
      </c>
      <c r="R2370" s="172" t="s">
        <v>12184</v>
      </c>
      <c r="S2370" s="388"/>
      <c r="T2370" s="168"/>
      <c r="U2370" s="168" t="s">
        <v>12185</v>
      </c>
      <c r="V2370" s="168"/>
      <c r="W2370" s="315" t="s">
        <v>12257</v>
      </c>
      <c r="X2370" s="647" t="s">
        <v>15937</v>
      </c>
      <c r="Y2370" s="352" t="s">
        <v>11456</v>
      </c>
      <c r="Z2370" s="353"/>
      <c r="AA2370" s="353"/>
      <c r="AB2370" s="31">
        <f t="shared" ref="AB2370:AB2433" ca="1" si="53">RAND()</f>
        <v>0.38456000087319075</v>
      </c>
      <c r="AC2370" s="810"/>
      <c r="AD2370" s="846">
        <v>2014</v>
      </c>
      <c r="AE2370" s="940"/>
      <c r="AF2370" s="920">
        <f>IF(X2370=X2369,AF2369,0)+IF(ISNUMBER(I2370),IF(I2370&lt;1,I2370,I2370*VLOOKUP(J2370,Summary!$H$2:$I$9,2)),VLOOKUP(J2370,Summary!$J$2:$K$9,2)*IF(ISNUMBER(H2370),H2370,1))</f>
        <v>0.39611111111111108</v>
      </c>
      <c r="AG2370" s="287">
        <v>2369</v>
      </c>
      <c r="AH2370" s="705"/>
      <c r="AI2370" s="705"/>
    </row>
    <row r="2371" spans="1:36" s="706" customFormat="1" ht="12" customHeight="1" x14ac:dyDescent="0.25">
      <c r="A2371" s="405" t="s">
        <v>12181</v>
      </c>
      <c r="B2371" s="406" t="s">
        <v>12181</v>
      </c>
      <c r="C2371" s="565">
        <v>3.04</v>
      </c>
      <c r="D2371" s="407" t="s">
        <v>12258</v>
      </c>
      <c r="E2371" s="315" t="s">
        <v>12259</v>
      </c>
      <c r="F2371" s="169">
        <v>41944</v>
      </c>
      <c r="G2371" s="170"/>
      <c r="H2371" s="170">
        <v>1</v>
      </c>
      <c r="I2371" s="752">
        <f t="shared" si="52"/>
        <v>2.0833333333333332E-2</v>
      </c>
      <c r="J2371" s="899" t="s">
        <v>4706</v>
      </c>
      <c r="K2371" s="167" t="s">
        <v>12225</v>
      </c>
      <c r="L2371" s="167" t="s">
        <v>179</v>
      </c>
      <c r="M2371" s="167"/>
      <c r="N2371" s="167"/>
      <c r="O2371" s="167" t="s">
        <v>179</v>
      </c>
      <c r="P2371" s="168" t="s">
        <v>12286</v>
      </c>
      <c r="Q2371" s="167" t="s">
        <v>3947</v>
      </c>
      <c r="R2371" s="172" t="s">
        <v>12184</v>
      </c>
      <c r="S2371" s="388"/>
      <c r="T2371" s="168"/>
      <c r="U2371" s="168" t="s">
        <v>12185</v>
      </c>
      <c r="V2371" s="168"/>
      <c r="W2371" s="315" t="s">
        <v>12259</v>
      </c>
      <c r="X2371" s="647" t="s">
        <v>15937</v>
      </c>
      <c r="Y2371" s="352" t="s">
        <v>11456</v>
      </c>
      <c r="Z2371" s="353"/>
      <c r="AA2371" s="353"/>
      <c r="AB2371" s="31">
        <f t="shared" ca="1" si="53"/>
        <v>0.49428393220190125</v>
      </c>
      <c r="AC2371" s="810"/>
      <c r="AD2371" s="846">
        <v>2014</v>
      </c>
      <c r="AE2371" s="940"/>
      <c r="AF2371" s="920">
        <f>IF(X2371=X2370,AF2370,0)+IF(ISNUMBER(I2371),IF(I2371&lt;1,I2371,I2371*VLOOKUP(J2371,Summary!$H$2:$I$9,2)),VLOOKUP(J2371,Summary!$J$2:$K$9,2)*IF(ISNUMBER(H2371),H2371,1))</f>
        <v>0.4169444444444444</v>
      </c>
      <c r="AG2371" s="287">
        <v>2370</v>
      </c>
      <c r="AH2371" s="705"/>
      <c r="AI2371" s="705"/>
    </row>
    <row r="2372" spans="1:36" s="706" customFormat="1" ht="12" customHeight="1" x14ac:dyDescent="0.25">
      <c r="A2372" s="405" t="s">
        <v>12181</v>
      </c>
      <c r="B2372" s="406" t="s">
        <v>12181</v>
      </c>
      <c r="C2372" s="565">
        <v>3.05</v>
      </c>
      <c r="D2372" s="407" t="s">
        <v>12260</v>
      </c>
      <c r="E2372" s="315" t="s">
        <v>12261</v>
      </c>
      <c r="F2372" s="169">
        <v>41944</v>
      </c>
      <c r="G2372" s="170"/>
      <c r="H2372" s="170">
        <v>1</v>
      </c>
      <c r="I2372" s="752">
        <f t="shared" si="52"/>
        <v>2.0833333333333332E-2</v>
      </c>
      <c r="J2372" s="899" t="s">
        <v>4706</v>
      </c>
      <c r="K2372" s="167" t="s">
        <v>12197</v>
      </c>
      <c r="L2372" s="167" t="s">
        <v>179</v>
      </c>
      <c r="M2372" s="167"/>
      <c r="N2372" s="167"/>
      <c r="O2372" s="167" t="s">
        <v>179</v>
      </c>
      <c r="P2372" s="168" t="s">
        <v>12286</v>
      </c>
      <c r="Q2372" s="167" t="s">
        <v>3947</v>
      </c>
      <c r="R2372" s="172" t="s">
        <v>12184</v>
      </c>
      <c r="S2372" s="388"/>
      <c r="T2372" s="168"/>
      <c r="U2372" s="168" t="s">
        <v>12185</v>
      </c>
      <c r="V2372" s="168"/>
      <c r="W2372" s="315" t="s">
        <v>12261</v>
      </c>
      <c r="X2372" s="647" t="s">
        <v>15937</v>
      </c>
      <c r="Y2372" s="352" t="s">
        <v>11456</v>
      </c>
      <c r="Z2372" s="353"/>
      <c r="AA2372" s="353"/>
      <c r="AB2372" s="31">
        <f t="shared" ca="1" si="53"/>
        <v>0.4392564851832923</v>
      </c>
      <c r="AC2372" s="810"/>
      <c r="AD2372" s="846">
        <v>2014</v>
      </c>
      <c r="AE2372" s="940"/>
      <c r="AF2372" s="920">
        <f>IF(X2372=X2371,AF2371,0)+IF(ISNUMBER(I2372),IF(I2372&lt;1,I2372,I2372*VLOOKUP(J2372,Summary!$H$2:$I$9,2)),VLOOKUP(J2372,Summary!$J$2:$K$9,2)*IF(ISNUMBER(H2372),H2372,1))</f>
        <v>0.43777777777777771</v>
      </c>
      <c r="AG2372" s="287">
        <v>2371</v>
      </c>
      <c r="AH2372" s="705"/>
      <c r="AI2372" s="705"/>
    </row>
    <row r="2373" spans="1:36" s="706" customFormat="1" ht="12" customHeight="1" x14ac:dyDescent="0.25">
      <c r="A2373" s="405" t="s">
        <v>12181</v>
      </c>
      <c r="B2373" s="406" t="s">
        <v>12181</v>
      </c>
      <c r="C2373" s="565">
        <v>3.06</v>
      </c>
      <c r="D2373" s="407" t="s">
        <v>12262</v>
      </c>
      <c r="E2373" s="315" t="s">
        <v>12263</v>
      </c>
      <c r="F2373" s="169">
        <v>41944</v>
      </c>
      <c r="G2373" s="170"/>
      <c r="H2373" s="170">
        <v>1</v>
      </c>
      <c r="I2373" s="752">
        <f t="shared" si="52"/>
        <v>2.0833333333333332E-2</v>
      </c>
      <c r="J2373" s="899" t="s">
        <v>4706</v>
      </c>
      <c r="K2373" s="167" t="s">
        <v>12264</v>
      </c>
      <c r="L2373" s="167" t="s">
        <v>179</v>
      </c>
      <c r="M2373" s="167"/>
      <c r="N2373" s="167"/>
      <c r="O2373" s="167" t="s">
        <v>179</v>
      </c>
      <c r="P2373" s="168" t="s">
        <v>12286</v>
      </c>
      <c r="Q2373" s="167" t="s">
        <v>3947</v>
      </c>
      <c r="R2373" s="172" t="s">
        <v>12184</v>
      </c>
      <c r="S2373" s="388"/>
      <c r="T2373" s="168"/>
      <c r="U2373" s="168" t="s">
        <v>12185</v>
      </c>
      <c r="V2373" s="168"/>
      <c r="W2373" s="315" t="s">
        <v>12263</v>
      </c>
      <c r="X2373" s="647" t="s">
        <v>15937</v>
      </c>
      <c r="Y2373" s="352" t="s">
        <v>11456</v>
      </c>
      <c r="Z2373" s="353"/>
      <c r="AA2373" s="353"/>
      <c r="AB2373" s="31">
        <f t="shared" ca="1" si="53"/>
        <v>0.38518292810749311</v>
      </c>
      <c r="AC2373" s="810"/>
      <c r="AD2373" s="846">
        <v>2014</v>
      </c>
      <c r="AE2373" s="940"/>
      <c r="AF2373" s="920">
        <f>IF(X2373=X2372,AF2372,0)+IF(ISNUMBER(I2373),IF(I2373&lt;1,I2373,I2373*VLOOKUP(J2373,Summary!$H$2:$I$9,2)),VLOOKUP(J2373,Summary!$J$2:$K$9,2)*IF(ISNUMBER(H2373),H2373,1))</f>
        <v>0.45861111111111103</v>
      </c>
      <c r="AG2373" s="287">
        <v>2372</v>
      </c>
      <c r="AH2373" s="705"/>
      <c r="AI2373" s="705"/>
    </row>
    <row r="2374" spans="1:36" s="706" customFormat="1" ht="12" customHeight="1" x14ac:dyDescent="0.25">
      <c r="A2374" s="405" t="s">
        <v>12181</v>
      </c>
      <c r="B2374" s="406" t="s">
        <v>12181</v>
      </c>
      <c r="C2374" s="565">
        <v>3.07</v>
      </c>
      <c r="D2374" s="407" t="s">
        <v>12265</v>
      </c>
      <c r="E2374" s="315" t="s">
        <v>12266</v>
      </c>
      <c r="F2374" s="169">
        <v>41944</v>
      </c>
      <c r="G2374" s="170"/>
      <c r="H2374" s="170">
        <v>1</v>
      </c>
      <c r="I2374" s="752">
        <f t="shared" si="52"/>
        <v>2.0833333333333332E-2</v>
      </c>
      <c r="J2374" s="899" t="s">
        <v>4706</v>
      </c>
      <c r="K2374" s="167" t="s">
        <v>12188</v>
      </c>
      <c r="L2374" s="167" t="s">
        <v>179</v>
      </c>
      <c r="M2374" s="167"/>
      <c r="N2374" s="167"/>
      <c r="O2374" s="167" t="s">
        <v>179</v>
      </c>
      <c r="P2374" s="168" t="s">
        <v>12286</v>
      </c>
      <c r="Q2374" s="167" t="s">
        <v>3947</v>
      </c>
      <c r="R2374" s="172" t="s">
        <v>12184</v>
      </c>
      <c r="S2374" s="388"/>
      <c r="T2374" s="168"/>
      <c r="U2374" s="168" t="s">
        <v>12185</v>
      </c>
      <c r="V2374" s="168"/>
      <c r="W2374" s="315" t="s">
        <v>12266</v>
      </c>
      <c r="X2374" s="647" t="s">
        <v>15937</v>
      </c>
      <c r="Y2374" s="352" t="s">
        <v>11456</v>
      </c>
      <c r="Z2374" s="353"/>
      <c r="AA2374" s="353"/>
      <c r="AB2374" s="31">
        <f t="shared" ca="1" si="53"/>
        <v>0.75481966384859178</v>
      </c>
      <c r="AC2374" s="810"/>
      <c r="AD2374" s="846">
        <v>2014</v>
      </c>
      <c r="AE2374" s="940"/>
      <c r="AF2374" s="920">
        <f>IF(X2374=X2373,AF2373,0)+IF(ISNUMBER(I2374),IF(I2374&lt;1,I2374,I2374*VLOOKUP(J2374,Summary!$H$2:$I$9,2)),VLOOKUP(J2374,Summary!$J$2:$K$9,2)*IF(ISNUMBER(H2374),H2374,1))</f>
        <v>0.47944444444444434</v>
      </c>
      <c r="AG2374" s="287">
        <v>2373</v>
      </c>
      <c r="AH2374" s="705"/>
      <c r="AI2374" s="705"/>
    </row>
    <row r="2375" spans="1:36" s="706" customFormat="1" ht="12" customHeight="1" x14ac:dyDescent="0.25">
      <c r="A2375" s="405" t="s">
        <v>12181</v>
      </c>
      <c r="B2375" s="406" t="s">
        <v>12181</v>
      </c>
      <c r="C2375" s="565">
        <v>3.08</v>
      </c>
      <c r="D2375" s="407" t="s">
        <v>12267</v>
      </c>
      <c r="E2375" s="315" t="s">
        <v>12268</v>
      </c>
      <c r="F2375" s="169">
        <v>41944</v>
      </c>
      <c r="G2375" s="170"/>
      <c r="H2375" s="170">
        <v>1</v>
      </c>
      <c r="I2375" s="752">
        <f t="shared" si="52"/>
        <v>2.0833333333333332E-2</v>
      </c>
      <c r="J2375" s="899" t="s">
        <v>4706</v>
      </c>
      <c r="K2375" s="167" t="s">
        <v>12188</v>
      </c>
      <c r="L2375" s="167" t="s">
        <v>179</v>
      </c>
      <c r="M2375" s="167"/>
      <c r="N2375" s="167"/>
      <c r="O2375" s="167" t="s">
        <v>179</v>
      </c>
      <c r="P2375" s="168" t="s">
        <v>12286</v>
      </c>
      <c r="Q2375" s="167" t="s">
        <v>3947</v>
      </c>
      <c r="R2375" s="172" t="s">
        <v>12184</v>
      </c>
      <c r="S2375" s="388"/>
      <c r="T2375" s="168"/>
      <c r="U2375" s="168" t="s">
        <v>12185</v>
      </c>
      <c r="V2375" s="168"/>
      <c r="W2375" s="315" t="s">
        <v>12268</v>
      </c>
      <c r="X2375" s="647" t="s">
        <v>15937</v>
      </c>
      <c r="Y2375" s="352" t="s">
        <v>11456</v>
      </c>
      <c r="Z2375" s="353"/>
      <c r="AA2375" s="353"/>
      <c r="AB2375" s="31">
        <f t="shared" ca="1" si="53"/>
        <v>0.63099140988648639</v>
      </c>
      <c r="AC2375" s="810"/>
      <c r="AD2375" s="846">
        <v>2014</v>
      </c>
      <c r="AE2375" s="940"/>
      <c r="AF2375" s="920">
        <f>IF(X2375=X2374,AF2374,0)+IF(ISNUMBER(I2375),IF(I2375&lt;1,I2375,I2375*VLOOKUP(J2375,Summary!$H$2:$I$9,2)),VLOOKUP(J2375,Summary!$J$2:$K$9,2)*IF(ISNUMBER(H2375),H2375,1))</f>
        <v>0.50027777777777771</v>
      </c>
      <c r="AG2375" s="287">
        <v>2374</v>
      </c>
      <c r="AH2375" s="705"/>
      <c r="AI2375" s="705"/>
    </row>
    <row r="2376" spans="1:36" s="706" customFormat="1" ht="12" customHeight="1" x14ac:dyDescent="0.25">
      <c r="A2376" s="405" t="s">
        <v>12181</v>
      </c>
      <c r="B2376" s="406" t="s">
        <v>12181</v>
      </c>
      <c r="C2376" s="565">
        <v>4.09</v>
      </c>
      <c r="D2376" s="407" t="s">
        <v>12269</v>
      </c>
      <c r="E2376" s="315" t="s">
        <v>12270</v>
      </c>
      <c r="F2376" s="169">
        <v>42339</v>
      </c>
      <c r="G2376" s="170"/>
      <c r="H2376" s="170">
        <v>1</v>
      </c>
      <c r="I2376" s="747">
        <f>TIME(0,60,0)</f>
        <v>4.1666666666666664E-2</v>
      </c>
      <c r="J2376" s="899" t="s">
        <v>4706</v>
      </c>
      <c r="K2376" s="167" t="s">
        <v>12271</v>
      </c>
      <c r="L2376" s="167" t="s">
        <v>179</v>
      </c>
      <c r="M2376" s="167"/>
      <c r="N2376" s="167"/>
      <c r="O2376" s="167" t="s">
        <v>179</v>
      </c>
      <c r="P2376" s="168" t="s">
        <v>12282</v>
      </c>
      <c r="Q2376" s="167" t="s">
        <v>3947</v>
      </c>
      <c r="R2376" s="172" t="s">
        <v>12184</v>
      </c>
      <c r="S2376" s="388"/>
      <c r="T2376" s="168"/>
      <c r="U2376" s="168" t="s">
        <v>12185</v>
      </c>
      <c r="V2376" s="168"/>
      <c r="W2376" s="315" t="s">
        <v>12270</v>
      </c>
      <c r="X2376" s="647" t="s">
        <v>15937</v>
      </c>
      <c r="Y2376" s="352"/>
      <c r="Z2376" s="353"/>
      <c r="AA2376" s="353"/>
      <c r="AB2376" s="31">
        <f t="shared" ca="1" si="53"/>
        <v>0.30483622873817939</v>
      </c>
      <c r="AC2376" s="810"/>
      <c r="AD2376" s="846">
        <v>2015</v>
      </c>
      <c r="AE2376" s="940"/>
      <c r="AF2376" s="920">
        <f>IF(X2376=X2375,AF2375,0)+IF(ISNUMBER(I2376),IF(I2376&lt;1,I2376,I2376*VLOOKUP(J2376,Summary!$H$2:$I$9,2)),VLOOKUP(J2376,Summary!$J$2:$K$9,2)*IF(ISNUMBER(H2376),H2376,1))</f>
        <v>0.54194444444444434</v>
      </c>
      <c r="AG2376" s="287">
        <v>2375</v>
      </c>
      <c r="AH2376" s="705"/>
      <c r="AI2376" s="705"/>
    </row>
    <row r="2377" spans="1:36" s="706" customFormat="1" ht="12" customHeight="1" x14ac:dyDescent="0.25">
      <c r="A2377" s="405" t="s">
        <v>12181</v>
      </c>
      <c r="B2377" s="406" t="s">
        <v>12181</v>
      </c>
      <c r="C2377" s="565">
        <v>4.0999999999999996</v>
      </c>
      <c r="D2377" s="407" t="s">
        <v>12272</v>
      </c>
      <c r="E2377" s="315" t="s">
        <v>12273</v>
      </c>
      <c r="F2377" s="169">
        <v>42339</v>
      </c>
      <c r="G2377" s="170"/>
      <c r="H2377" s="170">
        <v>1</v>
      </c>
      <c r="I2377" s="747">
        <f>TIME(0,60,0)</f>
        <v>4.1666666666666664E-2</v>
      </c>
      <c r="J2377" s="899" t="s">
        <v>4706</v>
      </c>
      <c r="K2377" s="167" t="s">
        <v>12274</v>
      </c>
      <c r="L2377" s="167" t="s">
        <v>179</v>
      </c>
      <c r="M2377" s="167"/>
      <c r="N2377" s="167"/>
      <c r="O2377" s="167" t="s">
        <v>179</v>
      </c>
      <c r="P2377" s="168" t="s">
        <v>12282</v>
      </c>
      <c r="Q2377" s="167" t="s">
        <v>3947</v>
      </c>
      <c r="R2377" s="172" t="s">
        <v>12184</v>
      </c>
      <c r="S2377" s="388"/>
      <c r="T2377" s="168"/>
      <c r="U2377" s="168" t="s">
        <v>12185</v>
      </c>
      <c r="V2377" s="168"/>
      <c r="W2377" s="315" t="s">
        <v>12273</v>
      </c>
      <c r="X2377" s="647" t="s">
        <v>15937</v>
      </c>
      <c r="Y2377" s="352"/>
      <c r="Z2377" s="353"/>
      <c r="AA2377" s="353"/>
      <c r="AB2377" s="31">
        <f t="shared" ca="1" si="53"/>
        <v>0.4472856634776925</v>
      </c>
      <c r="AC2377" s="810"/>
      <c r="AD2377" s="846">
        <v>2015</v>
      </c>
      <c r="AE2377" s="940"/>
      <c r="AF2377" s="920">
        <f>IF(X2377=X2376,AF2376,0)+IF(ISNUMBER(I2377),IF(I2377&lt;1,I2377,I2377*VLOOKUP(J2377,Summary!$H$2:$I$9,2)),VLOOKUP(J2377,Summary!$J$2:$K$9,2)*IF(ISNUMBER(H2377),H2377,1))</f>
        <v>0.58361111111111097</v>
      </c>
      <c r="AG2377" s="287">
        <v>2376</v>
      </c>
      <c r="AH2377" s="705"/>
      <c r="AI2377" s="705"/>
    </row>
    <row r="2378" spans="1:36" s="706" customFormat="1" ht="12" customHeight="1" x14ac:dyDescent="0.25">
      <c r="A2378" s="405" t="s">
        <v>12181</v>
      </c>
      <c r="B2378" s="406" t="s">
        <v>12181</v>
      </c>
      <c r="C2378" s="565">
        <v>5.04</v>
      </c>
      <c r="D2378" s="407" t="s">
        <v>12275</v>
      </c>
      <c r="E2378" s="315" t="s">
        <v>12276</v>
      </c>
      <c r="F2378" s="169">
        <v>42644</v>
      </c>
      <c r="G2378" s="170"/>
      <c r="H2378" s="170">
        <v>1</v>
      </c>
      <c r="I2378" s="747">
        <f>TIME(0,60,0)</f>
        <v>4.1666666666666664E-2</v>
      </c>
      <c r="J2378" s="899" t="s">
        <v>4706</v>
      </c>
      <c r="K2378" s="167" t="s">
        <v>12188</v>
      </c>
      <c r="L2378" s="167" t="s">
        <v>179</v>
      </c>
      <c r="M2378" s="167"/>
      <c r="N2378" s="167"/>
      <c r="O2378" s="167" t="s">
        <v>179</v>
      </c>
      <c r="P2378" s="168" t="s">
        <v>12281</v>
      </c>
      <c r="Q2378" s="167" t="s">
        <v>3947</v>
      </c>
      <c r="R2378" s="172" t="s">
        <v>12184</v>
      </c>
      <c r="S2378" s="388"/>
      <c r="T2378" s="168"/>
      <c r="U2378" s="168" t="s">
        <v>12185</v>
      </c>
      <c r="V2378" s="168"/>
      <c r="W2378" s="315" t="s">
        <v>12276</v>
      </c>
      <c r="X2378" s="647" t="s">
        <v>15937</v>
      </c>
      <c r="Y2378" s="352"/>
      <c r="Z2378" s="353"/>
      <c r="AA2378" s="353"/>
      <c r="AB2378" s="31">
        <f t="shared" ca="1" si="53"/>
        <v>0.53878258831660686</v>
      </c>
      <c r="AC2378" s="810"/>
      <c r="AD2378" s="846">
        <v>2016</v>
      </c>
      <c r="AE2378" s="940"/>
      <c r="AF2378" s="920">
        <f>IF(X2378=X2377,AF2377,0)+IF(ISNUMBER(I2378),IF(I2378&lt;1,I2378,I2378*VLOOKUP(J2378,Summary!$H$2:$I$9,2)),VLOOKUP(J2378,Summary!$J$2:$K$9,2)*IF(ISNUMBER(H2378),H2378,1))</f>
        <v>0.6252777777777776</v>
      </c>
      <c r="AG2378" s="287">
        <v>2377</v>
      </c>
      <c r="AH2378" s="705"/>
      <c r="AI2378" s="705"/>
    </row>
    <row r="2379" spans="1:36" s="1" customFormat="1" ht="12" customHeight="1" x14ac:dyDescent="0.25">
      <c r="A2379" s="538" t="s">
        <v>2935</v>
      </c>
      <c r="B2379" s="538">
        <v>7</v>
      </c>
      <c r="C2379" s="538">
        <v>144</v>
      </c>
      <c r="D2379" s="424" t="s">
        <v>2936</v>
      </c>
      <c r="E2379" s="319" t="s">
        <v>2937</v>
      </c>
      <c r="F2379" s="198">
        <v>32027</v>
      </c>
      <c r="G2379" s="198">
        <v>32048</v>
      </c>
      <c r="H2379" s="199">
        <v>4</v>
      </c>
      <c r="I2379" s="791">
        <f>TIME(0,24,44)+TIME(0,24,36)+TIME(0,24,23)+TIME(0,24,38)</f>
        <v>6.8298611111111115E-2</v>
      </c>
      <c r="J2379" s="904" t="s">
        <v>1588</v>
      </c>
      <c r="K2379" s="200" t="s">
        <v>4679</v>
      </c>
      <c r="L2379" s="200" t="s">
        <v>2938</v>
      </c>
      <c r="M2379" s="200"/>
      <c r="N2379" s="200" t="s">
        <v>2939</v>
      </c>
      <c r="O2379" s="200" t="s">
        <v>6962</v>
      </c>
      <c r="P2379" s="197" t="s">
        <v>461</v>
      </c>
      <c r="Q2379" s="200" t="s">
        <v>3946</v>
      </c>
      <c r="R2379" s="201" t="s">
        <v>5280</v>
      </c>
      <c r="S2379" s="390"/>
      <c r="T2379" s="197" t="s">
        <v>2321</v>
      </c>
      <c r="U2379" s="197"/>
      <c r="V2379" s="197"/>
      <c r="W2379" s="318" t="s">
        <v>8730</v>
      </c>
      <c r="X2379" s="650" t="s">
        <v>12339</v>
      </c>
      <c r="Y2379" s="358" t="s">
        <v>6141</v>
      </c>
      <c r="Z2379" s="253">
        <v>317</v>
      </c>
      <c r="AA2379" s="253">
        <v>1</v>
      </c>
      <c r="AB2379" s="35">
        <f t="shared" ca="1" si="53"/>
        <v>0.60938718197979058</v>
      </c>
      <c r="AC2379" s="820"/>
      <c r="AD2379" s="821" t="s">
        <v>15834</v>
      </c>
      <c r="AE2379" s="944" t="s">
        <v>3365</v>
      </c>
      <c r="AF2379" s="925">
        <f>IF(X2379=X2378,AF2378,0)+IF(ISNUMBER(I2379),IF(I2379&lt;1,I2379,I2379*VLOOKUP(J2379,Summary!$H$2:$I$9,2)),VLOOKUP(J2379,Summary!$J$2:$K$9,2)*IF(ISNUMBER(H2379),H2379,1))</f>
        <v>6.8298611111111115E-2</v>
      </c>
      <c r="AG2379" s="293">
        <v>2378</v>
      </c>
      <c r="AH2379" s="94"/>
      <c r="AI2379" s="94"/>
      <c r="AJ2379" s="2"/>
    </row>
    <row r="2380" spans="1:36" s="43" customFormat="1" ht="12" customHeight="1" x14ac:dyDescent="0.25">
      <c r="A2380" s="405"/>
      <c r="B2380" s="406" t="s">
        <v>2650</v>
      </c>
      <c r="C2380" s="405">
        <v>3.08</v>
      </c>
      <c r="D2380" s="407" t="s">
        <v>5484</v>
      </c>
      <c r="E2380" s="315" t="s">
        <v>5485</v>
      </c>
      <c r="F2380" s="169">
        <v>36831</v>
      </c>
      <c r="G2380" s="170"/>
      <c r="H2380" s="170"/>
      <c r="I2380" s="747">
        <f>TIME(0,60,0)</f>
        <v>4.1666666666666664E-2</v>
      </c>
      <c r="J2380" s="899" t="s">
        <v>4706</v>
      </c>
      <c r="K2380" s="167" t="s">
        <v>4679</v>
      </c>
      <c r="L2380" s="167" t="s">
        <v>4640</v>
      </c>
      <c r="M2380" s="167"/>
      <c r="N2380" s="167"/>
      <c r="O2380" s="167" t="s">
        <v>4640</v>
      </c>
      <c r="P2380" s="168" t="s">
        <v>461</v>
      </c>
      <c r="Q2380" s="167" t="s">
        <v>603</v>
      </c>
      <c r="R2380" s="172" t="s">
        <v>5481</v>
      </c>
      <c r="S2380" s="388"/>
      <c r="T2380" s="168"/>
      <c r="U2380" s="168"/>
      <c r="V2380" s="168"/>
      <c r="W2380" s="312"/>
      <c r="X2380" s="644" t="s">
        <v>12339</v>
      </c>
      <c r="Y2380" s="352"/>
      <c r="Z2380" s="353"/>
      <c r="AA2380" s="353"/>
      <c r="AB2380" s="31">
        <f t="shared" ca="1" si="53"/>
        <v>0.68169706647009876</v>
      </c>
      <c r="AC2380" s="810"/>
      <c r="AD2380" s="811" t="s">
        <v>15834</v>
      </c>
      <c r="AE2380" s="940" t="s">
        <v>3365</v>
      </c>
      <c r="AF2380" s="920">
        <f>IF(X2380=X2379,AF2379,0)+IF(ISNUMBER(I2380),IF(I2380&lt;1,I2380,I2380*VLOOKUP(J2380,Summary!$H$2:$I$9,2)),VLOOKUP(J2380,Summary!$J$2:$K$9,2)*IF(ISNUMBER(H2380),H2380,1))</f>
        <v>0.10996527777777779</v>
      </c>
      <c r="AG2380" s="287">
        <v>2379</v>
      </c>
      <c r="AH2380" s="94"/>
      <c r="AI2380" s="94"/>
      <c r="AJ2380" s="6"/>
    </row>
    <row r="2381" spans="1:36" s="1" customFormat="1" ht="12" customHeight="1" x14ac:dyDescent="0.25">
      <c r="A2381" s="539">
        <v>24</v>
      </c>
      <c r="B2381" s="539">
        <v>7</v>
      </c>
      <c r="C2381" s="540">
        <v>15</v>
      </c>
      <c r="D2381" s="176" t="s">
        <v>3583</v>
      </c>
      <c r="E2381" s="313" t="s">
        <v>3584</v>
      </c>
      <c r="F2381" s="175">
        <v>33793</v>
      </c>
      <c r="G2381" s="174"/>
      <c r="H2381" s="176">
        <v>1</v>
      </c>
      <c r="I2381" s="176">
        <v>1</v>
      </c>
      <c r="J2381" s="900" t="s">
        <v>2755</v>
      </c>
      <c r="K2381" s="164" t="s">
        <v>7800</v>
      </c>
      <c r="L2381" s="164" t="s">
        <v>3575</v>
      </c>
      <c r="M2381" s="164"/>
      <c r="N2381" s="164" t="s">
        <v>7375</v>
      </c>
      <c r="O2381" s="164"/>
      <c r="P2381" s="173" t="s">
        <v>461</v>
      </c>
      <c r="Q2381" s="164" t="s">
        <v>4062</v>
      </c>
      <c r="R2381" s="177" t="s">
        <v>4599</v>
      </c>
      <c r="S2381" s="354"/>
      <c r="T2381" s="173"/>
      <c r="U2381" s="173"/>
      <c r="V2381" s="173"/>
      <c r="W2381" s="313" t="s">
        <v>3584</v>
      </c>
      <c r="X2381" s="645" t="s">
        <v>12339</v>
      </c>
      <c r="Y2381" s="354"/>
      <c r="Z2381" s="176"/>
      <c r="AA2381" s="176"/>
      <c r="AB2381" s="32">
        <f t="shared" ca="1" si="53"/>
        <v>0.39621459417318794</v>
      </c>
      <c r="AC2381" s="812"/>
      <c r="AD2381" s="763"/>
      <c r="AE2381" s="807"/>
      <c r="AF2381" s="921">
        <f>IF(X2381=X2380,AF2380,0)+IF(ISNUMBER(I2381),IF(I2381&lt;1,I2381,I2381*VLOOKUP(J2381,Summary!$H$2:$I$9,2)),VLOOKUP(J2381,Summary!$J$2:$K$9,2)*IF(ISNUMBER(H2381),H2381,1))</f>
        <v>0.11065972222222223</v>
      </c>
      <c r="AG2381" s="289">
        <v>2380</v>
      </c>
      <c r="AH2381" s="94"/>
      <c r="AI2381" s="94"/>
      <c r="AJ2381" s="2"/>
    </row>
    <row r="2382" spans="1:36" s="1" customFormat="1" ht="12" customHeight="1" x14ac:dyDescent="0.25">
      <c r="A2382" s="541" t="s">
        <v>2935</v>
      </c>
      <c r="B2382" s="541">
        <v>7</v>
      </c>
      <c r="C2382" s="541">
        <v>70</v>
      </c>
      <c r="D2382" s="407" t="s">
        <v>2940</v>
      </c>
      <c r="E2382" s="315" t="s">
        <v>2941</v>
      </c>
      <c r="F2382" s="169">
        <v>38504</v>
      </c>
      <c r="G2382" s="170"/>
      <c r="H2382" s="170">
        <v>4</v>
      </c>
      <c r="I2382" s="746">
        <f>TIME(1,48,11)</f>
        <v>7.5127314814814813E-2</v>
      </c>
      <c r="J2382" s="899" t="s">
        <v>4706</v>
      </c>
      <c r="K2382" s="167" t="s">
        <v>6234</v>
      </c>
      <c r="L2382" s="167" t="s">
        <v>6231</v>
      </c>
      <c r="M2382" s="167"/>
      <c r="N2382" s="167"/>
      <c r="O2382" s="167" t="s">
        <v>2909</v>
      </c>
      <c r="P2382" s="168" t="s">
        <v>12967</v>
      </c>
      <c r="Q2382" s="167" t="s">
        <v>3947</v>
      </c>
      <c r="R2382" s="172" t="s">
        <v>3146</v>
      </c>
      <c r="S2382" s="388"/>
      <c r="T2382" s="168" t="s">
        <v>2321</v>
      </c>
      <c r="U2382" s="168"/>
      <c r="V2382" s="168"/>
      <c r="W2382" s="312" t="s">
        <v>9317</v>
      </c>
      <c r="X2382" s="644" t="s">
        <v>12339</v>
      </c>
      <c r="Y2382" s="352" t="s">
        <v>5398</v>
      </c>
      <c r="Z2382" s="353">
        <v>614</v>
      </c>
      <c r="AA2382" s="353">
        <v>3.5</v>
      </c>
      <c r="AB2382" s="31">
        <f t="shared" ca="1" si="53"/>
        <v>0.21548840617019305</v>
      </c>
      <c r="AC2382" s="810"/>
      <c r="AD2382" s="811"/>
      <c r="AE2382" s="940"/>
      <c r="AF2382" s="920">
        <f>IF(X2382=X2381,AF2381,0)+IF(ISNUMBER(I2382),IF(I2382&lt;1,I2382,I2382*VLOOKUP(J2382,Summary!$H$2:$I$9,2)),VLOOKUP(J2382,Summary!$J$2:$K$9,2)*IF(ISNUMBER(H2382),H2382,1))</f>
        <v>0.18578703703703703</v>
      </c>
      <c r="AG2382" s="287">
        <v>2381</v>
      </c>
      <c r="AH2382" s="94"/>
      <c r="AI2382" s="94"/>
      <c r="AJ2382" s="2"/>
    </row>
    <row r="2383" spans="1:36" s="1" customFormat="1" ht="12" customHeight="1" x14ac:dyDescent="0.25">
      <c r="A2383" s="539" t="s">
        <v>2935</v>
      </c>
      <c r="B2383" s="539">
        <v>7</v>
      </c>
      <c r="C2383" s="542">
        <v>13.06</v>
      </c>
      <c r="D2383" s="176" t="s">
        <v>3462</v>
      </c>
      <c r="E2383" s="313" t="s">
        <v>4830</v>
      </c>
      <c r="F2383" s="174">
        <v>38261</v>
      </c>
      <c r="G2383" s="174"/>
      <c r="H2383" s="176">
        <v>1</v>
      </c>
      <c r="I2383" s="176">
        <v>10</v>
      </c>
      <c r="J2383" s="900" t="s">
        <v>2755</v>
      </c>
      <c r="K2383" s="164" t="s">
        <v>4944</v>
      </c>
      <c r="L2383" s="164" t="s">
        <v>461</v>
      </c>
      <c r="M2383" s="164"/>
      <c r="N2383" s="164" t="s">
        <v>4996</v>
      </c>
      <c r="O2383" s="164"/>
      <c r="P2383" s="173" t="s">
        <v>1945</v>
      </c>
      <c r="Q2383" s="164" t="s">
        <v>3947</v>
      </c>
      <c r="R2383" s="177" t="s">
        <v>2723</v>
      </c>
      <c r="S2383" s="354"/>
      <c r="T2383" s="173" t="s">
        <v>2321</v>
      </c>
      <c r="U2383" s="173"/>
      <c r="V2383" s="173"/>
      <c r="W2383" s="313" t="s">
        <v>4830</v>
      </c>
      <c r="X2383" s="645" t="s">
        <v>12339</v>
      </c>
      <c r="Y2383" s="354"/>
      <c r="Z2383" s="176"/>
      <c r="AA2383" s="176"/>
      <c r="AB2383" s="32">
        <f t="shared" ca="1" si="53"/>
        <v>5.6181323018962614E-2</v>
      </c>
      <c r="AC2383" s="812"/>
      <c r="AD2383" s="763"/>
      <c r="AE2383" s="807"/>
      <c r="AF2383" s="921">
        <f>IF(X2383=X2382,AF2382,0)+IF(ISNUMBER(I2383),IF(I2383&lt;1,I2383,I2383*VLOOKUP(J2383,Summary!$H$2:$I$9,2)),VLOOKUP(J2383,Summary!$J$2:$K$9,2)*IF(ISNUMBER(H2383),H2383,1))</f>
        <v>0.19273148148148148</v>
      </c>
      <c r="AG2383" s="289">
        <v>2382</v>
      </c>
      <c r="AH2383" s="94"/>
      <c r="AI2383" s="94"/>
      <c r="AJ2383" s="2"/>
    </row>
    <row r="2384" spans="1:36" s="1" customFormat="1" ht="12" customHeight="1" x14ac:dyDescent="0.25">
      <c r="A2384" s="538" t="s">
        <v>2935</v>
      </c>
      <c r="B2384" s="538">
        <v>7</v>
      </c>
      <c r="C2384" s="538">
        <v>145</v>
      </c>
      <c r="D2384" s="424" t="s">
        <v>2944</v>
      </c>
      <c r="E2384" s="319" t="s">
        <v>2945</v>
      </c>
      <c r="F2384" s="198">
        <v>32055</v>
      </c>
      <c r="G2384" s="198">
        <v>32076</v>
      </c>
      <c r="H2384" s="199">
        <v>4</v>
      </c>
      <c r="I2384" s="791">
        <f>TIME(0,24,33)+TIME(0,24,39)+TIME(0,24,30)+TIME(0,24,21)</f>
        <v>6.8090277777777777E-2</v>
      </c>
      <c r="J2384" s="904" t="s">
        <v>1588</v>
      </c>
      <c r="K2384" s="200" t="s">
        <v>2946</v>
      </c>
      <c r="L2384" s="200" t="s">
        <v>220</v>
      </c>
      <c r="M2384" s="200"/>
      <c r="N2384" s="200" t="s">
        <v>2939</v>
      </c>
      <c r="O2384" s="200" t="s">
        <v>6962</v>
      </c>
      <c r="P2384" s="197" t="s">
        <v>461</v>
      </c>
      <c r="Q2384" s="200" t="s">
        <v>3946</v>
      </c>
      <c r="R2384" s="201" t="s">
        <v>5280</v>
      </c>
      <c r="S2384" s="390"/>
      <c r="T2384" s="197" t="s">
        <v>2321</v>
      </c>
      <c r="U2384" s="197"/>
      <c r="V2384" s="197"/>
      <c r="W2384" s="318" t="s">
        <v>9654</v>
      </c>
      <c r="X2384" s="650" t="s">
        <v>12339</v>
      </c>
      <c r="Y2384" s="358" t="s">
        <v>6141</v>
      </c>
      <c r="Z2384" s="253">
        <v>18</v>
      </c>
      <c r="AA2384" s="253">
        <v>9.5</v>
      </c>
      <c r="AB2384" s="35">
        <f t="shared" ca="1" si="53"/>
        <v>0.39279231618977528</v>
      </c>
      <c r="AC2384" s="820"/>
      <c r="AD2384" s="821" t="s">
        <v>16111</v>
      </c>
      <c r="AE2384" s="944" t="s">
        <v>12543</v>
      </c>
      <c r="AF2384" s="925">
        <f>IF(X2384=X2383,AF2383,0)+IF(ISNUMBER(I2384),IF(I2384&lt;1,I2384,I2384*VLOOKUP(J2384,Summary!$H$2:$I$9,2)),VLOOKUP(J2384,Summary!$J$2:$K$9,2)*IF(ISNUMBER(H2384),H2384,1))</f>
        <v>0.26082175925925927</v>
      </c>
      <c r="AG2384" s="293">
        <v>2383</v>
      </c>
      <c r="AH2384" s="94"/>
      <c r="AI2384" s="94"/>
      <c r="AJ2384" s="2"/>
    </row>
    <row r="2385" spans="1:36" s="1" customFormat="1" ht="12" customHeight="1" x14ac:dyDescent="0.25">
      <c r="A2385" s="539" t="s">
        <v>2935</v>
      </c>
      <c r="B2385" s="539">
        <v>7</v>
      </c>
      <c r="C2385" s="542">
        <v>25.08</v>
      </c>
      <c r="D2385" s="176" t="s">
        <v>3463</v>
      </c>
      <c r="E2385" s="313" t="s">
        <v>4828</v>
      </c>
      <c r="F2385" s="174">
        <v>39417</v>
      </c>
      <c r="G2385" s="174"/>
      <c r="H2385" s="176">
        <v>1</v>
      </c>
      <c r="I2385" s="176">
        <v>13</v>
      </c>
      <c r="J2385" s="900" t="s">
        <v>2755</v>
      </c>
      <c r="K2385" s="164" t="s">
        <v>7381</v>
      </c>
      <c r="L2385" s="164" t="s">
        <v>461</v>
      </c>
      <c r="M2385" s="164"/>
      <c r="N2385" s="164" t="s">
        <v>5146</v>
      </c>
      <c r="O2385" s="164"/>
      <c r="P2385" s="173" t="s">
        <v>6701</v>
      </c>
      <c r="Q2385" s="164" t="s">
        <v>3947</v>
      </c>
      <c r="R2385" s="177" t="s">
        <v>2723</v>
      </c>
      <c r="S2385" s="354"/>
      <c r="T2385" s="173" t="s">
        <v>2321</v>
      </c>
      <c r="U2385" s="173"/>
      <c r="V2385" s="173"/>
      <c r="W2385" s="313" t="s">
        <v>4828</v>
      </c>
      <c r="X2385" s="645" t="s">
        <v>12339</v>
      </c>
      <c r="Y2385" s="354"/>
      <c r="Z2385" s="176"/>
      <c r="AA2385" s="176"/>
      <c r="AB2385" s="32">
        <f t="shared" ca="1" si="53"/>
        <v>0.69803885496802931</v>
      </c>
      <c r="AC2385" s="812"/>
      <c r="AD2385" s="763"/>
      <c r="AE2385" s="807"/>
      <c r="AF2385" s="921">
        <f>IF(X2385=X2384,AF2384,0)+IF(ISNUMBER(I2385),IF(I2385&lt;1,I2385,I2385*VLOOKUP(J2385,Summary!$H$2:$I$9,2)),VLOOKUP(J2385,Summary!$J$2:$K$9,2)*IF(ISNUMBER(H2385),H2385,1))</f>
        <v>0.26984953703703707</v>
      </c>
      <c r="AG2385" s="289">
        <v>2384</v>
      </c>
      <c r="AH2385" s="94"/>
      <c r="AI2385" s="94"/>
      <c r="AJ2385" s="2"/>
    </row>
    <row r="2386" spans="1:36" s="1" customFormat="1" ht="12" customHeight="1" x14ac:dyDescent="0.25">
      <c r="A2386" s="541" t="s">
        <v>2935</v>
      </c>
      <c r="B2386" s="541">
        <v>7</v>
      </c>
      <c r="C2386" s="541">
        <v>39</v>
      </c>
      <c r="D2386" s="407" t="s">
        <v>2947</v>
      </c>
      <c r="E2386" s="315" t="s">
        <v>2532</v>
      </c>
      <c r="F2386" s="169">
        <v>37591</v>
      </c>
      <c r="G2386" s="170"/>
      <c r="H2386" s="170">
        <v>4</v>
      </c>
      <c r="I2386" s="746">
        <f>TIME(2,23,12)</f>
        <v>9.9444444444444446E-2</v>
      </c>
      <c r="J2386" s="899" t="s">
        <v>4706</v>
      </c>
      <c r="K2386" s="167" t="s">
        <v>6340</v>
      </c>
      <c r="L2386" s="167" t="s">
        <v>2910</v>
      </c>
      <c r="M2386" s="167"/>
      <c r="N2386" s="167"/>
      <c r="O2386" s="167" t="s">
        <v>2909</v>
      </c>
      <c r="P2386" s="168" t="s">
        <v>12968</v>
      </c>
      <c r="Q2386" s="167" t="s">
        <v>3947</v>
      </c>
      <c r="R2386" s="172" t="s">
        <v>3146</v>
      </c>
      <c r="S2386" s="388"/>
      <c r="T2386" s="168" t="s">
        <v>2321</v>
      </c>
      <c r="U2386" s="168"/>
      <c r="V2386" s="168"/>
      <c r="W2386" s="312" t="s">
        <v>8733</v>
      </c>
      <c r="X2386" s="644" t="s">
        <v>12339</v>
      </c>
      <c r="Y2386" s="352" t="s">
        <v>5643</v>
      </c>
      <c r="Z2386" s="353">
        <v>170</v>
      </c>
      <c r="AA2386" s="353">
        <v>6.5</v>
      </c>
      <c r="AB2386" s="31">
        <f t="shared" ca="1" si="53"/>
        <v>0.55725117280249825</v>
      </c>
      <c r="AC2386" s="810"/>
      <c r="AD2386" s="811" t="s">
        <v>16388</v>
      </c>
      <c r="AE2386" s="940" t="s">
        <v>3365</v>
      </c>
      <c r="AF2386" s="920">
        <f>IF(X2386=X2385,AF2385,0)+IF(ISNUMBER(I2386),IF(I2386&lt;1,I2386,I2386*VLOOKUP(J2386,Summary!$H$2:$I$9,2)),VLOOKUP(J2386,Summary!$J$2:$K$9,2)*IF(ISNUMBER(H2386),H2386,1))</f>
        <v>0.36929398148148151</v>
      </c>
      <c r="AG2386" s="287">
        <v>2385</v>
      </c>
      <c r="AH2386" s="94"/>
      <c r="AI2386" s="94"/>
      <c r="AJ2386" s="2"/>
    </row>
    <row r="2387" spans="1:36" s="2" customFormat="1" ht="12" customHeight="1" x14ac:dyDescent="0.25">
      <c r="A2387" s="539" t="s">
        <v>2935</v>
      </c>
      <c r="B2387" s="539">
        <v>7</v>
      </c>
      <c r="C2387" s="542">
        <v>4.1100000000000003</v>
      </c>
      <c r="D2387" s="176" t="s">
        <v>4514</v>
      </c>
      <c r="E2387" s="313" t="s">
        <v>4513</v>
      </c>
      <c r="F2387" s="174">
        <v>37591</v>
      </c>
      <c r="G2387" s="174"/>
      <c r="H2387" s="176">
        <v>1</v>
      </c>
      <c r="I2387" s="176">
        <v>13</v>
      </c>
      <c r="J2387" s="900" t="s">
        <v>2755</v>
      </c>
      <c r="K2387" s="164" t="s">
        <v>1482</v>
      </c>
      <c r="L2387" s="164" t="s">
        <v>461</v>
      </c>
      <c r="M2387" s="164"/>
      <c r="N2387" s="164" t="s">
        <v>4552</v>
      </c>
      <c r="O2387" s="164"/>
      <c r="P2387" s="173" t="s">
        <v>6556</v>
      </c>
      <c r="Q2387" s="164" t="s">
        <v>3947</v>
      </c>
      <c r="R2387" s="177" t="s">
        <v>2723</v>
      </c>
      <c r="S2387" s="354"/>
      <c r="T2387" s="173" t="s">
        <v>2321</v>
      </c>
      <c r="U2387" s="173"/>
      <c r="V2387" s="173"/>
      <c r="W2387" s="313" t="s">
        <v>4513</v>
      </c>
      <c r="X2387" s="645" t="s">
        <v>12339</v>
      </c>
      <c r="Y2387" s="354"/>
      <c r="Z2387" s="176"/>
      <c r="AA2387" s="176"/>
      <c r="AB2387" s="32">
        <f t="shared" ca="1" si="53"/>
        <v>0.50065986586051281</v>
      </c>
      <c r="AC2387" s="812"/>
      <c r="AD2387" s="763"/>
      <c r="AE2387" s="807"/>
      <c r="AF2387" s="921">
        <f>IF(X2387=X2386,AF2386,0)+IF(ISNUMBER(I2387),IF(I2387&lt;1,I2387,I2387*VLOOKUP(J2387,Summary!$H$2:$I$9,2)),VLOOKUP(J2387,Summary!$J$2:$K$9,2)*IF(ISNUMBER(H2387),H2387,1))</f>
        <v>0.37832175925925932</v>
      </c>
      <c r="AG2387" s="289">
        <v>2386</v>
      </c>
      <c r="AH2387" s="94"/>
      <c r="AI2387" s="94"/>
    </row>
    <row r="2388" spans="1:36" s="11" customFormat="1" ht="12" customHeight="1" x14ac:dyDescent="0.25">
      <c r="A2388" s="541" t="s">
        <v>2935</v>
      </c>
      <c r="B2388" s="541">
        <v>7</v>
      </c>
      <c r="C2388" s="541">
        <v>46</v>
      </c>
      <c r="D2388" s="407" t="s">
        <v>2533</v>
      </c>
      <c r="E2388" s="315" t="s">
        <v>2534</v>
      </c>
      <c r="F2388" s="169">
        <v>37803</v>
      </c>
      <c r="G2388" s="170"/>
      <c r="H2388" s="170">
        <v>4</v>
      </c>
      <c r="I2388" s="746">
        <f>TIME(1,7,48)+TIME(1,2,35)</f>
        <v>9.0543981481481489E-2</v>
      </c>
      <c r="J2388" s="899" t="s">
        <v>4706</v>
      </c>
      <c r="K2388" s="167" t="s">
        <v>177</v>
      </c>
      <c r="L2388" s="167" t="s">
        <v>7375</v>
      </c>
      <c r="M2388" s="167"/>
      <c r="N2388" s="167"/>
      <c r="O2388" s="167" t="s">
        <v>2909</v>
      </c>
      <c r="P2388" s="168" t="s">
        <v>12969</v>
      </c>
      <c r="Q2388" s="167" t="s">
        <v>3947</v>
      </c>
      <c r="R2388" s="172" t="s">
        <v>3146</v>
      </c>
      <c r="S2388" s="388"/>
      <c r="T2388" s="168" t="s">
        <v>2321</v>
      </c>
      <c r="U2388" s="168"/>
      <c r="V2388" s="168"/>
      <c r="W2388" s="312" t="s">
        <v>8672</v>
      </c>
      <c r="X2388" s="644" t="s">
        <v>12339</v>
      </c>
      <c r="Y2388" s="352" t="s">
        <v>5643</v>
      </c>
      <c r="Z2388" s="353">
        <v>187</v>
      </c>
      <c r="AA2388" s="353">
        <v>6</v>
      </c>
      <c r="AB2388" s="31">
        <f t="shared" ca="1" si="53"/>
        <v>0.26089729946954432</v>
      </c>
      <c r="AC2388" s="810"/>
      <c r="AD2388" s="811" t="s">
        <v>16341</v>
      </c>
      <c r="AE2388" s="940"/>
      <c r="AF2388" s="920">
        <f>IF(X2388=X2387,AF2387,0)+IF(ISNUMBER(I2388),IF(I2388&lt;1,I2388,I2388*VLOOKUP(J2388,Summary!$H$2:$I$9,2)),VLOOKUP(J2388,Summary!$J$2:$K$9,2)*IF(ISNUMBER(H2388),H2388,1))</f>
        <v>0.46886574074074083</v>
      </c>
      <c r="AG2388" s="287">
        <v>2387</v>
      </c>
      <c r="AH2388" s="94"/>
      <c r="AI2388" s="94"/>
      <c r="AJ2388" s="1"/>
    </row>
    <row r="2389" spans="1:36" s="1" customFormat="1" ht="12" customHeight="1" x14ac:dyDescent="0.25">
      <c r="A2389" s="541"/>
      <c r="B2389" s="541">
        <v>7</v>
      </c>
      <c r="C2389" s="541">
        <v>201</v>
      </c>
      <c r="D2389" s="407"/>
      <c r="E2389" s="315" t="s">
        <v>10285</v>
      </c>
      <c r="F2389" s="196">
        <v>42194</v>
      </c>
      <c r="G2389" s="170"/>
      <c r="H2389" s="170">
        <v>4</v>
      </c>
      <c r="I2389" s="746">
        <f>TIME(1,51,41)</f>
        <v>7.7557870370370374E-2</v>
      </c>
      <c r="J2389" s="899" t="s">
        <v>4706</v>
      </c>
      <c r="K2389" s="167" t="s">
        <v>177</v>
      </c>
      <c r="L2389" s="167" t="s">
        <v>2313</v>
      </c>
      <c r="M2389" s="167"/>
      <c r="N2389" s="167"/>
      <c r="O2389" s="167"/>
      <c r="P2389" s="168" t="s">
        <v>10295</v>
      </c>
      <c r="Q2389" s="167" t="s">
        <v>3947</v>
      </c>
      <c r="R2389" s="172" t="s">
        <v>3146</v>
      </c>
      <c r="S2389" s="388"/>
      <c r="T2389" s="168" t="s">
        <v>2321</v>
      </c>
      <c r="U2389" s="168"/>
      <c r="V2389" s="168"/>
      <c r="W2389" s="312" t="s">
        <v>14271</v>
      </c>
      <c r="X2389" s="644" t="s">
        <v>12339</v>
      </c>
      <c r="Y2389" s="352" t="s">
        <v>5643</v>
      </c>
      <c r="Z2389" s="353">
        <v>524</v>
      </c>
      <c r="AA2389" s="353">
        <v>4</v>
      </c>
      <c r="AB2389" s="31">
        <f t="shared" ca="1" si="53"/>
        <v>0.18238075509944773</v>
      </c>
      <c r="AC2389" s="810"/>
      <c r="AD2389" s="811"/>
      <c r="AE2389" s="940"/>
      <c r="AF2389" s="920">
        <f>IF(X2389=X2388,AF2388,0)+IF(ISNUMBER(I2389),IF(I2389&lt;1,I2389,I2389*VLOOKUP(J2389,Summary!$H$2:$I$9,2)),VLOOKUP(J2389,Summary!$J$2:$K$9,2)*IF(ISNUMBER(H2389),H2389,1))</f>
        <v>0.54642361111111115</v>
      </c>
      <c r="AG2389" s="287">
        <v>2388</v>
      </c>
      <c r="AH2389" s="94"/>
      <c r="AI2389" s="94"/>
      <c r="AJ2389" s="6"/>
    </row>
    <row r="2390" spans="1:36" s="43" customFormat="1" ht="12" customHeight="1" x14ac:dyDescent="0.25">
      <c r="A2390" s="541"/>
      <c r="B2390" s="541">
        <v>7</v>
      </c>
      <c r="C2390" s="541">
        <v>202</v>
      </c>
      <c r="D2390" s="407"/>
      <c r="E2390" s="315" t="s">
        <v>10284</v>
      </c>
      <c r="F2390" s="196">
        <v>42228</v>
      </c>
      <c r="G2390" s="170"/>
      <c r="H2390" s="170">
        <v>4</v>
      </c>
      <c r="I2390" s="746">
        <f>TIME(2,1,41)</f>
        <v>8.4502314814814808E-2</v>
      </c>
      <c r="J2390" s="899" t="s">
        <v>4706</v>
      </c>
      <c r="K2390" s="167" t="s">
        <v>1935</v>
      </c>
      <c r="L2390" s="167" t="s">
        <v>3296</v>
      </c>
      <c r="M2390" s="167"/>
      <c r="N2390" s="167"/>
      <c r="O2390" s="167"/>
      <c r="P2390" s="168" t="s">
        <v>10296</v>
      </c>
      <c r="Q2390" s="167" t="s">
        <v>3947</v>
      </c>
      <c r="R2390" s="172" t="s">
        <v>3146</v>
      </c>
      <c r="S2390" s="388"/>
      <c r="T2390" s="168" t="s">
        <v>2321</v>
      </c>
      <c r="U2390" s="168"/>
      <c r="V2390" s="168"/>
      <c r="W2390" s="312" t="s">
        <v>14272</v>
      </c>
      <c r="X2390" s="644" t="s">
        <v>12339</v>
      </c>
      <c r="Y2390" s="352" t="s">
        <v>5643</v>
      </c>
      <c r="Z2390" s="353">
        <v>171</v>
      </c>
      <c r="AA2390" s="353">
        <v>6.5</v>
      </c>
      <c r="AB2390" s="31">
        <f t="shared" ca="1" si="53"/>
        <v>0.13139493776998401</v>
      </c>
      <c r="AC2390" s="810"/>
      <c r="AD2390" s="811"/>
      <c r="AE2390" s="940"/>
      <c r="AF2390" s="920">
        <f>IF(X2390=X2389,AF2389,0)+IF(ISNUMBER(I2390),IF(I2390&lt;1,I2390,I2390*VLOOKUP(J2390,Summary!$H$2:$I$9,2)),VLOOKUP(J2390,Summary!$J$2:$K$9,2)*IF(ISNUMBER(H2390),H2390,1))</f>
        <v>0.630925925925926</v>
      </c>
      <c r="AG2390" s="287">
        <v>2389</v>
      </c>
      <c r="AH2390" s="94"/>
      <c r="AI2390" s="94"/>
    </row>
    <row r="2391" spans="1:36" s="29" customFormat="1" ht="12" customHeight="1" x14ac:dyDescent="0.25">
      <c r="A2391" s="541"/>
      <c r="B2391" s="541">
        <v>7</v>
      </c>
      <c r="C2391" s="541">
        <v>203</v>
      </c>
      <c r="D2391" s="407"/>
      <c r="E2391" s="315" t="s">
        <v>10283</v>
      </c>
      <c r="F2391" s="196">
        <v>42261</v>
      </c>
      <c r="G2391" s="170"/>
      <c r="H2391" s="170">
        <v>4</v>
      </c>
      <c r="I2391" s="746">
        <f>TIME(1,59,45)</f>
        <v>8.3159722222222218E-2</v>
      </c>
      <c r="J2391" s="899" t="s">
        <v>4706</v>
      </c>
      <c r="K2391" s="167" t="s">
        <v>10297</v>
      </c>
      <c r="L2391" s="167" t="s">
        <v>2313</v>
      </c>
      <c r="M2391" s="167"/>
      <c r="N2391" s="167"/>
      <c r="O2391" s="167"/>
      <c r="P2391" s="168" t="s">
        <v>10298</v>
      </c>
      <c r="Q2391" s="167" t="s">
        <v>3947</v>
      </c>
      <c r="R2391" s="172" t="s">
        <v>3146</v>
      </c>
      <c r="S2391" s="388"/>
      <c r="T2391" s="168" t="s">
        <v>2321</v>
      </c>
      <c r="U2391" s="168"/>
      <c r="V2391" s="168"/>
      <c r="W2391" s="312" t="s">
        <v>14273</v>
      </c>
      <c r="X2391" s="644" t="s">
        <v>12339</v>
      </c>
      <c r="Y2391" s="352" t="s">
        <v>5643</v>
      </c>
      <c r="Z2391" s="353">
        <v>497</v>
      </c>
      <c r="AA2391" s="353">
        <v>4</v>
      </c>
      <c r="AB2391" s="31">
        <f t="shared" ca="1" si="53"/>
        <v>0.37494047384362428</v>
      </c>
      <c r="AC2391" s="810"/>
      <c r="AD2391" s="811"/>
      <c r="AE2391" s="940"/>
      <c r="AF2391" s="920">
        <f>IF(X2391=X2390,AF2390,0)+IF(ISNUMBER(I2391),IF(I2391&lt;1,I2391,I2391*VLOOKUP(J2391,Summary!$H$2:$I$9,2)),VLOOKUP(J2391,Summary!$J$2:$K$9,2)*IF(ISNUMBER(H2391),H2391,1))</f>
        <v>0.71408564814814823</v>
      </c>
      <c r="AG2391" s="287">
        <v>2390</v>
      </c>
      <c r="AH2391" s="94"/>
      <c r="AI2391" s="94"/>
      <c r="AJ2391" s="6"/>
    </row>
    <row r="2392" spans="1:36" s="22" customFormat="1" ht="12" customHeight="1" x14ac:dyDescent="0.25">
      <c r="A2392" s="538" t="s">
        <v>2935</v>
      </c>
      <c r="B2392" s="538">
        <v>7</v>
      </c>
      <c r="C2392" s="538">
        <v>146</v>
      </c>
      <c r="D2392" s="424" t="s">
        <v>2535</v>
      </c>
      <c r="E2392" s="319" t="s">
        <v>2536</v>
      </c>
      <c r="F2392" s="198">
        <v>32083</v>
      </c>
      <c r="G2392" s="198">
        <v>32097</v>
      </c>
      <c r="H2392" s="199">
        <v>3</v>
      </c>
      <c r="I2392" s="791">
        <f>TIME(0,24,47)+TIME(0,24,23)+TIME(0,24,22)</f>
        <v>5.1064814814814813E-2</v>
      </c>
      <c r="J2392" s="904" t="s">
        <v>1588</v>
      </c>
      <c r="K2392" s="200" t="s">
        <v>2537</v>
      </c>
      <c r="L2392" s="200" t="s">
        <v>225</v>
      </c>
      <c r="M2392" s="200"/>
      <c r="N2392" s="200" t="s">
        <v>2939</v>
      </c>
      <c r="O2392" s="200" t="s">
        <v>6962</v>
      </c>
      <c r="P2392" s="197" t="s">
        <v>461</v>
      </c>
      <c r="Q2392" s="200" t="s">
        <v>3946</v>
      </c>
      <c r="R2392" s="201" t="s">
        <v>5280</v>
      </c>
      <c r="S2392" s="390"/>
      <c r="T2392" s="197" t="s">
        <v>2321</v>
      </c>
      <c r="U2392" s="197"/>
      <c r="V2392" s="197"/>
      <c r="W2392" s="318" t="s">
        <v>8731</v>
      </c>
      <c r="X2392" s="650" t="s">
        <v>12339</v>
      </c>
      <c r="Y2392" s="358" t="s">
        <v>6141</v>
      </c>
      <c r="Z2392" s="253">
        <v>187</v>
      </c>
      <c r="AA2392" s="253">
        <v>5</v>
      </c>
      <c r="AB2392" s="35">
        <f t="shared" ca="1" si="53"/>
        <v>0.6795434341560147</v>
      </c>
      <c r="AC2392" s="820"/>
      <c r="AD2392" s="821" t="s">
        <v>16773</v>
      </c>
      <c r="AE2392" s="944"/>
      <c r="AF2392" s="925">
        <f>IF(X2392=X2391,AF2391,0)+IF(ISNUMBER(I2392),IF(I2392&lt;1,I2392,I2392*VLOOKUP(J2392,Summary!$H$2:$I$9,2)),VLOOKUP(J2392,Summary!$J$2:$K$9,2)*IF(ISNUMBER(H2392),H2392,1))</f>
        <v>0.76515046296296307</v>
      </c>
      <c r="AG2392" s="293">
        <v>2391</v>
      </c>
      <c r="AH2392" s="94"/>
      <c r="AI2392" s="94"/>
    </row>
    <row r="2393" spans="1:36" s="1" customFormat="1" ht="12" customHeight="1" x14ac:dyDescent="0.25">
      <c r="A2393" s="543" t="s">
        <v>2935</v>
      </c>
      <c r="B2393" s="543">
        <v>7</v>
      </c>
      <c r="C2393" s="544"/>
      <c r="D2393" s="185" t="s">
        <v>3465</v>
      </c>
      <c r="E2393" s="314" t="s">
        <v>4829</v>
      </c>
      <c r="F2393" s="208">
        <v>34700</v>
      </c>
      <c r="G2393" s="183"/>
      <c r="H2393" s="185">
        <v>1</v>
      </c>
      <c r="I2393" s="185">
        <v>8</v>
      </c>
      <c r="J2393" s="901" t="s">
        <v>1796</v>
      </c>
      <c r="K2393" s="163" t="s">
        <v>3451</v>
      </c>
      <c r="L2393" s="163" t="s">
        <v>3835</v>
      </c>
      <c r="M2393" s="163"/>
      <c r="N2393" s="163" t="s">
        <v>7375</v>
      </c>
      <c r="O2393" s="163"/>
      <c r="P2393" s="182" t="s">
        <v>461</v>
      </c>
      <c r="Q2393" s="163" t="s">
        <v>4062</v>
      </c>
      <c r="R2393" s="186" t="s">
        <v>5266</v>
      </c>
      <c r="S2393" s="355"/>
      <c r="T2393" s="182" t="s">
        <v>2321</v>
      </c>
      <c r="U2393" s="182"/>
      <c r="V2393" s="182"/>
      <c r="W2393" s="314" t="s">
        <v>4829</v>
      </c>
      <c r="X2393" s="646" t="s">
        <v>12339</v>
      </c>
      <c r="Y2393" s="355"/>
      <c r="Z2393" s="185"/>
      <c r="AA2393" s="185"/>
      <c r="AB2393" s="33">
        <f t="shared" ca="1" si="53"/>
        <v>0.73539308046881469</v>
      </c>
      <c r="AC2393" s="813"/>
      <c r="AD2393" s="211" t="s">
        <v>16065</v>
      </c>
      <c r="AE2393" s="941"/>
      <c r="AF2393" s="922">
        <f>IF(X2393=X2392,AF2392,0)+IF(ISNUMBER(I2393),IF(I2393&lt;1,I2393,I2393*VLOOKUP(J2393,Summary!$H$2:$I$9,2)),VLOOKUP(J2393,Summary!$J$2:$K$9,2)*IF(ISNUMBER(H2393),H2393,1))</f>
        <v>0.76792824074074084</v>
      </c>
      <c r="AG2393" s="290">
        <v>2392</v>
      </c>
      <c r="AH2393" s="94"/>
      <c r="AI2393" s="94"/>
      <c r="AJ2393" s="22"/>
    </row>
    <row r="2394" spans="1:36" s="3" customFormat="1" ht="12" customHeight="1" x14ac:dyDescent="0.25">
      <c r="A2394" s="546">
        <v>24</v>
      </c>
      <c r="B2394" s="546">
        <v>7</v>
      </c>
      <c r="C2394" s="548">
        <v>8.1199999999999992</v>
      </c>
      <c r="D2394" s="192" t="s">
        <v>15819</v>
      </c>
      <c r="E2394" s="317" t="s">
        <v>15820</v>
      </c>
      <c r="F2394" s="209">
        <v>43455</v>
      </c>
      <c r="G2394" s="191"/>
      <c r="H2394" s="192">
        <v>1</v>
      </c>
      <c r="I2394" s="796">
        <f>TIME(0,44, 0)</f>
        <v>3.0555555555555555E-2</v>
      </c>
      <c r="J2394" s="903" t="s">
        <v>2755</v>
      </c>
      <c r="K2394" s="194" t="s">
        <v>11396</v>
      </c>
      <c r="L2394" s="194" t="s">
        <v>12662</v>
      </c>
      <c r="M2394" s="194" t="s">
        <v>12785</v>
      </c>
      <c r="N2394" s="194" t="s">
        <v>5195</v>
      </c>
      <c r="O2394" s="194" t="s">
        <v>5195</v>
      </c>
      <c r="P2394" s="190" t="s">
        <v>15821</v>
      </c>
      <c r="Q2394" s="194" t="s">
        <v>3947</v>
      </c>
      <c r="R2394" s="193" t="s">
        <v>2722</v>
      </c>
      <c r="S2394" s="357"/>
      <c r="T2394" s="190" t="s">
        <v>2321</v>
      </c>
      <c r="U2394" s="190"/>
      <c r="V2394" s="190"/>
      <c r="W2394" s="317" t="s">
        <v>15820</v>
      </c>
      <c r="X2394" s="649" t="s">
        <v>12339</v>
      </c>
      <c r="Y2394" s="357"/>
      <c r="Z2394" s="192"/>
      <c r="AA2394" s="192"/>
      <c r="AB2394" s="37">
        <f t="shared" ca="1" si="53"/>
        <v>0.49055198000773759</v>
      </c>
      <c r="AC2394" s="816"/>
      <c r="AD2394" s="817"/>
      <c r="AE2394" s="943"/>
      <c r="AF2394" s="924">
        <f>IF(X2394=X2393,AF2393,0)+IF(ISNUMBER(I2394),IF(I2394&lt;1,I2394,I2394*VLOOKUP(J2394,Summary!$H$2:$I$9,2)),VLOOKUP(J2394,Summary!$J$2:$K$9,2)*IF(ISNUMBER(H2394),H2394,1))</f>
        <v>0.7984837962962964</v>
      </c>
      <c r="AG2394" s="292">
        <v>2393</v>
      </c>
      <c r="AH2394" s="94"/>
      <c r="AI2394" s="94"/>
    </row>
    <row r="2395" spans="1:36" s="2" customFormat="1" ht="12" customHeight="1" x14ac:dyDescent="0.25">
      <c r="A2395" s="539" t="s">
        <v>2935</v>
      </c>
      <c r="B2395" s="539">
        <v>7</v>
      </c>
      <c r="C2395" s="542">
        <v>2.09</v>
      </c>
      <c r="D2395" s="176" t="s">
        <v>3466</v>
      </c>
      <c r="E2395" s="313" t="s">
        <v>4833</v>
      </c>
      <c r="F2395" s="174">
        <v>36220</v>
      </c>
      <c r="G2395" s="174"/>
      <c r="H2395" s="176">
        <v>1</v>
      </c>
      <c r="I2395" s="176">
        <v>32</v>
      </c>
      <c r="J2395" s="900" t="s">
        <v>2755</v>
      </c>
      <c r="K2395" s="164" t="s">
        <v>6232</v>
      </c>
      <c r="L2395" s="164" t="s">
        <v>461</v>
      </c>
      <c r="M2395" s="164"/>
      <c r="N2395" s="164" t="s">
        <v>6237</v>
      </c>
      <c r="O2395" s="164"/>
      <c r="P2395" s="173" t="s">
        <v>6561</v>
      </c>
      <c r="Q2395" s="164" t="s">
        <v>3953</v>
      </c>
      <c r="R2395" s="177" t="s">
        <v>2723</v>
      </c>
      <c r="S2395" s="354"/>
      <c r="T2395" s="173" t="s">
        <v>2321</v>
      </c>
      <c r="U2395" s="173"/>
      <c r="V2395" s="173"/>
      <c r="W2395" s="313" t="s">
        <v>4833</v>
      </c>
      <c r="X2395" s="645" t="s">
        <v>12339</v>
      </c>
      <c r="Y2395" s="354" t="s">
        <v>6868</v>
      </c>
      <c r="Z2395" s="176">
        <v>999</v>
      </c>
      <c r="AA2395" s="176"/>
      <c r="AB2395" s="32">
        <f t="shared" ca="1" si="53"/>
        <v>7.8359261158917781E-2</v>
      </c>
      <c r="AC2395" s="812"/>
      <c r="AD2395" s="763"/>
      <c r="AE2395" s="807"/>
      <c r="AF2395" s="921">
        <f>IF(X2395=X2394,AF2394,0)+IF(ISNUMBER(I2395),IF(I2395&lt;1,I2395,I2395*VLOOKUP(J2395,Summary!$H$2:$I$9,2)),VLOOKUP(J2395,Summary!$J$2:$K$9,2)*IF(ISNUMBER(H2395),H2395,1))</f>
        <v>0.82070601851851865</v>
      </c>
      <c r="AG2395" s="289">
        <v>2394</v>
      </c>
      <c r="AH2395" s="94"/>
      <c r="AI2395" s="94"/>
      <c r="AJ2395" s="6"/>
    </row>
    <row r="2396" spans="1:36" s="2" customFormat="1" ht="12" customHeight="1" x14ac:dyDescent="0.25">
      <c r="A2396" s="539" t="s">
        <v>2935</v>
      </c>
      <c r="B2396" s="539">
        <v>7</v>
      </c>
      <c r="C2396" s="542">
        <v>28.1</v>
      </c>
      <c r="D2396" s="176" t="s">
        <v>6506</v>
      </c>
      <c r="E2396" s="313" t="s">
        <v>4832</v>
      </c>
      <c r="F2396" s="174">
        <v>39630</v>
      </c>
      <c r="G2396" s="174"/>
      <c r="H2396" s="176" t="s">
        <v>461</v>
      </c>
      <c r="I2396" s="176">
        <v>13</v>
      </c>
      <c r="J2396" s="900" t="s">
        <v>2755</v>
      </c>
      <c r="K2396" s="164" t="s">
        <v>4131</v>
      </c>
      <c r="L2396" s="164" t="s">
        <v>461</v>
      </c>
      <c r="M2396" s="164"/>
      <c r="N2396" s="164" t="s">
        <v>185</v>
      </c>
      <c r="O2396" s="164"/>
      <c r="P2396" s="173" t="s">
        <v>6704</v>
      </c>
      <c r="Q2396" s="164" t="s">
        <v>3947</v>
      </c>
      <c r="R2396" s="177" t="s">
        <v>2723</v>
      </c>
      <c r="S2396" s="354"/>
      <c r="T2396" s="173" t="s">
        <v>2321</v>
      </c>
      <c r="U2396" s="173"/>
      <c r="V2396" s="173"/>
      <c r="W2396" s="313" t="s">
        <v>4832</v>
      </c>
      <c r="X2396" s="645" t="s">
        <v>12339</v>
      </c>
      <c r="Y2396" s="354"/>
      <c r="Z2396" s="176"/>
      <c r="AA2396" s="176"/>
      <c r="AB2396" s="32">
        <f t="shared" ca="1" si="53"/>
        <v>0.38722088486920869</v>
      </c>
      <c r="AC2396" s="812"/>
      <c r="AD2396" s="763"/>
      <c r="AE2396" s="807"/>
      <c r="AF2396" s="921">
        <f>IF(X2396=X2395,AF2395,0)+IF(ISNUMBER(I2396),IF(I2396&lt;1,I2396,I2396*VLOOKUP(J2396,Summary!$H$2:$I$9,2)),VLOOKUP(J2396,Summary!$J$2:$K$9,2)*IF(ISNUMBER(H2396),H2396,1))</f>
        <v>0.8297337962962964</v>
      </c>
      <c r="AG2396" s="289">
        <v>2395</v>
      </c>
      <c r="AH2396" s="94"/>
      <c r="AI2396" s="94"/>
    </row>
    <row r="2397" spans="1:36" s="1" customFormat="1" ht="12" customHeight="1" x14ac:dyDescent="0.25">
      <c r="A2397" s="539">
        <v>24</v>
      </c>
      <c r="B2397" s="539">
        <v>7</v>
      </c>
      <c r="C2397" s="540">
        <v>53</v>
      </c>
      <c r="D2397" s="176" t="s">
        <v>558</v>
      </c>
      <c r="E2397" s="313" t="s">
        <v>12096</v>
      </c>
      <c r="F2397" s="174">
        <v>34213</v>
      </c>
      <c r="G2397" s="174"/>
      <c r="H2397" s="176">
        <v>1</v>
      </c>
      <c r="I2397" s="176">
        <v>5</v>
      </c>
      <c r="J2397" s="900" t="s">
        <v>2755</v>
      </c>
      <c r="K2397" s="164" t="s">
        <v>4556</v>
      </c>
      <c r="L2397" s="164" t="s">
        <v>461</v>
      </c>
      <c r="M2397" s="164"/>
      <c r="N2397" s="164"/>
      <c r="O2397" s="164"/>
      <c r="P2397" s="173" t="s">
        <v>2413</v>
      </c>
      <c r="Q2397" s="164" t="s">
        <v>4062</v>
      </c>
      <c r="R2397" s="177" t="s">
        <v>4599</v>
      </c>
      <c r="S2397" s="354"/>
      <c r="T2397" s="173" t="s">
        <v>2321</v>
      </c>
      <c r="U2397" s="173"/>
      <c r="V2397" s="173"/>
      <c r="W2397" s="313" t="s">
        <v>12096</v>
      </c>
      <c r="X2397" s="645" t="s">
        <v>12339</v>
      </c>
      <c r="Y2397" s="354"/>
      <c r="Z2397" s="176"/>
      <c r="AA2397" s="176"/>
      <c r="AB2397" s="32">
        <f t="shared" ca="1" si="53"/>
        <v>2.6139083359961734E-3</v>
      </c>
      <c r="AC2397" s="812"/>
      <c r="AD2397" s="763"/>
      <c r="AE2397" s="807"/>
      <c r="AF2397" s="921">
        <f>IF(X2397=X2396,AF2396,0)+IF(ISNUMBER(I2397),IF(I2397&lt;1,I2397,I2397*VLOOKUP(J2397,Summary!$H$2:$I$9,2)),VLOOKUP(J2397,Summary!$J$2:$K$9,2)*IF(ISNUMBER(H2397),H2397,1))</f>
        <v>0.83320601851851861</v>
      </c>
      <c r="AG2397" s="289">
        <v>2396</v>
      </c>
      <c r="AH2397" s="94"/>
      <c r="AI2397" s="94"/>
      <c r="AJ2397" s="29"/>
    </row>
    <row r="2398" spans="1:36" s="2" customFormat="1" ht="12" customHeight="1" x14ac:dyDescent="0.25">
      <c r="A2398" s="541" t="s">
        <v>2935</v>
      </c>
      <c r="B2398" s="541">
        <v>7</v>
      </c>
      <c r="C2398" s="541">
        <v>12</v>
      </c>
      <c r="D2398" s="407" t="s">
        <v>2538</v>
      </c>
      <c r="E2398" s="315" t="s">
        <v>2539</v>
      </c>
      <c r="F2398" s="169">
        <v>36770</v>
      </c>
      <c r="G2398" s="170"/>
      <c r="H2398" s="170">
        <v>4</v>
      </c>
      <c r="I2398" s="746">
        <f>TIME(1,44,8)</f>
        <v>7.2314814814814818E-2</v>
      </c>
      <c r="J2398" s="899" t="s">
        <v>4706</v>
      </c>
      <c r="K2398" s="167" t="s">
        <v>176</v>
      </c>
      <c r="L2398" s="167" t="s">
        <v>7375</v>
      </c>
      <c r="M2398" s="167"/>
      <c r="N2398" s="167"/>
      <c r="O2398" s="167" t="s">
        <v>2909</v>
      </c>
      <c r="P2398" s="168" t="s">
        <v>12970</v>
      </c>
      <c r="Q2398" s="167" t="s">
        <v>3947</v>
      </c>
      <c r="R2398" s="172" t="s">
        <v>3146</v>
      </c>
      <c r="S2398" s="388"/>
      <c r="T2398" s="168" t="s">
        <v>2321</v>
      </c>
      <c r="U2398" s="168"/>
      <c r="V2398" s="168"/>
      <c r="W2398" s="312" t="s">
        <v>9583</v>
      </c>
      <c r="X2398" s="644" t="s">
        <v>12339</v>
      </c>
      <c r="Y2398" s="352" t="s">
        <v>5643</v>
      </c>
      <c r="Z2398" s="353">
        <v>21</v>
      </c>
      <c r="AA2398" s="353">
        <v>9.5</v>
      </c>
      <c r="AB2398" s="31">
        <f t="shared" ca="1" si="53"/>
        <v>0.36766495437407665</v>
      </c>
      <c r="AC2398" s="810"/>
      <c r="AD2398" s="825" t="s">
        <v>15058</v>
      </c>
      <c r="AE2398" s="940"/>
      <c r="AF2398" s="920">
        <f>IF(X2398=X2397,AF2397,0)+IF(ISNUMBER(I2398),IF(I2398&lt;1,I2398,I2398*VLOOKUP(J2398,Summary!$H$2:$I$9,2)),VLOOKUP(J2398,Summary!$J$2:$K$9,2)*IF(ISNUMBER(H2398),H2398,1))</f>
        <v>0.90552083333333344</v>
      </c>
      <c r="AG2398" s="287">
        <v>2397</v>
      </c>
      <c r="AH2398" s="94"/>
      <c r="AI2398" s="94"/>
      <c r="AJ2398" s="3"/>
    </row>
    <row r="2399" spans="1:36" s="22" customFormat="1" ht="12" customHeight="1" x14ac:dyDescent="0.25">
      <c r="A2399" s="539" t="s">
        <v>2935</v>
      </c>
      <c r="B2399" s="539">
        <v>7</v>
      </c>
      <c r="C2399" s="542">
        <v>17.07</v>
      </c>
      <c r="D2399" s="176" t="s">
        <v>4512</v>
      </c>
      <c r="E2399" s="313" t="s">
        <v>4831</v>
      </c>
      <c r="F2399" s="174">
        <v>38596</v>
      </c>
      <c r="G2399" s="174"/>
      <c r="H2399" s="176">
        <v>1</v>
      </c>
      <c r="I2399" s="176">
        <v>21</v>
      </c>
      <c r="J2399" s="900" t="s">
        <v>2755</v>
      </c>
      <c r="K2399" s="164" t="s">
        <v>4031</v>
      </c>
      <c r="L2399" s="164" t="s">
        <v>461</v>
      </c>
      <c r="M2399" s="164"/>
      <c r="N2399" s="164" t="s">
        <v>7375</v>
      </c>
      <c r="O2399" s="164"/>
      <c r="P2399" s="173" t="s">
        <v>2568</v>
      </c>
      <c r="Q2399" s="164" t="s">
        <v>3947</v>
      </c>
      <c r="R2399" s="177" t="s">
        <v>2723</v>
      </c>
      <c r="S2399" s="354"/>
      <c r="T2399" s="173" t="s">
        <v>2321</v>
      </c>
      <c r="U2399" s="173"/>
      <c r="V2399" s="173"/>
      <c r="W2399" s="313" t="s">
        <v>4831</v>
      </c>
      <c r="X2399" s="645" t="s">
        <v>12339</v>
      </c>
      <c r="Y2399" s="354"/>
      <c r="Z2399" s="176"/>
      <c r="AA2399" s="176"/>
      <c r="AB2399" s="32">
        <f t="shared" ca="1" si="53"/>
        <v>0.66413186404275215</v>
      </c>
      <c r="AC2399" s="812"/>
      <c r="AD2399" s="763"/>
      <c r="AE2399" s="807"/>
      <c r="AF2399" s="921">
        <f>IF(X2399=X2398,AF2398,0)+IF(ISNUMBER(I2399),IF(I2399&lt;1,I2399,I2399*VLOOKUP(J2399,Summary!$H$2:$I$9,2)),VLOOKUP(J2399,Summary!$J$2:$K$9,2)*IF(ISNUMBER(H2399),H2399,1))</f>
        <v>0.92010416666666672</v>
      </c>
      <c r="AG2399" s="289">
        <v>2398</v>
      </c>
      <c r="AH2399" s="94"/>
      <c r="AI2399" s="94"/>
      <c r="AJ2399" s="43"/>
    </row>
    <row r="2400" spans="1:36" s="27" customFormat="1" ht="12" customHeight="1" x14ac:dyDescent="0.25">
      <c r="A2400" s="539">
        <v>24</v>
      </c>
      <c r="B2400" s="539">
        <v>7</v>
      </c>
      <c r="C2400" s="539">
        <v>31.09</v>
      </c>
      <c r="D2400" s="176" t="s">
        <v>1806</v>
      </c>
      <c r="E2400" s="313" t="s">
        <v>629</v>
      </c>
      <c r="F2400" s="174">
        <v>39873</v>
      </c>
      <c r="G2400" s="174"/>
      <c r="H2400" s="176" t="s">
        <v>461</v>
      </c>
      <c r="I2400" s="176">
        <v>16</v>
      </c>
      <c r="J2400" s="900" t="s">
        <v>2755</v>
      </c>
      <c r="K2400" s="164" t="s">
        <v>5354</v>
      </c>
      <c r="L2400" s="164" t="s">
        <v>461</v>
      </c>
      <c r="M2400" s="164"/>
      <c r="N2400" s="164" t="s">
        <v>1805</v>
      </c>
      <c r="O2400" s="164"/>
      <c r="P2400" s="173" t="s">
        <v>6699</v>
      </c>
      <c r="Q2400" s="164" t="s">
        <v>3947</v>
      </c>
      <c r="R2400" s="177" t="s">
        <v>2723</v>
      </c>
      <c r="S2400" s="354"/>
      <c r="T2400" s="173" t="s">
        <v>2321</v>
      </c>
      <c r="U2400" s="173"/>
      <c r="V2400" s="173"/>
      <c r="W2400" s="313" t="s">
        <v>629</v>
      </c>
      <c r="X2400" s="645" t="s">
        <v>12339</v>
      </c>
      <c r="Y2400" s="354"/>
      <c r="Z2400" s="176"/>
      <c r="AA2400" s="176"/>
      <c r="AB2400" s="32">
        <f t="shared" ca="1" si="53"/>
        <v>0.77512980651224006</v>
      </c>
      <c r="AC2400" s="812"/>
      <c r="AD2400" s="763"/>
      <c r="AE2400" s="807"/>
      <c r="AF2400" s="921">
        <f>IF(X2400=X2399,AF2399,0)+IF(ISNUMBER(I2400),IF(I2400&lt;1,I2400,I2400*VLOOKUP(J2400,Summary!$H$2:$I$9,2)),VLOOKUP(J2400,Summary!$J$2:$K$9,2)*IF(ISNUMBER(H2400),H2400,1))</f>
        <v>0.93121527777777779</v>
      </c>
      <c r="AG2400" s="289">
        <v>2399</v>
      </c>
      <c r="AH2400" s="94"/>
      <c r="AI2400" s="94"/>
      <c r="AJ2400" s="6"/>
    </row>
    <row r="2401" spans="1:36" s="22" customFormat="1" ht="12" customHeight="1" x14ac:dyDescent="0.25">
      <c r="A2401" s="541" t="s">
        <v>2935</v>
      </c>
      <c r="B2401" s="541">
        <v>7</v>
      </c>
      <c r="C2401" s="541">
        <v>85</v>
      </c>
      <c r="D2401" s="407" t="s">
        <v>2942</v>
      </c>
      <c r="E2401" s="315" t="s">
        <v>2943</v>
      </c>
      <c r="F2401" s="169">
        <v>38930</v>
      </c>
      <c r="G2401" s="170"/>
      <c r="H2401" s="170">
        <v>4</v>
      </c>
      <c r="I2401" s="746">
        <f>TIME(2,9,16)</f>
        <v>8.9768518518518525E-2</v>
      </c>
      <c r="J2401" s="899" t="s">
        <v>4706</v>
      </c>
      <c r="K2401" s="167" t="s">
        <v>2312</v>
      </c>
      <c r="L2401" s="167" t="s">
        <v>7375</v>
      </c>
      <c r="M2401" s="167"/>
      <c r="N2401" s="167"/>
      <c r="O2401" s="167" t="s">
        <v>2909</v>
      </c>
      <c r="P2401" s="168" t="s">
        <v>12971</v>
      </c>
      <c r="Q2401" s="167" t="s">
        <v>3947</v>
      </c>
      <c r="R2401" s="172" t="s">
        <v>3146</v>
      </c>
      <c r="S2401" s="388"/>
      <c r="T2401" s="168" t="s">
        <v>2321</v>
      </c>
      <c r="U2401" s="168"/>
      <c r="V2401" s="168"/>
      <c r="W2401" s="312" t="s">
        <v>9341</v>
      </c>
      <c r="X2401" s="644" t="s">
        <v>12339</v>
      </c>
      <c r="Y2401" s="352" t="s">
        <v>5398</v>
      </c>
      <c r="Z2401" s="353">
        <v>64</v>
      </c>
      <c r="AA2401" s="353">
        <v>8</v>
      </c>
      <c r="AB2401" s="31">
        <f t="shared" ca="1" si="53"/>
        <v>0.24274607998697983</v>
      </c>
      <c r="AC2401" s="810"/>
      <c r="AD2401" s="811"/>
      <c r="AE2401" s="940"/>
      <c r="AF2401" s="920">
        <f>IF(X2401=X2400,AF2400,0)+IF(ISNUMBER(I2401),IF(I2401&lt;1,I2401,I2401*VLOOKUP(J2401,Summary!$H$2:$I$9,2)),VLOOKUP(J2401,Summary!$J$2:$K$9,2)*IF(ISNUMBER(H2401),H2401,1))</f>
        <v>1.0209837962962962</v>
      </c>
      <c r="AG2401" s="287">
        <v>2400</v>
      </c>
      <c r="AH2401" s="94"/>
      <c r="AI2401" s="94"/>
      <c r="AJ2401" s="6"/>
    </row>
    <row r="2402" spans="1:36" s="22" customFormat="1" ht="12" customHeight="1" x14ac:dyDescent="0.25">
      <c r="A2402" s="538" t="s">
        <v>2935</v>
      </c>
      <c r="B2402" s="538">
        <v>7</v>
      </c>
      <c r="C2402" s="538">
        <v>147</v>
      </c>
      <c r="D2402" s="424" t="s">
        <v>2540</v>
      </c>
      <c r="E2402" s="319" t="s">
        <v>2541</v>
      </c>
      <c r="F2402" s="198">
        <v>32104</v>
      </c>
      <c r="G2402" s="198">
        <v>32118</v>
      </c>
      <c r="H2402" s="199">
        <v>3</v>
      </c>
      <c r="I2402" s="791">
        <f>TIME(0,24, 1)+TIME(0,24,40)+TIME(0,24,26)</f>
        <v>5.0775462962962967E-2</v>
      </c>
      <c r="J2402" s="904" t="s">
        <v>1588</v>
      </c>
      <c r="K2402" s="200" t="s">
        <v>2543</v>
      </c>
      <c r="L2402" s="200" t="s">
        <v>225</v>
      </c>
      <c r="M2402" s="200"/>
      <c r="N2402" s="200" t="s">
        <v>2939</v>
      </c>
      <c r="O2402" s="200" t="s">
        <v>6962</v>
      </c>
      <c r="P2402" s="197" t="s">
        <v>461</v>
      </c>
      <c r="Q2402" s="200" t="s">
        <v>3946</v>
      </c>
      <c r="R2402" s="201" t="s">
        <v>5280</v>
      </c>
      <c r="S2402" s="390" t="s">
        <v>2542</v>
      </c>
      <c r="T2402" s="197" t="s">
        <v>2321</v>
      </c>
      <c r="U2402" s="197"/>
      <c r="V2402" s="197"/>
      <c r="W2402" s="318" t="s">
        <v>8732</v>
      </c>
      <c r="X2402" s="650" t="s">
        <v>12339</v>
      </c>
      <c r="Y2402" s="358" t="s">
        <v>6141</v>
      </c>
      <c r="Z2402" s="253">
        <v>313</v>
      </c>
      <c r="AA2402" s="253">
        <v>1</v>
      </c>
      <c r="AB2402" s="35">
        <f t="shared" ca="1" si="53"/>
        <v>0.23007719455541631</v>
      </c>
      <c r="AC2402" s="820"/>
      <c r="AD2402" s="821" t="s">
        <v>16511</v>
      </c>
      <c r="AE2402" s="944"/>
      <c r="AF2402" s="925">
        <f>IF(X2402=X2401,AF2401,0)+IF(ISNUMBER(I2402),IF(I2402&lt;1,I2402,I2402*VLOOKUP(J2402,Summary!$H$2:$I$9,2)),VLOOKUP(J2402,Summary!$J$2:$K$9,2)*IF(ISNUMBER(H2402),H2402,1))</f>
        <v>1.0717592592592591</v>
      </c>
      <c r="AG2402" s="293">
        <v>2401</v>
      </c>
      <c r="AH2402" s="94"/>
      <c r="AI2402" s="94"/>
      <c r="AJ2402" s="1"/>
    </row>
    <row r="2403" spans="1:36" s="2" customFormat="1" ht="12" customHeight="1" x14ac:dyDescent="0.25">
      <c r="A2403" s="539" t="s">
        <v>15665</v>
      </c>
      <c r="B2403" s="539">
        <v>7</v>
      </c>
      <c r="C2403" s="542">
        <v>10.15</v>
      </c>
      <c r="D2403" s="176" t="s">
        <v>4837</v>
      </c>
      <c r="E2403" s="313" t="s">
        <v>4834</v>
      </c>
      <c r="F2403" s="174">
        <v>38139</v>
      </c>
      <c r="G2403" s="174"/>
      <c r="H2403" s="176">
        <v>1</v>
      </c>
      <c r="I2403" s="176">
        <v>6</v>
      </c>
      <c r="J2403" s="900" t="s">
        <v>2755</v>
      </c>
      <c r="K2403" s="164" t="s">
        <v>2311</v>
      </c>
      <c r="L2403" s="164" t="s">
        <v>461</v>
      </c>
      <c r="M2403" s="164"/>
      <c r="N2403" s="164" t="s">
        <v>4996</v>
      </c>
      <c r="O2403" s="164"/>
      <c r="P2403" s="173" t="s">
        <v>5669</v>
      </c>
      <c r="Q2403" s="164" t="s">
        <v>3947</v>
      </c>
      <c r="R2403" s="177" t="s">
        <v>2723</v>
      </c>
      <c r="S2403" s="354" t="s">
        <v>2542</v>
      </c>
      <c r="T2403" s="173"/>
      <c r="U2403" s="173"/>
      <c r="V2403" s="173"/>
      <c r="W2403" s="313" t="s">
        <v>4834</v>
      </c>
      <c r="X2403" s="645" t="s">
        <v>12339</v>
      </c>
      <c r="Y2403" s="354"/>
      <c r="Z2403" s="176">
        <v>999</v>
      </c>
      <c r="AA2403" s="176"/>
      <c r="AB2403" s="32">
        <f t="shared" ca="1" si="53"/>
        <v>0.62980262390342656</v>
      </c>
      <c r="AC2403" s="812"/>
      <c r="AD2403" s="763"/>
      <c r="AE2403" s="807"/>
      <c r="AF2403" s="921">
        <f>IF(X2403=X2402,AF2402,0)+IF(ISNUMBER(I2403),IF(I2403&lt;1,I2403,I2403*VLOOKUP(J2403,Summary!$H$2:$I$9,2)),VLOOKUP(J2403,Summary!$J$2:$K$9,2)*IF(ISNUMBER(H2403),H2403,1))</f>
        <v>1.0759259259259257</v>
      </c>
      <c r="AG2403" s="289">
        <v>2402</v>
      </c>
      <c r="AH2403" s="94"/>
      <c r="AI2403" s="94"/>
      <c r="AJ2403" s="3"/>
    </row>
    <row r="2404" spans="1:36" s="1" customFormat="1" ht="12" customHeight="1" x14ac:dyDescent="0.25">
      <c r="A2404" s="408" t="s">
        <v>15665</v>
      </c>
      <c r="B2404" s="497" t="s">
        <v>2650</v>
      </c>
      <c r="C2404" s="497">
        <v>2.0299999999999998</v>
      </c>
      <c r="D2404" s="176" t="s">
        <v>1226</v>
      </c>
      <c r="E2404" s="313" t="s">
        <v>5325</v>
      </c>
      <c r="F2404" s="174">
        <v>36220</v>
      </c>
      <c r="G2404" s="174"/>
      <c r="H2404" s="176">
        <v>1</v>
      </c>
      <c r="I2404" s="176">
        <v>4</v>
      </c>
      <c r="J2404" s="900" t="s">
        <v>2755</v>
      </c>
      <c r="K2404" s="164" t="s">
        <v>7375</v>
      </c>
      <c r="L2404" s="164" t="s">
        <v>461</v>
      </c>
      <c r="M2404" s="164"/>
      <c r="N2404" s="164" t="s">
        <v>6237</v>
      </c>
      <c r="O2404" s="164"/>
      <c r="P2404" s="173" t="s">
        <v>6561</v>
      </c>
      <c r="Q2404" s="164" t="s">
        <v>3953</v>
      </c>
      <c r="R2404" s="177" t="s">
        <v>2723</v>
      </c>
      <c r="S2404" s="354"/>
      <c r="T2404" s="173" t="s">
        <v>2321</v>
      </c>
      <c r="U2404" s="173"/>
      <c r="V2404" s="173"/>
      <c r="W2404" s="313" t="s">
        <v>5325</v>
      </c>
      <c r="X2404" s="645" t="s">
        <v>12339</v>
      </c>
      <c r="Y2404" s="354" t="s">
        <v>6868</v>
      </c>
      <c r="Z2404" s="176">
        <v>999</v>
      </c>
      <c r="AA2404" s="176"/>
      <c r="AB2404" s="32">
        <f t="shared" ca="1" si="53"/>
        <v>0.19410947730480732</v>
      </c>
      <c r="AC2404" s="812"/>
      <c r="AD2404" s="763"/>
      <c r="AE2404" s="807"/>
      <c r="AF2404" s="921">
        <f>IF(X2404=X2403,AF2403,0)+IF(ISNUMBER(I2404),IF(I2404&lt;1,I2404,I2404*VLOOKUP(J2404,Summary!$H$2:$I$9,2)),VLOOKUP(J2404,Summary!$J$2:$K$9,2)*IF(ISNUMBER(H2404),H2404,1))</f>
        <v>1.0787037037037035</v>
      </c>
      <c r="AG2404" s="289">
        <v>2403</v>
      </c>
      <c r="AH2404" s="94"/>
      <c r="AI2404" s="94"/>
      <c r="AJ2404" s="6"/>
    </row>
    <row r="2405" spans="1:36" s="26" customFormat="1" ht="12" customHeight="1" x14ac:dyDescent="0.25">
      <c r="A2405" s="408" t="s">
        <v>15665</v>
      </c>
      <c r="B2405" s="497" t="s">
        <v>2650</v>
      </c>
      <c r="C2405" s="497">
        <v>2.17</v>
      </c>
      <c r="D2405" s="434" t="s">
        <v>1227</v>
      </c>
      <c r="E2405" s="324" t="s">
        <v>7246</v>
      </c>
      <c r="F2405" s="174">
        <v>36220</v>
      </c>
      <c r="G2405" s="174"/>
      <c r="H2405" s="176">
        <v>1</v>
      </c>
      <c r="I2405" s="176">
        <v>2</v>
      </c>
      <c r="J2405" s="900" t="s">
        <v>2755</v>
      </c>
      <c r="K2405" s="164" t="s">
        <v>2499</v>
      </c>
      <c r="L2405" s="164" t="s">
        <v>461</v>
      </c>
      <c r="M2405" s="164"/>
      <c r="N2405" s="164" t="s">
        <v>6237</v>
      </c>
      <c r="O2405" s="164"/>
      <c r="P2405" s="173" t="s">
        <v>6561</v>
      </c>
      <c r="Q2405" s="164" t="s">
        <v>3953</v>
      </c>
      <c r="R2405" s="177" t="s">
        <v>2723</v>
      </c>
      <c r="S2405" s="354"/>
      <c r="T2405" s="173"/>
      <c r="U2405" s="173"/>
      <c r="V2405" s="173"/>
      <c r="W2405" s="324" t="s">
        <v>7246</v>
      </c>
      <c r="X2405" s="656" t="s">
        <v>12339</v>
      </c>
      <c r="Y2405" s="354" t="s">
        <v>6868</v>
      </c>
      <c r="Z2405" s="364">
        <v>999</v>
      </c>
      <c r="AA2405" s="364"/>
      <c r="AB2405" s="32">
        <f t="shared" ca="1" si="53"/>
        <v>0.90157119541340802</v>
      </c>
      <c r="AC2405" s="812"/>
      <c r="AD2405" s="763"/>
      <c r="AE2405" s="951"/>
      <c r="AF2405" s="921">
        <f>IF(X2405=X2404,AF2404,0)+IF(ISNUMBER(I2405),IF(I2405&lt;1,I2405,I2405*VLOOKUP(J2405,Summary!$H$2:$I$9,2)),VLOOKUP(J2405,Summary!$J$2:$K$9,2)*IF(ISNUMBER(H2405),H2405,1))</f>
        <v>1.0800925925925924</v>
      </c>
      <c r="AG2405" s="288">
        <v>2404</v>
      </c>
      <c r="AH2405" s="94"/>
      <c r="AI2405" s="94"/>
      <c r="AJ2405" s="2"/>
    </row>
    <row r="2406" spans="1:36" s="2" customFormat="1" ht="12" customHeight="1" x14ac:dyDescent="0.25">
      <c r="A2406" s="538" t="s">
        <v>2544</v>
      </c>
      <c r="B2406" s="538">
        <v>7</v>
      </c>
      <c r="C2406" s="538">
        <v>148</v>
      </c>
      <c r="D2406" s="424" t="s">
        <v>2545</v>
      </c>
      <c r="E2406" s="319" t="s">
        <v>2546</v>
      </c>
      <c r="F2406" s="198">
        <v>32421</v>
      </c>
      <c r="G2406" s="198">
        <v>32442</v>
      </c>
      <c r="H2406" s="199">
        <v>4</v>
      </c>
      <c r="I2406" s="791">
        <f>TIME(0,24,33)+TIME(0,24,31)+TIME(0,24,30)+TIME(0,24,36)</f>
        <v>6.8171296296296299E-2</v>
      </c>
      <c r="J2406" s="904" t="s">
        <v>1588</v>
      </c>
      <c r="K2406" s="200" t="s">
        <v>3250</v>
      </c>
      <c r="L2406" s="200" t="s">
        <v>2938</v>
      </c>
      <c r="M2406" s="200"/>
      <c r="N2406" s="200" t="s">
        <v>2939</v>
      </c>
      <c r="O2406" s="200" t="s">
        <v>6962</v>
      </c>
      <c r="P2406" s="197" t="s">
        <v>461</v>
      </c>
      <c r="Q2406" s="200" t="s">
        <v>3946</v>
      </c>
      <c r="R2406" s="201" t="s">
        <v>5280</v>
      </c>
      <c r="S2406" s="390" t="s">
        <v>2542</v>
      </c>
      <c r="T2406" s="197" t="s">
        <v>14551</v>
      </c>
      <c r="U2406" s="197" t="s">
        <v>14552</v>
      </c>
      <c r="V2406" s="197" t="s">
        <v>14553</v>
      </c>
      <c r="W2406" s="318" t="s">
        <v>8747</v>
      </c>
      <c r="X2406" s="650" t="s">
        <v>12340</v>
      </c>
      <c r="Y2406" s="358" t="s">
        <v>6141</v>
      </c>
      <c r="Z2406" s="253">
        <v>80</v>
      </c>
      <c r="AA2406" s="253">
        <v>7.5</v>
      </c>
      <c r="AB2406" s="35">
        <f t="shared" ca="1" si="53"/>
        <v>0.38207666014381703</v>
      </c>
      <c r="AC2406" s="820"/>
      <c r="AD2406" s="824" t="s">
        <v>16420</v>
      </c>
      <c r="AE2406" s="944" t="s">
        <v>16253</v>
      </c>
      <c r="AF2406" s="925">
        <f>IF(X2406=X2405,AF2405,0)+IF(ISNUMBER(I2406),IF(I2406&lt;1,I2406,I2406*VLOOKUP(J2406,Summary!$H$2:$I$9,2)),VLOOKUP(J2406,Summary!$J$2:$K$9,2)*IF(ISNUMBER(H2406),H2406,1))</f>
        <v>6.8171296296296299E-2</v>
      </c>
      <c r="AG2406" s="293">
        <v>2405</v>
      </c>
      <c r="AH2406" s="94"/>
      <c r="AI2406" s="94"/>
      <c r="AJ2406" s="3"/>
    </row>
    <row r="2407" spans="1:36" s="22" customFormat="1" ht="12" customHeight="1" x14ac:dyDescent="0.25">
      <c r="A2407" s="408">
        <v>25</v>
      </c>
      <c r="B2407" s="408" t="s">
        <v>2650</v>
      </c>
      <c r="C2407" s="408">
        <v>22</v>
      </c>
      <c r="D2407" s="176" t="s">
        <v>3598</v>
      </c>
      <c r="E2407" s="313" t="s">
        <v>3599</v>
      </c>
      <c r="F2407" s="175">
        <v>33989</v>
      </c>
      <c r="G2407" s="174"/>
      <c r="H2407" s="176">
        <v>1</v>
      </c>
      <c r="I2407" s="176">
        <v>1</v>
      </c>
      <c r="J2407" s="900" t="s">
        <v>2755</v>
      </c>
      <c r="K2407" s="164" t="s">
        <v>5446</v>
      </c>
      <c r="L2407" s="164" t="s">
        <v>3575</v>
      </c>
      <c r="M2407" s="164"/>
      <c r="N2407" s="164" t="s">
        <v>7375</v>
      </c>
      <c r="O2407" s="164"/>
      <c r="P2407" s="173" t="s">
        <v>461</v>
      </c>
      <c r="Q2407" s="164" t="s">
        <v>4062</v>
      </c>
      <c r="R2407" s="177" t="s">
        <v>4599</v>
      </c>
      <c r="S2407" s="354" t="s">
        <v>2542</v>
      </c>
      <c r="T2407" s="173"/>
      <c r="U2407" s="173"/>
      <c r="V2407" s="173"/>
      <c r="W2407" s="313" t="s">
        <v>3599</v>
      </c>
      <c r="X2407" s="645" t="s">
        <v>12340</v>
      </c>
      <c r="Y2407" s="354"/>
      <c r="Z2407" s="176"/>
      <c r="AA2407" s="176"/>
      <c r="AB2407" s="32">
        <f t="shared" ca="1" si="53"/>
        <v>0.99048790671802689</v>
      </c>
      <c r="AC2407" s="812"/>
      <c r="AD2407" s="763"/>
      <c r="AE2407" s="807"/>
      <c r="AF2407" s="921">
        <f>IF(X2407=X2406,AF2406,0)+IF(ISNUMBER(I2407),IF(I2407&lt;1,I2407,I2407*VLOOKUP(J2407,Summary!$H$2:$I$9,2)),VLOOKUP(J2407,Summary!$J$2:$K$9,2)*IF(ISNUMBER(H2407),H2407,1))</f>
        <v>6.8865740740740741E-2</v>
      </c>
      <c r="AG2407" s="289">
        <v>2406</v>
      </c>
      <c r="AH2407" s="94"/>
      <c r="AI2407" s="94"/>
    </row>
    <row r="2408" spans="1:36" s="2" customFormat="1" ht="12" customHeight="1" x14ac:dyDescent="0.25">
      <c r="A2408" s="538">
        <v>25</v>
      </c>
      <c r="B2408" s="538">
        <v>7</v>
      </c>
      <c r="C2408" s="538">
        <v>149</v>
      </c>
      <c r="D2408" s="424" t="s">
        <v>3251</v>
      </c>
      <c r="E2408" s="319" t="s">
        <v>794</v>
      </c>
      <c r="F2408" s="198">
        <v>32449</v>
      </c>
      <c r="G2408" s="198">
        <v>32463</v>
      </c>
      <c r="H2408" s="199">
        <v>3</v>
      </c>
      <c r="I2408" s="791">
        <f>TIME(0,24,51)+TIME(0,24,48)+TIME(0,24,25)</f>
        <v>5.1435185185185195E-2</v>
      </c>
      <c r="J2408" s="904" t="s">
        <v>1588</v>
      </c>
      <c r="K2408" s="200" t="s">
        <v>795</v>
      </c>
      <c r="L2408" s="200" t="s">
        <v>225</v>
      </c>
      <c r="M2408" s="200"/>
      <c r="N2408" s="200" t="s">
        <v>2939</v>
      </c>
      <c r="O2408" s="200" t="s">
        <v>6962</v>
      </c>
      <c r="P2408" s="197" t="s">
        <v>461</v>
      </c>
      <c r="Q2408" s="200" t="s">
        <v>3946</v>
      </c>
      <c r="R2408" s="201" t="s">
        <v>5280</v>
      </c>
      <c r="S2408" s="390" t="s">
        <v>2542</v>
      </c>
      <c r="T2408" s="197"/>
      <c r="U2408" s="197"/>
      <c r="V2408" s="197"/>
      <c r="W2408" s="318" t="s">
        <v>8740</v>
      </c>
      <c r="X2408" s="650" t="s">
        <v>12340</v>
      </c>
      <c r="Y2408" s="358" t="s">
        <v>6141</v>
      </c>
      <c r="Z2408" s="253">
        <v>58</v>
      </c>
      <c r="AA2408" s="253">
        <v>8</v>
      </c>
      <c r="AB2408" s="35">
        <f t="shared" ca="1" si="53"/>
        <v>0.63135534443605956</v>
      </c>
      <c r="AC2408" s="820"/>
      <c r="AD2408" s="821" t="s">
        <v>16191</v>
      </c>
      <c r="AE2408" s="944" t="s">
        <v>3365</v>
      </c>
      <c r="AF2408" s="925">
        <f>IF(X2408=X2407,AF2407,0)+IF(ISNUMBER(I2408),IF(I2408&lt;1,I2408,I2408*VLOOKUP(J2408,Summary!$H$2:$I$9,2)),VLOOKUP(J2408,Summary!$J$2:$K$9,2)*IF(ISNUMBER(H2408),H2408,1))</f>
        <v>0.12030092592592594</v>
      </c>
      <c r="AG2408" s="293">
        <v>2407</v>
      </c>
      <c r="AH2408" s="94"/>
      <c r="AI2408" s="94"/>
      <c r="AJ2408" s="3"/>
    </row>
    <row r="2409" spans="1:36" s="2" customFormat="1" ht="12" customHeight="1" x14ac:dyDescent="0.25">
      <c r="A2409" s="543">
        <v>25</v>
      </c>
      <c r="B2409" s="543">
        <v>7</v>
      </c>
      <c r="C2409" s="543">
        <v>2.42</v>
      </c>
      <c r="D2409" s="428" t="s">
        <v>6582</v>
      </c>
      <c r="E2409" s="325" t="s">
        <v>6583</v>
      </c>
      <c r="F2409" s="183">
        <v>39753</v>
      </c>
      <c r="G2409" s="183"/>
      <c r="H2409" s="185">
        <v>1</v>
      </c>
      <c r="I2409" s="185">
        <v>7</v>
      </c>
      <c r="J2409" s="901" t="s">
        <v>1796</v>
      </c>
      <c r="K2409" s="163" t="s">
        <v>3303</v>
      </c>
      <c r="L2409" s="163" t="s">
        <v>3965</v>
      </c>
      <c r="M2409" s="158" t="s">
        <v>6567</v>
      </c>
      <c r="N2409" s="158" t="s">
        <v>5717</v>
      </c>
      <c r="O2409" s="158"/>
      <c r="P2409" s="182" t="s">
        <v>461</v>
      </c>
      <c r="Q2409" s="158" t="s">
        <v>5719</v>
      </c>
      <c r="R2409" s="207" t="s">
        <v>5718</v>
      </c>
      <c r="S2409" s="355" t="s">
        <v>2542</v>
      </c>
      <c r="T2409" s="182"/>
      <c r="U2409" s="182"/>
      <c r="V2409" s="182"/>
      <c r="W2409" s="321"/>
      <c r="X2409" s="653" t="s">
        <v>12340</v>
      </c>
      <c r="Y2409" s="355" t="s">
        <v>6000</v>
      </c>
      <c r="Z2409" s="362">
        <v>999</v>
      </c>
      <c r="AA2409" s="362"/>
      <c r="AB2409" s="33">
        <f t="shared" ca="1" si="53"/>
        <v>0.51276714466182727</v>
      </c>
      <c r="AC2409" s="813"/>
      <c r="AD2409" s="211"/>
      <c r="AE2409" s="949"/>
      <c r="AF2409" s="922">
        <f>IF(X2409=X2408,AF2408,0)+IF(ISNUMBER(I2409),IF(I2409&lt;1,I2409,I2409*VLOOKUP(J2409,Summary!$H$2:$I$9,2)),VLOOKUP(J2409,Summary!$J$2:$K$9,2)*IF(ISNUMBER(H2409),H2409,1))</f>
        <v>0.1227314814814815</v>
      </c>
      <c r="AG2409" s="295">
        <v>2408</v>
      </c>
      <c r="AH2409" s="94"/>
      <c r="AI2409" s="94"/>
    </row>
    <row r="2410" spans="1:36" s="22" customFormat="1" ht="12" customHeight="1" x14ac:dyDescent="0.25">
      <c r="A2410" s="541">
        <v>25</v>
      </c>
      <c r="B2410" s="541">
        <v>7</v>
      </c>
      <c r="C2410" s="545">
        <v>1.01</v>
      </c>
      <c r="D2410" s="407" t="s">
        <v>11434</v>
      </c>
      <c r="E2410" s="315" t="s">
        <v>11422</v>
      </c>
      <c r="F2410" s="169">
        <v>35916</v>
      </c>
      <c r="G2410" s="170"/>
      <c r="H2410" s="170">
        <v>1</v>
      </c>
      <c r="I2410" s="746">
        <f>TIME(0,56,47)</f>
        <v>3.9432870370370368E-2</v>
      </c>
      <c r="J2410" s="899" t="s">
        <v>4706</v>
      </c>
      <c r="K2410" s="167" t="s">
        <v>4964</v>
      </c>
      <c r="L2410" s="167" t="s">
        <v>4640</v>
      </c>
      <c r="M2410" s="167"/>
      <c r="N2410" s="167"/>
      <c r="O2410" s="167" t="s">
        <v>4640</v>
      </c>
      <c r="P2410" s="168" t="s">
        <v>461</v>
      </c>
      <c r="Q2410" s="167" t="s">
        <v>603</v>
      </c>
      <c r="R2410" s="172" t="s">
        <v>5481</v>
      </c>
      <c r="S2410" s="388" t="s">
        <v>2542</v>
      </c>
      <c r="T2410" s="168"/>
      <c r="U2410" s="168"/>
      <c r="V2410" s="168"/>
      <c r="W2410" s="315" t="s">
        <v>11422</v>
      </c>
      <c r="X2410" s="647" t="s">
        <v>12340</v>
      </c>
      <c r="Y2410" s="352"/>
      <c r="Z2410" s="353">
        <v>459</v>
      </c>
      <c r="AA2410" s="353"/>
      <c r="AB2410" s="31">
        <f t="shared" ca="1" si="53"/>
        <v>0.93975330919421474</v>
      </c>
      <c r="AC2410" s="810"/>
      <c r="AD2410" s="811"/>
      <c r="AE2410" s="940"/>
      <c r="AF2410" s="920">
        <f>IF(X2410=X2409,AF2409,0)+IF(ISNUMBER(I2410),IF(I2410&lt;1,I2410,I2410*VLOOKUP(J2410,Summary!$H$2:$I$9,2)),VLOOKUP(J2410,Summary!$J$2:$K$9,2)*IF(ISNUMBER(H2410),H2410,1))</f>
        <v>0.16216435185185185</v>
      </c>
      <c r="AG2410" s="287">
        <v>2409</v>
      </c>
      <c r="AH2410" s="94"/>
      <c r="AI2410" s="94"/>
      <c r="AJ2410" s="2"/>
    </row>
    <row r="2411" spans="1:36" s="22" customFormat="1" ht="12" customHeight="1" x14ac:dyDescent="0.25">
      <c r="A2411" s="539">
        <v>25</v>
      </c>
      <c r="B2411" s="539">
        <v>7</v>
      </c>
      <c r="C2411" s="542">
        <v>26.04</v>
      </c>
      <c r="D2411" s="176" t="s">
        <v>3497</v>
      </c>
      <c r="E2411" s="313" t="s">
        <v>4949</v>
      </c>
      <c r="F2411" s="174">
        <v>39508</v>
      </c>
      <c r="G2411" s="174"/>
      <c r="H2411" s="176">
        <v>1</v>
      </c>
      <c r="I2411" s="176">
        <v>11</v>
      </c>
      <c r="J2411" s="900" t="s">
        <v>2755</v>
      </c>
      <c r="K2411" s="164" t="s">
        <v>4944</v>
      </c>
      <c r="L2411" s="164" t="s">
        <v>461</v>
      </c>
      <c r="M2411" s="164"/>
      <c r="N2411" s="164" t="s">
        <v>7381</v>
      </c>
      <c r="O2411" s="164"/>
      <c r="P2411" s="173" t="s">
        <v>6706</v>
      </c>
      <c r="Q2411" s="164" t="s">
        <v>3947</v>
      </c>
      <c r="R2411" s="177" t="s">
        <v>2723</v>
      </c>
      <c r="S2411" s="354" t="s">
        <v>2542</v>
      </c>
      <c r="T2411" s="173"/>
      <c r="U2411" s="173"/>
      <c r="V2411" s="173"/>
      <c r="W2411" s="313" t="s">
        <v>4949</v>
      </c>
      <c r="X2411" s="645" t="s">
        <v>12340</v>
      </c>
      <c r="Y2411" s="354"/>
      <c r="Z2411" s="176"/>
      <c r="AA2411" s="176"/>
      <c r="AB2411" s="32">
        <f t="shared" ca="1" si="53"/>
        <v>0.84776430609940079</v>
      </c>
      <c r="AC2411" s="812"/>
      <c r="AD2411" s="763"/>
      <c r="AE2411" s="807"/>
      <c r="AF2411" s="921">
        <f>IF(X2411=X2410,AF2410,0)+IF(ISNUMBER(I2411),IF(I2411&lt;1,I2411,I2411*VLOOKUP(J2411,Summary!$H$2:$I$9,2)),VLOOKUP(J2411,Summary!$J$2:$K$9,2)*IF(ISNUMBER(H2411),H2411,1))</f>
        <v>0.16980324074074074</v>
      </c>
      <c r="AG2411" s="289">
        <v>2410</v>
      </c>
      <c r="AH2411" s="94"/>
      <c r="AI2411" s="94"/>
      <c r="AJ2411" s="29"/>
    </row>
    <row r="2412" spans="1:36" s="27" customFormat="1" ht="12" customHeight="1" x14ac:dyDescent="0.25">
      <c r="A2412" s="538">
        <v>25</v>
      </c>
      <c r="B2412" s="538">
        <v>7</v>
      </c>
      <c r="C2412" s="538">
        <v>151</v>
      </c>
      <c r="D2412" s="424" t="s">
        <v>799</v>
      </c>
      <c r="E2412" s="319" t="s">
        <v>7925</v>
      </c>
      <c r="F2412" s="198">
        <v>32491</v>
      </c>
      <c r="G2412" s="198">
        <v>32512</v>
      </c>
      <c r="H2412" s="199">
        <v>4</v>
      </c>
      <c r="I2412" s="791">
        <f>TIME(0,24,23)+TIME(0,24,20)+TIME(0,24,30)+TIME(0,24,24)</f>
        <v>6.7789351851851851E-2</v>
      </c>
      <c r="J2412" s="904" t="s">
        <v>1588</v>
      </c>
      <c r="K2412" s="200" t="s">
        <v>2946</v>
      </c>
      <c r="L2412" s="200" t="s">
        <v>7926</v>
      </c>
      <c r="M2412" s="200"/>
      <c r="N2412" s="200" t="s">
        <v>2939</v>
      </c>
      <c r="O2412" s="200" t="s">
        <v>6962</v>
      </c>
      <c r="P2412" s="197" t="s">
        <v>461</v>
      </c>
      <c r="Q2412" s="200" t="s">
        <v>3946</v>
      </c>
      <c r="R2412" s="201" t="s">
        <v>5280</v>
      </c>
      <c r="S2412" s="390" t="s">
        <v>2542</v>
      </c>
      <c r="T2412" s="197"/>
      <c r="U2412" s="197"/>
      <c r="V2412" s="197"/>
      <c r="W2412" s="318" t="s">
        <v>8749</v>
      </c>
      <c r="X2412" s="650" t="s">
        <v>12340</v>
      </c>
      <c r="Y2412" s="358" t="s">
        <v>6141</v>
      </c>
      <c r="Z2412" s="253">
        <v>19</v>
      </c>
      <c r="AA2412" s="253">
        <v>9.5</v>
      </c>
      <c r="AB2412" s="35">
        <f t="shared" ca="1" si="53"/>
        <v>0.47054613682544078</v>
      </c>
      <c r="AC2412" s="820"/>
      <c r="AD2412" s="821"/>
      <c r="AE2412" s="944"/>
      <c r="AF2412" s="925">
        <f>IF(X2412=X2411,AF2411,0)+IF(ISNUMBER(I2412),IF(I2412&lt;1,I2412,I2412*VLOOKUP(J2412,Summary!$H$2:$I$9,2)),VLOOKUP(J2412,Summary!$J$2:$K$9,2)*IF(ISNUMBER(H2412),H2412,1))</f>
        <v>0.23759259259259258</v>
      </c>
      <c r="AG2412" s="293">
        <v>2411</v>
      </c>
      <c r="AH2412" s="119"/>
      <c r="AI2412" s="119"/>
    </row>
    <row r="2413" spans="1:36" s="1" customFormat="1" ht="12" customHeight="1" x14ac:dyDescent="0.25">
      <c r="A2413" s="539">
        <v>25</v>
      </c>
      <c r="B2413" s="539">
        <v>7</v>
      </c>
      <c r="C2413" s="539">
        <v>30.15</v>
      </c>
      <c r="D2413" s="176" t="s">
        <v>5367</v>
      </c>
      <c r="E2413" s="313" t="s">
        <v>12787</v>
      </c>
      <c r="F2413" s="174">
        <v>39783</v>
      </c>
      <c r="G2413" s="174"/>
      <c r="H2413" s="176" t="s">
        <v>461</v>
      </c>
      <c r="I2413" s="176">
        <v>12</v>
      </c>
      <c r="J2413" s="900" t="s">
        <v>2755</v>
      </c>
      <c r="K2413" s="164" t="s">
        <v>610</v>
      </c>
      <c r="L2413" s="164" t="s">
        <v>461</v>
      </c>
      <c r="M2413" s="164"/>
      <c r="N2413" s="164" t="s">
        <v>4944</v>
      </c>
      <c r="O2413" s="164"/>
      <c r="P2413" s="173" t="s">
        <v>6702</v>
      </c>
      <c r="Q2413" s="164" t="s">
        <v>3947</v>
      </c>
      <c r="R2413" s="177" t="s">
        <v>2723</v>
      </c>
      <c r="S2413" s="354" t="s">
        <v>2542</v>
      </c>
      <c r="T2413" s="173"/>
      <c r="U2413" s="173"/>
      <c r="V2413" s="173"/>
      <c r="W2413" s="313" t="s">
        <v>609</v>
      </c>
      <c r="X2413" s="645" t="s">
        <v>12340</v>
      </c>
      <c r="Y2413" s="354"/>
      <c r="Z2413" s="176"/>
      <c r="AA2413" s="176"/>
      <c r="AB2413" s="32">
        <f t="shared" ca="1" si="53"/>
        <v>0.82956291593785347</v>
      </c>
      <c r="AC2413" s="812"/>
      <c r="AD2413" s="763"/>
      <c r="AE2413" s="807"/>
      <c r="AF2413" s="921">
        <f>IF(X2413=X2412,AF2412,0)+IF(ISNUMBER(I2413),IF(I2413&lt;1,I2413,I2413*VLOOKUP(J2413,Summary!$H$2:$I$9,2)),VLOOKUP(J2413,Summary!$J$2:$K$9,2)*IF(ISNUMBER(H2413),H2413,1))</f>
        <v>0.24592592592592591</v>
      </c>
      <c r="AG2413" s="289">
        <v>2412</v>
      </c>
      <c r="AH2413" s="94"/>
      <c r="AI2413" s="94"/>
      <c r="AJ2413" s="3"/>
    </row>
    <row r="2414" spans="1:36" s="22" customFormat="1" ht="12" customHeight="1" x14ac:dyDescent="0.2">
      <c r="A2414" s="543">
        <v>25</v>
      </c>
      <c r="B2414" s="543">
        <v>7</v>
      </c>
      <c r="C2414" s="544"/>
      <c r="D2414" s="185" t="s">
        <v>3505</v>
      </c>
      <c r="E2414" s="314" t="s">
        <v>4950</v>
      </c>
      <c r="F2414" s="183">
        <v>33390</v>
      </c>
      <c r="G2414" s="183"/>
      <c r="H2414" s="185">
        <v>1</v>
      </c>
      <c r="I2414" s="185">
        <v>5</v>
      </c>
      <c r="J2414" s="901" t="s">
        <v>1796</v>
      </c>
      <c r="K2414" s="163" t="s">
        <v>3807</v>
      </c>
      <c r="L2414" s="163" t="s">
        <v>4968</v>
      </c>
      <c r="M2414" s="163"/>
      <c r="N2414" s="163" t="s">
        <v>561</v>
      </c>
      <c r="O2414" s="163"/>
      <c r="P2414" s="182" t="s">
        <v>461</v>
      </c>
      <c r="Q2414" s="163" t="s">
        <v>4062</v>
      </c>
      <c r="R2414" s="186" t="s">
        <v>5266</v>
      </c>
      <c r="S2414" s="355" t="s">
        <v>2542</v>
      </c>
      <c r="T2414" s="182"/>
      <c r="U2414" s="182"/>
      <c r="V2414" s="182"/>
      <c r="W2414" s="314" t="s">
        <v>4950</v>
      </c>
      <c r="X2414" s="646" t="s">
        <v>12340</v>
      </c>
      <c r="Y2414" s="355"/>
      <c r="Z2414" s="185"/>
      <c r="AA2414" s="185"/>
      <c r="AB2414" s="33">
        <f t="shared" ca="1" si="53"/>
        <v>0.25408915331725224</v>
      </c>
      <c r="AC2414" s="813"/>
      <c r="AD2414" s="211" t="s">
        <v>16036</v>
      </c>
      <c r="AE2414" s="875" t="s">
        <v>12543</v>
      </c>
      <c r="AF2414" s="922">
        <f>IF(X2414=X2413,AF2413,0)+IF(ISNUMBER(I2414),IF(I2414&lt;1,I2414,I2414*VLOOKUP(J2414,Summary!$H$2:$I$9,2)),VLOOKUP(J2414,Summary!$J$2:$K$9,2)*IF(ISNUMBER(H2414),H2414,1))</f>
        <v>0.24766203703703701</v>
      </c>
      <c r="AG2414" s="290">
        <v>2413</v>
      </c>
      <c r="AH2414" s="94"/>
      <c r="AI2414" s="94"/>
    </row>
    <row r="2415" spans="1:36" s="1" customFormat="1" ht="12" customHeight="1" x14ac:dyDescent="0.25">
      <c r="A2415" s="538">
        <v>25</v>
      </c>
      <c r="B2415" s="538">
        <v>7</v>
      </c>
      <c r="C2415" s="538">
        <v>150</v>
      </c>
      <c r="D2415" s="424" t="s">
        <v>796</v>
      </c>
      <c r="E2415" s="319" t="s">
        <v>797</v>
      </c>
      <c r="F2415" s="198">
        <v>32470</v>
      </c>
      <c r="G2415" s="198">
        <v>32484</v>
      </c>
      <c r="H2415" s="199">
        <v>3</v>
      </c>
      <c r="I2415" s="791">
        <f>TIME(0,24,31)+TIME(0,24,12)+TIME(0,24,36)</f>
        <v>5.091435185185185E-2</v>
      </c>
      <c r="J2415" s="904" t="s">
        <v>1588</v>
      </c>
      <c r="K2415" s="200" t="s">
        <v>798</v>
      </c>
      <c r="L2415" s="200" t="s">
        <v>225</v>
      </c>
      <c r="M2415" s="200"/>
      <c r="N2415" s="200" t="s">
        <v>2939</v>
      </c>
      <c r="O2415" s="200" t="s">
        <v>6962</v>
      </c>
      <c r="P2415" s="197" t="s">
        <v>461</v>
      </c>
      <c r="Q2415" s="200" t="s">
        <v>3946</v>
      </c>
      <c r="R2415" s="201" t="s">
        <v>5280</v>
      </c>
      <c r="S2415" s="390" t="s">
        <v>2542</v>
      </c>
      <c r="T2415" s="197"/>
      <c r="U2415" s="197"/>
      <c r="V2415" s="197"/>
      <c r="W2415" s="318" t="s">
        <v>8748</v>
      </c>
      <c r="X2415" s="650" t="s">
        <v>12340</v>
      </c>
      <c r="Y2415" s="358" t="s">
        <v>6141</v>
      </c>
      <c r="Z2415" s="253">
        <v>291</v>
      </c>
      <c r="AA2415" s="253">
        <v>2</v>
      </c>
      <c r="AB2415" s="35">
        <f t="shared" ca="1" si="53"/>
        <v>5.8334937546461019E-2</v>
      </c>
      <c r="AC2415" s="820"/>
      <c r="AD2415" s="821" t="s">
        <v>16029</v>
      </c>
      <c r="AE2415" s="944"/>
      <c r="AF2415" s="925">
        <f>IF(X2415=X2414,AF2414,0)+IF(ISNUMBER(I2415),IF(I2415&lt;1,I2415,I2415*VLOOKUP(J2415,Summary!$H$2:$I$9,2)),VLOOKUP(J2415,Summary!$J$2:$K$9,2)*IF(ISNUMBER(H2415),H2415,1))</f>
        <v>0.29857638888888888</v>
      </c>
      <c r="AG2415" s="293">
        <v>2414</v>
      </c>
      <c r="AH2415" s="94"/>
      <c r="AI2415" s="94"/>
      <c r="AJ2415" s="2"/>
    </row>
    <row r="2416" spans="1:36" s="10" customFormat="1" ht="12" customHeight="1" x14ac:dyDescent="0.25">
      <c r="A2416" s="539">
        <v>25</v>
      </c>
      <c r="B2416" s="539">
        <v>7</v>
      </c>
      <c r="C2416" s="540">
        <v>61</v>
      </c>
      <c r="D2416" s="176" t="s">
        <v>7624</v>
      </c>
      <c r="E2416" s="313" t="s">
        <v>1537</v>
      </c>
      <c r="F2416" s="174">
        <v>34578</v>
      </c>
      <c r="G2416" s="174"/>
      <c r="H2416" s="176">
        <v>1</v>
      </c>
      <c r="I2416" s="176">
        <v>4</v>
      </c>
      <c r="J2416" s="900" t="s">
        <v>2755</v>
      </c>
      <c r="K2416" s="164" t="s">
        <v>175</v>
      </c>
      <c r="L2416" s="164" t="s">
        <v>461</v>
      </c>
      <c r="M2416" s="164"/>
      <c r="N2416" s="164" t="s">
        <v>7626</v>
      </c>
      <c r="O2416" s="164"/>
      <c r="P2416" s="173" t="s">
        <v>7627</v>
      </c>
      <c r="Q2416" s="164" t="s">
        <v>4062</v>
      </c>
      <c r="R2416" s="177" t="s">
        <v>4599</v>
      </c>
      <c r="S2416" s="354" t="s">
        <v>2542</v>
      </c>
      <c r="T2416" s="173"/>
      <c r="U2416" s="173"/>
      <c r="V2416" s="173"/>
      <c r="W2416" s="313" t="s">
        <v>1537</v>
      </c>
      <c r="X2416" s="645" t="s">
        <v>12340</v>
      </c>
      <c r="Y2416" s="354" t="s">
        <v>6868</v>
      </c>
      <c r="Z2416" s="176">
        <v>999</v>
      </c>
      <c r="AA2416" s="176"/>
      <c r="AB2416" s="32">
        <f t="shared" ca="1" si="53"/>
        <v>0.16707933727321178</v>
      </c>
      <c r="AC2416" s="812"/>
      <c r="AD2416" s="763"/>
      <c r="AE2416" s="807"/>
      <c r="AF2416" s="921">
        <f>IF(X2416=X2415,AF2415,0)+IF(ISNUMBER(I2416),IF(I2416&lt;1,I2416,I2416*VLOOKUP(J2416,Summary!$H$2:$I$9,2)),VLOOKUP(J2416,Summary!$J$2:$K$9,2)*IF(ISNUMBER(H2416),H2416,1))</f>
        <v>0.30135416666666665</v>
      </c>
      <c r="AG2416" s="289">
        <v>2415</v>
      </c>
      <c r="AH2416" s="94"/>
      <c r="AI2416" s="94"/>
      <c r="AJ2416" s="2"/>
    </row>
    <row r="2417" spans="1:36" s="10" customFormat="1" ht="12" customHeight="1" x14ac:dyDescent="0.25">
      <c r="A2417" s="546">
        <v>25</v>
      </c>
      <c r="B2417" s="546">
        <v>7</v>
      </c>
      <c r="C2417" s="547">
        <v>7</v>
      </c>
      <c r="D2417" s="192" t="s">
        <v>12646</v>
      </c>
      <c r="E2417" s="317" t="s">
        <v>12647</v>
      </c>
      <c r="F2417" s="209">
        <v>42985</v>
      </c>
      <c r="G2417" s="192"/>
      <c r="H2417" s="192" t="s">
        <v>461</v>
      </c>
      <c r="I2417" s="192"/>
      <c r="J2417" s="903" t="s">
        <v>2755</v>
      </c>
      <c r="K2417" s="194" t="s">
        <v>179</v>
      </c>
      <c r="L2417" s="194" t="s">
        <v>12629</v>
      </c>
      <c r="M2417" s="194" t="s">
        <v>498</v>
      </c>
      <c r="N2417" s="194"/>
      <c r="O2417" s="194"/>
      <c r="P2417" s="190" t="s">
        <v>12632</v>
      </c>
      <c r="Q2417" s="194" t="s">
        <v>3954</v>
      </c>
      <c r="R2417" s="193" t="s">
        <v>12631</v>
      </c>
      <c r="S2417" s="357" t="s">
        <v>2542</v>
      </c>
      <c r="T2417" s="190"/>
      <c r="U2417" s="190"/>
      <c r="V2417" s="190"/>
      <c r="W2417" s="317" t="s">
        <v>12647</v>
      </c>
      <c r="X2417" s="649" t="s">
        <v>12340</v>
      </c>
      <c r="Y2417" s="357"/>
      <c r="Z2417" s="192"/>
      <c r="AA2417" s="192"/>
      <c r="AB2417" s="37">
        <f t="shared" ca="1" si="53"/>
        <v>0.97462634488765076</v>
      </c>
      <c r="AC2417" s="816"/>
      <c r="AD2417" s="817"/>
      <c r="AE2417" s="943"/>
      <c r="AF2417" s="924">
        <f>IF(X2417=X2416,AF2416,0)+IF(ISNUMBER(I2417),IF(I2417&lt;1,I2417,I2417*VLOOKUP(J2417,Summary!$H$2:$I$9,2)),VLOOKUP(J2417,Summary!$J$2:$K$9,2)*IF(ISNUMBER(H2417),H2417,1))</f>
        <v>0.31871527777777775</v>
      </c>
      <c r="AG2417" s="292">
        <v>2416</v>
      </c>
      <c r="AH2417" s="94"/>
      <c r="AI2417" s="94"/>
      <c r="AJ2417" s="27"/>
    </row>
    <row r="2418" spans="1:36" s="22" customFormat="1" ht="12" customHeight="1" x14ac:dyDescent="0.25">
      <c r="A2418" s="539">
        <v>25</v>
      </c>
      <c r="B2418" s="539">
        <v>7</v>
      </c>
      <c r="C2418" s="540">
        <v>7</v>
      </c>
      <c r="D2418" s="176" t="s">
        <v>13285</v>
      </c>
      <c r="E2418" s="313" t="s">
        <v>13286</v>
      </c>
      <c r="F2418" s="175">
        <v>42649</v>
      </c>
      <c r="G2418" s="174"/>
      <c r="H2418" s="176" t="s">
        <v>461</v>
      </c>
      <c r="I2418" s="176"/>
      <c r="J2418" s="900" t="s">
        <v>2755</v>
      </c>
      <c r="K2418" s="164" t="s">
        <v>1935</v>
      </c>
      <c r="L2418" s="164" t="s">
        <v>13287</v>
      </c>
      <c r="M2418" s="164"/>
      <c r="N2418" s="164"/>
      <c r="O2418" s="164"/>
      <c r="P2418" s="173" t="s">
        <v>12400</v>
      </c>
      <c r="Q2418" s="164" t="s">
        <v>3953</v>
      </c>
      <c r="R2418" s="177" t="s">
        <v>13260</v>
      </c>
      <c r="S2418" s="354" t="s">
        <v>2542</v>
      </c>
      <c r="T2418" s="173"/>
      <c r="U2418" s="173"/>
      <c r="V2418" s="173"/>
      <c r="W2418" s="313" t="s">
        <v>13286</v>
      </c>
      <c r="X2418" s="656" t="s">
        <v>12340</v>
      </c>
      <c r="Y2418" s="354"/>
      <c r="Z2418" s="176"/>
      <c r="AA2418" s="176"/>
      <c r="AB2418" s="32">
        <f t="shared" ca="1" si="53"/>
        <v>0.62518576848001994</v>
      </c>
      <c r="AC2418" s="812"/>
      <c r="AD2418" s="763"/>
      <c r="AE2418" s="807"/>
      <c r="AF2418" s="921">
        <f>IF(X2418=X2417,AF2417,0)+IF(ISNUMBER(I2418),IF(I2418&lt;1,I2418,I2418*VLOOKUP(J2418,Summary!$H$2:$I$9,2)),VLOOKUP(J2418,Summary!$J$2:$K$9,2)*IF(ISNUMBER(H2418),H2418,1))</f>
        <v>0.33607638888888886</v>
      </c>
      <c r="AG2418" s="289">
        <v>2417</v>
      </c>
      <c r="AH2418" s="94"/>
      <c r="AI2418" s="94"/>
    </row>
    <row r="2419" spans="1:36" s="6" customFormat="1" ht="12" customHeight="1" x14ac:dyDescent="0.25">
      <c r="A2419" s="541">
        <v>25</v>
      </c>
      <c r="B2419" s="541">
        <v>7</v>
      </c>
      <c r="C2419" s="541">
        <v>180</v>
      </c>
      <c r="D2419" s="407"/>
      <c r="E2419" s="315" t="s">
        <v>8142</v>
      </c>
      <c r="F2419" s="169">
        <v>41579</v>
      </c>
      <c r="G2419" s="170"/>
      <c r="H2419" s="170">
        <v>4</v>
      </c>
      <c r="I2419" s="746">
        <f>TIME(1,59,40)</f>
        <v>8.3101851851851857E-2</v>
      </c>
      <c r="J2419" s="899" t="s">
        <v>4706</v>
      </c>
      <c r="K2419" s="167" t="s">
        <v>5666</v>
      </c>
      <c r="L2419" s="167" t="s">
        <v>2313</v>
      </c>
      <c r="M2419" s="167"/>
      <c r="N2419" s="167"/>
      <c r="O2419" s="167"/>
      <c r="P2419" s="168" t="s">
        <v>8143</v>
      </c>
      <c r="Q2419" s="167" t="s">
        <v>3947</v>
      </c>
      <c r="R2419" s="172" t="s">
        <v>3146</v>
      </c>
      <c r="S2419" s="388" t="s">
        <v>2542</v>
      </c>
      <c r="T2419" s="168" t="s">
        <v>14551</v>
      </c>
      <c r="U2419" s="168" t="s">
        <v>14552</v>
      </c>
      <c r="V2419" s="168" t="s">
        <v>14553</v>
      </c>
      <c r="W2419" s="312" t="s">
        <v>9523</v>
      </c>
      <c r="X2419" s="644" t="s">
        <v>12468</v>
      </c>
      <c r="Y2419" s="352" t="s">
        <v>5643</v>
      </c>
      <c r="Z2419" s="353">
        <v>305</v>
      </c>
      <c r="AA2419" s="353">
        <v>5.5</v>
      </c>
      <c r="AB2419" s="31">
        <f t="shared" ca="1" si="53"/>
        <v>0.77376420350900876</v>
      </c>
      <c r="AC2419" s="810"/>
      <c r="AD2419" s="811"/>
      <c r="AE2419" s="940"/>
      <c r="AF2419" s="920">
        <f>IF(X2419=X2418,AF2418,0)+IF(ISNUMBER(I2419),IF(I2419&lt;1,I2419,I2419*VLOOKUP(J2419,Summary!$H$2:$I$9,2)),VLOOKUP(J2419,Summary!$J$2:$K$9,2)*IF(ISNUMBER(H2419),H2419,1))</f>
        <v>8.3101851851851857E-2</v>
      </c>
      <c r="AG2419" s="287">
        <v>2418</v>
      </c>
      <c r="AH2419" s="94"/>
      <c r="AI2419" s="94"/>
      <c r="AJ2419" s="43"/>
    </row>
    <row r="2420" spans="1:36" s="6" customFormat="1" ht="12" customHeight="1" x14ac:dyDescent="0.25">
      <c r="A2420" s="405"/>
      <c r="B2420" s="406" t="s">
        <v>15938</v>
      </c>
      <c r="C2420" s="405">
        <v>1.1000000000000001</v>
      </c>
      <c r="D2420" s="407">
        <v>1.1000000000000001</v>
      </c>
      <c r="E2420" s="315" t="s">
        <v>6630</v>
      </c>
      <c r="F2420" s="169">
        <v>41091</v>
      </c>
      <c r="G2420" s="170"/>
      <c r="H2420" s="170">
        <v>1</v>
      </c>
      <c r="I2420" s="746">
        <f>TIME(1,8,39)</f>
        <v>4.7673611111111104E-2</v>
      </c>
      <c r="J2420" s="899" t="s">
        <v>4706</v>
      </c>
      <c r="K2420" s="167" t="s">
        <v>2304</v>
      </c>
      <c r="L2420" s="167" t="s">
        <v>2313</v>
      </c>
      <c r="M2420" s="167"/>
      <c r="N2420" s="167" t="s">
        <v>5666</v>
      </c>
      <c r="O2420" s="167" t="s">
        <v>3295</v>
      </c>
      <c r="P2420" s="168" t="s">
        <v>4366</v>
      </c>
      <c r="Q2420" s="167" t="s">
        <v>3947</v>
      </c>
      <c r="R2420" s="172" t="s">
        <v>536</v>
      </c>
      <c r="S2420" s="388"/>
      <c r="T2420" s="168" t="s">
        <v>14551</v>
      </c>
      <c r="U2420" s="168" t="s">
        <v>14552</v>
      </c>
      <c r="V2420" s="168" t="s">
        <v>14553</v>
      </c>
      <c r="W2420" s="315" t="s">
        <v>6630</v>
      </c>
      <c r="X2420" s="647" t="s">
        <v>12468</v>
      </c>
      <c r="Y2420" s="352" t="s">
        <v>5643</v>
      </c>
      <c r="Z2420" s="353">
        <v>144</v>
      </c>
      <c r="AA2420" s="353">
        <v>6.5</v>
      </c>
      <c r="AB2420" s="40">
        <f t="shared" ca="1" si="53"/>
        <v>0.31957055435613624</v>
      </c>
      <c r="AC2420" s="810"/>
      <c r="AD2420" s="811"/>
      <c r="AE2420" s="940"/>
      <c r="AF2420" s="920">
        <f>IF(X2420=X2419,AF2419,0)+IF(ISNUMBER(I2420),IF(I2420&lt;1,I2420,I2420*VLOOKUP(J2420,Summary!$H$2:$I$9,2)),VLOOKUP(J2420,Summary!$J$2:$K$9,2)*IF(ISNUMBER(H2420),H2420,1))</f>
        <v>0.13077546296296297</v>
      </c>
      <c r="AG2420" s="287">
        <v>2419</v>
      </c>
      <c r="AH2420" s="94"/>
      <c r="AI2420" s="94"/>
      <c r="AJ2420" s="22"/>
    </row>
    <row r="2421" spans="1:36" s="22" customFormat="1" ht="12" customHeight="1" x14ac:dyDescent="0.25">
      <c r="A2421" s="405"/>
      <c r="B2421" s="406" t="s">
        <v>15938</v>
      </c>
      <c r="C2421" s="405">
        <v>1.2</v>
      </c>
      <c r="D2421" s="407">
        <v>1.2</v>
      </c>
      <c r="E2421" s="315" t="s">
        <v>7118</v>
      </c>
      <c r="F2421" s="169">
        <v>41091</v>
      </c>
      <c r="G2421" s="170"/>
      <c r="H2421" s="170">
        <v>1</v>
      </c>
      <c r="I2421" s="746">
        <f>TIME(1,6,19)</f>
        <v>4.6053240740740742E-2</v>
      </c>
      <c r="J2421" s="899" t="s">
        <v>4706</v>
      </c>
      <c r="K2421" s="167" t="s">
        <v>6452</v>
      </c>
      <c r="L2421" s="167" t="s">
        <v>2313</v>
      </c>
      <c r="M2421" s="167"/>
      <c r="N2421" s="167" t="s">
        <v>5666</v>
      </c>
      <c r="O2421" s="167" t="s">
        <v>3295</v>
      </c>
      <c r="P2421" s="168" t="s">
        <v>4366</v>
      </c>
      <c r="Q2421" s="167" t="s">
        <v>3947</v>
      </c>
      <c r="R2421" s="172" t="s">
        <v>536</v>
      </c>
      <c r="S2421" s="388"/>
      <c r="T2421" s="168" t="s">
        <v>14551</v>
      </c>
      <c r="U2421" s="168" t="s">
        <v>14552</v>
      </c>
      <c r="V2421" s="168" t="s">
        <v>14553</v>
      </c>
      <c r="W2421" s="315" t="s">
        <v>7118</v>
      </c>
      <c r="X2421" s="647" t="s">
        <v>12468</v>
      </c>
      <c r="Y2421" s="352" t="s">
        <v>5643</v>
      </c>
      <c r="Z2421" s="353">
        <v>105</v>
      </c>
      <c r="AA2421" s="353">
        <v>7.5</v>
      </c>
      <c r="AB2421" s="40">
        <f t="shared" ca="1" si="53"/>
        <v>0.87422285783167697</v>
      </c>
      <c r="AC2421" s="810"/>
      <c r="AD2421" s="811"/>
      <c r="AE2421" s="940"/>
      <c r="AF2421" s="920">
        <f>IF(X2421=X2420,AF2420,0)+IF(ISNUMBER(I2421),IF(I2421&lt;1,I2421,I2421*VLOOKUP(J2421,Summary!$H$2:$I$9,2)),VLOOKUP(J2421,Summary!$J$2:$K$9,2)*IF(ISNUMBER(H2421),H2421,1))</f>
        <v>0.17682870370370371</v>
      </c>
      <c r="AG2421" s="287">
        <v>2420</v>
      </c>
      <c r="AH2421" s="94"/>
      <c r="AI2421" s="94"/>
      <c r="AJ2421" s="2"/>
    </row>
    <row r="2422" spans="1:36" s="1" customFormat="1" ht="12" customHeight="1" x14ac:dyDescent="0.25">
      <c r="A2422" s="405"/>
      <c r="B2422" s="406" t="s">
        <v>15938</v>
      </c>
      <c r="C2422" s="405">
        <v>1.3</v>
      </c>
      <c r="D2422" s="407">
        <v>1.3</v>
      </c>
      <c r="E2422" s="315" t="s">
        <v>6631</v>
      </c>
      <c r="F2422" s="169">
        <v>41091</v>
      </c>
      <c r="G2422" s="170"/>
      <c r="H2422" s="170">
        <v>1</v>
      </c>
      <c r="I2422" s="747">
        <f>TIME(0,60,0)</f>
        <v>4.1666666666666664E-2</v>
      </c>
      <c r="J2422" s="899" t="s">
        <v>4706</v>
      </c>
      <c r="K2422" s="167" t="s">
        <v>3424</v>
      </c>
      <c r="L2422" s="167" t="s">
        <v>2313</v>
      </c>
      <c r="M2422" s="167"/>
      <c r="N2422" s="167" t="s">
        <v>5666</v>
      </c>
      <c r="O2422" s="167" t="s">
        <v>3295</v>
      </c>
      <c r="P2422" s="168" t="s">
        <v>4366</v>
      </c>
      <c r="Q2422" s="167" t="s">
        <v>3947</v>
      </c>
      <c r="R2422" s="172" t="s">
        <v>536</v>
      </c>
      <c r="S2422" s="388"/>
      <c r="T2422" s="168" t="s">
        <v>14551</v>
      </c>
      <c r="U2422" s="168" t="s">
        <v>14552</v>
      </c>
      <c r="V2422" s="168" t="s">
        <v>14553</v>
      </c>
      <c r="W2422" s="315" t="s">
        <v>6631</v>
      </c>
      <c r="X2422" s="647" t="s">
        <v>12468</v>
      </c>
      <c r="Y2422" s="352" t="s">
        <v>11456</v>
      </c>
      <c r="Z2422" s="353">
        <v>561</v>
      </c>
      <c r="AA2422" s="353">
        <v>3.5</v>
      </c>
      <c r="AB2422" s="40">
        <f t="shared" ca="1" si="53"/>
        <v>0.45647637092973414</v>
      </c>
      <c r="AC2422" s="810"/>
      <c r="AD2422" s="811"/>
      <c r="AE2422" s="940"/>
      <c r="AF2422" s="920">
        <f>IF(X2422=X2421,AF2421,0)+IF(ISNUMBER(I2422),IF(I2422&lt;1,I2422,I2422*VLOOKUP(J2422,Summary!$H$2:$I$9,2)),VLOOKUP(J2422,Summary!$J$2:$K$9,2)*IF(ISNUMBER(H2422),H2422,1))</f>
        <v>0.21849537037037037</v>
      </c>
      <c r="AG2422" s="287">
        <v>2421</v>
      </c>
      <c r="AH2422" s="94"/>
      <c r="AI2422" s="94"/>
      <c r="AJ2422" s="3"/>
    </row>
    <row r="2423" spans="1:36" s="22" customFormat="1" ht="12" customHeight="1" x14ac:dyDescent="0.25">
      <c r="A2423" s="405"/>
      <c r="B2423" s="406" t="s">
        <v>15938</v>
      </c>
      <c r="C2423" s="405">
        <v>1.4</v>
      </c>
      <c r="D2423" s="407">
        <v>1.4</v>
      </c>
      <c r="E2423" s="315" t="s">
        <v>535</v>
      </c>
      <c r="F2423" s="169">
        <v>41091</v>
      </c>
      <c r="G2423" s="170"/>
      <c r="H2423" s="170">
        <v>1</v>
      </c>
      <c r="I2423" s="747">
        <f>TIME(0,60,0)</f>
        <v>4.1666666666666664E-2</v>
      </c>
      <c r="J2423" s="899" t="s">
        <v>4706</v>
      </c>
      <c r="K2423" s="167" t="s">
        <v>543</v>
      </c>
      <c r="L2423" s="167" t="s">
        <v>2313</v>
      </c>
      <c r="M2423" s="167"/>
      <c r="N2423" s="167" t="s">
        <v>5666</v>
      </c>
      <c r="O2423" s="167" t="s">
        <v>3295</v>
      </c>
      <c r="P2423" s="168" t="s">
        <v>4366</v>
      </c>
      <c r="Q2423" s="167" t="s">
        <v>3947</v>
      </c>
      <c r="R2423" s="172" t="s">
        <v>536</v>
      </c>
      <c r="S2423" s="388"/>
      <c r="T2423" s="168" t="s">
        <v>14551</v>
      </c>
      <c r="U2423" s="168" t="s">
        <v>14552</v>
      </c>
      <c r="V2423" s="168" t="s">
        <v>14553</v>
      </c>
      <c r="W2423" s="315" t="s">
        <v>535</v>
      </c>
      <c r="X2423" s="647" t="s">
        <v>12468</v>
      </c>
      <c r="Y2423" s="352" t="s">
        <v>11456</v>
      </c>
      <c r="Z2423" s="353">
        <v>424</v>
      </c>
      <c r="AA2423" s="353">
        <v>4.5</v>
      </c>
      <c r="AB2423" s="40">
        <f t="shared" ca="1" si="53"/>
        <v>0.65165421201600893</v>
      </c>
      <c r="AC2423" s="810"/>
      <c r="AD2423" s="811"/>
      <c r="AE2423" s="940"/>
      <c r="AF2423" s="920">
        <f>IF(X2423=X2422,AF2422,0)+IF(ISNUMBER(I2423),IF(I2423&lt;1,I2423,I2423*VLOOKUP(J2423,Summary!$H$2:$I$9,2)),VLOOKUP(J2423,Summary!$J$2:$K$9,2)*IF(ISNUMBER(H2423),H2423,1))</f>
        <v>0.26016203703703705</v>
      </c>
      <c r="AG2423" s="287">
        <v>2422</v>
      </c>
      <c r="AH2423" s="94"/>
      <c r="AI2423" s="94"/>
      <c r="AJ2423" s="2"/>
    </row>
    <row r="2424" spans="1:36" s="2" customFormat="1" ht="12" customHeight="1" x14ac:dyDescent="0.25">
      <c r="A2424" s="405"/>
      <c r="B2424" s="406" t="s">
        <v>15938</v>
      </c>
      <c r="C2424" s="405">
        <v>8.1999999999999993</v>
      </c>
      <c r="D2424" s="407" t="s">
        <v>8560</v>
      </c>
      <c r="E2424" s="315" t="s">
        <v>8561</v>
      </c>
      <c r="F2424" s="196">
        <v>41890</v>
      </c>
      <c r="G2424" s="170"/>
      <c r="H2424" s="170">
        <v>1</v>
      </c>
      <c r="I2424" s="746">
        <f>TIME(0,56,22)</f>
        <v>3.9143518518518515E-2</v>
      </c>
      <c r="J2424" s="899" t="s">
        <v>4706</v>
      </c>
      <c r="K2424" s="167" t="s">
        <v>543</v>
      </c>
      <c r="L2424" s="167" t="s">
        <v>8556</v>
      </c>
      <c r="M2424" s="167"/>
      <c r="N2424" s="167" t="s">
        <v>6452</v>
      </c>
      <c r="O2424" s="167" t="s">
        <v>3295</v>
      </c>
      <c r="P2424" s="168" t="s">
        <v>7745</v>
      </c>
      <c r="Q2424" s="167" t="s">
        <v>3947</v>
      </c>
      <c r="R2424" s="172" t="s">
        <v>3147</v>
      </c>
      <c r="S2424" s="388"/>
      <c r="T2424" s="168" t="s">
        <v>14551</v>
      </c>
      <c r="U2424" s="168" t="s">
        <v>14552</v>
      </c>
      <c r="V2424" s="168" t="s">
        <v>14553</v>
      </c>
      <c r="W2424" s="315" t="s">
        <v>8561</v>
      </c>
      <c r="X2424" s="647" t="s">
        <v>12468</v>
      </c>
      <c r="Y2424" s="352" t="s">
        <v>5643</v>
      </c>
      <c r="Z2424" s="353">
        <v>453</v>
      </c>
      <c r="AA2424" s="353">
        <v>4.5</v>
      </c>
      <c r="AB2424" s="31">
        <f t="shared" ca="1" si="53"/>
        <v>0.32069357650536634</v>
      </c>
      <c r="AC2424" s="810" t="s">
        <v>11119</v>
      </c>
      <c r="AD2424" s="811"/>
      <c r="AE2424" s="940"/>
      <c r="AF2424" s="920">
        <f>IF(X2424=X2423,AF2423,0)+IF(ISNUMBER(I2424),IF(I2424&lt;1,I2424,I2424*VLOOKUP(J2424,Summary!$H$2:$I$9,2)),VLOOKUP(J2424,Summary!$J$2:$K$9,2)*IF(ISNUMBER(H2424),H2424,1))</f>
        <v>0.29930555555555555</v>
      </c>
      <c r="AG2424" s="287">
        <v>2423</v>
      </c>
      <c r="AH2424" s="94"/>
      <c r="AI2424" s="94"/>
      <c r="AJ2424" s="43"/>
    </row>
    <row r="2425" spans="1:36" s="2" customFormat="1" ht="12" customHeight="1" x14ac:dyDescent="0.25">
      <c r="A2425" s="405"/>
      <c r="B2425" s="406" t="s">
        <v>15938</v>
      </c>
      <c r="C2425" s="405">
        <v>2.1</v>
      </c>
      <c r="D2425" s="407">
        <v>2.1</v>
      </c>
      <c r="E2425" s="315" t="s">
        <v>3513</v>
      </c>
      <c r="F2425" s="169">
        <v>41426</v>
      </c>
      <c r="G2425" s="170"/>
      <c r="H2425" s="170">
        <v>1</v>
      </c>
      <c r="I2425" s="747">
        <f>TIME(0,60,0)</f>
        <v>4.1666666666666664E-2</v>
      </c>
      <c r="J2425" s="899" t="s">
        <v>4706</v>
      </c>
      <c r="K2425" s="167" t="s">
        <v>6452</v>
      </c>
      <c r="L2425" s="167" t="s">
        <v>2313</v>
      </c>
      <c r="M2425" s="167"/>
      <c r="N2425" s="167" t="s">
        <v>5666</v>
      </c>
      <c r="O2425" s="167" t="s">
        <v>3295</v>
      </c>
      <c r="P2425" s="168" t="s">
        <v>8574</v>
      </c>
      <c r="Q2425" s="167" t="s">
        <v>3947</v>
      </c>
      <c r="R2425" s="172" t="s">
        <v>536</v>
      </c>
      <c r="S2425" s="388"/>
      <c r="T2425" s="168" t="s">
        <v>14551</v>
      </c>
      <c r="U2425" s="168" t="s">
        <v>14552</v>
      </c>
      <c r="V2425" s="168" t="s">
        <v>14553</v>
      </c>
      <c r="W2425" s="315" t="s">
        <v>3513</v>
      </c>
      <c r="X2425" s="647" t="s">
        <v>12468</v>
      </c>
      <c r="Y2425" s="352" t="s">
        <v>11456</v>
      </c>
      <c r="Z2425" s="353">
        <v>93</v>
      </c>
      <c r="AA2425" s="353">
        <v>7.5</v>
      </c>
      <c r="AB2425" s="40">
        <f t="shared" ca="1" si="53"/>
        <v>0.13646824802151591</v>
      </c>
      <c r="AC2425" s="810"/>
      <c r="AD2425" s="811"/>
      <c r="AE2425" s="940"/>
      <c r="AF2425" s="920">
        <f>IF(X2425=X2424,AF2424,0)+IF(ISNUMBER(I2425),IF(I2425&lt;1,I2425,I2425*VLOOKUP(J2425,Summary!$H$2:$I$9,2)),VLOOKUP(J2425,Summary!$J$2:$K$9,2)*IF(ISNUMBER(H2425),H2425,1))</f>
        <v>0.34097222222222223</v>
      </c>
      <c r="AG2425" s="287">
        <v>2424</v>
      </c>
      <c r="AH2425" s="94"/>
      <c r="AI2425" s="94"/>
      <c r="AJ2425" s="22"/>
    </row>
    <row r="2426" spans="1:36" s="2" customFormat="1" ht="12" customHeight="1" x14ac:dyDescent="0.25">
      <c r="A2426" s="405"/>
      <c r="B2426" s="406" t="s">
        <v>15938</v>
      </c>
      <c r="C2426" s="405">
        <v>2.2000000000000002</v>
      </c>
      <c r="D2426" s="407">
        <v>2.2000000000000002</v>
      </c>
      <c r="E2426" s="315" t="s">
        <v>8567</v>
      </c>
      <c r="F2426" s="169">
        <v>41426</v>
      </c>
      <c r="G2426" s="170"/>
      <c r="H2426" s="170">
        <v>1</v>
      </c>
      <c r="I2426" s="747">
        <f>TIME(0,60,0)</f>
        <v>4.1666666666666664E-2</v>
      </c>
      <c r="J2426" s="899" t="s">
        <v>4706</v>
      </c>
      <c r="K2426" s="167" t="s">
        <v>1643</v>
      </c>
      <c r="L2426" s="167" t="s">
        <v>2313</v>
      </c>
      <c r="M2426" s="167"/>
      <c r="N2426" s="167" t="s">
        <v>5666</v>
      </c>
      <c r="O2426" s="167" t="s">
        <v>3295</v>
      </c>
      <c r="P2426" s="168" t="s">
        <v>8574</v>
      </c>
      <c r="Q2426" s="167" t="s">
        <v>3947</v>
      </c>
      <c r="R2426" s="172" t="s">
        <v>536</v>
      </c>
      <c r="S2426" s="388"/>
      <c r="T2426" s="168" t="s">
        <v>14551</v>
      </c>
      <c r="U2426" s="168" t="s">
        <v>14552</v>
      </c>
      <c r="V2426" s="168" t="s">
        <v>14553</v>
      </c>
      <c r="W2426" s="315" t="s">
        <v>8567</v>
      </c>
      <c r="X2426" s="647" t="s">
        <v>12468</v>
      </c>
      <c r="Y2426" s="352" t="s">
        <v>11456</v>
      </c>
      <c r="Z2426" s="353">
        <v>156</v>
      </c>
      <c r="AA2426" s="353">
        <v>6.5</v>
      </c>
      <c r="AB2426" s="40">
        <f t="shared" ca="1" si="53"/>
        <v>0.88726127038076885</v>
      </c>
      <c r="AC2426" s="810"/>
      <c r="AD2426" s="811"/>
      <c r="AE2426" s="940"/>
      <c r="AF2426" s="920">
        <f>IF(X2426=X2425,AF2425,0)+IF(ISNUMBER(I2426),IF(I2426&lt;1,I2426,I2426*VLOOKUP(J2426,Summary!$H$2:$I$9,2)),VLOOKUP(J2426,Summary!$J$2:$K$9,2)*IF(ISNUMBER(H2426),H2426,1))</f>
        <v>0.38263888888888892</v>
      </c>
      <c r="AG2426" s="287">
        <v>2425</v>
      </c>
      <c r="AH2426" s="94"/>
      <c r="AI2426" s="94"/>
      <c r="AJ2426" s="6"/>
    </row>
    <row r="2427" spans="1:36" s="22" customFormat="1" ht="12" customHeight="1" x14ac:dyDescent="0.25">
      <c r="A2427" s="405"/>
      <c r="B2427" s="406" t="s">
        <v>15938</v>
      </c>
      <c r="C2427" s="405">
        <v>2.2999999999999998</v>
      </c>
      <c r="D2427" s="407">
        <v>2.2999999999999998</v>
      </c>
      <c r="E2427" s="315" t="s">
        <v>8568</v>
      </c>
      <c r="F2427" s="169">
        <v>41426</v>
      </c>
      <c r="G2427" s="170"/>
      <c r="H2427" s="170">
        <v>1</v>
      </c>
      <c r="I2427" s="747">
        <f>TIME(0,60,0)</f>
        <v>4.1666666666666664E-2</v>
      </c>
      <c r="J2427" s="899" t="s">
        <v>4706</v>
      </c>
      <c r="K2427" s="167" t="s">
        <v>5146</v>
      </c>
      <c r="L2427" s="167" t="s">
        <v>2313</v>
      </c>
      <c r="M2427" s="167"/>
      <c r="N2427" s="167" t="s">
        <v>5666</v>
      </c>
      <c r="O2427" s="167" t="s">
        <v>3295</v>
      </c>
      <c r="P2427" s="168" t="s">
        <v>8574</v>
      </c>
      <c r="Q2427" s="167" t="s">
        <v>3947</v>
      </c>
      <c r="R2427" s="172" t="s">
        <v>536</v>
      </c>
      <c r="S2427" s="388"/>
      <c r="T2427" s="168" t="s">
        <v>14551</v>
      </c>
      <c r="U2427" s="168" t="s">
        <v>14552</v>
      </c>
      <c r="V2427" s="168" t="s">
        <v>14553</v>
      </c>
      <c r="W2427" s="315" t="s">
        <v>8568</v>
      </c>
      <c r="X2427" s="647" t="s">
        <v>12468</v>
      </c>
      <c r="Y2427" s="352" t="s">
        <v>11456</v>
      </c>
      <c r="Z2427" s="353">
        <v>123</v>
      </c>
      <c r="AA2427" s="353">
        <v>7</v>
      </c>
      <c r="AB2427" s="40">
        <f t="shared" ca="1" si="53"/>
        <v>0.62393938901660273</v>
      </c>
      <c r="AC2427" s="810"/>
      <c r="AD2427" s="811"/>
      <c r="AE2427" s="940"/>
      <c r="AF2427" s="920">
        <f>IF(X2427=X2426,AF2426,0)+IF(ISNUMBER(I2427),IF(I2427&lt;1,I2427,I2427*VLOOKUP(J2427,Summary!$H$2:$I$9,2)),VLOOKUP(J2427,Summary!$J$2:$K$9,2)*IF(ISNUMBER(H2427),H2427,1))</f>
        <v>0.4243055555555556</v>
      </c>
      <c r="AG2427" s="287">
        <v>2426</v>
      </c>
      <c r="AH2427" s="94"/>
      <c r="AI2427" s="94"/>
      <c r="AJ2427" s="3"/>
    </row>
    <row r="2428" spans="1:36" s="2" customFormat="1" ht="12" customHeight="1" x14ac:dyDescent="0.25">
      <c r="A2428" s="405"/>
      <c r="B2428" s="406" t="s">
        <v>15938</v>
      </c>
      <c r="C2428" s="405">
        <v>2.4</v>
      </c>
      <c r="D2428" s="407">
        <v>2.4</v>
      </c>
      <c r="E2428" s="315" t="s">
        <v>8569</v>
      </c>
      <c r="F2428" s="169">
        <v>41426</v>
      </c>
      <c r="G2428" s="170"/>
      <c r="H2428" s="170">
        <v>1</v>
      </c>
      <c r="I2428" s="747">
        <f>TIME(0,60,0)</f>
        <v>4.1666666666666664E-2</v>
      </c>
      <c r="J2428" s="899" t="s">
        <v>4706</v>
      </c>
      <c r="K2428" s="167" t="s">
        <v>5666</v>
      </c>
      <c r="L2428" s="167" t="s">
        <v>2313</v>
      </c>
      <c r="M2428" s="167"/>
      <c r="N2428" s="167" t="s">
        <v>5666</v>
      </c>
      <c r="O2428" s="167" t="s">
        <v>3295</v>
      </c>
      <c r="P2428" s="168" t="s">
        <v>8574</v>
      </c>
      <c r="Q2428" s="167" t="s">
        <v>3947</v>
      </c>
      <c r="R2428" s="172" t="s">
        <v>536</v>
      </c>
      <c r="S2428" s="388"/>
      <c r="T2428" s="168" t="s">
        <v>14551</v>
      </c>
      <c r="U2428" s="168" t="s">
        <v>14552</v>
      </c>
      <c r="V2428" s="168" t="s">
        <v>14553</v>
      </c>
      <c r="W2428" s="315" t="s">
        <v>8569</v>
      </c>
      <c r="X2428" s="647" t="s">
        <v>12468</v>
      </c>
      <c r="Y2428" s="352" t="s">
        <v>11456</v>
      </c>
      <c r="Z2428" s="353">
        <v>168</v>
      </c>
      <c r="AA2428" s="353">
        <v>6.5</v>
      </c>
      <c r="AB2428" s="40">
        <f t="shared" ca="1" si="53"/>
        <v>0.50214238678126411</v>
      </c>
      <c r="AC2428" s="810"/>
      <c r="AD2428" s="811"/>
      <c r="AE2428" s="940"/>
      <c r="AF2428" s="920">
        <f>IF(X2428=X2427,AF2427,0)+IF(ISNUMBER(I2428),IF(I2428&lt;1,I2428,I2428*VLOOKUP(J2428,Summary!$H$2:$I$9,2)),VLOOKUP(J2428,Summary!$J$2:$K$9,2)*IF(ISNUMBER(H2428),H2428,1))</f>
        <v>0.46597222222222229</v>
      </c>
      <c r="AG2428" s="287">
        <v>2427</v>
      </c>
      <c r="AH2428" s="94"/>
      <c r="AI2428" s="94"/>
    </row>
    <row r="2429" spans="1:36" s="2" customFormat="1" ht="12" customHeight="1" x14ac:dyDescent="0.25">
      <c r="A2429" s="405"/>
      <c r="B2429" s="406" t="s">
        <v>15938</v>
      </c>
      <c r="C2429" s="405">
        <v>3.1</v>
      </c>
      <c r="D2429" s="407">
        <v>3.1</v>
      </c>
      <c r="E2429" s="315" t="s">
        <v>8570</v>
      </c>
      <c r="F2429" s="169">
        <v>41821</v>
      </c>
      <c r="G2429" s="170"/>
      <c r="H2429" s="170"/>
      <c r="I2429" s="746">
        <f>TIME(1,6,41)</f>
        <v>4.6307870370370374E-2</v>
      </c>
      <c r="J2429" s="899" t="s">
        <v>4706</v>
      </c>
      <c r="K2429" s="167" t="s">
        <v>6452</v>
      </c>
      <c r="L2429" s="167" t="s">
        <v>2313</v>
      </c>
      <c r="M2429" s="167"/>
      <c r="N2429" s="167" t="s">
        <v>5666</v>
      </c>
      <c r="O2429" s="167" t="s">
        <v>3295</v>
      </c>
      <c r="P2429" s="168" t="s">
        <v>8575</v>
      </c>
      <c r="Q2429" s="167" t="s">
        <v>3947</v>
      </c>
      <c r="R2429" s="172" t="s">
        <v>536</v>
      </c>
      <c r="S2429" s="388"/>
      <c r="T2429" s="168" t="s">
        <v>14551</v>
      </c>
      <c r="U2429" s="168" t="s">
        <v>14552</v>
      </c>
      <c r="V2429" s="168" t="s">
        <v>14553</v>
      </c>
      <c r="W2429" s="315" t="s">
        <v>8570</v>
      </c>
      <c r="X2429" s="644" t="s">
        <v>12468</v>
      </c>
      <c r="Y2429" s="352" t="s">
        <v>5643</v>
      </c>
      <c r="Z2429" s="353">
        <v>132</v>
      </c>
      <c r="AA2429" s="353">
        <v>7</v>
      </c>
      <c r="AB2429" s="40">
        <f t="shared" ca="1" si="53"/>
        <v>0.38853409076150969</v>
      </c>
      <c r="AC2429" s="810"/>
      <c r="AD2429" s="811"/>
      <c r="AE2429" s="940"/>
      <c r="AF2429" s="920">
        <f>IF(X2429=X2428,AF2428,0)+IF(ISNUMBER(I2429),IF(I2429&lt;1,I2429,I2429*VLOOKUP(J2429,Summary!$H$2:$I$9,2)),VLOOKUP(J2429,Summary!$J$2:$K$9,2)*IF(ISNUMBER(H2429),H2429,1))</f>
        <v>0.51228009259259266</v>
      </c>
      <c r="AG2429" s="287">
        <v>2428</v>
      </c>
      <c r="AH2429" s="94"/>
      <c r="AI2429" s="94"/>
    </row>
    <row r="2430" spans="1:36" s="22" customFormat="1" ht="12" customHeight="1" x14ac:dyDescent="0.2">
      <c r="A2430" s="405"/>
      <c r="B2430" s="406" t="s">
        <v>15938</v>
      </c>
      <c r="C2430" s="405">
        <v>3.2</v>
      </c>
      <c r="D2430" s="407">
        <v>3.2</v>
      </c>
      <c r="E2430" s="315" t="s">
        <v>8571</v>
      </c>
      <c r="F2430" s="169">
        <v>41821</v>
      </c>
      <c r="G2430" s="170"/>
      <c r="H2430" s="170"/>
      <c r="I2430" s="746">
        <f>TIME(0,58,22)</f>
        <v>4.0532407407407406E-2</v>
      </c>
      <c r="J2430" s="899" t="s">
        <v>4706</v>
      </c>
      <c r="K2430" s="167" t="s">
        <v>543</v>
      </c>
      <c r="L2430" s="167" t="s">
        <v>2313</v>
      </c>
      <c r="M2430" s="167"/>
      <c r="N2430" s="167" t="s">
        <v>5666</v>
      </c>
      <c r="O2430" s="167" t="s">
        <v>3295</v>
      </c>
      <c r="P2430" s="168" t="s">
        <v>8575</v>
      </c>
      <c r="Q2430" s="167" t="s">
        <v>3947</v>
      </c>
      <c r="R2430" s="172" t="s">
        <v>536</v>
      </c>
      <c r="S2430" s="388"/>
      <c r="T2430" s="168" t="s">
        <v>14551</v>
      </c>
      <c r="U2430" s="168" t="s">
        <v>14552</v>
      </c>
      <c r="V2430" s="168" t="s">
        <v>14553</v>
      </c>
      <c r="W2430" s="315" t="s">
        <v>8571</v>
      </c>
      <c r="X2430" s="644" t="s">
        <v>12468</v>
      </c>
      <c r="Y2430" s="352" t="s">
        <v>5643</v>
      </c>
      <c r="Z2430" s="353">
        <v>175</v>
      </c>
      <c r="AA2430" s="353">
        <v>6</v>
      </c>
      <c r="AB2430" s="40">
        <f t="shared" ca="1" si="53"/>
        <v>0.31302114397548897</v>
      </c>
      <c r="AC2430" s="810"/>
      <c r="AD2430" s="811"/>
      <c r="AE2430" s="940"/>
      <c r="AF2430" s="920">
        <f>IF(X2430=X2429,AF2429,0)+IF(ISNUMBER(I2430),IF(I2430&lt;1,I2430,I2430*VLOOKUP(J2430,Summary!$H$2:$I$9,2)),VLOOKUP(J2430,Summary!$J$2:$K$9,2)*IF(ISNUMBER(H2430),H2430,1))</f>
        <v>0.55281250000000004</v>
      </c>
      <c r="AG2430" s="287">
        <v>2429</v>
      </c>
      <c r="AH2430" s="94"/>
      <c r="AI2430" s="94"/>
    </row>
    <row r="2431" spans="1:36" s="2" customFormat="1" ht="12" customHeight="1" x14ac:dyDescent="0.25">
      <c r="A2431" s="405"/>
      <c r="B2431" s="406" t="s">
        <v>15938</v>
      </c>
      <c r="C2431" s="405">
        <v>3.3</v>
      </c>
      <c r="D2431" s="407">
        <v>3.3</v>
      </c>
      <c r="E2431" s="315" t="s">
        <v>8572</v>
      </c>
      <c r="F2431" s="169">
        <v>41821</v>
      </c>
      <c r="G2431" s="170"/>
      <c r="H2431" s="170"/>
      <c r="I2431" s="746">
        <f>TIME(1,1,11)</f>
        <v>4.2488425925925923E-2</v>
      </c>
      <c r="J2431" s="899" t="s">
        <v>4706</v>
      </c>
      <c r="K2431" s="167" t="s">
        <v>2313</v>
      </c>
      <c r="L2431" s="167" t="s">
        <v>2313</v>
      </c>
      <c r="M2431" s="167"/>
      <c r="N2431" s="167" t="s">
        <v>5666</v>
      </c>
      <c r="O2431" s="167" t="s">
        <v>3295</v>
      </c>
      <c r="P2431" s="168" t="s">
        <v>8575</v>
      </c>
      <c r="Q2431" s="167" t="s">
        <v>3947</v>
      </c>
      <c r="R2431" s="172" t="s">
        <v>536</v>
      </c>
      <c r="S2431" s="388"/>
      <c r="T2431" s="168" t="s">
        <v>14551</v>
      </c>
      <c r="U2431" s="168" t="s">
        <v>14552</v>
      </c>
      <c r="V2431" s="168" t="s">
        <v>14553</v>
      </c>
      <c r="W2431" s="315" t="s">
        <v>8572</v>
      </c>
      <c r="X2431" s="644" t="s">
        <v>12468</v>
      </c>
      <c r="Y2431" s="352" t="s">
        <v>5643</v>
      </c>
      <c r="Z2431" s="353">
        <v>374</v>
      </c>
      <c r="AA2431" s="353">
        <v>5</v>
      </c>
      <c r="AB2431" s="40">
        <f t="shared" ca="1" si="53"/>
        <v>0.33750922131559524</v>
      </c>
      <c r="AC2431" s="810"/>
      <c r="AD2431" s="811"/>
      <c r="AE2431" s="940"/>
      <c r="AF2431" s="920">
        <f>IF(X2431=X2430,AF2430,0)+IF(ISNUMBER(I2431),IF(I2431&lt;1,I2431,I2431*VLOOKUP(J2431,Summary!$H$2:$I$9,2)),VLOOKUP(J2431,Summary!$J$2:$K$9,2)*IF(ISNUMBER(H2431),H2431,1))</f>
        <v>0.59530092592592598</v>
      </c>
      <c r="AG2431" s="287">
        <v>2430</v>
      </c>
      <c r="AH2431" s="94"/>
      <c r="AI2431" s="94"/>
    </row>
    <row r="2432" spans="1:36" s="2" customFormat="1" ht="12" customHeight="1" x14ac:dyDescent="0.25">
      <c r="A2432" s="405"/>
      <c r="B2432" s="406" t="s">
        <v>15938</v>
      </c>
      <c r="C2432" s="405">
        <v>3.4</v>
      </c>
      <c r="D2432" s="407">
        <v>3.4</v>
      </c>
      <c r="E2432" s="315" t="s">
        <v>8573</v>
      </c>
      <c r="F2432" s="169">
        <v>41821</v>
      </c>
      <c r="G2432" s="170"/>
      <c r="H2432" s="170"/>
      <c r="I2432" s="746">
        <f>TIME(1,3,49)</f>
        <v>4.431712962962963E-2</v>
      </c>
      <c r="J2432" s="899" t="s">
        <v>4706</v>
      </c>
      <c r="K2432" s="167" t="s">
        <v>5666</v>
      </c>
      <c r="L2432" s="167" t="s">
        <v>2313</v>
      </c>
      <c r="M2432" s="167"/>
      <c r="N2432" s="167" t="s">
        <v>5666</v>
      </c>
      <c r="O2432" s="167" t="s">
        <v>3295</v>
      </c>
      <c r="P2432" s="168" t="s">
        <v>8575</v>
      </c>
      <c r="Q2432" s="167" t="s">
        <v>3947</v>
      </c>
      <c r="R2432" s="172" t="s">
        <v>536</v>
      </c>
      <c r="S2432" s="388"/>
      <c r="T2432" s="168" t="s">
        <v>14551</v>
      </c>
      <c r="U2432" s="168" t="s">
        <v>14552</v>
      </c>
      <c r="V2432" s="168" t="s">
        <v>14553</v>
      </c>
      <c r="W2432" s="315" t="s">
        <v>8573</v>
      </c>
      <c r="X2432" s="644" t="s">
        <v>12468</v>
      </c>
      <c r="Y2432" s="352" t="s">
        <v>5643</v>
      </c>
      <c r="Z2432" s="353">
        <v>77</v>
      </c>
      <c r="AA2432" s="353">
        <v>8</v>
      </c>
      <c r="AB2432" s="40">
        <f t="shared" ca="1" si="53"/>
        <v>0.91247964567876094</v>
      </c>
      <c r="AC2432" s="810"/>
      <c r="AD2432" s="811"/>
      <c r="AE2432" s="940"/>
      <c r="AF2432" s="920">
        <f>IF(X2432=X2431,AF2431,0)+IF(ISNUMBER(I2432),IF(I2432&lt;1,I2432,I2432*VLOOKUP(J2432,Summary!$H$2:$I$9,2)),VLOOKUP(J2432,Summary!$J$2:$K$9,2)*IF(ISNUMBER(H2432),H2432,1))</f>
        <v>0.63961805555555562</v>
      </c>
      <c r="AG2432" s="287">
        <v>2431</v>
      </c>
      <c r="AH2432" s="94"/>
      <c r="AI2432" s="94"/>
    </row>
    <row r="2433" spans="1:35" s="2" customFormat="1" ht="12" customHeight="1" x14ac:dyDescent="0.25">
      <c r="A2433" s="405"/>
      <c r="B2433" s="406" t="s">
        <v>15938</v>
      </c>
      <c r="C2433" s="405">
        <v>4.0999999999999996</v>
      </c>
      <c r="D2433" s="407" t="s">
        <v>3084</v>
      </c>
      <c r="E2433" s="315" t="s">
        <v>9414</v>
      </c>
      <c r="F2433" s="196">
        <v>42196</v>
      </c>
      <c r="G2433" s="170"/>
      <c r="H2433" s="170"/>
      <c r="I2433" s="746">
        <f>TIME(0,58,15)</f>
        <v>4.0451388888888891E-2</v>
      </c>
      <c r="J2433" s="899" t="s">
        <v>4706</v>
      </c>
      <c r="K2433" s="167" t="s">
        <v>9385</v>
      </c>
      <c r="L2433" s="167" t="s">
        <v>2313</v>
      </c>
      <c r="M2433" s="167"/>
      <c r="N2433" s="167" t="s">
        <v>5666</v>
      </c>
      <c r="O2433" s="167" t="s">
        <v>3295</v>
      </c>
      <c r="P2433" s="168" t="s">
        <v>9411</v>
      </c>
      <c r="Q2433" s="167" t="s">
        <v>3947</v>
      </c>
      <c r="R2433" s="172" t="s">
        <v>536</v>
      </c>
      <c r="S2433" s="388"/>
      <c r="T2433" s="168" t="s">
        <v>14551</v>
      </c>
      <c r="U2433" s="168" t="s">
        <v>14552</v>
      </c>
      <c r="V2433" s="168" t="s">
        <v>14553</v>
      </c>
      <c r="W2433" s="315" t="s">
        <v>9414</v>
      </c>
      <c r="X2433" s="644" t="s">
        <v>12468</v>
      </c>
      <c r="Y2433" s="352" t="s">
        <v>5643</v>
      </c>
      <c r="Z2433" s="353">
        <v>999</v>
      </c>
      <c r="AA2433" s="353"/>
      <c r="AB2433" s="40">
        <f t="shared" ca="1" si="53"/>
        <v>0.10433436566896226</v>
      </c>
      <c r="AC2433" s="810"/>
      <c r="AD2433" s="811"/>
      <c r="AE2433" s="940"/>
      <c r="AF2433" s="920">
        <f>IF(X2433=X2432,AF2432,0)+IF(ISNUMBER(I2433),IF(I2433&lt;1,I2433,I2433*VLOOKUP(J2433,Summary!$H$2:$I$9,2)),VLOOKUP(J2433,Summary!$J$2:$K$9,2)*IF(ISNUMBER(H2433),H2433,1))</f>
        <v>0.6800694444444445</v>
      </c>
      <c r="AG2433" s="287">
        <v>2432</v>
      </c>
      <c r="AH2433" s="94"/>
      <c r="AI2433" s="94"/>
    </row>
    <row r="2434" spans="1:35" s="3" customFormat="1" ht="12" customHeight="1" x14ac:dyDescent="0.25">
      <c r="A2434" s="405"/>
      <c r="B2434" s="406" t="s">
        <v>15938</v>
      </c>
      <c r="C2434" s="405">
        <v>4.2</v>
      </c>
      <c r="D2434" s="407" t="s">
        <v>1505</v>
      </c>
      <c r="E2434" s="315" t="s">
        <v>6902</v>
      </c>
      <c r="F2434" s="196">
        <v>42196</v>
      </c>
      <c r="G2434" s="170"/>
      <c r="H2434" s="170"/>
      <c r="I2434" s="746">
        <f>TIME(0,51,27)</f>
        <v>3.5729166666666666E-2</v>
      </c>
      <c r="J2434" s="899" t="s">
        <v>4706</v>
      </c>
      <c r="K2434" s="167" t="s">
        <v>2313</v>
      </c>
      <c r="L2434" s="167" t="s">
        <v>2313</v>
      </c>
      <c r="M2434" s="167"/>
      <c r="N2434" s="167" t="s">
        <v>5666</v>
      </c>
      <c r="O2434" s="167" t="s">
        <v>3295</v>
      </c>
      <c r="P2434" s="168" t="s">
        <v>9411</v>
      </c>
      <c r="Q2434" s="167" t="s">
        <v>3947</v>
      </c>
      <c r="R2434" s="172" t="s">
        <v>536</v>
      </c>
      <c r="S2434" s="388"/>
      <c r="T2434" s="168" t="s">
        <v>14551</v>
      </c>
      <c r="U2434" s="168" t="s">
        <v>14552</v>
      </c>
      <c r="V2434" s="168" t="s">
        <v>14553</v>
      </c>
      <c r="W2434" s="315" t="s">
        <v>6902</v>
      </c>
      <c r="X2434" s="644" t="s">
        <v>12468</v>
      </c>
      <c r="Y2434" s="352" t="s">
        <v>5643</v>
      </c>
      <c r="Z2434" s="353">
        <v>999</v>
      </c>
      <c r="AA2434" s="353"/>
      <c r="AB2434" s="40">
        <f t="shared" ref="AB2434:AB2497" ca="1" si="54">RAND()</f>
        <v>0.77041218459626926</v>
      </c>
      <c r="AC2434" s="810"/>
      <c r="AD2434" s="811"/>
      <c r="AE2434" s="940"/>
      <c r="AF2434" s="920">
        <f>IF(X2434=X2433,AF2433,0)+IF(ISNUMBER(I2434),IF(I2434&lt;1,I2434,I2434*VLOOKUP(J2434,Summary!$H$2:$I$9,2)),VLOOKUP(J2434,Summary!$J$2:$K$9,2)*IF(ISNUMBER(H2434),H2434,1))</f>
        <v>0.7157986111111112</v>
      </c>
      <c r="AG2434" s="287">
        <v>2433</v>
      </c>
      <c r="AH2434" s="94"/>
      <c r="AI2434" s="94"/>
    </row>
    <row r="2435" spans="1:35" s="27" customFormat="1" ht="12" customHeight="1" x14ac:dyDescent="0.25">
      <c r="A2435" s="405" t="s">
        <v>9412</v>
      </c>
      <c r="B2435" s="406" t="s">
        <v>15938</v>
      </c>
      <c r="C2435" s="405">
        <v>4.3</v>
      </c>
      <c r="D2435" s="407" t="s">
        <v>3086</v>
      </c>
      <c r="E2435" s="315" t="s">
        <v>9415</v>
      </c>
      <c r="F2435" s="196">
        <v>42196</v>
      </c>
      <c r="G2435" s="170"/>
      <c r="H2435" s="170"/>
      <c r="I2435" s="746">
        <f>TIME(1,1,54)</f>
        <v>4.2986111111111114E-2</v>
      </c>
      <c r="J2435" s="899" t="s">
        <v>4706</v>
      </c>
      <c r="K2435" s="167" t="s">
        <v>5666</v>
      </c>
      <c r="L2435" s="167" t="s">
        <v>2313</v>
      </c>
      <c r="M2435" s="167"/>
      <c r="N2435" s="167" t="s">
        <v>5666</v>
      </c>
      <c r="O2435" s="167" t="s">
        <v>3295</v>
      </c>
      <c r="P2435" s="168" t="s">
        <v>9411</v>
      </c>
      <c r="Q2435" s="167" t="s">
        <v>3947</v>
      </c>
      <c r="R2435" s="172" t="s">
        <v>536</v>
      </c>
      <c r="S2435" s="388"/>
      <c r="T2435" s="168" t="s">
        <v>14551</v>
      </c>
      <c r="U2435" s="168" t="s">
        <v>14552</v>
      </c>
      <c r="V2435" s="168" t="s">
        <v>14553</v>
      </c>
      <c r="W2435" s="315" t="s">
        <v>9415</v>
      </c>
      <c r="X2435" s="644" t="s">
        <v>12468</v>
      </c>
      <c r="Y2435" s="352" t="s">
        <v>5643</v>
      </c>
      <c r="Z2435" s="353">
        <v>999</v>
      </c>
      <c r="AA2435" s="353"/>
      <c r="AB2435" s="40">
        <f t="shared" ca="1" si="54"/>
        <v>0.53106354360129371</v>
      </c>
      <c r="AC2435" s="810"/>
      <c r="AD2435" s="811"/>
      <c r="AE2435" s="940"/>
      <c r="AF2435" s="920">
        <f>IF(X2435=X2434,AF2434,0)+IF(ISNUMBER(I2435),IF(I2435&lt;1,I2435,I2435*VLOOKUP(J2435,Summary!$H$2:$I$9,2)),VLOOKUP(J2435,Summary!$J$2:$K$9,2)*IF(ISNUMBER(H2435),H2435,1))</f>
        <v>0.75878472222222237</v>
      </c>
      <c r="AG2435" s="287">
        <v>2434</v>
      </c>
      <c r="AH2435" s="94"/>
      <c r="AI2435" s="94"/>
    </row>
    <row r="2436" spans="1:35" s="3" customFormat="1" ht="12" customHeight="1" x14ac:dyDescent="0.25">
      <c r="A2436" s="405"/>
      <c r="B2436" s="406" t="s">
        <v>15938</v>
      </c>
      <c r="C2436" s="405">
        <v>4.4000000000000004</v>
      </c>
      <c r="D2436" s="407" t="s">
        <v>9413</v>
      </c>
      <c r="E2436" s="315" t="s">
        <v>9416</v>
      </c>
      <c r="F2436" s="196">
        <v>42196</v>
      </c>
      <c r="G2436" s="170"/>
      <c r="H2436" s="170"/>
      <c r="I2436" s="746">
        <f>TIME(1,5,32)</f>
        <v>4.5509259259259256E-2</v>
      </c>
      <c r="J2436" s="899" t="s">
        <v>4706</v>
      </c>
      <c r="K2436" s="167" t="s">
        <v>6452</v>
      </c>
      <c r="L2436" s="167" t="s">
        <v>2313</v>
      </c>
      <c r="M2436" s="167"/>
      <c r="N2436" s="167" t="s">
        <v>5666</v>
      </c>
      <c r="O2436" s="167" t="s">
        <v>3295</v>
      </c>
      <c r="P2436" s="168" t="s">
        <v>9411</v>
      </c>
      <c r="Q2436" s="167" t="s">
        <v>3947</v>
      </c>
      <c r="R2436" s="172" t="s">
        <v>536</v>
      </c>
      <c r="S2436" s="388"/>
      <c r="T2436" s="168" t="s">
        <v>14551</v>
      </c>
      <c r="U2436" s="168" t="s">
        <v>14552</v>
      </c>
      <c r="V2436" s="168" t="s">
        <v>14553</v>
      </c>
      <c r="W2436" s="315" t="s">
        <v>9416</v>
      </c>
      <c r="X2436" s="644" t="s">
        <v>12468</v>
      </c>
      <c r="Y2436" s="352" t="s">
        <v>5643</v>
      </c>
      <c r="Z2436" s="353">
        <v>999</v>
      </c>
      <c r="AA2436" s="353"/>
      <c r="AB2436" s="40">
        <f t="shared" ca="1" si="54"/>
        <v>0.89393936629967441</v>
      </c>
      <c r="AC2436" s="810"/>
      <c r="AD2436" s="811"/>
      <c r="AE2436" s="940"/>
      <c r="AF2436" s="920">
        <f>IF(X2436=X2435,AF2435,0)+IF(ISNUMBER(I2436),IF(I2436&lt;1,I2436,I2436*VLOOKUP(J2436,Summary!$H$2:$I$9,2)),VLOOKUP(J2436,Summary!$J$2:$K$9,2)*IF(ISNUMBER(H2436),H2436,1))</f>
        <v>0.80429398148148168</v>
      </c>
      <c r="AG2436" s="287">
        <v>2435</v>
      </c>
      <c r="AH2436" s="94"/>
      <c r="AI2436" s="94"/>
    </row>
    <row r="2437" spans="1:35" s="3" customFormat="1" ht="12" customHeight="1" x14ac:dyDescent="0.25">
      <c r="A2437" s="405"/>
      <c r="B2437" s="406" t="s">
        <v>15938</v>
      </c>
      <c r="C2437" s="405">
        <v>5.0999999999999996</v>
      </c>
      <c r="D2437" s="407" t="s">
        <v>15283</v>
      </c>
      <c r="E2437" s="315" t="s">
        <v>14151</v>
      </c>
      <c r="F2437" s="196">
        <v>42558</v>
      </c>
      <c r="G2437" s="170"/>
      <c r="H2437" s="170"/>
      <c r="I2437" s="747">
        <f>TIME(0,120,0)</f>
        <v>8.3333333333333329E-2</v>
      </c>
      <c r="J2437" s="899" t="s">
        <v>4706</v>
      </c>
      <c r="K2437" s="167" t="s">
        <v>5666</v>
      </c>
      <c r="L2437" s="167" t="s">
        <v>2313</v>
      </c>
      <c r="M2437" s="167"/>
      <c r="N2437" s="167" t="s">
        <v>5666</v>
      </c>
      <c r="O2437" s="167" t="s">
        <v>3295</v>
      </c>
      <c r="P2437" s="168" t="s">
        <v>14169</v>
      </c>
      <c r="Q2437" s="167" t="s">
        <v>3947</v>
      </c>
      <c r="R2437" s="172" t="s">
        <v>536</v>
      </c>
      <c r="S2437" s="388"/>
      <c r="T2437" s="168" t="s">
        <v>14551</v>
      </c>
      <c r="U2437" s="168" t="s">
        <v>14552</v>
      </c>
      <c r="V2437" s="168" t="s">
        <v>14553</v>
      </c>
      <c r="W2437" s="315" t="s">
        <v>14151</v>
      </c>
      <c r="X2437" s="671" t="s">
        <v>14170</v>
      </c>
      <c r="Y2437" s="352"/>
      <c r="Z2437" s="353"/>
      <c r="AA2437" s="353"/>
      <c r="AB2437" s="40">
        <f t="shared" ca="1" si="54"/>
        <v>0.75615337155121698</v>
      </c>
      <c r="AC2437" s="810"/>
      <c r="AD2437" s="811"/>
      <c r="AE2437" s="940"/>
      <c r="AF2437" s="920">
        <f>IF(X2437=X2436,AF2436,0)+IF(ISNUMBER(I2437),IF(I2437&lt;1,I2437,I2437*VLOOKUP(J2437,Summary!$H$2:$I$9,2)),VLOOKUP(J2437,Summary!$J$2:$K$9,2)*IF(ISNUMBER(H2437),H2437,1))</f>
        <v>8.3333333333333329E-2</v>
      </c>
      <c r="AG2437" s="287">
        <v>2436</v>
      </c>
      <c r="AH2437" s="94"/>
      <c r="AI2437" s="94"/>
    </row>
    <row r="2438" spans="1:35" s="3" customFormat="1" ht="12" customHeight="1" x14ac:dyDescent="0.25">
      <c r="A2438" s="405"/>
      <c r="B2438" s="406" t="s">
        <v>15938</v>
      </c>
      <c r="C2438" s="405">
        <v>5.2</v>
      </c>
      <c r="D2438" s="407" t="s">
        <v>15284</v>
      </c>
      <c r="E2438" s="315" t="s">
        <v>14152</v>
      </c>
      <c r="F2438" s="196">
        <v>42558</v>
      </c>
      <c r="G2438" s="170"/>
      <c r="H2438" s="170"/>
      <c r="I2438" s="747">
        <f t="shared" ref="I2438:I2447" si="55">TIME(0,60,0)</f>
        <v>4.1666666666666664E-2</v>
      </c>
      <c r="J2438" s="899" t="s">
        <v>4706</v>
      </c>
      <c r="K2438" s="167" t="s">
        <v>2313</v>
      </c>
      <c r="L2438" s="167" t="s">
        <v>2313</v>
      </c>
      <c r="M2438" s="167"/>
      <c r="N2438" s="167" t="s">
        <v>5666</v>
      </c>
      <c r="O2438" s="167" t="s">
        <v>3295</v>
      </c>
      <c r="P2438" s="168" t="s">
        <v>14169</v>
      </c>
      <c r="Q2438" s="167" t="s">
        <v>3947</v>
      </c>
      <c r="R2438" s="172" t="s">
        <v>536</v>
      </c>
      <c r="S2438" s="388"/>
      <c r="T2438" s="168" t="s">
        <v>14551</v>
      </c>
      <c r="U2438" s="168" t="s">
        <v>14552</v>
      </c>
      <c r="V2438" s="168" t="s">
        <v>14553</v>
      </c>
      <c r="W2438" s="315" t="s">
        <v>14152</v>
      </c>
      <c r="X2438" s="671" t="s">
        <v>14170</v>
      </c>
      <c r="Y2438" s="352"/>
      <c r="Z2438" s="353"/>
      <c r="AA2438" s="353"/>
      <c r="AB2438" s="40">
        <f t="shared" ca="1" si="54"/>
        <v>0.84782338314045824</v>
      </c>
      <c r="AC2438" s="810"/>
      <c r="AD2438" s="811"/>
      <c r="AE2438" s="940"/>
      <c r="AF2438" s="920">
        <f>IF(X2438=X2437,AF2437,0)+IF(ISNUMBER(I2438),IF(I2438&lt;1,I2438,I2438*VLOOKUP(J2438,Summary!$H$2:$I$9,2)),VLOOKUP(J2438,Summary!$J$2:$K$9,2)*IF(ISNUMBER(H2438),H2438,1))</f>
        <v>0.125</v>
      </c>
      <c r="AG2438" s="287">
        <v>2437</v>
      </c>
      <c r="AH2438" s="94"/>
      <c r="AI2438" s="94"/>
    </row>
    <row r="2439" spans="1:35" s="3" customFormat="1" ht="12" customHeight="1" x14ac:dyDescent="0.25">
      <c r="A2439" s="405"/>
      <c r="B2439" s="406" t="s">
        <v>15938</v>
      </c>
      <c r="C2439" s="405">
        <v>6.1</v>
      </c>
      <c r="D2439" s="407" t="s">
        <v>14161</v>
      </c>
      <c r="E2439" s="315" t="s">
        <v>14153</v>
      </c>
      <c r="F2439" s="196">
        <v>42723</v>
      </c>
      <c r="G2439" s="170"/>
      <c r="H2439" s="170"/>
      <c r="I2439" s="747">
        <f t="shared" si="55"/>
        <v>4.1666666666666664E-2</v>
      </c>
      <c r="J2439" s="899" t="s">
        <v>4706</v>
      </c>
      <c r="K2439" s="167" t="s">
        <v>1826</v>
      </c>
      <c r="L2439" s="167" t="s">
        <v>2313</v>
      </c>
      <c r="M2439" s="167"/>
      <c r="N2439" s="167" t="s">
        <v>5666</v>
      </c>
      <c r="O2439" s="167" t="s">
        <v>3295</v>
      </c>
      <c r="P2439" s="168" t="s">
        <v>14172</v>
      </c>
      <c r="Q2439" s="167" t="s">
        <v>3947</v>
      </c>
      <c r="R2439" s="172" t="s">
        <v>536</v>
      </c>
      <c r="S2439" s="388"/>
      <c r="T2439" s="168" t="s">
        <v>14551</v>
      </c>
      <c r="U2439" s="168" t="s">
        <v>14552</v>
      </c>
      <c r="V2439" s="168" t="s">
        <v>14553</v>
      </c>
      <c r="W2439" s="315" t="s">
        <v>14153</v>
      </c>
      <c r="X2439" s="671" t="s">
        <v>14170</v>
      </c>
      <c r="Y2439" s="352"/>
      <c r="Z2439" s="353"/>
      <c r="AA2439" s="353"/>
      <c r="AB2439" s="40">
        <f t="shared" ca="1" si="54"/>
        <v>0.29351149373491126</v>
      </c>
      <c r="AC2439" s="810"/>
      <c r="AD2439" s="811"/>
      <c r="AE2439" s="940"/>
      <c r="AF2439" s="920">
        <f>IF(X2439=X2438,AF2438,0)+IF(ISNUMBER(I2439),IF(I2439&lt;1,I2439,I2439*VLOOKUP(J2439,Summary!$H$2:$I$9,2)),VLOOKUP(J2439,Summary!$J$2:$K$9,2)*IF(ISNUMBER(H2439),H2439,1))</f>
        <v>0.16666666666666666</v>
      </c>
      <c r="AG2439" s="287">
        <v>2438</v>
      </c>
      <c r="AH2439" s="94"/>
      <c r="AI2439" s="94"/>
    </row>
    <row r="2440" spans="1:35" s="3" customFormat="1" ht="12" customHeight="1" x14ac:dyDescent="0.25">
      <c r="A2440" s="405"/>
      <c r="B2440" s="406" t="s">
        <v>15938</v>
      </c>
      <c r="C2440" s="405">
        <v>6.2</v>
      </c>
      <c r="D2440" s="407" t="s">
        <v>14162</v>
      </c>
      <c r="E2440" s="315" t="s">
        <v>14154</v>
      </c>
      <c r="F2440" s="196">
        <v>42723</v>
      </c>
      <c r="G2440" s="170"/>
      <c r="H2440" s="170"/>
      <c r="I2440" s="747">
        <f t="shared" si="55"/>
        <v>4.1666666666666664E-2</v>
      </c>
      <c r="J2440" s="899" t="s">
        <v>4706</v>
      </c>
      <c r="K2440" s="167" t="s">
        <v>3424</v>
      </c>
      <c r="L2440" s="167" t="s">
        <v>2313</v>
      </c>
      <c r="M2440" s="167"/>
      <c r="N2440" s="167" t="s">
        <v>5666</v>
      </c>
      <c r="O2440" s="167" t="s">
        <v>3295</v>
      </c>
      <c r="P2440" s="168" t="s">
        <v>14172</v>
      </c>
      <c r="Q2440" s="167" t="s">
        <v>3947</v>
      </c>
      <c r="R2440" s="172" t="s">
        <v>536</v>
      </c>
      <c r="S2440" s="388"/>
      <c r="T2440" s="168" t="s">
        <v>14551</v>
      </c>
      <c r="U2440" s="168" t="s">
        <v>14552</v>
      </c>
      <c r="V2440" s="168" t="s">
        <v>14553</v>
      </c>
      <c r="W2440" s="315" t="s">
        <v>14154</v>
      </c>
      <c r="X2440" s="671" t="s">
        <v>14170</v>
      </c>
      <c r="Y2440" s="352"/>
      <c r="Z2440" s="353"/>
      <c r="AA2440" s="353"/>
      <c r="AB2440" s="40">
        <f t="shared" ca="1" si="54"/>
        <v>0.8695261625991676</v>
      </c>
      <c r="AC2440" s="810"/>
      <c r="AD2440" s="811"/>
      <c r="AE2440" s="940"/>
      <c r="AF2440" s="920">
        <f>IF(X2440=X2439,AF2439,0)+IF(ISNUMBER(I2440),IF(I2440&lt;1,I2440,I2440*VLOOKUP(J2440,Summary!$H$2:$I$9,2)),VLOOKUP(J2440,Summary!$J$2:$K$9,2)*IF(ISNUMBER(H2440),H2440,1))</f>
        <v>0.20833333333333331</v>
      </c>
      <c r="AG2440" s="287">
        <v>2439</v>
      </c>
      <c r="AH2440" s="94"/>
      <c r="AI2440" s="94"/>
    </row>
    <row r="2441" spans="1:35" s="3" customFormat="1" ht="12" customHeight="1" x14ac:dyDescent="0.25">
      <c r="A2441" s="405"/>
      <c r="B2441" s="406" t="s">
        <v>15938</v>
      </c>
      <c r="C2441" s="405">
        <v>6.3</v>
      </c>
      <c r="D2441" s="407" t="s">
        <v>14163</v>
      </c>
      <c r="E2441" s="315" t="s">
        <v>14155</v>
      </c>
      <c r="F2441" s="196">
        <v>42723</v>
      </c>
      <c r="G2441" s="170"/>
      <c r="H2441" s="170"/>
      <c r="I2441" s="747">
        <f t="shared" si="55"/>
        <v>4.1666666666666664E-2</v>
      </c>
      <c r="J2441" s="899" t="s">
        <v>4706</v>
      </c>
      <c r="K2441" s="167" t="s">
        <v>14171</v>
      </c>
      <c r="L2441" s="167" t="s">
        <v>2313</v>
      </c>
      <c r="M2441" s="167"/>
      <c r="N2441" s="167" t="s">
        <v>5666</v>
      </c>
      <c r="O2441" s="167" t="s">
        <v>3295</v>
      </c>
      <c r="P2441" s="168" t="s">
        <v>14172</v>
      </c>
      <c r="Q2441" s="167" t="s">
        <v>3947</v>
      </c>
      <c r="R2441" s="172" t="s">
        <v>536</v>
      </c>
      <c r="S2441" s="388"/>
      <c r="T2441" s="168" t="s">
        <v>14551</v>
      </c>
      <c r="U2441" s="168" t="s">
        <v>14552</v>
      </c>
      <c r="V2441" s="168" t="s">
        <v>14553</v>
      </c>
      <c r="W2441" s="315" t="s">
        <v>14155</v>
      </c>
      <c r="X2441" s="671" t="s">
        <v>14170</v>
      </c>
      <c r="Y2441" s="352"/>
      <c r="Z2441" s="353"/>
      <c r="AA2441" s="353"/>
      <c r="AB2441" s="40">
        <f t="shared" ca="1" si="54"/>
        <v>0.56843557753177121</v>
      </c>
      <c r="AC2441" s="810"/>
      <c r="AD2441" s="811"/>
      <c r="AE2441" s="940"/>
      <c r="AF2441" s="920">
        <f>IF(X2441=X2440,AF2440,0)+IF(ISNUMBER(I2441),IF(I2441&lt;1,I2441,I2441*VLOOKUP(J2441,Summary!$H$2:$I$9,2)),VLOOKUP(J2441,Summary!$J$2:$K$9,2)*IF(ISNUMBER(H2441),H2441,1))</f>
        <v>0.24999999999999997</v>
      </c>
      <c r="AG2441" s="287">
        <v>2440</v>
      </c>
      <c r="AH2441" s="94"/>
      <c r="AI2441" s="94"/>
    </row>
    <row r="2442" spans="1:35" s="3" customFormat="1" ht="12" customHeight="1" x14ac:dyDescent="0.25">
      <c r="A2442" s="405"/>
      <c r="B2442" s="406" t="s">
        <v>15938</v>
      </c>
      <c r="C2442" s="405">
        <v>6.4</v>
      </c>
      <c r="D2442" s="407" t="s">
        <v>14164</v>
      </c>
      <c r="E2442" s="315" t="s">
        <v>14156</v>
      </c>
      <c r="F2442" s="196">
        <v>42723</v>
      </c>
      <c r="G2442" s="170"/>
      <c r="H2442" s="170"/>
      <c r="I2442" s="747">
        <f t="shared" si="55"/>
        <v>4.1666666666666664E-2</v>
      </c>
      <c r="J2442" s="899" t="s">
        <v>4706</v>
      </c>
      <c r="K2442" s="167" t="s">
        <v>5666</v>
      </c>
      <c r="L2442" s="167" t="s">
        <v>2313</v>
      </c>
      <c r="M2442" s="167"/>
      <c r="N2442" s="167" t="s">
        <v>5666</v>
      </c>
      <c r="O2442" s="167" t="s">
        <v>3295</v>
      </c>
      <c r="P2442" s="168" t="s">
        <v>14172</v>
      </c>
      <c r="Q2442" s="167" t="s">
        <v>3947</v>
      </c>
      <c r="R2442" s="172" t="s">
        <v>536</v>
      </c>
      <c r="S2442" s="388"/>
      <c r="T2442" s="168" t="s">
        <v>14551</v>
      </c>
      <c r="U2442" s="168" t="s">
        <v>14552</v>
      </c>
      <c r="V2442" s="168" t="s">
        <v>14553</v>
      </c>
      <c r="W2442" s="315" t="s">
        <v>14156</v>
      </c>
      <c r="X2442" s="671" t="s">
        <v>14170</v>
      </c>
      <c r="Y2442" s="352"/>
      <c r="Z2442" s="353"/>
      <c r="AA2442" s="353"/>
      <c r="AB2442" s="40">
        <f t="shared" ca="1" si="54"/>
        <v>0.95503626344672143</v>
      </c>
      <c r="AC2442" s="810"/>
      <c r="AD2442" s="811"/>
      <c r="AE2442" s="940"/>
      <c r="AF2442" s="920">
        <f>IF(X2442=X2441,AF2441,0)+IF(ISNUMBER(I2442),IF(I2442&lt;1,I2442,I2442*VLOOKUP(J2442,Summary!$H$2:$I$9,2)),VLOOKUP(J2442,Summary!$J$2:$K$9,2)*IF(ISNUMBER(H2442),H2442,1))</f>
        <v>0.29166666666666663</v>
      </c>
      <c r="AG2442" s="287">
        <v>2441</v>
      </c>
      <c r="AH2442" s="94"/>
      <c r="AI2442" s="94"/>
    </row>
    <row r="2443" spans="1:35" s="3" customFormat="1" ht="12" customHeight="1" x14ac:dyDescent="0.25">
      <c r="A2443" s="405"/>
      <c r="B2443" s="406" t="s">
        <v>15938</v>
      </c>
      <c r="C2443" s="405">
        <v>7.1</v>
      </c>
      <c r="D2443" s="407" t="s">
        <v>14165</v>
      </c>
      <c r="E2443" s="315" t="s">
        <v>14157</v>
      </c>
      <c r="F2443" s="196">
        <v>43088</v>
      </c>
      <c r="G2443" s="170"/>
      <c r="H2443" s="170"/>
      <c r="I2443" s="747">
        <f t="shared" si="55"/>
        <v>4.1666666666666664E-2</v>
      </c>
      <c r="J2443" s="899" t="s">
        <v>4706</v>
      </c>
      <c r="K2443" s="167" t="s">
        <v>12661</v>
      </c>
      <c r="L2443" s="167" t="s">
        <v>2313</v>
      </c>
      <c r="M2443" s="167"/>
      <c r="N2443" s="167" t="s">
        <v>5666</v>
      </c>
      <c r="O2443" s="167" t="s">
        <v>3295</v>
      </c>
      <c r="P2443" s="168" t="s">
        <v>14173</v>
      </c>
      <c r="Q2443" s="167" t="s">
        <v>3947</v>
      </c>
      <c r="R2443" s="172" t="s">
        <v>536</v>
      </c>
      <c r="S2443" s="388"/>
      <c r="T2443" s="168" t="s">
        <v>14551</v>
      </c>
      <c r="U2443" s="168" t="s">
        <v>14552</v>
      </c>
      <c r="V2443" s="168" t="s">
        <v>14553</v>
      </c>
      <c r="W2443" s="315" t="s">
        <v>14157</v>
      </c>
      <c r="X2443" s="671" t="s">
        <v>14170</v>
      </c>
      <c r="Y2443" s="352"/>
      <c r="Z2443" s="353"/>
      <c r="AA2443" s="353"/>
      <c r="AB2443" s="40">
        <f t="shared" ca="1" si="54"/>
        <v>0.28759065559278196</v>
      </c>
      <c r="AC2443" s="810"/>
      <c r="AD2443" s="811"/>
      <c r="AE2443" s="940"/>
      <c r="AF2443" s="920">
        <f>IF(X2443=X2442,AF2442,0)+IF(ISNUMBER(I2443),IF(I2443&lt;1,I2443,I2443*VLOOKUP(J2443,Summary!$H$2:$I$9,2)),VLOOKUP(J2443,Summary!$J$2:$K$9,2)*IF(ISNUMBER(H2443),H2443,1))</f>
        <v>0.33333333333333331</v>
      </c>
      <c r="AG2443" s="287">
        <v>2442</v>
      </c>
      <c r="AH2443" s="94"/>
      <c r="AI2443" s="94"/>
    </row>
    <row r="2444" spans="1:35" s="3" customFormat="1" ht="12" customHeight="1" x14ac:dyDescent="0.25">
      <c r="A2444" s="405"/>
      <c r="B2444" s="406" t="s">
        <v>15938</v>
      </c>
      <c r="C2444" s="405">
        <v>7.2</v>
      </c>
      <c r="D2444" s="407" t="s">
        <v>14166</v>
      </c>
      <c r="E2444" s="315" t="s">
        <v>14158</v>
      </c>
      <c r="F2444" s="196">
        <v>43088</v>
      </c>
      <c r="G2444" s="170"/>
      <c r="H2444" s="170"/>
      <c r="I2444" s="747">
        <f t="shared" si="55"/>
        <v>4.1666666666666664E-2</v>
      </c>
      <c r="J2444" s="899" t="s">
        <v>4706</v>
      </c>
      <c r="K2444" s="167" t="s">
        <v>14171</v>
      </c>
      <c r="L2444" s="167" t="s">
        <v>2313</v>
      </c>
      <c r="M2444" s="167"/>
      <c r="N2444" s="167" t="s">
        <v>5666</v>
      </c>
      <c r="O2444" s="167" t="s">
        <v>3295</v>
      </c>
      <c r="P2444" s="168" t="s">
        <v>14173</v>
      </c>
      <c r="Q2444" s="167" t="s">
        <v>3947</v>
      </c>
      <c r="R2444" s="172" t="s">
        <v>536</v>
      </c>
      <c r="S2444" s="388"/>
      <c r="T2444" s="168" t="s">
        <v>14551</v>
      </c>
      <c r="U2444" s="168" t="s">
        <v>14552</v>
      </c>
      <c r="V2444" s="168" t="s">
        <v>14553</v>
      </c>
      <c r="W2444" s="315" t="s">
        <v>14158</v>
      </c>
      <c r="X2444" s="671" t="s">
        <v>14170</v>
      </c>
      <c r="Y2444" s="352"/>
      <c r="Z2444" s="353"/>
      <c r="AA2444" s="353"/>
      <c r="AB2444" s="40">
        <f t="shared" ca="1" si="54"/>
        <v>0.4502262355458605</v>
      </c>
      <c r="AC2444" s="810"/>
      <c r="AD2444" s="811"/>
      <c r="AE2444" s="940"/>
      <c r="AF2444" s="920">
        <f>IF(X2444=X2443,AF2443,0)+IF(ISNUMBER(I2444),IF(I2444&lt;1,I2444,I2444*VLOOKUP(J2444,Summary!$H$2:$I$9,2)),VLOOKUP(J2444,Summary!$J$2:$K$9,2)*IF(ISNUMBER(H2444),H2444,1))</f>
        <v>0.375</v>
      </c>
      <c r="AG2444" s="287">
        <v>2443</v>
      </c>
      <c r="AH2444" s="94"/>
      <c r="AI2444" s="94"/>
    </row>
    <row r="2445" spans="1:35" s="3" customFormat="1" ht="12" customHeight="1" x14ac:dyDescent="0.25">
      <c r="A2445" s="405"/>
      <c r="B2445" s="406" t="s">
        <v>15938</v>
      </c>
      <c r="C2445" s="405">
        <v>7.3</v>
      </c>
      <c r="D2445" s="407" t="s">
        <v>14167</v>
      </c>
      <c r="E2445" s="315" t="s">
        <v>14159</v>
      </c>
      <c r="F2445" s="196">
        <v>43088</v>
      </c>
      <c r="G2445" s="170"/>
      <c r="H2445" s="170"/>
      <c r="I2445" s="747">
        <f t="shared" si="55"/>
        <v>4.1666666666666664E-2</v>
      </c>
      <c r="J2445" s="899" t="s">
        <v>4706</v>
      </c>
      <c r="K2445" s="167" t="s">
        <v>11343</v>
      </c>
      <c r="L2445" s="167" t="s">
        <v>2313</v>
      </c>
      <c r="M2445" s="167"/>
      <c r="N2445" s="167" t="s">
        <v>5666</v>
      </c>
      <c r="O2445" s="167" t="s">
        <v>3295</v>
      </c>
      <c r="P2445" s="168" t="s">
        <v>14173</v>
      </c>
      <c r="Q2445" s="167" t="s">
        <v>3947</v>
      </c>
      <c r="R2445" s="172" t="s">
        <v>536</v>
      </c>
      <c r="S2445" s="388"/>
      <c r="T2445" s="168" t="s">
        <v>14551</v>
      </c>
      <c r="U2445" s="168" t="s">
        <v>14552</v>
      </c>
      <c r="V2445" s="168" t="s">
        <v>14553</v>
      </c>
      <c r="W2445" s="315" t="s">
        <v>14159</v>
      </c>
      <c r="X2445" s="671" t="s">
        <v>14170</v>
      </c>
      <c r="Y2445" s="352"/>
      <c r="Z2445" s="353"/>
      <c r="AA2445" s="353"/>
      <c r="AB2445" s="40">
        <f t="shared" ca="1" si="54"/>
        <v>0.42181370738324175</v>
      </c>
      <c r="AC2445" s="810"/>
      <c r="AD2445" s="811"/>
      <c r="AE2445" s="940"/>
      <c r="AF2445" s="920">
        <f>IF(X2445=X2444,AF2444,0)+IF(ISNUMBER(I2445),IF(I2445&lt;1,I2445,I2445*VLOOKUP(J2445,Summary!$H$2:$I$9,2)),VLOOKUP(J2445,Summary!$J$2:$K$9,2)*IF(ISNUMBER(H2445),H2445,1))</f>
        <v>0.41666666666666669</v>
      </c>
      <c r="AG2445" s="287">
        <v>2444</v>
      </c>
      <c r="AH2445" s="94"/>
      <c r="AI2445" s="94"/>
    </row>
    <row r="2446" spans="1:35" s="3" customFormat="1" ht="12" customHeight="1" x14ac:dyDescent="0.25">
      <c r="A2446" s="405"/>
      <c r="B2446" s="406" t="s">
        <v>15938</v>
      </c>
      <c r="C2446" s="405">
        <v>7.4</v>
      </c>
      <c r="D2446" s="407" t="s">
        <v>14168</v>
      </c>
      <c r="E2446" s="315" t="s">
        <v>14160</v>
      </c>
      <c r="F2446" s="196">
        <v>43088</v>
      </c>
      <c r="G2446" s="170"/>
      <c r="H2446" s="170"/>
      <c r="I2446" s="747">
        <f t="shared" si="55"/>
        <v>4.1666666666666664E-2</v>
      </c>
      <c r="J2446" s="899" t="s">
        <v>4706</v>
      </c>
      <c r="K2446" s="167" t="s">
        <v>13688</v>
      </c>
      <c r="L2446" s="167" t="s">
        <v>2313</v>
      </c>
      <c r="M2446" s="167"/>
      <c r="N2446" s="167" t="s">
        <v>5666</v>
      </c>
      <c r="O2446" s="167" t="s">
        <v>3295</v>
      </c>
      <c r="P2446" s="168" t="s">
        <v>14173</v>
      </c>
      <c r="Q2446" s="167" t="s">
        <v>3947</v>
      </c>
      <c r="R2446" s="172" t="s">
        <v>536</v>
      </c>
      <c r="S2446" s="388"/>
      <c r="T2446" s="168" t="s">
        <v>14551</v>
      </c>
      <c r="U2446" s="168" t="s">
        <v>14552</v>
      </c>
      <c r="V2446" s="168" t="s">
        <v>14553</v>
      </c>
      <c r="W2446" s="315" t="s">
        <v>14160</v>
      </c>
      <c r="X2446" s="671" t="s">
        <v>14170</v>
      </c>
      <c r="Y2446" s="352"/>
      <c r="Z2446" s="353"/>
      <c r="AA2446" s="353"/>
      <c r="AB2446" s="40">
        <f t="shared" ca="1" si="54"/>
        <v>0.76089063418848224</v>
      </c>
      <c r="AC2446" s="810"/>
      <c r="AD2446" s="811"/>
      <c r="AE2446" s="940"/>
      <c r="AF2446" s="920">
        <f>IF(X2446=X2445,AF2445,0)+IF(ISNUMBER(I2446),IF(I2446&lt;1,I2446,I2446*VLOOKUP(J2446,Summary!$H$2:$I$9,2)),VLOOKUP(J2446,Summary!$J$2:$K$9,2)*IF(ISNUMBER(H2446),H2446,1))</f>
        <v>0.45833333333333337</v>
      </c>
      <c r="AG2446" s="287">
        <v>2445</v>
      </c>
      <c r="AH2446" s="94"/>
      <c r="AI2446" s="94"/>
    </row>
    <row r="2447" spans="1:35" s="3" customFormat="1" ht="12" customHeight="1" x14ac:dyDescent="0.25">
      <c r="A2447" s="405"/>
      <c r="B2447" s="406" t="s">
        <v>15938</v>
      </c>
      <c r="C2447" s="405">
        <v>8</v>
      </c>
      <c r="D2447" s="407" t="s">
        <v>15491</v>
      </c>
      <c r="E2447" s="315" t="s">
        <v>15492</v>
      </c>
      <c r="F2447" s="196">
        <v>43468</v>
      </c>
      <c r="G2447" s="170"/>
      <c r="H2447" s="170"/>
      <c r="I2447" s="747">
        <f t="shared" si="55"/>
        <v>4.1666666666666664E-2</v>
      </c>
      <c r="J2447" s="899" t="s">
        <v>4706</v>
      </c>
      <c r="K2447" s="167" t="s">
        <v>3424</v>
      </c>
      <c r="L2447" s="167" t="s">
        <v>2313</v>
      </c>
      <c r="M2447" s="167"/>
      <c r="N2447" s="167" t="s">
        <v>5666</v>
      </c>
      <c r="O2447" s="167" t="s">
        <v>3295</v>
      </c>
      <c r="P2447" s="168" t="s">
        <v>15493</v>
      </c>
      <c r="Q2447" s="167" t="s">
        <v>3947</v>
      </c>
      <c r="R2447" s="172" t="s">
        <v>536</v>
      </c>
      <c r="S2447" s="388"/>
      <c r="T2447" s="168" t="s">
        <v>14551</v>
      </c>
      <c r="U2447" s="168" t="s">
        <v>14552</v>
      </c>
      <c r="V2447" s="168" t="s">
        <v>14553</v>
      </c>
      <c r="W2447" s="315" t="s">
        <v>15492</v>
      </c>
      <c r="X2447" s="671" t="s">
        <v>14170</v>
      </c>
      <c r="Y2447" s="352"/>
      <c r="Z2447" s="353"/>
      <c r="AA2447" s="353"/>
      <c r="AB2447" s="40">
        <f t="shared" ca="1" si="54"/>
        <v>0.78454858069858324</v>
      </c>
      <c r="AC2447" s="810"/>
      <c r="AD2447" s="811"/>
      <c r="AE2447" s="940"/>
      <c r="AF2447" s="920">
        <f>IF(X2447=X2446,AF2446,0)+IF(ISNUMBER(I2447),IF(I2447&lt;1,I2447,I2447*VLOOKUP(J2447,Summary!$H$2:$I$9,2)),VLOOKUP(J2447,Summary!$J$2:$K$9,2)*IF(ISNUMBER(H2447),H2447,1))</f>
        <v>0.5</v>
      </c>
      <c r="AG2447" s="287">
        <v>2446</v>
      </c>
      <c r="AH2447" s="94"/>
      <c r="AI2447" s="94"/>
    </row>
    <row r="2448" spans="1:35" s="3" customFormat="1" ht="12" customHeight="1" x14ac:dyDescent="0.25">
      <c r="A2448" s="546" t="s">
        <v>15666</v>
      </c>
      <c r="B2448" s="546">
        <v>7</v>
      </c>
      <c r="C2448" s="548">
        <v>5.07</v>
      </c>
      <c r="D2448" s="192" t="s">
        <v>12788</v>
      </c>
      <c r="E2448" s="317" t="s">
        <v>12789</v>
      </c>
      <c r="F2448" s="209">
        <v>42205</v>
      </c>
      <c r="G2448" s="191"/>
      <c r="H2448" s="192">
        <v>1</v>
      </c>
      <c r="I2448" s="753">
        <f>TIME(0,33, 7)</f>
        <v>2.2997685185185187E-2</v>
      </c>
      <c r="J2448" s="903" t="s">
        <v>2755</v>
      </c>
      <c r="K2448" s="194" t="s">
        <v>3118</v>
      </c>
      <c r="L2448" s="194" t="s">
        <v>5662</v>
      </c>
      <c r="M2448" s="194" t="s">
        <v>498</v>
      </c>
      <c r="N2448" s="194" t="s">
        <v>5660</v>
      </c>
      <c r="O2448" s="194" t="s">
        <v>5660</v>
      </c>
      <c r="P2448" s="190" t="s">
        <v>12790</v>
      </c>
      <c r="Q2448" s="194" t="s">
        <v>3947</v>
      </c>
      <c r="R2448" s="193" t="s">
        <v>2722</v>
      </c>
      <c r="S2448" s="357" t="s">
        <v>2542</v>
      </c>
      <c r="T2448" s="190"/>
      <c r="U2448" s="190"/>
      <c r="V2448" s="190"/>
      <c r="W2448" s="317" t="s">
        <v>12789</v>
      </c>
      <c r="X2448" s="649" t="s">
        <v>12341</v>
      </c>
      <c r="Y2448" s="357" t="s">
        <v>5643</v>
      </c>
      <c r="Z2448" s="192">
        <v>29</v>
      </c>
      <c r="AA2448" s="192">
        <v>5</v>
      </c>
      <c r="AB2448" s="37">
        <f t="shared" ca="1" si="54"/>
        <v>0.13844707226434427</v>
      </c>
      <c r="AC2448" s="816"/>
      <c r="AD2448" s="817"/>
      <c r="AE2448" s="943"/>
      <c r="AF2448" s="924">
        <f>IF(X2448=X2447,AF2447,0)+IF(ISNUMBER(I2448),IF(I2448&lt;1,I2448,I2448*VLOOKUP(J2448,Summary!$H$2:$I$9,2)),VLOOKUP(J2448,Summary!$J$2:$K$9,2)*IF(ISNUMBER(H2448),H2448,1))</f>
        <v>2.2997685185185187E-2</v>
      </c>
      <c r="AG2448" s="292">
        <v>2447</v>
      </c>
      <c r="AH2448" s="94"/>
      <c r="AI2448" s="94"/>
    </row>
    <row r="2449" spans="1:36" s="3" customFormat="1" ht="12" customHeight="1" x14ac:dyDescent="0.25">
      <c r="A2449" s="539" t="s">
        <v>15666</v>
      </c>
      <c r="B2449" s="539">
        <v>7</v>
      </c>
      <c r="C2449" s="542">
        <v>9.0500000000000007</v>
      </c>
      <c r="D2449" s="176" t="s">
        <v>4957</v>
      </c>
      <c r="E2449" s="313" t="s">
        <v>3467</v>
      </c>
      <c r="F2449" s="174">
        <v>38047</v>
      </c>
      <c r="G2449" s="174"/>
      <c r="H2449" s="176">
        <v>1</v>
      </c>
      <c r="I2449" s="176">
        <v>20</v>
      </c>
      <c r="J2449" s="900" t="s">
        <v>2755</v>
      </c>
      <c r="K2449" s="164" t="s">
        <v>4374</v>
      </c>
      <c r="L2449" s="164" t="s">
        <v>461</v>
      </c>
      <c r="M2449" s="164"/>
      <c r="N2449" s="164" t="s">
        <v>7381</v>
      </c>
      <c r="O2449" s="164"/>
      <c r="P2449" s="173" t="s">
        <v>3431</v>
      </c>
      <c r="Q2449" s="164" t="s">
        <v>3947</v>
      </c>
      <c r="R2449" s="177" t="s">
        <v>2723</v>
      </c>
      <c r="S2449" s="354" t="s">
        <v>2542</v>
      </c>
      <c r="T2449" s="173"/>
      <c r="U2449" s="173"/>
      <c r="V2449" s="173"/>
      <c r="W2449" s="313" t="s">
        <v>3467</v>
      </c>
      <c r="X2449" s="645" t="s">
        <v>12341</v>
      </c>
      <c r="Y2449" s="354"/>
      <c r="Z2449" s="176">
        <v>999</v>
      </c>
      <c r="AA2449" s="176"/>
      <c r="AB2449" s="32">
        <f t="shared" ca="1" si="54"/>
        <v>0.72585804735596915</v>
      </c>
      <c r="AC2449" s="812"/>
      <c r="AD2449" s="763"/>
      <c r="AE2449" s="807"/>
      <c r="AF2449" s="921">
        <f>IF(X2449=X2448,AF2448,0)+IF(ISNUMBER(I2449),IF(I2449&lt;1,I2449,I2449*VLOOKUP(J2449,Summary!$H$2:$I$9,2)),VLOOKUP(J2449,Summary!$J$2:$K$9,2)*IF(ISNUMBER(H2449),H2449,1))</f>
        <v>3.6886574074074079E-2</v>
      </c>
      <c r="AG2449" s="289">
        <v>2448</v>
      </c>
      <c r="AH2449" s="94"/>
      <c r="AI2449" s="94"/>
    </row>
    <row r="2450" spans="1:36" s="22" customFormat="1" ht="12" customHeight="1" x14ac:dyDescent="0.25">
      <c r="A2450" s="539" t="s">
        <v>15666</v>
      </c>
      <c r="B2450" s="539">
        <v>7</v>
      </c>
      <c r="C2450" s="542">
        <v>11.02</v>
      </c>
      <c r="D2450" s="176" t="s">
        <v>4958</v>
      </c>
      <c r="E2450" s="313" t="s">
        <v>3468</v>
      </c>
      <c r="F2450" s="174">
        <v>38200</v>
      </c>
      <c r="G2450" s="174"/>
      <c r="H2450" s="176">
        <v>1</v>
      </c>
      <c r="I2450" s="176">
        <v>14</v>
      </c>
      <c r="J2450" s="900" t="s">
        <v>2755</v>
      </c>
      <c r="K2450" s="164" t="s">
        <v>4032</v>
      </c>
      <c r="L2450" s="164" t="s">
        <v>461</v>
      </c>
      <c r="M2450" s="164"/>
      <c r="N2450" s="164" t="s">
        <v>7375</v>
      </c>
      <c r="O2450" s="164"/>
      <c r="P2450" s="173" t="s">
        <v>2559</v>
      </c>
      <c r="Q2450" s="164" t="s">
        <v>3947</v>
      </c>
      <c r="R2450" s="177" t="s">
        <v>2723</v>
      </c>
      <c r="S2450" s="354" t="s">
        <v>2542</v>
      </c>
      <c r="T2450" s="173"/>
      <c r="U2450" s="173"/>
      <c r="V2450" s="173"/>
      <c r="W2450" s="313" t="s">
        <v>3468</v>
      </c>
      <c r="X2450" s="645" t="s">
        <v>12341</v>
      </c>
      <c r="Y2450" s="354"/>
      <c r="Z2450" s="176">
        <v>999</v>
      </c>
      <c r="AA2450" s="176"/>
      <c r="AB2450" s="32">
        <f t="shared" ca="1" si="54"/>
        <v>0.89748998026930504</v>
      </c>
      <c r="AC2450" s="812"/>
      <c r="AD2450" s="763"/>
      <c r="AE2450" s="807"/>
      <c r="AF2450" s="921">
        <f>IF(X2450=X2449,AF2449,0)+IF(ISNUMBER(I2450),IF(I2450&lt;1,I2450,I2450*VLOOKUP(J2450,Summary!$H$2:$I$9,2)),VLOOKUP(J2450,Summary!$J$2:$K$9,2)*IF(ISNUMBER(H2450),H2450,1))</f>
        <v>4.6608796296296301E-2</v>
      </c>
      <c r="AG2450" s="289">
        <v>2449</v>
      </c>
      <c r="AH2450" s="94"/>
      <c r="AI2450" s="94"/>
    </row>
    <row r="2451" spans="1:36" s="22" customFormat="1" ht="12" customHeight="1" x14ac:dyDescent="0.25">
      <c r="A2451" s="539" t="s">
        <v>15666</v>
      </c>
      <c r="B2451" s="539">
        <v>7</v>
      </c>
      <c r="C2451" s="542">
        <v>14.06</v>
      </c>
      <c r="D2451" s="176" t="s">
        <v>4836</v>
      </c>
      <c r="E2451" s="313" t="s">
        <v>4835</v>
      </c>
      <c r="F2451" s="174">
        <v>38322</v>
      </c>
      <c r="G2451" s="174"/>
      <c r="H2451" s="176">
        <v>2</v>
      </c>
      <c r="I2451" s="176">
        <v>8</v>
      </c>
      <c r="J2451" s="900" t="s">
        <v>2755</v>
      </c>
      <c r="K2451" s="164" t="s">
        <v>7799</v>
      </c>
      <c r="L2451" s="164" t="s">
        <v>461</v>
      </c>
      <c r="M2451" s="164"/>
      <c r="N2451" s="164" t="s">
        <v>3807</v>
      </c>
      <c r="O2451" s="164"/>
      <c r="P2451" s="173" t="s">
        <v>6565</v>
      </c>
      <c r="Q2451" s="164" t="s">
        <v>3947</v>
      </c>
      <c r="R2451" s="177" t="s">
        <v>2723</v>
      </c>
      <c r="S2451" s="354" t="s">
        <v>2542</v>
      </c>
      <c r="T2451" s="173"/>
      <c r="U2451" s="173"/>
      <c r="V2451" s="173"/>
      <c r="W2451" s="313" t="s">
        <v>4835</v>
      </c>
      <c r="X2451" s="645" t="s">
        <v>12341</v>
      </c>
      <c r="Y2451" s="354"/>
      <c r="Z2451" s="176"/>
      <c r="AA2451" s="176"/>
      <c r="AB2451" s="32">
        <f t="shared" ca="1" si="54"/>
        <v>0.65230256993293712</v>
      </c>
      <c r="AC2451" s="812"/>
      <c r="AD2451" s="763"/>
      <c r="AE2451" s="807"/>
      <c r="AF2451" s="921">
        <f>IF(X2451=X2450,AF2450,0)+IF(ISNUMBER(I2451),IF(I2451&lt;1,I2451,I2451*VLOOKUP(J2451,Summary!$H$2:$I$9,2)),VLOOKUP(J2451,Summary!$J$2:$K$9,2)*IF(ISNUMBER(H2451),H2451,1))</f>
        <v>5.2164351851851858E-2</v>
      </c>
      <c r="AG2451" s="289">
        <v>2450</v>
      </c>
      <c r="AH2451" s="94"/>
      <c r="AI2451" s="94"/>
    </row>
    <row r="2452" spans="1:36" s="27" customFormat="1" ht="12" customHeight="1" x14ac:dyDescent="0.25">
      <c r="A2452" s="539" t="s">
        <v>15666</v>
      </c>
      <c r="B2452" s="539">
        <v>7</v>
      </c>
      <c r="C2452" s="539">
        <v>29.17</v>
      </c>
      <c r="D2452" s="176" t="s">
        <v>2778</v>
      </c>
      <c r="E2452" s="313" t="s">
        <v>5342</v>
      </c>
      <c r="F2452" s="174">
        <v>39692</v>
      </c>
      <c r="G2452" s="174"/>
      <c r="H2452" s="176" t="s">
        <v>461</v>
      </c>
      <c r="I2452" s="176">
        <v>6</v>
      </c>
      <c r="J2452" s="900" t="s">
        <v>2755</v>
      </c>
      <c r="K2452" s="164" t="s">
        <v>5341</v>
      </c>
      <c r="L2452" s="164" t="s">
        <v>461</v>
      </c>
      <c r="M2452" s="164"/>
      <c r="N2452" s="164" t="s">
        <v>5664</v>
      </c>
      <c r="O2452" s="164"/>
      <c r="P2452" s="173" t="s">
        <v>6707</v>
      </c>
      <c r="Q2452" s="164" t="s">
        <v>3947</v>
      </c>
      <c r="R2452" s="177" t="s">
        <v>2723</v>
      </c>
      <c r="S2452" s="354" t="s">
        <v>2542</v>
      </c>
      <c r="T2452" s="173"/>
      <c r="U2452" s="173"/>
      <c r="V2452" s="173"/>
      <c r="W2452" s="313" t="s">
        <v>5342</v>
      </c>
      <c r="X2452" s="645" t="s">
        <v>12341</v>
      </c>
      <c r="Y2452" s="354"/>
      <c r="Z2452" s="176"/>
      <c r="AA2452" s="176"/>
      <c r="AB2452" s="32">
        <f t="shared" ca="1" si="54"/>
        <v>0.54653857908690473</v>
      </c>
      <c r="AC2452" s="812"/>
      <c r="AD2452" s="763"/>
      <c r="AE2452" s="807"/>
      <c r="AF2452" s="921">
        <f>IF(X2452=X2451,AF2451,0)+IF(ISNUMBER(I2452),IF(I2452&lt;1,I2452,I2452*VLOOKUP(J2452,Summary!$H$2:$I$9,2)),VLOOKUP(J2452,Summary!$J$2:$K$9,2)*IF(ISNUMBER(H2452),H2452,1))</f>
        <v>5.6331018518518523E-2</v>
      </c>
      <c r="AG2452" s="289">
        <v>2451</v>
      </c>
      <c r="AH2452" s="94"/>
      <c r="AI2452" s="94"/>
    </row>
    <row r="2453" spans="1:36" s="1" customFormat="1" ht="12" customHeight="1" x14ac:dyDescent="0.25">
      <c r="A2453" s="543" t="s">
        <v>15666</v>
      </c>
      <c r="B2453" s="543">
        <v>7</v>
      </c>
      <c r="C2453" s="549"/>
      <c r="D2453" s="185" t="s">
        <v>15351</v>
      </c>
      <c r="E2453" s="314" t="s">
        <v>14555</v>
      </c>
      <c r="F2453" s="184">
        <v>43257</v>
      </c>
      <c r="G2453" s="184">
        <v>43313</v>
      </c>
      <c r="H2453" s="185">
        <v>3</v>
      </c>
      <c r="I2453" s="185">
        <v>17</v>
      </c>
      <c r="J2453" s="901" t="s">
        <v>1796</v>
      </c>
      <c r="K2453" s="163" t="s">
        <v>2675</v>
      </c>
      <c r="L2453" s="163" t="s">
        <v>14556</v>
      </c>
      <c r="M2453" s="163" t="s">
        <v>11087</v>
      </c>
      <c r="N2453" s="163" t="s">
        <v>561</v>
      </c>
      <c r="O2453" s="163"/>
      <c r="P2453" s="182" t="s">
        <v>461</v>
      </c>
      <c r="Q2453" s="163" t="s">
        <v>7076</v>
      </c>
      <c r="R2453" s="186" t="s">
        <v>14473</v>
      </c>
      <c r="S2453" s="355" t="s">
        <v>2542</v>
      </c>
      <c r="T2453" s="182"/>
      <c r="U2453" s="182"/>
      <c r="V2453" s="182"/>
      <c r="W2453" s="314"/>
      <c r="X2453" s="646" t="s">
        <v>12341</v>
      </c>
      <c r="Y2453" s="355"/>
      <c r="Z2453" s="185"/>
      <c r="AA2453" s="185"/>
      <c r="AB2453" s="33">
        <f t="shared" ca="1" si="54"/>
        <v>0.14527274576859517</v>
      </c>
      <c r="AC2453" s="813"/>
      <c r="AD2453" s="211"/>
      <c r="AE2453" s="941"/>
      <c r="AF2453" s="922">
        <f>IF(X2453=X2452,AF2452,0)+IF(ISNUMBER(I2453),IF(I2453&lt;1,I2453,I2453*VLOOKUP(J2453,Summary!$H$2:$I$9,2)),VLOOKUP(J2453,Summary!$J$2:$K$9,2)*IF(ISNUMBER(H2453),H2453,1))</f>
        <v>6.2233796296296301E-2</v>
      </c>
      <c r="AG2453" s="290">
        <v>2452</v>
      </c>
      <c r="AH2453" s="94"/>
      <c r="AI2453" s="94"/>
    </row>
    <row r="2454" spans="1:36" s="27" customFormat="1" ht="12" customHeight="1" x14ac:dyDescent="0.25">
      <c r="A2454" s="541" t="s">
        <v>15666</v>
      </c>
      <c r="B2454" s="541">
        <v>7</v>
      </c>
      <c r="C2454" s="541">
        <v>7</v>
      </c>
      <c r="D2454" s="407" t="s">
        <v>8313</v>
      </c>
      <c r="E2454" s="315" t="s">
        <v>8314</v>
      </c>
      <c r="F2454" s="196">
        <v>41456</v>
      </c>
      <c r="G2454" s="170"/>
      <c r="H2454" s="170">
        <v>1</v>
      </c>
      <c r="I2454" s="746">
        <f>TIME(1,3,56)</f>
        <v>4.4398148148148152E-2</v>
      </c>
      <c r="J2454" s="899" t="s">
        <v>4706</v>
      </c>
      <c r="K2454" s="167" t="s">
        <v>178</v>
      </c>
      <c r="L2454" s="167" t="s">
        <v>6231</v>
      </c>
      <c r="M2454" s="167" t="s">
        <v>8315</v>
      </c>
      <c r="N2454" s="167"/>
      <c r="O2454" s="167"/>
      <c r="P2454" s="168" t="s">
        <v>8316</v>
      </c>
      <c r="Q2454" s="167" t="s">
        <v>2096</v>
      </c>
      <c r="R2454" s="172" t="s">
        <v>2092</v>
      </c>
      <c r="S2454" s="388" t="s">
        <v>2542</v>
      </c>
      <c r="T2454" s="168"/>
      <c r="U2454" s="168"/>
      <c r="V2454" s="168"/>
      <c r="W2454" s="312" t="s">
        <v>8314</v>
      </c>
      <c r="X2454" s="644" t="s">
        <v>12341</v>
      </c>
      <c r="Y2454" s="352" t="s">
        <v>5643</v>
      </c>
      <c r="Z2454" s="353">
        <v>172</v>
      </c>
      <c r="AA2454" s="353">
        <v>6.5</v>
      </c>
      <c r="AB2454" s="31">
        <f t="shared" ca="1" si="54"/>
        <v>0.28155222722173412</v>
      </c>
      <c r="AC2454" s="810"/>
      <c r="AD2454" s="811"/>
      <c r="AE2454" s="940"/>
      <c r="AF2454" s="920">
        <f>IF(X2454=X2453,AF2453,0)+IF(ISNUMBER(I2454),IF(I2454&lt;1,I2454,I2454*VLOOKUP(J2454,Summary!$H$2:$I$9,2)),VLOOKUP(J2454,Summary!$J$2:$K$9,2)*IF(ISNUMBER(H2454),H2454,1))</f>
        <v>0.10663194444444446</v>
      </c>
      <c r="AG2454" s="287">
        <v>2453</v>
      </c>
      <c r="AH2454" s="94"/>
      <c r="AI2454" s="94"/>
    </row>
    <row r="2455" spans="1:36" s="29" customFormat="1" ht="12" customHeight="1" x14ac:dyDescent="0.25">
      <c r="A2455" s="539" t="s">
        <v>15666</v>
      </c>
      <c r="B2455" s="539">
        <v>7</v>
      </c>
      <c r="C2455" s="542">
        <v>1.07</v>
      </c>
      <c r="D2455" s="176" t="s">
        <v>9252</v>
      </c>
      <c r="E2455" s="313" t="s">
        <v>9253</v>
      </c>
      <c r="F2455" s="175">
        <v>41478</v>
      </c>
      <c r="G2455" s="174"/>
      <c r="H2455" s="176">
        <v>1</v>
      </c>
      <c r="I2455" s="176">
        <v>48</v>
      </c>
      <c r="J2455" s="900" t="s">
        <v>2755</v>
      </c>
      <c r="K2455" s="164" t="s">
        <v>9254</v>
      </c>
      <c r="L2455" s="164" t="s">
        <v>461</v>
      </c>
      <c r="M2455" s="164"/>
      <c r="N2455" s="164"/>
      <c r="O2455" s="164"/>
      <c r="P2455" s="173" t="s">
        <v>9237</v>
      </c>
      <c r="Q2455" s="164" t="s">
        <v>9235</v>
      </c>
      <c r="R2455" s="177" t="s">
        <v>9236</v>
      </c>
      <c r="S2455" s="354" t="s">
        <v>2542</v>
      </c>
      <c r="T2455" s="173"/>
      <c r="U2455" s="173"/>
      <c r="V2455" s="173"/>
      <c r="W2455" s="313" t="s">
        <v>9253</v>
      </c>
      <c r="X2455" s="645" t="s">
        <v>12341</v>
      </c>
      <c r="Y2455" s="354" t="s">
        <v>6868</v>
      </c>
      <c r="Z2455" s="176"/>
      <c r="AA2455" s="176"/>
      <c r="AB2455" s="32">
        <f t="shared" ca="1" si="54"/>
        <v>0.81048540876635644</v>
      </c>
      <c r="AC2455" s="812"/>
      <c r="AD2455" s="763"/>
      <c r="AE2455" s="807"/>
      <c r="AF2455" s="921">
        <f>IF(X2455=X2454,AF2454,0)+IF(ISNUMBER(I2455),IF(I2455&lt;1,I2455,I2455*VLOOKUP(J2455,Summary!$H$2:$I$9,2)),VLOOKUP(J2455,Summary!$J$2:$K$9,2)*IF(ISNUMBER(H2455),H2455,1))</f>
        <v>0.13996527777777779</v>
      </c>
      <c r="AG2455" s="289">
        <v>2454</v>
      </c>
      <c r="AH2455" s="94"/>
      <c r="AI2455" s="94"/>
      <c r="AJ2455" s="1"/>
    </row>
    <row r="2456" spans="1:36" s="6" customFormat="1" ht="12" customHeight="1" x14ac:dyDescent="0.25">
      <c r="A2456" s="543" t="s">
        <v>15666</v>
      </c>
      <c r="B2456" s="543">
        <v>7</v>
      </c>
      <c r="C2456" s="549">
        <v>39</v>
      </c>
      <c r="D2456" s="185" t="s">
        <v>3790</v>
      </c>
      <c r="E2456" s="314" t="s">
        <v>591</v>
      </c>
      <c r="F2456" s="183">
        <v>32082</v>
      </c>
      <c r="G2456" s="183">
        <v>32174</v>
      </c>
      <c r="H2456" s="185">
        <v>4</v>
      </c>
      <c r="I2456" s="185">
        <v>32</v>
      </c>
      <c r="J2456" s="901" t="s">
        <v>1796</v>
      </c>
      <c r="K2456" s="163" t="s">
        <v>5148</v>
      </c>
      <c r="L2456" s="163" t="s">
        <v>5709</v>
      </c>
      <c r="M2456" s="163"/>
      <c r="N2456" s="163" t="s">
        <v>3421</v>
      </c>
      <c r="O2456" s="163"/>
      <c r="P2456" s="182" t="s">
        <v>461</v>
      </c>
      <c r="Q2456" s="163" t="s">
        <v>4062</v>
      </c>
      <c r="R2456" s="186" t="s">
        <v>5266</v>
      </c>
      <c r="S2456" s="355"/>
      <c r="T2456" s="182" t="s">
        <v>7313</v>
      </c>
      <c r="U2456" s="182"/>
      <c r="V2456" s="182"/>
      <c r="W2456" s="314"/>
      <c r="X2456" s="646" t="s">
        <v>12341</v>
      </c>
      <c r="Y2456" s="355"/>
      <c r="Z2456" s="185"/>
      <c r="AA2456" s="185"/>
      <c r="AB2456" s="33">
        <f t="shared" ca="1" si="54"/>
        <v>0.9013731993270766</v>
      </c>
      <c r="AC2456" s="813"/>
      <c r="AD2456" s="211" t="s">
        <v>16387</v>
      </c>
      <c r="AE2456" s="941" t="s">
        <v>12543</v>
      </c>
      <c r="AF2456" s="922">
        <f>IF(X2456=X2455,AF2455,0)+IF(ISNUMBER(I2456),IF(I2456&lt;1,I2456,I2456*VLOOKUP(J2456,Summary!$H$2:$I$9,2)),VLOOKUP(J2456,Summary!$J$2:$K$9,2)*IF(ISNUMBER(H2456),H2456,1))</f>
        <v>0.15107638888888889</v>
      </c>
      <c r="AG2456" s="290">
        <v>2455</v>
      </c>
      <c r="AH2456" s="94"/>
      <c r="AI2456" s="94"/>
      <c r="AJ2456" s="29"/>
    </row>
    <row r="2457" spans="1:36" s="3" customFormat="1" ht="12" customHeight="1" x14ac:dyDescent="0.25">
      <c r="A2457" s="543" t="s">
        <v>15666</v>
      </c>
      <c r="B2457" s="543">
        <v>7</v>
      </c>
      <c r="C2457" s="549">
        <v>40</v>
      </c>
      <c r="D2457" s="185" t="s">
        <v>3791</v>
      </c>
      <c r="E2457" s="314" t="s">
        <v>592</v>
      </c>
      <c r="F2457" s="183">
        <v>32203</v>
      </c>
      <c r="G2457" s="183"/>
      <c r="H2457" s="185">
        <v>1</v>
      </c>
      <c r="I2457" s="185">
        <v>8</v>
      </c>
      <c r="J2457" s="901" t="s">
        <v>1796</v>
      </c>
      <c r="K2457" s="163" t="s">
        <v>5148</v>
      </c>
      <c r="L2457" s="163" t="s">
        <v>3792</v>
      </c>
      <c r="M2457" s="163"/>
      <c r="N2457" s="163" t="s">
        <v>3793</v>
      </c>
      <c r="O2457" s="163"/>
      <c r="P2457" s="182" t="s">
        <v>461</v>
      </c>
      <c r="Q2457" s="163" t="s">
        <v>4062</v>
      </c>
      <c r="R2457" s="186" t="s">
        <v>5266</v>
      </c>
      <c r="S2457" s="355"/>
      <c r="T2457" s="182"/>
      <c r="U2457" s="182"/>
      <c r="V2457" s="182"/>
      <c r="W2457" s="314" t="s">
        <v>592</v>
      </c>
      <c r="X2457" s="646" t="s">
        <v>12341</v>
      </c>
      <c r="Y2457" s="355"/>
      <c r="Z2457" s="185"/>
      <c r="AA2457" s="185"/>
      <c r="AB2457" s="33">
        <f t="shared" ca="1" si="54"/>
        <v>0.20331017859631262</v>
      </c>
      <c r="AC2457" s="813"/>
      <c r="AD2457" s="211" t="s">
        <v>16387</v>
      </c>
      <c r="AE2457" s="941" t="s">
        <v>15062</v>
      </c>
      <c r="AF2457" s="922">
        <f>IF(X2457=X2456,AF2456,0)+IF(ISNUMBER(I2457),IF(I2457&lt;1,I2457,I2457*VLOOKUP(J2457,Summary!$H$2:$I$9,2)),VLOOKUP(J2457,Summary!$J$2:$K$9,2)*IF(ISNUMBER(H2457),H2457,1))</f>
        <v>0.15385416666666665</v>
      </c>
      <c r="AG2457" s="290">
        <v>2456</v>
      </c>
      <c r="AH2457" s="94"/>
      <c r="AI2457" s="94"/>
      <c r="AJ2457" s="6"/>
    </row>
    <row r="2458" spans="1:36" s="22" customFormat="1" ht="12" customHeight="1" x14ac:dyDescent="0.25">
      <c r="A2458" s="543" t="s">
        <v>15666</v>
      </c>
      <c r="B2458" s="543">
        <v>7</v>
      </c>
      <c r="C2458" s="549">
        <v>41</v>
      </c>
      <c r="D2458" s="185" t="s">
        <v>3794</v>
      </c>
      <c r="E2458" s="314" t="s">
        <v>593</v>
      </c>
      <c r="F2458" s="183">
        <v>32234</v>
      </c>
      <c r="G2458" s="183"/>
      <c r="H2458" s="185">
        <v>1</v>
      </c>
      <c r="I2458" s="185">
        <v>8</v>
      </c>
      <c r="J2458" s="901" t="s">
        <v>1796</v>
      </c>
      <c r="K2458" s="163" t="s">
        <v>5148</v>
      </c>
      <c r="L2458" s="163" t="s">
        <v>3795</v>
      </c>
      <c r="M2458" s="163"/>
      <c r="N2458" s="163" t="s">
        <v>3793</v>
      </c>
      <c r="O2458" s="163"/>
      <c r="P2458" s="182" t="s">
        <v>461</v>
      </c>
      <c r="Q2458" s="163" t="s">
        <v>4062</v>
      </c>
      <c r="R2458" s="186" t="s">
        <v>5266</v>
      </c>
      <c r="S2458" s="355"/>
      <c r="T2458" s="182"/>
      <c r="U2458" s="182"/>
      <c r="V2458" s="182"/>
      <c r="W2458" s="314" t="s">
        <v>593</v>
      </c>
      <c r="X2458" s="646" t="s">
        <v>12341</v>
      </c>
      <c r="Y2458" s="355"/>
      <c r="Z2458" s="185"/>
      <c r="AA2458" s="185"/>
      <c r="AB2458" s="33">
        <f t="shared" ca="1" si="54"/>
        <v>0.62806120895569773</v>
      </c>
      <c r="AC2458" s="813"/>
      <c r="AD2458" s="211"/>
      <c r="AE2458" s="941"/>
      <c r="AF2458" s="922">
        <f>IF(X2458=X2457,AF2457,0)+IF(ISNUMBER(I2458),IF(I2458&lt;1,I2458,I2458*VLOOKUP(J2458,Summary!$H$2:$I$9,2)),VLOOKUP(J2458,Summary!$J$2:$K$9,2)*IF(ISNUMBER(H2458),H2458,1))</f>
        <v>0.15663194444444442</v>
      </c>
      <c r="AG2458" s="290">
        <v>2457</v>
      </c>
      <c r="AH2458" s="94"/>
      <c r="AI2458" s="94"/>
      <c r="AJ2458" s="27"/>
    </row>
    <row r="2459" spans="1:36" s="6" customFormat="1" ht="12" customHeight="1" x14ac:dyDescent="0.25">
      <c r="A2459" s="543" t="s">
        <v>15666</v>
      </c>
      <c r="B2459" s="543">
        <v>7</v>
      </c>
      <c r="C2459" s="549">
        <v>42</v>
      </c>
      <c r="D2459" s="185" t="s">
        <v>1325</v>
      </c>
      <c r="E2459" s="314" t="s">
        <v>594</v>
      </c>
      <c r="F2459" s="183">
        <v>32264</v>
      </c>
      <c r="G2459" s="183">
        <v>32325</v>
      </c>
      <c r="H2459" s="185">
        <v>3</v>
      </c>
      <c r="I2459" s="185">
        <v>24</v>
      </c>
      <c r="J2459" s="901" t="s">
        <v>1796</v>
      </c>
      <c r="K2459" s="163" t="s">
        <v>4138</v>
      </c>
      <c r="L2459" s="163" t="s">
        <v>1326</v>
      </c>
      <c r="M2459" s="163"/>
      <c r="N2459" s="163" t="s">
        <v>3793</v>
      </c>
      <c r="O2459" s="163"/>
      <c r="P2459" s="182" t="s">
        <v>461</v>
      </c>
      <c r="Q2459" s="163" t="s">
        <v>4062</v>
      </c>
      <c r="R2459" s="186" t="s">
        <v>5266</v>
      </c>
      <c r="S2459" s="355"/>
      <c r="T2459" s="182"/>
      <c r="U2459" s="182"/>
      <c r="V2459" s="182"/>
      <c r="W2459" s="314"/>
      <c r="X2459" s="646" t="s">
        <v>12341</v>
      </c>
      <c r="Y2459" s="355"/>
      <c r="Z2459" s="185"/>
      <c r="AA2459" s="185"/>
      <c r="AB2459" s="33">
        <f t="shared" ca="1" si="54"/>
        <v>0.73414874256698071</v>
      </c>
      <c r="AC2459" s="813"/>
      <c r="AD2459" s="211" t="s">
        <v>16583</v>
      </c>
      <c r="AE2459" s="941"/>
      <c r="AF2459" s="922">
        <f>IF(X2459=X2458,AF2458,0)+IF(ISNUMBER(I2459),IF(I2459&lt;1,I2459,I2459*VLOOKUP(J2459,Summary!$H$2:$I$9,2)),VLOOKUP(J2459,Summary!$J$2:$K$9,2)*IF(ISNUMBER(H2459),H2459,1))</f>
        <v>0.16496527777777775</v>
      </c>
      <c r="AG2459" s="290">
        <v>2458</v>
      </c>
      <c r="AH2459" s="94"/>
      <c r="AI2459" s="94"/>
      <c r="AJ2459" s="3"/>
    </row>
    <row r="2460" spans="1:36" s="6" customFormat="1" ht="12" customHeight="1" x14ac:dyDescent="0.25">
      <c r="A2460" s="543" t="s">
        <v>15666</v>
      </c>
      <c r="B2460" s="543">
        <v>7</v>
      </c>
      <c r="C2460" s="549">
        <v>43</v>
      </c>
      <c r="D2460" s="185" t="s">
        <v>4609</v>
      </c>
      <c r="E2460" s="314" t="s">
        <v>4608</v>
      </c>
      <c r="F2460" s="183">
        <v>32356</v>
      </c>
      <c r="G2460" s="183"/>
      <c r="H2460" s="185">
        <v>1</v>
      </c>
      <c r="I2460" s="185">
        <v>8</v>
      </c>
      <c r="J2460" s="901" t="s">
        <v>1796</v>
      </c>
      <c r="K2460" s="163" t="s">
        <v>5708</v>
      </c>
      <c r="L2460" s="163" t="s">
        <v>1327</v>
      </c>
      <c r="M2460" s="163"/>
      <c r="N2460" s="163" t="s">
        <v>3793</v>
      </c>
      <c r="O2460" s="163"/>
      <c r="P2460" s="182" t="s">
        <v>461</v>
      </c>
      <c r="Q2460" s="163" t="s">
        <v>4062</v>
      </c>
      <c r="R2460" s="186" t="s">
        <v>5266</v>
      </c>
      <c r="S2460" s="355"/>
      <c r="T2460" s="182"/>
      <c r="U2460" s="182"/>
      <c r="V2460" s="182"/>
      <c r="W2460" s="314" t="s">
        <v>4608</v>
      </c>
      <c r="X2460" s="646" t="s">
        <v>12341</v>
      </c>
      <c r="Y2460" s="355"/>
      <c r="Z2460" s="185"/>
      <c r="AA2460" s="185"/>
      <c r="AB2460" s="33">
        <f t="shared" ca="1" si="54"/>
        <v>0.605859597818447</v>
      </c>
      <c r="AC2460" s="813"/>
      <c r="AD2460" s="211"/>
      <c r="AE2460" s="941"/>
      <c r="AF2460" s="922">
        <f>IF(X2460=X2459,AF2459,0)+IF(ISNUMBER(I2460),IF(I2460&lt;1,I2460,I2460*VLOOKUP(J2460,Summary!$H$2:$I$9,2)),VLOOKUP(J2460,Summary!$J$2:$K$9,2)*IF(ISNUMBER(H2460),H2460,1))</f>
        <v>0.16774305555555552</v>
      </c>
      <c r="AG2460" s="290">
        <v>2459</v>
      </c>
      <c r="AH2460" s="94"/>
      <c r="AI2460" s="94"/>
      <c r="AJ2460" s="9"/>
    </row>
    <row r="2461" spans="1:36" s="22" customFormat="1" ht="12" customHeight="1" x14ac:dyDescent="0.25">
      <c r="A2461" s="543" t="s">
        <v>15666</v>
      </c>
      <c r="B2461" s="543">
        <v>7</v>
      </c>
      <c r="C2461" s="549">
        <v>44</v>
      </c>
      <c r="D2461" s="185" t="s">
        <v>4610</v>
      </c>
      <c r="E2461" s="314" t="s">
        <v>761</v>
      </c>
      <c r="F2461" s="183">
        <v>32387</v>
      </c>
      <c r="G2461" s="183"/>
      <c r="H2461" s="185">
        <v>1</v>
      </c>
      <c r="I2461" s="185">
        <v>8</v>
      </c>
      <c r="J2461" s="901" t="s">
        <v>1796</v>
      </c>
      <c r="K2461" s="163" t="s">
        <v>5148</v>
      </c>
      <c r="L2461" s="163" t="s">
        <v>4611</v>
      </c>
      <c r="M2461" s="163"/>
      <c r="N2461" s="163" t="s">
        <v>3793</v>
      </c>
      <c r="O2461" s="163"/>
      <c r="P2461" s="182" t="s">
        <v>461</v>
      </c>
      <c r="Q2461" s="163" t="s">
        <v>4062</v>
      </c>
      <c r="R2461" s="186" t="s">
        <v>5266</v>
      </c>
      <c r="S2461" s="355"/>
      <c r="T2461" s="182"/>
      <c r="U2461" s="182"/>
      <c r="V2461" s="182"/>
      <c r="W2461" s="314" t="s">
        <v>761</v>
      </c>
      <c r="X2461" s="646" t="s">
        <v>12341</v>
      </c>
      <c r="Y2461" s="355"/>
      <c r="Z2461" s="185"/>
      <c r="AA2461" s="185"/>
      <c r="AB2461" s="33">
        <f t="shared" ca="1" si="54"/>
        <v>0.70135944358457925</v>
      </c>
      <c r="AC2461" s="813"/>
      <c r="AD2461" s="211" t="s">
        <v>16411</v>
      </c>
      <c r="AE2461" s="941" t="s">
        <v>12543</v>
      </c>
      <c r="AF2461" s="922">
        <f>IF(X2461=X2460,AF2460,0)+IF(ISNUMBER(I2461),IF(I2461&lt;1,I2461,I2461*VLOOKUP(J2461,Summary!$H$2:$I$9,2)),VLOOKUP(J2461,Summary!$J$2:$K$9,2)*IF(ISNUMBER(H2461),H2461,1))</f>
        <v>0.17052083333333329</v>
      </c>
      <c r="AG2461" s="290">
        <v>2460</v>
      </c>
      <c r="AH2461" s="94"/>
      <c r="AI2461" s="94"/>
      <c r="AJ2461" s="1"/>
    </row>
    <row r="2462" spans="1:36" s="6" customFormat="1" ht="12" customHeight="1" x14ac:dyDescent="0.25">
      <c r="A2462" s="543" t="s">
        <v>15666</v>
      </c>
      <c r="B2462" s="543">
        <v>7</v>
      </c>
      <c r="C2462" s="549">
        <v>45</v>
      </c>
      <c r="D2462" s="185" t="s">
        <v>4612</v>
      </c>
      <c r="E2462" s="314" t="s">
        <v>6852</v>
      </c>
      <c r="F2462" s="183">
        <v>32417</v>
      </c>
      <c r="G2462" s="183">
        <v>32448</v>
      </c>
      <c r="H2462" s="185">
        <v>2</v>
      </c>
      <c r="I2462" s="185">
        <v>16</v>
      </c>
      <c r="J2462" s="901" t="s">
        <v>1796</v>
      </c>
      <c r="K2462" s="163" t="s">
        <v>561</v>
      </c>
      <c r="L2462" s="163" t="s">
        <v>7928</v>
      </c>
      <c r="M2462" s="163"/>
      <c r="N2462" s="163" t="s">
        <v>3793</v>
      </c>
      <c r="O2462" s="163"/>
      <c r="P2462" s="182" t="s">
        <v>461</v>
      </c>
      <c r="Q2462" s="163" t="s">
        <v>4062</v>
      </c>
      <c r="R2462" s="186" t="s">
        <v>5266</v>
      </c>
      <c r="S2462" s="355"/>
      <c r="T2462" s="182"/>
      <c r="U2462" s="182"/>
      <c r="V2462" s="182"/>
      <c r="W2462" s="314"/>
      <c r="X2462" s="646" t="s">
        <v>12341</v>
      </c>
      <c r="Y2462" s="355"/>
      <c r="Z2462" s="185"/>
      <c r="AA2462" s="185"/>
      <c r="AB2462" s="33">
        <f t="shared" ca="1" si="54"/>
        <v>0.73349842599370574</v>
      </c>
      <c r="AC2462" s="813"/>
      <c r="AD2462" s="211"/>
      <c r="AE2462" s="941"/>
      <c r="AF2462" s="922">
        <f>IF(X2462=X2461,AF2461,0)+IF(ISNUMBER(I2462),IF(I2462&lt;1,I2462,I2462*VLOOKUP(J2462,Summary!$H$2:$I$9,2)),VLOOKUP(J2462,Summary!$J$2:$K$9,2)*IF(ISNUMBER(H2462),H2462,1))</f>
        <v>0.17607638888888885</v>
      </c>
      <c r="AG2462" s="290">
        <v>2461</v>
      </c>
      <c r="AH2462" s="94"/>
      <c r="AI2462" s="94"/>
      <c r="AJ2462" s="57"/>
    </row>
    <row r="2463" spans="1:36" s="6" customFormat="1" ht="12" customHeight="1" x14ac:dyDescent="0.25">
      <c r="A2463" s="539" t="s">
        <v>15666</v>
      </c>
      <c r="B2463" s="539">
        <v>7</v>
      </c>
      <c r="C2463" s="539">
        <v>14</v>
      </c>
      <c r="D2463" s="176" t="s">
        <v>12793</v>
      </c>
      <c r="E2463" s="313" t="s">
        <v>12791</v>
      </c>
      <c r="F2463" s="174">
        <v>32448</v>
      </c>
      <c r="G2463" s="174"/>
      <c r="H2463" s="176">
        <v>1</v>
      </c>
      <c r="I2463" s="176">
        <v>5</v>
      </c>
      <c r="J2463" s="900" t="s">
        <v>2755</v>
      </c>
      <c r="K2463" s="164" t="s">
        <v>12792</v>
      </c>
      <c r="L2463" s="164" t="s">
        <v>461</v>
      </c>
      <c r="M2463" s="164"/>
      <c r="N2463" s="164" t="s">
        <v>4624</v>
      </c>
      <c r="O2463" s="164"/>
      <c r="P2463" s="173" t="s">
        <v>461</v>
      </c>
      <c r="Q2463" s="164" t="s">
        <v>4062</v>
      </c>
      <c r="R2463" s="177" t="s">
        <v>10250</v>
      </c>
      <c r="S2463" s="354"/>
      <c r="T2463" s="173"/>
      <c r="U2463" s="173"/>
      <c r="V2463" s="173"/>
      <c r="W2463" s="313" t="s">
        <v>12791</v>
      </c>
      <c r="X2463" s="645" t="s">
        <v>12341</v>
      </c>
      <c r="Y2463" s="354"/>
      <c r="Z2463" s="176"/>
      <c r="AA2463" s="176"/>
      <c r="AB2463" s="32">
        <f t="shared" ca="1" si="54"/>
        <v>0.67868772697801483</v>
      </c>
      <c r="AC2463" s="812"/>
      <c r="AD2463" s="763"/>
      <c r="AE2463" s="807"/>
      <c r="AF2463" s="921">
        <f>IF(X2463=X2462,AF2462,0)+IF(ISNUMBER(I2463),IF(I2463&lt;1,I2463,I2463*VLOOKUP(J2463,Summary!$H$2:$I$9,2)),VLOOKUP(J2463,Summary!$J$2:$K$9,2)*IF(ISNUMBER(H2463),H2463,1))</f>
        <v>0.17954861111111106</v>
      </c>
      <c r="AG2463" s="289">
        <v>2462</v>
      </c>
      <c r="AH2463" s="94"/>
      <c r="AI2463" s="94"/>
      <c r="AJ2463" s="3"/>
    </row>
    <row r="2464" spans="1:36" s="6" customFormat="1" ht="12" customHeight="1" x14ac:dyDescent="0.25">
      <c r="A2464" s="543" t="s">
        <v>15666</v>
      </c>
      <c r="B2464" s="543">
        <v>7</v>
      </c>
      <c r="C2464" s="549">
        <v>46</v>
      </c>
      <c r="D2464" s="185" t="s">
        <v>4613</v>
      </c>
      <c r="E2464" s="314" t="s">
        <v>595</v>
      </c>
      <c r="F2464" s="183">
        <v>32478</v>
      </c>
      <c r="G2464" s="183">
        <v>32509</v>
      </c>
      <c r="H2464" s="185">
        <v>2</v>
      </c>
      <c r="I2464" s="185">
        <v>16</v>
      </c>
      <c r="J2464" s="901" t="s">
        <v>1796</v>
      </c>
      <c r="K2464" s="163" t="s">
        <v>4132</v>
      </c>
      <c r="L2464" s="163" t="s">
        <v>2866</v>
      </c>
      <c r="M2464" s="163"/>
      <c r="N2464" s="163" t="s">
        <v>3793</v>
      </c>
      <c r="O2464" s="163"/>
      <c r="P2464" s="182" t="s">
        <v>461</v>
      </c>
      <c r="Q2464" s="163" t="s">
        <v>4062</v>
      </c>
      <c r="R2464" s="186" t="s">
        <v>5266</v>
      </c>
      <c r="S2464" s="355"/>
      <c r="T2464" s="182"/>
      <c r="U2464" s="182"/>
      <c r="V2464" s="182"/>
      <c r="W2464" s="314"/>
      <c r="X2464" s="646" t="s">
        <v>12341</v>
      </c>
      <c r="Y2464" s="355"/>
      <c r="Z2464" s="185"/>
      <c r="AA2464" s="185"/>
      <c r="AB2464" s="33">
        <f t="shared" ca="1" si="54"/>
        <v>0.26723581022515408</v>
      </c>
      <c r="AC2464" s="813"/>
      <c r="AD2464" s="211" t="s">
        <v>16141</v>
      </c>
      <c r="AE2464" s="941" t="s">
        <v>3365</v>
      </c>
      <c r="AF2464" s="922">
        <f>IF(X2464=X2463,AF2463,0)+IF(ISNUMBER(I2464),IF(I2464&lt;1,I2464,I2464*VLOOKUP(J2464,Summary!$H$2:$I$9,2)),VLOOKUP(J2464,Summary!$J$2:$K$9,2)*IF(ISNUMBER(H2464),H2464,1))</f>
        <v>0.18510416666666663</v>
      </c>
      <c r="AG2464" s="290">
        <v>2463</v>
      </c>
      <c r="AH2464" s="94"/>
      <c r="AI2464" s="94"/>
    </row>
    <row r="2465" spans="1:36" s="6" customFormat="1" ht="12" customHeight="1" x14ac:dyDescent="0.25">
      <c r="A2465" s="543" t="s">
        <v>15666</v>
      </c>
      <c r="B2465" s="543">
        <v>7</v>
      </c>
      <c r="C2465" s="549">
        <v>47</v>
      </c>
      <c r="D2465" s="185" t="s">
        <v>4614</v>
      </c>
      <c r="E2465" s="314" t="s">
        <v>596</v>
      </c>
      <c r="F2465" s="183">
        <v>32540</v>
      </c>
      <c r="G2465" s="183">
        <v>32568</v>
      </c>
      <c r="H2465" s="185">
        <v>2</v>
      </c>
      <c r="I2465" s="185">
        <v>16</v>
      </c>
      <c r="J2465" s="901" t="s">
        <v>1796</v>
      </c>
      <c r="K2465" s="163" t="s">
        <v>4615</v>
      </c>
      <c r="L2465" s="163" t="s">
        <v>4616</v>
      </c>
      <c r="M2465" s="163"/>
      <c r="N2465" s="163" t="s">
        <v>3793</v>
      </c>
      <c r="O2465" s="163"/>
      <c r="P2465" s="182" t="s">
        <v>461</v>
      </c>
      <c r="Q2465" s="163" t="s">
        <v>4062</v>
      </c>
      <c r="R2465" s="186" t="s">
        <v>5266</v>
      </c>
      <c r="S2465" s="355"/>
      <c r="T2465" s="182"/>
      <c r="U2465" s="182"/>
      <c r="V2465" s="182"/>
      <c r="W2465" s="314"/>
      <c r="X2465" s="646" t="s">
        <v>12341</v>
      </c>
      <c r="Y2465" s="355"/>
      <c r="Z2465" s="185"/>
      <c r="AA2465" s="185"/>
      <c r="AB2465" s="33">
        <f t="shared" ca="1" si="54"/>
        <v>0.79737770461608204</v>
      </c>
      <c r="AC2465" s="813"/>
      <c r="AD2465" s="211"/>
      <c r="AE2465" s="941"/>
      <c r="AF2465" s="922">
        <f>IF(X2465=X2464,AF2464,0)+IF(ISNUMBER(I2465),IF(I2465&lt;1,I2465,I2465*VLOOKUP(J2465,Summary!$H$2:$I$9,2)),VLOOKUP(J2465,Summary!$J$2:$K$9,2)*IF(ISNUMBER(H2465),H2465,1))</f>
        <v>0.19065972222222219</v>
      </c>
      <c r="AG2465" s="290">
        <v>2464</v>
      </c>
      <c r="AH2465" s="94"/>
      <c r="AI2465" s="94"/>
      <c r="AJ2465" s="22"/>
    </row>
    <row r="2466" spans="1:36" s="6" customFormat="1" ht="12" customHeight="1" x14ac:dyDescent="0.25">
      <c r="A2466" s="543" t="s">
        <v>15666</v>
      </c>
      <c r="B2466" s="543">
        <v>7</v>
      </c>
      <c r="C2466" s="549">
        <v>48</v>
      </c>
      <c r="D2466" s="185" t="s">
        <v>4619</v>
      </c>
      <c r="E2466" s="314" t="s">
        <v>3752</v>
      </c>
      <c r="F2466" s="183">
        <v>32599</v>
      </c>
      <c r="G2466" s="183"/>
      <c r="H2466" s="185">
        <v>1</v>
      </c>
      <c r="I2466" s="185">
        <v>8</v>
      </c>
      <c r="J2466" s="901" t="s">
        <v>1796</v>
      </c>
      <c r="K2466" s="163" t="s">
        <v>4617</v>
      </c>
      <c r="L2466" s="163" t="s">
        <v>4618</v>
      </c>
      <c r="M2466" s="163"/>
      <c r="N2466" s="163" t="s">
        <v>3793</v>
      </c>
      <c r="O2466" s="163"/>
      <c r="P2466" s="182" t="s">
        <v>461</v>
      </c>
      <c r="Q2466" s="163" t="s">
        <v>4062</v>
      </c>
      <c r="R2466" s="186" t="s">
        <v>5266</v>
      </c>
      <c r="S2466" s="355"/>
      <c r="T2466" s="182"/>
      <c r="U2466" s="182"/>
      <c r="V2466" s="182"/>
      <c r="W2466" s="314" t="s">
        <v>3752</v>
      </c>
      <c r="X2466" s="646" t="s">
        <v>12341</v>
      </c>
      <c r="Y2466" s="355"/>
      <c r="Z2466" s="185"/>
      <c r="AA2466" s="185"/>
      <c r="AB2466" s="33">
        <f t="shared" ca="1" si="54"/>
        <v>0.15230956644628646</v>
      </c>
      <c r="AC2466" s="813"/>
      <c r="AD2466" s="211"/>
      <c r="AE2466" s="941"/>
      <c r="AF2466" s="922">
        <f>IF(X2466=X2465,AF2465,0)+IF(ISNUMBER(I2466),IF(I2466&lt;1,I2466,I2466*VLOOKUP(J2466,Summary!$H$2:$I$9,2)),VLOOKUP(J2466,Summary!$J$2:$K$9,2)*IF(ISNUMBER(H2466),H2466,1))</f>
        <v>0.19343749999999996</v>
      </c>
      <c r="AG2466" s="290">
        <v>2465</v>
      </c>
      <c r="AH2466" s="94"/>
      <c r="AI2466" s="94"/>
      <c r="AJ2466" s="29"/>
    </row>
    <row r="2467" spans="1:36" s="6" customFormat="1" ht="12" customHeight="1" x14ac:dyDescent="0.25">
      <c r="A2467" s="543" t="s">
        <v>15666</v>
      </c>
      <c r="B2467" s="543">
        <v>7</v>
      </c>
      <c r="C2467" s="549">
        <v>49</v>
      </c>
      <c r="D2467" s="185" t="s">
        <v>4620</v>
      </c>
      <c r="E2467" s="314" t="s">
        <v>3753</v>
      </c>
      <c r="F2467" s="183">
        <v>32629</v>
      </c>
      <c r="G2467" s="183">
        <v>32690</v>
      </c>
      <c r="H2467" s="185">
        <v>3</v>
      </c>
      <c r="I2467" s="185">
        <v>24</v>
      </c>
      <c r="J2467" s="901" t="s">
        <v>1796</v>
      </c>
      <c r="K2467" s="163" t="s">
        <v>4621</v>
      </c>
      <c r="L2467" s="163" t="s">
        <v>4622</v>
      </c>
      <c r="M2467" s="163"/>
      <c r="N2467" s="163" t="s">
        <v>3793</v>
      </c>
      <c r="O2467" s="163"/>
      <c r="P2467" s="182" t="s">
        <v>461</v>
      </c>
      <c r="Q2467" s="163" t="s">
        <v>4062</v>
      </c>
      <c r="R2467" s="186" t="s">
        <v>5266</v>
      </c>
      <c r="S2467" s="355"/>
      <c r="T2467" s="182"/>
      <c r="U2467" s="182"/>
      <c r="V2467" s="182"/>
      <c r="W2467" s="314"/>
      <c r="X2467" s="646" t="s">
        <v>12341</v>
      </c>
      <c r="Y2467" s="355"/>
      <c r="Z2467" s="185"/>
      <c r="AA2467" s="185"/>
      <c r="AB2467" s="33">
        <f t="shared" ca="1" si="54"/>
        <v>0.55646811797758644</v>
      </c>
      <c r="AC2467" s="813"/>
      <c r="AD2467" s="211" t="s">
        <v>16038</v>
      </c>
      <c r="AE2467" s="941"/>
      <c r="AF2467" s="922">
        <f>IF(X2467=X2466,AF2466,0)+IF(ISNUMBER(I2467),IF(I2467&lt;1,I2467,I2467*VLOOKUP(J2467,Summary!$H$2:$I$9,2)),VLOOKUP(J2467,Summary!$J$2:$K$9,2)*IF(ISNUMBER(H2467),H2467,1))</f>
        <v>0.20177083333333329</v>
      </c>
      <c r="AG2467" s="290">
        <v>2466</v>
      </c>
      <c r="AH2467" s="94"/>
      <c r="AI2467" s="94"/>
      <c r="AJ2467" s="43"/>
    </row>
    <row r="2468" spans="1:36" s="22" customFormat="1" ht="12" customHeight="1" x14ac:dyDescent="0.25">
      <c r="A2468" s="543" t="s">
        <v>15666</v>
      </c>
      <c r="B2468" s="543">
        <v>7</v>
      </c>
      <c r="C2468" s="549">
        <v>8</v>
      </c>
      <c r="D2468" s="185" t="s">
        <v>4629</v>
      </c>
      <c r="E2468" s="314" t="s">
        <v>5685</v>
      </c>
      <c r="F2468" s="183">
        <v>32690</v>
      </c>
      <c r="G2468" s="183"/>
      <c r="H2468" s="185">
        <v>1</v>
      </c>
      <c r="I2468" s="185">
        <v>22</v>
      </c>
      <c r="J2468" s="901" t="s">
        <v>1796</v>
      </c>
      <c r="K2468" s="163" t="s">
        <v>6052</v>
      </c>
      <c r="L2468" s="163" t="s">
        <v>4623</v>
      </c>
      <c r="M2468" s="163" t="s">
        <v>4624</v>
      </c>
      <c r="N2468" s="163" t="s">
        <v>4625</v>
      </c>
      <c r="O2468" s="163"/>
      <c r="P2468" s="182" t="s">
        <v>461</v>
      </c>
      <c r="Q2468" s="163" t="s">
        <v>4062</v>
      </c>
      <c r="R2468" s="186" t="s">
        <v>4626</v>
      </c>
      <c r="S2468" s="355"/>
      <c r="T2468" s="182"/>
      <c r="U2468" s="182"/>
      <c r="V2468" s="182"/>
      <c r="W2468" s="314" t="s">
        <v>5685</v>
      </c>
      <c r="X2468" s="646" t="s">
        <v>12341</v>
      </c>
      <c r="Y2468" s="355"/>
      <c r="Z2468" s="185"/>
      <c r="AA2468" s="185"/>
      <c r="AB2468" s="33">
        <f t="shared" ca="1" si="54"/>
        <v>0.56457593638052184</v>
      </c>
      <c r="AC2468" s="813"/>
      <c r="AD2468" s="211"/>
      <c r="AE2468" s="941"/>
      <c r="AF2468" s="922">
        <f>IF(X2468=X2467,AF2467,0)+IF(ISNUMBER(I2468),IF(I2468&lt;1,I2468,I2468*VLOOKUP(J2468,Summary!$H$2:$I$9,2)),VLOOKUP(J2468,Summary!$J$2:$K$9,2)*IF(ISNUMBER(H2468),H2468,1))</f>
        <v>0.20940972222222218</v>
      </c>
      <c r="AG2468" s="290">
        <v>2467</v>
      </c>
      <c r="AH2468" s="94"/>
      <c r="AI2468" s="94"/>
      <c r="AJ2468" s="10"/>
    </row>
    <row r="2469" spans="1:36" s="2" customFormat="1" ht="12" customHeight="1" x14ac:dyDescent="0.25">
      <c r="A2469" s="539" t="s">
        <v>15666</v>
      </c>
      <c r="B2469" s="539">
        <v>7</v>
      </c>
      <c r="C2469" s="539">
        <v>15</v>
      </c>
      <c r="D2469" s="176" t="s">
        <v>12803</v>
      </c>
      <c r="E2469" s="313" t="s">
        <v>12804</v>
      </c>
      <c r="F2469" s="174">
        <v>32721</v>
      </c>
      <c r="G2469" s="174"/>
      <c r="H2469" s="176">
        <v>1</v>
      </c>
      <c r="I2469" s="176">
        <v>4</v>
      </c>
      <c r="J2469" s="900" t="s">
        <v>2755</v>
      </c>
      <c r="K2469" s="164" t="s">
        <v>4132</v>
      </c>
      <c r="L2469" s="164" t="s">
        <v>12805</v>
      </c>
      <c r="M2469" s="164"/>
      <c r="N2469" s="164" t="s">
        <v>3421</v>
      </c>
      <c r="O2469" s="164"/>
      <c r="P2469" s="173" t="s">
        <v>461</v>
      </c>
      <c r="Q2469" s="164" t="s">
        <v>4062</v>
      </c>
      <c r="R2469" s="177" t="s">
        <v>10250</v>
      </c>
      <c r="S2469" s="354"/>
      <c r="T2469" s="173"/>
      <c r="U2469" s="173"/>
      <c r="V2469" s="173"/>
      <c r="W2469" s="313" t="s">
        <v>12804</v>
      </c>
      <c r="X2469" s="645" t="s">
        <v>12341</v>
      </c>
      <c r="Y2469" s="354"/>
      <c r="Z2469" s="176"/>
      <c r="AA2469" s="176"/>
      <c r="AB2469" s="32">
        <f t="shared" ca="1" si="54"/>
        <v>1.9683786112115187E-2</v>
      </c>
      <c r="AC2469" s="812"/>
      <c r="AD2469" s="763"/>
      <c r="AE2469" s="807"/>
      <c r="AF2469" s="921">
        <f>IF(X2469=X2468,AF2468,0)+IF(ISNUMBER(I2469),IF(I2469&lt;1,I2469,I2469*VLOOKUP(J2469,Summary!$H$2:$I$9,2)),VLOOKUP(J2469,Summary!$J$2:$K$9,2)*IF(ISNUMBER(H2469),H2469,1))</f>
        <v>0.21218749999999995</v>
      </c>
      <c r="AG2469" s="289">
        <v>2468</v>
      </c>
      <c r="AH2469" s="94"/>
      <c r="AI2469" s="94"/>
      <c r="AJ2469" s="22"/>
    </row>
    <row r="2470" spans="1:36" s="1" customFormat="1" ht="12" customHeight="1" x14ac:dyDescent="0.25">
      <c r="A2470" s="543" t="s">
        <v>15666</v>
      </c>
      <c r="B2470" s="543">
        <v>7</v>
      </c>
      <c r="C2470" s="549">
        <v>50</v>
      </c>
      <c r="D2470" s="185" t="s">
        <v>4628</v>
      </c>
      <c r="E2470" s="314" t="s">
        <v>3754</v>
      </c>
      <c r="F2470" s="183">
        <v>32752</v>
      </c>
      <c r="G2470" s="183">
        <v>32843</v>
      </c>
      <c r="H2470" s="185">
        <v>4</v>
      </c>
      <c r="I2470" s="185">
        <v>32</v>
      </c>
      <c r="J2470" s="901" t="s">
        <v>1796</v>
      </c>
      <c r="K2470" s="163" t="s">
        <v>4627</v>
      </c>
      <c r="L2470" s="163" t="s">
        <v>7928</v>
      </c>
      <c r="M2470" s="163"/>
      <c r="N2470" s="163" t="s">
        <v>3793</v>
      </c>
      <c r="O2470" s="163"/>
      <c r="P2470" s="182" t="s">
        <v>461</v>
      </c>
      <c r="Q2470" s="163" t="s">
        <v>4062</v>
      </c>
      <c r="R2470" s="186" t="s">
        <v>5266</v>
      </c>
      <c r="S2470" s="355"/>
      <c r="T2470" s="182"/>
      <c r="U2470" s="182"/>
      <c r="V2470" s="182"/>
      <c r="W2470" s="314"/>
      <c r="X2470" s="646" t="s">
        <v>12341</v>
      </c>
      <c r="Y2470" s="355"/>
      <c r="Z2470" s="185"/>
      <c r="AA2470" s="185"/>
      <c r="AB2470" s="33">
        <f t="shared" ca="1" si="54"/>
        <v>0.1257908506664579</v>
      </c>
      <c r="AC2470" s="813"/>
      <c r="AD2470" s="211" t="s">
        <v>16243</v>
      </c>
      <c r="AE2470" s="941" t="s">
        <v>12543</v>
      </c>
      <c r="AF2470" s="922">
        <f>IF(X2470=X2469,AF2469,0)+IF(ISNUMBER(I2470),IF(I2470&lt;1,I2470,I2470*VLOOKUP(J2470,Summary!$H$2:$I$9,2)),VLOOKUP(J2470,Summary!$J$2:$K$9,2)*IF(ISNUMBER(H2470),H2470,1))</f>
        <v>0.22329861111111104</v>
      </c>
      <c r="AG2470" s="290">
        <v>2469</v>
      </c>
      <c r="AH2470" s="94"/>
      <c r="AI2470" s="94"/>
      <c r="AJ2470" s="6"/>
    </row>
    <row r="2471" spans="1:36" s="22" customFormat="1" ht="12" customHeight="1" x14ac:dyDescent="0.25">
      <c r="A2471" s="539" t="s">
        <v>15666</v>
      </c>
      <c r="B2471" s="539">
        <v>7</v>
      </c>
      <c r="C2471" s="540">
        <v>29</v>
      </c>
      <c r="D2471" s="176" t="s">
        <v>1277</v>
      </c>
      <c r="E2471" s="313" t="s">
        <v>1278</v>
      </c>
      <c r="F2471" s="175">
        <v>34353</v>
      </c>
      <c r="G2471" s="174"/>
      <c r="H2471" s="176">
        <v>1</v>
      </c>
      <c r="I2471" s="176">
        <v>1</v>
      </c>
      <c r="J2471" s="900" t="s">
        <v>2755</v>
      </c>
      <c r="K2471" s="164" t="s">
        <v>3469</v>
      </c>
      <c r="L2471" s="164"/>
      <c r="M2471" s="164"/>
      <c r="N2471" s="164" t="s">
        <v>7375</v>
      </c>
      <c r="O2471" s="164"/>
      <c r="P2471" s="173" t="s">
        <v>461</v>
      </c>
      <c r="Q2471" s="164" t="s">
        <v>4062</v>
      </c>
      <c r="R2471" s="177" t="s">
        <v>4599</v>
      </c>
      <c r="S2471" s="354"/>
      <c r="T2471" s="173"/>
      <c r="U2471" s="173"/>
      <c r="V2471" s="173"/>
      <c r="W2471" s="313" t="s">
        <v>1278</v>
      </c>
      <c r="X2471" s="645" t="s">
        <v>12341</v>
      </c>
      <c r="Y2471" s="354"/>
      <c r="Z2471" s="176"/>
      <c r="AA2471" s="176"/>
      <c r="AB2471" s="32">
        <f t="shared" ca="1" si="54"/>
        <v>0.59252789856188026</v>
      </c>
      <c r="AC2471" s="812"/>
      <c r="AD2471" s="763"/>
      <c r="AE2471" s="807"/>
      <c r="AF2471" s="921">
        <f>IF(X2471=X2470,AF2470,0)+IF(ISNUMBER(I2471),IF(I2471&lt;1,I2471,I2471*VLOOKUP(J2471,Summary!$H$2:$I$9,2)),VLOOKUP(J2471,Summary!$J$2:$K$9,2)*IF(ISNUMBER(H2471),H2471,1))</f>
        <v>0.22399305555555549</v>
      </c>
      <c r="AG2471" s="289">
        <v>2470</v>
      </c>
      <c r="AH2471" s="94"/>
      <c r="AI2471" s="94"/>
    </row>
    <row r="2472" spans="1:36" s="22" customFormat="1" ht="12" customHeight="1" x14ac:dyDescent="0.25">
      <c r="A2472" s="539" t="s">
        <v>15666</v>
      </c>
      <c r="B2472" s="539">
        <v>7</v>
      </c>
      <c r="C2472" s="539">
        <v>29.1</v>
      </c>
      <c r="D2472" s="176" t="s">
        <v>2772</v>
      </c>
      <c r="E2472" s="313" t="s">
        <v>5067</v>
      </c>
      <c r="F2472" s="174">
        <v>39692</v>
      </c>
      <c r="G2472" s="174"/>
      <c r="H2472" s="176" t="s">
        <v>461</v>
      </c>
      <c r="I2472" s="176">
        <v>8</v>
      </c>
      <c r="J2472" s="900" t="s">
        <v>2755</v>
      </c>
      <c r="K2472" s="164" t="s">
        <v>5068</v>
      </c>
      <c r="L2472" s="164" t="s">
        <v>461</v>
      </c>
      <c r="M2472" s="164"/>
      <c r="N2472" s="164" t="s">
        <v>5664</v>
      </c>
      <c r="O2472" s="164"/>
      <c r="P2472" s="173" t="s">
        <v>6707</v>
      </c>
      <c r="Q2472" s="164" t="s">
        <v>3947</v>
      </c>
      <c r="R2472" s="177" t="s">
        <v>2723</v>
      </c>
      <c r="S2472" s="354"/>
      <c r="T2472" s="173"/>
      <c r="U2472" s="173"/>
      <c r="V2472" s="173"/>
      <c r="W2472" s="313" t="s">
        <v>5067</v>
      </c>
      <c r="X2472" s="645" t="s">
        <v>12341</v>
      </c>
      <c r="Y2472" s="354"/>
      <c r="Z2472" s="176"/>
      <c r="AA2472" s="176"/>
      <c r="AB2472" s="32">
        <f t="shared" ca="1" si="54"/>
        <v>0.11095826209211368</v>
      </c>
      <c r="AC2472" s="812"/>
      <c r="AD2472" s="763"/>
      <c r="AE2472" s="807"/>
      <c r="AF2472" s="921">
        <f>IF(X2472=X2471,AF2471,0)+IF(ISNUMBER(I2472),IF(I2472&lt;1,I2472,I2472*VLOOKUP(J2472,Summary!$H$2:$I$9,2)),VLOOKUP(J2472,Summary!$J$2:$K$9,2)*IF(ISNUMBER(H2472),H2472,1))</f>
        <v>0.22954861111111105</v>
      </c>
      <c r="AG2472" s="289">
        <v>2471</v>
      </c>
      <c r="AH2472" s="94"/>
      <c r="AI2472" s="94"/>
      <c r="AJ2472" s="6"/>
    </row>
    <row r="2473" spans="1:36" s="26" customFormat="1" ht="12" customHeight="1" x14ac:dyDescent="0.25">
      <c r="A2473" s="539" t="s">
        <v>15666</v>
      </c>
      <c r="B2473" s="539">
        <v>7</v>
      </c>
      <c r="C2473" s="542">
        <v>14.07</v>
      </c>
      <c r="D2473" s="176" t="s">
        <v>5223</v>
      </c>
      <c r="E2473" s="313" t="s">
        <v>667</v>
      </c>
      <c r="F2473" s="174">
        <v>38322</v>
      </c>
      <c r="G2473" s="174"/>
      <c r="H2473" s="176">
        <v>1</v>
      </c>
      <c r="I2473" s="176">
        <v>8</v>
      </c>
      <c r="J2473" s="900" t="s">
        <v>2755</v>
      </c>
      <c r="K2473" s="164" t="s">
        <v>4551</v>
      </c>
      <c r="L2473" s="164" t="s">
        <v>461</v>
      </c>
      <c r="M2473" s="164"/>
      <c r="N2473" s="164" t="s">
        <v>3807</v>
      </c>
      <c r="O2473" s="164"/>
      <c r="P2473" s="173" t="s">
        <v>6565</v>
      </c>
      <c r="Q2473" s="164" t="s">
        <v>3947</v>
      </c>
      <c r="R2473" s="177" t="s">
        <v>2723</v>
      </c>
      <c r="S2473" s="354"/>
      <c r="T2473" s="173"/>
      <c r="U2473" s="173"/>
      <c r="V2473" s="173"/>
      <c r="W2473" s="313" t="s">
        <v>667</v>
      </c>
      <c r="X2473" s="645" t="s">
        <v>12341</v>
      </c>
      <c r="Y2473" s="354"/>
      <c r="Z2473" s="176"/>
      <c r="AA2473" s="176"/>
      <c r="AB2473" s="32">
        <f t="shared" ca="1" si="54"/>
        <v>0.74762523104895895</v>
      </c>
      <c r="AC2473" s="812"/>
      <c r="AD2473" s="763"/>
      <c r="AE2473" s="807"/>
      <c r="AF2473" s="921">
        <f>IF(X2473=X2472,AF2472,0)+IF(ISNUMBER(I2473),IF(I2473&lt;1,I2473,I2473*VLOOKUP(J2473,Summary!$H$2:$I$9,2)),VLOOKUP(J2473,Summary!$J$2:$K$9,2)*IF(ISNUMBER(H2473),H2473,1))</f>
        <v>0.23510416666666661</v>
      </c>
      <c r="AG2473" s="289">
        <v>2472</v>
      </c>
      <c r="AH2473" s="94"/>
      <c r="AI2473" s="94"/>
    </row>
    <row r="2474" spans="1:36" s="22" customFormat="1" ht="12" customHeight="1" x14ac:dyDescent="0.25">
      <c r="A2474" s="543" t="s">
        <v>15666</v>
      </c>
      <c r="B2474" s="543">
        <v>7</v>
      </c>
      <c r="C2474" s="549">
        <v>1</v>
      </c>
      <c r="D2474" s="185" t="s">
        <v>4630</v>
      </c>
      <c r="E2474" s="314" t="s">
        <v>3756</v>
      </c>
      <c r="F2474" s="184">
        <v>32788</v>
      </c>
      <c r="G2474" s="183"/>
      <c r="H2474" s="185">
        <v>1</v>
      </c>
      <c r="I2474" s="185">
        <v>5</v>
      </c>
      <c r="J2474" s="901" t="s">
        <v>1796</v>
      </c>
      <c r="K2474" s="163" t="s">
        <v>561</v>
      </c>
      <c r="L2474" s="163" t="s">
        <v>3795</v>
      </c>
      <c r="M2474" s="163"/>
      <c r="N2474" s="163" t="s">
        <v>4631</v>
      </c>
      <c r="O2474" s="163"/>
      <c r="P2474" s="182" t="s">
        <v>461</v>
      </c>
      <c r="Q2474" s="163" t="s">
        <v>4062</v>
      </c>
      <c r="R2474" s="186" t="s">
        <v>4632</v>
      </c>
      <c r="S2474" s="355"/>
      <c r="T2474" s="182"/>
      <c r="U2474" s="182"/>
      <c r="V2474" s="182"/>
      <c r="W2474" s="314" t="s">
        <v>3756</v>
      </c>
      <c r="X2474" s="646" t="s">
        <v>12341</v>
      </c>
      <c r="Y2474" s="355"/>
      <c r="Z2474" s="185"/>
      <c r="AA2474" s="185"/>
      <c r="AB2474" s="33">
        <f t="shared" ca="1" si="54"/>
        <v>0.29908802496642362</v>
      </c>
      <c r="AC2474" s="813"/>
      <c r="AD2474" s="211"/>
      <c r="AE2474" s="941"/>
      <c r="AF2474" s="922">
        <f>IF(X2474=X2473,AF2473,0)+IF(ISNUMBER(I2474),IF(I2474&lt;1,I2474,I2474*VLOOKUP(J2474,Summary!$H$2:$I$9,2)),VLOOKUP(J2474,Summary!$J$2:$K$9,2)*IF(ISNUMBER(H2474),H2474,1))</f>
        <v>0.23684027777777772</v>
      </c>
      <c r="AG2474" s="290">
        <v>2473</v>
      </c>
      <c r="AH2474" s="94"/>
      <c r="AI2474" s="94"/>
      <c r="AJ2474" s="29"/>
    </row>
    <row r="2475" spans="1:36" s="22" customFormat="1" ht="12" customHeight="1" x14ac:dyDescent="0.25">
      <c r="A2475" s="543" t="s">
        <v>15666</v>
      </c>
      <c r="B2475" s="543">
        <v>7</v>
      </c>
      <c r="C2475" s="549">
        <v>2</v>
      </c>
      <c r="D2475" s="185" t="s">
        <v>4633</v>
      </c>
      <c r="E2475" s="314" t="s">
        <v>3757</v>
      </c>
      <c r="F2475" s="184">
        <v>32795</v>
      </c>
      <c r="G2475" s="184">
        <v>32802</v>
      </c>
      <c r="H2475" s="185">
        <v>2</v>
      </c>
      <c r="I2475" s="185">
        <v>10</v>
      </c>
      <c r="J2475" s="901" t="s">
        <v>1796</v>
      </c>
      <c r="K2475" s="163" t="s">
        <v>4132</v>
      </c>
      <c r="L2475" s="163" t="s">
        <v>2866</v>
      </c>
      <c r="M2475" s="163"/>
      <c r="N2475" s="163" t="s">
        <v>4631</v>
      </c>
      <c r="O2475" s="163"/>
      <c r="P2475" s="182" t="s">
        <v>461</v>
      </c>
      <c r="Q2475" s="163" t="s">
        <v>4062</v>
      </c>
      <c r="R2475" s="186" t="s">
        <v>4632</v>
      </c>
      <c r="S2475" s="355"/>
      <c r="T2475" s="182"/>
      <c r="U2475" s="182"/>
      <c r="V2475" s="182"/>
      <c r="W2475" s="314"/>
      <c r="X2475" s="646" t="s">
        <v>12341</v>
      </c>
      <c r="Y2475" s="355"/>
      <c r="Z2475" s="185"/>
      <c r="AA2475" s="185"/>
      <c r="AB2475" s="33">
        <f t="shared" ca="1" si="54"/>
        <v>0.49441028624758887</v>
      </c>
      <c r="AC2475" s="813"/>
      <c r="AD2475" s="211" t="s">
        <v>16142</v>
      </c>
      <c r="AE2475" s="941" t="s">
        <v>3365</v>
      </c>
      <c r="AF2475" s="922">
        <f>IF(X2475=X2474,AF2474,0)+IF(ISNUMBER(I2475),IF(I2475&lt;1,I2475,I2475*VLOOKUP(J2475,Summary!$H$2:$I$9,2)),VLOOKUP(J2475,Summary!$J$2:$K$9,2)*IF(ISNUMBER(H2475),H2475,1))</f>
        <v>0.24031249999999993</v>
      </c>
      <c r="AG2475" s="290">
        <v>2474</v>
      </c>
      <c r="AH2475" s="94"/>
      <c r="AI2475" s="94"/>
      <c r="AJ2475" s="6"/>
    </row>
    <row r="2476" spans="1:36" s="27" customFormat="1" ht="12" customHeight="1" x14ac:dyDescent="0.25">
      <c r="A2476" s="543" t="s">
        <v>15666</v>
      </c>
      <c r="B2476" s="543">
        <v>7</v>
      </c>
      <c r="C2476" s="549">
        <v>3</v>
      </c>
      <c r="D2476" s="185" t="s">
        <v>4634</v>
      </c>
      <c r="E2476" s="314" t="s">
        <v>3758</v>
      </c>
      <c r="F2476" s="184">
        <v>32809</v>
      </c>
      <c r="G2476" s="184"/>
      <c r="H2476" s="185">
        <v>1</v>
      </c>
      <c r="I2476" s="185">
        <v>5</v>
      </c>
      <c r="J2476" s="901" t="s">
        <v>1796</v>
      </c>
      <c r="K2476" s="163" t="s">
        <v>561</v>
      </c>
      <c r="L2476" s="163" t="s">
        <v>4635</v>
      </c>
      <c r="M2476" s="163"/>
      <c r="N2476" s="163" t="s">
        <v>4631</v>
      </c>
      <c r="O2476" s="163"/>
      <c r="P2476" s="182" t="s">
        <v>461</v>
      </c>
      <c r="Q2476" s="163" t="s">
        <v>4062</v>
      </c>
      <c r="R2476" s="186" t="s">
        <v>4632</v>
      </c>
      <c r="S2476" s="355"/>
      <c r="T2476" s="182"/>
      <c r="U2476" s="182"/>
      <c r="V2476" s="182"/>
      <c r="W2476" s="314" t="s">
        <v>3758</v>
      </c>
      <c r="X2476" s="646" t="s">
        <v>12341</v>
      </c>
      <c r="Y2476" s="355"/>
      <c r="Z2476" s="185"/>
      <c r="AA2476" s="185"/>
      <c r="AB2476" s="33">
        <f t="shared" ca="1" si="54"/>
        <v>5.088323798279093E-2</v>
      </c>
      <c r="AC2476" s="813"/>
      <c r="AD2476" s="211"/>
      <c r="AE2476" s="941"/>
      <c r="AF2476" s="922">
        <f>IF(X2476=X2475,AF2475,0)+IF(ISNUMBER(I2476),IF(I2476&lt;1,I2476,I2476*VLOOKUP(J2476,Summary!$H$2:$I$9,2)),VLOOKUP(J2476,Summary!$J$2:$K$9,2)*IF(ISNUMBER(H2476),H2476,1))</f>
        <v>0.24204861111111103</v>
      </c>
      <c r="AG2476" s="290">
        <v>2475</v>
      </c>
      <c r="AH2476" s="94"/>
      <c r="AI2476" s="94"/>
      <c r="AJ2476" s="2"/>
    </row>
    <row r="2477" spans="1:36" s="1" customFormat="1" ht="12" customHeight="1" x14ac:dyDescent="0.25">
      <c r="A2477" s="543" t="s">
        <v>15666</v>
      </c>
      <c r="B2477" s="543">
        <v>7</v>
      </c>
      <c r="C2477" s="549">
        <v>4</v>
      </c>
      <c r="D2477" s="185" t="s">
        <v>4636</v>
      </c>
      <c r="E2477" s="314" t="s">
        <v>3759</v>
      </c>
      <c r="F2477" s="184">
        <v>32816</v>
      </c>
      <c r="G2477" s="184"/>
      <c r="H2477" s="185">
        <v>1</v>
      </c>
      <c r="I2477" s="185">
        <v>5</v>
      </c>
      <c r="J2477" s="901" t="s">
        <v>1796</v>
      </c>
      <c r="K2477" s="163" t="s">
        <v>4132</v>
      </c>
      <c r="L2477" s="163" t="s">
        <v>4638</v>
      </c>
      <c r="M2477" s="163"/>
      <c r="N2477" s="163" t="s">
        <v>4631</v>
      </c>
      <c r="O2477" s="163"/>
      <c r="P2477" s="182" t="s">
        <v>461</v>
      </c>
      <c r="Q2477" s="163" t="s">
        <v>4062</v>
      </c>
      <c r="R2477" s="186" t="s">
        <v>4632</v>
      </c>
      <c r="S2477" s="355"/>
      <c r="T2477" s="182"/>
      <c r="U2477" s="182"/>
      <c r="V2477" s="182"/>
      <c r="W2477" s="314" t="s">
        <v>3759</v>
      </c>
      <c r="X2477" s="646" t="s">
        <v>12341</v>
      </c>
      <c r="Y2477" s="355"/>
      <c r="Z2477" s="185"/>
      <c r="AA2477" s="185"/>
      <c r="AB2477" s="33">
        <f t="shared" ca="1" si="54"/>
        <v>0.23512526154459445</v>
      </c>
      <c r="AC2477" s="813"/>
      <c r="AD2477" s="211"/>
      <c r="AE2477" s="941"/>
      <c r="AF2477" s="922">
        <f>IF(X2477=X2476,AF2476,0)+IF(ISNUMBER(I2477),IF(I2477&lt;1,I2477,I2477*VLOOKUP(J2477,Summary!$H$2:$I$9,2)),VLOOKUP(J2477,Summary!$J$2:$K$9,2)*IF(ISNUMBER(H2477),H2477,1))</f>
        <v>0.24378472222222214</v>
      </c>
      <c r="AG2477" s="290">
        <v>2476</v>
      </c>
      <c r="AH2477" s="94"/>
      <c r="AI2477" s="94"/>
      <c r="AJ2477" s="22"/>
    </row>
    <row r="2478" spans="1:36" s="22" customFormat="1" ht="12" customHeight="1" x14ac:dyDescent="0.25">
      <c r="A2478" s="543" t="s">
        <v>15666</v>
      </c>
      <c r="B2478" s="543">
        <v>7</v>
      </c>
      <c r="C2478" s="549">
        <v>5</v>
      </c>
      <c r="D2478" s="185" t="s">
        <v>4637</v>
      </c>
      <c r="E2478" s="314" t="s">
        <v>3760</v>
      </c>
      <c r="F2478" s="184">
        <v>32823</v>
      </c>
      <c r="G2478" s="184"/>
      <c r="H2478" s="185">
        <v>1</v>
      </c>
      <c r="I2478" s="185">
        <v>5</v>
      </c>
      <c r="J2478" s="901" t="s">
        <v>1796</v>
      </c>
      <c r="K2478" s="163" t="s">
        <v>561</v>
      </c>
      <c r="L2478" s="163" t="s">
        <v>4639</v>
      </c>
      <c r="M2478" s="163"/>
      <c r="N2478" s="163" t="s">
        <v>4631</v>
      </c>
      <c r="O2478" s="163"/>
      <c r="P2478" s="182" t="s">
        <v>461</v>
      </c>
      <c r="Q2478" s="163" t="s">
        <v>4062</v>
      </c>
      <c r="R2478" s="186" t="s">
        <v>4632</v>
      </c>
      <c r="S2478" s="355"/>
      <c r="T2478" s="182"/>
      <c r="U2478" s="182"/>
      <c r="V2478" s="182"/>
      <c r="W2478" s="314" t="s">
        <v>3760</v>
      </c>
      <c r="X2478" s="646" t="s">
        <v>12341</v>
      </c>
      <c r="Y2478" s="355"/>
      <c r="Z2478" s="185"/>
      <c r="AA2478" s="185"/>
      <c r="AB2478" s="33">
        <f t="shared" ca="1" si="54"/>
        <v>0.39912778302378615</v>
      </c>
      <c r="AC2478" s="813"/>
      <c r="AD2478" s="211"/>
      <c r="AE2478" s="941"/>
      <c r="AF2478" s="922">
        <f>IF(X2478=X2477,AF2477,0)+IF(ISNUMBER(I2478),IF(I2478&lt;1,I2478,I2478*VLOOKUP(J2478,Summary!$H$2:$I$9,2)),VLOOKUP(J2478,Summary!$J$2:$K$9,2)*IF(ISNUMBER(H2478),H2478,1))</f>
        <v>0.24552083333333324</v>
      </c>
      <c r="AG2478" s="290">
        <v>2477</v>
      </c>
      <c r="AH2478" s="94"/>
      <c r="AI2478" s="94"/>
      <c r="AJ2478" s="6"/>
    </row>
    <row r="2479" spans="1:36" s="22" customFormat="1" ht="12" customHeight="1" x14ac:dyDescent="0.2">
      <c r="A2479" s="543" t="s">
        <v>15666</v>
      </c>
      <c r="B2479" s="543">
        <v>7</v>
      </c>
      <c r="C2479" s="549">
        <v>6</v>
      </c>
      <c r="D2479" s="185" t="s">
        <v>1289</v>
      </c>
      <c r="E2479" s="314" t="s">
        <v>3761</v>
      </c>
      <c r="F2479" s="184">
        <v>32830</v>
      </c>
      <c r="G2479" s="184"/>
      <c r="H2479" s="185">
        <v>1</v>
      </c>
      <c r="I2479" s="185">
        <v>5</v>
      </c>
      <c r="J2479" s="901" t="s">
        <v>1796</v>
      </c>
      <c r="K2479" s="163" t="s">
        <v>1287</v>
      </c>
      <c r="L2479" s="163" t="s">
        <v>3795</v>
      </c>
      <c r="M2479" s="163"/>
      <c r="N2479" s="163" t="s">
        <v>4631</v>
      </c>
      <c r="O2479" s="163"/>
      <c r="P2479" s="182" t="s">
        <v>461</v>
      </c>
      <c r="Q2479" s="163" t="s">
        <v>4062</v>
      </c>
      <c r="R2479" s="186" t="s">
        <v>4632</v>
      </c>
      <c r="S2479" s="355"/>
      <c r="T2479" s="182"/>
      <c r="U2479" s="182"/>
      <c r="V2479" s="182"/>
      <c r="W2479" s="314" t="s">
        <v>3761</v>
      </c>
      <c r="X2479" s="646" t="s">
        <v>12341</v>
      </c>
      <c r="Y2479" s="355"/>
      <c r="Z2479" s="185"/>
      <c r="AA2479" s="185"/>
      <c r="AB2479" s="33">
        <f t="shared" ca="1" si="54"/>
        <v>0.36098265332972446</v>
      </c>
      <c r="AC2479" s="813"/>
      <c r="AD2479" s="211"/>
      <c r="AE2479" s="941"/>
      <c r="AF2479" s="922">
        <f>IF(X2479=X2478,AF2478,0)+IF(ISNUMBER(I2479),IF(I2479&lt;1,I2479,I2479*VLOOKUP(J2479,Summary!$H$2:$I$9,2)),VLOOKUP(J2479,Summary!$J$2:$K$9,2)*IF(ISNUMBER(H2479),H2479,1))</f>
        <v>0.24725694444444435</v>
      </c>
      <c r="AG2479" s="290">
        <v>2478</v>
      </c>
      <c r="AH2479" s="94"/>
      <c r="AI2479" s="94"/>
    </row>
    <row r="2480" spans="1:36" s="22" customFormat="1" ht="12" customHeight="1" x14ac:dyDescent="0.2">
      <c r="A2480" s="543" t="s">
        <v>15666</v>
      </c>
      <c r="B2480" s="543">
        <v>7</v>
      </c>
      <c r="C2480" s="549">
        <v>7</v>
      </c>
      <c r="D2480" s="185" t="s">
        <v>1290</v>
      </c>
      <c r="E2480" s="314" t="s">
        <v>3762</v>
      </c>
      <c r="F2480" s="184">
        <v>32837</v>
      </c>
      <c r="G2480" s="184">
        <v>32844</v>
      </c>
      <c r="H2480" s="185">
        <v>2</v>
      </c>
      <c r="I2480" s="185">
        <v>10</v>
      </c>
      <c r="J2480" s="901" t="s">
        <v>1796</v>
      </c>
      <c r="K2480" s="163" t="s">
        <v>5148</v>
      </c>
      <c r="L2480" s="163" t="s">
        <v>1288</v>
      </c>
      <c r="M2480" s="163"/>
      <c r="N2480" s="163" t="s">
        <v>4631</v>
      </c>
      <c r="O2480" s="163"/>
      <c r="P2480" s="182" t="s">
        <v>461</v>
      </c>
      <c r="Q2480" s="163" t="s">
        <v>4062</v>
      </c>
      <c r="R2480" s="186" t="s">
        <v>4632</v>
      </c>
      <c r="S2480" s="355"/>
      <c r="T2480" s="182"/>
      <c r="U2480" s="182"/>
      <c r="V2480" s="182"/>
      <c r="W2480" s="314"/>
      <c r="X2480" s="646" t="s">
        <v>12341</v>
      </c>
      <c r="Y2480" s="355"/>
      <c r="Z2480" s="185"/>
      <c r="AA2480" s="185"/>
      <c r="AB2480" s="33">
        <f t="shared" ca="1" si="54"/>
        <v>0.76052783850541161</v>
      </c>
      <c r="AC2480" s="813"/>
      <c r="AD2480" s="211"/>
      <c r="AE2480" s="941"/>
      <c r="AF2480" s="922">
        <f>IF(X2480=X2479,AF2479,0)+IF(ISNUMBER(I2480),IF(I2480&lt;1,I2480,I2480*VLOOKUP(J2480,Summary!$H$2:$I$9,2)),VLOOKUP(J2480,Summary!$J$2:$K$9,2)*IF(ISNUMBER(H2480),H2480,1))</f>
        <v>0.25072916666666656</v>
      </c>
      <c r="AG2480" s="290">
        <v>2479</v>
      </c>
      <c r="AH2480" s="94"/>
      <c r="AI2480" s="94"/>
    </row>
    <row r="2481" spans="1:36" s="22" customFormat="1" ht="12" customHeight="1" x14ac:dyDescent="0.25">
      <c r="A2481" s="543" t="s">
        <v>15666</v>
      </c>
      <c r="B2481" s="543">
        <v>7</v>
      </c>
      <c r="C2481" s="549">
        <v>8</v>
      </c>
      <c r="D2481" s="185" t="s">
        <v>1292</v>
      </c>
      <c r="E2481" s="314" t="s">
        <v>5604</v>
      </c>
      <c r="F2481" s="184">
        <v>32851</v>
      </c>
      <c r="G2481" s="184"/>
      <c r="H2481" s="185">
        <v>1</v>
      </c>
      <c r="I2481" s="185">
        <v>5</v>
      </c>
      <c r="J2481" s="901" t="s">
        <v>1796</v>
      </c>
      <c r="K2481" s="163" t="s">
        <v>1291</v>
      </c>
      <c r="L2481" s="163" t="s">
        <v>4639</v>
      </c>
      <c r="M2481" s="163"/>
      <c r="N2481" s="163" t="s">
        <v>4631</v>
      </c>
      <c r="O2481" s="163"/>
      <c r="P2481" s="182" t="s">
        <v>461</v>
      </c>
      <c r="Q2481" s="163" t="s">
        <v>4062</v>
      </c>
      <c r="R2481" s="186" t="s">
        <v>4632</v>
      </c>
      <c r="S2481" s="355"/>
      <c r="T2481" s="182"/>
      <c r="U2481" s="182"/>
      <c r="V2481" s="182"/>
      <c r="W2481" s="314" t="s">
        <v>5604</v>
      </c>
      <c r="X2481" s="646" t="s">
        <v>12341</v>
      </c>
      <c r="Y2481" s="355"/>
      <c r="Z2481" s="185"/>
      <c r="AA2481" s="185"/>
      <c r="AB2481" s="33">
        <f t="shared" ca="1" si="54"/>
        <v>7.2358614442350366E-2</v>
      </c>
      <c r="AC2481" s="813"/>
      <c r="AD2481" s="211"/>
      <c r="AE2481" s="941"/>
      <c r="AF2481" s="922">
        <f>IF(X2481=X2480,AF2480,0)+IF(ISNUMBER(I2481),IF(I2481&lt;1,I2481,I2481*VLOOKUP(J2481,Summary!$H$2:$I$9,2)),VLOOKUP(J2481,Summary!$J$2:$K$9,2)*IF(ISNUMBER(H2481),H2481,1))</f>
        <v>0.25246527777777766</v>
      </c>
      <c r="AG2481" s="290">
        <v>2480</v>
      </c>
      <c r="AH2481" s="94"/>
      <c r="AI2481" s="94"/>
      <c r="AJ2481" s="43"/>
    </row>
    <row r="2482" spans="1:36" s="3" customFormat="1" ht="12" customHeight="1" x14ac:dyDescent="0.25">
      <c r="A2482" s="543" t="s">
        <v>15666</v>
      </c>
      <c r="B2482" s="543">
        <v>7</v>
      </c>
      <c r="C2482" s="549">
        <v>9</v>
      </c>
      <c r="D2482" s="185" t="s">
        <v>1293</v>
      </c>
      <c r="E2482" s="314" t="s">
        <v>5605</v>
      </c>
      <c r="F2482" s="184">
        <v>32858</v>
      </c>
      <c r="G2482" s="184"/>
      <c r="H2482" s="185">
        <v>1</v>
      </c>
      <c r="I2482" s="185">
        <v>5</v>
      </c>
      <c r="J2482" s="901" t="s">
        <v>1796</v>
      </c>
      <c r="K2482" s="163" t="s">
        <v>1294</v>
      </c>
      <c r="L2482" s="163" t="s">
        <v>3795</v>
      </c>
      <c r="M2482" s="163"/>
      <c r="N2482" s="163" t="s">
        <v>4631</v>
      </c>
      <c r="O2482" s="163"/>
      <c r="P2482" s="182" t="s">
        <v>461</v>
      </c>
      <c r="Q2482" s="163" t="s">
        <v>4062</v>
      </c>
      <c r="R2482" s="186" t="s">
        <v>4632</v>
      </c>
      <c r="S2482" s="355"/>
      <c r="T2482" s="182"/>
      <c r="U2482" s="182"/>
      <c r="V2482" s="182"/>
      <c r="W2482" s="314" t="s">
        <v>5605</v>
      </c>
      <c r="X2482" s="646" t="s">
        <v>12341</v>
      </c>
      <c r="Y2482" s="355"/>
      <c r="Z2482" s="185"/>
      <c r="AA2482" s="185"/>
      <c r="AB2482" s="33">
        <f t="shared" ca="1" si="54"/>
        <v>0.1377888308549664</v>
      </c>
      <c r="AC2482" s="813"/>
      <c r="AD2482" s="211"/>
      <c r="AE2482" s="941"/>
      <c r="AF2482" s="922">
        <f>IF(X2482=X2481,AF2481,0)+IF(ISNUMBER(I2482),IF(I2482&lt;1,I2482,I2482*VLOOKUP(J2482,Summary!$H$2:$I$9,2)),VLOOKUP(J2482,Summary!$J$2:$K$9,2)*IF(ISNUMBER(H2482),H2482,1))</f>
        <v>0.25420138888888877</v>
      </c>
      <c r="AG2482" s="290">
        <v>2481</v>
      </c>
      <c r="AH2482" s="94"/>
      <c r="AI2482" s="94"/>
      <c r="AJ2482" s="6"/>
    </row>
    <row r="2483" spans="1:36" s="22" customFormat="1" ht="12" customHeight="1" x14ac:dyDescent="0.2">
      <c r="A2483" s="543" t="s">
        <v>15666</v>
      </c>
      <c r="B2483" s="543">
        <v>7</v>
      </c>
      <c r="C2483" s="549">
        <v>10</v>
      </c>
      <c r="D2483" s="185" t="s">
        <v>1295</v>
      </c>
      <c r="E2483" s="314" t="s">
        <v>5606</v>
      </c>
      <c r="F2483" s="184">
        <v>32865</v>
      </c>
      <c r="G2483" s="184"/>
      <c r="H2483" s="185">
        <v>1</v>
      </c>
      <c r="I2483" s="185">
        <v>5</v>
      </c>
      <c r="J2483" s="901" t="s">
        <v>1796</v>
      </c>
      <c r="K2483" s="163" t="s">
        <v>1287</v>
      </c>
      <c r="L2483" s="163" t="s">
        <v>1296</v>
      </c>
      <c r="M2483" s="163"/>
      <c r="N2483" s="163" t="s">
        <v>4631</v>
      </c>
      <c r="O2483" s="163"/>
      <c r="P2483" s="182" t="s">
        <v>461</v>
      </c>
      <c r="Q2483" s="163" t="s">
        <v>4062</v>
      </c>
      <c r="R2483" s="186" t="s">
        <v>4632</v>
      </c>
      <c r="S2483" s="355"/>
      <c r="T2483" s="182"/>
      <c r="U2483" s="182"/>
      <c r="V2483" s="182"/>
      <c r="W2483" s="314" t="s">
        <v>5606</v>
      </c>
      <c r="X2483" s="646" t="s">
        <v>12341</v>
      </c>
      <c r="Y2483" s="355"/>
      <c r="Z2483" s="185"/>
      <c r="AA2483" s="185"/>
      <c r="AB2483" s="33">
        <f t="shared" ca="1" si="54"/>
        <v>0.65918115531365784</v>
      </c>
      <c r="AC2483" s="813"/>
      <c r="AD2483" s="211"/>
      <c r="AE2483" s="941"/>
      <c r="AF2483" s="922">
        <f>IF(X2483=X2482,AF2482,0)+IF(ISNUMBER(I2483),IF(I2483&lt;1,I2483,I2483*VLOOKUP(J2483,Summary!$H$2:$I$9,2)),VLOOKUP(J2483,Summary!$J$2:$K$9,2)*IF(ISNUMBER(H2483),H2483,1))</f>
        <v>0.25593749999999987</v>
      </c>
      <c r="AG2483" s="290">
        <v>2482</v>
      </c>
      <c r="AH2483" s="94"/>
      <c r="AI2483" s="94"/>
    </row>
    <row r="2484" spans="1:36" s="1" customFormat="1" ht="12" customHeight="1" x14ac:dyDescent="0.25">
      <c r="A2484" s="543" t="s">
        <v>15666</v>
      </c>
      <c r="B2484" s="543">
        <v>7</v>
      </c>
      <c r="C2484" s="549">
        <v>51</v>
      </c>
      <c r="D2484" s="185" t="s">
        <v>1297</v>
      </c>
      <c r="E2484" s="314" t="s">
        <v>3755</v>
      </c>
      <c r="F2484" s="183">
        <v>32874</v>
      </c>
      <c r="G2484" s="183"/>
      <c r="H2484" s="185">
        <v>1</v>
      </c>
      <c r="I2484" s="185">
        <v>7</v>
      </c>
      <c r="J2484" s="901" t="s">
        <v>1796</v>
      </c>
      <c r="K2484" s="163" t="s">
        <v>1298</v>
      </c>
      <c r="L2484" s="163" t="s">
        <v>1299</v>
      </c>
      <c r="M2484" s="163"/>
      <c r="N2484" s="163" t="s">
        <v>561</v>
      </c>
      <c r="O2484" s="163"/>
      <c r="P2484" s="182" t="s">
        <v>461</v>
      </c>
      <c r="Q2484" s="163" t="s">
        <v>4062</v>
      </c>
      <c r="R2484" s="186" t="s">
        <v>5266</v>
      </c>
      <c r="S2484" s="355"/>
      <c r="T2484" s="182"/>
      <c r="U2484" s="182"/>
      <c r="V2484" s="182"/>
      <c r="W2484" s="314" t="s">
        <v>3755</v>
      </c>
      <c r="X2484" s="646" t="s">
        <v>12341</v>
      </c>
      <c r="Y2484" s="355"/>
      <c r="Z2484" s="185"/>
      <c r="AA2484" s="185"/>
      <c r="AB2484" s="33">
        <f t="shared" ca="1" si="54"/>
        <v>0.29832666470999636</v>
      </c>
      <c r="AC2484" s="813"/>
      <c r="AD2484" s="211"/>
      <c r="AE2484" s="941"/>
      <c r="AF2484" s="922">
        <f>IF(X2484=X2483,AF2483,0)+IF(ISNUMBER(I2484),IF(I2484&lt;1,I2484,I2484*VLOOKUP(J2484,Summary!$H$2:$I$9,2)),VLOOKUP(J2484,Summary!$J$2:$K$9,2)*IF(ISNUMBER(H2484),H2484,1))</f>
        <v>0.25836805555555542</v>
      </c>
      <c r="AG2484" s="290">
        <v>2483</v>
      </c>
      <c r="AH2484" s="94"/>
      <c r="AI2484" s="94"/>
    </row>
    <row r="2485" spans="1:36" s="22" customFormat="1" ht="12" customHeight="1" x14ac:dyDescent="0.25">
      <c r="A2485" s="539" t="s">
        <v>15666</v>
      </c>
      <c r="B2485" s="539">
        <v>7</v>
      </c>
      <c r="C2485" s="539">
        <v>32</v>
      </c>
      <c r="D2485" s="176" t="s">
        <v>3474</v>
      </c>
      <c r="E2485" s="313" t="s">
        <v>3475</v>
      </c>
      <c r="F2485" s="175">
        <v>34493</v>
      </c>
      <c r="G2485" s="174"/>
      <c r="H2485" s="176">
        <v>1</v>
      </c>
      <c r="I2485" s="176">
        <v>1</v>
      </c>
      <c r="J2485" s="900" t="s">
        <v>2755</v>
      </c>
      <c r="K2485" s="164" t="s">
        <v>3476</v>
      </c>
      <c r="L2485" s="164"/>
      <c r="M2485" s="164"/>
      <c r="N2485" s="164" t="s">
        <v>7375</v>
      </c>
      <c r="O2485" s="164"/>
      <c r="P2485" s="173" t="s">
        <v>461</v>
      </c>
      <c r="Q2485" s="164" t="s">
        <v>4062</v>
      </c>
      <c r="R2485" s="177" t="s">
        <v>4599</v>
      </c>
      <c r="S2485" s="354"/>
      <c r="T2485" s="173"/>
      <c r="U2485" s="173"/>
      <c r="V2485" s="173"/>
      <c r="W2485" s="313" t="s">
        <v>3475</v>
      </c>
      <c r="X2485" s="645" t="s">
        <v>12341</v>
      </c>
      <c r="Y2485" s="354"/>
      <c r="Z2485" s="176"/>
      <c r="AA2485" s="176"/>
      <c r="AB2485" s="32">
        <f t="shared" ca="1" si="54"/>
        <v>0.90419905008206403</v>
      </c>
      <c r="AC2485" s="812"/>
      <c r="AD2485" s="763"/>
      <c r="AE2485" s="807"/>
      <c r="AF2485" s="921">
        <f>IF(X2485=X2484,AF2484,0)+IF(ISNUMBER(I2485),IF(I2485&lt;1,I2485,I2485*VLOOKUP(J2485,Summary!$H$2:$I$9,2)),VLOOKUP(J2485,Summary!$J$2:$K$9,2)*IF(ISNUMBER(H2485),H2485,1))</f>
        <v>0.25906249999999986</v>
      </c>
      <c r="AG2485" s="289">
        <v>2484</v>
      </c>
      <c r="AH2485" s="94"/>
      <c r="AI2485" s="94"/>
      <c r="AJ2485" s="6"/>
    </row>
    <row r="2486" spans="1:36" s="26" customFormat="1" ht="12" customHeight="1" x14ac:dyDescent="0.25">
      <c r="A2486" s="539" t="s">
        <v>15666</v>
      </c>
      <c r="B2486" s="539">
        <v>7</v>
      </c>
      <c r="C2486" s="542">
        <v>8.0399999999999991</v>
      </c>
      <c r="D2486" s="176" t="s">
        <v>2476</v>
      </c>
      <c r="E2486" s="313" t="s">
        <v>585</v>
      </c>
      <c r="F2486" s="174">
        <v>37956</v>
      </c>
      <c r="G2486" s="174"/>
      <c r="H2486" s="176">
        <v>1</v>
      </c>
      <c r="I2486" s="176">
        <v>32</v>
      </c>
      <c r="J2486" s="900" t="s">
        <v>2755</v>
      </c>
      <c r="K2486" s="164" t="s">
        <v>2477</v>
      </c>
      <c r="L2486" s="164" t="s">
        <v>461</v>
      </c>
      <c r="M2486" s="164"/>
      <c r="N2486" s="164" t="s">
        <v>4996</v>
      </c>
      <c r="O2486" s="164"/>
      <c r="P2486" s="173" t="s">
        <v>2555</v>
      </c>
      <c r="Q2486" s="164" t="s">
        <v>3947</v>
      </c>
      <c r="R2486" s="177" t="s">
        <v>2723</v>
      </c>
      <c r="S2486" s="354"/>
      <c r="T2486" s="173"/>
      <c r="U2486" s="173"/>
      <c r="V2486" s="173"/>
      <c r="W2486" s="313" t="s">
        <v>585</v>
      </c>
      <c r="X2486" s="645" t="s">
        <v>12341</v>
      </c>
      <c r="Y2486" s="354"/>
      <c r="Z2486" s="176"/>
      <c r="AA2486" s="176"/>
      <c r="AB2486" s="32">
        <f t="shared" ca="1" si="54"/>
        <v>0.76960783206365824</v>
      </c>
      <c r="AC2486" s="812"/>
      <c r="AD2486" s="763"/>
      <c r="AE2486" s="807"/>
      <c r="AF2486" s="921">
        <f>IF(X2486=X2485,AF2485,0)+IF(ISNUMBER(I2486),IF(I2486&lt;1,I2486,I2486*VLOOKUP(J2486,Summary!$H$2:$I$9,2)),VLOOKUP(J2486,Summary!$J$2:$K$9,2)*IF(ISNUMBER(H2486),H2486,1))</f>
        <v>0.28128472222222206</v>
      </c>
      <c r="AG2486" s="289">
        <v>2485</v>
      </c>
      <c r="AH2486" s="94"/>
      <c r="AI2486" s="94"/>
      <c r="AJ2486" s="2"/>
    </row>
    <row r="2487" spans="1:36" s="26" customFormat="1" ht="12" customHeight="1" x14ac:dyDescent="0.25">
      <c r="A2487" s="539" t="s">
        <v>15666</v>
      </c>
      <c r="B2487" s="539">
        <v>7</v>
      </c>
      <c r="C2487" s="542">
        <v>14.02</v>
      </c>
      <c r="D2487" s="176" t="s">
        <v>3189</v>
      </c>
      <c r="E2487" s="313" t="s">
        <v>666</v>
      </c>
      <c r="F2487" s="174">
        <v>38322</v>
      </c>
      <c r="G2487" s="174"/>
      <c r="H2487" s="176">
        <v>1</v>
      </c>
      <c r="I2487" s="176">
        <v>10</v>
      </c>
      <c r="J2487" s="900" t="s">
        <v>2755</v>
      </c>
      <c r="K2487" s="164" t="s">
        <v>5664</v>
      </c>
      <c r="L2487" s="164" t="s">
        <v>461</v>
      </c>
      <c r="M2487" s="164"/>
      <c r="N2487" s="164" t="s">
        <v>3807</v>
      </c>
      <c r="O2487" s="164"/>
      <c r="P2487" s="173" t="s">
        <v>6565</v>
      </c>
      <c r="Q2487" s="164" t="s">
        <v>3947</v>
      </c>
      <c r="R2487" s="177" t="s">
        <v>2723</v>
      </c>
      <c r="S2487" s="354"/>
      <c r="T2487" s="173"/>
      <c r="U2487" s="173"/>
      <c r="V2487" s="173"/>
      <c r="W2487" s="313" t="s">
        <v>666</v>
      </c>
      <c r="X2487" s="645" t="s">
        <v>12341</v>
      </c>
      <c r="Y2487" s="354"/>
      <c r="Z2487" s="176"/>
      <c r="AA2487" s="176"/>
      <c r="AB2487" s="32">
        <f t="shared" ca="1" si="54"/>
        <v>0.1647698320465838</v>
      </c>
      <c r="AC2487" s="812"/>
      <c r="AD2487" s="763"/>
      <c r="AE2487" s="807"/>
      <c r="AF2487" s="921">
        <f>IF(X2487=X2486,AF2486,0)+IF(ISNUMBER(I2487),IF(I2487&lt;1,I2487,I2487*VLOOKUP(J2487,Summary!$H$2:$I$9,2)),VLOOKUP(J2487,Summary!$J$2:$K$9,2)*IF(ISNUMBER(H2487),H2487,1))</f>
        <v>0.28822916666666648</v>
      </c>
      <c r="AG2487" s="289">
        <v>2486</v>
      </c>
      <c r="AH2487" s="94"/>
      <c r="AI2487" s="94"/>
      <c r="AJ2487" s="2"/>
    </row>
    <row r="2488" spans="1:36" s="26" customFormat="1" ht="12" customHeight="1" x14ac:dyDescent="0.25">
      <c r="A2488" s="541" t="s">
        <v>15666</v>
      </c>
      <c r="B2488" s="541">
        <v>7</v>
      </c>
      <c r="C2488" s="541">
        <v>198</v>
      </c>
      <c r="D2488" s="407"/>
      <c r="E2488" s="315" t="s">
        <v>9393</v>
      </c>
      <c r="F2488" s="169">
        <v>42095</v>
      </c>
      <c r="G2488" s="170"/>
      <c r="H2488" s="170">
        <v>4</v>
      </c>
      <c r="I2488" s="746">
        <f>TIME(1,56,31)</f>
        <v>8.0914351851851848E-2</v>
      </c>
      <c r="J2488" s="899" t="s">
        <v>4706</v>
      </c>
      <c r="K2488" s="167" t="s">
        <v>4549</v>
      </c>
      <c r="L2488" s="167" t="s">
        <v>4549</v>
      </c>
      <c r="M2488" s="167"/>
      <c r="N2488" s="167"/>
      <c r="O2488" s="167"/>
      <c r="P2488" s="168" t="s">
        <v>9394</v>
      </c>
      <c r="Q2488" s="167" t="s">
        <v>3947</v>
      </c>
      <c r="R2488" s="172" t="s">
        <v>3146</v>
      </c>
      <c r="S2488" s="388" t="s">
        <v>1778</v>
      </c>
      <c r="T2488" s="168"/>
      <c r="U2488" s="168"/>
      <c r="V2488" s="168"/>
      <c r="W2488" s="312" t="s">
        <v>12557</v>
      </c>
      <c r="X2488" s="644" t="s">
        <v>12341</v>
      </c>
      <c r="Y2488" s="352" t="s">
        <v>5643</v>
      </c>
      <c r="Z2488" s="353">
        <v>592</v>
      </c>
      <c r="AA2488" s="353">
        <v>3.5</v>
      </c>
      <c r="AB2488" s="31">
        <f t="shared" ca="1" si="54"/>
        <v>0.25987078959214038</v>
      </c>
      <c r="AC2488" s="810"/>
      <c r="AD2488" s="811"/>
      <c r="AE2488" s="940"/>
      <c r="AF2488" s="920">
        <f>IF(X2488=X2487,AF2487,0)+IF(ISNUMBER(I2488),IF(I2488&lt;1,I2488,I2488*VLOOKUP(J2488,Summary!$H$2:$I$9,2)),VLOOKUP(J2488,Summary!$J$2:$K$9,2)*IF(ISNUMBER(H2488),H2488,1))</f>
        <v>0.36914351851851834</v>
      </c>
      <c r="AG2488" s="287">
        <v>2487</v>
      </c>
      <c r="AH2488" s="94"/>
      <c r="AI2488" s="94"/>
      <c r="AJ2488" s="2"/>
    </row>
    <row r="2489" spans="1:36" s="26" customFormat="1" ht="12" customHeight="1" x14ac:dyDescent="0.25">
      <c r="A2489" s="539" t="s">
        <v>15666</v>
      </c>
      <c r="B2489" s="539">
        <v>7</v>
      </c>
      <c r="C2489" s="540">
        <v>16</v>
      </c>
      <c r="D2489" s="176" t="s">
        <v>3585</v>
      </c>
      <c r="E2489" s="313" t="s">
        <v>3586</v>
      </c>
      <c r="F2489" s="175">
        <v>33821</v>
      </c>
      <c r="G2489" s="174"/>
      <c r="H2489" s="176">
        <v>1</v>
      </c>
      <c r="I2489" s="176">
        <v>1</v>
      </c>
      <c r="J2489" s="900" t="s">
        <v>2755</v>
      </c>
      <c r="K2489" s="164" t="s">
        <v>3587</v>
      </c>
      <c r="L2489" s="164" t="s">
        <v>6043</v>
      </c>
      <c r="M2489" s="164"/>
      <c r="N2489" s="164" t="s">
        <v>7375</v>
      </c>
      <c r="O2489" s="164"/>
      <c r="P2489" s="173" t="s">
        <v>461</v>
      </c>
      <c r="Q2489" s="164" t="s">
        <v>4062</v>
      </c>
      <c r="R2489" s="177" t="s">
        <v>4599</v>
      </c>
      <c r="S2489" s="354"/>
      <c r="T2489" s="173"/>
      <c r="U2489" s="173"/>
      <c r="V2489" s="173"/>
      <c r="W2489" s="313" t="s">
        <v>3586</v>
      </c>
      <c r="X2489" s="645" t="s">
        <v>12341</v>
      </c>
      <c r="Y2489" s="354"/>
      <c r="Z2489" s="176"/>
      <c r="AA2489" s="176"/>
      <c r="AB2489" s="32">
        <f t="shared" ca="1" si="54"/>
        <v>0.28302068014126913</v>
      </c>
      <c r="AC2489" s="812"/>
      <c r="AD2489" s="763"/>
      <c r="AE2489" s="807"/>
      <c r="AF2489" s="921">
        <f>IF(X2489=X2488,AF2488,0)+IF(ISNUMBER(I2489),IF(I2489&lt;1,I2489,I2489*VLOOKUP(J2489,Summary!$H$2:$I$9,2)),VLOOKUP(J2489,Summary!$J$2:$K$9,2)*IF(ISNUMBER(H2489),H2489,1))</f>
        <v>0.36983796296296279</v>
      </c>
      <c r="AG2489" s="289">
        <v>2488</v>
      </c>
      <c r="AH2489" s="94"/>
      <c r="AI2489" s="94"/>
      <c r="AJ2489" s="2"/>
    </row>
    <row r="2490" spans="1:36" s="2" customFormat="1" ht="12" customHeight="1" x14ac:dyDescent="0.25">
      <c r="A2490" s="539" t="s">
        <v>15666</v>
      </c>
      <c r="B2490" s="539">
        <v>7</v>
      </c>
      <c r="C2490" s="542">
        <v>20.059999999999999</v>
      </c>
      <c r="D2490" s="176" t="s">
        <v>4183</v>
      </c>
      <c r="E2490" s="313" t="s">
        <v>4981</v>
      </c>
      <c r="F2490" s="174">
        <v>38961</v>
      </c>
      <c r="G2490" s="174"/>
      <c r="H2490" s="176">
        <v>1</v>
      </c>
      <c r="I2490" s="176">
        <v>14</v>
      </c>
      <c r="J2490" s="900" t="s">
        <v>2755</v>
      </c>
      <c r="K2490" s="164" t="s">
        <v>185</v>
      </c>
      <c r="L2490" s="164" t="s">
        <v>461</v>
      </c>
      <c r="M2490" s="164"/>
      <c r="N2490" s="164" t="s">
        <v>7381</v>
      </c>
      <c r="O2490" s="164"/>
      <c r="P2490" s="173" t="s">
        <v>705</v>
      </c>
      <c r="Q2490" s="164" t="s">
        <v>3947</v>
      </c>
      <c r="R2490" s="177" t="s">
        <v>2723</v>
      </c>
      <c r="S2490" s="354"/>
      <c r="T2490" s="173"/>
      <c r="U2490" s="173"/>
      <c r="V2490" s="173"/>
      <c r="W2490" s="313" t="s">
        <v>4981</v>
      </c>
      <c r="X2490" s="645" t="s">
        <v>12341</v>
      </c>
      <c r="Y2490" s="354"/>
      <c r="Z2490" s="176"/>
      <c r="AA2490" s="176"/>
      <c r="AB2490" s="32">
        <f t="shared" ca="1" si="54"/>
        <v>0.97028066085971532</v>
      </c>
      <c r="AC2490" s="812"/>
      <c r="AD2490" s="763"/>
      <c r="AE2490" s="807"/>
      <c r="AF2490" s="921">
        <f>IF(X2490=X2489,AF2489,0)+IF(ISNUMBER(I2490),IF(I2490&lt;1,I2490,I2490*VLOOKUP(J2490,Summary!$H$2:$I$9,2)),VLOOKUP(J2490,Summary!$J$2:$K$9,2)*IF(ISNUMBER(H2490),H2490,1))</f>
        <v>0.37956018518518503</v>
      </c>
      <c r="AG2490" s="289">
        <v>2489</v>
      </c>
      <c r="AH2490" s="94"/>
      <c r="AI2490" s="94"/>
      <c r="AJ2490" s="29"/>
    </row>
    <row r="2491" spans="1:36" s="3" customFormat="1" ht="12" customHeight="1" x14ac:dyDescent="0.25">
      <c r="A2491" s="539" t="s">
        <v>15666</v>
      </c>
      <c r="B2491" s="539">
        <v>7</v>
      </c>
      <c r="C2491" s="542">
        <v>23.21</v>
      </c>
      <c r="D2491" s="176" t="s">
        <v>2483</v>
      </c>
      <c r="E2491" s="313" t="s">
        <v>590</v>
      </c>
      <c r="F2491" s="174">
        <v>39234</v>
      </c>
      <c r="G2491" s="174"/>
      <c r="H2491" s="176">
        <v>1</v>
      </c>
      <c r="I2491" s="176">
        <v>12</v>
      </c>
      <c r="J2491" s="900" t="s">
        <v>2755</v>
      </c>
      <c r="K2491" s="164" t="s">
        <v>3175</v>
      </c>
      <c r="L2491" s="164" t="s">
        <v>461</v>
      </c>
      <c r="M2491" s="164"/>
      <c r="N2491" s="164" t="s">
        <v>804</v>
      </c>
      <c r="O2491" s="164"/>
      <c r="P2491" s="173" t="s">
        <v>6700</v>
      </c>
      <c r="Q2491" s="164" t="s">
        <v>3947</v>
      </c>
      <c r="R2491" s="177" t="s">
        <v>2723</v>
      </c>
      <c r="S2491" s="354"/>
      <c r="T2491" s="173"/>
      <c r="U2491" s="173"/>
      <c r="V2491" s="173"/>
      <c r="W2491" s="313" t="s">
        <v>590</v>
      </c>
      <c r="X2491" s="645" t="s">
        <v>12341</v>
      </c>
      <c r="Y2491" s="354"/>
      <c r="Z2491" s="176"/>
      <c r="AA2491" s="176"/>
      <c r="AB2491" s="32">
        <f t="shared" ca="1" si="54"/>
        <v>6.1890361779170178E-2</v>
      </c>
      <c r="AC2491" s="812"/>
      <c r="AD2491" s="763"/>
      <c r="AE2491" s="807"/>
      <c r="AF2491" s="921">
        <f>IF(X2491=X2490,AF2490,0)+IF(ISNUMBER(I2491),IF(I2491&lt;1,I2491,I2491*VLOOKUP(J2491,Summary!$H$2:$I$9,2)),VLOOKUP(J2491,Summary!$J$2:$K$9,2)*IF(ISNUMBER(H2491),H2491,1))</f>
        <v>0.38789351851851839</v>
      </c>
      <c r="AG2491" s="289">
        <v>2490</v>
      </c>
      <c r="AH2491" s="94"/>
      <c r="AI2491" s="94"/>
      <c r="AJ2491" s="2"/>
    </row>
    <row r="2492" spans="1:36" s="27" customFormat="1" ht="12" customHeight="1" x14ac:dyDescent="0.25">
      <c r="A2492" s="539" t="s">
        <v>15666</v>
      </c>
      <c r="B2492" s="539">
        <v>7</v>
      </c>
      <c r="C2492" s="542">
        <v>26.06</v>
      </c>
      <c r="D2492" s="176" t="s">
        <v>2470</v>
      </c>
      <c r="E2492" s="313" t="s">
        <v>580</v>
      </c>
      <c r="F2492" s="174">
        <v>39508</v>
      </c>
      <c r="G2492" s="174"/>
      <c r="H2492" s="176">
        <v>1</v>
      </c>
      <c r="I2492" s="176">
        <v>15</v>
      </c>
      <c r="J2492" s="900" t="s">
        <v>2755</v>
      </c>
      <c r="K2492" s="164" t="s">
        <v>2543</v>
      </c>
      <c r="L2492" s="164" t="s">
        <v>461</v>
      </c>
      <c r="M2492" s="164"/>
      <c r="N2492" s="164" t="s">
        <v>7381</v>
      </c>
      <c r="O2492" s="164"/>
      <c r="P2492" s="173" t="s">
        <v>6706</v>
      </c>
      <c r="Q2492" s="164" t="s">
        <v>3947</v>
      </c>
      <c r="R2492" s="177" t="s">
        <v>2723</v>
      </c>
      <c r="S2492" s="354"/>
      <c r="T2492" s="173"/>
      <c r="U2492" s="173"/>
      <c r="V2492" s="173"/>
      <c r="W2492" s="313" t="s">
        <v>580</v>
      </c>
      <c r="X2492" s="645" t="s">
        <v>12341</v>
      </c>
      <c r="Y2492" s="354"/>
      <c r="Z2492" s="176"/>
      <c r="AA2492" s="176"/>
      <c r="AB2492" s="32">
        <f t="shared" ca="1" si="54"/>
        <v>0.26189166980693368</v>
      </c>
      <c r="AC2492" s="812"/>
      <c r="AD2492" s="763"/>
      <c r="AE2492" s="807"/>
      <c r="AF2492" s="921">
        <f>IF(X2492=X2491,AF2491,0)+IF(ISNUMBER(I2492),IF(I2492&lt;1,I2492,I2492*VLOOKUP(J2492,Summary!$H$2:$I$9,2)),VLOOKUP(J2492,Summary!$J$2:$K$9,2)*IF(ISNUMBER(H2492),H2492,1))</f>
        <v>0.39831018518518507</v>
      </c>
      <c r="AG2492" s="289">
        <v>2491</v>
      </c>
      <c r="AH2492" s="94"/>
      <c r="AI2492" s="94"/>
    </row>
    <row r="2493" spans="1:36" s="2" customFormat="1" ht="12" customHeight="1" x14ac:dyDescent="0.25">
      <c r="A2493" s="539" t="s">
        <v>15666</v>
      </c>
      <c r="B2493" s="539">
        <v>7</v>
      </c>
      <c r="C2493" s="542">
        <v>24.07</v>
      </c>
      <c r="D2493" s="434" t="s">
        <v>7280</v>
      </c>
      <c r="E2493" s="324" t="s">
        <v>7275</v>
      </c>
      <c r="F2493" s="174">
        <v>39264</v>
      </c>
      <c r="G2493" s="174"/>
      <c r="H2493" s="176">
        <v>1</v>
      </c>
      <c r="I2493" s="176">
        <v>15</v>
      </c>
      <c r="J2493" s="900" t="s">
        <v>2755</v>
      </c>
      <c r="K2493" s="164" t="s">
        <v>5664</v>
      </c>
      <c r="L2493" s="164" t="s">
        <v>461</v>
      </c>
      <c r="M2493" s="164"/>
      <c r="N2493" s="164" t="s">
        <v>4425</v>
      </c>
      <c r="O2493" s="164"/>
      <c r="P2493" s="173" t="s">
        <v>5601</v>
      </c>
      <c r="Q2493" s="164" t="s">
        <v>3947</v>
      </c>
      <c r="R2493" s="179" t="s">
        <v>2723</v>
      </c>
      <c r="S2493" s="354"/>
      <c r="T2493" s="173"/>
      <c r="U2493" s="173">
        <v>5</v>
      </c>
      <c r="V2493" s="173">
        <v>6</v>
      </c>
      <c r="W2493" s="324" t="s">
        <v>7275</v>
      </c>
      <c r="X2493" s="656" t="s">
        <v>12341</v>
      </c>
      <c r="Y2493" s="354"/>
      <c r="Z2493" s="176"/>
      <c r="AA2493" s="176"/>
      <c r="AB2493" s="32">
        <f t="shared" ca="1" si="54"/>
        <v>7.6803226049750317E-2</v>
      </c>
      <c r="AC2493" s="812"/>
      <c r="AD2493" s="763"/>
      <c r="AE2493" s="951"/>
      <c r="AF2493" s="921">
        <f>IF(X2493=X2492,AF2492,0)+IF(ISNUMBER(I2493),IF(I2493&lt;1,I2493,I2493*VLOOKUP(J2493,Summary!$H$2:$I$9,2)),VLOOKUP(J2493,Summary!$J$2:$K$9,2)*IF(ISNUMBER(H2493),H2493,1))</f>
        <v>0.40872685185185176</v>
      </c>
      <c r="AG2493" s="288">
        <v>2492</v>
      </c>
      <c r="AH2493" s="94"/>
      <c r="AI2493" s="94"/>
      <c r="AJ2493" s="22"/>
    </row>
    <row r="2494" spans="1:36" s="6" customFormat="1" ht="12" customHeight="1" x14ac:dyDescent="0.25">
      <c r="A2494" s="539" t="s">
        <v>15666</v>
      </c>
      <c r="B2494" s="539">
        <v>7</v>
      </c>
      <c r="C2494" s="542">
        <v>27.11</v>
      </c>
      <c r="D2494" s="176" t="s">
        <v>2472</v>
      </c>
      <c r="E2494" s="313" t="s">
        <v>582</v>
      </c>
      <c r="F2494" s="174">
        <v>39569</v>
      </c>
      <c r="G2494" s="174"/>
      <c r="H2494" s="176" t="s">
        <v>461</v>
      </c>
      <c r="I2494" s="176">
        <v>16</v>
      </c>
      <c r="J2494" s="900" t="s">
        <v>2755</v>
      </c>
      <c r="K2494" s="164" t="s">
        <v>178</v>
      </c>
      <c r="L2494" s="164" t="s">
        <v>461</v>
      </c>
      <c r="M2494" s="164"/>
      <c r="N2494" s="164" t="s">
        <v>7621</v>
      </c>
      <c r="O2494" s="164"/>
      <c r="P2494" s="173" t="s">
        <v>6705</v>
      </c>
      <c r="Q2494" s="164" t="s">
        <v>3947</v>
      </c>
      <c r="R2494" s="177" t="s">
        <v>2723</v>
      </c>
      <c r="S2494" s="354"/>
      <c r="T2494" s="173"/>
      <c r="U2494" s="173"/>
      <c r="V2494" s="173"/>
      <c r="W2494" s="313" t="s">
        <v>582</v>
      </c>
      <c r="X2494" s="645" t="s">
        <v>12341</v>
      </c>
      <c r="Y2494" s="354"/>
      <c r="Z2494" s="176"/>
      <c r="AA2494" s="176"/>
      <c r="AB2494" s="32">
        <f t="shared" ca="1" si="54"/>
        <v>0.58975156251246907</v>
      </c>
      <c r="AC2494" s="812"/>
      <c r="AD2494" s="763"/>
      <c r="AE2494" s="807"/>
      <c r="AF2494" s="921">
        <f>IF(X2494=X2493,AF2493,0)+IF(ISNUMBER(I2494),IF(I2494&lt;1,I2494,I2494*VLOOKUP(J2494,Summary!$H$2:$I$9,2)),VLOOKUP(J2494,Summary!$J$2:$K$9,2)*IF(ISNUMBER(H2494),H2494,1))</f>
        <v>0.41983796296296289</v>
      </c>
      <c r="AG2494" s="289">
        <v>2493</v>
      </c>
      <c r="AH2494" s="94"/>
      <c r="AI2494" s="94"/>
      <c r="AJ2494" s="2"/>
    </row>
    <row r="2495" spans="1:36" s="22" customFormat="1" ht="12" customHeight="1" x14ac:dyDescent="0.2">
      <c r="A2495" s="541" t="s">
        <v>15666</v>
      </c>
      <c r="B2495" s="541">
        <v>7</v>
      </c>
      <c r="C2495" s="541">
        <v>1.3</v>
      </c>
      <c r="D2495" s="407" t="s">
        <v>10835</v>
      </c>
      <c r="E2495" s="336" t="s">
        <v>10836</v>
      </c>
      <c r="F2495" s="196">
        <v>42579</v>
      </c>
      <c r="G2495" s="169"/>
      <c r="H2495" s="170">
        <v>1</v>
      </c>
      <c r="I2495" s="746">
        <f>TIME(1,4,8)</f>
        <v>4.4537037037037042E-2</v>
      </c>
      <c r="J2495" s="899" t="s">
        <v>4706</v>
      </c>
      <c r="K2495" s="167" t="s">
        <v>1643</v>
      </c>
      <c r="L2495" s="167" t="s">
        <v>3296</v>
      </c>
      <c r="M2495" s="167"/>
      <c r="N2495" s="167"/>
      <c r="O2495" s="167"/>
      <c r="P2495" s="168" t="s">
        <v>10834</v>
      </c>
      <c r="Q2495" s="167" t="s">
        <v>3947</v>
      </c>
      <c r="R2495" s="172" t="s">
        <v>14260</v>
      </c>
      <c r="S2495" s="388"/>
      <c r="T2495" s="168"/>
      <c r="U2495" s="168"/>
      <c r="V2495" s="168"/>
      <c r="W2495" s="336" t="s">
        <v>10836</v>
      </c>
      <c r="X2495" s="668" t="s">
        <v>12341</v>
      </c>
      <c r="Y2495" s="352" t="s">
        <v>5643</v>
      </c>
      <c r="Z2495" s="368">
        <v>420</v>
      </c>
      <c r="AA2495" s="353">
        <v>4.5</v>
      </c>
      <c r="AB2495" s="31">
        <f t="shared" ca="1" si="54"/>
        <v>0.22578092457355647</v>
      </c>
      <c r="AC2495" s="810"/>
      <c r="AD2495" s="811"/>
      <c r="AE2495" s="945"/>
      <c r="AF2495" s="920">
        <f>IF(X2495=X2494,AF2494,0)+IF(ISNUMBER(I2495),IF(I2495&lt;1,I2495,I2495*VLOOKUP(J2495,Summary!$H$2:$I$9,2)),VLOOKUP(J2495,Summary!$J$2:$K$9,2)*IF(ISNUMBER(H2495),H2495,1))</f>
        <v>0.46437499999999993</v>
      </c>
      <c r="AG2495" s="287">
        <v>2494</v>
      </c>
      <c r="AH2495" s="94"/>
      <c r="AI2495" s="94"/>
    </row>
    <row r="2496" spans="1:36" s="43" customFormat="1" ht="12" customHeight="1" x14ac:dyDescent="0.25">
      <c r="A2496" s="541" t="s">
        <v>15666</v>
      </c>
      <c r="B2496" s="541">
        <v>7</v>
      </c>
      <c r="C2496" s="541">
        <v>1</v>
      </c>
      <c r="D2496" s="407" t="s">
        <v>764</v>
      </c>
      <c r="E2496" s="315" t="s">
        <v>765</v>
      </c>
      <c r="F2496" s="196">
        <v>36902</v>
      </c>
      <c r="G2496" s="170"/>
      <c r="H2496" s="170">
        <v>1</v>
      </c>
      <c r="I2496" s="746">
        <f>TIME(0,35,0)</f>
        <v>2.4305555555555556E-2</v>
      </c>
      <c r="J2496" s="899" t="s">
        <v>4706</v>
      </c>
      <c r="K2496" s="167" t="s">
        <v>4549</v>
      </c>
      <c r="L2496" s="167" t="s">
        <v>4549</v>
      </c>
      <c r="M2496" s="167"/>
      <c r="N2496" s="167"/>
      <c r="O2496" s="167" t="s">
        <v>4549</v>
      </c>
      <c r="P2496" s="168" t="s">
        <v>461</v>
      </c>
      <c r="Q2496" s="167" t="s">
        <v>3947</v>
      </c>
      <c r="R2496" s="172" t="s">
        <v>4315</v>
      </c>
      <c r="S2496" s="388"/>
      <c r="T2496" s="168"/>
      <c r="U2496" s="168"/>
      <c r="V2496" s="168"/>
      <c r="W2496" s="312" t="s">
        <v>765</v>
      </c>
      <c r="X2496" s="644" t="s">
        <v>12341</v>
      </c>
      <c r="Y2496" s="352" t="s">
        <v>5643</v>
      </c>
      <c r="Z2496" s="353">
        <v>583</v>
      </c>
      <c r="AA2496" s="353">
        <v>3.5</v>
      </c>
      <c r="AB2496" s="31">
        <f t="shared" ca="1" si="54"/>
        <v>0.15241976130979129</v>
      </c>
      <c r="AC2496" s="810"/>
      <c r="AD2496" s="811"/>
      <c r="AE2496" s="940"/>
      <c r="AF2496" s="920">
        <f>IF(X2496=X2495,AF2495,0)+IF(ISNUMBER(I2496),IF(I2496&lt;1,I2496,I2496*VLOOKUP(J2496,Summary!$H$2:$I$9,2)),VLOOKUP(J2496,Summary!$J$2:$K$9,2)*IF(ISNUMBER(H2496),H2496,1))</f>
        <v>0.48868055555555551</v>
      </c>
      <c r="AG2496" s="287">
        <v>2495</v>
      </c>
      <c r="AH2496" s="94"/>
      <c r="AI2496" s="94"/>
    </row>
    <row r="2497" spans="1:36" s="3" customFormat="1" ht="12" customHeight="1" x14ac:dyDescent="0.25">
      <c r="A2497" s="541" t="s">
        <v>15666</v>
      </c>
      <c r="B2497" s="541">
        <v>7</v>
      </c>
      <c r="C2497" s="541">
        <v>1</v>
      </c>
      <c r="D2497" s="407" t="s">
        <v>7676</v>
      </c>
      <c r="E2497" s="315" t="s">
        <v>7677</v>
      </c>
      <c r="F2497" s="196">
        <v>36360</v>
      </c>
      <c r="G2497" s="170"/>
      <c r="H2497" s="170">
        <v>4</v>
      </c>
      <c r="I2497" s="746">
        <f>TIME(0,126,0)</f>
        <v>8.7500000000000008E-2</v>
      </c>
      <c r="J2497" s="899" t="s">
        <v>4706</v>
      </c>
      <c r="K2497" s="167" t="s">
        <v>4549</v>
      </c>
      <c r="L2497" s="167" t="s">
        <v>4549</v>
      </c>
      <c r="M2497" s="167"/>
      <c r="N2497" s="167"/>
      <c r="O2497" s="167" t="s">
        <v>2909</v>
      </c>
      <c r="P2497" s="168" t="s">
        <v>12961</v>
      </c>
      <c r="Q2497" s="167" t="s">
        <v>3947</v>
      </c>
      <c r="R2497" s="172" t="s">
        <v>3146</v>
      </c>
      <c r="S2497" s="388"/>
      <c r="T2497" s="168"/>
      <c r="U2497" s="168"/>
      <c r="V2497" s="168"/>
      <c r="W2497" s="312" t="s">
        <v>8652</v>
      </c>
      <c r="X2497" s="644" t="s">
        <v>12341</v>
      </c>
      <c r="Y2497" s="352" t="s">
        <v>5643</v>
      </c>
      <c r="Z2497" s="353">
        <v>683</v>
      </c>
      <c r="AA2497" s="353">
        <v>2</v>
      </c>
      <c r="AB2497" s="31">
        <f t="shared" ca="1" si="54"/>
        <v>0.56637394683604736</v>
      </c>
      <c r="AC2497" s="810"/>
      <c r="AD2497" s="811" t="s">
        <v>16677</v>
      </c>
      <c r="AE2497" s="940" t="s">
        <v>16664</v>
      </c>
      <c r="AF2497" s="920">
        <f>IF(X2497=X2496,AF2496,0)+IF(ISNUMBER(I2497),IF(I2497&lt;1,I2497,I2497*VLOOKUP(J2497,Summary!$H$2:$I$9,2)),VLOOKUP(J2497,Summary!$J$2:$K$9,2)*IF(ISNUMBER(H2497),H2497,1))</f>
        <v>0.57618055555555547</v>
      </c>
      <c r="AG2497" s="287">
        <v>2496</v>
      </c>
      <c r="AH2497" s="94"/>
      <c r="AI2497" s="94"/>
    </row>
    <row r="2498" spans="1:36" s="6" customFormat="1" ht="12" customHeight="1" x14ac:dyDescent="0.25">
      <c r="A2498" s="539" t="s">
        <v>15666</v>
      </c>
      <c r="B2498" s="539">
        <v>7</v>
      </c>
      <c r="C2498" s="542">
        <v>25.24</v>
      </c>
      <c r="D2498" s="176" t="s">
        <v>3492</v>
      </c>
      <c r="E2498" s="313" t="s">
        <v>4947</v>
      </c>
      <c r="F2498" s="174">
        <v>39417</v>
      </c>
      <c r="G2498" s="174"/>
      <c r="H2498" s="176">
        <v>1</v>
      </c>
      <c r="I2498" s="176">
        <v>8</v>
      </c>
      <c r="J2498" s="900" t="s">
        <v>2755</v>
      </c>
      <c r="K2498" s="164" t="s">
        <v>3491</v>
      </c>
      <c r="L2498" s="164" t="s">
        <v>461</v>
      </c>
      <c r="M2498" s="164"/>
      <c r="N2498" s="164" t="s">
        <v>5146</v>
      </c>
      <c r="O2498" s="164"/>
      <c r="P2498" s="173" t="s">
        <v>6701</v>
      </c>
      <c r="Q2498" s="164" t="s">
        <v>3947</v>
      </c>
      <c r="R2498" s="177" t="s">
        <v>2723</v>
      </c>
      <c r="S2498" s="354" t="s">
        <v>2542</v>
      </c>
      <c r="T2498" s="173"/>
      <c r="U2498" s="173"/>
      <c r="V2498" s="173"/>
      <c r="W2498" s="313" t="s">
        <v>4947</v>
      </c>
      <c r="X2498" s="645" t="s">
        <v>12341</v>
      </c>
      <c r="Y2498" s="354"/>
      <c r="Z2498" s="176"/>
      <c r="AA2498" s="176"/>
      <c r="AB2498" s="32">
        <f t="shared" ref="AB2498:AB2561" ca="1" si="56">RAND()</f>
        <v>0.75399506082929857</v>
      </c>
      <c r="AC2498" s="812"/>
      <c r="AD2498" s="763"/>
      <c r="AE2498" s="807"/>
      <c r="AF2498" s="921">
        <f>IF(X2498=X2497,AF2497,0)+IF(ISNUMBER(I2498),IF(I2498&lt;1,I2498,I2498*VLOOKUP(J2498,Summary!$H$2:$I$9,2)),VLOOKUP(J2498,Summary!$J$2:$K$9,2)*IF(ISNUMBER(H2498),H2498,1))</f>
        <v>0.58173611111111101</v>
      </c>
      <c r="AG2498" s="289">
        <v>2497</v>
      </c>
      <c r="AH2498" s="94"/>
      <c r="AI2498" s="94"/>
    </row>
    <row r="2499" spans="1:36" s="1" customFormat="1" ht="12" customHeight="1" x14ac:dyDescent="0.25">
      <c r="A2499" s="543" t="s">
        <v>15666</v>
      </c>
      <c r="B2499" s="543">
        <v>7</v>
      </c>
      <c r="C2499" s="549">
        <v>52</v>
      </c>
      <c r="D2499" s="185" t="s">
        <v>1301</v>
      </c>
      <c r="E2499" s="314" t="s">
        <v>5607</v>
      </c>
      <c r="F2499" s="183">
        <v>32964</v>
      </c>
      <c r="G2499" s="183">
        <v>33025</v>
      </c>
      <c r="H2499" s="185">
        <v>3</v>
      </c>
      <c r="I2499" s="185">
        <v>21</v>
      </c>
      <c r="J2499" s="901" t="s">
        <v>1796</v>
      </c>
      <c r="K2499" s="163" t="s">
        <v>1300</v>
      </c>
      <c r="L2499" s="163" t="s">
        <v>2866</v>
      </c>
      <c r="M2499" s="163"/>
      <c r="N2499" s="163" t="s">
        <v>561</v>
      </c>
      <c r="O2499" s="163"/>
      <c r="P2499" s="182" t="s">
        <v>461</v>
      </c>
      <c r="Q2499" s="163" t="s">
        <v>4062</v>
      </c>
      <c r="R2499" s="186" t="s">
        <v>5266</v>
      </c>
      <c r="S2499" s="355" t="s">
        <v>53</v>
      </c>
      <c r="T2499" s="182"/>
      <c r="U2499" s="182"/>
      <c r="V2499" s="182"/>
      <c r="W2499" s="314"/>
      <c r="X2499" s="646" t="s">
        <v>12341</v>
      </c>
      <c r="Y2499" s="355" t="s">
        <v>6868</v>
      </c>
      <c r="Z2499" s="185">
        <v>999</v>
      </c>
      <c r="AA2499" s="185"/>
      <c r="AB2499" s="33">
        <f t="shared" ca="1" si="56"/>
        <v>0.46106581328305141</v>
      </c>
      <c r="AC2499" s="813"/>
      <c r="AD2499" s="211" t="s">
        <v>16035</v>
      </c>
      <c r="AE2499" s="941" t="s">
        <v>12543</v>
      </c>
      <c r="AF2499" s="922">
        <f>IF(X2499=X2498,AF2498,0)+IF(ISNUMBER(I2499),IF(I2499&lt;1,I2499,I2499*VLOOKUP(J2499,Summary!$H$2:$I$9,2)),VLOOKUP(J2499,Summary!$J$2:$K$9,2)*IF(ISNUMBER(H2499),H2499,1))</f>
        <v>0.58902777777777771</v>
      </c>
      <c r="AG2499" s="290">
        <v>2498</v>
      </c>
      <c r="AH2499" s="94"/>
      <c r="AI2499" s="94"/>
      <c r="AJ2499" s="6"/>
    </row>
    <row r="2500" spans="1:36" s="22" customFormat="1" ht="12" customHeight="1" x14ac:dyDescent="0.25">
      <c r="A2500" s="543" t="s">
        <v>15666</v>
      </c>
      <c r="B2500" s="543">
        <v>7</v>
      </c>
      <c r="C2500" s="549">
        <v>13</v>
      </c>
      <c r="D2500" s="185" t="s">
        <v>1303</v>
      </c>
      <c r="E2500" s="314" t="s">
        <v>1302</v>
      </c>
      <c r="F2500" s="183">
        <v>33055</v>
      </c>
      <c r="G2500" s="183"/>
      <c r="H2500" s="185">
        <v>1</v>
      </c>
      <c r="I2500" s="185">
        <v>5</v>
      </c>
      <c r="J2500" s="901" t="s">
        <v>1796</v>
      </c>
      <c r="K2500" s="163" t="s">
        <v>5705</v>
      </c>
      <c r="L2500" s="163" t="s">
        <v>4138</v>
      </c>
      <c r="M2500" s="163"/>
      <c r="N2500" s="163" t="s">
        <v>1304</v>
      </c>
      <c r="O2500" s="163"/>
      <c r="P2500" s="182" t="s">
        <v>461</v>
      </c>
      <c r="Q2500" s="163" t="s">
        <v>4062</v>
      </c>
      <c r="R2500" s="186" t="s">
        <v>4632</v>
      </c>
      <c r="S2500" s="355"/>
      <c r="T2500" s="182"/>
      <c r="U2500" s="182"/>
      <c r="V2500" s="182"/>
      <c r="W2500" s="314" t="s">
        <v>1302</v>
      </c>
      <c r="X2500" s="646" t="s">
        <v>12341</v>
      </c>
      <c r="Y2500" s="355" t="s">
        <v>6868</v>
      </c>
      <c r="Z2500" s="185">
        <v>999</v>
      </c>
      <c r="AA2500" s="185"/>
      <c r="AB2500" s="33">
        <f t="shared" ca="1" si="56"/>
        <v>0.45812782247168804</v>
      </c>
      <c r="AC2500" s="813"/>
      <c r="AD2500" s="211" t="s">
        <v>15067</v>
      </c>
      <c r="AE2500" s="949" t="s">
        <v>12543</v>
      </c>
      <c r="AF2500" s="922">
        <f>IF(X2500=X2499,AF2499,0)+IF(ISNUMBER(I2500),IF(I2500&lt;1,I2500,I2500*VLOOKUP(J2500,Summary!$H$2:$I$9,2)),VLOOKUP(J2500,Summary!$J$2:$K$9,2)*IF(ISNUMBER(H2500),H2500,1))</f>
        <v>0.59076388888888887</v>
      </c>
      <c r="AG2500" s="295">
        <v>2499</v>
      </c>
      <c r="AH2500" s="94"/>
      <c r="AI2500" s="94"/>
      <c r="AJ2500" s="3"/>
    </row>
    <row r="2501" spans="1:36" s="1" customFormat="1" ht="12" customHeight="1" x14ac:dyDescent="0.25">
      <c r="A2501" s="539" t="s">
        <v>15666</v>
      </c>
      <c r="B2501" s="539">
        <v>7</v>
      </c>
      <c r="C2501" s="539">
        <v>16</v>
      </c>
      <c r="D2501" s="176" t="s">
        <v>1303</v>
      </c>
      <c r="E2501" s="313" t="s">
        <v>12794</v>
      </c>
      <c r="F2501" s="174">
        <v>33055</v>
      </c>
      <c r="G2501" s="174"/>
      <c r="H2501" s="176">
        <v>1</v>
      </c>
      <c r="I2501" s="176">
        <v>4</v>
      </c>
      <c r="J2501" s="900" t="s">
        <v>2755</v>
      </c>
      <c r="K2501" s="164" t="s">
        <v>175</v>
      </c>
      <c r="L2501" s="164" t="s">
        <v>461</v>
      </c>
      <c r="M2501" s="164"/>
      <c r="N2501" s="164" t="s">
        <v>561</v>
      </c>
      <c r="O2501" s="164"/>
      <c r="P2501" s="173" t="s">
        <v>461</v>
      </c>
      <c r="Q2501" s="164" t="s">
        <v>4062</v>
      </c>
      <c r="R2501" s="177" t="s">
        <v>10250</v>
      </c>
      <c r="S2501" s="354" t="s">
        <v>2542</v>
      </c>
      <c r="T2501" s="173"/>
      <c r="U2501" s="173"/>
      <c r="V2501" s="173"/>
      <c r="W2501" s="313" t="s">
        <v>12794</v>
      </c>
      <c r="X2501" s="645" t="s">
        <v>12341</v>
      </c>
      <c r="Y2501" s="354"/>
      <c r="Z2501" s="176"/>
      <c r="AA2501" s="176"/>
      <c r="AB2501" s="32">
        <f t="shared" ca="1" si="56"/>
        <v>0.89162804277924701</v>
      </c>
      <c r="AC2501" s="812"/>
      <c r="AD2501" s="763"/>
      <c r="AE2501" s="807"/>
      <c r="AF2501" s="921">
        <f>IF(X2501=X2500,AF2500,0)+IF(ISNUMBER(I2501),IF(I2501&lt;1,I2501,I2501*VLOOKUP(J2501,Summary!$H$2:$I$9,2)),VLOOKUP(J2501,Summary!$J$2:$K$9,2)*IF(ISNUMBER(H2501),H2501,1))</f>
        <v>0.59354166666666663</v>
      </c>
      <c r="AG2501" s="289">
        <v>2500</v>
      </c>
      <c r="AH2501" s="94"/>
      <c r="AI2501" s="94"/>
      <c r="AJ2501" s="2"/>
    </row>
    <row r="2502" spans="1:36" s="22" customFormat="1" ht="12" customHeight="1" x14ac:dyDescent="0.25">
      <c r="A2502" s="546" t="s">
        <v>15666</v>
      </c>
      <c r="B2502" s="546">
        <v>7</v>
      </c>
      <c r="C2502" s="548">
        <v>3.07</v>
      </c>
      <c r="D2502" s="192" t="s">
        <v>487</v>
      </c>
      <c r="E2502" s="317" t="s">
        <v>427</v>
      </c>
      <c r="F2502" s="191">
        <v>40664</v>
      </c>
      <c r="G2502" s="191"/>
      <c r="H2502" s="192">
        <v>1</v>
      </c>
      <c r="I2502" s="753">
        <f>TIME(0,16,34)</f>
        <v>1.1504629629629629E-2</v>
      </c>
      <c r="J2502" s="903" t="s">
        <v>2755</v>
      </c>
      <c r="K2502" s="194" t="s">
        <v>2939</v>
      </c>
      <c r="L2502" s="194" t="s">
        <v>3426</v>
      </c>
      <c r="M2502" s="194" t="s">
        <v>498</v>
      </c>
      <c r="N2502" s="194"/>
      <c r="O2502" s="194"/>
      <c r="P2502" s="190" t="s">
        <v>6698</v>
      </c>
      <c r="Q2502" s="194" t="s">
        <v>3947</v>
      </c>
      <c r="R2502" s="193" t="s">
        <v>2722</v>
      </c>
      <c r="S2502" s="357" t="s">
        <v>2542</v>
      </c>
      <c r="T2502" s="190"/>
      <c r="U2502" s="190"/>
      <c r="V2502" s="190"/>
      <c r="W2502" s="317" t="s">
        <v>427</v>
      </c>
      <c r="X2502" s="649" t="s">
        <v>12341</v>
      </c>
      <c r="Y2502" s="357" t="s">
        <v>5643</v>
      </c>
      <c r="Z2502" s="192">
        <v>999</v>
      </c>
      <c r="AA2502" s="192"/>
      <c r="AB2502" s="37">
        <f t="shared" ca="1" si="56"/>
        <v>9.9115063576493689E-3</v>
      </c>
      <c r="AC2502" s="816"/>
      <c r="AD2502" s="817"/>
      <c r="AE2502" s="943"/>
      <c r="AF2502" s="924">
        <f>IF(X2502=X2501,AF2501,0)+IF(ISNUMBER(I2502),IF(I2502&lt;1,I2502,I2502*VLOOKUP(J2502,Summary!$H$2:$I$9,2)),VLOOKUP(J2502,Summary!$J$2:$K$9,2)*IF(ISNUMBER(H2502),H2502,1))</f>
        <v>0.60504629629629625</v>
      </c>
      <c r="AG2502" s="292">
        <v>2501</v>
      </c>
      <c r="AH2502" s="94"/>
      <c r="AI2502" s="94"/>
      <c r="AJ2502" s="2"/>
    </row>
    <row r="2503" spans="1:36" s="22" customFormat="1" ht="12" customHeight="1" x14ac:dyDescent="0.25">
      <c r="A2503" s="539" t="s">
        <v>15666</v>
      </c>
      <c r="B2503" s="539">
        <v>7</v>
      </c>
      <c r="C2503" s="542">
        <v>18.170000000000002</v>
      </c>
      <c r="D2503" s="176" t="s">
        <v>3504</v>
      </c>
      <c r="E2503" s="313" t="s">
        <v>4955</v>
      </c>
      <c r="F2503" s="174">
        <v>38687</v>
      </c>
      <c r="G2503" s="174"/>
      <c r="H2503" s="176">
        <v>1</v>
      </c>
      <c r="I2503" s="176">
        <v>6</v>
      </c>
      <c r="J2503" s="900" t="s">
        <v>2755</v>
      </c>
      <c r="K2503" s="164" t="s">
        <v>5664</v>
      </c>
      <c r="L2503" s="164" t="s">
        <v>461</v>
      </c>
      <c r="M2503" s="164"/>
      <c r="N2503" s="164" t="s">
        <v>5664</v>
      </c>
      <c r="O2503" s="164"/>
      <c r="P2503" s="173" t="s">
        <v>5000</v>
      </c>
      <c r="Q2503" s="164" t="s">
        <v>3947</v>
      </c>
      <c r="R2503" s="177" t="s">
        <v>2723</v>
      </c>
      <c r="S2503" s="354" t="s">
        <v>2542</v>
      </c>
      <c r="T2503" s="173"/>
      <c r="U2503" s="173"/>
      <c r="V2503" s="173"/>
      <c r="W2503" s="313" t="s">
        <v>4955</v>
      </c>
      <c r="X2503" s="645" t="s">
        <v>12341</v>
      </c>
      <c r="Y2503" s="354"/>
      <c r="Z2503" s="176"/>
      <c r="AA2503" s="176"/>
      <c r="AB2503" s="32">
        <f t="shared" ca="1" si="56"/>
        <v>0.39472057749303779</v>
      </c>
      <c r="AC2503" s="812"/>
      <c r="AD2503" s="763"/>
      <c r="AE2503" s="807"/>
      <c r="AF2503" s="921">
        <f>IF(X2503=X2502,AF2502,0)+IF(ISNUMBER(I2503),IF(I2503&lt;1,I2503,I2503*VLOOKUP(J2503,Summary!$H$2:$I$9,2)),VLOOKUP(J2503,Summary!$J$2:$K$9,2)*IF(ISNUMBER(H2503),H2503,1))</f>
        <v>0.6092129629629629</v>
      </c>
      <c r="AG2503" s="289">
        <v>2502</v>
      </c>
      <c r="AH2503" s="94"/>
      <c r="AI2503" s="94"/>
      <c r="AJ2503" s="2"/>
    </row>
    <row r="2504" spans="1:36" s="29" customFormat="1" ht="12" customHeight="1" x14ac:dyDescent="0.25">
      <c r="A2504" s="538" t="s">
        <v>7927</v>
      </c>
      <c r="B2504" s="538">
        <v>7</v>
      </c>
      <c r="C2504" s="538">
        <v>152</v>
      </c>
      <c r="D2504" s="424" t="s">
        <v>934</v>
      </c>
      <c r="E2504" s="319" t="s">
        <v>935</v>
      </c>
      <c r="F2504" s="198">
        <v>32757</v>
      </c>
      <c r="G2504" s="198">
        <v>32778</v>
      </c>
      <c r="H2504" s="199">
        <v>4</v>
      </c>
      <c r="I2504" s="791">
        <f>TIME(0,24, 6)+TIME(0,24, 7)+TIME(0,24,13)+TIME(0,24,14)</f>
        <v>6.7129629629629636E-2</v>
      </c>
      <c r="J2504" s="904" t="s">
        <v>1588</v>
      </c>
      <c r="K2504" s="200" t="s">
        <v>4732</v>
      </c>
      <c r="L2504" s="200" t="s">
        <v>936</v>
      </c>
      <c r="M2504" s="200"/>
      <c r="N2504" s="200" t="s">
        <v>2939</v>
      </c>
      <c r="O2504" s="200" t="s">
        <v>6962</v>
      </c>
      <c r="P2504" s="197" t="s">
        <v>461</v>
      </c>
      <c r="Q2504" s="200" t="s">
        <v>3946</v>
      </c>
      <c r="R2504" s="201" t="s">
        <v>5280</v>
      </c>
      <c r="S2504" s="390" t="s">
        <v>2542</v>
      </c>
      <c r="T2504" s="197" t="s">
        <v>2597</v>
      </c>
      <c r="U2504" s="197"/>
      <c r="V2504" s="197"/>
      <c r="W2504" s="318" t="s">
        <v>8741</v>
      </c>
      <c r="X2504" s="650" t="s">
        <v>12341</v>
      </c>
      <c r="Y2504" s="358" t="s">
        <v>6141</v>
      </c>
      <c r="Z2504" s="253">
        <v>76</v>
      </c>
      <c r="AA2504" s="253">
        <v>7.5</v>
      </c>
      <c r="AB2504" s="35">
        <f t="shared" ca="1" si="56"/>
        <v>0.66197936903994958</v>
      </c>
      <c r="AC2504" s="820"/>
      <c r="AD2504" s="821"/>
      <c r="AE2504" s="944"/>
      <c r="AF2504" s="925">
        <f>IF(X2504=X2503,AF2503,0)+IF(ISNUMBER(I2504),IF(I2504&lt;1,I2504,I2504*VLOOKUP(J2504,Summary!$H$2:$I$9,2)),VLOOKUP(J2504,Summary!$J$2:$K$9,2)*IF(ISNUMBER(H2504),H2504,1))</f>
        <v>0.67634259259259255</v>
      </c>
      <c r="AG2504" s="293">
        <v>2503</v>
      </c>
      <c r="AH2504" s="94"/>
      <c r="AI2504" s="94"/>
      <c r="AJ2504" s="22"/>
    </row>
    <row r="2505" spans="1:36" s="29" customFormat="1" ht="12" customHeight="1" x14ac:dyDescent="0.25">
      <c r="A2505" s="408"/>
      <c r="B2505" s="408" t="s">
        <v>2650</v>
      </c>
      <c r="C2505" s="408">
        <v>14</v>
      </c>
      <c r="D2505" s="176" t="s">
        <v>3579</v>
      </c>
      <c r="E2505" s="313" t="s">
        <v>3580</v>
      </c>
      <c r="F2505" s="175">
        <v>33765</v>
      </c>
      <c r="G2505" s="174"/>
      <c r="H2505" s="176">
        <v>1</v>
      </c>
      <c r="I2505" s="176">
        <v>1</v>
      </c>
      <c r="J2505" s="900" t="s">
        <v>2755</v>
      </c>
      <c r="K2505" s="164" t="s">
        <v>3581</v>
      </c>
      <c r="L2505" s="164" t="s">
        <v>3582</v>
      </c>
      <c r="M2505" s="164"/>
      <c r="N2505" s="164" t="s">
        <v>7375</v>
      </c>
      <c r="O2505" s="164"/>
      <c r="P2505" s="173" t="s">
        <v>461</v>
      </c>
      <c r="Q2505" s="164" t="s">
        <v>4062</v>
      </c>
      <c r="R2505" s="177" t="s">
        <v>4599</v>
      </c>
      <c r="S2505" s="354"/>
      <c r="T2505" s="173" t="s">
        <v>2597</v>
      </c>
      <c r="U2505" s="173"/>
      <c r="V2505" s="173"/>
      <c r="W2505" s="313" t="s">
        <v>3580</v>
      </c>
      <c r="X2505" s="645" t="s">
        <v>12341</v>
      </c>
      <c r="Y2505" s="354"/>
      <c r="Z2505" s="176"/>
      <c r="AA2505" s="176"/>
      <c r="AB2505" s="32">
        <f t="shared" ca="1" si="56"/>
        <v>0.43275726238085876</v>
      </c>
      <c r="AC2505" s="812"/>
      <c r="AD2505" s="763"/>
      <c r="AE2505" s="807"/>
      <c r="AF2505" s="921">
        <f>IF(X2505=X2504,AF2504,0)+IF(ISNUMBER(I2505),IF(I2505&lt;1,I2505,I2505*VLOOKUP(J2505,Summary!$H$2:$I$9,2)),VLOOKUP(J2505,Summary!$J$2:$K$9,2)*IF(ISNUMBER(H2505),H2505,1))</f>
        <v>0.67703703703703699</v>
      </c>
      <c r="AG2505" s="289">
        <v>2504</v>
      </c>
      <c r="AH2505" s="94"/>
      <c r="AI2505" s="94"/>
      <c r="AJ2505" s="22"/>
    </row>
    <row r="2506" spans="1:36" s="29" customFormat="1" ht="12" customHeight="1" x14ac:dyDescent="0.25">
      <c r="A2506" s="539" t="s">
        <v>7927</v>
      </c>
      <c r="B2506" s="539">
        <v>7</v>
      </c>
      <c r="C2506" s="542">
        <v>23.17</v>
      </c>
      <c r="D2506" s="176" t="s">
        <v>3495</v>
      </c>
      <c r="E2506" s="313" t="s">
        <v>4952</v>
      </c>
      <c r="F2506" s="174">
        <v>39234</v>
      </c>
      <c r="G2506" s="174"/>
      <c r="H2506" s="176">
        <v>1</v>
      </c>
      <c r="I2506" s="176">
        <v>21</v>
      </c>
      <c r="J2506" s="900" t="s">
        <v>2755</v>
      </c>
      <c r="K2506" s="164" t="s">
        <v>3494</v>
      </c>
      <c r="L2506" s="164" t="s">
        <v>461</v>
      </c>
      <c r="M2506" s="164"/>
      <c r="N2506" s="164" t="s">
        <v>804</v>
      </c>
      <c r="O2506" s="164"/>
      <c r="P2506" s="173" t="s">
        <v>6700</v>
      </c>
      <c r="Q2506" s="164" t="s">
        <v>3947</v>
      </c>
      <c r="R2506" s="177" t="s">
        <v>2723</v>
      </c>
      <c r="S2506" s="354" t="s">
        <v>2542</v>
      </c>
      <c r="T2506" s="173"/>
      <c r="U2506" s="173"/>
      <c r="V2506" s="173"/>
      <c r="W2506" s="313" t="s">
        <v>4952</v>
      </c>
      <c r="X2506" s="645" t="s">
        <v>12341</v>
      </c>
      <c r="Y2506" s="354"/>
      <c r="Z2506" s="176"/>
      <c r="AA2506" s="176"/>
      <c r="AB2506" s="32">
        <f t="shared" ca="1" si="56"/>
        <v>0.15332705369480137</v>
      </c>
      <c r="AC2506" s="812"/>
      <c r="AD2506" s="763"/>
      <c r="AE2506" s="807"/>
      <c r="AF2506" s="921">
        <f>IF(X2506=X2505,AF2505,0)+IF(ISNUMBER(I2506),IF(I2506&lt;1,I2506,I2506*VLOOKUP(J2506,Summary!$H$2:$I$9,2)),VLOOKUP(J2506,Summary!$J$2:$K$9,2)*IF(ISNUMBER(H2506),H2506,1))</f>
        <v>0.69162037037037027</v>
      </c>
      <c r="AG2506" s="289">
        <v>2505</v>
      </c>
      <c r="AH2506" s="94"/>
      <c r="AI2506" s="94"/>
      <c r="AJ2506" s="3"/>
    </row>
    <row r="2507" spans="1:36" s="2" customFormat="1" ht="12" customHeight="1" x14ac:dyDescent="0.25">
      <c r="A2507" s="539">
        <v>26</v>
      </c>
      <c r="B2507" s="539">
        <v>7</v>
      </c>
      <c r="C2507" s="539">
        <v>30.04</v>
      </c>
      <c r="D2507" s="176" t="s">
        <v>5360</v>
      </c>
      <c r="E2507" s="313" t="s">
        <v>5377</v>
      </c>
      <c r="F2507" s="174">
        <v>39783</v>
      </c>
      <c r="G2507" s="174"/>
      <c r="H2507" s="176" t="s">
        <v>461</v>
      </c>
      <c r="I2507" s="176">
        <v>20</v>
      </c>
      <c r="J2507" s="900" t="s">
        <v>2755</v>
      </c>
      <c r="K2507" s="164" t="s">
        <v>5378</v>
      </c>
      <c r="L2507" s="164" t="s">
        <v>461</v>
      </c>
      <c r="M2507" s="164"/>
      <c r="N2507" s="164" t="s">
        <v>4944</v>
      </c>
      <c r="O2507" s="164"/>
      <c r="P2507" s="173" t="s">
        <v>6702</v>
      </c>
      <c r="Q2507" s="164" t="s">
        <v>3947</v>
      </c>
      <c r="R2507" s="177" t="s">
        <v>2723</v>
      </c>
      <c r="S2507" s="354" t="s">
        <v>2542</v>
      </c>
      <c r="T2507" s="173"/>
      <c r="U2507" s="173"/>
      <c r="V2507" s="173"/>
      <c r="W2507" s="313" t="s">
        <v>5377</v>
      </c>
      <c r="X2507" s="645" t="s">
        <v>12341</v>
      </c>
      <c r="Y2507" s="354"/>
      <c r="Z2507" s="176"/>
      <c r="AA2507" s="176"/>
      <c r="AB2507" s="32">
        <f t="shared" ca="1" si="56"/>
        <v>0.995023532882787</v>
      </c>
      <c r="AC2507" s="812"/>
      <c r="AD2507" s="763"/>
      <c r="AE2507" s="807"/>
      <c r="AF2507" s="921">
        <f>IF(X2507=X2506,AF2506,0)+IF(ISNUMBER(I2507),IF(I2507&lt;1,I2507,I2507*VLOOKUP(J2507,Summary!$H$2:$I$9,2)),VLOOKUP(J2507,Summary!$J$2:$K$9,2)*IF(ISNUMBER(H2507),H2507,1))</f>
        <v>0.70550925925925911</v>
      </c>
      <c r="AG2507" s="289">
        <v>2506</v>
      </c>
      <c r="AH2507" s="94"/>
      <c r="AI2507" s="94"/>
      <c r="AJ2507" s="22"/>
    </row>
    <row r="2508" spans="1:36" s="1" customFormat="1" ht="12" customHeight="1" x14ac:dyDescent="0.25">
      <c r="A2508" s="538" t="s">
        <v>7927</v>
      </c>
      <c r="B2508" s="538">
        <v>7</v>
      </c>
      <c r="C2508" s="538">
        <v>153</v>
      </c>
      <c r="D2508" s="424" t="s">
        <v>939</v>
      </c>
      <c r="E2508" s="319" t="s">
        <v>940</v>
      </c>
      <c r="F2508" s="198">
        <v>32785</v>
      </c>
      <c r="G2508" s="198">
        <v>32799</v>
      </c>
      <c r="H2508" s="199">
        <v>3</v>
      </c>
      <c r="I2508" s="791">
        <f>TIME(0,24,17)+TIME(0,24,18)+TIME(0,24,17)</f>
        <v>5.0601851851851856E-2</v>
      </c>
      <c r="J2508" s="904" t="s">
        <v>1588</v>
      </c>
      <c r="K2508" s="200" t="s">
        <v>941</v>
      </c>
      <c r="L2508" s="200" t="s">
        <v>7926</v>
      </c>
      <c r="M2508" s="200"/>
      <c r="N2508" s="200" t="s">
        <v>2939</v>
      </c>
      <c r="O2508" s="200" t="s">
        <v>6962</v>
      </c>
      <c r="P2508" s="197" t="s">
        <v>461</v>
      </c>
      <c r="Q2508" s="200" t="s">
        <v>3946</v>
      </c>
      <c r="R2508" s="201" t="s">
        <v>5280</v>
      </c>
      <c r="S2508" s="390" t="s">
        <v>2542</v>
      </c>
      <c r="T2508" s="197"/>
      <c r="U2508" s="197"/>
      <c r="V2508" s="197"/>
      <c r="W2508" s="318" t="s">
        <v>10191</v>
      </c>
      <c r="X2508" s="650" t="s">
        <v>12341</v>
      </c>
      <c r="Y2508" s="358" t="s">
        <v>6141</v>
      </c>
      <c r="Z2508" s="253">
        <v>141</v>
      </c>
      <c r="AA2508" s="253">
        <v>6</v>
      </c>
      <c r="AB2508" s="35">
        <f t="shared" ca="1" si="56"/>
        <v>0.96514535496017928</v>
      </c>
      <c r="AC2508" s="820"/>
      <c r="AD2508" s="821" t="s">
        <v>16624</v>
      </c>
      <c r="AE2508" s="944"/>
      <c r="AF2508" s="925">
        <f>IF(X2508=X2507,AF2507,0)+IF(ISNUMBER(I2508),IF(I2508&lt;1,I2508,I2508*VLOOKUP(J2508,Summary!$H$2:$I$9,2)),VLOOKUP(J2508,Summary!$J$2:$K$9,2)*IF(ISNUMBER(H2508),H2508,1))</f>
        <v>0.75611111111111096</v>
      </c>
      <c r="AG2508" s="293">
        <v>2507</v>
      </c>
      <c r="AH2508" s="94"/>
      <c r="AI2508" s="94"/>
      <c r="AJ2508" s="6"/>
    </row>
    <row r="2509" spans="1:36" s="1" customFormat="1" ht="12" customHeight="1" x14ac:dyDescent="0.25">
      <c r="A2509" s="550" t="s">
        <v>7927</v>
      </c>
      <c r="B2509" s="550">
        <v>7</v>
      </c>
      <c r="C2509" s="550">
        <v>49</v>
      </c>
      <c r="D2509" s="417" t="s">
        <v>937</v>
      </c>
      <c r="E2509" s="316" t="s">
        <v>938</v>
      </c>
      <c r="F2509" s="187">
        <v>37257</v>
      </c>
      <c r="G2509" s="188"/>
      <c r="H2509" s="188" t="str">
        <f>IF(J2509="Book","n/a","")</f>
        <v>n/a</v>
      </c>
      <c r="I2509" s="188">
        <v>277</v>
      </c>
      <c r="J2509" s="902" t="s">
        <v>6868</v>
      </c>
      <c r="K2509" s="162" t="s">
        <v>1936</v>
      </c>
      <c r="L2509" s="162" t="str">
        <f>IF(J2509="Book","n/a","")</f>
        <v>n/a</v>
      </c>
      <c r="M2509" s="162"/>
      <c r="N2509" s="162"/>
      <c r="O2509" s="162"/>
      <c r="P2509" s="178" t="s">
        <v>8973</v>
      </c>
      <c r="Q2509" s="162" t="s">
        <v>3953</v>
      </c>
      <c r="R2509" s="189" t="s">
        <v>2717</v>
      </c>
      <c r="S2509" s="366" t="s">
        <v>2542</v>
      </c>
      <c r="T2509" s="178"/>
      <c r="U2509" s="178"/>
      <c r="V2509" s="178"/>
      <c r="W2509" s="316" t="s">
        <v>938</v>
      </c>
      <c r="X2509" s="648" t="s">
        <v>12341</v>
      </c>
      <c r="Y2509" s="356" t="s">
        <v>6868</v>
      </c>
      <c r="Z2509" s="272">
        <v>23</v>
      </c>
      <c r="AA2509" s="272">
        <v>8.5</v>
      </c>
      <c r="AB2509" s="34">
        <f t="shared" ca="1" si="56"/>
        <v>0.25741471317044939</v>
      </c>
      <c r="AC2509" s="814"/>
      <c r="AD2509" s="815" t="s">
        <v>16012</v>
      </c>
      <c r="AE2509" s="942"/>
      <c r="AF2509" s="923">
        <f>IF(X2509=X2508,AF2508,0)+IF(ISNUMBER(I2509),IF(I2509&lt;1,I2509,I2509*VLOOKUP(J2509,Summary!$H$2:$I$9,2)),VLOOKUP(J2509,Summary!$J$2:$K$9,2)*IF(ISNUMBER(H2509),H2509,1))</f>
        <v>0.94847222222222205</v>
      </c>
      <c r="AG2509" s="291">
        <v>2508</v>
      </c>
      <c r="AH2509" s="94"/>
      <c r="AI2509" s="94"/>
      <c r="AJ2509" s="6"/>
    </row>
    <row r="2510" spans="1:36" s="29" customFormat="1" ht="12" customHeight="1" x14ac:dyDescent="0.25">
      <c r="A2510" s="539" t="s">
        <v>7927</v>
      </c>
      <c r="B2510" s="539">
        <v>7</v>
      </c>
      <c r="C2510" s="542">
        <v>25.02</v>
      </c>
      <c r="D2510" s="176" t="s">
        <v>3493</v>
      </c>
      <c r="E2510" s="313" t="s">
        <v>4953</v>
      </c>
      <c r="F2510" s="174">
        <v>39417</v>
      </c>
      <c r="G2510" s="174"/>
      <c r="H2510" s="176">
        <v>1</v>
      </c>
      <c r="I2510" s="176">
        <v>12</v>
      </c>
      <c r="J2510" s="900" t="s">
        <v>2755</v>
      </c>
      <c r="K2510" s="164" t="s">
        <v>7335</v>
      </c>
      <c r="L2510" s="164" t="s">
        <v>461</v>
      </c>
      <c r="M2510" s="164"/>
      <c r="N2510" s="164" t="s">
        <v>5146</v>
      </c>
      <c r="O2510" s="164"/>
      <c r="P2510" s="173" t="s">
        <v>6701</v>
      </c>
      <c r="Q2510" s="164" t="s">
        <v>3947</v>
      </c>
      <c r="R2510" s="177" t="s">
        <v>2723</v>
      </c>
      <c r="S2510" s="354" t="s">
        <v>2542</v>
      </c>
      <c r="T2510" s="173"/>
      <c r="U2510" s="173"/>
      <c r="V2510" s="173"/>
      <c r="W2510" s="313" t="s">
        <v>4953</v>
      </c>
      <c r="X2510" s="645" t="s">
        <v>12341</v>
      </c>
      <c r="Y2510" s="354"/>
      <c r="Z2510" s="176"/>
      <c r="AA2510" s="176"/>
      <c r="AB2510" s="32">
        <f t="shared" ca="1" si="56"/>
        <v>0.22699424624782383</v>
      </c>
      <c r="AC2510" s="812"/>
      <c r="AD2510" s="763"/>
      <c r="AE2510" s="807"/>
      <c r="AF2510" s="921">
        <f>IF(X2510=X2509,AF2509,0)+IF(ISNUMBER(I2510),IF(I2510&lt;1,I2510,I2510*VLOOKUP(J2510,Summary!$H$2:$I$9,2)),VLOOKUP(J2510,Summary!$J$2:$K$9,2)*IF(ISNUMBER(H2510),H2510,1))</f>
        <v>0.95680555555555535</v>
      </c>
      <c r="AG2510" s="289">
        <v>2509</v>
      </c>
      <c r="AH2510" s="94"/>
      <c r="AI2510" s="94"/>
      <c r="AJ2510" s="22"/>
    </row>
    <row r="2511" spans="1:36" s="29" customFormat="1" ht="12" customHeight="1" x14ac:dyDescent="0.25">
      <c r="A2511" s="538" t="s">
        <v>7927</v>
      </c>
      <c r="B2511" s="538">
        <v>7</v>
      </c>
      <c r="C2511" s="538">
        <v>154</v>
      </c>
      <c r="D2511" s="424" t="s">
        <v>4442</v>
      </c>
      <c r="E2511" s="319" t="s">
        <v>5138</v>
      </c>
      <c r="F2511" s="198">
        <v>32806</v>
      </c>
      <c r="G2511" s="198">
        <v>32827</v>
      </c>
      <c r="H2511" s="199">
        <v>4</v>
      </c>
      <c r="I2511" s="791">
        <f>TIME(0,24,23)+TIME(0,24, 9)+TIME(0,24,11)+TIME(0,24,16)</f>
        <v>6.7349537037037041E-2</v>
      </c>
      <c r="J2511" s="904" t="s">
        <v>1588</v>
      </c>
      <c r="K2511" s="200" t="s">
        <v>2543</v>
      </c>
      <c r="L2511" s="200" t="s">
        <v>220</v>
      </c>
      <c r="M2511" s="200"/>
      <c r="N2511" s="200" t="s">
        <v>2939</v>
      </c>
      <c r="O2511" s="200" t="s">
        <v>6962</v>
      </c>
      <c r="P2511" s="197" t="s">
        <v>461</v>
      </c>
      <c r="Q2511" s="200" t="s">
        <v>3946</v>
      </c>
      <c r="R2511" s="201" t="s">
        <v>5280</v>
      </c>
      <c r="S2511" s="390" t="s">
        <v>2542</v>
      </c>
      <c r="T2511" s="197"/>
      <c r="U2511" s="197"/>
      <c r="V2511" s="197"/>
      <c r="W2511" s="318" t="s">
        <v>8757</v>
      </c>
      <c r="X2511" s="650" t="s">
        <v>12341</v>
      </c>
      <c r="Y2511" s="358" t="s">
        <v>6141</v>
      </c>
      <c r="Z2511" s="253">
        <v>116</v>
      </c>
      <c r="AA2511" s="253">
        <v>6.5</v>
      </c>
      <c r="AB2511" s="35">
        <f t="shared" ca="1" si="56"/>
        <v>0.45302723550469481</v>
      </c>
      <c r="AC2511" s="820"/>
      <c r="AD2511" s="821" t="s">
        <v>16737</v>
      </c>
      <c r="AE2511" s="944"/>
      <c r="AF2511" s="925">
        <f>IF(X2511=X2510,AF2510,0)+IF(ISNUMBER(I2511),IF(I2511&lt;1,I2511,I2511*VLOOKUP(J2511,Summary!$H$2:$I$9,2)),VLOOKUP(J2511,Summary!$J$2:$K$9,2)*IF(ISNUMBER(H2511),H2511,1))</f>
        <v>1.0241550925925924</v>
      </c>
      <c r="AG2511" s="293">
        <v>2510</v>
      </c>
      <c r="AH2511" s="94"/>
      <c r="AI2511" s="94"/>
      <c r="AJ2511" s="6"/>
    </row>
    <row r="2512" spans="1:36" s="29" customFormat="1" ht="12" customHeight="1" x14ac:dyDescent="0.25">
      <c r="A2512" s="539">
        <v>26</v>
      </c>
      <c r="B2512" s="539">
        <v>7</v>
      </c>
      <c r="C2512" s="542">
        <v>1.1399999999999999</v>
      </c>
      <c r="D2512" s="176" t="s">
        <v>4973</v>
      </c>
      <c r="E2512" s="313" t="s">
        <v>4970</v>
      </c>
      <c r="F2512" s="174">
        <v>35855</v>
      </c>
      <c r="G2512" s="174"/>
      <c r="H2512" s="176">
        <v>1</v>
      </c>
      <c r="I2512" s="176">
        <v>6</v>
      </c>
      <c r="J2512" s="900" t="s">
        <v>2755</v>
      </c>
      <c r="K2512" s="164" t="s">
        <v>5564</v>
      </c>
      <c r="L2512" s="164" t="s">
        <v>461</v>
      </c>
      <c r="M2512" s="164"/>
      <c r="N2512" s="164" t="s">
        <v>6237</v>
      </c>
      <c r="O2512" s="164"/>
      <c r="P2512" s="173" t="s">
        <v>5042</v>
      </c>
      <c r="Q2512" s="164" t="s">
        <v>3953</v>
      </c>
      <c r="R2512" s="177" t="s">
        <v>2723</v>
      </c>
      <c r="S2512" s="354" t="s">
        <v>2542</v>
      </c>
      <c r="T2512" s="173"/>
      <c r="U2512" s="173"/>
      <c r="V2512" s="173"/>
      <c r="W2512" s="313" t="s">
        <v>4970</v>
      </c>
      <c r="X2512" s="645" t="s">
        <v>12341</v>
      </c>
      <c r="Y2512" s="354" t="s">
        <v>6868</v>
      </c>
      <c r="Z2512" s="176">
        <v>999</v>
      </c>
      <c r="AA2512" s="176"/>
      <c r="AB2512" s="32">
        <f t="shared" ca="1" si="56"/>
        <v>0.8351451914053295</v>
      </c>
      <c r="AC2512" s="812"/>
      <c r="AD2512" s="763"/>
      <c r="AE2512" s="807"/>
      <c r="AF2512" s="921">
        <f>IF(X2512=X2511,AF2511,0)+IF(ISNUMBER(I2512),IF(I2512&lt;1,I2512,I2512*VLOOKUP(J2512,Summary!$H$2:$I$9,2)),VLOOKUP(J2512,Summary!$J$2:$K$9,2)*IF(ISNUMBER(H2512),H2512,1))</f>
        <v>1.0283217592592591</v>
      </c>
      <c r="AG2512" s="289">
        <v>2511</v>
      </c>
      <c r="AH2512" s="94"/>
      <c r="AI2512" s="94"/>
      <c r="AJ2512" s="2"/>
    </row>
    <row r="2513" spans="1:36" s="29" customFormat="1" ht="12" customHeight="1" x14ac:dyDescent="0.25">
      <c r="A2513" s="550" t="s">
        <v>7927</v>
      </c>
      <c r="B2513" s="550">
        <v>7</v>
      </c>
      <c r="C2513" s="550">
        <v>10</v>
      </c>
      <c r="D2513" s="417" t="s">
        <v>5139</v>
      </c>
      <c r="E2513" s="316" t="s">
        <v>5118</v>
      </c>
      <c r="F2513" s="195">
        <v>35891</v>
      </c>
      <c r="G2513" s="188"/>
      <c r="H2513" s="188" t="str">
        <f>IF(J2513="Book","n/a","")</f>
        <v>n/a</v>
      </c>
      <c r="I2513" s="188">
        <v>284</v>
      </c>
      <c r="J2513" s="902" t="s">
        <v>6868</v>
      </c>
      <c r="K2513" s="162" t="s">
        <v>6351</v>
      </c>
      <c r="L2513" s="162" t="str">
        <f>IF(J2513="Book","n/a","")</f>
        <v>n/a</v>
      </c>
      <c r="M2513" s="162"/>
      <c r="N2513" s="162"/>
      <c r="O2513" s="162"/>
      <c r="P2513" s="178" t="s">
        <v>8935</v>
      </c>
      <c r="Q2513" s="162" t="s">
        <v>3953</v>
      </c>
      <c r="R2513" s="189" t="s">
        <v>2717</v>
      </c>
      <c r="S2513" s="366" t="s">
        <v>2542</v>
      </c>
      <c r="T2513" s="178"/>
      <c r="U2513" s="178"/>
      <c r="V2513" s="178"/>
      <c r="W2513" s="316" t="s">
        <v>5118</v>
      </c>
      <c r="X2513" s="648" t="s">
        <v>12341</v>
      </c>
      <c r="Y2513" s="356" t="s">
        <v>6868</v>
      </c>
      <c r="Z2513" s="272"/>
      <c r="AA2513" s="272"/>
      <c r="AB2513" s="34">
        <f t="shared" ca="1" si="56"/>
        <v>0.4034138707363577</v>
      </c>
      <c r="AC2513" s="814"/>
      <c r="AD2513" s="815" t="s">
        <v>15846</v>
      </c>
      <c r="AE2513" s="942" t="s">
        <v>12543</v>
      </c>
      <c r="AF2513" s="923">
        <f>IF(X2513=X2512,AF2512,0)+IF(ISNUMBER(I2513),IF(I2513&lt;1,I2513,I2513*VLOOKUP(J2513,Summary!$H$2:$I$9,2)),VLOOKUP(J2513,Summary!$J$2:$K$9,2)*IF(ISNUMBER(H2513),H2513,1))</f>
        <v>1.2255439814814812</v>
      </c>
      <c r="AG2513" s="291">
        <v>2512</v>
      </c>
      <c r="AH2513" s="94"/>
      <c r="AI2513" s="94"/>
      <c r="AJ2513" s="1"/>
    </row>
    <row r="2514" spans="1:36" s="2" customFormat="1" ht="12" customHeight="1" x14ac:dyDescent="0.25">
      <c r="A2514" s="539" t="s">
        <v>7927</v>
      </c>
      <c r="B2514" s="539">
        <v>7</v>
      </c>
      <c r="C2514" s="542">
        <v>12.03</v>
      </c>
      <c r="D2514" s="176" t="s">
        <v>3503</v>
      </c>
      <c r="E2514" s="313" t="s">
        <v>4954</v>
      </c>
      <c r="F2514" s="174">
        <v>38261</v>
      </c>
      <c r="G2514" s="174"/>
      <c r="H2514" s="176">
        <v>1</v>
      </c>
      <c r="I2514" s="176">
        <v>18</v>
      </c>
      <c r="J2514" s="900" t="s">
        <v>2755</v>
      </c>
      <c r="K2514" s="164" t="s">
        <v>941</v>
      </c>
      <c r="L2514" s="164" t="s">
        <v>461</v>
      </c>
      <c r="M2514" s="164"/>
      <c r="N2514" s="164" t="s">
        <v>7381</v>
      </c>
      <c r="O2514" s="164"/>
      <c r="P2514" s="173" t="s">
        <v>2756</v>
      </c>
      <c r="Q2514" s="164" t="s">
        <v>3947</v>
      </c>
      <c r="R2514" s="177" t="s">
        <v>2723</v>
      </c>
      <c r="S2514" s="354" t="s">
        <v>2542</v>
      </c>
      <c r="T2514" s="173"/>
      <c r="U2514" s="173"/>
      <c r="V2514" s="173"/>
      <c r="W2514" s="313" t="s">
        <v>4954</v>
      </c>
      <c r="X2514" s="645" t="s">
        <v>12341</v>
      </c>
      <c r="Y2514" s="354"/>
      <c r="Z2514" s="176"/>
      <c r="AA2514" s="176"/>
      <c r="AB2514" s="32">
        <f t="shared" ca="1" si="56"/>
        <v>0.94722827452145741</v>
      </c>
      <c r="AC2514" s="812"/>
      <c r="AD2514" s="763"/>
      <c r="AE2514" s="807"/>
      <c r="AF2514" s="921">
        <f>IF(X2514=X2513,AF2513,0)+IF(ISNUMBER(I2514),IF(I2514&lt;1,I2514,I2514*VLOOKUP(J2514,Summary!$H$2:$I$9,2)),VLOOKUP(J2514,Summary!$J$2:$K$9,2)*IF(ISNUMBER(H2514),H2514,1))</f>
        <v>1.2380439814814812</v>
      </c>
      <c r="AG2514" s="289">
        <v>2513</v>
      </c>
      <c r="AH2514" s="94"/>
      <c r="AI2514" s="94"/>
      <c r="AJ2514" s="3"/>
    </row>
    <row r="2515" spans="1:36" s="3" customFormat="1" ht="12" customHeight="1" x14ac:dyDescent="0.25">
      <c r="A2515" s="539">
        <v>26</v>
      </c>
      <c r="B2515" s="539">
        <v>7</v>
      </c>
      <c r="C2515" s="539">
        <v>22</v>
      </c>
      <c r="D2515" s="176" t="s">
        <v>872</v>
      </c>
      <c r="E2515" s="313" t="s">
        <v>844</v>
      </c>
      <c r="F2515" s="174">
        <v>36100</v>
      </c>
      <c r="G2515" s="175"/>
      <c r="H2515" s="176" t="s">
        <v>461</v>
      </c>
      <c r="I2515" s="176"/>
      <c r="J2515" s="900" t="s">
        <v>2755</v>
      </c>
      <c r="K2515" s="164" t="s">
        <v>903</v>
      </c>
      <c r="L2515" s="164"/>
      <c r="M2515" s="164"/>
      <c r="N2515" s="164" t="s">
        <v>819</v>
      </c>
      <c r="O2515" s="164"/>
      <c r="P2515" s="178" t="s">
        <v>461</v>
      </c>
      <c r="Q2515" s="164" t="s">
        <v>820</v>
      </c>
      <c r="R2515" s="177" t="s">
        <v>895</v>
      </c>
      <c r="S2515" s="354" t="s">
        <v>2542</v>
      </c>
      <c r="T2515" s="173"/>
      <c r="U2515" s="173"/>
      <c r="V2515" s="173"/>
      <c r="W2515" s="313" t="s">
        <v>844</v>
      </c>
      <c r="X2515" s="645" t="s">
        <v>12341</v>
      </c>
      <c r="Y2515" s="354"/>
      <c r="Z2515" s="176"/>
      <c r="AA2515" s="176"/>
      <c r="AB2515" s="32">
        <f t="shared" ca="1" si="56"/>
        <v>0.24573397506318273</v>
      </c>
      <c r="AC2515" s="812"/>
      <c r="AD2515" s="763"/>
      <c r="AE2515" s="807"/>
      <c r="AF2515" s="921">
        <f>IF(X2515=X2514,AF2514,0)+IF(ISNUMBER(I2515),IF(I2515&lt;1,I2515,I2515*VLOOKUP(J2515,Summary!$H$2:$I$9,2)),VLOOKUP(J2515,Summary!$J$2:$K$9,2)*IF(ISNUMBER(H2515),H2515,1))</f>
        <v>1.2554050925925924</v>
      </c>
      <c r="AG2515" s="289">
        <v>2514</v>
      </c>
      <c r="AH2515" s="94"/>
      <c r="AI2515" s="94"/>
      <c r="AJ2515" s="22"/>
    </row>
    <row r="2516" spans="1:36" s="43" customFormat="1" ht="12" customHeight="1" x14ac:dyDescent="0.25">
      <c r="A2516" s="538" t="s">
        <v>7927</v>
      </c>
      <c r="B2516" s="538">
        <v>7</v>
      </c>
      <c r="C2516" s="538">
        <v>155</v>
      </c>
      <c r="D2516" s="424" t="s">
        <v>5119</v>
      </c>
      <c r="E2516" s="319" t="s">
        <v>5120</v>
      </c>
      <c r="F2516" s="198">
        <v>32834</v>
      </c>
      <c r="G2516" s="198">
        <v>32848</v>
      </c>
      <c r="H2516" s="199">
        <v>3</v>
      </c>
      <c r="I2516" s="791">
        <f>TIME(0,24,14)+TIME(0,24,13)+TIME(0,24,20)</f>
        <v>5.0543981481481481E-2</v>
      </c>
      <c r="J2516" s="904" t="s">
        <v>1588</v>
      </c>
      <c r="K2516" s="200" t="s">
        <v>6458</v>
      </c>
      <c r="L2516" s="200" t="s">
        <v>7926</v>
      </c>
      <c r="M2516" s="200"/>
      <c r="N2516" s="200" t="s">
        <v>2939</v>
      </c>
      <c r="O2516" s="200" t="s">
        <v>6962</v>
      </c>
      <c r="P2516" s="197" t="s">
        <v>461</v>
      </c>
      <c r="Q2516" s="200" t="s">
        <v>3946</v>
      </c>
      <c r="R2516" s="201" t="s">
        <v>5280</v>
      </c>
      <c r="S2516" s="390" t="s">
        <v>2542</v>
      </c>
      <c r="T2516" s="197"/>
      <c r="U2516" s="197"/>
      <c r="V2516" s="197"/>
      <c r="W2516" s="318" t="s">
        <v>8742</v>
      </c>
      <c r="X2516" s="650" t="s">
        <v>12341</v>
      </c>
      <c r="Y2516" s="358" t="s">
        <v>6141</v>
      </c>
      <c r="Z2516" s="253">
        <v>253</v>
      </c>
      <c r="AA2516" s="253">
        <v>3.5</v>
      </c>
      <c r="AB2516" s="35">
        <f t="shared" ca="1" si="56"/>
        <v>0.53394139384551009</v>
      </c>
      <c r="AC2516" s="820"/>
      <c r="AD2516" s="821" t="s">
        <v>16031</v>
      </c>
      <c r="AE2516" s="944" t="s">
        <v>12543</v>
      </c>
      <c r="AF2516" s="925">
        <f>IF(X2516=X2515,AF2515,0)+IF(ISNUMBER(I2516),IF(I2516&lt;1,I2516,I2516*VLOOKUP(J2516,Summary!$H$2:$I$9,2)),VLOOKUP(J2516,Summary!$J$2:$K$9,2)*IF(ISNUMBER(H2516),H2516,1))</f>
        <v>1.3059490740740738</v>
      </c>
      <c r="AG2516" s="293">
        <v>2515</v>
      </c>
      <c r="AH2516" s="94"/>
      <c r="AI2516" s="94"/>
      <c r="AJ2516" s="2"/>
    </row>
    <row r="2517" spans="1:36" s="6" customFormat="1" ht="12" customHeight="1" x14ac:dyDescent="0.25">
      <c r="A2517" s="497"/>
      <c r="B2517" s="497" t="s">
        <v>2650</v>
      </c>
      <c r="C2517" s="497">
        <v>31.01</v>
      </c>
      <c r="D2517" s="176" t="s">
        <v>614</v>
      </c>
      <c r="E2517" s="313" t="s">
        <v>625</v>
      </c>
      <c r="F2517" s="174">
        <v>39873</v>
      </c>
      <c r="G2517" s="174"/>
      <c r="H2517" s="176" t="s">
        <v>461</v>
      </c>
      <c r="I2517" s="176">
        <v>2</v>
      </c>
      <c r="J2517" s="900" t="s">
        <v>2755</v>
      </c>
      <c r="K2517" s="164" t="s">
        <v>3451</v>
      </c>
      <c r="L2517" s="164" t="s">
        <v>461</v>
      </c>
      <c r="M2517" s="164"/>
      <c r="N2517" s="164" t="s">
        <v>1805</v>
      </c>
      <c r="O2517" s="164"/>
      <c r="P2517" s="173" t="s">
        <v>6699</v>
      </c>
      <c r="Q2517" s="164" t="s">
        <v>3947</v>
      </c>
      <c r="R2517" s="177" t="s">
        <v>2723</v>
      </c>
      <c r="S2517" s="354"/>
      <c r="T2517" s="173"/>
      <c r="U2517" s="173"/>
      <c r="V2517" s="173"/>
      <c r="W2517" s="313" t="s">
        <v>625</v>
      </c>
      <c r="X2517" s="645" t="s">
        <v>12341</v>
      </c>
      <c r="Y2517" s="354"/>
      <c r="Z2517" s="176"/>
      <c r="AA2517" s="176"/>
      <c r="AB2517" s="32">
        <f t="shared" ca="1" si="56"/>
        <v>0.25642497158086408</v>
      </c>
      <c r="AC2517" s="812"/>
      <c r="AD2517" s="763"/>
      <c r="AE2517" s="807"/>
      <c r="AF2517" s="921">
        <f>IF(X2517=X2516,AF2516,0)+IF(ISNUMBER(I2517),IF(I2517&lt;1,I2517,I2517*VLOOKUP(J2517,Summary!$H$2:$I$9,2)),VLOOKUP(J2517,Summary!$J$2:$K$9,2)*IF(ISNUMBER(H2517),H2517,1))</f>
        <v>1.3073379629629627</v>
      </c>
      <c r="AG2517" s="289">
        <v>2516</v>
      </c>
      <c r="AH2517" s="94"/>
      <c r="AI2517" s="94"/>
    </row>
    <row r="2518" spans="1:36" s="43" customFormat="1" ht="12" customHeight="1" x14ac:dyDescent="0.25">
      <c r="A2518" s="408"/>
      <c r="B2518" s="408" t="s">
        <v>2650</v>
      </c>
      <c r="C2518" s="408">
        <v>38</v>
      </c>
      <c r="D2518" s="176" t="s">
        <v>3478</v>
      </c>
      <c r="E2518" s="313" t="s">
        <v>3483</v>
      </c>
      <c r="F2518" s="174">
        <v>33817</v>
      </c>
      <c r="G2518" s="174"/>
      <c r="H2518" s="176">
        <v>1</v>
      </c>
      <c r="I2518" s="176">
        <v>2</v>
      </c>
      <c r="J2518" s="900" t="s">
        <v>2755</v>
      </c>
      <c r="K2518" s="164" t="s">
        <v>3484</v>
      </c>
      <c r="L2518" s="164" t="s">
        <v>6043</v>
      </c>
      <c r="M2518" s="164"/>
      <c r="N2518" s="164" t="s">
        <v>7375</v>
      </c>
      <c r="O2518" s="164"/>
      <c r="P2518" s="173" t="s">
        <v>461</v>
      </c>
      <c r="Q2518" s="164" t="s">
        <v>4062</v>
      </c>
      <c r="R2518" s="177" t="s">
        <v>4599</v>
      </c>
      <c r="S2518" s="354" t="s">
        <v>53</v>
      </c>
      <c r="T2518" s="173" t="s">
        <v>2597</v>
      </c>
      <c r="U2518" s="173"/>
      <c r="V2518" s="173"/>
      <c r="W2518" s="313" t="s">
        <v>3483</v>
      </c>
      <c r="X2518" s="645" t="s">
        <v>12533</v>
      </c>
      <c r="Y2518" s="354"/>
      <c r="Z2518" s="176"/>
      <c r="AA2518" s="176"/>
      <c r="AB2518" s="32">
        <f t="shared" ca="1" si="56"/>
        <v>0.42465895663353737</v>
      </c>
      <c r="AC2518" s="812"/>
      <c r="AD2518" s="763"/>
      <c r="AE2518" s="807"/>
      <c r="AF2518" s="921">
        <f>IF(X2518=X2517,AF2517,0)+IF(ISNUMBER(I2518),IF(I2518&lt;1,I2518,I2518*VLOOKUP(J2518,Summary!$H$2:$I$9,2)),VLOOKUP(J2518,Summary!$J$2:$K$9,2)*IF(ISNUMBER(H2518),H2518,1))</f>
        <v>1.3888888888888889E-3</v>
      </c>
      <c r="AG2518" s="289">
        <v>2517</v>
      </c>
      <c r="AH2518" s="94"/>
      <c r="AI2518" s="94"/>
      <c r="AJ2518" s="2"/>
    </row>
    <row r="2519" spans="1:36" s="1" customFormat="1" ht="12" customHeight="1" x14ac:dyDescent="0.25">
      <c r="A2519" s="408"/>
      <c r="B2519" s="408" t="s">
        <v>3234</v>
      </c>
      <c r="C2519" s="408">
        <v>8</v>
      </c>
      <c r="D2519" s="176" t="s">
        <v>858</v>
      </c>
      <c r="E2519" s="313" t="s">
        <v>831</v>
      </c>
      <c r="F2519" s="174">
        <v>36100</v>
      </c>
      <c r="G2519" s="175"/>
      <c r="H2519" s="176" t="s">
        <v>461</v>
      </c>
      <c r="I2519" s="176"/>
      <c r="J2519" s="900" t="s">
        <v>2755</v>
      </c>
      <c r="K2519" s="164" t="s">
        <v>4551</v>
      </c>
      <c r="L2519" s="164"/>
      <c r="M2519" s="164"/>
      <c r="N2519" s="164" t="s">
        <v>819</v>
      </c>
      <c r="O2519" s="164"/>
      <c r="P2519" s="178" t="s">
        <v>461</v>
      </c>
      <c r="Q2519" s="164" t="s">
        <v>820</v>
      </c>
      <c r="R2519" s="177" t="s">
        <v>895</v>
      </c>
      <c r="S2519" s="354"/>
      <c r="T2519" s="173"/>
      <c r="U2519" s="173"/>
      <c r="V2519" s="173"/>
      <c r="W2519" s="313" t="s">
        <v>831</v>
      </c>
      <c r="X2519" s="645" t="s">
        <v>12533</v>
      </c>
      <c r="Y2519" s="354"/>
      <c r="Z2519" s="176"/>
      <c r="AA2519" s="176"/>
      <c r="AB2519" s="32">
        <f t="shared" ca="1" si="56"/>
        <v>0.37879378046322421</v>
      </c>
      <c r="AC2519" s="812"/>
      <c r="AD2519" s="763"/>
      <c r="AE2519" s="807"/>
      <c r="AF2519" s="921">
        <f>IF(X2519=X2518,AF2518,0)+IF(ISNUMBER(I2519),IF(I2519&lt;1,I2519,I2519*VLOOKUP(J2519,Summary!$H$2:$I$9,2)),VLOOKUP(J2519,Summary!$J$2:$K$9,2)*IF(ISNUMBER(H2519),H2519,1))</f>
        <v>1.8749999999999999E-2</v>
      </c>
      <c r="AG2519" s="289">
        <v>2518</v>
      </c>
      <c r="AH2519" s="94"/>
      <c r="AI2519" s="94"/>
      <c r="AJ2519" s="6"/>
    </row>
    <row r="2520" spans="1:36" s="22" customFormat="1" ht="12" customHeight="1" x14ac:dyDescent="0.2">
      <c r="A2520" s="405" t="s">
        <v>7380</v>
      </c>
      <c r="B2520" s="405" t="s">
        <v>3234</v>
      </c>
      <c r="C2520" s="551">
        <v>0</v>
      </c>
      <c r="D2520" s="407" t="s">
        <v>15696</v>
      </c>
      <c r="E2520" s="315" t="s">
        <v>4461</v>
      </c>
      <c r="F2520" s="169">
        <v>38322</v>
      </c>
      <c r="G2520" s="170"/>
      <c r="H2520" s="170">
        <v>1</v>
      </c>
      <c r="I2520" s="746">
        <f>TIME(0,23,13)</f>
        <v>1.6122685185185184E-2</v>
      </c>
      <c r="J2520" s="899" t="s">
        <v>4706</v>
      </c>
      <c r="K2520" s="167" t="s">
        <v>5664</v>
      </c>
      <c r="L2520" s="167" t="s">
        <v>7381</v>
      </c>
      <c r="M2520" s="167"/>
      <c r="N2520" s="167"/>
      <c r="O2520" s="167"/>
      <c r="P2520" s="168" t="s">
        <v>461</v>
      </c>
      <c r="Q2520" s="167" t="s">
        <v>3947</v>
      </c>
      <c r="R2520" s="172" t="s">
        <v>7380</v>
      </c>
      <c r="S2520" s="388"/>
      <c r="T2520" s="168" t="s">
        <v>2597</v>
      </c>
      <c r="U2520" s="168"/>
      <c r="V2520" s="168"/>
      <c r="W2520" s="312" t="s">
        <v>10139</v>
      </c>
      <c r="X2520" s="644" t="s">
        <v>12533</v>
      </c>
      <c r="Y2520" s="352" t="s">
        <v>5643</v>
      </c>
      <c r="Z2520" s="353">
        <v>365</v>
      </c>
      <c r="AA2520" s="353">
        <v>5</v>
      </c>
      <c r="AB2520" s="31">
        <f t="shared" ca="1" si="56"/>
        <v>0.24834372058045295</v>
      </c>
      <c r="AC2520" s="810"/>
      <c r="AD2520" s="811" t="s">
        <v>14900</v>
      </c>
      <c r="AE2520" s="940"/>
      <c r="AF2520" s="920">
        <f>IF(X2520=X2519,AF2519,0)+IF(ISNUMBER(I2520),IF(I2520&lt;1,I2520,I2520*VLOOKUP(J2520,Summary!$H$2:$I$9,2)),VLOOKUP(J2520,Summary!$J$2:$K$9,2)*IF(ISNUMBER(H2520),H2520,1))</f>
        <v>3.4872685185185187E-2</v>
      </c>
      <c r="AG2520" s="287">
        <v>2519</v>
      </c>
      <c r="AH2520" s="94"/>
      <c r="AI2520" s="94"/>
    </row>
    <row r="2521" spans="1:36" s="22" customFormat="1" ht="12" customHeight="1" x14ac:dyDescent="0.25">
      <c r="A2521" s="405" t="s">
        <v>7380</v>
      </c>
      <c r="B2521" s="406" t="s">
        <v>3234</v>
      </c>
      <c r="C2521" s="551">
        <v>0.1</v>
      </c>
      <c r="D2521" s="407" t="s">
        <v>15697</v>
      </c>
      <c r="E2521" s="315" t="s">
        <v>4462</v>
      </c>
      <c r="F2521" s="169">
        <v>38322</v>
      </c>
      <c r="G2521" s="170"/>
      <c r="H2521" s="170">
        <v>1</v>
      </c>
      <c r="I2521" s="746">
        <f>TIME(0,70,37)</f>
        <v>4.9039351851851848E-2</v>
      </c>
      <c r="J2521" s="899" t="s">
        <v>4706</v>
      </c>
      <c r="K2521" s="167" t="s">
        <v>4424</v>
      </c>
      <c r="L2521" s="167" t="s">
        <v>6354</v>
      </c>
      <c r="M2521" s="167"/>
      <c r="N2521" s="167"/>
      <c r="O2521" s="167"/>
      <c r="P2521" s="168" t="s">
        <v>8619</v>
      </c>
      <c r="Q2521" s="167" t="s">
        <v>3947</v>
      </c>
      <c r="R2521" s="172" t="s">
        <v>7380</v>
      </c>
      <c r="S2521" s="388"/>
      <c r="T2521" s="168" t="s">
        <v>2597</v>
      </c>
      <c r="U2521" s="168"/>
      <c r="V2521" s="168"/>
      <c r="W2521" s="315" t="s">
        <v>10145</v>
      </c>
      <c r="X2521" s="647" t="s">
        <v>12533</v>
      </c>
      <c r="Y2521" s="352" t="s">
        <v>5643</v>
      </c>
      <c r="Z2521" s="353">
        <v>676</v>
      </c>
      <c r="AA2521" s="353">
        <v>2</v>
      </c>
      <c r="AB2521" s="31">
        <f t="shared" ca="1" si="56"/>
        <v>0.54772908630159445</v>
      </c>
      <c r="AC2521" s="810"/>
      <c r="AD2521" s="811" t="s">
        <v>14900</v>
      </c>
      <c r="AE2521" s="940"/>
      <c r="AF2521" s="920">
        <f>IF(X2521=X2520,AF2520,0)+IF(ISNUMBER(I2521),IF(I2521&lt;1,I2521,I2521*VLOOKUP(J2521,Summary!$H$2:$I$9,2)),VLOOKUP(J2521,Summary!$J$2:$K$9,2)*IF(ISNUMBER(H2521),H2521,1))</f>
        <v>8.3912037037037035E-2</v>
      </c>
      <c r="AG2521" s="287">
        <v>2520</v>
      </c>
      <c r="AH2521" s="94"/>
      <c r="AI2521" s="94"/>
      <c r="AJ2521" s="3"/>
    </row>
    <row r="2522" spans="1:36" s="2" customFormat="1" ht="12" customHeight="1" x14ac:dyDescent="0.25">
      <c r="A2522" s="405" t="s">
        <v>7380</v>
      </c>
      <c r="B2522" s="406" t="s">
        <v>3234</v>
      </c>
      <c r="C2522" s="551">
        <v>0.2</v>
      </c>
      <c r="D2522" s="407" t="s">
        <v>15698</v>
      </c>
      <c r="E2522" s="315" t="s">
        <v>4245</v>
      </c>
      <c r="F2522" s="169">
        <v>38384</v>
      </c>
      <c r="G2522" s="170"/>
      <c r="H2522" s="170">
        <v>1</v>
      </c>
      <c r="I2522" s="746">
        <f>TIME(1,1,14)</f>
        <v>4.252314814814815E-2</v>
      </c>
      <c r="J2522" s="899" t="s">
        <v>4706</v>
      </c>
      <c r="K2522" s="167" t="s">
        <v>6352</v>
      </c>
      <c r="L2522" s="167" t="s">
        <v>6231</v>
      </c>
      <c r="M2522" s="167"/>
      <c r="N2522" s="167"/>
      <c r="O2522" s="167"/>
      <c r="P2522" s="168" t="s">
        <v>8620</v>
      </c>
      <c r="Q2522" s="167" t="s">
        <v>3947</v>
      </c>
      <c r="R2522" s="172" t="s">
        <v>7380</v>
      </c>
      <c r="S2522" s="388"/>
      <c r="T2522" s="168"/>
      <c r="U2522" s="168"/>
      <c r="V2522" s="168"/>
      <c r="W2522" s="312" t="s">
        <v>10132</v>
      </c>
      <c r="X2522" s="644" t="s">
        <v>12533</v>
      </c>
      <c r="Y2522" s="352" t="s">
        <v>5643</v>
      </c>
      <c r="Z2522" s="353">
        <v>29</v>
      </c>
      <c r="AA2522" s="353">
        <v>9</v>
      </c>
      <c r="AB2522" s="31">
        <f t="shared" ca="1" si="56"/>
        <v>0.6699118104894648</v>
      </c>
      <c r="AC2522" s="810"/>
      <c r="AD2522" s="811" t="s">
        <v>14901</v>
      </c>
      <c r="AE2522" s="940"/>
      <c r="AF2522" s="920">
        <f>IF(X2522=X2521,AF2521,0)+IF(ISNUMBER(I2522),IF(I2522&lt;1,I2522,I2522*VLOOKUP(J2522,Summary!$H$2:$I$9,2)),VLOOKUP(J2522,Summary!$J$2:$K$9,2)*IF(ISNUMBER(H2522),H2522,1))</f>
        <v>0.12643518518518518</v>
      </c>
      <c r="AG2522" s="287">
        <v>2521</v>
      </c>
      <c r="AH2522" s="94"/>
      <c r="AI2522" s="94"/>
    </row>
    <row r="2523" spans="1:36" s="57" customFormat="1" ht="12" customHeight="1" x14ac:dyDescent="0.25">
      <c r="A2523" s="405" t="s">
        <v>7380</v>
      </c>
      <c r="B2523" s="406" t="s">
        <v>3234</v>
      </c>
      <c r="C2523" s="551">
        <v>0.3</v>
      </c>
      <c r="D2523" s="407" t="s">
        <v>15699</v>
      </c>
      <c r="E2523" s="315" t="s">
        <v>4246</v>
      </c>
      <c r="F2523" s="169">
        <v>38412</v>
      </c>
      <c r="G2523" s="170"/>
      <c r="H2523" s="170">
        <v>1</v>
      </c>
      <c r="I2523" s="746">
        <f>TIME(0,72,33)</f>
        <v>5.0381944444444444E-2</v>
      </c>
      <c r="J2523" s="899" t="s">
        <v>4706</v>
      </c>
      <c r="K2523" s="167" t="s">
        <v>4425</v>
      </c>
      <c r="L2523" s="167" t="s">
        <v>6245</v>
      </c>
      <c r="M2523" s="167"/>
      <c r="N2523" s="167"/>
      <c r="O2523" s="167"/>
      <c r="P2523" s="168" t="s">
        <v>8621</v>
      </c>
      <c r="Q2523" s="167" t="s">
        <v>3947</v>
      </c>
      <c r="R2523" s="172" t="s">
        <v>7380</v>
      </c>
      <c r="S2523" s="388"/>
      <c r="T2523" s="168"/>
      <c r="U2523" s="168"/>
      <c r="V2523" s="168"/>
      <c r="W2523" s="315" t="s">
        <v>10135</v>
      </c>
      <c r="X2523" s="647" t="s">
        <v>12533</v>
      </c>
      <c r="Y2523" s="352" t="s">
        <v>5643</v>
      </c>
      <c r="Z2523" s="353">
        <v>160</v>
      </c>
      <c r="AA2523" s="353">
        <v>6.5</v>
      </c>
      <c r="AB2523" s="31">
        <f t="shared" ca="1" si="56"/>
        <v>2.7935690173373384E-2</v>
      </c>
      <c r="AC2523" s="810"/>
      <c r="AD2523" s="811" t="s">
        <v>14901</v>
      </c>
      <c r="AE2523" s="940"/>
      <c r="AF2523" s="920">
        <f>IF(X2523=X2522,AF2522,0)+IF(ISNUMBER(I2523),IF(I2523&lt;1,I2523,I2523*VLOOKUP(J2523,Summary!$H$2:$I$9,2)),VLOOKUP(J2523,Summary!$J$2:$K$9,2)*IF(ISNUMBER(H2523),H2523,1))</f>
        <v>0.17681712962962962</v>
      </c>
      <c r="AG2523" s="287">
        <v>2522</v>
      </c>
      <c r="AH2523" s="94"/>
      <c r="AI2523" s="94"/>
      <c r="AJ2523" s="22"/>
    </row>
    <row r="2524" spans="1:36" s="9" customFormat="1" ht="12" customHeight="1" x14ac:dyDescent="0.25">
      <c r="A2524" s="405" t="s">
        <v>7380</v>
      </c>
      <c r="B2524" s="406" t="s">
        <v>3234</v>
      </c>
      <c r="C2524" s="551">
        <v>0.4</v>
      </c>
      <c r="D2524" s="407" t="s">
        <v>15700</v>
      </c>
      <c r="E2524" s="315" t="s">
        <v>4247</v>
      </c>
      <c r="F2524" s="169">
        <v>38473</v>
      </c>
      <c r="G2524" s="170"/>
      <c r="H2524" s="170">
        <v>1</v>
      </c>
      <c r="I2524" s="746">
        <f>TIME(0,73,53)</f>
        <v>5.1307870370370379E-2</v>
      </c>
      <c r="J2524" s="899" t="s">
        <v>4706</v>
      </c>
      <c r="K2524" s="167" t="s">
        <v>4424</v>
      </c>
      <c r="L2524" s="167" t="s">
        <v>5460</v>
      </c>
      <c r="M2524" s="167"/>
      <c r="N2524" s="167"/>
      <c r="O2524" s="167"/>
      <c r="P2524" s="168" t="s">
        <v>8622</v>
      </c>
      <c r="Q2524" s="167" t="s">
        <v>3947</v>
      </c>
      <c r="R2524" s="172" t="s">
        <v>7380</v>
      </c>
      <c r="S2524" s="388"/>
      <c r="T2524" s="168" t="s">
        <v>2597</v>
      </c>
      <c r="U2524" s="168"/>
      <c r="V2524" s="168"/>
      <c r="W2524" s="312" t="s">
        <v>10142</v>
      </c>
      <c r="X2524" s="644" t="s">
        <v>12533</v>
      </c>
      <c r="Y2524" s="352" t="s">
        <v>5643</v>
      </c>
      <c r="Z2524" s="353">
        <v>546</v>
      </c>
      <c r="AA2524" s="353">
        <v>3.5</v>
      </c>
      <c r="AB2524" s="31">
        <f t="shared" ca="1" si="56"/>
        <v>0.70008234397313107</v>
      </c>
      <c r="AC2524" s="810"/>
      <c r="AD2524" s="811" t="s">
        <v>14901</v>
      </c>
      <c r="AE2524" s="940"/>
      <c r="AF2524" s="920">
        <f>IF(X2524=X2523,AF2523,0)+IF(ISNUMBER(I2524),IF(I2524&lt;1,I2524,I2524*VLOOKUP(J2524,Summary!$H$2:$I$9,2)),VLOOKUP(J2524,Summary!$J$2:$K$9,2)*IF(ISNUMBER(H2524),H2524,1))</f>
        <v>0.22812499999999999</v>
      </c>
      <c r="AG2524" s="287">
        <v>2523</v>
      </c>
      <c r="AH2524" s="94"/>
      <c r="AI2524" s="94"/>
      <c r="AJ2524" s="6"/>
    </row>
    <row r="2525" spans="1:36" s="22" customFormat="1" ht="12" customHeight="1" x14ac:dyDescent="0.25">
      <c r="A2525" s="408"/>
      <c r="B2525" s="408" t="s">
        <v>3234</v>
      </c>
      <c r="C2525" s="497">
        <v>25.1</v>
      </c>
      <c r="D2525" s="176" t="s">
        <v>3008</v>
      </c>
      <c r="E2525" s="313" t="s">
        <v>3009</v>
      </c>
      <c r="F2525" s="174">
        <v>39417</v>
      </c>
      <c r="G2525" s="174"/>
      <c r="H2525" s="176">
        <v>1</v>
      </c>
      <c r="I2525" s="176">
        <v>4</v>
      </c>
      <c r="J2525" s="900" t="s">
        <v>2755</v>
      </c>
      <c r="K2525" s="164" t="s">
        <v>5146</v>
      </c>
      <c r="L2525" s="164" t="s">
        <v>461</v>
      </c>
      <c r="M2525" s="164"/>
      <c r="N2525" s="164" t="s">
        <v>5146</v>
      </c>
      <c r="O2525" s="164"/>
      <c r="P2525" s="173" t="s">
        <v>6701</v>
      </c>
      <c r="Q2525" s="164" t="s">
        <v>3947</v>
      </c>
      <c r="R2525" s="177" t="s">
        <v>2723</v>
      </c>
      <c r="S2525" s="354"/>
      <c r="T2525" s="173" t="s">
        <v>2597</v>
      </c>
      <c r="U2525" s="173"/>
      <c r="V2525" s="173"/>
      <c r="W2525" s="313" t="s">
        <v>3009</v>
      </c>
      <c r="X2525" s="645" t="s">
        <v>12533</v>
      </c>
      <c r="Y2525" s="354"/>
      <c r="Z2525" s="176"/>
      <c r="AA2525" s="176"/>
      <c r="AB2525" s="32">
        <f t="shared" ca="1" si="56"/>
        <v>8.8060513474290669E-3</v>
      </c>
      <c r="AC2525" s="812"/>
      <c r="AD2525" s="763"/>
      <c r="AE2525" s="807"/>
      <c r="AF2525" s="921">
        <f>IF(X2525=X2524,AF2524,0)+IF(ISNUMBER(I2525),IF(I2525&lt;1,I2525,I2525*VLOOKUP(J2525,Summary!$H$2:$I$9,2)),VLOOKUP(J2525,Summary!$J$2:$K$9,2)*IF(ISNUMBER(H2525),H2525,1))</f>
        <v>0.23090277777777776</v>
      </c>
      <c r="AG2525" s="289">
        <v>2524</v>
      </c>
      <c r="AH2525" s="94"/>
      <c r="AI2525" s="94"/>
      <c r="AJ2525" s="6"/>
    </row>
    <row r="2526" spans="1:36" s="22" customFormat="1" ht="12" customHeight="1" x14ac:dyDescent="0.25">
      <c r="A2526" s="408"/>
      <c r="B2526" s="440" t="s">
        <v>2650</v>
      </c>
      <c r="C2526" s="408">
        <v>36</v>
      </c>
      <c r="D2526" s="176" t="s">
        <v>3478</v>
      </c>
      <c r="E2526" s="313" t="s">
        <v>3479</v>
      </c>
      <c r="F2526" s="174">
        <v>33817</v>
      </c>
      <c r="G2526" s="174"/>
      <c r="H2526" s="176">
        <v>1</v>
      </c>
      <c r="I2526" s="176">
        <v>2</v>
      </c>
      <c r="J2526" s="900" t="s">
        <v>2755</v>
      </c>
      <c r="K2526" s="164" t="s">
        <v>5564</v>
      </c>
      <c r="L2526" s="164" t="s">
        <v>3597</v>
      </c>
      <c r="M2526" s="164"/>
      <c r="N2526" s="164" t="s">
        <v>7375</v>
      </c>
      <c r="O2526" s="164"/>
      <c r="P2526" s="173" t="s">
        <v>461</v>
      </c>
      <c r="Q2526" s="164" t="s">
        <v>4062</v>
      </c>
      <c r="R2526" s="177" t="s">
        <v>4599</v>
      </c>
      <c r="S2526" s="354" t="s">
        <v>3480</v>
      </c>
      <c r="T2526" s="173" t="s">
        <v>1778</v>
      </c>
      <c r="U2526" s="173" t="s">
        <v>53</v>
      </c>
      <c r="V2526" s="173" t="s">
        <v>3481</v>
      </c>
      <c r="W2526" s="313" t="s">
        <v>3479</v>
      </c>
      <c r="X2526" s="645" t="s">
        <v>12533</v>
      </c>
      <c r="Y2526" s="354"/>
      <c r="Z2526" s="176"/>
      <c r="AA2526" s="176"/>
      <c r="AB2526" s="32">
        <f t="shared" ca="1" si="56"/>
        <v>0.16729594503637002</v>
      </c>
      <c r="AC2526" s="812"/>
      <c r="AD2526" s="763"/>
      <c r="AE2526" s="807"/>
      <c r="AF2526" s="921">
        <f>IF(X2526=X2525,AF2525,0)+IF(ISNUMBER(I2526),IF(I2526&lt;1,I2526,I2526*VLOOKUP(J2526,Summary!$H$2:$I$9,2)),VLOOKUP(J2526,Summary!$J$2:$K$9,2)*IF(ISNUMBER(H2526),H2526,1))</f>
        <v>0.23229166666666665</v>
      </c>
      <c r="AG2526" s="289">
        <v>2525</v>
      </c>
      <c r="AH2526" s="94"/>
      <c r="AI2526" s="94"/>
      <c r="AJ2526" s="29"/>
    </row>
    <row r="2527" spans="1:36" s="22" customFormat="1" ht="12" customHeight="1" x14ac:dyDescent="0.2">
      <c r="A2527" s="436"/>
      <c r="B2527" s="435" t="s">
        <v>3221</v>
      </c>
      <c r="C2527" s="436">
        <v>30</v>
      </c>
      <c r="D2527" s="185" t="s">
        <v>3318</v>
      </c>
      <c r="E2527" s="314" t="s">
        <v>6529</v>
      </c>
      <c r="F2527" s="183">
        <v>33817</v>
      </c>
      <c r="G2527" s="183"/>
      <c r="H2527" s="185">
        <v>1</v>
      </c>
      <c r="I2527" s="185">
        <v>8</v>
      </c>
      <c r="J2527" s="901" t="s">
        <v>1796</v>
      </c>
      <c r="K2527" s="163" t="s">
        <v>7375</v>
      </c>
      <c r="L2527" s="163" t="s">
        <v>6530</v>
      </c>
      <c r="M2527" s="163" t="s">
        <v>461</v>
      </c>
      <c r="N2527" s="163" t="s">
        <v>561</v>
      </c>
      <c r="O2527" s="163"/>
      <c r="P2527" s="182" t="s">
        <v>461</v>
      </c>
      <c r="Q2527" s="163" t="s">
        <v>4062</v>
      </c>
      <c r="R2527" s="186" t="s">
        <v>9922</v>
      </c>
      <c r="S2527" s="355" t="s">
        <v>53</v>
      </c>
      <c r="T2527" s="182" t="s">
        <v>6335</v>
      </c>
      <c r="U2527" s="182" t="s">
        <v>3321</v>
      </c>
      <c r="V2527" s="182"/>
      <c r="W2527" s="314" t="s">
        <v>6529</v>
      </c>
      <c r="X2527" s="646" t="s">
        <v>10144</v>
      </c>
      <c r="Y2527" s="355"/>
      <c r="Z2527" s="185">
        <v>1001</v>
      </c>
      <c r="AA2527" s="185">
        <v>4</v>
      </c>
      <c r="AB2527" s="33">
        <f t="shared" ca="1" si="56"/>
        <v>0.8035022790582812</v>
      </c>
      <c r="AC2527" s="813"/>
      <c r="AD2527" s="211" t="s">
        <v>16016</v>
      </c>
      <c r="AE2527" s="941" t="s">
        <v>12543</v>
      </c>
      <c r="AF2527" s="922">
        <f>IF(X2527=X2526,AF2526,0)+IF(ISNUMBER(I2527),IF(I2527&lt;1,I2527,I2527*VLOOKUP(J2527,Summary!$H$2:$I$9,2)),VLOOKUP(J2527,Summary!$J$2:$K$9,2)*IF(ISNUMBER(H2527),H2527,1))</f>
        <v>2.7777777777777779E-3</v>
      </c>
      <c r="AG2527" s="290">
        <v>2526</v>
      </c>
      <c r="AH2527" s="94"/>
      <c r="AI2527" s="94"/>
    </row>
    <row r="2528" spans="1:36" s="22" customFormat="1" ht="12" customHeight="1" x14ac:dyDescent="0.25">
      <c r="A2528" s="422"/>
      <c r="B2528" s="437" t="s">
        <v>3221</v>
      </c>
      <c r="C2528" s="422">
        <v>2.0499999999999998</v>
      </c>
      <c r="D2528" s="434" t="s">
        <v>6527</v>
      </c>
      <c r="E2528" s="324" t="s">
        <v>6528</v>
      </c>
      <c r="F2528" s="174">
        <v>1995</v>
      </c>
      <c r="G2528" s="174"/>
      <c r="H2528" s="176" t="s">
        <v>461</v>
      </c>
      <c r="I2528" s="176">
        <v>32</v>
      </c>
      <c r="J2528" s="900" t="s">
        <v>2755</v>
      </c>
      <c r="K2528" s="164" t="s">
        <v>6234</v>
      </c>
      <c r="L2528" s="164" t="s">
        <v>461</v>
      </c>
      <c r="M2528" s="164"/>
      <c r="N2528" s="164" t="s">
        <v>7001</v>
      </c>
      <c r="O2528" s="164"/>
      <c r="P2528" s="173" t="s">
        <v>6554</v>
      </c>
      <c r="Q2528" s="164" t="s">
        <v>6548</v>
      </c>
      <c r="R2528" s="177" t="s">
        <v>4598</v>
      </c>
      <c r="S2528" s="354" t="s">
        <v>53</v>
      </c>
      <c r="T2528" s="173" t="s">
        <v>6335</v>
      </c>
      <c r="U2528" s="173" t="s">
        <v>2601</v>
      </c>
      <c r="V2528" s="173"/>
      <c r="W2528" s="324" t="s">
        <v>6528</v>
      </c>
      <c r="X2528" s="656" t="s">
        <v>10144</v>
      </c>
      <c r="Y2528" s="354" t="s">
        <v>6868</v>
      </c>
      <c r="Z2528" s="176">
        <v>42</v>
      </c>
      <c r="AA2528" s="176">
        <v>4</v>
      </c>
      <c r="AB2528" s="32">
        <f t="shared" ca="1" si="56"/>
        <v>0.56713948250077151</v>
      </c>
      <c r="AC2528" s="812"/>
      <c r="AD2528" s="763"/>
      <c r="AE2528" s="951"/>
      <c r="AF2528" s="921">
        <f>IF(X2528=X2527,AF2527,0)+IF(ISNUMBER(I2528),IF(I2528&lt;1,I2528,I2528*VLOOKUP(J2528,Summary!$H$2:$I$9,2)),VLOOKUP(J2528,Summary!$J$2:$K$9,2)*IF(ISNUMBER(H2528),H2528,1))</f>
        <v>2.5000000000000001E-2</v>
      </c>
      <c r="AG2528" s="288">
        <v>2527</v>
      </c>
      <c r="AH2528" s="94"/>
      <c r="AI2528" s="94"/>
    </row>
    <row r="2529" spans="1:36" s="22" customFormat="1" ht="12" customHeight="1" x14ac:dyDescent="0.25">
      <c r="A2529" s="422"/>
      <c r="B2529" s="437" t="s">
        <v>3221</v>
      </c>
      <c r="C2529" s="422">
        <v>2.08</v>
      </c>
      <c r="D2529" s="434" t="s">
        <v>1225</v>
      </c>
      <c r="E2529" s="324" t="s">
        <v>1228</v>
      </c>
      <c r="F2529" s="174">
        <v>36220</v>
      </c>
      <c r="G2529" s="174"/>
      <c r="H2529" s="176">
        <v>1</v>
      </c>
      <c r="I2529" s="176">
        <v>14</v>
      </c>
      <c r="J2529" s="900" t="s">
        <v>2755</v>
      </c>
      <c r="K2529" s="164" t="s">
        <v>2499</v>
      </c>
      <c r="L2529" s="164" t="s">
        <v>461</v>
      </c>
      <c r="M2529" s="164"/>
      <c r="N2529" s="164" t="s">
        <v>6237</v>
      </c>
      <c r="O2529" s="164"/>
      <c r="P2529" s="173" t="s">
        <v>6561</v>
      </c>
      <c r="Q2529" s="164" t="s">
        <v>3953</v>
      </c>
      <c r="R2529" s="177" t="s">
        <v>2723</v>
      </c>
      <c r="S2529" s="354" t="s">
        <v>53</v>
      </c>
      <c r="T2529" s="173" t="s">
        <v>6335</v>
      </c>
      <c r="U2529" s="173"/>
      <c r="V2529" s="173"/>
      <c r="W2529" s="324" t="s">
        <v>1228</v>
      </c>
      <c r="X2529" s="656" t="s">
        <v>10144</v>
      </c>
      <c r="Y2529" s="354" t="s">
        <v>6868</v>
      </c>
      <c r="Z2529" s="176">
        <v>999</v>
      </c>
      <c r="AA2529" s="176"/>
      <c r="AB2529" s="32">
        <f t="shared" ca="1" si="56"/>
        <v>0.50969505013724992</v>
      </c>
      <c r="AC2529" s="812"/>
      <c r="AD2529" s="763"/>
      <c r="AE2529" s="951"/>
      <c r="AF2529" s="921">
        <f>IF(X2529=X2528,AF2528,0)+IF(ISNUMBER(I2529),IF(I2529&lt;1,I2529,I2529*VLOOKUP(J2529,Summary!$H$2:$I$9,2)),VLOOKUP(J2529,Summary!$J$2:$K$9,2)*IF(ISNUMBER(H2529),H2529,1))</f>
        <v>3.4722222222222224E-2</v>
      </c>
      <c r="AG2529" s="288">
        <v>2528</v>
      </c>
      <c r="AH2529" s="94"/>
      <c r="AI2529" s="94"/>
    </row>
    <row r="2530" spans="1:36" s="22" customFormat="1" ht="12" customHeight="1" x14ac:dyDescent="0.25">
      <c r="A2530" s="422"/>
      <c r="B2530" s="437" t="s">
        <v>3221</v>
      </c>
      <c r="C2530" s="422">
        <v>5.16</v>
      </c>
      <c r="D2530" s="176" t="s">
        <v>6888</v>
      </c>
      <c r="E2530" s="313" t="s">
        <v>6895</v>
      </c>
      <c r="F2530" s="174">
        <v>37681</v>
      </c>
      <c r="G2530" s="174"/>
      <c r="H2530" s="176">
        <v>1</v>
      </c>
      <c r="I2530" s="176">
        <v>13</v>
      </c>
      <c r="J2530" s="900" t="s">
        <v>2755</v>
      </c>
      <c r="K2530" s="164" t="s">
        <v>2308</v>
      </c>
      <c r="L2530" s="164" t="s">
        <v>461</v>
      </c>
      <c r="M2530" s="164"/>
      <c r="N2530" s="164" t="s">
        <v>4552</v>
      </c>
      <c r="O2530" s="164"/>
      <c r="P2530" s="173" t="s">
        <v>6556</v>
      </c>
      <c r="Q2530" s="164" t="s">
        <v>3947</v>
      </c>
      <c r="R2530" s="177" t="s">
        <v>2723</v>
      </c>
      <c r="S2530" s="354" t="s">
        <v>53</v>
      </c>
      <c r="T2530" s="173" t="s">
        <v>6335</v>
      </c>
      <c r="U2530" s="173"/>
      <c r="V2530" s="173"/>
      <c r="W2530" s="313" t="s">
        <v>6895</v>
      </c>
      <c r="X2530" s="645" t="s">
        <v>10144</v>
      </c>
      <c r="Y2530" s="354"/>
      <c r="Z2530" s="176"/>
      <c r="AA2530" s="176"/>
      <c r="AB2530" s="32">
        <f t="shared" ca="1" si="56"/>
        <v>3.5215474087265108E-2</v>
      </c>
      <c r="AC2530" s="812"/>
      <c r="AD2530" s="763"/>
      <c r="AE2530" s="807"/>
      <c r="AF2530" s="921">
        <f>IF(X2530=X2529,AF2529,0)+IF(ISNUMBER(I2530),IF(I2530&lt;1,I2530,I2530*VLOOKUP(J2530,Summary!$H$2:$I$9,2)),VLOOKUP(J2530,Summary!$J$2:$K$9,2)*IF(ISNUMBER(H2530),H2530,1))</f>
        <v>4.3750000000000004E-2</v>
      </c>
      <c r="AG2530" s="289">
        <v>2529</v>
      </c>
      <c r="AH2530" s="94"/>
      <c r="AI2530" s="94"/>
    </row>
    <row r="2531" spans="1:36" s="22" customFormat="1" ht="12" customHeight="1" x14ac:dyDescent="0.25">
      <c r="A2531" s="422"/>
      <c r="B2531" s="422" t="s">
        <v>3221</v>
      </c>
      <c r="C2531" s="422">
        <v>3.02</v>
      </c>
      <c r="D2531" s="176" t="s">
        <v>6525</v>
      </c>
      <c r="E2531" s="313" t="s">
        <v>6526</v>
      </c>
      <c r="F2531" s="176">
        <v>1996</v>
      </c>
      <c r="G2531" s="176"/>
      <c r="H2531" s="176" t="s">
        <v>461</v>
      </c>
      <c r="I2531" s="176"/>
      <c r="J2531" s="900" t="s">
        <v>2755</v>
      </c>
      <c r="K2531" s="164" t="s">
        <v>4551</v>
      </c>
      <c r="L2531" s="164" t="s">
        <v>461</v>
      </c>
      <c r="M2531" s="164"/>
      <c r="N2531" s="164" t="s">
        <v>333</v>
      </c>
      <c r="O2531" s="164"/>
      <c r="P2531" s="173" t="s">
        <v>3523</v>
      </c>
      <c r="Q2531" s="164" t="s">
        <v>6548</v>
      </c>
      <c r="R2531" s="177" t="s">
        <v>4598</v>
      </c>
      <c r="S2531" s="354" t="s">
        <v>53</v>
      </c>
      <c r="T2531" s="173" t="s">
        <v>6335</v>
      </c>
      <c r="U2531" s="173"/>
      <c r="V2531" s="173"/>
      <c r="W2531" s="313" t="s">
        <v>6526</v>
      </c>
      <c r="X2531" s="645" t="s">
        <v>10144</v>
      </c>
      <c r="Y2531" s="354" t="s">
        <v>6868</v>
      </c>
      <c r="Z2531" s="176">
        <v>18</v>
      </c>
      <c r="AA2531" s="176">
        <v>6.5</v>
      </c>
      <c r="AB2531" s="32">
        <f t="shared" ca="1" si="56"/>
        <v>0.55092881227936907</v>
      </c>
      <c r="AC2531" s="812"/>
      <c r="AD2531" s="763"/>
      <c r="AE2531" s="807"/>
      <c r="AF2531" s="921">
        <f>IF(X2531=X2530,AF2530,0)+IF(ISNUMBER(I2531),IF(I2531&lt;1,I2531,I2531*VLOOKUP(J2531,Summary!$H$2:$I$9,2)),VLOOKUP(J2531,Summary!$J$2:$K$9,2)*IF(ISNUMBER(H2531),H2531,1))</f>
        <v>6.1111111111111116E-2</v>
      </c>
      <c r="AG2531" s="289">
        <v>2530</v>
      </c>
      <c r="AH2531" s="94"/>
      <c r="AI2531" s="94"/>
    </row>
    <row r="2532" spans="1:36" s="22" customFormat="1" ht="12" customHeight="1" x14ac:dyDescent="0.25">
      <c r="A2532" s="408"/>
      <c r="B2532" s="408" t="s">
        <v>4457</v>
      </c>
      <c r="C2532" s="408">
        <v>6</v>
      </c>
      <c r="D2532" s="434" t="s">
        <v>395</v>
      </c>
      <c r="E2532" s="324" t="s">
        <v>396</v>
      </c>
      <c r="F2532" s="175">
        <v>38995</v>
      </c>
      <c r="G2532" s="175"/>
      <c r="H2532" s="176">
        <v>1</v>
      </c>
      <c r="I2532" s="176"/>
      <c r="J2532" s="900" t="s">
        <v>2755</v>
      </c>
      <c r="K2532" s="157" t="s">
        <v>543</v>
      </c>
      <c r="L2532" s="157"/>
      <c r="M2532" s="157"/>
      <c r="N2532" s="157"/>
      <c r="O2532" s="157"/>
      <c r="P2532" s="173" t="s">
        <v>397</v>
      </c>
      <c r="Q2532" s="157" t="s">
        <v>3954</v>
      </c>
      <c r="R2532" s="179" t="s">
        <v>3609</v>
      </c>
      <c r="S2532" s="354" t="s">
        <v>53</v>
      </c>
      <c r="T2532" s="173" t="s">
        <v>6335</v>
      </c>
      <c r="U2532" s="173"/>
      <c r="V2532" s="173"/>
      <c r="W2532" s="324" t="s">
        <v>396</v>
      </c>
      <c r="X2532" s="656" t="s">
        <v>10144</v>
      </c>
      <c r="Y2532" s="363"/>
      <c r="Z2532" s="364"/>
      <c r="AA2532" s="364"/>
      <c r="AB2532" s="32">
        <f t="shared" ca="1" si="56"/>
        <v>0.36141352897589718</v>
      </c>
      <c r="AC2532" s="812"/>
      <c r="AD2532" s="763"/>
      <c r="AE2532" s="951"/>
      <c r="AF2532" s="921">
        <f>IF(X2532=X2531,AF2531,0)+IF(ISNUMBER(I2532),IF(I2532&lt;1,I2532,I2532*VLOOKUP(J2532,Summary!$H$2:$I$9,2)),VLOOKUP(J2532,Summary!$J$2:$K$9,2)*IF(ISNUMBER(H2532),H2532,1))</f>
        <v>7.8472222222222221E-2</v>
      </c>
      <c r="AG2532" s="288">
        <v>2531</v>
      </c>
      <c r="AH2532" s="94"/>
      <c r="AI2532" s="94"/>
    </row>
    <row r="2533" spans="1:36" s="22" customFormat="1" ht="12" customHeight="1" x14ac:dyDescent="0.2">
      <c r="A2533" s="405" t="s">
        <v>3134</v>
      </c>
      <c r="B2533" s="406" t="s">
        <v>3221</v>
      </c>
      <c r="C2533" s="405">
        <v>1.1000000000000001</v>
      </c>
      <c r="D2533" s="407" t="s">
        <v>3135</v>
      </c>
      <c r="E2533" s="315" t="s">
        <v>5613</v>
      </c>
      <c r="F2533" s="169">
        <v>37469</v>
      </c>
      <c r="G2533" s="170"/>
      <c r="H2533" s="170">
        <v>1</v>
      </c>
      <c r="I2533" s="746">
        <f>TIME(1,13,54)</f>
        <v>5.1319444444444445E-2</v>
      </c>
      <c r="J2533" s="899" t="s">
        <v>4706</v>
      </c>
      <c r="K2533" s="167" t="s">
        <v>1088</v>
      </c>
      <c r="L2533" s="167" t="s">
        <v>7375</v>
      </c>
      <c r="M2533" s="167"/>
      <c r="N2533" s="167"/>
      <c r="O2533" s="167" t="s">
        <v>2909</v>
      </c>
      <c r="P2533" s="168" t="s">
        <v>9007</v>
      </c>
      <c r="Q2533" s="167" t="s">
        <v>3947</v>
      </c>
      <c r="R2533" s="172" t="s">
        <v>3156</v>
      </c>
      <c r="S2533" s="388" t="s">
        <v>53</v>
      </c>
      <c r="T2533" s="168"/>
      <c r="U2533" s="168"/>
      <c r="V2533" s="168"/>
      <c r="W2533" s="312" t="s">
        <v>10144</v>
      </c>
      <c r="X2533" s="644" t="s">
        <v>10144</v>
      </c>
      <c r="Y2533" s="352" t="s">
        <v>5398</v>
      </c>
      <c r="Z2533" s="353">
        <v>661</v>
      </c>
      <c r="AA2533" s="353">
        <v>2.5</v>
      </c>
      <c r="AB2533" s="31">
        <f t="shared" ca="1" si="56"/>
        <v>7.6297846284069326E-2</v>
      </c>
      <c r="AC2533" s="810"/>
      <c r="AD2533" s="811" t="s">
        <v>15828</v>
      </c>
      <c r="AE2533" s="940"/>
      <c r="AF2533" s="920">
        <f>IF(X2533=X2532,AF2532,0)+IF(ISNUMBER(I2533),IF(I2533&lt;1,I2533,I2533*VLOOKUP(J2533,Summary!$H$2:$I$9,2)),VLOOKUP(J2533,Summary!$J$2:$K$9,2)*IF(ISNUMBER(H2533),H2533,1))</f>
        <v>0.12979166666666667</v>
      </c>
      <c r="AG2533" s="287">
        <v>2532</v>
      </c>
      <c r="AH2533" s="94"/>
      <c r="AI2533" s="94"/>
    </row>
    <row r="2534" spans="1:36" s="22" customFormat="1" ht="12" customHeight="1" x14ac:dyDescent="0.2">
      <c r="A2534" s="405" t="s">
        <v>3134</v>
      </c>
      <c r="B2534" s="406" t="s">
        <v>3221</v>
      </c>
      <c r="C2534" s="405">
        <v>1.2</v>
      </c>
      <c r="D2534" s="407" t="s">
        <v>5619</v>
      </c>
      <c r="E2534" s="315" t="s">
        <v>6359</v>
      </c>
      <c r="F2534" s="169">
        <v>37469</v>
      </c>
      <c r="G2534" s="170"/>
      <c r="H2534" s="170">
        <v>1</v>
      </c>
      <c r="I2534" s="746">
        <f>TIME(1,13,18)</f>
        <v>5.0902777777777776E-2</v>
      </c>
      <c r="J2534" s="899" t="s">
        <v>4706</v>
      </c>
      <c r="K2534" s="167" t="s">
        <v>1884</v>
      </c>
      <c r="L2534" s="167" t="s">
        <v>7375</v>
      </c>
      <c r="M2534" s="167"/>
      <c r="N2534" s="167"/>
      <c r="O2534" s="167" t="s">
        <v>2909</v>
      </c>
      <c r="P2534" s="168" t="s">
        <v>9008</v>
      </c>
      <c r="Q2534" s="167" t="s">
        <v>3947</v>
      </c>
      <c r="R2534" s="172" t="s">
        <v>3156</v>
      </c>
      <c r="S2534" s="388" t="s">
        <v>53</v>
      </c>
      <c r="T2534" s="168"/>
      <c r="U2534" s="168"/>
      <c r="V2534" s="168"/>
      <c r="W2534" s="312" t="s">
        <v>10141</v>
      </c>
      <c r="X2534" s="644" t="s">
        <v>10144</v>
      </c>
      <c r="Y2534" s="352" t="s">
        <v>5643</v>
      </c>
      <c r="Z2534" s="353">
        <v>531</v>
      </c>
      <c r="AA2534" s="353">
        <v>4</v>
      </c>
      <c r="AB2534" s="31">
        <f t="shared" ca="1" si="56"/>
        <v>0.56296750891321234</v>
      </c>
      <c r="AC2534" s="810"/>
      <c r="AD2534" s="811" t="s">
        <v>15828</v>
      </c>
      <c r="AE2534" s="940"/>
      <c r="AF2534" s="920">
        <f>IF(X2534=X2533,AF2533,0)+IF(ISNUMBER(I2534),IF(I2534&lt;1,I2534,I2534*VLOOKUP(J2534,Summary!$H$2:$I$9,2)),VLOOKUP(J2534,Summary!$J$2:$K$9,2)*IF(ISNUMBER(H2534),H2534,1))</f>
        <v>0.18069444444444444</v>
      </c>
      <c r="AG2534" s="287">
        <v>2533</v>
      </c>
      <c r="AH2534" s="94"/>
      <c r="AI2534" s="94"/>
    </row>
    <row r="2535" spans="1:36" s="22" customFormat="1" ht="12" customHeight="1" x14ac:dyDescent="0.2">
      <c r="A2535" s="405" t="s">
        <v>3134</v>
      </c>
      <c r="B2535" s="406" t="s">
        <v>3221</v>
      </c>
      <c r="C2535" s="405">
        <v>1.3</v>
      </c>
      <c r="D2535" s="407" t="s">
        <v>5620</v>
      </c>
      <c r="E2535" s="315" t="s">
        <v>6360</v>
      </c>
      <c r="F2535" s="169">
        <v>37500</v>
      </c>
      <c r="G2535" s="170"/>
      <c r="H2535" s="170">
        <v>1</v>
      </c>
      <c r="I2535" s="746">
        <f>TIME(0,59,12)</f>
        <v>4.1111111111111112E-2</v>
      </c>
      <c r="J2535" s="899" t="s">
        <v>4706</v>
      </c>
      <c r="K2535" s="167" t="s">
        <v>1746</v>
      </c>
      <c r="L2535" s="167" t="s">
        <v>7375</v>
      </c>
      <c r="M2535" s="167"/>
      <c r="N2535" s="167"/>
      <c r="O2535" s="167" t="s">
        <v>2909</v>
      </c>
      <c r="P2535" s="168" t="s">
        <v>9009</v>
      </c>
      <c r="Q2535" s="167" t="s">
        <v>3947</v>
      </c>
      <c r="R2535" s="172" t="s">
        <v>3156</v>
      </c>
      <c r="S2535" s="388" t="s">
        <v>53</v>
      </c>
      <c r="T2535" s="168"/>
      <c r="U2535" s="168"/>
      <c r="V2535" s="168"/>
      <c r="W2535" s="312" t="s">
        <v>10137</v>
      </c>
      <c r="X2535" s="644" t="s">
        <v>10144</v>
      </c>
      <c r="Y2535" s="352" t="s">
        <v>5643</v>
      </c>
      <c r="Z2535" s="353">
        <v>260</v>
      </c>
      <c r="AA2535" s="353">
        <v>5.5</v>
      </c>
      <c r="AB2535" s="31">
        <f t="shared" ca="1" si="56"/>
        <v>0.44290017920340519</v>
      </c>
      <c r="AC2535" s="810"/>
      <c r="AD2535" s="811" t="s">
        <v>15828</v>
      </c>
      <c r="AE2535" s="940"/>
      <c r="AF2535" s="920">
        <f>IF(X2535=X2534,AF2534,0)+IF(ISNUMBER(I2535),IF(I2535&lt;1,I2535,I2535*VLOOKUP(J2535,Summary!$H$2:$I$9,2)),VLOOKUP(J2535,Summary!$J$2:$K$9,2)*IF(ISNUMBER(H2535),H2535,1))</f>
        <v>0.22180555555555553</v>
      </c>
      <c r="AG2535" s="287">
        <v>2534</v>
      </c>
      <c r="AH2535" s="94"/>
      <c r="AI2535" s="94"/>
    </row>
    <row r="2536" spans="1:36" s="22" customFormat="1" ht="12" customHeight="1" x14ac:dyDescent="0.2">
      <c r="A2536" s="405" t="s">
        <v>3134</v>
      </c>
      <c r="B2536" s="406" t="s">
        <v>3221</v>
      </c>
      <c r="C2536" s="405">
        <v>1.4</v>
      </c>
      <c r="D2536" s="407" t="s">
        <v>5621</v>
      </c>
      <c r="E2536" s="315" t="s">
        <v>6361</v>
      </c>
      <c r="F2536" s="169">
        <v>37530</v>
      </c>
      <c r="G2536" s="170"/>
      <c r="H2536" s="170">
        <v>1</v>
      </c>
      <c r="I2536" s="746">
        <f>TIME(0,56,48)</f>
        <v>3.9444444444444442E-2</v>
      </c>
      <c r="J2536" s="899" t="s">
        <v>4706</v>
      </c>
      <c r="K2536" s="167" t="s">
        <v>6410</v>
      </c>
      <c r="L2536" s="167" t="s">
        <v>7375</v>
      </c>
      <c r="M2536" s="167"/>
      <c r="N2536" s="167"/>
      <c r="O2536" s="167" t="s">
        <v>2909</v>
      </c>
      <c r="P2536" s="168" t="s">
        <v>9010</v>
      </c>
      <c r="Q2536" s="167" t="s">
        <v>3947</v>
      </c>
      <c r="R2536" s="172" t="s">
        <v>3156</v>
      </c>
      <c r="S2536" s="388" t="s">
        <v>53</v>
      </c>
      <c r="T2536" s="168"/>
      <c r="U2536" s="168"/>
      <c r="V2536" s="168"/>
      <c r="W2536" s="312" t="s">
        <v>10143</v>
      </c>
      <c r="X2536" s="644" t="s">
        <v>10144</v>
      </c>
      <c r="Y2536" s="352" t="s">
        <v>5643</v>
      </c>
      <c r="Z2536" s="353">
        <v>646</v>
      </c>
      <c r="AA2536" s="353">
        <v>3</v>
      </c>
      <c r="AB2536" s="31">
        <f t="shared" ca="1" si="56"/>
        <v>0.67407629594965746</v>
      </c>
      <c r="AC2536" s="810"/>
      <c r="AD2536" s="811" t="s">
        <v>15827</v>
      </c>
      <c r="AE2536" s="940"/>
      <c r="AF2536" s="920">
        <f>IF(X2536=X2535,AF2535,0)+IF(ISNUMBER(I2536),IF(I2536&lt;1,I2536,I2536*VLOOKUP(J2536,Summary!$H$2:$I$9,2)),VLOOKUP(J2536,Summary!$J$2:$K$9,2)*IF(ISNUMBER(H2536),H2536,1))</f>
        <v>0.26124999999999998</v>
      </c>
      <c r="AG2536" s="287">
        <v>2535</v>
      </c>
      <c r="AH2536" s="94"/>
      <c r="AI2536" s="94"/>
    </row>
    <row r="2537" spans="1:36" s="22" customFormat="1" ht="12" customHeight="1" x14ac:dyDescent="0.2">
      <c r="A2537" s="405" t="s">
        <v>3134</v>
      </c>
      <c r="B2537" s="406" t="s">
        <v>3221</v>
      </c>
      <c r="C2537" s="405">
        <v>1.5</v>
      </c>
      <c r="D2537" s="407" t="s">
        <v>5622</v>
      </c>
      <c r="E2537" s="315" t="s">
        <v>6362</v>
      </c>
      <c r="F2537" s="169">
        <v>37561</v>
      </c>
      <c r="G2537" s="170"/>
      <c r="H2537" s="170">
        <v>1</v>
      </c>
      <c r="I2537" s="746">
        <f>TIME(0,67,21)</f>
        <v>4.6770833333333324E-2</v>
      </c>
      <c r="J2537" s="899" t="s">
        <v>4706</v>
      </c>
      <c r="K2537" s="167" t="s">
        <v>4551</v>
      </c>
      <c r="L2537" s="167" t="s">
        <v>7375</v>
      </c>
      <c r="M2537" s="167"/>
      <c r="N2537" s="167"/>
      <c r="O2537" s="167" t="s">
        <v>2909</v>
      </c>
      <c r="P2537" s="168" t="s">
        <v>9011</v>
      </c>
      <c r="Q2537" s="167" t="s">
        <v>3947</v>
      </c>
      <c r="R2537" s="172" t="s">
        <v>3156</v>
      </c>
      <c r="S2537" s="388" t="s">
        <v>53</v>
      </c>
      <c r="T2537" s="168"/>
      <c r="U2537" s="168"/>
      <c r="V2537" s="168"/>
      <c r="W2537" s="315" t="s">
        <v>10134</v>
      </c>
      <c r="X2537" s="647" t="s">
        <v>10144</v>
      </c>
      <c r="Y2537" s="352" t="s">
        <v>5643</v>
      </c>
      <c r="Z2537" s="353">
        <v>129</v>
      </c>
      <c r="AA2537" s="353">
        <v>7</v>
      </c>
      <c r="AB2537" s="31">
        <f t="shared" ca="1" si="56"/>
        <v>0.72740664725039761</v>
      </c>
      <c r="AC2537" s="810"/>
      <c r="AD2537" s="811" t="s">
        <v>15829</v>
      </c>
      <c r="AE2537" s="940"/>
      <c r="AF2537" s="920">
        <f>IF(X2537=X2536,AF2536,0)+IF(ISNUMBER(I2537),IF(I2537&lt;1,I2537,I2537*VLOOKUP(J2537,Summary!$H$2:$I$9,2)),VLOOKUP(J2537,Summary!$J$2:$K$9,2)*IF(ISNUMBER(H2537),H2537,1))</f>
        <v>0.3080208333333333</v>
      </c>
      <c r="AG2537" s="287">
        <v>2536</v>
      </c>
      <c r="AH2537" s="94"/>
      <c r="AI2537" s="94"/>
    </row>
    <row r="2538" spans="1:36" s="22" customFormat="1" ht="12" customHeight="1" x14ac:dyDescent="0.25">
      <c r="A2538" s="422"/>
      <c r="B2538" s="437" t="s">
        <v>4457</v>
      </c>
      <c r="C2538" s="422">
        <v>5.0599999999999996</v>
      </c>
      <c r="D2538" s="434" t="s">
        <v>6884</v>
      </c>
      <c r="E2538" s="324" t="s">
        <v>6891</v>
      </c>
      <c r="F2538" s="174">
        <v>37681</v>
      </c>
      <c r="G2538" s="174"/>
      <c r="H2538" s="176">
        <v>1</v>
      </c>
      <c r="I2538" s="176">
        <v>10</v>
      </c>
      <c r="J2538" s="900" t="s">
        <v>2755</v>
      </c>
      <c r="K2538" s="164" t="s">
        <v>5658</v>
      </c>
      <c r="L2538" s="164" t="s">
        <v>461</v>
      </c>
      <c r="M2538" s="164"/>
      <c r="N2538" s="164" t="s">
        <v>4552</v>
      </c>
      <c r="O2538" s="164"/>
      <c r="P2538" s="173" t="s">
        <v>6556</v>
      </c>
      <c r="Q2538" s="164" t="s">
        <v>3947</v>
      </c>
      <c r="R2538" s="177" t="s">
        <v>2723</v>
      </c>
      <c r="S2538" s="354"/>
      <c r="T2538" s="173" t="s">
        <v>6335</v>
      </c>
      <c r="U2538" s="173"/>
      <c r="V2538" s="173"/>
      <c r="W2538" s="324" t="s">
        <v>6891</v>
      </c>
      <c r="X2538" s="656" t="s">
        <v>10144</v>
      </c>
      <c r="Y2538" s="363"/>
      <c r="Z2538" s="364"/>
      <c r="AA2538" s="364"/>
      <c r="AB2538" s="32">
        <f t="shared" ca="1" si="56"/>
        <v>0.79099504896298134</v>
      </c>
      <c r="AC2538" s="812"/>
      <c r="AD2538" s="763"/>
      <c r="AE2538" s="951"/>
      <c r="AF2538" s="921">
        <f>IF(X2538=X2537,AF2537,0)+IF(ISNUMBER(I2538),IF(I2538&lt;1,I2538,I2538*VLOOKUP(J2538,Summary!$H$2:$I$9,2)),VLOOKUP(J2538,Summary!$J$2:$K$9,2)*IF(ISNUMBER(H2538),H2538,1))</f>
        <v>0.31496527777777772</v>
      </c>
      <c r="AG2538" s="288">
        <v>2537</v>
      </c>
      <c r="AH2538" s="94"/>
      <c r="AI2538" s="94"/>
    </row>
    <row r="2539" spans="1:36" s="2" customFormat="1" ht="12" customHeight="1" x14ac:dyDescent="0.25">
      <c r="A2539" s="405" t="s">
        <v>5614</v>
      </c>
      <c r="B2539" s="405" t="s">
        <v>3221</v>
      </c>
      <c r="C2539" s="405">
        <v>2.1</v>
      </c>
      <c r="D2539" s="407" t="s">
        <v>5615</v>
      </c>
      <c r="E2539" s="315" t="s">
        <v>6363</v>
      </c>
      <c r="F2539" s="169">
        <v>38749</v>
      </c>
      <c r="G2539" s="196"/>
      <c r="H2539" s="170">
        <v>1</v>
      </c>
      <c r="I2539" s="746">
        <f>TIME(0,59,43)</f>
        <v>4.1469907407407407E-2</v>
      </c>
      <c r="J2539" s="899" t="s">
        <v>4706</v>
      </c>
      <c r="K2539" s="167" t="s">
        <v>1746</v>
      </c>
      <c r="L2539" s="167" t="s">
        <v>6231</v>
      </c>
      <c r="M2539" s="167"/>
      <c r="N2539" s="167"/>
      <c r="O2539" s="167" t="s">
        <v>6367</v>
      </c>
      <c r="P2539" s="168" t="s">
        <v>9012</v>
      </c>
      <c r="Q2539" s="167" t="s">
        <v>3947</v>
      </c>
      <c r="R2539" s="172" t="s">
        <v>3156</v>
      </c>
      <c r="S2539" s="388" t="s">
        <v>53</v>
      </c>
      <c r="T2539" s="168"/>
      <c r="U2539" s="168"/>
      <c r="V2539" s="168"/>
      <c r="W2539" s="312" t="s">
        <v>10138</v>
      </c>
      <c r="X2539" s="644" t="s">
        <v>12492</v>
      </c>
      <c r="Y2539" s="352" t="s">
        <v>5643</v>
      </c>
      <c r="Z2539" s="353">
        <v>325</v>
      </c>
      <c r="AA2539" s="353">
        <v>5</v>
      </c>
      <c r="AB2539" s="31">
        <f t="shared" ca="1" si="56"/>
        <v>0.73818800195179002</v>
      </c>
      <c r="AC2539" s="810"/>
      <c r="AD2539" s="825" t="s">
        <v>14581</v>
      </c>
      <c r="AE2539" s="940"/>
      <c r="AF2539" s="920">
        <f>IF(X2539=X2538,AF2538,0)+IF(ISNUMBER(I2539),IF(I2539&lt;1,I2539,I2539*VLOOKUP(J2539,Summary!$H$2:$I$9,2)),VLOOKUP(J2539,Summary!$J$2:$K$9,2)*IF(ISNUMBER(H2539),H2539,1))</f>
        <v>4.1469907407407407E-2</v>
      </c>
      <c r="AG2539" s="287">
        <v>2538</v>
      </c>
      <c r="AH2539" s="94"/>
      <c r="AI2539" s="94"/>
      <c r="AJ2539" s="3"/>
    </row>
    <row r="2540" spans="1:36" s="22" customFormat="1" ht="12" customHeight="1" x14ac:dyDescent="0.2">
      <c r="A2540" s="405" t="s">
        <v>5614</v>
      </c>
      <c r="B2540" s="406" t="s">
        <v>3221</v>
      </c>
      <c r="C2540" s="405">
        <v>2.2000000000000002</v>
      </c>
      <c r="D2540" s="407" t="s">
        <v>5616</v>
      </c>
      <c r="E2540" s="315" t="s">
        <v>6364</v>
      </c>
      <c r="F2540" s="169">
        <v>38749</v>
      </c>
      <c r="G2540" s="196"/>
      <c r="H2540" s="170">
        <v>1</v>
      </c>
      <c r="I2540" s="746">
        <f>TIME(0,59,18)</f>
        <v>4.1180555555555554E-2</v>
      </c>
      <c r="J2540" s="899" t="s">
        <v>4706</v>
      </c>
      <c r="K2540" s="167" t="s">
        <v>1746</v>
      </c>
      <c r="L2540" s="167" t="s">
        <v>6231</v>
      </c>
      <c r="M2540" s="167"/>
      <c r="N2540" s="167"/>
      <c r="O2540" s="167" t="s">
        <v>6367</v>
      </c>
      <c r="P2540" s="168" t="s">
        <v>9013</v>
      </c>
      <c r="Q2540" s="167" t="s">
        <v>3947</v>
      </c>
      <c r="R2540" s="172" t="s">
        <v>3156</v>
      </c>
      <c r="S2540" s="388" t="s">
        <v>53</v>
      </c>
      <c r="T2540" s="168"/>
      <c r="U2540" s="168"/>
      <c r="V2540" s="168"/>
      <c r="W2540" s="312" t="s">
        <v>10136</v>
      </c>
      <c r="X2540" s="644" t="s">
        <v>12492</v>
      </c>
      <c r="Y2540" s="352" t="s">
        <v>5643</v>
      </c>
      <c r="Z2540" s="353">
        <v>162</v>
      </c>
      <c r="AA2540" s="353">
        <v>6.5</v>
      </c>
      <c r="AB2540" s="31">
        <f t="shared" ca="1" si="56"/>
        <v>0.26534196470319737</v>
      </c>
      <c r="AC2540" s="810"/>
      <c r="AD2540" s="825" t="s">
        <v>14581</v>
      </c>
      <c r="AE2540" s="940"/>
      <c r="AF2540" s="920">
        <f>IF(X2540=X2539,AF2539,0)+IF(ISNUMBER(I2540),IF(I2540&lt;1,I2540,I2540*VLOOKUP(J2540,Summary!$H$2:$I$9,2)),VLOOKUP(J2540,Summary!$J$2:$K$9,2)*IF(ISNUMBER(H2540),H2540,1))</f>
        <v>8.2650462962962967E-2</v>
      </c>
      <c r="AG2540" s="287">
        <v>2539</v>
      </c>
      <c r="AH2540" s="94"/>
      <c r="AI2540" s="94"/>
    </row>
    <row r="2541" spans="1:36" s="22" customFormat="1" ht="12" customHeight="1" x14ac:dyDescent="0.2">
      <c r="A2541" s="405" t="s">
        <v>5614</v>
      </c>
      <c r="B2541" s="406" t="s">
        <v>3221</v>
      </c>
      <c r="C2541" s="405">
        <v>2.2999999999999998</v>
      </c>
      <c r="D2541" s="407" t="s">
        <v>5617</v>
      </c>
      <c r="E2541" s="315" t="s">
        <v>6365</v>
      </c>
      <c r="F2541" s="169">
        <v>38777</v>
      </c>
      <c r="G2541" s="196"/>
      <c r="H2541" s="170">
        <v>1</v>
      </c>
      <c r="I2541" s="746">
        <f>TIME(0,63,17)</f>
        <v>4.3946759259259255E-2</v>
      </c>
      <c r="J2541" s="899" t="s">
        <v>4706</v>
      </c>
      <c r="K2541" s="167" t="s">
        <v>1746</v>
      </c>
      <c r="L2541" s="167" t="s">
        <v>6231</v>
      </c>
      <c r="M2541" s="167"/>
      <c r="N2541" s="167"/>
      <c r="O2541" s="167" t="s">
        <v>6367</v>
      </c>
      <c r="P2541" s="168" t="s">
        <v>9014</v>
      </c>
      <c r="Q2541" s="167" t="s">
        <v>3947</v>
      </c>
      <c r="R2541" s="172" t="s">
        <v>3156</v>
      </c>
      <c r="S2541" s="388" t="s">
        <v>53</v>
      </c>
      <c r="T2541" s="168"/>
      <c r="U2541" s="168"/>
      <c r="V2541" s="168"/>
      <c r="W2541" s="312" t="s">
        <v>10140</v>
      </c>
      <c r="X2541" s="644" t="s">
        <v>12492</v>
      </c>
      <c r="Y2541" s="352" t="s">
        <v>5643</v>
      </c>
      <c r="Z2541" s="353">
        <v>429</v>
      </c>
      <c r="AA2541" s="353">
        <v>4.5</v>
      </c>
      <c r="AB2541" s="31">
        <f t="shared" ca="1" si="56"/>
        <v>0.26544478362924795</v>
      </c>
      <c r="AC2541" s="810"/>
      <c r="AD2541" s="825" t="s">
        <v>14902</v>
      </c>
      <c r="AE2541" s="940"/>
      <c r="AF2541" s="920">
        <f>IF(X2541=X2540,AF2540,0)+IF(ISNUMBER(I2541),IF(I2541&lt;1,I2541,I2541*VLOOKUP(J2541,Summary!$H$2:$I$9,2)),VLOOKUP(J2541,Summary!$J$2:$K$9,2)*IF(ISNUMBER(H2541),H2541,1))</f>
        <v>0.12659722222222222</v>
      </c>
      <c r="AG2541" s="287">
        <v>2540</v>
      </c>
      <c r="AH2541" s="94"/>
      <c r="AI2541" s="94"/>
    </row>
    <row r="2542" spans="1:36" s="22" customFormat="1" ht="12" customHeight="1" x14ac:dyDescent="0.2">
      <c r="A2542" s="405" t="s">
        <v>5614</v>
      </c>
      <c r="B2542" s="406" t="s">
        <v>3221</v>
      </c>
      <c r="C2542" s="405">
        <v>2.4</v>
      </c>
      <c r="D2542" s="407" t="s">
        <v>5618</v>
      </c>
      <c r="E2542" s="315" t="s">
        <v>6366</v>
      </c>
      <c r="F2542" s="169">
        <v>38808</v>
      </c>
      <c r="G2542" s="196"/>
      <c r="H2542" s="170">
        <v>1</v>
      </c>
      <c r="I2542" s="746">
        <f>TIME(0,63,38)</f>
        <v>4.4189814814814814E-2</v>
      </c>
      <c r="J2542" s="899" t="s">
        <v>4706</v>
      </c>
      <c r="K2542" s="167" t="s">
        <v>1746</v>
      </c>
      <c r="L2542" s="167" t="s">
        <v>6231</v>
      </c>
      <c r="M2542" s="167"/>
      <c r="N2542" s="167"/>
      <c r="O2542" s="167" t="s">
        <v>6367</v>
      </c>
      <c r="P2542" s="168" t="s">
        <v>9015</v>
      </c>
      <c r="Q2542" s="167" t="s">
        <v>3947</v>
      </c>
      <c r="R2542" s="172" t="s">
        <v>3156</v>
      </c>
      <c r="S2542" s="388" t="s">
        <v>53</v>
      </c>
      <c r="T2542" s="168"/>
      <c r="U2542" s="168"/>
      <c r="V2542" s="168"/>
      <c r="W2542" s="312" t="s">
        <v>4149</v>
      </c>
      <c r="X2542" s="644" t="s">
        <v>12492</v>
      </c>
      <c r="Y2542" s="352" t="s">
        <v>5643</v>
      </c>
      <c r="Z2542" s="353">
        <v>341</v>
      </c>
      <c r="AA2542" s="353">
        <v>5</v>
      </c>
      <c r="AB2542" s="31">
        <f t="shared" ca="1" si="56"/>
        <v>0.81943018218040886</v>
      </c>
      <c r="AC2542" s="810"/>
      <c r="AD2542" s="825" t="s">
        <v>14903</v>
      </c>
      <c r="AE2542" s="940"/>
      <c r="AF2542" s="920">
        <f>IF(X2542=X2541,AF2541,0)+IF(ISNUMBER(I2542),IF(I2542&lt;1,I2542,I2542*VLOOKUP(J2542,Summary!$H$2:$I$9,2)),VLOOKUP(J2542,Summary!$J$2:$K$9,2)*IF(ISNUMBER(H2542),H2542,1))</f>
        <v>0.17078703703703704</v>
      </c>
      <c r="AG2542" s="287">
        <v>2541</v>
      </c>
      <c r="AH2542" s="94"/>
      <c r="AI2542" s="94"/>
    </row>
    <row r="2543" spans="1:36" s="43" customFormat="1" ht="12" customHeight="1" x14ac:dyDescent="0.25">
      <c r="A2543" s="541" t="s">
        <v>5558</v>
      </c>
      <c r="B2543" s="541">
        <v>7</v>
      </c>
      <c r="C2543" s="545">
        <v>1.02</v>
      </c>
      <c r="D2543" s="407" t="s">
        <v>11430</v>
      </c>
      <c r="E2543" s="315" t="s">
        <v>11423</v>
      </c>
      <c r="F2543" s="169">
        <v>35916</v>
      </c>
      <c r="G2543" s="170"/>
      <c r="H2543" s="170">
        <v>1</v>
      </c>
      <c r="I2543" s="746">
        <f>TIME(0,55,31)</f>
        <v>3.8553240740740742E-2</v>
      </c>
      <c r="J2543" s="899" t="s">
        <v>4706</v>
      </c>
      <c r="K2543" s="167" t="s">
        <v>4964</v>
      </c>
      <c r="L2543" s="167" t="s">
        <v>4549</v>
      </c>
      <c r="M2543" s="167"/>
      <c r="N2543" s="167"/>
      <c r="O2543" s="167" t="s">
        <v>4640</v>
      </c>
      <c r="P2543" s="168" t="s">
        <v>461</v>
      </c>
      <c r="Q2543" s="167" t="s">
        <v>603</v>
      </c>
      <c r="R2543" s="172" t="s">
        <v>5481</v>
      </c>
      <c r="S2543" s="388" t="s">
        <v>2542</v>
      </c>
      <c r="T2543" s="168"/>
      <c r="U2543" s="168"/>
      <c r="V2543" s="168"/>
      <c r="W2543" s="315" t="s">
        <v>11423</v>
      </c>
      <c r="X2543" s="647" t="s">
        <v>12518</v>
      </c>
      <c r="Y2543" s="352"/>
      <c r="Z2543" s="353">
        <v>559</v>
      </c>
      <c r="AA2543" s="353">
        <v>3.5</v>
      </c>
      <c r="AB2543" s="31">
        <f t="shared" ca="1" si="56"/>
        <v>0.4101482312462954</v>
      </c>
      <c r="AC2543" s="810"/>
      <c r="AD2543" s="811"/>
      <c r="AE2543" s="940"/>
      <c r="AF2543" s="920">
        <f>IF(X2543=X2542,AF2542,0)+IF(ISNUMBER(I2543),IF(I2543&lt;1,I2543,I2543*VLOOKUP(J2543,Summary!$H$2:$I$9,2)),VLOOKUP(J2543,Summary!$J$2:$K$9,2)*IF(ISNUMBER(H2543),H2543,1))</f>
        <v>3.8553240740740742E-2</v>
      </c>
      <c r="AG2543" s="287">
        <v>2542</v>
      </c>
      <c r="AH2543" s="94"/>
      <c r="AI2543" s="94"/>
      <c r="AJ2543" s="2"/>
    </row>
    <row r="2544" spans="1:36" s="26" customFormat="1" ht="12" customHeight="1" x14ac:dyDescent="0.25">
      <c r="A2544" s="541" t="s">
        <v>5558</v>
      </c>
      <c r="B2544" s="541">
        <v>7</v>
      </c>
      <c r="C2544" s="545">
        <v>1.03</v>
      </c>
      <c r="D2544" s="407" t="s">
        <v>11431</v>
      </c>
      <c r="E2544" s="315" t="s">
        <v>11424</v>
      </c>
      <c r="F2544" s="169">
        <v>35916</v>
      </c>
      <c r="G2544" s="170"/>
      <c r="H2544" s="170">
        <v>2</v>
      </c>
      <c r="I2544" s="746">
        <f>TIME(0,146,57)</f>
        <v>0.10204861111111109</v>
      </c>
      <c r="J2544" s="899" t="s">
        <v>4706</v>
      </c>
      <c r="K2544" s="167" t="s">
        <v>1196</v>
      </c>
      <c r="L2544" s="167" t="s">
        <v>11426</v>
      </c>
      <c r="M2544" s="167"/>
      <c r="N2544" s="167"/>
      <c r="O2544" s="167" t="s">
        <v>4640</v>
      </c>
      <c r="P2544" s="168" t="s">
        <v>461</v>
      </c>
      <c r="Q2544" s="167" t="s">
        <v>603</v>
      </c>
      <c r="R2544" s="172" t="s">
        <v>5481</v>
      </c>
      <c r="S2544" s="388" t="s">
        <v>2542</v>
      </c>
      <c r="T2544" s="168"/>
      <c r="U2544" s="168"/>
      <c r="V2544" s="168"/>
      <c r="W2544" s="315"/>
      <c r="X2544" s="647" t="s">
        <v>12518</v>
      </c>
      <c r="Y2544" s="352"/>
      <c r="Z2544" s="353"/>
      <c r="AA2544" s="353"/>
      <c r="AB2544" s="31">
        <f t="shared" ca="1" si="56"/>
        <v>0.64616866582992605</v>
      </c>
      <c r="AC2544" s="810"/>
      <c r="AD2544" s="811"/>
      <c r="AE2544" s="940"/>
      <c r="AF2544" s="920">
        <f>IF(X2544=X2543,AF2543,0)+IF(ISNUMBER(I2544),IF(I2544&lt;1,I2544,I2544*VLOOKUP(J2544,Summary!$H$2:$I$9,2)),VLOOKUP(J2544,Summary!$J$2:$K$9,2)*IF(ISNUMBER(H2544),H2544,1))</f>
        <v>0.14060185185185184</v>
      </c>
      <c r="AG2544" s="287">
        <v>2543</v>
      </c>
      <c r="AH2544" s="94"/>
      <c r="AI2544" s="94"/>
      <c r="AJ2544" s="2"/>
    </row>
    <row r="2545" spans="1:36" s="22" customFormat="1" ht="12" customHeight="1" x14ac:dyDescent="0.2">
      <c r="A2545" s="541" t="s">
        <v>5558</v>
      </c>
      <c r="B2545" s="541">
        <v>7</v>
      </c>
      <c r="C2545" s="545">
        <v>1.04</v>
      </c>
      <c r="D2545" s="407" t="s">
        <v>11432</v>
      </c>
      <c r="E2545" s="315" t="s">
        <v>11425</v>
      </c>
      <c r="F2545" s="169">
        <v>35977</v>
      </c>
      <c r="G2545" s="170"/>
      <c r="H2545" s="170">
        <v>1</v>
      </c>
      <c r="I2545" s="746">
        <f>TIME(0,68,34)</f>
        <v>4.7615740740740736E-2</v>
      </c>
      <c r="J2545" s="899" t="s">
        <v>4706</v>
      </c>
      <c r="K2545" s="167" t="s">
        <v>1186</v>
      </c>
      <c r="L2545" s="167" t="s">
        <v>4640</v>
      </c>
      <c r="M2545" s="167"/>
      <c r="N2545" s="167"/>
      <c r="O2545" s="167" t="s">
        <v>4640</v>
      </c>
      <c r="P2545" s="168" t="s">
        <v>461</v>
      </c>
      <c r="Q2545" s="167" t="s">
        <v>603</v>
      </c>
      <c r="R2545" s="172" t="s">
        <v>5481</v>
      </c>
      <c r="S2545" s="388" t="s">
        <v>2542</v>
      </c>
      <c r="T2545" s="168"/>
      <c r="U2545" s="168"/>
      <c r="V2545" s="168"/>
      <c r="W2545" s="315" t="s">
        <v>11425</v>
      </c>
      <c r="X2545" s="647" t="s">
        <v>12518</v>
      </c>
      <c r="Y2545" s="352"/>
      <c r="Z2545" s="353"/>
      <c r="AA2545" s="353"/>
      <c r="AB2545" s="31">
        <f t="shared" ca="1" si="56"/>
        <v>0.8485480646557616</v>
      </c>
      <c r="AC2545" s="810"/>
      <c r="AD2545" s="811"/>
      <c r="AE2545" s="940"/>
      <c r="AF2545" s="920">
        <f>IF(X2545=X2544,AF2544,0)+IF(ISNUMBER(I2545),IF(I2545&lt;1,I2545,I2545*VLOOKUP(J2545,Summary!$H$2:$I$9,2)),VLOOKUP(J2545,Summary!$J$2:$K$9,2)*IF(ISNUMBER(H2545),H2545,1))</f>
        <v>0.18821759259259258</v>
      </c>
      <c r="AG2545" s="287">
        <v>2544</v>
      </c>
      <c r="AH2545" s="94"/>
      <c r="AI2545" s="94"/>
    </row>
    <row r="2546" spans="1:36" s="27" customFormat="1" ht="12" customHeight="1" x14ac:dyDescent="0.25">
      <c r="A2546" s="541" t="s">
        <v>5558</v>
      </c>
      <c r="B2546" s="541">
        <v>7</v>
      </c>
      <c r="C2546" s="545">
        <v>1.05</v>
      </c>
      <c r="D2546" s="407" t="s">
        <v>11433</v>
      </c>
      <c r="E2546" s="315" t="s">
        <v>11427</v>
      </c>
      <c r="F2546" s="169">
        <v>36039</v>
      </c>
      <c r="G2546" s="170"/>
      <c r="H2546" s="170">
        <v>1</v>
      </c>
      <c r="I2546" s="746">
        <f>TIME(0,46,58)</f>
        <v>3.2615740740740744E-2</v>
      </c>
      <c r="J2546" s="899" t="s">
        <v>4706</v>
      </c>
      <c r="K2546" s="167" t="s">
        <v>1186</v>
      </c>
      <c r="L2546" s="167" t="s">
        <v>4640</v>
      </c>
      <c r="M2546" s="167"/>
      <c r="N2546" s="167"/>
      <c r="O2546" s="167" t="s">
        <v>4640</v>
      </c>
      <c r="P2546" s="168" t="s">
        <v>461</v>
      </c>
      <c r="Q2546" s="167" t="s">
        <v>603</v>
      </c>
      <c r="R2546" s="172" t="s">
        <v>5481</v>
      </c>
      <c r="S2546" s="388" t="s">
        <v>2542</v>
      </c>
      <c r="T2546" s="168"/>
      <c r="U2546" s="168"/>
      <c r="V2546" s="168"/>
      <c r="W2546" s="315" t="s">
        <v>11427</v>
      </c>
      <c r="X2546" s="647" t="s">
        <v>12518</v>
      </c>
      <c r="Y2546" s="352"/>
      <c r="Z2546" s="353"/>
      <c r="AA2546" s="353"/>
      <c r="AB2546" s="31">
        <f t="shared" ca="1" si="56"/>
        <v>7.193397656278766E-2</v>
      </c>
      <c r="AC2546" s="810"/>
      <c r="AD2546" s="811"/>
      <c r="AE2546" s="940"/>
      <c r="AF2546" s="920">
        <f>IF(X2546=X2545,AF2545,0)+IF(ISNUMBER(I2546),IF(I2546&lt;1,I2546,I2546*VLOOKUP(J2546,Summary!$H$2:$I$9,2)),VLOOKUP(J2546,Summary!$J$2:$K$9,2)*IF(ISNUMBER(H2546),H2546,1))</f>
        <v>0.22083333333333333</v>
      </c>
      <c r="AG2546" s="287">
        <v>2545</v>
      </c>
      <c r="AH2546" s="94"/>
      <c r="AI2546" s="94"/>
    </row>
    <row r="2547" spans="1:36" s="27" customFormat="1" ht="12" customHeight="1" x14ac:dyDescent="0.25">
      <c r="A2547" s="550" t="s">
        <v>5558</v>
      </c>
      <c r="B2547" s="550">
        <v>7</v>
      </c>
      <c r="C2547" s="550">
        <v>2</v>
      </c>
      <c r="D2547" s="417" t="s">
        <v>6459</v>
      </c>
      <c r="E2547" s="316" t="s">
        <v>6460</v>
      </c>
      <c r="F2547" s="187">
        <v>37316</v>
      </c>
      <c r="G2547" s="188"/>
      <c r="H2547" s="188" t="str">
        <f>IF(J2547="Book","n/a","")</f>
        <v>n/a</v>
      </c>
      <c r="I2547" s="188">
        <v>107</v>
      </c>
      <c r="J2547" s="902" t="s">
        <v>6868</v>
      </c>
      <c r="K2547" s="162" t="s">
        <v>2309</v>
      </c>
      <c r="L2547" s="162" t="str">
        <f>IF(J2547="Book","n/a","")</f>
        <v>n/a</v>
      </c>
      <c r="M2547" s="162"/>
      <c r="N2547" s="162"/>
      <c r="O2547" s="162"/>
      <c r="P2547" s="178" t="s">
        <v>8857</v>
      </c>
      <c r="Q2547" s="162" t="s">
        <v>6055</v>
      </c>
      <c r="R2547" s="189" t="s">
        <v>2718</v>
      </c>
      <c r="S2547" s="366" t="s">
        <v>2542</v>
      </c>
      <c r="T2547" s="178"/>
      <c r="U2547" s="178"/>
      <c r="V2547" s="178"/>
      <c r="W2547" s="316" t="s">
        <v>6460</v>
      </c>
      <c r="X2547" s="648" t="s">
        <v>12518</v>
      </c>
      <c r="Y2547" s="356" t="s">
        <v>6868</v>
      </c>
      <c r="Z2547" s="272">
        <v>54</v>
      </c>
      <c r="AA2547" s="272">
        <v>7</v>
      </c>
      <c r="AB2547" s="34">
        <f t="shared" ca="1" si="56"/>
        <v>0.66040318419573207</v>
      </c>
      <c r="AC2547" s="814"/>
      <c r="AD2547" s="815"/>
      <c r="AE2547" s="942"/>
      <c r="AF2547" s="923">
        <f>IF(X2547=X2546,AF2546,0)+IF(ISNUMBER(I2547),IF(I2547&lt;1,I2547,I2547*VLOOKUP(J2547,Summary!$H$2:$I$9,2)),VLOOKUP(J2547,Summary!$J$2:$K$9,2)*IF(ISNUMBER(H2547),H2547,1))</f>
        <v>0.2951388888888889</v>
      </c>
      <c r="AG2547" s="291">
        <v>2546</v>
      </c>
      <c r="AH2547" s="94"/>
      <c r="AI2547" s="94"/>
    </row>
    <row r="2548" spans="1:36" s="3" customFormat="1" ht="12" customHeight="1" x14ac:dyDescent="0.25">
      <c r="A2548" s="543" t="s">
        <v>5558</v>
      </c>
      <c r="B2548" s="543">
        <v>7</v>
      </c>
      <c r="C2548" s="549">
        <v>7</v>
      </c>
      <c r="D2548" s="185" t="s">
        <v>8346</v>
      </c>
      <c r="E2548" s="314" t="s">
        <v>8347</v>
      </c>
      <c r="F2548" s="184">
        <v>41486</v>
      </c>
      <c r="G2548" s="184"/>
      <c r="H2548" s="185">
        <v>1</v>
      </c>
      <c r="I2548" s="185">
        <v>22</v>
      </c>
      <c r="J2548" s="901" t="s">
        <v>1796</v>
      </c>
      <c r="K2548" s="163" t="s">
        <v>8333</v>
      </c>
      <c r="L2548" s="163" t="s">
        <v>8348</v>
      </c>
      <c r="M2548" s="163"/>
      <c r="N2548" s="163" t="s">
        <v>6573</v>
      </c>
      <c r="O2548" s="163"/>
      <c r="P2548" s="182" t="s">
        <v>461</v>
      </c>
      <c r="Q2548" s="163" t="s">
        <v>5719</v>
      </c>
      <c r="R2548" s="186" t="s">
        <v>5718</v>
      </c>
      <c r="S2548" s="355" t="s">
        <v>2542</v>
      </c>
      <c r="T2548" s="182"/>
      <c r="U2548" s="182"/>
      <c r="V2548" s="182"/>
      <c r="W2548" s="314" t="s">
        <v>10151</v>
      </c>
      <c r="X2548" s="646" t="s">
        <v>12518</v>
      </c>
      <c r="Y2548" s="355" t="s">
        <v>6000</v>
      </c>
      <c r="Z2548" s="185">
        <v>999</v>
      </c>
      <c r="AA2548" s="185"/>
      <c r="AB2548" s="33">
        <f t="shared" ca="1" si="56"/>
        <v>0.53966094133883835</v>
      </c>
      <c r="AC2548" s="813"/>
      <c r="AD2548" s="211"/>
      <c r="AE2548" s="949"/>
      <c r="AF2548" s="922">
        <f>IF(X2548=X2547,AF2547,0)+IF(ISNUMBER(I2548),IF(I2548&lt;1,I2548,I2548*VLOOKUP(J2548,Summary!$H$2:$I$9,2)),VLOOKUP(J2548,Summary!$J$2:$K$9,2)*IF(ISNUMBER(H2548),H2548,1))</f>
        <v>0.30277777777777781</v>
      </c>
      <c r="AG2548" s="295">
        <v>2547</v>
      </c>
      <c r="AH2548" s="94"/>
      <c r="AI2548" s="94"/>
      <c r="AJ2548" s="22"/>
    </row>
    <row r="2549" spans="1:36" s="2" customFormat="1" ht="12" customHeight="1" x14ac:dyDescent="0.25">
      <c r="A2549" s="546" t="s">
        <v>5558</v>
      </c>
      <c r="B2549" s="546">
        <v>7</v>
      </c>
      <c r="C2549" s="548">
        <v>4.07</v>
      </c>
      <c r="D2549" s="192" t="s">
        <v>410</v>
      </c>
      <c r="E2549" s="317" t="s">
        <v>424</v>
      </c>
      <c r="F2549" s="209">
        <v>40786</v>
      </c>
      <c r="G2549" s="209"/>
      <c r="H2549" s="192">
        <v>1</v>
      </c>
      <c r="I2549" s="753">
        <f>TIME(0,16,48)</f>
        <v>1.1666666666666667E-2</v>
      </c>
      <c r="J2549" s="903" t="s">
        <v>2755</v>
      </c>
      <c r="K2549" s="194" t="s">
        <v>413</v>
      </c>
      <c r="L2549" s="194" t="s">
        <v>3426</v>
      </c>
      <c r="M2549" s="194" t="s">
        <v>498</v>
      </c>
      <c r="N2549" s="194"/>
      <c r="O2549" s="194"/>
      <c r="P2549" s="190" t="s">
        <v>5598</v>
      </c>
      <c r="Q2549" s="194" t="s">
        <v>3947</v>
      </c>
      <c r="R2549" s="193" t="s">
        <v>2722</v>
      </c>
      <c r="S2549" s="357" t="s">
        <v>2542</v>
      </c>
      <c r="T2549" s="190"/>
      <c r="U2549" s="190"/>
      <c r="V2549" s="190"/>
      <c r="W2549" s="317" t="s">
        <v>424</v>
      </c>
      <c r="X2549" s="649" t="s">
        <v>12518</v>
      </c>
      <c r="Y2549" s="357" t="s">
        <v>5643</v>
      </c>
      <c r="Z2549" s="192">
        <v>999</v>
      </c>
      <c r="AA2549" s="192"/>
      <c r="AB2549" s="37">
        <f t="shared" ca="1" si="56"/>
        <v>0.99250692000136143</v>
      </c>
      <c r="AC2549" s="816"/>
      <c r="AD2549" s="817"/>
      <c r="AE2549" s="943"/>
      <c r="AF2549" s="924">
        <f>IF(X2549=X2548,AF2548,0)+IF(ISNUMBER(I2549),IF(I2549&lt;1,I2549,I2549*VLOOKUP(J2549,Summary!$H$2:$I$9,2)),VLOOKUP(J2549,Summary!$J$2:$K$9,2)*IF(ISNUMBER(H2549),H2549,1))</f>
        <v>0.31444444444444447</v>
      </c>
      <c r="AG2549" s="292">
        <v>2548</v>
      </c>
      <c r="AH2549" s="94"/>
      <c r="AI2549" s="94"/>
      <c r="AJ2549" s="22"/>
    </row>
    <row r="2550" spans="1:36" s="2" customFormat="1" ht="12" customHeight="1" x14ac:dyDescent="0.25">
      <c r="A2550" s="546" t="s">
        <v>5558</v>
      </c>
      <c r="B2550" s="546">
        <v>7</v>
      </c>
      <c r="C2550" s="548">
        <v>0.15</v>
      </c>
      <c r="D2550" s="192" t="s">
        <v>13132</v>
      </c>
      <c r="E2550" s="317" t="s">
        <v>12899</v>
      </c>
      <c r="F2550" s="191">
        <v>42036</v>
      </c>
      <c r="G2550" s="209"/>
      <c r="H2550" s="192" t="s">
        <v>461</v>
      </c>
      <c r="I2550" s="753"/>
      <c r="J2550" s="903" t="s">
        <v>2755</v>
      </c>
      <c r="K2550" s="194" t="s">
        <v>10216</v>
      </c>
      <c r="L2550" s="194" t="s">
        <v>3365</v>
      </c>
      <c r="M2550" s="194" t="s">
        <v>9290</v>
      </c>
      <c r="N2550" s="194"/>
      <c r="O2550" s="194"/>
      <c r="P2550" s="190" t="s">
        <v>461</v>
      </c>
      <c r="Q2550" s="194" t="s">
        <v>3947</v>
      </c>
      <c r="R2550" s="193" t="s">
        <v>2722</v>
      </c>
      <c r="S2550" s="357" t="s">
        <v>2542</v>
      </c>
      <c r="T2550" s="190"/>
      <c r="U2550" s="190"/>
      <c r="V2550" s="190"/>
      <c r="W2550" s="317" t="s">
        <v>12899</v>
      </c>
      <c r="X2550" s="649" t="s">
        <v>12518</v>
      </c>
      <c r="Y2550" s="357"/>
      <c r="Z2550" s="192"/>
      <c r="AA2550" s="192"/>
      <c r="AB2550" s="37">
        <f t="shared" ca="1" si="56"/>
        <v>0.61124743098617984</v>
      </c>
      <c r="AC2550" s="816"/>
      <c r="AD2550" s="817"/>
      <c r="AE2550" s="943"/>
      <c r="AF2550" s="924">
        <f>IF(X2550=X2549,AF2549,0)+IF(ISNUMBER(I2550),IF(I2550&lt;1,I2550,I2550*VLOOKUP(J2550,Summary!$H$2:$I$9,2)),VLOOKUP(J2550,Summary!$J$2:$K$9,2)*IF(ISNUMBER(H2550),H2550,1))</f>
        <v>0.33180555555555558</v>
      </c>
      <c r="AG2550" s="292">
        <v>2549</v>
      </c>
      <c r="AH2550" s="94"/>
      <c r="AI2550" s="94"/>
    </row>
    <row r="2551" spans="1:36" s="1" customFormat="1" ht="12" customHeight="1" x14ac:dyDescent="0.25">
      <c r="A2551" s="539" t="s">
        <v>5558</v>
      </c>
      <c r="B2551" s="539">
        <v>7</v>
      </c>
      <c r="C2551" s="542">
        <v>26.02</v>
      </c>
      <c r="D2551" s="176" t="s">
        <v>3496</v>
      </c>
      <c r="E2551" s="313" t="s">
        <v>4948</v>
      </c>
      <c r="F2551" s="174">
        <v>39508</v>
      </c>
      <c r="G2551" s="174"/>
      <c r="H2551" s="176">
        <v>1</v>
      </c>
      <c r="I2551" s="176">
        <v>13</v>
      </c>
      <c r="J2551" s="900" t="s">
        <v>2755</v>
      </c>
      <c r="K2551" s="164" t="s">
        <v>1805</v>
      </c>
      <c r="L2551" s="164" t="s">
        <v>461</v>
      </c>
      <c r="M2551" s="164"/>
      <c r="N2551" s="164" t="s">
        <v>7381</v>
      </c>
      <c r="O2551" s="164"/>
      <c r="P2551" s="173" t="s">
        <v>6706</v>
      </c>
      <c r="Q2551" s="164" t="s">
        <v>3947</v>
      </c>
      <c r="R2551" s="177" t="s">
        <v>2723</v>
      </c>
      <c r="S2551" s="354" t="s">
        <v>2542</v>
      </c>
      <c r="T2551" s="173"/>
      <c r="U2551" s="173"/>
      <c r="V2551" s="173"/>
      <c r="W2551" s="313" t="s">
        <v>4948</v>
      </c>
      <c r="X2551" s="645" t="s">
        <v>12518</v>
      </c>
      <c r="Y2551" s="354"/>
      <c r="Z2551" s="176"/>
      <c r="AA2551" s="176"/>
      <c r="AB2551" s="32">
        <f t="shared" ca="1" si="56"/>
        <v>0.54815164103621095</v>
      </c>
      <c r="AC2551" s="812"/>
      <c r="AD2551" s="763"/>
      <c r="AE2551" s="807"/>
      <c r="AF2551" s="921">
        <f>IF(X2551=X2550,AF2550,0)+IF(ISNUMBER(I2551),IF(I2551&lt;1,I2551,I2551*VLOOKUP(J2551,Summary!$H$2:$I$9,2)),VLOOKUP(J2551,Summary!$J$2:$K$9,2)*IF(ISNUMBER(H2551),H2551,1))</f>
        <v>0.34083333333333338</v>
      </c>
      <c r="AG2551" s="289">
        <v>2550</v>
      </c>
      <c r="AH2551" s="94"/>
      <c r="AI2551" s="94"/>
    </row>
    <row r="2552" spans="1:36" s="3" customFormat="1" ht="12" customHeight="1" x14ac:dyDescent="0.25">
      <c r="A2552" s="539" t="s">
        <v>5558</v>
      </c>
      <c r="B2552" s="539">
        <v>7</v>
      </c>
      <c r="C2552" s="540">
        <v>26</v>
      </c>
      <c r="D2552" s="176" t="s">
        <v>3608</v>
      </c>
      <c r="E2552" s="313" t="s">
        <v>1273</v>
      </c>
      <c r="F2552" s="175">
        <v>34101</v>
      </c>
      <c r="G2552" s="174"/>
      <c r="H2552" s="176">
        <v>1</v>
      </c>
      <c r="I2552" s="176">
        <v>1</v>
      </c>
      <c r="J2552" s="900" t="s">
        <v>2755</v>
      </c>
      <c r="K2552" s="164" t="s">
        <v>3451</v>
      </c>
      <c r="L2552" s="164"/>
      <c r="M2552" s="164"/>
      <c r="N2552" s="164" t="s">
        <v>7375</v>
      </c>
      <c r="O2552" s="164"/>
      <c r="P2552" s="173" t="s">
        <v>461</v>
      </c>
      <c r="Q2552" s="164" t="s">
        <v>4062</v>
      </c>
      <c r="R2552" s="177" t="s">
        <v>4599</v>
      </c>
      <c r="S2552" s="354" t="s">
        <v>2542</v>
      </c>
      <c r="T2552" s="173"/>
      <c r="U2552" s="173"/>
      <c r="V2552" s="173"/>
      <c r="W2552" s="313" t="s">
        <v>1273</v>
      </c>
      <c r="X2552" s="645" t="s">
        <v>12518</v>
      </c>
      <c r="Y2552" s="354"/>
      <c r="Z2552" s="176"/>
      <c r="AA2552" s="176"/>
      <c r="AB2552" s="32">
        <f t="shared" ca="1" si="56"/>
        <v>5.8625013282579519E-2</v>
      </c>
      <c r="AC2552" s="812"/>
      <c r="AD2552" s="763"/>
      <c r="AE2552" s="807"/>
      <c r="AF2552" s="921">
        <f>IF(X2552=X2551,AF2551,0)+IF(ISNUMBER(I2552),IF(I2552&lt;1,I2552,I2552*VLOOKUP(J2552,Summary!$H$2:$I$9,2)),VLOOKUP(J2552,Summary!$J$2:$K$9,2)*IF(ISNUMBER(H2552),H2552,1))</f>
        <v>0.34152777777777782</v>
      </c>
      <c r="AG2552" s="289">
        <v>2551</v>
      </c>
      <c r="AH2552" s="94"/>
      <c r="AI2552" s="94"/>
      <c r="AJ2552" s="29"/>
    </row>
    <row r="2553" spans="1:36" s="27" customFormat="1" ht="12" customHeight="1" x14ac:dyDescent="0.25">
      <c r="A2553" s="546" t="s">
        <v>5558</v>
      </c>
      <c r="B2553" s="546">
        <v>7</v>
      </c>
      <c r="C2553" s="548">
        <v>0.28000000000000003</v>
      </c>
      <c r="D2553" s="192" t="s">
        <v>13141</v>
      </c>
      <c r="E2553" s="317" t="s">
        <v>12900</v>
      </c>
      <c r="F2553" s="209">
        <v>42626</v>
      </c>
      <c r="G2553" s="209"/>
      <c r="H2553" s="192" t="s">
        <v>461</v>
      </c>
      <c r="I2553" s="753"/>
      <c r="J2553" s="903" t="s">
        <v>2755</v>
      </c>
      <c r="K2553" s="194" t="s">
        <v>10219</v>
      </c>
      <c r="L2553" s="194" t="s">
        <v>3365</v>
      </c>
      <c r="M2553" s="194" t="s">
        <v>9290</v>
      </c>
      <c r="N2553" s="194"/>
      <c r="O2553" s="194"/>
      <c r="P2553" s="190" t="s">
        <v>461</v>
      </c>
      <c r="Q2553" s="194" t="s">
        <v>3947</v>
      </c>
      <c r="R2553" s="193" t="s">
        <v>2722</v>
      </c>
      <c r="S2553" s="357" t="s">
        <v>2542</v>
      </c>
      <c r="T2553" s="190"/>
      <c r="U2553" s="190"/>
      <c r="V2553" s="190"/>
      <c r="W2553" s="317" t="s">
        <v>12900</v>
      </c>
      <c r="X2553" s="649" t="s">
        <v>12518</v>
      </c>
      <c r="Y2553" s="357"/>
      <c r="Z2553" s="192"/>
      <c r="AA2553" s="192"/>
      <c r="AB2553" s="37">
        <f t="shared" ca="1" si="56"/>
        <v>0.84602542109070356</v>
      </c>
      <c r="AC2553" s="816"/>
      <c r="AD2553" s="817"/>
      <c r="AE2553" s="943"/>
      <c r="AF2553" s="924">
        <f>IF(X2553=X2552,AF2552,0)+IF(ISNUMBER(I2553),IF(I2553&lt;1,I2553,I2553*VLOOKUP(J2553,Summary!$H$2:$I$9,2)),VLOOKUP(J2553,Summary!$J$2:$K$9,2)*IF(ISNUMBER(H2553),H2553,1))</f>
        <v>0.35888888888888892</v>
      </c>
      <c r="AG2553" s="292">
        <v>2552</v>
      </c>
      <c r="AH2553" s="94"/>
      <c r="AI2553" s="94"/>
    </row>
    <row r="2554" spans="1:36" s="22" customFormat="1" ht="12" customHeight="1" x14ac:dyDescent="0.25">
      <c r="A2554" s="546" t="s">
        <v>5558</v>
      </c>
      <c r="B2554" s="546">
        <v>7</v>
      </c>
      <c r="C2554" s="548">
        <v>1.05</v>
      </c>
      <c r="D2554" s="192" t="s">
        <v>4972</v>
      </c>
      <c r="E2554" s="317" t="s">
        <v>4969</v>
      </c>
      <c r="F2554" s="191">
        <v>35855</v>
      </c>
      <c r="G2554" s="191"/>
      <c r="H2554" s="192">
        <v>1</v>
      </c>
      <c r="I2554" s="753">
        <f>TIME(0,39, 3)</f>
        <v>2.7118055555555552E-2</v>
      </c>
      <c r="J2554" s="903" t="s">
        <v>2755</v>
      </c>
      <c r="K2554" s="194" t="s">
        <v>5564</v>
      </c>
      <c r="L2554" s="194" t="s">
        <v>461</v>
      </c>
      <c r="M2554" s="194"/>
      <c r="N2554" s="194" t="s">
        <v>6237</v>
      </c>
      <c r="O2554" s="194"/>
      <c r="P2554" s="190" t="s">
        <v>5042</v>
      </c>
      <c r="Q2554" s="194" t="s">
        <v>3953</v>
      </c>
      <c r="R2554" s="193" t="s">
        <v>2723</v>
      </c>
      <c r="S2554" s="357" t="s">
        <v>2542</v>
      </c>
      <c r="T2554" s="190"/>
      <c r="U2554" s="190"/>
      <c r="V2554" s="190"/>
      <c r="W2554" s="317" t="s">
        <v>4969</v>
      </c>
      <c r="X2554" s="649" t="s">
        <v>12518</v>
      </c>
      <c r="Y2554" s="357" t="s">
        <v>6868</v>
      </c>
      <c r="Z2554" s="192">
        <v>999</v>
      </c>
      <c r="AA2554" s="192"/>
      <c r="AB2554" s="37">
        <f t="shared" ca="1" si="56"/>
        <v>0.99475059893194751</v>
      </c>
      <c r="AC2554" s="816"/>
      <c r="AD2554" s="817"/>
      <c r="AE2554" s="943"/>
      <c r="AF2554" s="924">
        <f>IF(X2554=X2553,AF2553,0)+IF(ISNUMBER(I2554),IF(I2554&lt;1,I2554,I2554*VLOOKUP(J2554,Summary!$H$2:$I$9,2)),VLOOKUP(J2554,Summary!$J$2:$K$9,2)*IF(ISNUMBER(H2554),H2554,1))</f>
        <v>0.3860069444444445</v>
      </c>
      <c r="AG2554" s="292">
        <v>2553</v>
      </c>
      <c r="AH2554" s="94"/>
      <c r="AI2554" s="94"/>
      <c r="AJ2554" s="1"/>
    </row>
    <row r="2555" spans="1:36" s="22" customFormat="1" ht="12" customHeight="1" x14ac:dyDescent="0.2">
      <c r="A2555" s="541" t="s">
        <v>5558</v>
      </c>
      <c r="B2555" s="541">
        <v>7</v>
      </c>
      <c r="C2555" s="541">
        <v>2.2999999999999998</v>
      </c>
      <c r="D2555" s="407" t="s">
        <v>3148</v>
      </c>
      <c r="E2555" s="315" t="s">
        <v>5559</v>
      </c>
      <c r="F2555" s="169">
        <v>40634</v>
      </c>
      <c r="G2555" s="229"/>
      <c r="H2555" s="170">
        <v>4</v>
      </c>
      <c r="I2555" s="746">
        <f>TIME(2,16,19)</f>
        <v>9.4664351851851847E-2</v>
      </c>
      <c r="J2555" s="899" t="s">
        <v>4706</v>
      </c>
      <c r="K2555" s="167" t="s">
        <v>941</v>
      </c>
      <c r="L2555" s="167" t="s">
        <v>2313</v>
      </c>
      <c r="M2555" s="167"/>
      <c r="N2555" s="167"/>
      <c r="O2555" s="167"/>
      <c r="P2555" s="168" t="s">
        <v>8908</v>
      </c>
      <c r="Q2555" s="167" t="s">
        <v>3947</v>
      </c>
      <c r="R2555" s="172" t="s">
        <v>6992</v>
      </c>
      <c r="S2555" s="388" t="s">
        <v>2542</v>
      </c>
      <c r="T2555" s="168"/>
      <c r="U2555" s="168"/>
      <c r="V2555" s="168"/>
      <c r="W2555" s="312" t="s">
        <v>9532</v>
      </c>
      <c r="X2555" s="644" t="s">
        <v>12518</v>
      </c>
      <c r="Y2555" s="352" t="s">
        <v>5643</v>
      </c>
      <c r="Z2555" s="353">
        <v>291</v>
      </c>
      <c r="AA2555" s="353">
        <v>5.5</v>
      </c>
      <c r="AB2555" s="31">
        <f t="shared" ca="1" si="56"/>
        <v>0.14852921899435856</v>
      </c>
      <c r="AC2555" s="810"/>
      <c r="AD2555" s="825" t="s">
        <v>14899</v>
      </c>
      <c r="AE2555" s="940"/>
      <c r="AF2555" s="920">
        <f>IF(X2555=X2554,AF2554,0)+IF(ISNUMBER(I2555),IF(I2555&lt;1,I2555,I2555*VLOOKUP(J2555,Summary!$H$2:$I$9,2)),VLOOKUP(J2555,Summary!$J$2:$K$9,2)*IF(ISNUMBER(H2555),H2555,1))</f>
        <v>0.48067129629629635</v>
      </c>
      <c r="AG2555" s="287">
        <v>2554</v>
      </c>
      <c r="AH2555" s="94"/>
      <c r="AI2555" s="94"/>
    </row>
    <row r="2556" spans="1:36" s="27" customFormat="1" ht="12" customHeight="1" x14ac:dyDescent="0.25">
      <c r="A2556" s="541" t="s">
        <v>5558</v>
      </c>
      <c r="B2556" s="541">
        <v>7</v>
      </c>
      <c r="C2556" s="541">
        <v>2.4</v>
      </c>
      <c r="D2556" s="407" t="s">
        <v>3149</v>
      </c>
      <c r="E2556" s="315" t="s">
        <v>5560</v>
      </c>
      <c r="F2556" s="169">
        <v>40664</v>
      </c>
      <c r="G2556" s="229"/>
      <c r="H2556" s="170">
        <v>4</v>
      </c>
      <c r="I2556" s="746">
        <f>TIME(1,50,35)</f>
        <v>7.6793981481481477E-2</v>
      </c>
      <c r="J2556" s="899" t="s">
        <v>4706</v>
      </c>
      <c r="K2556" s="167" t="s">
        <v>2939</v>
      </c>
      <c r="L2556" s="167" t="s">
        <v>2313</v>
      </c>
      <c r="M2556" s="167"/>
      <c r="N2556" s="167"/>
      <c r="O2556" s="167"/>
      <c r="P2556" s="168" t="s">
        <v>8909</v>
      </c>
      <c r="Q2556" s="167" t="s">
        <v>3947</v>
      </c>
      <c r="R2556" s="172" t="s">
        <v>6992</v>
      </c>
      <c r="S2556" s="388" t="s">
        <v>2542</v>
      </c>
      <c r="T2556" s="168" t="s">
        <v>7315</v>
      </c>
      <c r="U2556" s="168"/>
      <c r="V2556" s="168"/>
      <c r="W2556" s="312" t="s">
        <v>9533</v>
      </c>
      <c r="X2556" s="644" t="s">
        <v>12518</v>
      </c>
      <c r="Y2556" s="352" t="s">
        <v>5643</v>
      </c>
      <c r="Z2556" s="353">
        <v>487</v>
      </c>
      <c r="AA2556" s="353">
        <v>4</v>
      </c>
      <c r="AB2556" s="31">
        <f t="shared" ca="1" si="56"/>
        <v>0.14757167118564984</v>
      </c>
      <c r="AC2556" s="810"/>
      <c r="AD2556" s="811" t="s">
        <v>16033</v>
      </c>
      <c r="AE2556" s="940"/>
      <c r="AF2556" s="920">
        <f>IF(X2556=X2555,AF2555,0)+IF(ISNUMBER(I2556),IF(I2556&lt;1,I2556,I2556*VLOOKUP(J2556,Summary!$H$2:$I$9,2)),VLOOKUP(J2556,Summary!$J$2:$K$9,2)*IF(ISNUMBER(H2556),H2556,1))</f>
        <v>0.55746527777777777</v>
      </c>
      <c r="AG2556" s="287">
        <v>2555</v>
      </c>
      <c r="AH2556" s="94"/>
      <c r="AI2556" s="94"/>
    </row>
    <row r="2557" spans="1:36" s="27" customFormat="1" ht="12" customHeight="1" x14ac:dyDescent="0.25">
      <c r="A2557" s="541" t="s">
        <v>5558</v>
      </c>
      <c r="B2557" s="541">
        <v>7</v>
      </c>
      <c r="C2557" s="541">
        <v>2.5</v>
      </c>
      <c r="D2557" s="407" t="s">
        <v>3150</v>
      </c>
      <c r="E2557" s="315" t="s">
        <v>5561</v>
      </c>
      <c r="F2557" s="169">
        <v>40695</v>
      </c>
      <c r="G2557" s="229"/>
      <c r="H2557" s="170">
        <v>4</v>
      </c>
      <c r="I2557" s="746">
        <f>TIME(1,57,0)</f>
        <v>8.1250000000000003E-2</v>
      </c>
      <c r="J2557" s="899" t="s">
        <v>4706</v>
      </c>
      <c r="K2557" s="167" t="s">
        <v>2939</v>
      </c>
      <c r="L2557" s="167" t="s">
        <v>2313</v>
      </c>
      <c r="M2557" s="167"/>
      <c r="N2557" s="167"/>
      <c r="O2557" s="167"/>
      <c r="P2557" s="168" t="s">
        <v>8910</v>
      </c>
      <c r="Q2557" s="167" t="s">
        <v>3947</v>
      </c>
      <c r="R2557" s="172" t="s">
        <v>6992</v>
      </c>
      <c r="S2557" s="388" t="s">
        <v>2542</v>
      </c>
      <c r="T2557" s="168" t="s">
        <v>7315</v>
      </c>
      <c r="U2557" s="168"/>
      <c r="V2557" s="168"/>
      <c r="W2557" s="312" t="s">
        <v>9534</v>
      </c>
      <c r="X2557" s="644" t="s">
        <v>12518</v>
      </c>
      <c r="Y2557" s="352" t="s">
        <v>5643</v>
      </c>
      <c r="Z2557" s="353">
        <v>662</v>
      </c>
      <c r="AA2557" s="353">
        <v>2.5</v>
      </c>
      <c r="AB2557" s="31">
        <f t="shared" ca="1" si="56"/>
        <v>0.57848570841011993</v>
      </c>
      <c r="AC2557" s="810"/>
      <c r="AD2557" s="811" t="s">
        <v>15838</v>
      </c>
      <c r="AE2557" s="940"/>
      <c r="AF2557" s="920">
        <f>IF(X2557=X2556,AF2556,0)+IF(ISNUMBER(I2557),IF(I2557&lt;1,I2557,I2557*VLOOKUP(J2557,Summary!$H$2:$I$9,2)),VLOOKUP(J2557,Summary!$J$2:$K$9,2)*IF(ISNUMBER(H2557),H2557,1))</f>
        <v>0.63871527777777781</v>
      </c>
      <c r="AG2557" s="287">
        <v>2556</v>
      </c>
      <c r="AH2557" s="94"/>
      <c r="AI2557" s="94"/>
    </row>
    <row r="2558" spans="1:36" s="27" customFormat="1" ht="12" customHeight="1" x14ac:dyDescent="0.25">
      <c r="A2558" s="541" t="s">
        <v>5558</v>
      </c>
      <c r="B2558" s="541">
        <v>7</v>
      </c>
      <c r="C2558" s="541">
        <v>2.6</v>
      </c>
      <c r="D2558" s="407" t="s">
        <v>3151</v>
      </c>
      <c r="E2558" s="315" t="s">
        <v>5562</v>
      </c>
      <c r="F2558" s="169">
        <v>40725</v>
      </c>
      <c r="G2558" s="229"/>
      <c r="H2558" s="170">
        <v>4</v>
      </c>
      <c r="I2558" s="746">
        <f>TIME(1,45,5)</f>
        <v>7.2974537037037032E-2</v>
      </c>
      <c r="J2558" s="899" t="s">
        <v>4706</v>
      </c>
      <c r="K2558" s="167" t="s">
        <v>5563</v>
      </c>
      <c r="L2558" s="167" t="s">
        <v>2313</v>
      </c>
      <c r="M2558" s="167"/>
      <c r="N2558" s="167"/>
      <c r="O2558" s="167"/>
      <c r="P2558" s="168" t="s">
        <v>8911</v>
      </c>
      <c r="Q2558" s="167" t="s">
        <v>3947</v>
      </c>
      <c r="R2558" s="172" t="s">
        <v>6992</v>
      </c>
      <c r="S2558" s="388" t="s">
        <v>2542</v>
      </c>
      <c r="T2558" s="168" t="s">
        <v>7315</v>
      </c>
      <c r="U2558" s="168"/>
      <c r="V2558" s="168"/>
      <c r="W2558" s="312" t="s">
        <v>9535</v>
      </c>
      <c r="X2558" s="644" t="s">
        <v>12518</v>
      </c>
      <c r="Y2558" s="352" t="s">
        <v>5643</v>
      </c>
      <c r="Z2558" s="353">
        <v>427</v>
      </c>
      <c r="AA2558" s="353">
        <v>4.5</v>
      </c>
      <c r="AB2558" s="31">
        <f t="shared" ca="1" si="56"/>
        <v>9.7154297411279122E-2</v>
      </c>
      <c r="AC2558" s="810"/>
      <c r="AD2558" s="811" t="s">
        <v>16380</v>
      </c>
      <c r="AE2558" s="940" t="s">
        <v>3365</v>
      </c>
      <c r="AF2558" s="920">
        <f>IF(X2558=X2557,AF2557,0)+IF(ISNUMBER(I2558),IF(I2558&lt;1,I2558,I2558*VLOOKUP(J2558,Summary!$H$2:$I$9,2)),VLOOKUP(J2558,Summary!$J$2:$K$9,2)*IF(ISNUMBER(H2558),H2558,1))</f>
        <v>0.71168981481481486</v>
      </c>
      <c r="AG2558" s="287">
        <v>2557</v>
      </c>
      <c r="AH2558" s="94"/>
      <c r="AI2558" s="94"/>
    </row>
    <row r="2559" spans="1:36" s="1" customFormat="1" ht="12" customHeight="1" x14ac:dyDescent="0.25">
      <c r="A2559" s="539" t="s">
        <v>5558</v>
      </c>
      <c r="B2559" s="539">
        <v>7</v>
      </c>
      <c r="C2559" s="540">
        <v>13</v>
      </c>
      <c r="D2559" s="176" t="s">
        <v>9780</v>
      </c>
      <c r="E2559" s="313" t="s">
        <v>9781</v>
      </c>
      <c r="F2559" s="175">
        <v>42159</v>
      </c>
      <c r="G2559" s="174"/>
      <c r="H2559" s="176" t="s">
        <v>461</v>
      </c>
      <c r="I2559" s="176"/>
      <c r="J2559" s="900" t="s">
        <v>2755</v>
      </c>
      <c r="K2559" s="164" t="s">
        <v>2939</v>
      </c>
      <c r="L2559" s="164" t="s">
        <v>461</v>
      </c>
      <c r="M2559" s="164"/>
      <c r="N2559" s="164"/>
      <c r="O2559" s="164"/>
      <c r="P2559" s="173" t="s">
        <v>9509</v>
      </c>
      <c r="Q2559" s="164" t="s">
        <v>3953</v>
      </c>
      <c r="R2559" s="177" t="s">
        <v>9510</v>
      </c>
      <c r="S2559" s="354" t="s">
        <v>2542</v>
      </c>
      <c r="T2559" s="173" t="s">
        <v>7315</v>
      </c>
      <c r="U2559" s="173"/>
      <c r="V2559" s="173"/>
      <c r="W2559" s="313" t="s">
        <v>9781</v>
      </c>
      <c r="X2559" s="645" t="s">
        <v>12518</v>
      </c>
      <c r="Y2559" s="354"/>
      <c r="Z2559" s="157"/>
      <c r="AA2559" s="176"/>
      <c r="AB2559" s="32">
        <f t="shared" ca="1" si="56"/>
        <v>0.20593061996399986</v>
      </c>
      <c r="AC2559" s="812"/>
      <c r="AD2559" s="763"/>
      <c r="AE2559" s="807"/>
      <c r="AF2559" s="921">
        <f>IF(X2559=X2558,AF2558,0)+IF(ISNUMBER(I2559),IF(I2559&lt;1,I2559,I2559*VLOOKUP(J2559,Summary!$H$2:$I$9,2)),VLOOKUP(J2559,Summary!$J$2:$K$9,2)*IF(ISNUMBER(H2559),H2559,1))</f>
        <v>0.72905092592592602</v>
      </c>
      <c r="AG2559" s="289">
        <v>2558</v>
      </c>
      <c r="AH2559" s="94"/>
      <c r="AI2559" s="94"/>
      <c r="AJ2559" s="6"/>
    </row>
    <row r="2560" spans="1:36" s="27" customFormat="1" ht="12" customHeight="1" x14ac:dyDescent="0.25">
      <c r="A2560" s="539" t="s">
        <v>5558</v>
      </c>
      <c r="B2560" s="539">
        <v>7</v>
      </c>
      <c r="C2560" s="542">
        <v>7.05</v>
      </c>
      <c r="D2560" s="176" t="s">
        <v>3501</v>
      </c>
      <c r="E2560" s="313" t="s">
        <v>3502</v>
      </c>
      <c r="F2560" s="174">
        <v>37865</v>
      </c>
      <c r="G2560" s="174"/>
      <c r="H2560" s="176">
        <v>1</v>
      </c>
      <c r="I2560" s="176">
        <v>22</v>
      </c>
      <c r="J2560" s="900" t="s">
        <v>2755</v>
      </c>
      <c r="K2560" s="164" t="s">
        <v>3500</v>
      </c>
      <c r="L2560" s="164" t="s">
        <v>461</v>
      </c>
      <c r="M2560" s="164"/>
      <c r="N2560" s="164" t="s">
        <v>4552</v>
      </c>
      <c r="O2560" s="164"/>
      <c r="P2560" s="173" t="s">
        <v>6281</v>
      </c>
      <c r="Q2560" s="164" t="s">
        <v>3947</v>
      </c>
      <c r="R2560" s="177" t="s">
        <v>2723</v>
      </c>
      <c r="S2560" s="354" t="s">
        <v>2542</v>
      </c>
      <c r="T2560" s="173"/>
      <c r="U2560" s="173"/>
      <c r="V2560" s="173"/>
      <c r="W2560" s="313" t="s">
        <v>3502</v>
      </c>
      <c r="X2560" s="645" t="s">
        <v>12518</v>
      </c>
      <c r="Y2560" s="354"/>
      <c r="Z2560" s="176"/>
      <c r="AA2560" s="176"/>
      <c r="AB2560" s="32">
        <f t="shared" ca="1" si="56"/>
        <v>0.81065532489317094</v>
      </c>
      <c r="AC2560" s="812"/>
      <c r="AD2560" s="763"/>
      <c r="AE2560" s="807"/>
      <c r="AF2560" s="921">
        <f>IF(X2560=X2559,AF2559,0)+IF(ISNUMBER(I2560),IF(I2560&lt;1,I2560,I2560*VLOOKUP(J2560,Summary!$H$2:$I$9,2)),VLOOKUP(J2560,Summary!$J$2:$K$9,2)*IF(ISNUMBER(H2560),H2560,1))</f>
        <v>0.74432870370370385</v>
      </c>
      <c r="AG2560" s="289">
        <v>2559</v>
      </c>
      <c r="AH2560" s="94"/>
      <c r="AI2560" s="94"/>
    </row>
    <row r="2561" spans="1:36" s="22" customFormat="1" ht="12" customHeight="1" x14ac:dyDescent="0.25">
      <c r="A2561" s="539" t="s">
        <v>5558</v>
      </c>
      <c r="B2561" s="539">
        <v>7</v>
      </c>
      <c r="C2561" s="542">
        <v>3.16</v>
      </c>
      <c r="D2561" s="176" t="s">
        <v>4974</v>
      </c>
      <c r="E2561" s="313" t="s">
        <v>4971</v>
      </c>
      <c r="F2561" s="174">
        <v>36586</v>
      </c>
      <c r="G2561" s="174"/>
      <c r="H2561" s="176">
        <v>1</v>
      </c>
      <c r="I2561" s="176">
        <v>32</v>
      </c>
      <c r="J2561" s="900" t="s">
        <v>2755</v>
      </c>
      <c r="K2561" s="164" t="s">
        <v>1951</v>
      </c>
      <c r="L2561" s="164" t="s">
        <v>461</v>
      </c>
      <c r="M2561" s="164"/>
      <c r="N2561" s="164" t="s">
        <v>4992</v>
      </c>
      <c r="O2561" s="164"/>
      <c r="P2561" s="173" t="s">
        <v>4993</v>
      </c>
      <c r="Q2561" s="164" t="s">
        <v>3953</v>
      </c>
      <c r="R2561" s="177" t="s">
        <v>2723</v>
      </c>
      <c r="S2561" s="354" t="s">
        <v>2542</v>
      </c>
      <c r="T2561" s="173"/>
      <c r="U2561" s="173"/>
      <c r="V2561" s="173"/>
      <c r="W2561" s="313" t="s">
        <v>4971</v>
      </c>
      <c r="X2561" s="645" t="s">
        <v>12518</v>
      </c>
      <c r="Y2561" s="354" t="s">
        <v>6868</v>
      </c>
      <c r="Z2561" s="176">
        <v>999</v>
      </c>
      <c r="AA2561" s="176"/>
      <c r="AB2561" s="32">
        <f t="shared" ca="1" si="56"/>
        <v>6.4161797666402731E-2</v>
      </c>
      <c r="AC2561" s="812"/>
      <c r="AD2561" s="763"/>
      <c r="AE2561" s="807"/>
      <c r="AF2561" s="921">
        <f>IF(X2561=X2560,AF2560,0)+IF(ISNUMBER(I2561),IF(I2561&lt;1,I2561,I2561*VLOOKUP(J2561,Summary!$H$2:$I$9,2)),VLOOKUP(J2561,Summary!$J$2:$K$9,2)*IF(ISNUMBER(H2561),H2561,1))</f>
        <v>0.76655092592592611</v>
      </c>
      <c r="AG2561" s="289">
        <v>2560</v>
      </c>
      <c r="AH2561" s="94"/>
      <c r="AI2561" s="94"/>
    </row>
    <row r="2562" spans="1:36" s="27" customFormat="1" ht="12" customHeight="1" x14ac:dyDescent="0.25">
      <c r="A2562" s="546" t="s">
        <v>5558</v>
      </c>
      <c r="B2562" s="546">
        <v>7</v>
      </c>
      <c r="C2562" s="548">
        <v>2.0699999999999998</v>
      </c>
      <c r="D2562" s="192" t="s">
        <v>3857</v>
      </c>
      <c r="E2562" s="317" t="s">
        <v>1980</v>
      </c>
      <c r="F2562" s="209">
        <v>40602</v>
      </c>
      <c r="G2562" s="209"/>
      <c r="H2562" s="192">
        <v>1</v>
      </c>
      <c r="I2562" s="753">
        <f>TIME(0,18,32)</f>
        <v>1.2870370370370372E-2</v>
      </c>
      <c r="J2562" s="903" t="s">
        <v>2755</v>
      </c>
      <c r="K2562" s="194" t="s">
        <v>1503</v>
      </c>
      <c r="L2562" s="194" t="s">
        <v>3426</v>
      </c>
      <c r="M2562" s="194" t="s">
        <v>498</v>
      </c>
      <c r="N2562" s="194"/>
      <c r="O2562" s="194"/>
      <c r="P2562" s="190" t="s">
        <v>6698</v>
      </c>
      <c r="Q2562" s="194" t="s">
        <v>3947</v>
      </c>
      <c r="R2562" s="193" t="s">
        <v>2722</v>
      </c>
      <c r="S2562" s="357" t="s">
        <v>2542</v>
      </c>
      <c r="T2562" s="190"/>
      <c r="U2562" s="190"/>
      <c r="V2562" s="190"/>
      <c r="W2562" s="317" t="s">
        <v>1980</v>
      </c>
      <c r="X2562" s="649" t="s">
        <v>12518</v>
      </c>
      <c r="Y2562" s="357" t="s">
        <v>5643</v>
      </c>
      <c r="Z2562" s="192">
        <v>999</v>
      </c>
      <c r="AA2562" s="192"/>
      <c r="AB2562" s="37">
        <f t="shared" ref="AB2562:AB2625" ca="1" si="57">RAND()</f>
        <v>0.3854105701405155</v>
      </c>
      <c r="AC2562" s="816"/>
      <c r="AD2562" s="817"/>
      <c r="AE2562" s="943"/>
      <c r="AF2562" s="924">
        <f>IF(X2562=X2561,AF2561,0)+IF(ISNUMBER(I2562),IF(I2562&lt;1,I2562,I2562*VLOOKUP(J2562,Summary!$H$2:$I$9,2)),VLOOKUP(J2562,Summary!$J$2:$K$9,2)*IF(ISNUMBER(H2562),H2562,1))</f>
        <v>0.77942129629629653</v>
      </c>
      <c r="AG2562" s="292">
        <v>2561</v>
      </c>
      <c r="AH2562" s="94"/>
      <c r="AI2562" s="94"/>
    </row>
    <row r="2563" spans="1:36" s="22" customFormat="1" ht="12" customHeight="1" x14ac:dyDescent="0.2">
      <c r="A2563" s="543" t="s">
        <v>5558</v>
      </c>
      <c r="B2563" s="543">
        <v>7</v>
      </c>
      <c r="C2563" s="549">
        <v>7.0000000000000007E-2</v>
      </c>
      <c r="D2563" s="185" t="s">
        <v>15387</v>
      </c>
      <c r="E2563" s="314" t="s">
        <v>15388</v>
      </c>
      <c r="F2563" s="184">
        <v>43369</v>
      </c>
      <c r="G2563" s="184"/>
      <c r="H2563" s="185">
        <v>1</v>
      </c>
      <c r="I2563" s="185">
        <v>4</v>
      </c>
      <c r="J2563" s="901" t="s">
        <v>1796</v>
      </c>
      <c r="K2563" s="163" t="s">
        <v>2675</v>
      </c>
      <c r="L2563" s="163" t="s">
        <v>3365</v>
      </c>
      <c r="M2563" s="163" t="s">
        <v>3365</v>
      </c>
      <c r="N2563" s="163"/>
      <c r="O2563" s="163"/>
      <c r="P2563" s="182" t="s">
        <v>461</v>
      </c>
      <c r="Q2563" s="163" t="s">
        <v>7076</v>
      </c>
      <c r="R2563" s="186" t="s">
        <v>14473</v>
      </c>
      <c r="S2563" s="355" t="s">
        <v>2542</v>
      </c>
      <c r="T2563" s="182"/>
      <c r="U2563" s="182"/>
      <c r="V2563" s="182"/>
      <c r="W2563" s="314" t="s">
        <v>15388</v>
      </c>
      <c r="X2563" s="657" t="s">
        <v>12518</v>
      </c>
      <c r="Y2563" s="355"/>
      <c r="Z2563" s="185"/>
      <c r="AA2563" s="185"/>
      <c r="AB2563" s="33">
        <f t="shared" ca="1" si="57"/>
        <v>0.21605851450720837</v>
      </c>
      <c r="AC2563" s="813"/>
      <c r="AD2563" s="819"/>
      <c r="AE2563" s="875"/>
      <c r="AF2563" s="922">
        <f>IF(X2563=X2562,AF2562,0)+IF(ISNUMBER(I2563),IF(I2563&lt;1,I2563,I2563*VLOOKUP(J2563,Summary!$H$2:$I$9,2)),VLOOKUP(J2563,Summary!$J$2:$K$9,2)*IF(ISNUMBER(H2563),H2563,1))</f>
        <v>0.78081018518518541</v>
      </c>
      <c r="AG2563" s="290">
        <v>2562</v>
      </c>
      <c r="AH2563" s="94"/>
      <c r="AI2563" s="94"/>
    </row>
    <row r="2564" spans="1:36" s="27" customFormat="1" ht="12" customHeight="1" x14ac:dyDescent="0.25">
      <c r="A2564" s="550" t="s">
        <v>5558</v>
      </c>
      <c r="B2564" s="550">
        <v>7</v>
      </c>
      <c r="C2564" s="550">
        <v>5</v>
      </c>
      <c r="D2564" s="417" t="s">
        <v>6463</v>
      </c>
      <c r="E2564" s="316" t="s">
        <v>6464</v>
      </c>
      <c r="F2564" s="195">
        <v>35709</v>
      </c>
      <c r="G2564" s="188"/>
      <c r="H2564" s="188" t="str">
        <f>IF(J2564="Book","n/a","")</f>
        <v>n/a</v>
      </c>
      <c r="I2564" s="188">
        <v>281</v>
      </c>
      <c r="J2564" s="902" t="s">
        <v>6868</v>
      </c>
      <c r="K2564" s="162" t="s">
        <v>5564</v>
      </c>
      <c r="L2564" s="162" t="str">
        <f>IF(J2564="Book","n/a","")</f>
        <v>n/a</v>
      </c>
      <c r="M2564" s="162"/>
      <c r="N2564" s="162"/>
      <c r="O2564" s="162"/>
      <c r="P2564" s="178" t="s">
        <v>8930</v>
      </c>
      <c r="Q2564" s="162" t="s">
        <v>3953</v>
      </c>
      <c r="R2564" s="189" t="s">
        <v>2717</v>
      </c>
      <c r="S2564" s="366" t="s">
        <v>2542</v>
      </c>
      <c r="T2564" s="178"/>
      <c r="U2564" s="178"/>
      <c r="V2564" s="178"/>
      <c r="W2564" s="316" t="s">
        <v>6464</v>
      </c>
      <c r="X2564" s="648" t="s">
        <v>12518</v>
      </c>
      <c r="Y2564" s="356"/>
      <c r="Z2564" s="272"/>
      <c r="AA2564" s="272"/>
      <c r="AB2564" s="34">
        <f t="shared" ca="1" si="57"/>
        <v>0.23711055666314862</v>
      </c>
      <c r="AC2564" s="814"/>
      <c r="AD2564" s="815" t="s">
        <v>14586</v>
      </c>
      <c r="AE2564" s="942"/>
      <c r="AF2564" s="923">
        <f>IF(X2564=X2563,AF2563,0)+IF(ISNUMBER(I2564),IF(I2564&lt;1,I2564,I2564*VLOOKUP(J2564,Summary!$H$2:$I$9,2)),VLOOKUP(J2564,Summary!$J$2:$K$9,2)*IF(ISNUMBER(H2564),H2564,1))</f>
        <v>0.97594907407407427</v>
      </c>
      <c r="AG2564" s="291">
        <v>2563</v>
      </c>
      <c r="AH2564" s="94"/>
      <c r="AI2564" s="94"/>
    </row>
    <row r="2565" spans="1:36" s="27" customFormat="1" ht="12" customHeight="1" x14ac:dyDescent="0.25">
      <c r="A2565" s="550" t="s">
        <v>5558</v>
      </c>
      <c r="B2565" s="550">
        <v>7</v>
      </c>
      <c r="C2565" s="550">
        <v>16</v>
      </c>
      <c r="D2565" s="417" t="s">
        <v>6465</v>
      </c>
      <c r="E2565" s="316" t="s">
        <v>6466</v>
      </c>
      <c r="F2565" s="195">
        <v>36073</v>
      </c>
      <c r="G2565" s="188"/>
      <c r="H2565" s="188" t="str">
        <f>IF(J2565="Book","n/a","")</f>
        <v>n/a</v>
      </c>
      <c r="I2565" s="188">
        <v>288</v>
      </c>
      <c r="J2565" s="902" t="s">
        <v>6868</v>
      </c>
      <c r="K2565" s="162" t="s">
        <v>5564</v>
      </c>
      <c r="L2565" s="162" t="str">
        <f>IF(J2565="Book","n/a","")</f>
        <v>n/a</v>
      </c>
      <c r="M2565" s="162"/>
      <c r="N2565" s="162"/>
      <c r="O2565" s="162"/>
      <c r="P2565" s="178" t="s">
        <v>8941</v>
      </c>
      <c r="Q2565" s="162" t="s">
        <v>3953</v>
      </c>
      <c r="R2565" s="189" t="s">
        <v>2717</v>
      </c>
      <c r="S2565" s="366" t="s">
        <v>2542</v>
      </c>
      <c r="T2565" s="178"/>
      <c r="U2565" s="178"/>
      <c r="V2565" s="178"/>
      <c r="W2565" s="316" t="s">
        <v>6466</v>
      </c>
      <c r="X2565" s="648" t="s">
        <v>12518</v>
      </c>
      <c r="Y2565" s="356"/>
      <c r="Z2565" s="272"/>
      <c r="AA2565" s="272"/>
      <c r="AB2565" s="34">
        <f t="shared" ca="1" si="57"/>
        <v>0.33059612353107215</v>
      </c>
      <c r="AC2565" s="814"/>
      <c r="AD2565" s="818" t="s">
        <v>16632</v>
      </c>
      <c r="AE2565" s="942"/>
      <c r="AF2565" s="923">
        <f>IF(X2565=X2564,AF2564,0)+IF(ISNUMBER(I2565),IF(I2565&lt;1,I2565,I2565*VLOOKUP(J2565,Summary!$H$2:$I$9,2)),VLOOKUP(J2565,Summary!$J$2:$K$9,2)*IF(ISNUMBER(H2565),H2565,1))</f>
        <v>1.1759490740740743</v>
      </c>
      <c r="AG2565" s="291">
        <v>2564</v>
      </c>
      <c r="AH2565" s="94"/>
      <c r="AI2565" s="94"/>
    </row>
    <row r="2566" spans="1:36" s="27" customFormat="1" ht="12" customHeight="1" x14ac:dyDescent="0.25">
      <c r="A2566" s="550" t="s">
        <v>5558</v>
      </c>
      <c r="B2566" s="550">
        <v>7</v>
      </c>
      <c r="C2566" s="550">
        <v>23</v>
      </c>
      <c r="D2566" s="417" t="s">
        <v>6467</v>
      </c>
      <c r="E2566" s="316" t="s">
        <v>6468</v>
      </c>
      <c r="F2566" s="187">
        <v>36312</v>
      </c>
      <c r="G2566" s="188"/>
      <c r="H2566" s="188" t="str">
        <f>IF(J2566="Book","n/a","")</f>
        <v>n/a</v>
      </c>
      <c r="I2566" s="188">
        <v>279</v>
      </c>
      <c r="J2566" s="902" t="s">
        <v>6868</v>
      </c>
      <c r="K2566" s="162" t="s">
        <v>5564</v>
      </c>
      <c r="L2566" s="162" t="str">
        <f>IF(J2566="Book","n/a","")</f>
        <v>n/a</v>
      </c>
      <c r="M2566" s="162"/>
      <c r="N2566" s="162"/>
      <c r="O2566" s="162"/>
      <c r="P2566" s="178" t="s">
        <v>8948</v>
      </c>
      <c r="Q2566" s="162" t="s">
        <v>3953</v>
      </c>
      <c r="R2566" s="189" t="s">
        <v>2717</v>
      </c>
      <c r="S2566" s="366" t="s">
        <v>2542</v>
      </c>
      <c r="T2566" s="178"/>
      <c r="U2566" s="178"/>
      <c r="V2566" s="178"/>
      <c r="W2566" s="316" t="s">
        <v>6468</v>
      </c>
      <c r="X2566" s="648" t="s">
        <v>12518</v>
      </c>
      <c r="Y2566" s="356"/>
      <c r="Z2566" s="272"/>
      <c r="AA2566" s="272"/>
      <c r="AB2566" s="34">
        <f t="shared" ca="1" si="57"/>
        <v>0.30843830282626106</v>
      </c>
      <c r="AC2566" s="814"/>
      <c r="AD2566" s="815" t="s">
        <v>16435</v>
      </c>
      <c r="AE2566" s="942" t="s">
        <v>15062</v>
      </c>
      <c r="AF2566" s="923">
        <f>IF(X2566=X2565,AF2565,0)+IF(ISNUMBER(I2566),IF(I2566&lt;1,I2566,I2566*VLOOKUP(J2566,Summary!$H$2:$I$9,2)),VLOOKUP(J2566,Summary!$J$2:$K$9,2)*IF(ISNUMBER(H2566),H2566,1))</f>
        <v>1.3696990740740744</v>
      </c>
      <c r="AG2566" s="291">
        <v>2565</v>
      </c>
      <c r="AH2566" s="94"/>
      <c r="AI2566" s="94"/>
    </row>
    <row r="2567" spans="1:36" s="27" customFormat="1" ht="12" customHeight="1" x14ac:dyDescent="0.25">
      <c r="A2567" s="539" t="s">
        <v>5558</v>
      </c>
      <c r="B2567" s="539">
        <v>7</v>
      </c>
      <c r="C2567" s="540">
        <v>25</v>
      </c>
      <c r="D2567" s="176" t="s">
        <v>3606</v>
      </c>
      <c r="E2567" s="313" t="s">
        <v>3607</v>
      </c>
      <c r="F2567" s="175">
        <v>34073</v>
      </c>
      <c r="G2567" s="174"/>
      <c r="H2567" s="176">
        <v>1</v>
      </c>
      <c r="I2567" s="176">
        <v>1</v>
      </c>
      <c r="J2567" s="900" t="s">
        <v>2755</v>
      </c>
      <c r="K2567" s="164" t="s">
        <v>3596</v>
      </c>
      <c r="L2567" s="164"/>
      <c r="M2567" s="164"/>
      <c r="N2567" s="164" t="s">
        <v>7375</v>
      </c>
      <c r="O2567" s="164"/>
      <c r="P2567" s="173" t="s">
        <v>461</v>
      </c>
      <c r="Q2567" s="164" t="s">
        <v>4062</v>
      </c>
      <c r="R2567" s="177" t="s">
        <v>4599</v>
      </c>
      <c r="S2567" s="354"/>
      <c r="T2567" s="173"/>
      <c r="U2567" s="173"/>
      <c r="V2567" s="173"/>
      <c r="W2567" s="313" t="s">
        <v>3607</v>
      </c>
      <c r="X2567" s="645" t="s">
        <v>12518</v>
      </c>
      <c r="Y2567" s="354"/>
      <c r="Z2567" s="176"/>
      <c r="AA2567" s="176"/>
      <c r="AB2567" s="32">
        <f t="shared" ca="1" si="57"/>
        <v>0.67653748735228436</v>
      </c>
      <c r="AC2567" s="812"/>
      <c r="AD2567" s="763"/>
      <c r="AE2567" s="807"/>
      <c r="AF2567" s="921">
        <f>IF(X2567=X2566,AF2566,0)+IF(ISNUMBER(I2567),IF(I2567&lt;1,I2567,I2567*VLOOKUP(J2567,Summary!$H$2:$I$9,2)),VLOOKUP(J2567,Summary!$J$2:$K$9,2)*IF(ISNUMBER(H2567),H2567,1))</f>
        <v>1.370393518518519</v>
      </c>
      <c r="AG2567" s="289">
        <v>2566</v>
      </c>
      <c r="AH2567" s="94"/>
      <c r="AI2567" s="94"/>
    </row>
    <row r="2568" spans="1:36" s="27" customFormat="1" ht="12" customHeight="1" x14ac:dyDescent="0.25">
      <c r="A2568" s="408" t="s">
        <v>5558</v>
      </c>
      <c r="B2568" s="440" t="s">
        <v>2650</v>
      </c>
      <c r="C2568" s="408">
        <v>57</v>
      </c>
      <c r="D2568" s="176" t="s">
        <v>7624</v>
      </c>
      <c r="E2568" s="313" t="s">
        <v>3486</v>
      </c>
      <c r="F2568" s="174">
        <v>34578</v>
      </c>
      <c r="G2568" s="174"/>
      <c r="H2568" s="176">
        <v>1</v>
      </c>
      <c r="I2568" s="176">
        <v>2</v>
      </c>
      <c r="J2568" s="900" t="s">
        <v>2755</v>
      </c>
      <c r="K2568" s="164" t="s">
        <v>4139</v>
      </c>
      <c r="L2568" s="164" t="s">
        <v>461</v>
      </c>
      <c r="M2568" s="164"/>
      <c r="N2568" s="164" t="s">
        <v>7626</v>
      </c>
      <c r="O2568" s="164"/>
      <c r="P2568" s="173" t="s">
        <v>7627</v>
      </c>
      <c r="Q2568" s="164" t="s">
        <v>4062</v>
      </c>
      <c r="R2568" s="177" t="s">
        <v>4599</v>
      </c>
      <c r="S2568" s="354"/>
      <c r="T2568" s="173"/>
      <c r="U2568" s="173"/>
      <c r="V2568" s="173"/>
      <c r="W2568" s="313" t="s">
        <v>3486</v>
      </c>
      <c r="X2568" s="645" t="s">
        <v>12518</v>
      </c>
      <c r="Y2568" s="354" t="s">
        <v>6868</v>
      </c>
      <c r="Z2568" s="176">
        <v>999</v>
      </c>
      <c r="AA2568" s="176"/>
      <c r="AB2568" s="32">
        <f t="shared" ca="1" si="57"/>
        <v>0.50607508364111853</v>
      </c>
      <c r="AC2568" s="812"/>
      <c r="AD2568" s="763"/>
      <c r="AE2568" s="807"/>
      <c r="AF2568" s="921">
        <f>IF(X2568=X2567,AF2567,0)+IF(ISNUMBER(I2568),IF(I2568&lt;1,I2568,I2568*VLOOKUP(J2568,Summary!$H$2:$I$9,2)),VLOOKUP(J2568,Summary!$J$2:$K$9,2)*IF(ISNUMBER(H2568),H2568,1))</f>
        <v>1.3717824074074079</v>
      </c>
      <c r="AG2568" s="289">
        <v>2567</v>
      </c>
      <c r="AH2568" s="94"/>
      <c r="AI2568" s="94"/>
    </row>
    <row r="2569" spans="1:36" s="27" customFormat="1" ht="12" customHeight="1" x14ac:dyDescent="0.25">
      <c r="A2569" s="552" t="s">
        <v>5558</v>
      </c>
      <c r="B2569" s="552">
        <v>7</v>
      </c>
      <c r="C2569" s="552">
        <v>0</v>
      </c>
      <c r="D2569" s="509" t="s">
        <v>1544</v>
      </c>
      <c r="E2569" s="335" t="s">
        <v>5645</v>
      </c>
      <c r="F2569" s="223">
        <v>34299</v>
      </c>
      <c r="G2569" s="223">
        <v>34300</v>
      </c>
      <c r="H2569" s="242">
        <v>2</v>
      </c>
      <c r="I2569" s="792">
        <f>TIME(0,7,38)+TIME(0,5,28)</f>
        <v>9.0972222222222218E-3</v>
      </c>
      <c r="J2569" s="909" t="s">
        <v>1588</v>
      </c>
      <c r="K2569" s="243" t="s">
        <v>5646</v>
      </c>
      <c r="L2569" s="243" t="s">
        <v>5647</v>
      </c>
      <c r="M2569" s="243"/>
      <c r="N2569" s="243"/>
      <c r="O2569" s="243"/>
      <c r="P2569" s="241" t="s">
        <v>461</v>
      </c>
      <c r="Q2569" s="243" t="s">
        <v>3946</v>
      </c>
      <c r="R2569" s="244" t="s">
        <v>5269</v>
      </c>
      <c r="S2569" s="395" t="s">
        <v>2542</v>
      </c>
      <c r="T2569" s="241" t="s">
        <v>2123</v>
      </c>
      <c r="U2569" s="241"/>
      <c r="V2569" s="241"/>
      <c r="W2569" s="339"/>
      <c r="X2569" s="672" t="s">
        <v>12518</v>
      </c>
      <c r="Y2569" s="375"/>
      <c r="Z2569" s="376">
        <v>322</v>
      </c>
      <c r="AA2569" s="377">
        <v>0.5</v>
      </c>
      <c r="AB2569" s="55">
        <f t="shared" ca="1" si="57"/>
        <v>0.10594851531664751</v>
      </c>
      <c r="AC2569" s="834"/>
      <c r="AD2569" s="835"/>
      <c r="AE2569" s="957"/>
      <c r="AF2569" s="930">
        <f>IF(X2569=X2568,AF2568,0)+IF(ISNUMBER(I2569),IF(I2569&lt;1,I2569,I2569*VLOOKUP(J2569,Summary!$H$2:$I$9,2)),VLOOKUP(J2569,Summary!$J$2:$K$9,2)*IF(ISNUMBER(H2569),H2569,1))</f>
        <v>1.3808796296296302</v>
      </c>
      <c r="AG2569" s="302">
        <v>2568</v>
      </c>
      <c r="AH2569" s="94"/>
      <c r="AI2569" s="94"/>
    </row>
    <row r="2570" spans="1:36" s="2" customFormat="1" ht="12" customHeight="1" x14ac:dyDescent="0.25">
      <c r="A2570" s="539" t="s">
        <v>5558</v>
      </c>
      <c r="B2570" s="539">
        <v>7</v>
      </c>
      <c r="C2570" s="542">
        <v>3.19</v>
      </c>
      <c r="D2570" s="176" t="s">
        <v>4404</v>
      </c>
      <c r="E2570" s="313" t="s">
        <v>4405</v>
      </c>
      <c r="F2570" s="174">
        <v>36586</v>
      </c>
      <c r="G2570" s="175"/>
      <c r="H2570" s="176">
        <v>1</v>
      </c>
      <c r="I2570" s="176">
        <v>17</v>
      </c>
      <c r="J2570" s="900" t="s">
        <v>2755</v>
      </c>
      <c r="K2570" s="157" t="s">
        <v>5564</v>
      </c>
      <c r="L2570" s="157" t="s">
        <v>461</v>
      </c>
      <c r="M2570" s="157"/>
      <c r="N2570" s="164" t="s">
        <v>4992</v>
      </c>
      <c r="O2570" s="157"/>
      <c r="P2570" s="173" t="s">
        <v>4993</v>
      </c>
      <c r="Q2570" s="157" t="s">
        <v>3953</v>
      </c>
      <c r="R2570" s="179" t="s">
        <v>2723</v>
      </c>
      <c r="S2570" s="354" t="s">
        <v>2542</v>
      </c>
      <c r="T2570" s="173" t="s">
        <v>6335</v>
      </c>
      <c r="U2570" s="173"/>
      <c r="V2570" s="173"/>
      <c r="W2570" s="313" t="s">
        <v>4405</v>
      </c>
      <c r="X2570" s="645" t="s">
        <v>12518</v>
      </c>
      <c r="Y2570" s="354" t="s">
        <v>6868</v>
      </c>
      <c r="Z2570" s="176">
        <v>999</v>
      </c>
      <c r="AA2570" s="176"/>
      <c r="AB2570" s="32">
        <f t="shared" ca="1" si="57"/>
        <v>0.43999967192391032</v>
      </c>
      <c r="AC2570" s="812"/>
      <c r="AD2570" s="763"/>
      <c r="AE2570" s="807"/>
      <c r="AF2570" s="921">
        <f>IF(X2570=X2569,AF2569,0)+IF(ISNUMBER(I2570),IF(I2570&lt;1,I2570,I2570*VLOOKUP(J2570,Summary!$H$2:$I$9,2)),VLOOKUP(J2570,Summary!$J$2:$K$9,2)*IF(ISNUMBER(H2570),H2570,1))</f>
        <v>1.3926851851851858</v>
      </c>
      <c r="AG2570" s="288">
        <v>2569</v>
      </c>
      <c r="AH2570" s="94"/>
      <c r="AI2570" s="94"/>
    </row>
    <row r="2571" spans="1:36" s="2" customFormat="1" ht="12" customHeight="1" x14ac:dyDescent="0.25">
      <c r="A2571" s="541" t="s">
        <v>6875</v>
      </c>
      <c r="B2571" s="541">
        <v>7</v>
      </c>
      <c r="C2571" s="541">
        <v>7</v>
      </c>
      <c r="D2571" s="407" t="s">
        <v>2521</v>
      </c>
      <c r="E2571" s="315" t="s">
        <v>2522</v>
      </c>
      <c r="F2571" s="169">
        <v>36647</v>
      </c>
      <c r="G2571" s="170"/>
      <c r="H2571" s="170">
        <v>4</v>
      </c>
      <c r="I2571" s="746">
        <f>TIME(1,55,37)</f>
        <v>8.0289351851851862E-2</v>
      </c>
      <c r="J2571" s="899" t="s">
        <v>4706</v>
      </c>
      <c r="K2571" s="167" t="s">
        <v>1935</v>
      </c>
      <c r="L2571" s="167" t="s">
        <v>4549</v>
      </c>
      <c r="M2571" s="167"/>
      <c r="N2571" s="167"/>
      <c r="O2571" s="167" t="s">
        <v>2909</v>
      </c>
      <c r="P2571" s="168" t="s">
        <v>12949</v>
      </c>
      <c r="Q2571" s="167" t="s">
        <v>3947</v>
      </c>
      <c r="R2571" s="172" t="s">
        <v>3146</v>
      </c>
      <c r="S2571" s="388" t="s">
        <v>2542</v>
      </c>
      <c r="T2571" s="168"/>
      <c r="U2571" s="168"/>
      <c r="V2571" s="168"/>
      <c r="W2571" s="312" t="s">
        <v>8767</v>
      </c>
      <c r="X2571" s="644" t="s">
        <v>12469</v>
      </c>
      <c r="Y2571" s="352" t="s">
        <v>5643</v>
      </c>
      <c r="Z2571" s="353">
        <v>225</v>
      </c>
      <c r="AA2571" s="353">
        <v>6</v>
      </c>
      <c r="AB2571" s="31">
        <f t="shared" ca="1" si="57"/>
        <v>0.55227568499447477</v>
      </c>
      <c r="AC2571" s="810"/>
      <c r="AD2571" s="811" t="s">
        <v>16434</v>
      </c>
      <c r="AE2571" s="940" t="s">
        <v>12543</v>
      </c>
      <c r="AF2571" s="920">
        <f>IF(X2571=X2570,AF2570,0)+IF(ISNUMBER(I2571),IF(I2571&lt;1,I2571,I2571*VLOOKUP(J2571,Summary!$H$2:$I$9,2)),VLOOKUP(J2571,Summary!$J$2:$K$9,2)*IF(ISNUMBER(H2571),H2571,1))</f>
        <v>8.0289351851851862E-2</v>
      </c>
      <c r="AG2571" s="287">
        <v>2570</v>
      </c>
      <c r="AH2571" s="94"/>
      <c r="AI2571" s="94"/>
      <c r="AJ2571" s="43"/>
    </row>
    <row r="2572" spans="1:36" s="3" customFormat="1" ht="12" customHeight="1" x14ac:dyDescent="0.25">
      <c r="A2572" s="550" t="s">
        <v>6875</v>
      </c>
      <c r="B2572" s="550">
        <v>7</v>
      </c>
      <c r="C2572" s="550">
        <v>33</v>
      </c>
      <c r="D2572" s="417" t="s">
        <v>6469</v>
      </c>
      <c r="E2572" s="316" t="s">
        <v>6470</v>
      </c>
      <c r="F2572" s="187">
        <v>36708</v>
      </c>
      <c r="G2572" s="188"/>
      <c r="H2572" s="188" t="str">
        <f>IF(J2572="Book","n/a","")</f>
        <v>n/a</v>
      </c>
      <c r="I2572" s="188">
        <v>288</v>
      </c>
      <c r="J2572" s="902" t="s">
        <v>6868</v>
      </c>
      <c r="K2572" s="162" t="s">
        <v>1935</v>
      </c>
      <c r="L2572" s="162" t="str">
        <f>IF(J2572="Book","n/a","")</f>
        <v>n/a</v>
      </c>
      <c r="M2572" s="162"/>
      <c r="N2572" s="162"/>
      <c r="O2572" s="162"/>
      <c r="P2572" s="178" t="s">
        <v>8958</v>
      </c>
      <c r="Q2572" s="162" t="s">
        <v>3953</v>
      </c>
      <c r="R2572" s="189" t="s">
        <v>2717</v>
      </c>
      <c r="S2572" s="366" t="s">
        <v>2542</v>
      </c>
      <c r="T2572" s="178"/>
      <c r="U2572" s="178"/>
      <c r="V2572" s="178"/>
      <c r="W2572" s="316" t="s">
        <v>6470</v>
      </c>
      <c r="X2572" s="648" t="s">
        <v>12469</v>
      </c>
      <c r="Y2572" s="356"/>
      <c r="Z2572" s="272"/>
      <c r="AA2572" s="272"/>
      <c r="AB2572" s="34">
        <f t="shared" ca="1" si="57"/>
        <v>0.94195801188488726</v>
      </c>
      <c r="AC2572" s="814"/>
      <c r="AD2572" s="815" t="s">
        <v>16436</v>
      </c>
      <c r="AE2572" s="942" t="s">
        <v>15062</v>
      </c>
      <c r="AF2572" s="923">
        <f>IF(X2572=X2571,AF2571,0)+IF(ISNUMBER(I2572),IF(I2572&lt;1,I2572,I2572*VLOOKUP(J2572,Summary!$H$2:$I$9,2)),VLOOKUP(J2572,Summary!$J$2:$K$9,2)*IF(ISNUMBER(H2572),H2572,1))</f>
        <v>0.28028935185185189</v>
      </c>
      <c r="AG2572" s="291">
        <v>2571</v>
      </c>
      <c r="AH2572" s="94"/>
      <c r="AI2572" s="94"/>
      <c r="AJ2572" s="22"/>
    </row>
    <row r="2573" spans="1:36" s="2" customFormat="1" ht="12" customHeight="1" x14ac:dyDescent="0.25">
      <c r="A2573" s="550" t="s">
        <v>6875</v>
      </c>
      <c r="B2573" s="550">
        <v>7</v>
      </c>
      <c r="C2573" s="550">
        <v>57</v>
      </c>
      <c r="D2573" s="417" t="s">
        <v>5566</v>
      </c>
      <c r="E2573" s="316" t="s">
        <v>5567</v>
      </c>
      <c r="F2573" s="187">
        <v>37742</v>
      </c>
      <c r="G2573" s="188"/>
      <c r="H2573" s="188" t="str">
        <f>IF(J2573="Book","n/a","")</f>
        <v>n/a</v>
      </c>
      <c r="I2573" s="188">
        <v>280</v>
      </c>
      <c r="J2573" s="902" t="s">
        <v>6868</v>
      </c>
      <c r="K2573" s="162" t="s">
        <v>4131</v>
      </c>
      <c r="L2573" s="162" t="str">
        <f>IF(J2573="Book","n/a","")</f>
        <v>n/a</v>
      </c>
      <c r="M2573" s="162"/>
      <c r="N2573" s="162"/>
      <c r="O2573" s="162"/>
      <c r="P2573" s="178" t="s">
        <v>8981</v>
      </c>
      <c r="Q2573" s="162" t="s">
        <v>3953</v>
      </c>
      <c r="R2573" s="189" t="s">
        <v>2717</v>
      </c>
      <c r="S2573" s="366" t="s">
        <v>2542</v>
      </c>
      <c r="T2573" s="178"/>
      <c r="U2573" s="178"/>
      <c r="V2573" s="178"/>
      <c r="W2573" s="316" t="s">
        <v>5567</v>
      </c>
      <c r="X2573" s="648" t="s">
        <v>12469</v>
      </c>
      <c r="Y2573" s="356"/>
      <c r="Z2573" s="272"/>
      <c r="AA2573" s="272"/>
      <c r="AB2573" s="34">
        <f t="shared" ca="1" si="57"/>
        <v>0.9354073997129021</v>
      </c>
      <c r="AC2573" s="814"/>
      <c r="AD2573" s="815" t="s">
        <v>16452</v>
      </c>
      <c r="AE2573" s="942"/>
      <c r="AF2573" s="923">
        <f>IF(X2573=X2572,AF2572,0)+IF(ISNUMBER(I2573),IF(I2573&lt;1,I2573,I2573*VLOOKUP(J2573,Summary!$H$2:$I$9,2)),VLOOKUP(J2573,Summary!$J$2:$K$9,2)*IF(ISNUMBER(H2573),H2573,1))</f>
        <v>0.47473379629629631</v>
      </c>
      <c r="AG2573" s="291">
        <v>2572</v>
      </c>
      <c r="AH2573" s="94"/>
      <c r="AI2573" s="94"/>
      <c r="AJ2573" s="3"/>
    </row>
    <row r="2574" spans="1:36" s="3" customFormat="1" ht="12" customHeight="1" x14ac:dyDescent="0.25">
      <c r="A2574" s="550" t="s">
        <v>6875</v>
      </c>
      <c r="B2574" s="550">
        <v>7</v>
      </c>
      <c r="C2574" s="550">
        <v>60</v>
      </c>
      <c r="D2574" s="417" t="s">
        <v>6471</v>
      </c>
      <c r="E2574" s="316" t="s">
        <v>6472</v>
      </c>
      <c r="F2574" s="187">
        <v>37742</v>
      </c>
      <c r="G2574" s="188"/>
      <c r="H2574" s="188" t="str">
        <f>IF(J2574="Book","n/a","")</f>
        <v>n/a</v>
      </c>
      <c r="I2574" s="188">
        <v>270</v>
      </c>
      <c r="J2574" s="902" t="s">
        <v>6868</v>
      </c>
      <c r="K2574" s="162" t="s">
        <v>5564</v>
      </c>
      <c r="L2574" s="162" t="str">
        <f>IF(J2574="Book","n/a","")</f>
        <v>n/a</v>
      </c>
      <c r="M2574" s="162"/>
      <c r="N2574" s="162"/>
      <c r="O2574" s="162"/>
      <c r="P2574" s="178" t="s">
        <v>8984</v>
      </c>
      <c r="Q2574" s="162" t="s">
        <v>3953</v>
      </c>
      <c r="R2574" s="189" t="s">
        <v>2717</v>
      </c>
      <c r="S2574" s="366" t="s">
        <v>2542</v>
      </c>
      <c r="T2574" s="178"/>
      <c r="U2574" s="178"/>
      <c r="V2574" s="178"/>
      <c r="W2574" s="316" t="s">
        <v>6472</v>
      </c>
      <c r="X2574" s="648" t="s">
        <v>12469</v>
      </c>
      <c r="Y2574" s="356"/>
      <c r="Z2574" s="272"/>
      <c r="AA2574" s="272"/>
      <c r="AB2574" s="34">
        <f t="shared" ca="1" si="57"/>
        <v>4.6830603349914846E-2</v>
      </c>
      <c r="AC2574" s="814"/>
      <c r="AD2574" s="815" t="s">
        <v>16773</v>
      </c>
      <c r="AE2574" s="942" t="s">
        <v>15093</v>
      </c>
      <c r="AF2574" s="923">
        <f>IF(X2574=X2573,AF2573,0)+IF(ISNUMBER(I2574),IF(I2574&lt;1,I2574,I2574*VLOOKUP(J2574,Summary!$H$2:$I$9,2)),VLOOKUP(J2574,Summary!$J$2:$K$9,2)*IF(ISNUMBER(H2574),H2574,1))</f>
        <v>0.66223379629629631</v>
      </c>
      <c r="AG2574" s="291">
        <v>2573</v>
      </c>
      <c r="AH2574" s="94"/>
      <c r="AI2574" s="94"/>
    </row>
    <row r="2575" spans="1:36" s="3" customFormat="1" ht="12" customHeight="1" x14ac:dyDescent="0.25">
      <c r="A2575" s="539" t="s">
        <v>6875</v>
      </c>
      <c r="B2575" s="539">
        <v>7</v>
      </c>
      <c r="C2575" s="542">
        <v>26.05</v>
      </c>
      <c r="D2575" s="176" t="s">
        <v>3498</v>
      </c>
      <c r="E2575" s="313" t="s">
        <v>4956</v>
      </c>
      <c r="F2575" s="174">
        <v>39508</v>
      </c>
      <c r="G2575" s="174"/>
      <c r="H2575" s="176">
        <v>1</v>
      </c>
      <c r="I2575" s="176">
        <v>12</v>
      </c>
      <c r="J2575" s="900" t="s">
        <v>2755</v>
      </c>
      <c r="K2575" s="164" t="s">
        <v>2293</v>
      </c>
      <c r="L2575" s="164" t="s">
        <v>461</v>
      </c>
      <c r="M2575" s="164"/>
      <c r="N2575" s="164" t="s">
        <v>7381</v>
      </c>
      <c r="O2575" s="164"/>
      <c r="P2575" s="173" t="s">
        <v>6706</v>
      </c>
      <c r="Q2575" s="164" t="s">
        <v>3947</v>
      </c>
      <c r="R2575" s="177" t="s">
        <v>2723</v>
      </c>
      <c r="S2575" s="354" t="s">
        <v>2542</v>
      </c>
      <c r="T2575" s="173"/>
      <c r="U2575" s="173"/>
      <c r="V2575" s="173"/>
      <c r="W2575" s="313" t="s">
        <v>4956</v>
      </c>
      <c r="X2575" s="645" t="s">
        <v>12469</v>
      </c>
      <c r="Y2575" s="354"/>
      <c r="Z2575" s="176"/>
      <c r="AA2575" s="176"/>
      <c r="AB2575" s="32">
        <f t="shared" ca="1" si="57"/>
        <v>0.48873446944624843</v>
      </c>
      <c r="AC2575" s="812"/>
      <c r="AD2575" s="763"/>
      <c r="AE2575" s="807"/>
      <c r="AF2575" s="921">
        <f>IF(X2575=X2574,AF2574,0)+IF(ISNUMBER(I2575),IF(I2575&lt;1,I2575,I2575*VLOOKUP(J2575,Summary!$H$2:$I$9,2)),VLOOKUP(J2575,Summary!$J$2:$K$9,2)*IF(ISNUMBER(H2575),H2575,1))</f>
        <v>0.67056712962962961</v>
      </c>
      <c r="AG2575" s="289">
        <v>2574</v>
      </c>
      <c r="AH2575" s="94"/>
      <c r="AI2575" s="94"/>
    </row>
    <row r="2576" spans="1:36" s="22" customFormat="1" ht="12" customHeight="1" x14ac:dyDescent="0.2">
      <c r="A2576" s="541" t="s">
        <v>6875</v>
      </c>
      <c r="B2576" s="541">
        <v>7</v>
      </c>
      <c r="C2576" s="545">
        <v>1.06</v>
      </c>
      <c r="D2576" s="407" t="s">
        <v>11429</v>
      </c>
      <c r="E2576" s="315" t="s">
        <v>11428</v>
      </c>
      <c r="F2576" s="169">
        <v>36100</v>
      </c>
      <c r="G2576" s="170"/>
      <c r="H2576" s="170">
        <v>1</v>
      </c>
      <c r="I2576" s="746">
        <f>TIME(0,61,7)</f>
        <v>4.2442129629629628E-2</v>
      </c>
      <c r="J2576" s="899" t="s">
        <v>4706</v>
      </c>
      <c r="K2576" s="167" t="s">
        <v>7757</v>
      </c>
      <c r="L2576" s="167" t="s">
        <v>7757</v>
      </c>
      <c r="M2576" s="167"/>
      <c r="N2576" s="167"/>
      <c r="O2576" s="167" t="s">
        <v>4640</v>
      </c>
      <c r="P2576" s="168" t="s">
        <v>461</v>
      </c>
      <c r="Q2576" s="167" t="s">
        <v>603</v>
      </c>
      <c r="R2576" s="172" t="s">
        <v>5481</v>
      </c>
      <c r="S2576" s="388" t="s">
        <v>2542</v>
      </c>
      <c r="T2576" s="168"/>
      <c r="U2576" s="168"/>
      <c r="V2576" s="168"/>
      <c r="W2576" s="315" t="s">
        <v>11428</v>
      </c>
      <c r="X2576" s="647" t="s">
        <v>12469</v>
      </c>
      <c r="Y2576" s="352"/>
      <c r="Z2576" s="353"/>
      <c r="AA2576" s="353"/>
      <c r="AB2576" s="31">
        <f t="shared" ca="1" si="57"/>
        <v>0.82310721398999198</v>
      </c>
      <c r="AC2576" s="810"/>
      <c r="AD2576" s="811"/>
      <c r="AE2576" s="940"/>
      <c r="AF2576" s="920">
        <f>IF(X2576=X2575,AF2575,0)+IF(ISNUMBER(I2576),IF(I2576&lt;1,I2576,I2576*VLOOKUP(J2576,Summary!$H$2:$I$9,2)),VLOOKUP(J2576,Summary!$J$2:$K$9,2)*IF(ISNUMBER(H2576),H2576,1))</f>
        <v>0.71300925925925929</v>
      </c>
      <c r="AG2576" s="287">
        <v>2575</v>
      </c>
      <c r="AH2576" s="94"/>
      <c r="AI2576" s="94"/>
    </row>
    <row r="2577" spans="1:36" s="3" customFormat="1" ht="12" customHeight="1" x14ac:dyDescent="0.25">
      <c r="A2577" s="539" t="s">
        <v>6875</v>
      </c>
      <c r="B2577" s="539">
        <v>7</v>
      </c>
      <c r="C2577" s="539">
        <v>17</v>
      </c>
      <c r="D2577" s="176" t="s">
        <v>12802</v>
      </c>
      <c r="E2577" s="313" t="s">
        <v>12801</v>
      </c>
      <c r="F2577" s="174">
        <v>33086</v>
      </c>
      <c r="G2577" s="174"/>
      <c r="H2577" s="176">
        <v>1</v>
      </c>
      <c r="I2577" s="176">
        <v>3</v>
      </c>
      <c r="J2577" s="900" t="s">
        <v>2755</v>
      </c>
      <c r="K2577" s="164" t="s">
        <v>3807</v>
      </c>
      <c r="L2577" s="164" t="s">
        <v>461</v>
      </c>
      <c r="M2577" s="164"/>
      <c r="N2577" s="164" t="s">
        <v>561</v>
      </c>
      <c r="O2577" s="164"/>
      <c r="P2577" s="173" t="s">
        <v>461</v>
      </c>
      <c r="Q2577" s="164" t="s">
        <v>4062</v>
      </c>
      <c r="R2577" s="177" t="s">
        <v>10250</v>
      </c>
      <c r="S2577" s="354" t="s">
        <v>2542</v>
      </c>
      <c r="T2577" s="173"/>
      <c r="U2577" s="173"/>
      <c r="V2577" s="173"/>
      <c r="W2577" s="313" t="s">
        <v>12801</v>
      </c>
      <c r="X2577" s="645" t="s">
        <v>12469</v>
      </c>
      <c r="Y2577" s="354"/>
      <c r="Z2577" s="176"/>
      <c r="AA2577" s="176"/>
      <c r="AB2577" s="32">
        <f t="shared" ca="1" si="57"/>
        <v>0.58654911797146714</v>
      </c>
      <c r="AC2577" s="812"/>
      <c r="AD2577" s="763"/>
      <c r="AE2577" s="807"/>
      <c r="AF2577" s="921">
        <f>IF(X2577=X2576,AF2576,0)+IF(ISNUMBER(I2577),IF(I2577&lt;1,I2577,I2577*VLOOKUP(J2577,Summary!$H$2:$I$9,2)),VLOOKUP(J2577,Summary!$J$2:$K$9,2)*IF(ISNUMBER(H2577),H2577,1))</f>
        <v>0.71509259259259261</v>
      </c>
      <c r="AG2577" s="289">
        <v>2576</v>
      </c>
      <c r="AH2577" s="94"/>
      <c r="AI2577" s="94"/>
      <c r="AJ2577" s="6"/>
    </row>
    <row r="2578" spans="1:36" s="3" customFormat="1" ht="12" customHeight="1" x14ac:dyDescent="0.25">
      <c r="A2578" s="543" t="s">
        <v>6875</v>
      </c>
      <c r="B2578" s="543">
        <v>7</v>
      </c>
      <c r="C2578" s="549">
        <v>53</v>
      </c>
      <c r="D2578" s="185" t="s">
        <v>1305</v>
      </c>
      <c r="E2578" s="314" t="s">
        <v>5608</v>
      </c>
      <c r="F2578" s="184">
        <v>33124</v>
      </c>
      <c r="G2578" s="184">
        <v>33177</v>
      </c>
      <c r="H2578" s="185">
        <v>3</v>
      </c>
      <c r="I2578" s="185">
        <v>21</v>
      </c>
      <c r="J2578" s="901" t="s">
        <v>1796</v>
      </c>
      <c r="K2578" s="163" t="s">
        <v>2939</v>
      </c>
      <c r="L2578" s="163" t="s">
        <v>1306</v>
      </c>
      <c r="M2578" s="163"/>
      <c r="N2578" s="163" t="s">
        <v>561</v>
      </c>
      <c r="O2578" s="163"/>
      <c r="P2578" s="182" t="s">
        <v>461</v>
      </c>
      <c r="Q2578" s="163" t="s">
        <v>4062</v>
      </c>
      <c r="R2578" s="186" t="s">
        <v>5266</v>
      </c>
      <c r="S2578" s="355" t="s">
        <v>2542</v>
      </c>
      <c r="T2578" s="182"/>
      <c r="U2578" s="182"/>
      <c r="V2578" s="182"/>
      <c r="W2578" s="314"/>
      <c r="X2578" s="646" t="s">
        <v>12469</v>
      </c>
      <c r="Y2578" s="355" t="s">
        <v>6868</v>
      </c>
      <c r="Z2578" s="185">
        <v>999</v>
      </c>
      <c r="AA2578" s="185"/>
      <c r="AB2578" s="33">
        <f t="shared" ca="1" si="57"/>
        <v>0.87112735268564179</v>
      </c>
      <c r="AC2578" s="813"/>
      <c r="AD2578" s="826" t="s">
        <v>14583</v>
      </c>
      <c r="AE2578" s="941"/>
      <c r="AF2578" s="922">
        <f>IF(X2578=X2577,AF2577,0)+IF(ISNUMBER(I2578),IF(I2578&lt;1,I2578,I2578*VLOOKUP(J2578,Summary!$H$2:$I$9,2)),VLOOKUP(J2578,Summary!$J$2:$K$9,2)*IF(ISNUMBER(H2578),H2578,1))</f>
        <v>0.72238425925925931</v>
      </c>
      <c r="AG2578" s="290">
        <v>2577</v>
      </c>
      <c r="AH2578" s="94"/>
      <c r="AI2578" s="94"/>
    </row>
    <row r="2579" spans="1:36" s="3" customFormat="1" ht="12" customHeight="1" x14ac:dyDescent="0.25">
      <c r="A2579" s="543" t="s">
        <v>6875</v>
      </c>
      <c r="B2579" s="543">
        <v>7</v>
      </c>
      <c r="C2579" s="549">
        <v>54</v>
      </c>
      <c r="D2579" s="185" t="s">
        <v>15431</v>
      </c>
      <c r="E2579" s="314" t="s">
        <v>5609</v>
      </c>
      <c r="F2579" s="183">
        <v>33208</v>
      </c>
      <c r="G2579" s="183">
        <v>33329</v>
      </c>
      <c r="H2579" s="185">
        <v>6</v>
      </c>
      <c r="I2579" s="185">
        <v>34</v>
      </c>
      <c r="J2579" s="901" t="s">
        <v>1796</v>
      </c>
      <c r="K2579" s="163" t="s">
        <v>4132</v>
      </c>
      <c r="L2579" s="163" t="s">
        <v>1307</v>
      </c>
      <c r="M2579" s="163"/>
      <c r="N2579" s="163" t="s">
        <v>561</v>
      </c>
      <c r="O2579" s="163"/>
      <c r="P2579" s="182" t="s">
        <v>461</v>
      </c>
      <c r="Q2579" s="163" t="s">
        <v>4062</v>
      </c>
      <c r="R2579" s="186" t="s">
        <v>5266</v>
      </c>
      <c r="S2579" s="355" t="s">
        <v>2542</v>
      </c>
      <c r="T2579" s="182"/>
      <c r="U2579" s="182"/>
      <c r="V2579" s="182"/>
      <c r="W2579" s="314"/>
      <c r="X2579" s="646" t="s">
        <v>12469</v>
      </c>
      <c r="Y2579" s="355" t="s">
        <v>6868</v>
      </c>
      <c r="Z2579" s="185">
        <v>999</v>
      </c>
      <c r="AA2579" s="185"/>
      <c r="AB2579" s="33">
        <f t="shared" ca="1" si="57"/>
        <v>0.43755368164808994</v>
      </c>
      <c r="AC2579" s="813"/>
      <c r="AD2579" s="211" t="s">
        <v>16061</v>
      </c>
      <c r="AE2579" s="941" t="s">
        <v>12543</v>
      </c>
      <c r="AF2579" s="922">
        <f>IF(X2579=X2578,AF2578,0)+IF(ISNUMBER(I2579),IF(I2579&lt;1,I2579,I2579*VLOOKUP(J2579,Summary!$H$2:$I$9,2)),VLOOKUP(J2579,Summary!$J$2:$K$9,2)*IF(ISNUMBER(H2579),H2579,1))</f>
        <v>0.73418981481481482</v>
      </c>
      <c r="AG2579" s="290">
        <v>2578</v>
      </c>
      <c r="AH2579" s="94"/>
      <c r="AI2579" s="94"/>
      <c r="AJ2579" s="6"/>
    </row>
    <row r="2580" spans="1:36" s="22" customFormat="1" ht="12" customHeight="1" x14ac:dyDescent="0.25">
      <c r="A2580" s="543" t="s">
        <v>6875</v>
      </c>
      <c r="B2580" s="543">
        <v>7</v>
      </c>
      <c r="C2580" s="549">
        <v>55</v>
      </c>
      <c r="D2580" s="185" t="s">
        <v>1308</v>
      </c>
      <c r="E2580" s="314" t="s">
        <v>5610</v>
      </c>
      <c r="F2580" s="183">
        <v>33359</v>
      </c>
      <c r="G2580" s="183"/>
      <c r="H2580" s="185">
        <v>1</v>
      </c>
      <c r="I2580" s="185">
        <v>7</v>
      </c>
      <c r="J2580" s="901" t="s">
        <v>1796</v>
      </c>
      <c r="K2580" s="163" t="s">
        <v>7375</v>
      </c>
      <c r="L2580" s="163" t="s">
        <v>1309</v>
      </c>
      <c r="M2580" s="163"/>
      <c r="N2580" s="163" t="s">
        <v>561</v>
      </c>
      <c r="O2580" s="163"/>
      <c r="P2580" s="182" t="s">
        <v>461</v>
      </c>
      <c r="Q2580" s="163" t="s">
        <v>4062</v>
      </c>
      <c r="R2580" s="186" t="s">
        <v>5266</v>
      </c>
      <c r="S2580" s="355" t="s">
        <v>2542</v>
      </c>
      <c r="T2580" s="182">
        <v>6</v>
      </c>
      <c r="U2580" s="182"/>
      <c r="V2580" s="182"/>
      <c r="W2580" s="314" t="s">
        <v>5610</v>
      </c>
      <c r="X2580" s="646" t="s">
        <v>12469</v>
      </c>
      <c r="Y2580" s="355"/>
      <c r="Z2580" s="185"/>
      <c r="AA2580" s="185"/>
      <c r="AB2580" s="33">
        <f t="shared" ca="1" si="57"/>
        <v>0.16090076293023481</v>
      </c>
      <c r="AC2580" s="813"/>
      <c r="AD2580" s="211"/>
      <c r="AE2580" s="941"/>
      <c r="AF2580" s="922">
        <f>IF(X2580=X2579,AF2579,0)+IF(ISNUMBER(I2580),IF(I2580&lt;1,I2580,I2580*VLOOKUP(J2580,Summary!$H$2:$I$9,2)),VLOOKUP(J2580,Summary!$J$2:$K$9,2)*IF(ISNUMBER(H2580),H2580,1))</f>
        <v>0.73662037037037043</v>
      </c>
      <c r="AG2580" s="290">
        <v>2579</v>
      </c>
      <c r="AH2580" s="94"/>
      <c r="AI2580" s="94"/>
      <c r="AJ2580" s="3"/>
    </row>
    <row r="2581" spans="1:36" s="22" customFormat="1" ht="12" customHeight="1" x14ac:dyDescent="0.25">
      <c r="A2581" s="543" t="s">
        <v>6875</v>
      </c>
      <c r="B2581" s="543">
        <v>7</v>
      </c>
      <c r="C2581" s="549">
        <v>56</v>
      </c>
      <c r="D2581" s="185" t="s">
        <v>1310</v>
      </c>
      <c r="E2581" s="314" t="s">
        <v>5611</v>
      </c>
      <c r="F2581" s="183">
        <v>33390</v>
      </c>
      <c r="G2581" s="183"/>
      <c r="H2581" s="185">
        <v>1</v>
      </c>
      <c r="I2581" s="185">
        <v>5</v>
      </c>
      <c r="J2581" s="901" t="s">
        <v>1796</v>
      </c>
      <c r="K2581" s="163" t="s">
        <v>3807</v>
      </c>
      <c r="L2581" s="163" t="s">
        <v>1307</v>
      </c>
      <c r="M2581" s="163"/>
      <c r="N2581" s="163" t="s">
        <v>561</v>
      </c>
      <c r="O2581" s="163"/>
      <c r="P2581" s="182" t="s">
        <v>461</v>
      </c>
      <c r="Q2581" s="163" t="s">
        <v>4062</v>
      </c>
      <c r="R2581" s="186" t="s">
        <v>5266</v>
      </c>
      <c r="S2581" s="355" t="s">
        <v>2542</v>
      </c>
      <c r="T2581" s="182"/>
      <c r="U2581" s="182"/>
      <c r="V2581" s="182"/>
      <c r="W2581" s="314" t="s">
        <v>5611</v>
      </c>
      <c r="X2581" s="646" t="s">
        <v>12469</v>
      </c>
      <c r="Y2581" s="355"/>
      <c r="Z2581" s="185"/>
      <c r="AA2581" s="185"/>
      <c r="AB2581" s="33">
        <f t="shared" ca="1" si="57"/>
        <v>5.6733614098126939E-2</v>
      </c>
      <c r="AC2581" s="813"/>
      <c r="AD2581" s="211"/>
      <c r="AE2581" s="941"/>
      <c r="AF2581" s="922">
        <f>IF(X2581=X2580,AF2580,0)+IF(ISNUMBER(I2581),IF(I2581&lt;1,I2581,I2581*VLOOKUP(J2581,Summary!$H$2:$I$9,2)),VLOOKUP(J2581,Summary!$J$2:$K$9,2)*IF(ISNUMBER(H2581),H2581,1))</f>
        <v>0.73835648148148159</v>
      </c>
      <c r="AG2581" s="290">
        <v>2580</v>
      </c>
      <c r="AH2581" s="94"/>
      <c r="AI2581" s="94"/>
      <c r="AJ2581" s="3"/>
    </row>
    <row r="2582" spans="1:36" s="2" customFormat="1" ht="12" customHeight="1" x14ac:dyDescent="0.25">
      <c r="A2582" s="543" t="s">
        <v>6875</v>
      </c>
      <c r="B2582" s="543">
        <v>7</v>
      </c>
      <c r="C2582" s="549"/>
      <c r="D2582" s="185" t="s">
        <v>5847</v>
      </c>
      <c r="E2582" s="314" t="s">
        <v>5612</v>
      </c>
      <c r="F2582" s="183">
        <v>33482</v>
      </c>
      <c r="G2582" s="183"/>
      <c r="H2582" s="185">
        <v>2</v>
      </c>
      <c r="I2582" s="185">
        <v>16</v>
      </c>
      <c r="J2582" s="901" t="s">
        <v>1796</v>
      </c>
      <c r="K2582" s="163" t="s">
        <v>4132</v>
      </c>
      <c r="L2582" s="163" t="s">
        <v>5184</v>
      </c>
      <c r="M2582" s="163" t="s">
        <v>4624</v>
      </c>
      <c r="N2582" s="163" t="s">
        <v>561</v>
      </c>
      <c r="O2582" s="163"/>
      <c r="P2582" s="182" t="s">
        <v>5849</v>
      </c>
      <c r="Q2582" s="163" t="s">
        <v>4062</v>
      </c>
      <c r="R2582" s="186" t="s">
        <v>8669</v>
      </c>
      <c r="S2582" s="355" t="s">
        <v>2542</v>
      </c>
      <c r="T2582" s="182"/>
      <c r="U2582" s="182"/>
      <c r="V2582" s="182"/>
      <c r="W2582" s="314" t="s">
        <v>5612</v>
      </c>
      <c r="X2582" s="646" t="s">
        <v>12469</v>
      </c>
      <c r="Y2582" s="355"/>
      <c r="Z2582" s="185"/>
      <c r="AA2582" s="185"/>
      <c r="AB2582" s="33">
        <f t="shared" ca="1" si="57"/>
        <v>1.6189507417008864E-2</v>
      </c>
      <c r="AC2582" s="813"/>
      <c r="AD2582" s="211"/>
      <c r="AE2582" s="941"/>
      <c r="AF2582" s="922">
        <f>IF(X2582=X2581,AF2581,0)+IF(ISNUMBER(I2582),IF(I2582&lt;1,I2582,I2582*VLOOKUP(J2582,Summary!$H$2:$I$9,2)),VLOOKUP(J2582,Summary!$J$2:$K$9,2)*IF(ISNUMBER(H2582),H2582,1))</f>
        <v>0.74391203703703712</v>
      </c>
      <c r="AG2582" s="290">
        <v>2581</v>
      </c>
      <c r="AH2582" s="94"/>
      <c r="AI2582" s="94"/>
      <c r="AJ2582" s="22"/>
    </row>
    <row r="2583" spans="1:36" s="22" customFormat="1" ht="12" customHeight="1" x14ac:dyDescent="0.25">
      <c r="A2583" s="543" t="s">
        <v>6875</v>
      </c>
      <c r="B2583" s="543">
        <v>7</v>
      </c>
      <c r="C2583" s="549">
        <v>57</v>
      </c>
      <c r="D2583" s="185" t="s">
        <v>1311</v>
      </c>
      <c r="E2583" s="314" t="s">
        <v>645</v>
      </c>
      <c r="F2583" s="183">
        <v>33420</v>
      </c>
      <c r="G2583" s="183">
        <v>33512</v>
      </c>
      <c r="H2583" s="185">
        <v>4</v>
      </c>
      <c r="I2583" s="185">
        <v>28</v>
      </c>
      <c r="J2583" s="901" t="s">
        <v>1796</v>
      </c>
      <c r="K2583" s="163" t="s">
        <v>2939</v>
      </c>
      <c r="L2583" s="163" t="s">
        <v>1309</v>
      </c>
      <c r="M2583" s="163"/>
      <c r="N2583" s="163" t="s">
        <v>561</v>
      </c>
      <c r="O2583" s="163"/>
      <c r="P2583" s="182" t="s">
        <v>461</v>
      </c>
      <c r="Q2583" s="163" t="s">
        <v>4062</v>
      </c>
      <c r="R2583" s="186" t="s">
        <v>5266</v>
      </c>
      <c r="S2583" s="355" t="s">
        <v>2542</v>
      </c>
      <c r="T2583" s="182">
        <v>4</v>
      </c>
      <c r="U2583" s="182">
        <v>3</v>
      </c>
      <c r="V2583" s="182"/>
      <c r="W2583" s="314"/>
      <c r="X2583" s="646" t="s">
        <v>12469</v>
      </c>
      <c r="Y2583" s="355"/>
      <c r="Z2583" s="185"/>
      <c r="AA2583" s="185"/>
      <c r="AB2583" s="33">
        <f t="shared" ca="1" si="57"/>
        <v>2.0497573015117676E-2</v>
      </c>
      <c r="AC2583" s="813"/>
      <c r="AD2583" s="211" t="s">
        <v>16765</v>
      </c>
      <c r="AE2583" s="941"/>
      <c r="AF2583" s="922">
        <f>IF(X2583=X2582,AF2582,0)+IF(ISNUMBER(I2583),IF(I2583&lt;1,I2583,I2583*VLOOKUP(J2583,Summary!$H$2:$I$9,2)),VLOOKUP(J2583,Summary!$J$2:$K$9,2)*IF(ISNUMBER(H2583),H2583,1))</f>
        <v>0.75363425925925931</v>
      </c>
      <c r="AG2583" s="290">
        <v>2582</v>
      </c>
      <c r="AH2583" s="94"/>
      <c r="AI2583" s="94"/>
      <c r="AJ2583" s="6"/>
    </row>
    <row r="2584" spans="1:36" s="3" customFormat="1" ht="12" customHeight="1" x14ac:dyDescent="0.25">
      <c r="A2584" s="550" t="s">
        <v>6875</v>
      </c>
      <c r="B2584" s="550">
        <v>7</v>
      </c>
      <c r="C2584" s="550">
        <v>76</v>
      </c>
      <c r="D2584" s="417" t="s">
        <v>6473</v>
      </c>
      <c r="E2584" s="316" t="s">
        <v>6474</v>
      </c>
      <c r="F2584" s="195">
        <v>38687</v>
      </c>
      <c r="G2584" s="188"/>
      <c r="H2584" s="188" t="str">
        <f>IF(J2584="Book","n/a","")</f>
        <v>n/a</v>
      </c>
      <c r="I2584" s="188">
        <v>277</v>
      </c>
      <c r="J2584" s="902" t="s">
        <v>6868</v>
      </c>
      <c r="K2584" s="162" t="s">
        <v>2939</v>
      </c>
      <c r="L2584" s="162" t="str">
        <f>IF(J2584="Book","n/a","")</f>
        <v>n/a</v>
      </c>
      <c r="M2584" s="162"/>
      <c r="N2584" s="162"/>
      <c r="O2584" s="162"/>
      <c r="P2584" s="178" t="s">
        <v>8999</v>
      </c>
      <c r="Q2584" s="162" t="s">
        <v>3953</v>
      </c>
      <c r="R2584" s="189" t="s">
        <v>2717</v>
      </c>
      <c r="S2584" s="366" t="s">
        <v>2542</v>
      </c>
      <c r="T2584" s="178"/>
      <c r="U2584" s="178"/>
      <c r="V2584" s="178"/>
      <c r="W2584" s="316" t="s">
        <v>6474</v>
      </c>
      <c r="X2584" s="648" t="s">
        <v>12469</v>
      </c>
      <c r="Y2584" s="356"/>
      <c r="Z2584" s="272">
        <v>32</v>
      </c>
      <c r="AA2584" s="272">
        <v>8</v>
      </c>
      <c r="AB2584" s="34">
        <f t="shared" ca="1" si="57"/>
        <v>0.48100170627142824</v>
      </c>
      <c r="AC2584" s="814"/>
      <c r="AD2584" s="815" t="s">
        <v>16746</v>
      </c>
      <c r="AE2584" s="950" t="s">
        <v>15860</v>
      </c>
      <c r="AF2584" s="923">
        <f>IF(X2584=X2583,AF2583,0)+IF(ISNUMBER(I2584),IF(I2584&lt;1,I2584,I2584*VLOOKUP(J2584,Summary!$H$2:$I$9,2)),VLOOKUP(J2584,Summary!$J$2:$K$9,2)*IF(ISNUMBER(H2584),H2584,1))</f>
        <v>0.9459953703703704</v>
      </c>
      <c r="AG2584" s="291">
        <v>2583</v>
      </c>
      <c r="AH2584" s="94"/>
      <c r="AI2584" s="94"/>
      <c r="AJ2584" s="1"/>
    </row>
    <row r="2585" spans="1:36" s="22" customFormat="1" ht="12" customHeight="1" x14ac:dyDescent="0.25">
      <c r="A2585" s="550" t="s">
        <v>6875</v>
      </c>
      <c r="B2585" s="550">
        <v>7</v>
      </c>
      <c r="C2585" s="550">
        <v>68</v>
      </c>
      <c r="D2585" s="417" t="s">
        <v>6475</v>
      </c>
      <c r="E2585" s="316" t="s">
        <v>6476</v>
      </c>
      <c r="F2585" s="187">
        <v>38231</v>
      </c>
      <c r="G2585" s="188"/>
      <c r="H2585" s="188" t="str">
        <f>IF(J2585="Book","n/a","")</f>
        <v>n/a</v>
      </c>
      <c r="I2585" s="188">
        <v>279</v>
      </c>
      <c r="J2585" s="902" t="s">
        <v>6868</v>
      </c>
      <c r="K2585" s="162" t="s">
        <v>3238</v>
      </c>
      <c r="L2585" s="162" t="str">
        <f>IF(J2585="Book","n/a","")</f>
        <v>n/a</v>
      </c>
      <c r="M2585" s="162"/>
      <c r="N2585" s="162"/>
      <c r="O2585" s="162"/>
      <c r="P2585" s="178" t="s">
        <v>8991</v>
      </c>
      <c r="Q2585" s="162" t="s">
        <v>3953</v>
      </c>
      <c r="R2585" s="189" t="s">
        <v>2717</v>
      </c>
      <c r="S2585" s="366" t="s">
        <v>2542</v>
      </c>
      <c r="T2585" s="178"/>
      <c r="U2585" s="178"/>
      <c r="V2585" s="178"/>
      <c r="W2585" s="316" t="s">
        <v>6476</v>
      </c>
      <c r="X2585" s="648" t="s">
        <v>12469</v>
      </c>
      <c r="Y2585" s="356"/>
      <c r="Z2585" s="885"/>
      <c r="AA2585" s="272"/>
      <c r="AB2585" s="34">
        <f t="shared" ca="1" si="57"/>
        <v>0.15645750329125785</v>
      </c>
      <c r="AC2585" s="814"/>
      <c r="AD2585" s="815" t="s">
        <v>15856</v>
      </c>
      <c r="AE2585" s="942" t="s">
        <v>12543</v>
      </c>
      <c r="AF2585" s="923">
        <f>IF(X2585=X2584,AF2584,0)+IF(ISNUMBER(I2585),IF(I2585&lt;1,I2585,I2585*VLOOKUP(J2585,Summary!$H$2:$I$9,2)),VLOOKUP(J2585,Summary!$J$2:$K$9,2)*IF(ISNUMBER(H2585),H2585,1))</f>
        <v>1.1397453703703704</v>
      </c>
      <c r="AG2585" s="291">
        <v>2584</v>
      </c>
      <c r="AH2585" s="94"/>
      <c r="AI2585" s="94"/>
    </row>
    <row r="2586" spans="1:36" s="2" customFormat="1" ht="12" customHeight="1" x14ac:dyDescent="0.25">
      <c r="A2586" s="539" t="s">
        <v>6875</v>
      </c>
      <c r="B2586" s="539">
        <v>7</v>
      </c>
      <c r="C2586" s="542">
        <v>26.15</v>
      </c>
      <c r="D2586" s="176" t="s">
        <v>3489</v>
      </c>
      <c r="E2586" s="313" t="s">
        <v>4945</v>
      </c>
      <c r="F2586" s="174">
        <v>39508</v>
      </c>
      <c r="G2586" s="174"/>
      <c r="H2586" s="176">
        <v>1</v>
      </c>
      <c r="I2586" s="176">
        <v>14</v>
      </c>
      <c r="J2586" s="900" t="s">
        <v>2755</v>
      </c>
      <c r="K2586" s="164" t="s">
        <v>2409</v>
      </c>
      <c r="L2586" s="164" t="s">
        <v>461</v>
      </c>
      <c r="M2586" s="164"/>
      <c r="N2586" s="164" t="s">
        <v>7381</v>
      </c>
      <c r="O2586" s="164"/>
      <c r="P2586" s="173" t="s">
        <v>6706</v>
      </c>
      <c r="Q2586" s="164" t="s">
        <v>3947</v>
      </c>
      <c r="R2586" s="177" t="s">
        <v>2723</v>
      </c>
      <c r="S2586" s="354" t="s">
        <v>2542</v>
      </c>
      <c r="T2586" s="173"/>
      <c r="U2586" s="173"/>
      <c r="V2586" s="173"/>
      <c r="W2586" s="313" t="s">
        <v>4945</v>
      </c>
      <c r="X2586" s="645" t="s">
        <v>12469</v>
      </c>
      <c r="Y2586" s="354"/>
      <c r="Z2586" s="176"/>
      <c r="AA2586" s="176"/>
      <c r="AB2586" s="32">
        <f t="shared" ca="1" si="57"/>
        <v>0.93300645083957634</v>
      </c>
      <c r="AC2586" s="812"/>
      <c r="AD2586" s="763"/>
      <c r="AE2586" s="807"/>
      <c r="AF2586" s="921">
        <f>IF(X2586=X2585,AF2585,0)+IF(ISNUMBER(I2586),IF(I2586&lt;1,I2586,I2586*VLOOKUP(J2586,Summary!$H$2:$I$9,2)),VLOOKUP(J2586,Summary!$J$2:$K$9,2)*IF(ISNUMBER(H2586),H2586,1))</f>
        <v>1.1494675925925926</v>
      </c>
      <c r="AG2586" s="289">
        <v>2585</v>
      </c>
      <c r="AH2586" s="94"/>
      <c r="AI2586" s="94"/>
      <c r="AJ2586" s="6"/>
    </row>
    <row r="2587" spans="1:36" s="22" customFormat="1" ht="12" customHeight="1" x14ac:dyDescent="0.25">
      <c r="A2587" s="546" t="s">
        <v>6875</v>
      </c>
      <c r="B2587" s="546">
        <v>7</v>
      </c>
      <c r="C2587" s="548">
        <v>6.03</v>
      </c>
      <c r="D2587" s="192" t="s">
        <v>12901</v>
      </c>
      <c r="E2587" s="317" t="s">
        <v>12902</v>
      </c>
      <c r="F2587" s="209">
        <v>42453</v>
      </c>
      <c r="G2587" s="209"/>
      <c r="H2587" s="192">
        <v>1</v>
      </c>
      <c r="I2587" s="753">
        <f>TIME(0,33,45)</f>
        <v>2.34375E-2</v>
      </c>
      <c r="J2587" s="903" t="s">
        <v>2755</v>
      </c>
      <c r="K2587" s="194" t="s">
        <v>10219</v>
      </c>
      <c r="L2587" s="194" t="s">
        <v>5662</v>
      </c>
      <c r="M2587" s="194" t="s">
        <v>498</v>
      </c>
      <c r="N2587" s="194"/>
      <c r="O2587" s="194"/>
      <c r="P2587" s="190" t="s">
        <v>12903</v>
      </c>
      <c r="Q2587" s="194" t="s">
        <v>3947</v>
      </c>
      <c r="R2587" s="193" t="s">
        <v>2722</v>
      </c>
      <c r="S2587" s="357" t="s">
        <v>2542</v>
      </c>
      <c r="T2587" s="190"/>
      <c r="U2587" s="190"/>
      <c r="V2587" s="190"/>
      <c r="W2587" s="317" t="s">
        <v>12902</v>
      </c>
      <c r="X2587" s="649" t="s">
        <v>12469</v>
      </c>
      <c r="Y2587" s="357" t="s">
        <v>5643</v>
      </c>
      <c r="Z2587" s="192">
        <v>38</v>
      </c>
      <c r="AA2587" s="192">
        <v>4.5</v>
      </c>
      <c r="AB2587" s="37">
        <f t="shared" ca="1" si="57"/>
        <v>0.42310697893264615</v>
      </c>
      <c r="AC2587" s="816"/>
      <c r="AD2587" s="817"/>
      <c r="AE2587" s="943"/>
      <c r="AF2587" s="924">
        <f>IF(X2587=X2586,AF2586,0)+IF(ISNUMBER(I2587),IF(I2587&lt;1,I2587,I2587*VLOOKUP(J2587,Summary!$H$2:$I$9,2)),VLOOKUP(J2587,Summary!$J$2:$K$9,2)*IF(ISNUMBER(H2587),H2587,1))</f>
        <v>1.1729050925925926</v>
      </c>
      <c r="AG2587" s="292">
        <v>2586</v>
      </c>
      <c r="AH2587" s="94"/>
      <c r="AI2587" s="94"/>
      <c r="AJ2587" s="11"/>
    </row>
    <row r="2588" spans="1:36" s="1" customFormat="1" ht="12" customHeight="1" x14ac:dyDescent="0.25">
      <c r="A2588" s="543" t="s">
        <v>6875</v>
      </c>
      <c r="B2588" s="543">
        <v>7</v>
      </c>
      <c r="C2588" s="549"/>
      <c r="D2588" s="185" t="s">
        <v>14471</v>
      </c>
      <c r="E2588" s="314" t="s">
        <v>14472</v>
      </c>
      <c r="F2588" s="184">
        <v>43225</v>
      </c>
      <c r="G2588" s="184"/>
      <c r="H2588" s="185">
        <v>1</v>
      </c>
      <c r="I2588" s="185">
        <v>5</v>
      </c>
      <c r="J2588" s="901" t="s">
        <v>1796</v>
      </c>
      <c r="K2588" s="163" t="s">
        <v>3365</v>
      </c>
      <c r="L2588" s="163" t="s">
        <v>3365</v>
      </c>
      <c r="M2588" s="163" t="s">
        <v>3365</v>
      </c>
      <c r="N2588" s="163"/>
      <c r="O2588" s="163"/>
      <c r="P2588" s="182" t="s">
        <v>461</v>
      </c>
      <c r="Q2588" s="163" t="s">
        <v>7076</v>
      </c>
      <c r="R2588" s="186" t="s">
        <v>14473</v>
      </c>
      <c r="S2588" s="355" t="s">
        <v>2542</v>
      </c>
      <c r="T2588" s="182"/>
      <c r="U2588" s="182"/>
      <c r="V2588" s="182"/>
      <c r="W2588" s="314" t="s">
        <v>14472</v>
      </c>
      <c r="X2588" s="646" t="s">
        <v>12469</v>
      </c>
      <c r="Y2588" s="355"/>
      <c r="Z2588" s="185"/>
      <c r="AA2588" s="185"/>
      <c r="AB2588" s="33">
        <f t="shared" ca="1" si="57"/>
        <v>0.95880219480180762</v>
      </c>
      <c r="AC2588" s="813"/>
      <c r="AD2588" s="211"/>
      <c r="AE2588" s="941"/>
      <c r="AF2588" s="922">
        <f>IF(X2588=X2587,AF2587,0)+IF(ISNUMBER(I2588),IF(I2588&lt;1,I2588,I2588*VLOOKUP(J2588,Summary!$H$2:$I$9,2)),VLOOKUP(J2588,Summary!$J$2:$K$9,2)*IF(ISNUMBER(H2588),H2588,1))</f>
        <v>1.1746412037037037</v>
      </c>
      <c r="AG2588" s="290">
        <v>2587</v>
      </c>
      <c r="AH2588" s="94"/>
      <c r="AI2588" s="94"/>
    </row>
    <row r="2589" spans="1:36" s="1" customFormat="1" ht="12" customHeight="1" x14ac:dyDescent="0.25">
      <c r="A2589" s="772" t="s">
        <v>6875</v>
      </c>
      <c r="B2589" s="772">
        <v>7</v>
      </c>
      <c r="C2589" s="773"/>
      <c r="D2589" s="226" t="s">
        <v>15352</v>
      </c>
      <c r="E2589" s="331" t="s">
        <v>14550</v>
      </c>
      <c r="F2589" s="233">
        <v>43257</v>
      </c>
      <c r="G2589" s="233">
        <v>43313</v>
      </c>
      <c r="H2589" s="226">
        <v>3</v>
      </c>
      <c r="I2589" s="226">
        <v>88</v>
      </c>
      <c r="J2589" s="907" t="s">
        <v>1796</v>
      </c>
      <c r="K2589" s="228" t="s">
        <v>2939</v>
      </c>
      <c r="L2589" s="228" t="s">
        <v>12178</v>
      </c>
      <c r="M2589" s="228" t="s">
        <v>11087</v>
      </c>
      <c r="N2589" s="228" t="s">
        <v>561</v>
      </c>
      <c r="O2589" s="228"/>
      <c r="P2589" s="225" t="s">
        <v>461</v>
      </c>
      <c r="Q2589" s="228" t="s">
        <v>7076</v>
      </c>
      <c r="R2589" s="227" t="s">
        <v>14473</v>
      </c>
      <c r="S2589" s="369" t="s">
        <v>2542</v>
      </c>
      <c r="T2589" s="225" t="s">
        <v>14551</v>
      </c>
      <c r="U2589" s="225" t="s">
        <v>14552</v>
      </c>
      <c r="V2589" s="225" t="s">
        <v>14553</v>
      </c>
      <c r="W2589" s="331"/>
      <c r="X2589" s="663" t="s">
        <v>12469</v>
      </c>
      <c r="Y2589" s="369"/>
      <c r="Z2589" s="226"/>
      <c r="AA2589" s="226"/>
      <c r="AB2589" s="38">
        <f t="shared" ca="1" si="57"/>
        <v>0.64086059629539793</v>
      </c>
      <c r="AC2589" s="830"/>
      <c r="AD2589" s="831"/>
      <c r="AE2589" s="963"/>
      <c r="AF2589" s="928">
        <f>IF(X2589=X2588,AF2588,0)+IF(ISNUMBER(I2589),IF(I2589&lt;1,I2589,I2589*VLOOKUP(J2589,Summary!$H$2:$I$9,2)),VLOOKUP(J2589,Summary!$J$2:$K$9,2)*IF(ISNUMBER(H2589),H2589,1))</f>
        <v>1.2051967592592594</v>
      </c>
      <c r="AG2589" s="304">
        <v>2588</v>
      </c>
      <c r="AH2589" s="94"/>
      <c r="AI2589" s="94"/>
    </row>
    <row r="2590" spans="1:36" s="2" customFormat="1" ht="12" customHeight="1" x14ac:dyDescent="0.25">
      <c r="A2590" s="539" t="s">
        <v>6875</v>
      </c>
      <c r="B2590" s="539">
        <v>7</v>
      </c>
      <c r="C2590" s="542">
        <v>10.16</v>
      </c>
      <c r="D2590" s="176" t="s">
        <v>3499</v>
      </c>
      <c r="E2590" s="313" t="s">
        <v>4951</v>
      </c>
      <c r="F2590" s="174">
        <v>38139</v>
      </c>
      <c r="G2590" s="174"/>
      <c r="H2590" s="176">
        <v>1</v>
      </c>
      <c r="I2590" s="176">
        <v>15</v>
      </c>
      <c r="J2590" s="900" t="s">
        <v>2755</v>
      </c>
      <c r="K2590" s="164" t="s">
        <v>1932</v>
      </c>
      <c r="L2590" s="164" t="s">
        <v>461</v>
      </c>
      <c r="M2590" s="164"/>
      <c r="N2590" s="164" t="s">
        <v>4996</v>
      </c>
      <c r="O2590" s="164"/>
      <c r="P2590" s="173" t="s">
        <v>5669</v>
      </c>
      <c r="Q2590" s="164" t="s">
        <v>3947</v>
      </c>
      <c r="R2590" s="177" t="s">
        <v>2723</v>
      </c>
      <c r="S2590" s="354" t="s">
        <v>2542</v>
      </c>
      <c r="T2590" s="173"/>
      <c r="U2590" s="173"/>
      <c r="V2590" s="173"/>
      <c r="W2590" s="313" t="s">
        <v>4951</v>
      </c>
      <c r="X2590" s="645" t="s">
        <v>12469</v>
      </c>
      <c r="Y2590" s="354"/>
      <c r="Z2590" s="176">
        <v>999</v>
      </c>
      <c r="AA2590" s="176"/>
      <c r="AB2590" s="32">
        <f t="shared" ca="1" si="57"/>
        <v>0.38387617846664324</v>
      </c>
      <c r="AC2590" s="812"/>
      <c r="AD2590" s="763"/>
      <c r="AE2590" s="807"/>
      <c r="AF2590" s="921">
        <f>IF(X2590=X2589,AF2589,0)+IF(ISNUMBER(I2590),IF(I2590&lt;1,I2590,I2590*VLOOKUP(J2590,Summary!$H$2:$I$9,2)),VLOOKUP(J2590,Summary!$J$2:$K$9,2)*IF(ISNUMBER(H2590),H2590,1))</f>
        <v>1.2156134259259261</v>
      </c>
      <c r="AG2590" s="289">
        <v>2589</v>
      </c>
      <c r="AH2590" s="94"/>
      <c r="AI2590" s="94"/>
      <c r="AJ2590" s="22"/>
    </row>
    <row r="2591" spans="1:36" s="3" customFormat="1" ht="12" customHeight="1" x14ac:dyDescent="0.25">
      <c r="A2591" s="539" t="s">
        <v>6875</v>
      </c>
      <c r="B2591" s="539">
        <v>7</v>
      </c>
      <c r="C2591" s="539">
        <v>22</v>
      </c>
      <c r="D2591" s="176" t="s">
        <v>12829</v>
      </c>
      <c r="E2591" s="313" t="s">
        <v>12830</v>
      </c>
      <c r="F2591" s="175">
        <v>34885</v>
      </c>
      <c r="G2591" s="175">
        <v>34941</v>
      </c>
      <c r="H2591" s="176">
        <v>3</v>
      </c>
      <c r="I2591" s="176">
        <v>6</v>
      </c>
      <c r="J2591" s="900" t="s">
        <v>2755</v>
      </c>
      <c r="K2591" s="164" t="s">
        <v>2939</v>
      </c>
      <c r="L2591" s="164" t="s">
        <v>461</v>
      </c>
      <c r="M2591" s="164"/>
      <c r="N2591" s="164" t="s">
        <v>2750</v>
      </c>
      <c r="O2591" s="164"/>
      <c r="P2591" s="173" t="s">
        <v>461</v>
      </c>
      <c r="Q2591" s="164" t="s">
        <v>4062</v>
      </c>
      <c r="R2591" s="177" t="s">
        <v>10250</v>
      </c>
      <c r="S2591" s="354" t="s">
        <v>2542</v>
      </c>
      <c r="T2591" s="173"/>
      <c r="U2591" s="173"/>
      <c r="V2591" s="173"/>
      <c r="W2591" s="313"/>
      <c r="X2591" s="645" t="s">
        <v>12469</v>
      </c>
      <c r="Y2591" s="354"/>
      <c r="Z2591" s="176"/>
      <c r="AA2591" s="176"/>
      <c r="AB2591" s="32">
        <f t="shared" ca="1" si="57"/>
        <v>0.20046880524002797</v>
      </c>
      <c r="AC2591" s="812"/>
      <c r="AD2591" s="763"/>
      <c r="AE2591" s="807"/>
      <c r="AF2591" s="921">
        <f>IF(X2591=X2590,AF2590,0)+IF(ISNUMBER(I2591),IF(I2591&lt;1,I2591,I2591*VLOOKUP(J2591,Summary!$H$2:$I$9,2)),VLOOKUP(J2591,Summary!$J$2:$K$9,2)*IF(ISNUMBER(H2591),H2591,1))</f>
        <v>1.2197800925925928</v>
      </c>
      <c r="AG2591" s="289">
        <v>2590</v>
      </c>
      <c r="AH2591" s="94"/>
      <c r="AI2591" s="94"/>
      <c r="AJ2591" s="2"/>
    </row>
    <row r="2592" spans="1:36" s="3" customFormat="1" ht="12" customHeight="1" x14ac:dyDescent="0.25">
      <c r="A2592" s="546" t="s">
        <v>6875</v>
      </c>
      <c r="B2592" s="546">
        <v>7</v>
      </c>
      <c r="C2592" s="548">
        <v>1.07</v>
      </c>
      <c r="D2592" s="192" t="s">
        <v>3852</v>
      </c>
      <c r="E2592" s="317" t="s">
        <v>1975</v>
      </c>
      <c r="F2592" s="191">
        <v>40483</v>
      </c>
      <c r="G2592" s="191"/>
      <c r="H2592" s="192">
        <v>1</v>
      </c>
      <c r="I2592" s="753">
        <f>TIME(0,14,4)</f>
        <v>9.7685185185185184E-3</v>
      </c>
      <c r="J2592" s="903" t="s">
        <v>2755</v>
      </c>
      <c r="K2592" s="194" t="s">
        <v>5293</v>
      </c>
      <c r="L2592" s="194" t="s">
        <v>3426</v>
      </c>
      <c r="M2592" s="194" t="s">
        <v>498</v>
      </c>
      <c r="N2592" s="194"/>
      <c r="O2592" s="194"/>
      <c r="P2592" s="190" t="s">
        <v>5599</v>
      </c>
      <c r="Q2592" s="194" t="s">
        <v>3947</v>
      </c>
      <c r="R2592" s="193" t="s">
        <v>2722</v>
      </c>
      <c r="S2592" s="357" t="s">
        <v>2542</v>
      </c>
      <c r="T2592" s="190"/>
      <c r="U2592" s="190"/>
      <c r="V2592" s="190"/>
      <c r="W2592" s="317" t="s">
        <v>1975</v>
      </c>
      <c r="X2592" s="649" t="s">
        <v>12469</v>
      </c>
      <c r="Y2592" s="357" t="s">
        <v>5643</v>
      </c>
      <c r="Z2592" s="192">
        <v>999</v>
      </c>
      <c r="AA2592" s="192"/>
      <c r="AB2592" s="37">
        <f t="shared" ca="1" si="57"/>
        <v>0.86297977187838604</v>
      </c>
      <c r="AC2592" s="816"/>
      <c r="AD2592" s="817"/>
      <c r="AE2592" s="943"/>
      <c r="AF2592" s="924">
        <f>IF(X2592=X2591,AF2591,0)+IF(ISNUMBER(I2592),IF(I2592&lt;1,I2592,I2592*VLOOKUP(J2592,Summary!$H$2:$I$9,2)),VLOOKUP(J2592,Summary!$J$2:$K$9,2)*IF(ISNUMBER(H2592),H2592,1))</f>
        <v>1.2295486111111114</v>
      </c>
      <c r="AG2592" s="292">
        <v>2591</v>
      </c>
      <c r="AH2592" s="94"/>
      <c r="AI2592" s="94"/>
      <c r="AJ2592" s="22"/>
    </row>
    <row r="2593" spans="1:36" s="3" customFormat="1" ht="12" customHeight="1" x14ac:dyDescent="0.25">
      <c r="A2593" s="541" t="s">
        <v>6875</v>
      </c>
      <c r="B2593" s="541">
        <v>7</v>
      </c>
      <c r="C2593" s="541">
        <v>5</v>
      </c>
      <c r="D2593" s="407" t="s">
        <v>2519</v>
      </c>
      <c r="E2593" s="315" t="s">
        <v>2520</v>
      </c>
      <c r="F2593" s="169">
        <v>36557</v>
      </c>
      <c r="G2593" s="170"/>
      <c r="H2593" s="170">
        <v>4</v>
      </c>
      <c r="I2593" s="746">
        <f>TIME(1,40,28)</f>
        <v>6.9768518518518521E-2</v>
      </c>
      <c r="J2593" s="899" t="s">
        <v>4706</v>
      </c>
      <c r="K2593" s="167" t="s">
        <v>6874</v>
      </c>
      <c r="L2593" s="167" t="s">
        <v>7375</v>
      </c>
      <c r="M2593" s="167"/>
      <c r="N2593" s="167"/>
      <c r="O2593" s="167" t="s">
        <v>2909</v>
      </c>
      <c r="P2593" s="168" t="s">
        <v>12948</v>
      </c>
      <c r="Q2593" s="167" t="s">
        <v>3947</v>
      </c>
      <c r="R2593" s="172" t="s">
        <v>3146</v>
      </c>
      <c r="S2593" s="388" t="s">
        <v>2542</v>
      </c>
      <c r="T2593" s="168"/>
      <c r="U2593" s="168"/>
      <c r="V2593" s="168"/>
      <c r="W2593" s="312" t="s">
        <v>8667</v>
      </c>
      <c r="X2593" s="644" t="s">
        <v>12469</v>
      </c>
      <c r="Y2593" s="352" t="s">
        <v>5643</v>
      </c>
      <c r="Z2593" s="353">
        <v>127</v>
      </c>
      <c r="AA2593" s="353">
        <v>7</v>
      </c>
      <c r="AB2593" s="31">
        <f t="shared" ca="1" si="57"/>
        <v>0.14633953305654468</v>
      </c>
      <c r="AC2593" s="810"/>
      <c r="AD2593" s="811" t="s">
        <v>15829</v>
      </c>
      <c r="AE2593" s="940" t="s">
        <v>12543</v>
      </c>
      <c r="AF2593" s="920">
        <f>IF(X2593=X2592,AF2592,0)+IF(ISNUMBER(I2593),IF(I2593&lt;1,I2593,I2593*VLOOKUP(J2593,Summary!$H$2:$I$9,2)),VLOOKUP(J2593,Summary!$J$2:$K$9,2)*IF(ISNUMBER(H2593),H2593,1))</f>
        <v>1.29931712962963</v>
      </c>
      <c r="AG2593" s="287">
        <v>2592</v>
      </c>
      <c r="AH2593" s="94"/>
      <c r="AI2593" s="94"/>
    </row>
    <row r="2594" spans="1:36" s="22" customFormat="1" ht="12" customHeight="1" x14ac:dyDescent="0.2">
      <c r="A2594" s="541" t="s">
        <v>6875</v>
      </c>
      <c r="B2594" s="541">
        <v>7</v>
      </c>
      <c r="C2594" s="541">
        <v>21</v>
      </c>
      <c r="D2594" s="407" t="s">
        <v>3338</v>
      </c>
      <c r="E2594" s="315" t="s">
        <v>3339</v>
      </c>
      <c r="F2594" s="169">
        <v>37043</v>
      </c>
      <c r="G2594" s="170"/>
      <c r="H2594" s="170">
        <v>4</v>
      </c>
      <c r="I2594" s="746">
        <f>TIME(1,44,0)</f>
        <v>7.2222222222222229E-2</v>
      </c>
      <c r="J2594" s="899" t="s">
        <v>4706</v>
      </c>
      <c r="K2594" s="167" t="s">
        <v>1935</v>
      </c>
      <c r="L2594" s="167" t="s">
        <v>7375</v>
      </c>
      <c r="M2594" s="167"/>
      <c r="N2594" s="167"/>
      <c r="O2594" s="167" t="s">
        <v>2909</v>
      </c>
      <c r="P2594" s="168" t="s">
        <v>12928</v>
      </c>
      <c r="Q2594" s="167" t="s">
        <v>3947</v>
      </c>
      <c r="R2594" s="172" t="s">
        <v>3146</v>
      </c>
      <c r="S2594" s="388" t="s">
        <v>2542</v>
      </c>
      <c r="T2594" s="168"/>
      <c r="U2594" s="168"/>
      <c r="V2594" s="168"/>
      <c r="W2594" s="312" t="s">
        <v>8739</v>
      </c>
      <c r="X2594" s="644" t="s">
        <v>12469</v>
      </c>
      <c r="Y2594" s="352" t="s">
        <v>5643</v>
      </c>
      <c r="Z2594" s="353">
        <v>309</v>
      </c>
      <c r="AA2594" s="353">
        <v>5.5</v>
      </c>
      <c r="AB2594" s="31">
        <f t="shared" ca="1" si="57"/>
        <v>0.41531948581352396</v>
      </c>
      <c r="AC2594" s="810"/>
      <c r="AD2594" s="811" t="s">
        <v>16435</v>
      </c>
      <c r="AE2594" s="940" t="s">
        <v>15062</v>
      </c>
      <c r="AF2594" s="920">
        <f>IF(X2594=X2593,AF2593,0)+IF(ISNUMBER(I2594),IF(I2594&lt;1,I2594,I2594*VLOOKUP(J2594,Summary!$H$2:$I$9,2)),VLOOKUP(J2594,Summary!$J$2:$K$9,2)*IF(ISNUMBER(H2594),H2594,1))</f>
        <v>1.3715393518518522</v>
      </c>
      <c r="AG2594" s="287">
        <v>2593</v>
      </c>
      <c r="AH2594" s="94"/>
      <c r="AI2594" s="94"/>
    </row>
    <row r="2595" spans="1:36" s="2" customFormat="1" ht="12" customHeight="1" x14ac:dyDescent="0.25">
      <c r="A2595" s="539" t="s">
        <v>6875</v>
      </c>
      <c r="B2595" s="539">
        <v>7</v>
      </c>
      <c r="C2595" s="542">
        <v>22.04</v>
      </c>
      <c r="D2595" s="176" t="s">
        <v>3490</v>
      </c>
      <c r="E2595" s="313" t="s">
        <v>4946</v>
      </c>
      <c r="F2595" s="174">
        <v>39052</v>
      </c>
      <c r="G2595" s="174"/>
      <c r="H2595" s="176">
        <v>1</v>
      </c>
      <c r="I2595" s="176">
        <v>12</v>
      </c>
      <c r="J2595" s="900" t="s">
        <v>2755</v>
      </c>
      <c r="K2595" s="164" t="s">
        <v>7381</v>
      </c>
      <c r="L2595" s="164" t="s">
        <v>461</v>
      </c>
      <c r="M2595" s="164"/>
      <c r="N2595" s="164" t="s">
        <v>4549</v>
      </c>
      <c r="O2595" s="164"/>
      <c r="P2595" s="173" t="s">
        <v>522</v>
      </c>
      <c r="Q2595" s="164" t="s">
        <v>3947</v>
      </c>
      <c r="R2595" s="177" t="s">
        <v>2723</v>
      </c>
      <c r="S2595" s="354" t="s">
        <v>2542</v>
      </c>
      <c r="T2595" s="173"/>
      <c r="U2595" s="173"/>
      <c r="V2595" s="173"/>
      <c r="W2595" s="313" t="s">
        <v>4946</v>
      </c>
      <c r="X2595" s="645" t="s">
        <v>12469</v>
      </c>
      <c r="Y2595" s="354"/>
      <c r="Z2595" s="176"/>
      <c r="AA2595" s="176"/>
      <c r="AB2595" s="32">
        <f t="shared" ca="1" si="57"/>
        <v>0.61629757966915877</v>
      </c>
      <c r="AC2595" s="812"/>
      <c r="AD2595" s="763"/>
      <c r="AE2595" s="807"/>
      <c r="AF2595" s="921">
        <f>IF(X2595=X2594,AF2594,0)+IF(ISNUMBER(I2595),IF(I2595&lt;1,I2595,I2595*VLOOKUP(J2595,Summary!$H$2:$I$9,2)),VLOOKUP(J2595,Summary!$J$2:$K$9,2)*IF(ISNUMBER(H2595),H2595,1))</f>
        <v>1.3798726851851855</v>
      </c>
      <c r="AG2595" s="289">
        <v>2594</v>
      </c>
      <c r="AH2595" s="94"/>
      <c r="AI2595" s="94"/>
      <c r="AJ2595" s="22"/>
    </row>
    <row r="2596" spans="1:36" s="2" customFormat="1" ht="12" customHeight="1" x14ac:dyDescent="0.25">
      <c r="A2596" s="541" t="s">
        <v>6875</v>
      </c>
      <c r="B2596" s="541">
        <v>7</v>
      </c>
      <c r="C2596" s="541">
        <v>25</v>
      </c>
      <c r="D2596" s="407" t="s">
        <v>3340</v>
      </c>
      <c r="E2596" s="315" t="s">
        <v>3341</v>
      </c>
      <c r="F2596" s="169">
        <v>37165</v>
      </c>
      <c r="G2596" s="170"/>
      <c r="H2596" s="170">
        <v>4</v>
      </c>
      <c r="I2596" s="746">
        <f>TIME(1,47,15)</f>
        <v>7.4479166666666666E-2</v>
      </c>
      <c r="J2596" s="899" t="s">
        <v>4706</v>
      </c>
      <c r="K2596" s="167" t="s">
        <v>176</v>
      </c>
      <c r="L2596" s="167" t="s">
        <v>7375</v>
      </c>
      <c r="M2596" s="167"/>
      <c r="N2596" s="167"/>
      <c r="O2596" s="167" t="s">
        <v>2909</v>
      </c>
      <c r="P2596" s="168" t="s">
        <v>12927</v>
      </c>
      <c r="Q2596" s="167" t="s">
        <v>3947</v>
      </c>
      <c r="R2596" s="172" t="s">
        <v>3146</v>
      </c>
      <c r="S2596" s="388" t="s">
        <v>2542</v>
      </c>
      <c r="T2596" s="168"/>
      <c r="U2596" s="168"/>
      <c r="V2596" s="168"/>
      <c r="W2596" s="312" t="s">
        <v>8756</v>
      </c>
      <c r="X2596" s="644" t="s">
        <v>12469</v>
      </c>
      <c r="Y2596" s="352" t="s">
        <v>5643</v>
      </c>
      <c r="Z2596" s="353">
        <v>215</v>
      </c>
      <c r="AA2596" s="353">
        <v>6</v>
      </c>
      <c r="AB2596" s="31">
        <f t="shared" ca="1" si="57"/>
        <v>0.28562205081849479</v>
      </c>
      <c r="AC2596" s="810"/>
      <c r="AD2596" s="811" t="s">
        <v>16740</v>
      </c>
      <c r="AE2596" s="940" t="s">
        <v>15093</v>
      </c>
      <c r="AF2596" s="920">
        <f>IF(X2596=X2595,AF2595,0)+IF(ISNUMBER(I2596),IF(I2596&lt;1,I2596,I2596*VLOOKUP(J2596,Summary!$H$2:$I$9,2)),VLOOKUP(J2596,Summary!$J$2:$K$9,2)*IF(ISNUMBER(H2596),H2596,1))</f>
        <v>1.4543518518518521</v>
      </c>
      <c r="AG2596" s="287">
        <v>2595</v>
      </c>
      <c r="AH2596" s="94"/>
      <c r="AI2596" s="94"/>
    </row>
    <row r="2597" spans="1:36" s="2" customFormat="1" ht="12" customHeight="1" x14ac:dyDescent="0.25">
      <c r="A2597" s="539" t="s">
        <v>6875</v>
      </c>
      <c r="B2597" s="539">
        <v>7</v>
      </c>
      <c r="C2597" s="539">
        <v>29.07</v>
      </c>
      <c r="D2597" s="176" t="s">
        <v>1259</v>
      </c>
      <c r="E2597" s="313" t="s">
        <v>4046</v>
      </c>
      <c r="F2597" s="174">
        <v>39692</v>
      </c>
      <c r="G2597" s="174"/>
      <c r="H2597" s="176" t="s">
        <v>461</v>
      </c>
      <c r="I2597" s="176">
        <v>8</v>
      </c>
      <c r="J2597" s="900" t="s">
        <v>2755</v>
      </c>
      <c r="K2597" s="164" t="s">
        <v>5064</v>
      </c>
      <c r="L2597" s="164" t="s">
        <v>461</v>
      </c>
      <c r="M2597" s="164"/>
      <c r="N2597" s="164" t="s">
        <v>5664</v>
      </c>
      <c r="O2597" s="164"/>
      <c r="P2597" s="173" t="s">
        <v>6707</v>
      </c>
      <c r="Q2597" s="164" t="s">
        <v>3947</v>
      </c>
      <c r="R2597" s="177" t="s">
        <v>2723</v>
      </c>
      <c r="S2597" s="354" t="s">
        <v>2542</v>
      </c>
      <c r="T2597" s="173"/>
      <c r="U2597" s="173"/>
      <c r="V2597" s="173"/>
      <c r="W2597" s="313" t="s">
        <v>4046</v>
      </c>
      <c r="X2597" s="645" t="s">
        <v>12469</v>
      </c>
      <c r="Y2597" s="354"/>
      <c r="Z2597" s="176"/>
      <c r="AA2597" s="176"/>
      <c r="AB2597" s="32">
        <f t="shared" ca="1" si="57"/>
        <v>0.23693261180493108</v>
      </c>
      <c r="AC2597" s="812"/>
      <c r="AD2597" s="763"/>
      <c r="AE2597" s="807"/>
      <c r="AF2597" s="921">
        <f>IF(X2597=X2596,AF2596,0)+IF(ISNUMBER(I2597),IF(I2597&lt;1,I2597,I2597*VLOOKUP(J2597,Summary!$H$2:$I$9,2)),VLOOKUP(J2597,Summary!$J$2:$K$9,2)*IF(ISNUMBER(H2597),H2597,1))</f>
        <v>1.4599074074074077</v>
      </c>
      <c r="AG2597" s="289">
        <v>2596</v>
      </c>
      <c r="AH2597" s="94"/>
      <c r="AI2597" s="94"/>
      <c r="AJ2597" s="1"/>
    </row>
    <row r="2598" spans="1:36" s="22" customFormat="1" ht="12" customHeight="1" x14ac:dyDescent="0.25">
      <c r="A2598" s="541" t="s">
        <v>6875</v>
      </c>
      <c r="B2598" s="541">
        <v>7</v>
      </c>
      <c r="C2598" s="541">
        <v>36</v>
      </c>
      <c r="D2598" s="407" t="s">
        <v>3342</v>
      </c>
      <c r="E2598" s="315" t="s">
        <v>3343</v>
      </c>
      <c r="F2598" s="169">
        <v>37500</v>
      </c>
      <c r="G2598" s="170"/>
      <c r="H2598" s="170">
        <v>4</v>
      </c>
      <c r="I2598" s="746">
        <f>TIME(1,47,29)</f>
        <v>7.464120370370371E-2</v>
      </c>
      <c r="J2598" s="899" t="s">
        <v>4706</v>
      </c>
      <c r="K2598" s="167" t="s">
        <v>4425</v>
      </c>
      <c r="L2598" s="167" t="s">
        <v>6354</v>
      </c>
      <c r="M2598" s="167"/>
      <c r="N2598" s="167"/>
      <c r="O2598" s="167" t="s">
        <v>2909</v>
      </c>
      <c r="P2598" s="168" t="s">
        <v>12929</v>
      </c>
      <c r="Q2598" s="167" t="s">
        <v>3947</v>
      </c>
      <c r="R2598" s="172" t="s">
        <v>3146</v>
      </c>
      <c r="S2598" s="388" t="s">
        <v>2542</v>
      </c>
      <c r="T2598" s="168"/>
      <c r="U2598" s="168"/>
      <c r="V2598" s="168"/>
      <c r="W2598" s="312" t="s">
        <v>8765</v>
      </c>
      <c r="X2598" s="644" t="s">
        <v>12469</v>
      </c>
      <c r="Y2598" s="352" t="s">
        <v>5643</v>
      </c>
      <c r="Z2598" s="353">
        <v>621</v>
      </c>
      <c r="AA2598" s="353">
        <v>3.5</v>
      </c>
      <c r="AB2598" s="31">
        <f t="shared" ca="1" si="57"/>
        <v>0.51768158126833919</v>
      </c>
      <c r="AC2598" s="810"/>
      <c r="AD2598" s="811" t="s">
        <v>16055</v>
      </c>
      <c r="AE2598" s="940"/>
      <c r="AF2598" s="920">
        <f>IF(X2598=X2597,AF2597,0)+IF(ISNUMBER(I2598),IF(I2598&lt;1,I2598,I2598*VLOOKUP(J2598,Summary!$H$2:$I$9,2)),VLOOKUP(J2598,Summary!$J$2:$K$9,2)*IF(ISNUMBER(H2598),H2598,1))</f>
        <v>1.5345486111111113</v>
      </c>
      <c r="AG2598" s="287">
        <v>2597</v>
      </c>
      <c r="AH2598" s="94"/>
      <c r="AI2598" s="94"/>
      <c r="AJ2598" s="3"/>
    </row>
    <row r="2599" spans="1:36" s="22" customFormat="1" ht="12" customHeight="1" x14ac:dyDescent="0.25">
      <c r="A2599" s="541" t="s">
        <v>11440</v>
      </c>
      <c r="B2599" s="541">
        <v>7</v>
      </c>
      <c r="C2599" s="541">
        <v>58</v>
      </c>
      <c r="D2599" s="407" t="s">
        <v>3344</v>
      </c>
      <c r="E2599" s="315" t="s">
        <v>57</v>
      </c>
      <c r="F2599" s="169">
        <v>38139</v>
      </c>
      <c r="G2599" s="170"/>
      <c r="H2599" s="170">
        <v>4</v>
      </c>
      <c r="I2599" s="746">
        <f>TIME(1,57,6)</f>
        <v>8.1319444444444444E-2</v>
      </c>
      <c r="J2599" s="899" t="s">
        <v>4706</v>
      </c>
      <c r="K2599" s="167" t="s">
        <v>4132</v>
      </c>
      <c r="L2599" s="167" t="s">
        <v>7375</v>
      </c>
      <c r="M2599" s="167"/>
      <c r="N2599" s="167"/>
      <c r="O2599" s="167" t="s">
        <v>2909</v>
      </c>
      <c r="P2599" s="168" t="s">
        <v>12930</v>
      </c>
      <c r="Q2599" s="167" t="s">
        <v>3947</v>
      </c>
      <c r="R2599" s="172" t="s">
        <v>3146</v>
      </c>
      <c r="S2599" s="388" t="s">
        <v>2542</v>
      </c>
      <c r="T2599" s="168" t="s">
        <v>58</v>
      </c>
      <c r="U2599" s="168"/>
      <c r="V2599" s="168"/>
      <c r="W2599" s="312" t="s">
        <v>9300</v>
      </c>
      <c r="X2599" s="644" t="s">
        <v>12470</v>
      </c>
      <c r="Y2599" s="352" t="s">
        <v>5643</v>
      </c>
      <c r="Z2599" s="353">
        <v>221</v>
      </c>
      <c r="AA2599" s="353">
        <v>6</v>
      </c>
      <c r="AB2599" s="31">
        <f t="shared" ca="1" si="57"/>
        <v>0.81417757380655675</v>
      </c>
      <c r="AC2599" s="810"/>
      <c r="AD2599" s="811" t="s">
        <v>16084</v>
      </c>
      <c r="AE2599" s="940"/>
      <c r="AF2599" s="920">
        <f>IF(X2599=X2598,AF2598,0)+IF(ISNUMBER(I2599),IF(I2599&lt;1,I2599,I2599*VLOOKUP(J2599,Summary!$H$2:$I$9,2)),VLOOKUP(J2599,Summary!$J$2:$K$9,2)*IF(ISNUMBER(H2599),H2599,1))</f>
        <v>8.1319444444444444E-2</v>
      </c>
      <c r="AG2599" s="287">
        <v>2598</v>
      </c>
      <c r="AH2599" s="94"/>
      <c r="AI2599" s="94"/>
      <c r="AJ2599" s="43"/>
    </row>
    <row r="2600" spans="1:36" s="2" customFormat="1" ht="12" customHeight="1" x14ac:dyDescent="0.25">
      <c r="A2600" s="539" t="s">
        <v>11440</v>
      </c>
      <c r="B2600" s="539">
        <v>7</v>
      </c>
      <c r="C2600" s="542">
        <v>12.06</v>
      </c>
      <c r="D2600" s="176" t="s">
        <v>4177</v>
      </c>
      <c r="E2600" s="313" t="s">
        <v>4975</v>
      </c>
      <c r="F2600" s="174">
        <v>38261</v>
      </c>
      <c r="G2600" s="174"/>
      <c r="H2600" s="176">
        <v>1</v>
      </c>
      <c r="I2600" s="176">
        <v>10</v>
      </c>
      <c r="J2600" s="900" t="s">
        <v>2755</v>
      </c>
      <c r="K2600" s="164" t="s">
        <v>7426</v>
      </c>
      <c r="L2600" s="164" t="s">
        <v>461</v>
      </c>
      <c r="M2600" s="164"/>
      <c r="N2600" s="164" t="s">
        <v>7381</v>
      </c>
      <c r="O2600" s="164"/>
      <c r="P2600" s="173" t="s">
        <v>2756</v>
      </c>
      <c r="Q2600" s="164" t="s">
        <v>3947</v>
      </c>
      <c r="R2600" s="177" t="s">
        <v>2723</v>
      </c>
      <c r="S2600" s="354" t="s">
        <v>2542</v>
      </c>
      <c r="T2600" s="173" t="s">
        <v>58</v>
      </c>
      <c r="U2600" s="173"/>
      <c r="V2600" s="173"/>
      <c r="W2600" s="313" t="s">
        <v>4975</v>
      </c>
      <c r="X2600" s="645" t="s">
        <v>12470</v>
      </c>
      <c r="Y2600" s="354"/>
      <c r="Z2600" s="176"/>
      <c r="AA2600" s="176"/>
      <c r="AB2600" s="32">
        <f t="shared" ca="1" si="57"/>
        <v>0.92173818388465734</v>
      </c>
      <c r="AC2600" s="812"/>
      <c r="AD2600" s="763"/>
      <c r="AE2600" s="807"/>
      <c r="AF2600" s="921">
        <f>IF(X2600=X2599,AF2599,0)+IF(ISNUMBER(I2600),IF(I2600&lt;1,I2600,I2600*VLOOKUP(J2600,Summary!$H$2:$I$9,2)),VLOOKUP(J2600,Summary!$J$2:$K$9,2)*IF(ISNUMBER(H2600),H2600,1))</f>
        <v>8.8263888888888892E-2</v>
      </c>
      <c r="AG2600" s="289">
        <v>2599</v>
      </c>
      <c r="AH2600" s="94"/>
      <c r="AI2600" s="94"/>
      <c r="AJ2600" s="6"/>
    </row>
    <row r="2601" spans="1:36" s="43" customFormat="1" ht="12" customHeight="1" x14ac:dyDescent="0.25">
      <c r="A2601" s="541" t="s">
        <v>11440</v>
      </c>
      <c r="B2601" s="541">
        <v>7</v>
      </c>
      <c r="C2601" s="541">
        <v>67</v>
      </c>
      <c r="D2601" s="407" t="s">
        <v>59</v>
      </c>
      <c r="E2601" s="315" t="s">
        <v>60</v>
      </c>
      <c r="F2601" s="169">
        <v>38412</v>
      </c>
      <c r="G2601" s="170"/>
      <c r="H2601" s="170">
        <v>4</v>
      </c>
      <c r="I2601" s="746">
        <f>TIME(1,46,18)</f>
        <v>7.3819444444444438E-2</v>
      </c>
      <c r="J2601" s="899" t="s">
        <v>4706</v>
      </c>
      <c r="K2601" s="167" t="s">
        <v>6876</v>
      </c>
      <c r="L2601" s="167" t="s">
        <v>7375</v>
      </c>
      <c r="M2601" s="167"/>
      <c r="N2601" s="167"/>
      <c r="O2601" s="167" t="s">
        <v>2909</v>
      </c>
      <c r="P2601" s="168" t="s">
        <v>12931</v>
      </c>
      <c r="Q2601" s="167" t="s">
        <v>3947</v>
      </c>
      <c r="R2601" s="172" t="s">
        <v>3146</v>
      </c>
      <c r="S2601" s="388" t="s">
        <v>2542</v>
      </c>
      <c r="T2601" s="168" t="s">
        <v>58</v>
      </c>
      <c r="U2601" s="168"/>
      <c r="V2601" s="168"/>
      <c r="W2601" s="312" t="s">
        <v>9315</v>
      </c>
      <c r="X2601" s="644" t="s">
        <v>12470</v>
      </c>
      <c r="Y2601" s="352" t="s">
        <v>5398</v>
      </c>
      <c r="Z2601" s="353">
        <v>209</v>
      </c>
      <c r="AA2601" s="353">
        <v>6</v>
      </c>
      <c r="AB2601" s="31">
        <f t="shared" ca="1" si="57"/>
        <v>0.98206732949722486</v>
      </c>
      <c r="AC2601" s="810"/>
      <c r="AD2601" s="811" t="s">
        <v>16474</v>
      </c>
      <c r="AE2601" s="940" t="s">
        <v>3365</v>
      </c>
      <c r="AF2601" s="920">
        <f>IF(X2601=X2600,AF2600,0)+IF(ISNUMBER(I2601),IF(I2601&lt;1,I2601,I2601*VLOOKUP(J2601,Summary!$H$2:$I$9,2)),VLOOKUP(J2601,Summary!$J$2:$K$9,2)*IF(ISNUMBER(H2601),H2601,1))</f>
        <v>0.16208333333333333</v>
      </c>
      <c r="AG2601" s="287">
        <v>2600</v>
      </c>
      <c r="AH2601" s="94"/>
      <c r="AI2601" s="94"/>
      <c r="AJ2601" s="2"/>
    </row>
    <row r="2602" spans="1:36" s="22" customFormat="1" ht="12" customHeight="1" x14ac:dyDescent="0.25">
      <c r="A2602" s="539" t="s">
        <v>11440</v>
      </c>
      <c r="B2602" s="539">
        <v>7</v>
      </c>
      <c r="C2602" s="542">
        <v>16.07</v>
      </c>
      <c r="D2602" s="176" t="s">
        <v>4178</v>
      </c>
      <c r="E2602" s="313" t="s">
        <v>4976</v>
      </c>
      <c r="F2602" s="174">
        <v>38473</v>
      </c>
      <c r="G2602" s="174"/>
      <c r="H2602" s="176">
        <v>1</v>
      </c>
      <c r="I2602" s="176">
        <v>12</v>
      </c>
      <c r="J2602" s="900" t="s">
        <v>2755</v>
      </c>
      <c r="K2602" s="164" t="s">
        <v>6833</v>
      </c>
      <c r="L2602" s="164" t="s">
        <v>461</v>
      </c>
      <c r="M2602" s="164"/>
      <c r="N2602" s="164" t="s">
        <v>7381</v>
      </c>
      <c r="O2602" s="164"/>
      <c r="P2602" s="173" t="s">
        <v>1652</v>
      </c>
      <c r="Q2602" s="164" t="s">
        <v>3947</v>
      </c>
      <c r="R2602" s="177" t="s">
        <v>2723</v>
      </c>
      <c r="S2602" s="354" t="s">
        <v>2542</v>
      </c>
      <c r="T2602" s="173" t="s">
        <v>58</v>
      </c>
      <c r="U2602" s="173"/>
      <c r="V2602" s="173"/>
      <c r="W2602" s="313" t="s">
        <v>4976</v>
      </c>
      <c r="X2602" s="645" t="s">
        <v>12470</v>
      </c>
      <c r="Y2602" s="354"/>
      <c r="Z2602" s="176"/>
      <c r="AA2602" s="176"/>
      <c r="AB2602" s="32">
        <f t="shared" ca="1" si="57"/>
        <v>5.5729798617984994E-2</v>
      </c>
      <c r="AC2602" s="812"/>
      <c r="AD2602" s="763"/>
      <c r="AE2602" s="807"/>
      <c r="AF2602" s="921">
        <f>IF(X2602=X2601,AF2601,0)+IF(ISNUMBER(I2602),IF(I2602&lt;1,I2602,I2602*VLOOKUP(J2602,Summary!$H$2:$I$9,2)),VLOOKUP(J2602,Summary!$J$2:$K$9,2)*IF(ISNUMBER(H2602),H2602,1))</f>
        <v>0.17041666666666666</v>
      </c>
      <c r="AG2602" s="289">
        <v>2601</v>
      </c>
      <c r="AH2602" s="94"/>
      <c r="AI2602" s="94"/>
    </row>
    <row r="2603" spans="1:36" s="22" customFormat="1" ht="12" customHeight="1" x14ac:dyDescent="0.25">
      <c r="A2603" s="539" t="s">
        <v>11440</v>
      </c>
      <c r="B2603" s="539">
        <v>7</v>
      </c>
      <c r="C2603" s="542">
        <v>16.059999999999999</v>
      </c>
      <c r="D2603" s="176" t="s">
        <v>4179</v>
      </c>
      <c r="E2603" s="313" t="s">
        <v>4977</v>
      </c>
      <c r="F2603" s="174">
        <v>38473</v>
      </c>
      <c r="G2603" s="174"/>
      <c r="H2603" s="176">
        <v>1</v>
      </c>
      <c r="I2603" s="176">
        <v>14</v>
      </c>
      <c r="J2603" s="900" t="s">
        <v>2755</v>
      </c>
      <c r="K2603" s="164" t="s">
        <v>4132</v>
      </c>
      <c r="L2603" s="164" t="s">
        <v>461</v>
      </c>
      <c r="M2603" s="164"/>
      <c r="N2603" s="164" t="s">
        <v>7381</v>
      </c>
      <c r="O2603" s="164"/>
      <c r="P2603" s="173" t="s">
        <v>1652</v>
      </c>
      <c r="Q2603" s="164" t="s">
        <v>3947</v>
      </c>
      <c r="R2603" s="177" t="s">
        <v>2723</v>
      </c>
      <c r="S2603" s="354" t="s">
        <v>2542</v>
      </c>
      <c r="T2603" s="173" t="s">
        <v>58</v>
      </c>
      <c r="U2603" s="173"/>
      <c r="V2603" s="173"/>
      <c r="W2603" s="313" t="s">
        <v>4977</v>
      </c>
      <c r="X2603" s="645" t="s">
        <v>12470</v>
      </c>
      <c r="Y2603" s="354"/>
      <c r="Z2603" s="176"/>
      <c r="AA2603" s="176"/>
      <c r="AB2603" s="32">
        <f t="shared" ca="1" si="57"/>
        <v>6.7273097813670302E-2</v>
      </c>
      <c r="AC2603" s="812"/>
      <c r="AD2603" s="763"/>
      <c r="AE2603" s="807"/>
      <c r="AF2603" s="921">
        <f>IF(X2603=X2602,AF2602,0)+IF(ISNUMBER(I2603),IF(I2603&lt;1,I2603,I2603*VLOOKUP(J2603,Summary!$H$2:$I$9,2)),VLOOKUP(J2603,Summary!$J$2:$K$9,2)*IF(ISNUMBER(H2603),H2603,1))</f>
        <v>0.18013888888888888</v>
      </c>
      <c r="AG2603" s="289">
        <v>2602</v>
      </c>
      <c r="AH2603" s="94"/>
      <c r="AI2603" s="94"/>
    </row>
    <row r="2604" spans="1:36" s="22" customFormat="1" ht="12" customHeight="1" x14ac:dyDescent="0.2">
      <c r="A2604" s="541" t="s">
        <v>11440</v>
      </c>
      <c r="B2604" s="541">
        <v>7</v>
      </c>
      <c r="C2604" s="541">
        <v>74</v>
      </c>
      <c r="D2604" s="407" t="s">
        <v>61</v>
      </c>
      <c r="E2604" s="315" t="s">
        <v>62</v>
      </c>
      <c r="F2604" s="169">
        <v>38596</v>
      </c>
      <c r="G2604" s="170"/>
      <c r="H2604" s="170">
        <v>4</v>
      </c>
      <c r="I2604" s="746">
        <f>TIME(1,46,50)</f>
        <v>7.4189814814814806E-2</v>
      </c>
      <c r="J2604" s="899" t="s">
        <v>4706</v>
      </c>
      <c r="K2604" s="167" t="s">
        <v>6877</v>
      </c>
      <c r="L2604" s="167" t="s">
        <v>7375</v>
      </c>
      <c r="M2604" s="167"/>
      <c r="N2604" s="167"/>
      <c r="O2604" s="167" t="s">
        <v>2909</v>
      </c>
      <c r="P2604" s="168" t="s">
        <v>12932</v>
      </c>
      <c r="Q2604" s="167" t="s">
        <v>3947</v>
      </c>
      <c r="R2604" s="172" t="s">
        <v>3146</v>
      </c>
      <c r="S2604" s="388" t="s">
        <v>2542</v>
      </c>
      <c r="T2604" s="168" t="s">
        <v>58</v>
      </c>
      <c r="U2604" s="168"/>
      <c r="V2604" s="168"/>
      <c r="W2604" s="312" t="s">
        <v>8500</v>
      </c>
      <c r="X2604" s="644" t="s">
        <v>12470</v>
      </c>
      <c r="Y2604" s="352" t="s">
        <v>5643</v>
      </c>
      <c r="Z2604" s="353">
        <v>34</v>
      </c>
      <c r="AA2604" s="353">
        <v>9</v>
      </c>
      <c r="AB2604" s="31">
        <f t="shared" ca="1" si="57"/>
        <v>0.20877638482782213</v>
      </c>
      <c r="AC2604" s="810"/>
      <c r="AD2604" s="811" t="s">
        <v>16193</v>
      </c>
      <c r="AE2604" s="940" t="s">
        <v>12543</v>
      </c>
      <c r="AF2604" s="920">
        <f>IF(X2604=X2603,AF2603,0)+IF(ISNUMBER(I2604),IF(I2604&lt;1,I2604,I2604*VLOOKUP(J2604,Summary!$H$2:$I$9,2)),VLOOKUP(J2604,Summary!$J$2:$K$9,2)*IF(ISNUMBER(H2604),H2604,1))</f>
        <v>0.2543287037037037</v>
      </c>
      <c r="AG2604" s="287">
        <v>2603</v>
      </c>
      <c r="AH2604" s="94"/>
      <c r="AI2604" s="94"/>
    </row>
    <row r="2605" spans="1:36" s="22" customFormat="1" ht="12" customHeight="1" x14ac:dyDescent="0.25">
      <c r="A2605" s="539" t="s">
        <v>11440</v>
      </c>
      <c r="B2605" s="539">
        <v>7</v>
      </c>
      <c r="C2605" s="542">
        <v>18.07</v>
      </c>
      <c r="D2605" s="176" t="s">
        <v>4180</v>
      </c>
      <c r="E2605" s="313" t="s">
        <v>4978</v>
      </c>
      <c r="F2605" s="174">
        <v>38687</v>
      </c>
      <c r="G2605" s="174"/>
      <c r="H2605" s="176">
        <v>1</v>
      </c>
      <c r="I2605" s="176">
        <v>8</v>
      </c>
      <c r="J2605" s="900" t="s">
        <v>2755</v>
      </c>
      <c r="K2605" s="164" t="s">
        <v>4551</v>
      </c>
      <c r="L2605" s="164" t="s">
        <v>461</v>
      </c>
      <c r="M2605" s="164"/>
      <c r="N2605" s="164" t="s">
        <v>5664</v>
      </c>
      <c r="O2605" s="164"/>
      <c r="P2605" s="173" t="s">
        <v>5000</v>
      </c>
      <c r="Q2605" s="164" t="s">
        <v>3947</v>
      </c>
      <c r="R2605" s="177" t="s">
        <v>2723</v>
      </c>
      <c r="S2605" s="354" t="s">
        <v>2542</v>
      </c>
      <c r="T2605" s="173" t="s">
        <v>58</v>
      </c>
      <c r="U2605" s="173"/>
      <c r="V2605" s="173"/>
      <c r="W2605" s="313" t="s">
        <v>4978</v>
      </c>
      <c r="X2605" s="645" t="s">
        <v>12470</v>
      </c>
      <c r="Y2605" s="354"/>
      <c r="Z2605" s="176"/>
      <c r="AA2605" s="176"/>
      <c r="AB2605" s="32">
        <f t="shared" ca="1" si="57"/>
        <v>0.88441855113649093</v>
      </c>
      <c r="AC2605" s="812"/>
      <c r="AD2605" s="763"/>
      <c r="AE2605" s="807"/>
      <c r="AF2605" s="921">
        <f>IF(X2605=X2604,AF2604,0)+IF(ISNUMBER(I2605),IF(I2605&lt;1,I2605,I2605*VLOOKUP(J2605,Summary!$H$2:$I$9,2)),VLOOKUP(J2605,Summary!$J$2:$K$9,2)*IF(ISNUMBER(H2605),H2605,1))</f>
        <v>0.25988425925925923</v>
      </c>
      <c r="AG2605" s="289">
        <v>2604</v>
      </c>
      <c r="AH2605" s="94"/>
      <c r="AI2605" s="94"/>
    </row>
    <row r="2606" spans="1:36" s="2" customFormat="1" ht="12" customHeight="1" x14ac:dyDescent="0.25">
      <c r="A2606" s="541" t="s">
        <v>11440</v>
      </c>
      <c r="B2606" s="541">
        <v>7</v>
      </c>
      <c r="C2606" s="541">
        <v>226.1</v>
      </c>
      <c r="D2606" s="407"/>
      <c r="E2606" s="315" t="s">
        <v>12925</v>
      </c>
      <c r="F2606" s="196">
        <v>42899</v>
      </c>
      <c r="G2606" s="170"/>
      <c r="H2606" s="170">
        <v>2</v>
      </c>
      <c r="I2606" s="747">
        <f>TIME(0,60,0)</f>
        <v>4.1666666666666664E-2</v>
      </c>
      <c r="J2606" s="899" t="s">
        <v>4706</v>
      </c>
      <c r="K2606" s="167" t="s">
        <v>10631</v>
      </c>
      <c r="L2606" s="167" t="s">
        <v>2313</v>
      </c>
      <c r="M2606" s="167"/>
      <c r="N2606" s="167"/>
      <c r="O2606" s="167" t="s">
        <v>3295</v>
      </c>
      <c r="P2606" s="168" t="s">
        <v>12924</v>
      </c>
      <c r="Q2606" s="167" t="s">
        <v>3947</v>
      </c>
      <c r="R2606" s="172" t="s">
        <v>3146</v>
      </c>
      <c r="S2606" s="388" t="s">
        <v>2542</v>
      </c>
      <c r="T2606" s="168" t="s">
        <v>58</v>
      </c>
      <c r="U2606" s="168"/>
      <c r="V2606" s="168"/>
      <c r="W2606" s="312"/>
      <c r="X2606" s="644" t="s">
        <v>12470</v>
      </c>
      <c r="Y2606" s="352"/>
      <c r="Z2606" s="353"/>
      <c r="AA2606" s="353"/>
      <c r="AB2606" s="31">
        <f t="shared" ca="1" si="57"/>
        <v>0.3180158677942716</v>
      </c>
      <c r="AC2606" s="810"/>
      <c r="AD2606" s="811"/>
      <c r="AE2606" s="940"/>
      <c r="AF2606" s="920">
        <f>IF(X2606=X2605,AF2605,0)+IF(ISNUMBER(I2606),IF(I2606&lt;1,I2606,I2606*VLOOKUP(J2606,Summary!$H$2:$I$9,2)),VLOOKUP(J2606,Summary!$J$2:$K$9,2)*IF(ISNUMBER(H2606),H2606,1))</f>
        <v>0.30155092592592592</v>
      </c>
      <c r="AG2606" s="287">
        <v>2605</v>
      </c>
      <c r="AH2606" s="94"/>
      <c r="AI2606" s="94"/>
    </row>
    <row r="2607" spans="1:36" s="22" customFormat="1" ht="12" customHeight="1" x14ac:dyDescent="0.2">
      <c r="A2607" s="541" t="s">
        <v>11440</v>
      </c>
      <c r="B2607" s="541">
        <v>7</v>
      </c>
      <c r="C2607" s="541">
        <v>226.2</v>
      </c>
      <c r="D2607" s="407"/>
      <c r="E2607" s="315" t="s">
        <v>12926</v>
      </c>
      <c r="F2607" s="196">
        <v>42899</v>
      </c>
      <c r="G2607" s="170"/>
      <c r="H2607" s="170">
        <v>2</v>
      </c>
      <c r="I2607" s="747">
        <f>TIME(0,60,0)</f>
        <v>4.1666666666666664E-2</v>
      </c>
      <c r="J2607" s="899" t="s">
        <v>4706</v>
      </c>
      <c r="K2607" s="167" t="s">
        <v>179</v>
      </c>
      <c r="L2607" s="167" t="s">
        <v>2313</v>
      </c>
      <c r="M2607" s="167"/>
      <c r="N2607" s="167"/>
      <c r="O2607" s="167" t="s">
        <v>3295</v>
      </c>
      <c r="P2607" s="168" t="s">
        <v>12924</v>
      </c>
      <c r="Q2607" s="167" t="s">
        <v>3947</v>
      </c>
      <c r="R2607" s="172" t="s">
        <v>3146</v>
      </c>
      <c r="S2607" s="388" t="s">
        <v>2542</v>
      </c>
      <c r="T2607" s="168" t="s">
        <v>58</v>
      </c>
      <c r="U2607" s="168"/>
      <c r="V2607" s="168"/>
      <c r="W2607" s="312"/>
      <c r="X2607" s="644" t="s">
        <v>12470</v>
      </c>
      <c r="Y2607" s="352"/>
      <c r="Z2607" s="353"/>
      <c r="AA2607" s="353"/>
      <c r="AB2607" s="31">
        <f t="shared" ca="1" si="57"/>
        <v>0.35827923299359665</v>
      </c>
      <c r="AC2607" s="810"/>
      <c r="AD2607" s="811"/>
      <c r="AE2607" s="940"/>
      <c r="AF2607" s="920">
        <f>IF(X2607=X2606,AF2606,0)+IF(ISNUMBER(I2607),IF(I2607&lt;1,I2607,I2607*VLOOKUP(J2607,Summary!$H$2:$I$9,2)),VLOOKUP(J2607,Summary!$J$2:$K$9,2)*IF(ISNUMBER(H2607),H2607,1))</f>
        <v>0.3432175925925926</v>
      </c>
      <c r="AG2607" s="287">
        <v>2606</v>
      </c>
      <c r="AH2607" s="94"/>
      <c r="AI2607" s="94"/>
    </row>
    <row r="2608" spans="1:36" s="2" customFormat="1" ht="12" customHeight="1" x14ac:dyDescent="0.25">
      <c r="A2608" s="541" t="s">
        <v>11440</v>
      </c>
      <c r="B2608" s="541">
        <v>7</v>
      </c>
      <c r="C2608" s="541">
        <v>79</v>
      </c>
      <c r="D2608" s="407" t="s">
        <v>63</v>
      </c>
      <c r="E2608" s="315" t="s">
        <v>65</v>
      </c>
      <c r="F2608" s="169">
        <v>38749</v>
      </c>
      <c r="G2608" s="170"/>
      <c r="H2608" s="170">
        <v>4</v>
      </c>
      <c r="I2608" s="746">
        <f>TIME(2,5,31)</f>
        <v>8.7164351851851854E-2</v>
      </c>
      <c r="J2608" s="899" t="s">
        <v>4706</v>
      </c>
      <c r="K2608" s="167" t="s">
        <v>6878</v>
      </c>
      <c r="L2608" s="167" t="s">
        <v>7375</v>
      </c>
      <c r="M2608" s="167"/>
      <c r="N2608" s="167"/>
      <c r="O2608" s="167" t="s">
        <v>2909</v>
      </c>
      <c r="P2608" s="168" t="s">
        <v>12933</v>
      </c>
      <c r="Q2608" s="167" t="s">
        <v>3947</v>
      </c>
      <c r="R2608" s="172" t="s">
        <v>3146</v>
      </c>
      <c r="S2608" s="388" t="s">
        <v>2542</v>
      </c>
      <c r="T2608" s="168" t="s">
        <v>58</v>
      </c>
      <c r="U2608" s="168"/>
      <c r="V2608" s="168"/>
      <c r="W2608" s="312" t="s">
        <v>9336</v>
      </c>
      <c r="X2608" s="644" t="s">
        <v>12470</v>
      </c>
      <c r="Y2608" s="352" t="s">
        <v>5398</v>
      </c>
      <c r="Z2608" s="353">
        <v>515</v>
      </c>
      <c r="AA2608" s="353">
        <v>4</v>
      </c>
      <c r="AB2608" s="31">
        <f t="shared" ca="1" si="57"/>
        <v>0.39249211691584807</v>
      </c>
      <c r="AC2608" s="810"/>
      <c r="AD2608" s="811" t="s">
        <v>16050</v>
      </c>
      <c r="AE2608" s="940" t="s">
        <v>12543</v>
      </c>
      <c r="AF2608" s="920">
        <f>IF(X2608=X2607,AF2607,0)+IF(ISNUMBER(I2608),IF(I2608&lt;1,I2608,I2608*VLOOKUP(J2608,Summary!$H$2:$I$9,2)),VLOOKUP(J2608,Summary!$J$2:$K$9,2)*IF(ISNUMBER(H2608),H2608,1))</f>
        <v>0.43038194444444444</v>
      </c>
      <c r="AG2608" s="287">
        <v>2607</v>
      </c>
      <c r="AH2608" s="94"/>
      <c r="AI2608" s="94"/>
    </row>
    <row r="2609" spans="1:36" s="2" customFormat="1" ht="12" customHeight="1" x14ac:dyDescent="0.25">
      <c r="A2609" s="541" t="s">
        <v>11440</v>
      </c>
      <c r="B2609" s="541">
        <v>7</v>
      </c>
      <c r="C2609" s="541">
        <v>82</v>
      </c>
      <c r="D2609" s="407" t="s">
        <v>66</v>
      </c>
      <c r="E2609" s="315" t="s">
        <v>67</v>
      </c>
      <c r="F2609" s="169">
        <v>38838</v>
      </c>
      <c r="G2609" s="170"/>
      <c r="H2609" s="170">
        <v>4</v>
      </c>
      <c r="I2609" s="746">
        <f>TIME(2,3,24)</f>
        <v>8.5694444444444448E-2</v>
      </c>
      <c r="J2609" s="899" t="s">
        <v>4706</v>
      </c>
      <c r="K2609" s="167" t="s">
        <v>5664</v>
      </c>
      <c r="L2609" s="167" t="s">
        <v>7375</v>
      </c>
      <c r="M2609" s="167"/>
      <c r="N2609" s="167"/>
      <c r="O2609" s="167" t="s">
        <v>2909</v>
      </c>
      <c r="P2609" s="168" t="s">
        <v>12934</v>
      </c>
      <c r="Q2609" s="167" t="s">
        <v>3947</v>
      </c>
      <c r="R2609" s="172" t="s">
        <v>3146</v>
      </c>
      <c r="S2609" s="388" t="s">
        <v>2542</v>
      </c>
      <c r="T2609" s="168" t="s">
        <v>58</v>
      </c>
      <c r="U2609" s="168"/>
      <c r="V2609" s="168"/>
      <c r="W2609" s="312" t="s">
        <v>9339</v>
      </c>
      <c r="X2609" s="644" t="s">
        <v>12470</v>
      </c>
      <c r="Y2609" s="352" t="s">
        <v>5398</v>
      </c>
      <c r="Z2609" s="353">
        <v>397</v>
      </c>
      <c r="AA2609" s="353">
        <v>5</v>
      </c>
      <c r="AB2609" s="31">
        <f t="shared" ca="1" si="57"/>
        <v>0.69214686658327906</v>
      </c>
      <c r="AC2609" s="810"/>
      <c r="AD2609" s="811" t="s">
        <v>15118</v>
      </c>
      <c r="AE2609" s="940"/>
      <c r="AF2609" s="920">
        <f>IF(X2609=X2608,AF2608,0)+IF(ISNUMBER(I2609),IF(I2609&lt;1,I2609,I2609*VLOOKUP(J2609,Summary!$H$2:$I$9,2)),VLOOKUP(J2609,Summary!$J$2:$K$9,2)*IF(ISNUMBER(H2609),H2609,1))</f>
        <v>0.51607638888888885</v>
      </c>
      <c r="AG2609" s="287">
        <v>2608</v>
      </c>
      <c r="AH2609" s="94"/>
      <c r="AI2609" s="94"/>
    </row>
    <row r="2610" spans="1:36" s="1" customFormat="1" ht="12" customHeight="1" x14ac:dyDescent="0.25">
      <c r="A2610" s="541" t="s">
        <v>11440</v>
      </c>
      <c r="B2610" s="541">
        <v>7</v>
      </c>
      <c r="C2610" s="541">
        <v>89</v>
      </c>
      <c r="D2610" s="407" t="s">
        <v>68</v>
      </c>
      <c r="E2610" s="315" t="s">
        <v>69</v>
      </c>
      <c r="F2610" s="169">
        <v>39022</v>
      </c>
      <c r="G2610" s="170"/>
      <c r="H2610" s="170">
        <v>4</v>
      </c>
      <c r="I2610" s="746">
        <f>TIME(2,11,52)</f>
        <v>9.1574074074074072E-2</v>
      </c>
      <c r="J2610" s="899" t="s">
        <v>4706</v>
      </c>
      <c r="K2610" s="167" t="s">
        <v>6235</v>
      </c>
      <c r="L2610" s="167" t="s">
        <v>6231</v>
      </c>
      <c r="M2610" s="167"/>
      <c r="N2610" s="167"/>
      <c r="O2610" s="167" t="s">
        <v>6879</v>
      </c>
      <c r="P2610" s="168" t="s">
        <v>12935</v>
      </c>
      <c r="Q2610" s="167" t="s">
        <v>3947</v>
      </c>
      <c r="R2610" s="172" t="s">
        <v>3146</v>
      </c>
      <c r="S2610" s="388" t="s">
        <v>2542</v>
      </c>
      <c r="T2610" s="168" t="s">
        <v>58</v>
      </c>
      <c r="U2610" s="168"/>
      <c r="V2610" s="168"/>
      <c r="W2610" s="312" t="s">
        <v>9345</v>
      </c>
      <c r="X2610" s="644" t="s">
        <v>12471</v>
      </c>
      <c r="Y2610" s="352" t="s">
        <v>5398</v>
      </c>
      <c r="Z2610" s="353">
        <v>348</v>
      </c>
      <c r="AA2610" s="353">
        <v>5</v>
      </c>
      <c r="AB2610" s="31">
        <f t="shared" ca="1" si="57"/>
        <v>0.27306378556423128</v>
      </c>
      <c r="AC2610" s="810"/>
      <c r="AD2610" s="811" t="s">
        <v>16680</v>
      </c>
      <c r="AE2610" s="940"/>
      <c r="AF2610" s="920">
        <f>IF(X2610=X2609,AF2609,0)+IF(ISNUMBER(I2610),IF(I2610&lt;1,I2610,I2610*VLOOKUP(J2610,Summary!$H$2:$I$9,2)),VLOOKUP(J2610,Summary!$J$2:$K$9,2)*IF(ISNUMBER(H2610),H2610,1))</f>
        <v>9.1574074074074072E-2</v>
      </c>
      <c r="AG2610" s="287">
        <v>2609</v>
      </c>
      <c r="AH2610" s="94"/>
      <c r="AI2610" s="94"/>
    </row>
    <row r="2611" spans="1:36" s="1" customFormat="1" ht="12" customHeight="1" x14ac:dyDescent="0.25">
      <c r="A2611" s="539" t="s">
        <v>11440</v>
      </c>
      <c r="B2611" s="539">
        <v>7</v>
      </c>
      <c r="C2611" s="542">
        <v>22.02</v>
      </c>
      <c r="D2611" s="176" t="s">
        <v>4181</v>
      </c>
      <c r="E2611" s="313" t="s">
        <v>4979</v>
      </c>
      <c r="F2611" s="174">
        <v>39052</v>
      </c>
      <c r="G2611" s="174"/>
      <c r="H2611" s="176">
        <v>1</v>
      </c>
      <c r="I2611" s="176">
        <v>19</v>
      </c>
      <c r="J2611" s="900" t="s">
        <v>2755</v>
      </c>
      <c r="K2611" s="164" t="s">
        <v>4425</v>
      </c>
      <c r="L2611" s="164" t="s">
        <v>461</v>
      </c>
      <c r="M2611" s="164"/>
      <c r="N2611" s="164" t="s">
        <v>4549</v>
      </c>
      <c r="O2611" s="164"/>
      <c r="P2611" s="173" t="s">
        <v>522</v>
      </c>
      <c r="Q2611" s="164" t="s">
        <v>3947</v>
      </c>
      <c r="R2611" s="177" t="s">
        <v>2723</v>
      </c>
      <c r="S2611" s="354" t="s">
        <v>2542</v>
      </c>
      <c r="T2611" s="173" t="s">
        <v>58</v>
      </c>
      <c r="U2611" s="173"/>
      <c r="V2611" s="173"/>
      <c r="W2611" s="313" t="s">
        <v>4979</v>
      </c>
      <c r="X2611" s="645" t="s">
        <v>12471</v>
      </c>
      <c r="Y2611" s="354"/>
      <c r="Z2611" s="176"/>
      <c r="AA2611" s="176"/>
      <c r="AB2611" s="32">
        <f t="shared" ca="1" si="57"/>
        <v>0.32976494977484094</v>
      </c>
      <c r="AC2611" s="812"/>
      <c r="AD2611" s="763"/>
      <c r="AE2611" s="807"/>
      <c r="AF2611" s="921">
        <f>IF(X2611=X2610,AF2610,0)+IF(ISNUMBER(I2611),IF(I2611&lt;1,I2611,I2611*VLOOKUP(J2611,Summary!$H$2:$I$9,2)),VLOOKUP(J2611,Summary!$J$2:$K$9,2)*IF(ISNUMBER(H2611),H2611,1))</f>
        <v>0.10476851851851851</v>
      </c>
      <c r="AG2611" s="289">
        <v>2610</v>
      </c>
      <c r="AH2611" s="94"/>
      <c r="AI2611" s="94"/>
    </row>
    <row r="2612" spans="1:36" s="2" customFormat="1" ht="12" customHeight="1" x14ac:dyDescent="0.25">
      <c r="A2612" s="541" t="s">
        <v>11440</v>
      </c>
      <c r="B2612" s="541">
        <v>7</v>
      </c>
      <c r="C2612" s="541">
        <v>92</v>
      </c>
      <c r="D2612" s="407" t="s">
        <v>70</v>
      </c>
      <c r="E2612" s="315" t="s">
        <v>71</v>
      </c>
      <c r="F2612" s="169">
        <v>39114</v>
      </c>
      <c r="G2612" s="170"/>
      <c r="H2612" s="170">
        <v>4</v>
      </c>
      <c r="I2612" s="746">
        <f>TIME(1,43,37)</f>
        <v>7.1956018518518516E-2</v>
      </c>
      <c r="J2612" s="899" t="s">
        <v>4706</v>
      </c>
      <c r="K2612" s="167" t="s">
        <v>4132</v>
      </c>
      <c r="L2612" s="167" t="s">
        <v>6231</v>
      </c>
      <c r="M2612" s="167"/>
      <c r="N2612" s="167"/>
      <c r="O2612" s="167" t="s">
        <v>6880</v>
      </c>
      <c r="P2612" s="168" t="s">
        <v>12936</v>
      </c>
      <c r="Q2612" s="167" t="s">
        <v>3947</v>
      </c>
      <c r="R2612" s="172" t="s">
        <v>3146</v>
      </c>
      <c r="S2612" s="388" t="s">
        <v>2542</v>
      </c>
      <c r="T2612" s="168" t="s">
        <v>58</v>
      </c>
      <c r="U2612" s="168"/>
      <c r="V2612" s="168"/>
      <c r="W2612" s="312" t="s">
        <v>9347</v>
      </c>
      <c r="X2612" s="644" t="s">
        <v>12471</v>
      </c>
      <c r="Y2612" s="352" t="s">
        <v>5643</v>
      </c>
      <c r="Z2612" s="353">
        <v>607</v>
      </c>
      <c r="AA2612" s="353">
        <v>3.5</v>
      </c>
      <c r="AB2612" s="31">
        <f t="shared" ca="1" si="57"/>
        <v>0.98587781936443353</v>
      </c>
      <c r="AC2612" s="810"/>
      <c r="AD2612" s="811" t="s">
        <v>16313</v>
      </c>
      <c r="AE2612" s="940" t="s">
        <v>12543</v>
      </c>
      <c r="AF2612" s="920">
        <f>IF(X2612=X2611,AF2611,0)+IF(ISNUMBER(I2612),IF(I2612&lt;1,I2612,I2612*VLOOKUP(J2612,Summary!$H$2:$I$9,2)),VLOOKUP(J2612,Summary!$J$2:$K$9,2)*IF(ISNUMBER(H2612),H2612,1))</f>
        <v>0.17672453703703703</v>
      </c>
      <c r="AG2612" s="287">
        <v>2611</v>
      </c>
      <c r="AH2612" s="94"/>
      <c r="AI2612" s="94"/>
    </row>
    <row r="2613" spans="1:36" s="3" customFormat="1" ht="12" customHeight="1" x14ac:dyDescent="0.25">
      <c r="A2613" s="539" t="s">
        <v>11440</v>
      </c>
      <c r="B2613" s="539">
        <v>7</v>
      </c>
      <c r="C2613" s="542">
        <v>24.15</v>
      </c>
      <c r="D2613" s="176" t="s">
        <v>4182</v>
      </c>
      <c r="E2613" s="313" t="s">
        <v>4980</v>
      </c>
      <c r="F2613" s="174">
        <v>39052</v>
      </c>
      <c r="G2613" s="174"/>
      <c r="H2613" s="176">
        <v>1</v>
      </c>
      <c r="I2613" s="176">
        <v>15</v>
      </c>
      <c r="J2613" s="900" t="s">
        <v>2755</v>
      </c>
      <c r="K2613" s="164" t="s">
        <v>7375</v>
      </c>
      <c r="L2613" s="164" t="s">
        <v>461</v>
      </c>
      <c r="M2613" s="164"/>
      <c r="N2613" s="164" t="s">
        <v>4549</v>
      </c>
      <c r="O2613" s="164"/>
      <c r="P2613" s="173" t="s">
        <v>522</v>
      </c>
      <c r="Q2613" s="164" t="s">
        <v>3947</v>
      </c>
      <c r="R2613" s="177" t="s">
        <v>2723</v>
      </c>
      <c r="S2613" s="354" t="s">
        <v>2542</v>
      </c>
      <c r="T2613" s="173" t="s">
        <v>58</v>
      </c>
      <c r="U2613" s="173"/>
      <c r="V2613" s="173"/>
      <c r="W2613" s="313" t="s">
        <v>4980</v>
      </c>
      <c r="X2613" s="645" t="s">
        <v>12471</v>
      </c>
      <c r="Y2613" s="354"/>
      <c r="Z2613" s="176"/>
      <c r="AA2613" s="176"/>
      <c r="AB2613" s="32">
        <f t="shared" ca="1" si="57"/>
        <v>0.94075739680704129</v>
      </c>
      <c r="AC2613" s="812"/>
      <c r="AD2613" s="763"/>
      <c r="AE2613" s="807"/>
      <c r="AF2613" s="921">
        <f>IF(X2613=X2612,AF2612,0)+IF(ISNUMBER(I2613),IF(I2613&lt;1,I2613,I2613*VLOOKUP(J2613,Summary!$H$2:$I$9,2)),VLOOKUP(J2613,Summary!$J$2:$K$9,2)*IF(ISNUMBER(H2613),H2613,1))</f>
        <v>0.18714120370370368</v>
      </c>
      <c r="AG2613" s="289">
        <v>2612</v>
      </c>
      <c r="AH2613" s="94"/>
      <c r="AI2613" s="94"/>
    </row>
    <row r="2614" spans="1:36" s="58" customFormat="1" ht="12" customHeight="1" x14ac:dyDescent="0.25">
      <c r="A2614" s="541" t="s">
        <v>11440</v>
      </c>
      <c r="B2614" s="541">
        <v>7</v>
      </c>
      <c r="C2614" s="541">
        <v>106</v>
      </c>
      <c r="D2614" s="407" t="s">
        <v>2261</v>
      </c>
      <c r="E2614" s="315" t="s">
        <v>2262</v>
      </c>
      <c r="F2614" s="169">
        <v>39508</v>
      </c>
      <c r="G2614" s="170"/>
      <c r="H2614" s="170">
        <v>4</v>
      </c>
      <c r="I2614" s="746">
        <f>TIME(2,10,47)</f>
        <v>9.0821759259259269E-2</v>
      </c>
      <c r="J2614" s="899" t="s">
        <v>4706</v>
      </c>
      <c r="K2614" s="167" t="s">
        <v>6881</v>
      </c>
      <c r="L2614" s="167" t="s">
        <v>4549</v>
      </c>
      <c r="M2614" s="167"/>
      <c r="N2614" s="167"/>
      <c r="O2614" s="167"/>
      <c r="P2614" s="168" t="s">
        <v>12937</v>
      </c>
      <c r="Q2614" s="167" t="s">
        <v>3947</v>
      </c>
      <c r="R2614" s="172" t="s">
        <v>3146</v>
      </c>
      <c r="S2614" s="388" t="s">
        <v>2542</v>
      </c>
      <c r="T2614" s="168" t="s">
        <v>58</v>
      </c>
      <c r="U2614" s="168"/>
      <c r="V2614" s="168"/>
      <c r="W2614" s="312" t="s">
        <v>11101</v>
      </c>
      <c r="X2614" s="644" t="s">
        <v>12471</v>
      </c>
      <c r="Y2614" s="352" t="s">
        <v>5643</v>
      </c>
      <c r="Z2614" s="353">
        <v>684</v>
      </c>
      <c r="AA2614" s="353">
        <v>1.5</v>
      </c>
      <c r="AB2614" s="31">
        <f t="shared" ca="1" si="57"/>
        <v>0.57605293454477424</v>
      </c>
      <c r="AC2614" s="810"/>
      <c r="AD2614" s="811"/>
      <c r="AE2614" s="940"/>
      <c r="AF2614" s="920">
        <f>IF(X2614=X2613,AF2613,0)+IF(ISNUMBER(I2614),IF(I2614&lt;1,I2614,I2614*VLOOKUP(J2614,Summary!$H$2:$I$9,2)),VLOOKUP(J2614,Summary!$J$2:$K$9,2)*IF(ISNUMBER(H2614),H2614,1))</f>
        <v>0.27796296296296297</v>
      </c>
      <c r="AG2614" s="287">
        <v>2613</v>
      </c>
      <c r="AH2614" s="94"/>
      <c r="AI2614" s="94"/>
      <c r="AJ2614" s="29"/>
    </row>
    <row r="2615" spans="1:36" s="22" customFormat="1" ht="12" customHeight="1" x14ac:dyDescent="0.2">
      <c r="A2615" s="541" t="s">
        <v>11440</v>
      </c>
      <c r="B2615" s="541">
        <v>7</v>
      </c>
      <c r="C2615" s="541">
        <v>245</v>
      </c>
      <c r="D2615" s="407"/>
      <c r="E2615" s="315" t="s">
        <v>15792</v>
      </c>
      <c r="F2615" s="196">
        <v>43445</v>
      </c>
      <c r="G2615" s="170"/>
      <c r="H2615" s="170">
        <v>4</v>
      </c>
      <c r="I2615" s="747">
        <f>TIME(0,120,0)</f>
        <v>8.3333333333333329E-2</v>
      </c>
      <c r="J2615" s="899" t="s">
        <v>4706</v>
      </c>
      <c r="K2615" s="167" t="s">
        <v>5658</v>
      </c>
      <c r="L2615" s="167" t="s">
        <v>10304</v>
      </c>
      <c r="M2615" s="167"/>
      <c r="N2615" s="167" t="s">
        <v>7374</v>
      </c>
      <c r="O2615" s="167" t="s">
        <v>4549</v>
      </c>
      <c r="P2615" s="168" t="s">
        <v>15793</v>
      </c>
      <c r="Q2615" s="167" t="s">
        <v>3947</v>
      </c>
      <c r="R2615" s="172" t="s">
        <v>3146</v>
      </c>
      <c r="S2615" s="388" t="s">
        <v>2542</v>
      </c>
      <c r="T2615" s="168" t="s">
        <v>58</v>
      </c>
      <c r="U2615" s="168"/>
      <c r="V2615" s="168" t="s">
        <v>3535</v>
      </c>
      <c r="W2615" s="312"/>
      <c r="X2615" s="644" t="s">
        <v>12471</v>
      </c>
      <c r="Y2615" s="352"/>
      <c r="Z2615" s="353"/>
      <c r="AA2615" s="353"/>
      <c r="AB2615" s="31">
        <f t="shared" ca="1" si="57"/>
        <v>0.5691343459406375</v>
      </c>
      <c r="AC2615" s="810"/>
      <c r="AD2615" s="811"/>
      <c r="AE2615" s="940"/>
      <c r="AF2615" s="920">
        <f>IF(X2615=X2614,AF2614,0)+IF(ISNUMBER(I2615),IF(I2615&lt;1,I2615,I2615*VLOOKUP(J2615,Summary!$H$2:$I$9,2)),VLOOKUP(J2615,Summary!$J$2:$K$9,2)*IF(ISNUMBER(H2615),H2615,1))</f>
        <v>0.36129629629629628</v>
      </c>
      <c r="AG2615" s="287">
        <v>2614</v>
      </c>
      <c r="AH2615" s="94"/>
      <c r="AI2615" s="94"/>
    </row>
    <row r="2616" spans="1:36" s="2" customFormat="1" ht="12" customHeight="1" x14ac:dyDescent="0.25">
      <c r="A2616" s="541" t="s">
        <v>11440</v>
      </c>
      <c r="B2616" s="541">
        <v>7</v>
      </c>
      <c r="C2616" s="541">
        <v>115.1</v>
      </c>
      <c r="D2616" s="407" t="s">
        <v>2263</v>
      </c>
      <c r="E2616" s="315" t="s">
        <v>1649</v>
      </c>
      <c r="F2616" s="169">
        <v>39753</v>
      </c>
      <c r="G2616" s="170"/>
      <c r="H2616" s="170">
        <v>1</v>
      </c>
      <c r="I2616" s="746">
        <f>TIME(0,28,5)</f>
        <v>1.9502314814814816E-2</v>
      </c>
      <c r="J2616" s="899" t="s">
        <v>4706</v>
      </c>
      <c r="K2616" s="167" t="s">
        <v>4033</v>
      </c>
      <c r="L2616" s="167" t="s">
        <v>2313</v>
      </c>
      <c r="M2616" s="167"/>
      <c r="N2616" s="167"/>
      <c r="O2616" s="167"/>
      <c r="P2616" s="168" t="s">
        <v>12938</v>
      </c>
      <c r="Q2616" s="167" t="s">
        <v>3947</v>
      </c>
      <c r="R2616" s="172" t="s">
        <v>3146</v>
      </c>
      <c r="S2616" s="388" t="s">
        <v>2542</v>
      </c>
      <c r="T2616" s="168" t="s">
        <v>58</v>
      </c>
      <c r="U2616" s="168"/>
      <c r="V2616" s="168"/>
      <c r="W2616" s="315" t="s">
        <v>9329</v>
      </c>
      <c r="X2616" s="647" t="s">
        <v>12471</v>
      </c>
      <c r="Y2616" s="352" t="s">
        <v>5643</v>
      </c>
      <c r="Z2616" s="353">
        <v>416</v>
      </c>
      <c r="AA2616" s="353">
        <v>4.5</v>
      </c>
      <c r="AB2616" s="31">
        <f t="shared" ca="1" si="57"/>
        <v>0.85158256628154494</v>
      </c>
      <c r="AC2616" s="810"/>
      <c r="AD2616" s="811" t="s">
        <v>14975</v>
      </c>
      <c r="AE2616" s="948"/>
      <c r="AF2616" s="920">
        <f>IF(X2616=X2615,AF2615,0)+IF(ISNUMBER(I2616),IF(I2616&lt;1,I2616,I2616*VLOOKUP(J2616,Summary!$H$2:$I$9,2)),VLOOKUP(J2616,Summary!$J$2:$K$9,2)*IF(ISNUMBER(H2616),H2616,1))</f>
        <v>0.38079861111111107</v>
      </c>
      <c r="AG2616" s="287">
        <v>2615</v>
      </c>
      <c r="AH2616" s="94"/>
      <c r="AI2616" s="94"/>
      <c r="AJ2616" s="120"/>
    </row>
    <row r="2617" spans="1:36" s="3" customFormat="1" ht="12" customHeight="1" x14ac:dyDescent="0.25">
      <c r="A2617" s="541" t="s">
        <v>11440</v>
      </c>
      <c r="B2617" s="541">
        <v>7</v>
      </c>
      <c r="C2617" s="541">
        <v>115.2</v>
      </c>
      <c r="D2617" s="407" t="s">
        <v>2264</v>
      </c>
      <c r="E2617" s="315" t="s">
        <v>1648</v>
      </c>
      <c r="F2617" s="169">
        <v>39753</v>
      </c>
      <c r="G2617" s="170"/>
      <c r="H2617" s="170">
        <v>1</v>
      </c>
      <c r="I2617" s="746">
        <f>TIME(0,29,8)</f>
        <v>2.0231481481481482E-2</v>
      </c>
      <c r="J2617" s="899" t="s">
        <v>4706</v>
      </c>
      <c r="K2617" s="167" t="s">
        <v>6882</v>
      </c>
      <c r="L2617" s="167" t="s">
        <v>2313</v>
      </c>
      <c r="M2617" s="167"/>
      <c r="N2617" s="167"/>
      <c r="O2617" s="167"/>
      <c r="P2617" s="168" t="s">
        <v>12938</v>
      </c>
      <c r="Q2617" s="167" t="s">
        <v>3947</v>
      </c>
      <c r="R2617" s="172" t="s">
        <v>3146</v>
      </c>
      <c r="S2617" s="388" t="s">
        <v>2542</v>
      </c>
      <c r="T2617" s="168" t="s">
        <v>58</v>
      </c>
      <c r="U2617" s="168"/>
      <c r="V2617" s="168"/>
      <c r="W2617" s="315" t="s">
        <v>9330</v>
      </c>
      <c r="X2617" s="647" t="s">
        <v>12471</v>
      </c>
      <c r="Y2617" s="352" t="s">
        <v>5643</v>
      </c>
      <c r="Z2617" s="353">
        <v>549</v>
      </c>
      <c r="AA2617" s="353">
        <v>3.5</v>
      </c>
      <c r="AB2617" s="31">
        <f t="shared" ca="1" si="57"/>
        <v>0.36441547266074037</v>
      </c>
      <c r="AC2617" s="810"/>
      <c r="AD2617" s="918"/>
      <c r="AE2617" s="948"/>
      <c r="AF2617" s="920">
        <f>IF(X2617=X2616,AF2616,0)+IF(ISNUMBER(I2617),IF(I2617&lt;1,I2617,I2617*VLOOKUP(J2617,Summary!$H$2:$I$9,2)),VLOOKUP(J2617,Summary!$J$2:$K$9,2)*IF(ISNUMBER(H2617),H2617,1))</f>
        <v>0.40103009259259254</v>
      </c>
      <c r="AG2617" s="287">
        <v>2616</v>
      </c>
      <c r="AH2617" s="94"/>
      <c r="AI2617" s="94"/>
      <c r="AJ2617" s="22"/>
    </row>
    <row r="2618" spans="1:36" s="2" customFormat="1" ht="12" customHeight="1" x14ac:dyDescent="0.25">
      <c r="A2618" s="541" t="s">
        <v>11440</v>
      </c>
      <c r="B2618" s="541">
        <v>7</v>
      </c>
      <c r="C2618" s="541">
        <v>115.3</v>
      </c>
      <c r="D2618" s="407" t="s">
        <v>2265</v>
      </c>
      <c r="E2618" s="315" t="s">
        <v>1647</v>
      </c>
      <c r="F2618" s="169">
        <v>39753</v>
      </c>
      <c r="G2618" s="170"/>
      <c r="H2618" s="170">
        <v>1</v>
      </c>
      <c r="I2618" s="746">
        <f>TIME(0,26,26)</f>
        <v>1.8356481481481481E-2</v>
      </c>
      <c r="J2618" s="899" t="s">
        <v>4706</v>
      </c>
      <c r="K2618" s="167" t="s">
        <v>1936</v>
      </c>
      <c r="L2618" s="167" t="s">
        <v>2313</v>
      </c>
      <c r="M2618" s="167"/>
      <c r="N2618" s="167"/>
      <c r="O2618" s="167"/>
      <c r="P2618" s="168" t="s">
        <v>12938</v>
      </c>
      <c r="Q2618" s="167" t="s">
        <v>3947</v>
      </c>
      <c r="R2618" s="172" t="s">
        <v>3146</v>
      </c>
      <c r="S2618" s="388" t="s">
        <v>2542</v>
      </c>
      <c r="T2618" s="168" t="s">
        <v>58</v>
      </c>
      <c r="U2618" s="168"/>
      <c r="V2618" s="168"/>
      <c r="W2618" s="315" t="s">
        <v>2266</v>
      </c>
      <c r="X2618" s="647" t="s">
        <v>12471</v>
      </c>
      <c r="Y2618" s="352" t="s">
        <v>5643</v>
      </c>
      <c r="Z2618" s="353">
        <v>266</v>
      </c>
      <c r="AA2618" s="353">
        <v>5.5</v>
      </c>
      <c r="AB2618" s="31">
        <f t="shared" ca="1" si="57"/>
        <v>0.18214254096594895</v>
      </c>
      <c r="AC2618" s="810"/>
      <c r="AD2618" s="811" t="s">
        <v>16745</v>
      </c>
      <c r="AE2618" s="948"/>
      <c r="AF2618" s="920">
        <f>IF(X2618=X2617,AF2617,0)+IF(ISNUMBER(I2618),IF(I2618&lt;1,I2618,I2618*VLOOKUP(J2618,Summary!$H$2:$I$9,2)),VLOOKUP(J2618,Summary!$J$2:$K$9,2)*IF(ISNUMBER(H2618),H2618,1))</f>
        <v>0.41938657407407404</v>
      </c>
      <c r="AG2618" s="287">
        <v>2617</v>
      </c>
      <c r="AH2618" s="94"/>
      <c r="AI2618" s="94"/>
      <c r="AJ2618" s="6"/>
    </row>
    <row r="2619" spans="1:36" s="22" customFormat="1" ht="12" customHeight="1" x14ac:dyDescent="0.25">
      <c r="A2619" s="541" t="s">
        <v>11440</v>
      </c>
      <c r="B2619" s="541">
        <v>7</v>
      </c>
      <c r="C2619" s="541">
        <v>115.4</v>
      </c>
      <c r="D2619" s="407" t="s">
        <v>2267</v>
      </c>
      <c r="E2619" s="315" t="s">
        <v>1646</v>
      </c>
      <c r="F2619" s="169">
        <v>39753</v>
      </c>
      <c r="G2619" s="170"/>
      <c r="H2619" s="170">
        <v>1</v>
      </c>
      <c r="I2619" s="746">
        <f>TIME(0,26,27)</f>
        <v>1.8368055555555554E-2</v>
      </c>
      <c r="J2619" s="899" t="s">
        <v>4706</v>
      </c>
      <c r="K2619" s="167" t="s">
        <v>2498</v>
      </c>
      <c r="L2619" s="167" t="s">
        <v>2313</v>
      </c>
      <c r="M2619" s="167"/>
      <c r="N2619" s="167"/>
      <c r="O2619" s="167"/>
      <c r="P2619" s="168" t="s">
        <v>12938</v>
      </c>
      <c r="Q2619" s="167" t="s">
        <v>3947</v>
      </c>
      <c r="R2619" s="172" t="s">
        <v>3146</v>
      </c>
      <c r="S2619" s="388" t="s">
        <v>2542</v>
      </c>
      <c r="T2619" s="168" t="s">
        <v>58</v>
      </c>
      <c r="U2619" s="168"/>
      <c r="V2619" s="168"/>
      <c r="W2619" s="315" t="s">
        <v>9331</v>
      </c>
      <c r="X2619" s="647" t="s">
        <v>12471</v>
      </c>
      <c r="Y2619" s="352" t="s">
        <v>5643</v>
      </c>
      <c r="Z2619" s="353">
        <v>32</v>
      </c>
      <c r="AA2619" s="353">
        <v>9</v>
      </c>
      <c r="AB2619" s="31">
        <f t="shared" ca="1" si="57"/>
        <v>0.63512414558944774</v>
      </c>
      <c r="AC2619" s="810"/>
      <c r="AD2619" s="811" t="s">
        <v>16092</v>
      </c>
      <c r="AE2619" s="948"/>
      <c r="AF2619" s="920">
        <f>IF(X2619=X2618,AF2618,0)+IF(ISNUMBER(I2619),IF(I2619&lt;1,I2619,I2619*VLOOKUP(J2619,Summary!$H$2:$I$9,2)),VLOOKUP(J2619,Summary!$J$2:$K$9,2)*IF(ISNUMBER(H2619),H2619,1))</f>
        <v>0.43775462962962958</v>
      </c>
      <c r="AG2619" s="287">
        <v>2618</v>
      </c>
      <c r="AH2619" s="94"/>
      <c r="AI2619" s="94"/>
      <c r="AJ2619" s="2"/>
    </row>
    <row r="2620" spans="1:36" s="2" customFormat="1" ht="12" customHeight="1" x14ac:dyDescent="0.25">
      <c r="A2620" s="541" t="s">
        <v>11440</v>
      </c>
      <c r="B2620" s="541">
        <v>7</v>
      </c>
      <c r="C2620" s="541">
        <v>120</v>
      </c>
      <c r="D2620" s="407" t="s">
        <v>2269</v>
      </c>
      <c r="E2620" s="315" t="s">
        <v>2268</v>
      </c>
      <c r="F2620" s="169">
        <v>39904</v>
      </c>
      <c r="G2620" s="170"/>
      <c r="H2620" s="170">
        <v>4</v>
      </c>
      <c r="I2620" s="746">
        <f>TIME(0,48,43)+TIME(1,0,45)</f>
        <v>7.6018518518518513E-2</v>
      </c>
      <c r="J2620" s="899" t="s">
        <v>4706</v>
      </c>
      <c r="K2620" s="167" t="s">
        <v>7802</v>
      </c>
      <c r="L2620" s="167" t="s">
        <v>2313</v>
      </c>
      <c r="M2620" s="167"/>
      <c r="N2620" s="167"/>
      <c r="O2620" s="167"/>
      <c r="P2620" s="168" t="s">
        <v>12939</v>
      </c>
      <c r="Q2620" s="167" t="s">
        <v>3947</v>
      </c>
      <c r="R2620" s="172" t="s">
        <v>3146</v>
      </c>
      <c r="S2620" s="388" t="s">
        <v>2542</v>
      </c>
      <c r="T2620" s="168" t="s">
        <v>58</v>
      </c>
      <c r="U2620" s="168"/>
      <c r="V2620" s="168"/>
      <c r="W2620" s="312" t="s">
        <v>9572</v>
      </c>
      <c r="X2620" s="644" t="s">
        <v>12471</v>
      </c>
      <c r="Y2620" s="352" t="s">
        <v>5398</v>
      </c>
      <c r="Z2620" s="353">
        <v>126</v>
      </c>
      <c r="AA2620" s="353">
        <v>7</v>
      </c>
      <c r="AB2620" s="31">
        <f t="shared" ca="1" si="57"/>
        <v>0.69489559591368832</v>
      </c>
      <c r="AC2620" s="810"/>
      <c r="AD2620" s="811" t="s">
        <v>16246</v>
      </c>
      <c r="AE2620" s="940"/>
      <c r="AF2620" s="920">
        <f>IF(X2620=X2619,AF2619,0)+IF(ISNUMBER(I2620),IF(I2620&lt;1,I2620,I2620*VLOOKUP(J2620,Summary!$H$2:$I$9,2)),VLOOKUP(J2620,Summary!$J$2:$K$9,2)*IF(ISNUMBER(H2620),H2620,1))</f>
        <v>0.51377314814814812</v>
      </c>
      <c r="AG2620" s="287">
        <v>2619</v>
      </c>
      <c r="AH2620" s="94"/>
      <c r="AI2620" s="94"/>
    </row>
    <row r="2621" spans="1:36" s="3" customFormat="1" ht="12" customHeight="1" x14ac:dyDescent="0.25">
      <c r="A2621" s="541" t="s">
        <v>11440</v>
      </c>
      <c r="B2621" s="541">
        <v>7</v>
      </c>
      <c r="C2621" s="541">
        <v>121</v>
      </c>
      <c r="D2621" s="407" t="s">
        <v>2271</v>
      </c>
      <c r="E2621" s="315" t="s">
        <v>2270</v>
      </c>
      <c r="F2621" s="169">
        <v>39934</v>
      </c>
      <c r="G2621" s="170"/>
      <c r="H2621" s="170">
        <v>4</v>
      </c>
      <c r="I2621" s="746">
        <f>TIME(0,49,26)+TIME(0,56,31)</f>
        <v>7.3576388888888886E-2</v>
      </c>
      <c r="J2621" s="899" t="s">
        <v>4706</v>
      </c>
      <c r="K2621" s="167" t="s">
        <v>1746</v>
      </c>
      <c r="L2621" s="167" t="s">
        <v>2313</v>
      </c>
      <c r="M2621" s="167"/>
      <c r="N2621" s="167"/>
      <c r="O2621" s="167"/>
      <c r="P2621" s="168" t="s">
        <v>12940</v>
      </c>
      <c r="Q2621" s="167" t="s">
        <v>3947</v>
      </c>
      <c r="R2621" s="172" t="s">
        <v>3146</v>
      </c>
      <c r="S2621" s="388" t="s">
        <v>2542</v>
      </c>
      <c r="T2621" s="168" t="s">
        <v>58</v>
      </c>
      <c r="U2621" s="168"/>
      <c r="V2621" s="168"/>
      <c r="W2621" s="312" t="s">
        <v>9569</v>
      </c>
      <c r="X2621" s="644" t="s">
        <v>12471</v>
      </c>
      <c r="Y2621" s="352" t="s">
        <v>5398</v>
      </c>
      <c r="Z2621" s="353">
        <v>239</v>
      </c>
      <c r="AA2621" s="353">
        <v>5.5</v>
      </c>
      <c r="AB2621" s="31">
        <f t="shared" ca="1" si="57"/>
        <v>0.8445274076482433</v>
      </c>
      <c r="AC2621" s="810"/>
      <c r="AD2621" s="811" t="s">
        <v>16244</v>
      </c>
      <c r="AE2621" s="940" t="s">
        <v>12543</v>
      </c>
      <c r="AF2621" s="920">
        <f>IF(X2621=X2620,AF2620,0)+IF(ISNUMBER(I2621),IF(I2621&lt;1,I2621,I2621*VLOOKUP(J2621,Summary!$H$2:$I$9,2)),VLOOKUP(J2621,Summary!$J$2:$K$9,2)*IF(ISNUMBER(H2621),H2621,1))</f>
        <v>0.58734953703703696</v>
      </c>
      <c r="AG2621" s="287">
        <v>2620</v>
      </c>
      <c r="AH2621" s="94"/>
      <c r="AI2621" s="94"/>
      <c r="AJ2621" s="22"/>
    </row>
    <row r="2622" spans="1:36" s="3" customFormat="1" ht="12" customHeight="1" x14ac:dyDescent="0.25">
      <c r="A2622" s="541" t="s">
        <v>11440</v>
      </c>
      <c r="B2622" s="541">
        <v>7</v>
      </c>
      <c r="C2622" s="541">
        <v>122</v>
      </c>
      <c r="D2622" s="407" t="s">
        <v>2506</v>
      </c>
      <c r="E2622" s="315" t="s">
        <v>303</v>
      </c>
      <c r="F2622" s="169">
        <v>39965</v>
      </c>
      <c r="G2622" s="170"/>
      <c r="H2622" s="170">
        <v>4</v>
      </c>
      <c r="I2622" s="746">
        <f>TIME(0,49,5)+TIME(0,52,50)</f>
        <v>7.0775462962962971E-2</v>
      </c>
      <c r="J2622" s="899" t="s">
        <v>4706</v>
      </c>
      <c r="K2622" s="167" t="s">
        <v>2911</v>
      </c>
      <c r="L2622" s="167" t="s">
        <v>2313</v>
      </c>
      <c r="M2622" s="167"/>
      <c r="N2622" s="167"/>
      <c r="O2622" s="167"/>
      <c r="P2622" s="168" t="s">
        <v>12941</v>
      </c>
      <c r="Q2622" s="167" t="s">
        <v>3947</v>
      </c>
      <c r="R2622" s="172" t="s">
        <v>3146</v>
      </c>
      <c r="S2622" s="388" t="s">
        <v>2542</v>
      </c>
      <c r="T2622" s="168" t="s">
        <v>58</v>
      </c>
      <c r="U2622" s="168"/>
      <c r="V2622" s="168"/>
      <c r="W2622" s="312" t="s">
        <v>9573</v>
      </c>
      <c r="X2622" s="644" t="s">
        <v>12471</v>
      </c>
      <c r="Y2622" s="352" t="s">
        <v>5398</v>
      </c>
      <c r="Z2622" s="353">
        <v>165</v>
      </c>
      <c r="AA2622" s="353">
        <v>6.5</v>
      </c>
      <c r="AB2622" s="31">
        <f t="shared" ca="1" si="57"/>
        <v>0.86302654043534732</v>
      </c>
      <c r="AC2622" s="810"/>
      <c r="AD2622" s="811" t="s">
        <v>16586</v>
      </c>
      <c r="AE2622" s="940"/>
      <c r="AF2622" s="920">
        <f>IF(X2622=X2621,AF2621,0)+IF(ISNUMBER(I2622),IF(I2622&lt;1,I2622,I2622*VLOOKUP(J2622,Summary!$H$2:$I$9,2)),VLOOKUP(J2622,Summary!$J$2:$K$9,2)*IF(ISNUMBER(H2622),H2622,1))</f>
        <v>0.65812499999999996</v>
      </c>
      <c r="AG2622" s="287">
        <v>2621</v>
      </c>
      <c r="AH2622" s="94"/>
      <c r="AI2622" s="94"/>
      <c r="AJ2622" s="6"/>
    </row>
    <row r="2623" spans="1:36" s="22" customFormat="1" ht="12" customHeight="1" x14ac:dyDescent="0.25">
      <c r="A2623" s="507" t="s">
        <v>11440</v>
      </c>
      <c r="B2623" s="507" t="s">
        <v>2650</v>
      </c>
      <c r="C2623" s="474">
        <v>3</v>
      </c>
      <c r="D2623" s="417"/>
      <c r="E2623" s="316" t="s">
        <v>6215</v>
      </c>
      <c r="F2623" s="187">
        <v>38657</v>
      </c>
      <c r="G2623" s="188"/>
      <c r="H2623" s="188" t="str">
        <f>IF(J2623="Book","n/a","")</f>
        <v>n/a</v>
      </c>
      <c r="I2623" s="188">
        <v>204</v>
      </c>
      <c r="J2623" s="902" t="s">
        <v>6868</v>
      </c>
      <c r="K2623" s="162" t="s">
        <v>5146</v>
      </c>
      <c r="L2623" s="162" t="str">
        <f>IF(J2623="Book","n/a","")</f>
        <v>n/a</v>
      </c>
      <c r="M2623" s="162"/>
      <c r="N2623" s="162"/>
      <c r="O2623" s="162"/>
      <c r="P2623" s="178" t="s">
        <v>6216</v>
      </c>
      <c r="Q2623" s="162" t="s">
        <v>3947</v>
      </c>
      <c r="R2623" s="189" t="s">
        <v>6217</v>
      </c>
      <c r="S2623" s="366"/>
      <c r="T2623" s="178"/>
      <c r="U2623" s="178" t="s">
        <v>6213</v>
      </c>
      <c r="V2623" s="178"/>
      <c r="W2623" s="316" t="s">
        <v>6215</v>
      </c>
      <c r="X2623" s="648" t="s">
        <v>12471</v>
      </c>
      <c r="Y2623" s="356"/>
      <c r="Z2623" s="272"/>
      <c r="AA2623" s="272"/>
      <c r="AB2623" s="34">
        <f t="shared" ca="1" si="57"/>
        <v>0.74102019743217384</v>
      </c>
      <c r="AC2623" s="814"/>
      <c r="AD2623" s="815" t="s">
        <v>15842</v>
      </c>
      <c r="AE2623" s="942" t="s">
        <v>12543</v>
      </c>
      <c r="AF2623" s="923">
        <f>IF(X2623=X2622,AF2622,0)+IF(ISNUMBER(I2623),IF(I2623&lt;1,I2623,I2623*VLOOKUP(J2623,Summary!$H$2:$I$9,2)),VLOOKUP(J2623,Summary!$J$2:$K$9,2)*IF(ISNUMBER(H2623),H2623,1))</f>
        <v>0.79979166666666668</v>
      </c>
      <c r="AG2623" s="291">
        <v>2622</v>
      </c>
      <c r="AH2623" s="94"/>
      <c r="AI2623" s="94"/>
      <c r="AJ2623" s="6"/>
    </row>
    <row r="2624" spans="1:36" s="22" customFormat="1" ht="12" customHeight="1" x14ac:dyDescent="0.25">
      <c r="A2624" s="541" t="s">
        <v>11440</v>
      </c>
      <c r="B2624" s="541">
        <v>7</v>
      </c>
      <c r="C2624" s="541">
        <v>139</v>
      </c>
      <c r="D2624" s="407" t="s">
        <v>2502</v>
      </c>
      <c r="E2624" s="315" t="s">
        <v>2501</v>
      </c>
      <c r="F2624" s="169">
        <v>40057</v>
      </c>
      <c r="G2624" s="170"/>
      <c r="H2624" s="170">
        <v>4</v>
      </c>
      <c r="I2624" s="746">
        <f>TIME(1,54,2)</f>
        <v>7.918981481481481E-2</v>
      </c>
      <c r="J2624" s="899" t="s">
        <v>4706</v>
      </c>
      <c r="K2624" s="167" t="s">
        <v>5146</v>
      </c>
      <c r="L2624" s="167" t="s">
        <v>2313</v>
      </c>
      <c r="M2624" s="167"/>
      <c r="N2624" s="167"/>
      <c r="O2624" s="167"/>
      <c r="P2624" s="168" t="s">
        <v>12942</v>
      </c>
      <c r="Q2624" s="167" t="s">
        <v>3947</v>
      </c>
      <c r="R2624" s="172" t="s">
        <v>3146</v>
      </c>
      <c r="S2624" s="388" t="s">
        <v>2542</v>
      </c>
      <c r="T2624" s="168" t="s">
        <v>58</v>
      </c>
      <c r="U2624" s="168" t="s">
        <v>6213</v>
      </c>
      <c r="V2624" s="168"/>
      <c r="W2624" s="312" t="s">
        <v>10115</v>
      </c>
      <c r="X2624" s="644" t="s">
        <v>12471</v>
      </c>
      <c r="Y2624" s="352" t="s">
        <v>5398</v>
      </c>
      <c r="Z2624" s="353">
        <v>141</v>
      </c>
      <c r="AA2624" s="353">
        <v>6.5</v>
      </c>
      <c r="AB2624" s="31">
        <f t="shared" ca="1" si="57"/>
        <v>2.6783040126613256E-2</v>
      </c>
      <c r="AC2624" s="810"/>
      <c r="AD2624" s="811" t="s">
        <v>16086</v>
      </c>
      <c r="AE2624" s="940"/>
      <c r="AF2624" s="920">
        <f>IF(X2624=X2623,AF2623,0)+IF(ISNUMBER(I2624),IF(I2624&lt;1,I2624,I2624*VLOOKUP(J2624,Summary!$H$2:$I$9,2)),VLOOKUP(J2624,Summary!$J$2:$K$9,2)*IF(ISNUMBER(H2624),H2624,1))</f>
        <v>0.87898148148148147</v>
      </c>
      <c r="AG2624" s="287">
        <v>2623</v>
      </c>
      <c r="AH2624" s="94"/>
      <c r="AI2624" s="94"/>
      <c r="AJ2624" s="6"/>
    </row>
    <row r="2625" spans="1:36" s="1" customFormat="1" ht="12" customHeight="1" x14ac:dyDescent="0.25">
      <c r="A2625" s="541" t="s">
        <v>11440</v>
      </c>
      <c r="B2625" s="541">
        <v>7</v>
      </c>
      <c r="C2625" s="541">
        <v>140</v>
      </c>
      <c r="D2625" s="407" t="s">
        <v>2496</v>
      </c>
      <c r="E2625" s="315" t="s">
        <v>2497</v>
      </c>
      <c r="F2625" s="169">
        <v>40452</v>
      </c>
      <c r="G2625" s="170"/>
      <c r="H2625" s="170">
        <v>4</v>
      </c>
      <c r="I2625" s="746">
        <f>TIME(2,13,47)</f>
        <v>9.2905092592592595E-2</v>
      </c>
      <c r="J2625" s="899" t="s">
        <v>4706</v>
      </c>
      <c r="K2625" s="167" t="s">
        <v>2498</v>
      </c>
      <c r="L2625" s="167" t="s">
        <v>2313</v>
      </c>
      <c r="M2625" s="167"/>
      <c r="N2625" s="167"/>
      <c r="O2625" s="167"/>
      <c r="P2625" s="168" t="s">
        <v>12943</v>
      </c>
      <c r="Q2625" s="167" t="s">
        <v>3947</v>
      </c>
      <c r="R2625" s="172" t="s">
        <v>3146</v>
      </c>
      <c r="S2625" s="388" t="s">
        <v>2542</v>
      </c>
      <c r="T2625" s="168" t="s">
        <v>58</v>
      </c>
      <c r="U2625" s="168" t="s">
        <v>7314</v>
      </c>
      <c r="V2625" s="168"/>
      <c r="W2625" s="312" t="s">
        <v>8441</v>
      </c>
      <c r="X2625" s="644" t="s">
        <v>12471</v>
      </c>
      <c r="Y2625" s="352" t="s">
        <v>5643</v>
      </c>
      <c r="Z2625" s="353">
        <v>18</v>
      </c>
      <c r="AA2625" s="353">
        <v>9.5</v>
      </c>
      <c r="AB2625" s="31">
        <f t="shared" ca="1" si="57"/>
        <v>0.29678975701723365</v>
      </c>
      <c r="AC2625" s="810"/>
      <c r="AD2625" s="825" t="s">
        <v>16087</v>
      </c>
      <c r="AE2625" s="940" t="s">
        <v>16524</v>
      </c>
      <c r="AF2625" s="920">
        <f>IF(X2625=X2624,AF2624,0)+IF(ISNUMBER(I2625),IF(I2625&lt;1,I2625,I2625*VLOOKUP(J2625,Summary!$H$2:$I$9,2)),VLOOKUP(J2625,Summary!$J$2:$K$9,2)*IF(ISNUMBER(H2625),H2625,1))</f>
        <v>0.97188657407407408</v>
      </c>
      <c r="AG2625" s="287">
        <v>2624</v>
      </c>
      <c r="AH2625" s="94"/>
      <c r="AI2625" s="94"/>
      <c r="AJ2625" s="6"/>
    </row>
    <row r="2626" spans="1:36" s="27" customFormat="1" ht="12" customHeight="1" x14ac:dyDescent="0.25">
      <c r="A2626" s="541" t="s">
        <v>11440</v>
      </c>
      <c r="B2626" s="541">
        <v>7</v>
      </c>
      <c r="C2626" s="541">
        <v>141</v>
      </c>
      <c r="D2626" s="407" t="s">
        <v>2504</v>
      </c>
      <c r="E2626" s="315" t="s">
        <v>2505</v>
      </c>
      <c r="F2626" s="169">
        <v>40483</v>
      </c>
      <c r="G2626" s="170"/>
      <c r="H2626" s="170">
        <v>4</v>
      </c>
      <c r="I2626" s="746">
        <f>TIME(1,46,51)</f>
        <v>7.4201388888888886E-2</v>
      </c>
      <c r="J2626" s="899" t="s">
        <v>4706</v>
      </c>
      <c r="K2626" s="167" t="s">
        <v>300</v>
      </c>
      <c r="L2626" s="167" t="s">
        <v>2313</v>
      </c>
      <c r="M2626" s="167"/>
      <c r="N2626" s="167"/>
      <c r="O2626" s="167"/>
      <c r="P2626" s="168" t="s">
        <v>12944</v>
      </c>
      <c r="Q2626" s="167" t="s">
        <v>3947</v>
      </c>
      <c r="R2626" s="172" t="s">
        <v>3146</v>
      </c>
      <c r="S2626" s="388" t="s">
        <v>2542</v>
      </c>
      <c r="T2626" s="168" t="s">
        <v>58</v>
      </c>
      <c r="U2626" s="168"/>
      <c r="V2626" s="168"/>
      <c r="W2626" s="312" t="s">
        <v>10170</v>
      </c>
      <c r="X2626" s="644" t="s">
        <v>7259</v>
      </c>
      <c r="Y2626" s="352" t="s">
        <v>5643</v>
      </c>
      <c r="Z2626" s="353">
        <v>378</v>
      </c>
      <c r="AA2626" s="353">
        <v>5</v>
      </c>
      <c r="AB2626" s="31">
        <f t="shared" ref="AB2626:AB2689" ca="1" si="58">RAND()</f>
        <v>0.43253317556105608</v>
      </c>
      <c r="AC2626" s="810"/>
      <c r="AD2626" s="811" t="s">
        <v>16709</v>
      </c>
      <c r="AE2626" s="940"/>
      <c r="AF2626" s="920">
        <f>IF(X2626=X2625,AF2625,0)+IF(ISNUMBER(I2626),IF(I2626&lt;1,I2626,I2626*VLOOKUP(J2626,Summary!$H$2:$I$9,2)),VLOOKUP(J2626,Summary!$J$2:$K$9,2)*IF(ISNUMBER(H2626),H2626,1))</f>
        <v>7.4201388888888886E-2</v>
      </c>
      <c r="AG2626" s="287">
        <v>2625</v>
      </c>
      <c r="AH2626" s="94"/>
      <c r="AI2626" s="94"/>
    </row>
    <row r="2627" spans="1:36" s="27" customFormat="1" ht="12" customHeight="1" x14ac:dyDescent="0.25">
      <c r="A2627" s="541" t="s">
        <v>11440</v>
      </c>
      <c r="B2627" s="541">
        <v>7</v>
      </c>
      <c r="C2627" s="541">
        <v>149</v>
      </c>
      <c r="D2627" s="407" t="s">
        <v>3406</v>
      </c>
      <c r="E2627" s="315" t="s">
        <v>5956</v>
      </c>
      <c r="F2627" s="169">
        <v>40756</v>
      </c>
      <c r="G2627" s="170"/>
      <c r="H2627" s="170">
        <v>4</v>
      </c>
      <c r="I2627" s="746">
        <f>TIME(1,53,6)</f>
        <v>7.8541666666666662E-2</v>
      </c>
      <c r="J2627" s="899" t="s">
        <v>4706</v>
      </c>
      <c r="K2627" s="167" t="s">
        <v>4549</v>
      </c>
      <c r="L2627" s="167" t="s">
        <v>4549</v>
      </c>
      <c r="M2627" s="167"/>
      <c r="N2627" s="167"/>
      <c r="O2627" s="167"/>
      <c r="P2627" s="168" t="s">
        <v>12945</v>
      </c>
      <c r="Q2627" s="167" t="s">
        <v>3947</v>
      </c>
      <c r="R2627" s="172" t="s">
        <v>3146</v>
      </c>
      <c r="S2627" s="388"/>
      <c r="T2627" s="168"/>
      <c r="U2627" s="168"/>
      <c r="V2627" s="168"/>
      <c r="W2627" s="312" t="s">
        <v>10174</v>
      </c>
      <c r="X2627" s="644" t="s">
        <v>7259</v>
      </c>
      <c r="Y2627" s="352" t="s">
        <v>5643</v>
      </c>
      <c r="Z2627" s="353">
        <v>205</v>
      </c>
      <c r="AA2627" s="353">
        <v>6</v>
      </c>
      <c r="AB2627" s="31">
        <f t="shared" ca="1" si="58"/>
        <v>3.2551827518184084E-2</v>
      </c>
      <c r="AC2627" s="810"/>
      <c r="AD2627" s="811" t="s">
        <v>16327</v>
      </c>
      <c r="AE2627" s="940" t="s">
        <v>15062</v>
      </c>
      <c r="AF2627" s="920">
        <f>IF(X2627=X2626,AF2626,0)+IF(ISNUMBER(I2627),IF(I2627&lt;1,I2627,I2627*VLOOKUP(J2627,Summary!$H$2:$I$9,2)),VLOOKUP(J2627,Summary!$J$2:$K$9,2)*IF(ISNUMBER(H2627),H2627,1))</f>
        <v>0.15274305555555556</v>
      </c>
      <c r="AG2627" s="287">
        <v>2626</v>
      </c>
      <c r="AH2627" s="94"/>
      <c r="AI2627" s="94"/>
    </row>
    <row r="2628" spans="1:36" s="27" customFormat="1" ht="12" customHeight="1" x14ac:dyDescent="0.25">
      <c r="A2628" s="541" t="s">
        <v>11440</v>
      </c>
      <c r="B2628" s="541">
        <v>7</v>
      </c>
      <c r="C2628" s="541">
        <v>151</v>
      </c>
      <c r="D2628" s="407" t="s">
        <v>3407</v>
      </c>
      <c r="E2628" s="315" t="s">
        <v>2318</v>
      </c>
      <c r="F2628" s="169">
        <v>40787</v>
      </c>
      <c r="G2628" s="170"/>
      <c r="H2628" s="170">
        <v>4</v>
      </c>
      <c r="I2628" s="746">
        <f>TIME(1,48,44)</f>
        <v>7.5509259259259262E-2</v>
      </c>
      <c r="J2628" s="899" t="s">
        <v>4706</v>
      </c>
      <c r="K2628" s="167" t="s">
        <v>6873</v>
      </c>
      <c r="L2628" s="167" t="s">
        <v>2313</v>
      </c>
      <c r="M2628" s="167"/>
      <c r="N2628" s="167"/>
      <c r="O2628" s="167"/>
      <c r="P2628" s="168" t="s">
        <v>12946</v>
      </c>
      <c r="Q2628" s="167" t="s">
        <v>3947</v>
      </c>
      <c r="R2628" s="172" t="s">
        <v>3146</v>
      </c>
      <c r="S2628" s="388"/>
      <c r="T2628" s="168"/>
      <c r="U2628" s="168"/>
      <c r="V2628" s="168"/>
      <c r="W2628" s="312" t="s">
        <v>10116</v>
      </c>
      <c r="X2628" s="644" t="s">
        <v>7259</v>
      </c>
      <c r="Y2628" s="352" t="s">
        <v>5643</v>
      </c>
      <c r="Z2628" s="353">
        <v>306</v>
      </c>
      <c r="AA2628" s="353">
        <v>5.5</v>
      </c>
      <c r="AB2628" s="31">
        <f t="shared" ca="1" si="58"/>
        <v>0.95341913242271403</v>
      </c>
      <c r="AC2628" s="810"/>
      <c r="AD2628" s="811"/>
      <c r="AE2628" s="940"/>
      <c r="AF2628" s="920">
        <f>IF(X2628=X2627,AF2627,0)+IF(ISNUMBER(I2628),IF(I2628&lt;1,I2628,I2628*VLOOKUP(J2628,Summary!$H$2:$I$9,2)),VLOOKUP(J2628,Summary!$J$2:$K$9,2)*IF(ISNUMBER(H2628),H2628,1))</f>
        <v>0.22825231481481484</v>
      </c>
      <c r="AG2628" s="287">
        <v>2627</v>
      </c>
      <c r="AH2628" s="94"/>
      <c r="AI2628" s="94"/>
    </row>
    <row r="2629" spans="1:36" s="22" customFormat="1" ht="12" customHeight="1" x14ac:dyDescent="0.2">
      <c r="A2629" s="541" t="s">
        <v>11440</v>
      </c>
      <c r="B2629" s="541">
        <v>7</v>
      </c>
      <c r="C2629" s="541">
        <v>152</v>
      </c>
      <c r="D2629" s="407" t="s">
        <v>5955</v>
      </c>
      <c r="E2629" s="315" t="s">
        <v>6872</v>
      </c>
      <c r="F2629" s="169">
        <v>40787</v>
      </c>
      <c r="G2629" s="170"/>
      <c r="H2629" s="170">
        <v>4</v>
      </c>
      <c r="I2629" s="746">
        <f>TIME(1,41,18)</f>
        <v>7.0347222222222214E-2</v>
      </c>
      <c r="J2629" s="899" t="s">
        <v>4706</v>
      </c>
      <c r="K2629" s="167" t="s">
        <v>4033</v>
      </c>
      <c r="L2629" s="167" t="s">
        <v>2313</v>
      </c>
      <c r="M2629" s="167"/>
      <c r="N2629" s="167"/>
      <c r="O2629" s="167"/>
      <c r="P2629" s="168" t="s">
        <v>12947</v>
      </c>
      <c r="Q2629" s="167" t="s">
        <v>3947</v>
      </c>
      <c r="R2629" s="172" t="s">
        <v>3146</v>
      </c>
      <c r="S2629" s="388"/>
      <c r="T2629" s="168"/>
      <c r="U2629" s="168"/>
      <c r="V2629" s="168" t="s">
        <v>6214</v>
      </c>
      <c r="W2629" s="312" t="s">
        <v>10169</v>
      </c>
      <c r="X2629" s="644" t="s">
        <v>7259</v>
      </c>
      <c r="Y2629" s="352" t="s">
        <v>5643</v>
      </c>
      <c r="Z2629" s="353">
        <v>343</v>
      </c>
      <c r="AA2629" s="353">
        <v>5</v>
      </c>
      <c r="AB2629" s="31">
        <f t="shared" ca="1" si="58"/>
        <v>0.67150706476197808</v>
      </c>
      <c r="AC2629" s="810"/>
      <c r="AD2629" s="811" t="s">
        <v>16082</v>
      </c>
      <c r="AE2629" s="940"/>
      <c r="AF2629" s="920">
        <f>IF(X2629=X2628,AF2628,0)+IF(ISNUMBER(I2629),IF(I2629&lt;1,I2629,I2629*VLOOKUP(J2629,Summary!$H$2:$I$9,2)),VLOOKUP(J2629,Summary!$J$2:$K$9,2)*IF(ISNUMBER(H2629),H2629,1))</f>
        <v>0.29859953703703707</v>
      </c>
      <c r="AG2629" s="287">
        <v>2628</v>
      </c>
      <c r="AH2629" s="94"/>
      <c r="AI2629" s="94"/>
    </row>
    <row r="2630" spans="1:36" s="27" customFormat="1" ht="12" customHeight="1" x14ac:dyDescent="0.25">
      <c r="A2630" s="541" t="s">
        <v>11440</v>
      </c>
      <c r="B2630" s="541">
        <v>7</v>
      </c>
      <c r="C2630" s="541">
        <v>7.03</v>
      </c>
      <c r="D2630" s="407" t="s">
        <v>6211</v>
      </c>
      <c r="E2630" s="315" t="s">
        <v>6210</v>
      </c>
      <c r="F2630" s="169">
        <v>41153</v>
      </c>
      <c r="G2630" s="170"/>
      <c r="H2630" s="170">
        <v>2</v>
      </c>
      <c r="I2630" s="746">
        <f>TIME(0,50,34)</f>
        <v>3.5115740740740746E-2</v>
      </c>
      <c r="J2630" s="899" t="s">
        <v>4706</v>
      </c>
      <c r="K2630" s="167" t="s">
        <v>5146</v>
      </c>
      <c r="L2630" s="167" t="s">
        <v>2313</v>
      </c>
      <c r="M2630" s="167" t="s">
        <v>8067</v>
      </c>
      <c r="N2630" s="167"/>
      <c r="O2630" s="167"/>
      <c r="P2630" s="168" t="s">
        <v>6212</v>
      </c>
      <c r="Q2630" s="167" t="s">
        <v>3947</v>
      </c>
      <c r="R2630" s="172" t="s">
        <v>3153</v>
      </c>
      <c r="S2630" s="388"/>
      <c r="T2630" s="168"/>
      <c r="U2630" s="168" t="s">
        <v>6213</v>
      </c>
      <c r="V2630" s="168" t="s">
        <v>6214</v>
      </c>
      <c r="W2630" s="312" t="s">
        <v>10184</v>
      </c>
      <c r="X2630" s="644" t="s">
        <v>7259</v>
      </c>
      <c r="Y2630" s="352" t="s">
        <v>5643</v>
      </c>
      <c r="Z2630" s="353">
        <v>624</v>
      </c>
      <c r="AA2630" s="353">
        <v>3</v>
      </c>
      <c r="AB2630" s="31">
        <f t="shared" ca="1" si="58"/>
        <v>0.66356226503061466</v>
      </c>
      <c r="AC2630" s="810"/>
      <c r="AD2630" s="811"/>
      <c r="AE2630" s="940"/>
      <c r="AF2630" s="920">
        <f>IF(X2630=X2629,AF2629,0)+IF(ISNUMBER(I2630),IF(I2630&lt;1,I2630,I2630*VLOOKUP(J2630,Summary!$H$2:$I$9,2)),VLOOKUP(J2630,Summary!$J$2:$K$9,2)*IF(ISNUMBER(H2630),H2630,1))</f>
        <v>0.33371527777777782</v>
      </c>
      <c r="AG2630" s="287">
        <v>2629</v>
      </c>
      <c r="AH2630" s="94"/>
      <c r="AI2630" s="94"/>
    </row>
    <row r="2631" spans="1:36" s="22" customFormat="1" ht="12" customHeight="1" x14ac:dyDescent="0.2">
      <c r="A2631" s="541" t="s">
        <v>11440</v>
      </c>
      <c r="B2631" s="541">
        <v>7</v>
      </c>
      <c r="C2631" s="541">
        <v>162</v>
      </c>
      <c r="D2631" s="407" t="s">
        <v>2008</v>
      </c>
      <c r="E2631" s="315" t="s">
        <v>5395</v>
      </c>
      <c r="F2631" s="169">
        <v>41091</v>
      </c>
      <c r="G2631" s="170"/>
      <c r="H2631" s="170">
        <v>4</v>
      </c>
      <c r="I2631" s="746">
        <f>TIME(1,51,54)</f>
        <v>7.7708333333333338E-2</v>
      </c>
      <c r="J2631" s="899" t="s">
        <v>4706</v>
      </c>
      <c r="K2631" s="167" t="s">
        <v>177</v>
      </c>
      <c r="L2631" s="167" t="s">
        <v>2313</v>
      </c>
      <c r="M2631" s="167"/>
      <c r="N2631" s="167"/>
      <c r="O2631" s="167"/>
      <c r="P2631" s="168" t="s">
        <v>2009</v>
      </c>
      <c r="Q2631" s="167" t="s">
        <v>3947</v>
      </c>
      <c r="R2631" s="172" t="s">
        <v>3146</v>
      </c>
      <c r="S2631" s="388" t="s">
        <v>2542</v>
      </c>
      <c r="T2631" s="168" t="s">
        <v>58</v>
      </c>
      <c r="U2631" s="168"/>
      <c r="V2631" s="168"/>
      <c r="W2631" s="312" t="s">
        <v>10176</v>
      </c>
      <c r="X2631" s="644" t="s">
        <v>7259</v>
      </c>
      <c r="Y2631" s="352" t="s">
        <v>5398</v>
      </c>
      <c r="Z2631" s="353">
        <v>188</v>
      </c>
      <c r="AA2631" s="353">
        <v>6</v>
      </c>
      <c r="AB2631" s="31">
        <f t="shared" ca="1" si="58"/>
        <v>0.16185565709589855</v>
      </c>
      <c r="AC2631" s="810"/>
      <c r="AD2631" s="811"/>
      <c r="AE2631" s="940"/>
      <c r="AF2631" s="920">
        <f>IF(X2631=X2630,AF2630,0)+IF(ISNUMBER(I2631),IF(I2631&lt;1,I2631,I2631*VLOOKUP(J2631,Summary!$H$2:$I$9,2)),VLOOKUP(J2631,Summary!$J$2:$K$9,2)*IF(ISNUMBER(H2631),H2631,1))</f>
        <v>0.41142361111111114</v>
      </c>
      <c r="AG2631" s="287">
        <v>2630</v>
      </c>
      <c r="AH2631" s="94"/>
      <c r="AI2631" s="94"/>
    </row>
    <row r="2632" spans="1:36" s="22" customFormat="1" ht="12" customHeight="1" x14ac:dyDescent="0.2">
      <c r="A2632" s="541" t="s">
        <v>11440</v>
      </c>
      <c r="B2632" s="541">
        <v>7</v>
      </c>
      <c r="C2632" s="541">
        <v>163</v>
      </c>
      <c r="D2632" s="407" t="s">
        <v>2007</v>
      </c>
      <c r="E2632" s="315" t="s">
        <v>7259</v>
      </c>
      <c r="F2632" s="169">
        <v>41122</v>
      </c>
      <c r="G2632" s="170"/>
      <c r="H2632" s="170">
        <v>4</v>
      </c>
      <c r="I2632" s="746">
        <f>TIME(2,7,37)</f>
        <v>8.8622685185185179E-2</v>
      </c>
      <c r="J2632" s="899" t="s">
        <v>4706</v>
      </c>
      <c r="K2632" s="167" t="s">
        <v>6452</v>
      </c>
      <c r="L2632" s="167" t="s">
        <v>2313</v>
      </c>
      <c r="M2632" s="167"/>
      <c r="N2632" s="167"/>
      <c r="O2632" s="167"/>
      <c r="P2632" s="168" t="s">
        <v>2010</v>
      </c>
      <c r="Q2632" s="167" t="s">
        <v>3947</v>
      </c>
      <c r="R2632" s="172" t="s">
        <v>3146</v>
      </c>
      <c r="S2632" s="388" t="s">
        <v>2542</v>
      </c>
      <c r="T2632" s="168" t="s">
        <v>58</v>
      </c>
      <c r="U2632" s="168" t="s">
        <v>6213</v>
      </c>
      <c r="V2632" s="168" t="s">
        <v>6214</v>
      </c>
      <c r="W2632" s="312" t="s">
        <v>10177</v>
      </c>
      <c r="X2632" s="644" t="s">
        <v>7259</v>
      </c>
      <c r="Y2632" s="352" t="s">
        <v>5398</v>
      </c>
      <c r="Z2632" s="353">
        <v>606</v>
      </c>
      <c r="AA2632" s="353">
        <v>3.5</v>
      </c>
      <c r="AB2632" s="31">
        <f t="shared" ca="1" si="58"/>
        <v>0.22617883838355302</v>
      </c>
      <c r="AC2632" s="810"/>
      <c r="AD2632" s="811"/>
      <c r="AE2632" s="940"/>
      <c r="AF2632" s="920">
        <f>IF(X2632=X2631,AF2631,0)+IF(ISNUMBER(I2632),IF(I2632&lt;1,I2632,I2632*VLOOKUP(J2632,Summary!$H$2:$I$9,2)),VLOOKUP(J2632,Summary!$J$2:$K$9,2)*IF(ISNUMBER(H2632),H2632,1))</f>
        <v>0.50004629629629638</v>
      </c>
      <c r="AG2632" s="287">
        <v>2631</v>
      </c>
      <c r="AH2632" s="94"/>
      <c r="AI2632" s="94"/>
    </row>
    <row r="2633" spans="1:36" s="27" customFormat="1" ht="12" customHeight="1" x14ac:dyDescent="0.25">
      <c r="A2633" s="541" t="s">
        <v>11440</v>
      </c>
      <c r="B2633" s="541">
        <v>7</v>
      </c>
      <c r="C2633" s="541">
        <v>164</v>
      </c>
      <c r="D2633" s="407" t="s">
        <v>2006</v>
      </c>
      <c r="E2633" s="315" t="s">
        <v>5396</v>
      </c>
      <c r="F2633" s="169">
        <v>41153</v>
      </c>
      <c r="G2633" s="170"/>
      <c r="H2633" s="170">
        <v>4</v>
      </c>
      <c r="I2633" s="746">
        <f>TIME(1,55,14)</f>
        <v>8.0023148148148149E-2</v>
      </c>
      <c r="J2633" s="899" t="s">
        <v>4706</v>
      </c>
      <c r="K2633" s="167" t="s">
        <v>5397</v>
      </c>
      <c r="L2633" s="167" t="s">
        <v>2313</v>
      </c>
      <c r="M2633" s="167"/>
      <c r="N2633" s="167"/>
      <c r="O2633" s="167"/>
      <c r="P2633" s="168" t="s">
        <v>2011</v>
      </c>
      <c r="Q2633" s="167" t="s">
        <v>3947</v>
      </c>
      <c r="R2633" s="172" t="s">
        <v>3146</v>
      </c>
      <c r="S2633" s="388" t="s">
        <v>2542</v>
      </c>
      <c r="T2633" s="168" t="s">
        <v>58</v>
      </c>
      <c r="U2633" s="168" t="s">
        <v>6213</v>
      </c>
      <c r="V2633" s="168" t="s">
        <v>6214</v>
      </c>
      <c r="W2633" s="312" t="s">
        <v>10178</v>
      </c>
      <c r="X2633" s="644" t="s">
        <v>7259</v>
      </c>
      <c r="Y2633" s="352" t="s">
        <v>5398</v>
      </c>
      <c r="Z2633" s="353">
        <v>358</v>
      </c>
      <c r="AA2633" s="353">
        <v>5</v>
      </c>
      <c r="AB2633" s="31">
        <f t="shared" ca="1" si="58"/>
        <v>2.9686803047464738E-2</v>
      </c>
      <c r="AC2633" s="810"/>
      <c r="AD2633" s="811"/>
      <c r="AE2633" s="940"/>
      <c r="AF2633" s="920">
        <f>IF(X2633=X2632,AF2632,0)+IF(ISNUMBER(I2633),IF(I2633&lt;1,I2633,I2633*VLOOKUP(J2633,Summary!$H$2:$I$9,2)),VLOOKUP(J2633,Summary!$J$2:$K$9,2)*IF(ISNUMBER(H2633),H2633,1))</f>
        <v>0.58006944444444453</v>
      </c>
      <c r="AG2633" s="287">
        <v>2632</v>
      </c>
      <c r="AH2633" s="94"/>
      <c r="AI2633" s="94"/>
    </row>
    <row r="2634" spans="1:36" s="27" customFormat="1" ht="12" customHeight="1" x14ac:dyDescent="0.25">
      <c r="A2634" s="541" t="s">
        <v>11440</v>
      </c>
      <c r="B2634" s="541">
        <v>7</v>
      </c>
      <c r="C2634" s="541">
        <v>181</v>
      </c>
      <c r="D2634" s="407"/>
      <c r="E2634" s="315" t="s">
        <v>8144</v>
      </c>
      <c r="F2634" s="169">
        <v>41609</v>
      </c>
      <c r="G2634" s="170"/>
      <c r="H2634" s="170">
        <v>4</v>
      </c>
      <c r="I2634" s="747">
        <f>TIME(0,120,0)</f>
        <v>8.3333333333333329E-2</v>
      </c>
      <c r="J2634" s="899" t="s">
        <v>4706</v>
      </c>
      <c r="K2634" s="167" t="s">
        <v>6452</v>
      </c>
      <c r="L2634" s="167" t="s">
        <v>2313</v>
      </c>
      <c r="M2634" s="167"/>
      <c r="N2634" s="167"/>
      <c r="O2634" s="167"/>
      <c r="P2634" s="168" t="s">
        <v>8145</v>
      </c>
      <c r="Q2634" s="167" t="s">
        <v>3947</v>
      </c>
      <c r="R2634" s="172" t="s">
        <v>3146</v>
      </c>
      <c r="S2634" s="388" t="s">
        <v>2542</v>
      </c>
      <c r="T2634" s="168" t="s">
        <v>58</v>
      </c>
      <c r="U2634" s="168"/>
      <c r="V2634" s="168"/>
      <c r="W2634" s="312"/>
      <c r="X2634" s="644" t="s">
        <v>7259</v>
      </c>
      <c r="Y2634" s="352"/>
      <c r="Z2634" s="353"/>
      <c r="AA2634" s="353"/>
      <c r="AB2634" s="31">
        <f t="shared" ca="1" si="58"/>
        <v>0.62369726716812912</v>
      </c>
      <c r="AC2634" s="810"/>
      <c r="AD2634" s="811"/>
      <c r="AE2634" s="940"/>
      <c r="AF2634" s="920">
        <f>IF(X2634=X2633,AF2633,0)+IF(ISNUMBER(I2634),IF(I2634&lt;1,I2634,I2634*VLOOKUP(J2634,Summary!$H$2:$I$9,2)),VLOOKUP(J2634,Summary!$J$2:$K$9,2)*IF(ISNUMBER(H2634),H2634,1))</f>
        <v>0.6634027777777779</v>
      </c>
      <c r="AG2634" s="287">
        <v>2633</v>
      </c>
      <c r="AH2634" s="94"/>
      <c r="AI2634" s="94"/>
    </row>
    <row r="2635" spans="1:36" s="123" customFormat="1" ht="12" customHeight="1" x14ac:dyDescent="0.25">
      <c r="A2635" s="541" t="s">
        <v>11440</v>
      </c>
      <c r="B2635" s="541">
        <v>7</v>
      </c>
      <c r="C2635" s="541">
        <v>189</v>
      </c>
      <c r="D2635" s="407" t="s">
        <v>9376</v>
      </c>
      <c r="E2635" s="315" t="s">
        <v>9372</v>
      </c>
      <c r="F2635" s="196">
        <v>41866</v>
      </c>
      <c r="G2635" s="170"/>
      <c r="H2635" s="170">
        <v>4</v>
      </c>
      <c r="I2635" s="747">
        <f>TIME(0,120,0)</f>
        <v>8.3333333333333329E-2</v>
      </c>
      <c r="J2635" s="899" t="s">
        <v>4706</v>
      </c>
      <c r="K2635" s="167" t="s">
        <v>177</v>
      </c>
      <c r="L2635" s="167" t="s">
        <v>2313</v>
      </c>
      <c r="M2635" s="171"/>
      <c r="N2635" s="167"/>
      <c r="O2635" s="167"/>
      <c r="P2635" s="168" t="s">
        <v>9375</v>
      </c>
      <c r="Q2635" s="167" t="s">
        <v>3947</v>
      </c>
      <c r="R2635" s="172" t="s">
        <v>3146</v>
      </c>
      <c r="S2635" s="388" t="s">
        <v>2542</v>
      </c>
      <c r="T2635" s="168" t="s">
        <v>58</v>
      </c>
      <c r="U2635" s="168"/>
      <c r="V2635" s="168"/>
      <c r="W2635" s="312"/>
      <c r="X2635" s="644" t="s">
        <v>7259</v>
      </c>
      <c r="Y2635" s="352"/>
      <c r="Z2635" s="353"/>
      <c r="AA2635" s="353"/>
      <c r="AB2635" s="31">
        <f t="shared" ca="1" si="58"/>
        <v>0.61931368674491105</v>
      </c>
      <c r="AC2635" s="810"/>
      <c r="AD2635" s="811"/>
      <c r="AE2635" s="940"/>
      <c r="AF2635" s="920">
        <f>IF(X2635=X2634,AF2634,0)+IF(ISNUMBER(I2635),IF(I2635&lt;1,I2635,I2635*VLOOKUP(J2635,Summary!$H$2:$I$9,2)),VLOOKUP(J2635,Summary!$J$2:$K$9,2)*IF(ISNUMBER(H2635),H2635,1))</f>
        <v>0.74673611111111127</v>
      </c>
      <c r="AG2635" s="287">
        <v>2634</v>
      </c>
      <c r="AH2635" s="122"/>
      <c r="AI2635" s="122"/>
    </row>
    <row r="2636" spans="1:36" s="27" customFormat="1" ht="12" customHeight="1" x14ac:dyDescent="0.25">
      <c r="A2636" s="541" t="s">
        <v>11440</v>
      </c>
      <c r="B2636" s="541">
        <v>7</v>
      </c>
      <c r="C2636" s="541">
        <v>190</v>
      </c>
      <c r="D2636" s="407" t="s">
        <v>9377</v>
      </c>
      <c r="E2636" s="315" t="s">
        <v>9373</v>
      </c>
      <c r="F2636" s="196">
        <v>41894</v>
      </c>
      <c r="G2636" s="170"/>
      <c r="H2636" s="170">
        <v>4</v>
      </c>
      <c r="I2636" s="747">
        <f>TIME(0,120,0)</f>
        <v>8.3333333333333329E-2</v>
      </c>
      <c r="J2636" s="899" t="s">
        <v>4706</v>
      </c>
      <c r="K2636" s="167" t="s">
        <v>1643</v>
      </c>
      <c r="L2636" s="167" t="s">
        <v>2313</v>
      </c>
      <c r="M2636" s="167"/>
      <c r="N2636" s="167"/>
      <c r="O2636" s="167"/>
      <c r="P2636" s="168" t="s">
        <v>9378</v>
      </c>
      <c r="Q2636" s="167" t="s">
        <v>3947</v>
      </c>
      <c r="R2636" s="172" t="s">
        <v>3146</v>
      </c>
      <c r="S2636" s="388" t="s">
        <v>2542</v>
      </c>
      <c r="T2636" s="168" t="s">
        <v>58</v>
      </c>
      <c r="U2636" s="168"/>
      <c r="V2636" s="168"/>
      <c r="W2636" s="312"/>
      <c r="X2636" s="644" t="s">
        <v>7259</v>
      </c>
      <c r="Y2636" s="352"/>
      <c r="Z2636" s="353"/>
      <c r="AA2636" s="353"/>
      <c r="AB2636" s="31">
        <f t="shared" ca="1" si="58"/>
        <v>0.66250384524396833</v>
      </c>
      <c r="AC2636" s="810"/>
      <c r="AD2636" s="811"/>
      <c r="AE2636" s="940"/>
      <c r="AF2636" s="920">
        <f>IF(X2636=X2635,AF2635,0)+IF(ISNUMBER(I2636),IF(I2636&lt;1,I2636,I2636*VLOOKUP(J2636,Summary!$H$2:$I$9,2)),VLOOKUP(J2636,Summary!$J$2:$K$9,2)*IF(ISNUMBER(H2636),H2636,1))</f>
        <v>0.83006944444444464</v>
      </c>
      <c r="AG2636" s="287">
        <v>2635</v>
      </c>
      <c r="AH2636" s="94"/>
      <c r="AI2636" s="94"/>
    </row>
    <row r="2637" spans="1:36" s="27" customFormat="1" ht="12" customHeight="1" x14ac:dyDescent="0.25">
      <c r="A2637" s="541" t="s">
        <v>11440</v>
      </c>
      <c r="B2637" s="541">
        <v>7</v>
      </c>
      <c r="C2637" s="541">
        <v>191</v>
      </c>
      <c r="D2637" s="407" t="s">
        <v>9379</v>
      </c>
      <c r="E2637" s="315" t="s">
        <v>9374</v>
      </c>
      <c r="F2637" s="196">
        <v>41894</v>
      </c>
      <c r="G2637" s="170"/>
      <c r="H2637" s="170">
        <v>4</v>
      </c>
      <c r="I2637" s="747">
        <f>TIME(0,120,0)</f>
        <v>8.3333333333333329E-2</v>
      </c>
      <c r="J2637" s="899" t="s">
        <v>4706</v>
      </c>
      <c r="K2637" s="167" t="s">
        <v>6452</v>
      </c>
      <c r="L2637" s="167" t="s">
        <v>2313</v>
      </c>
      <c r="M2637" s="167"/>
      <c r="N2637" s="167"/>
      <c r="O2637" s="167"/>
      <c r="P2637" s="168" t="s">
        <v>9380</v>
      </c>
      <c r="Q2637" s="167" t="s">
        <v>3947</v>
      </c>
      <c r="R2637" s="172" t="s">
        <v>3146</v>
      </c>
      <c r="S2637" s="388" t="s">
        <v>2542</v>
      </c>
      <c r="T2637" s="168" t="s">
        <v>58</v>
      </c>
      <c r="U2637" s="168"/>
      <c r="V2637" s="168"/>
      <c r="W2637" s="312"/>
      <c r="X2637" s="644" t="s">
        <v>7259</v>
      </c>
      <c r="Y2637" s="352"/>
      <c r="Z2637" s="353"/>
      <c r="AA2637" s="353"/>
      <c r="AB2637" s="31">
        <f t="shared" ca="1" si="58"/>
        <v>0.28817248957960984</v>
      </c>
      <c r="AC2637" s="810"/>
      <c r="AD2637" s="811"/>
      <c r="AE2637" s="940"/>
      <c r="AF2637" s="920">
        <f>IF(X2637=X2636,AF2636,0)+IF(ISNUMBER(I2637),IF(I2637&lt;1,I2637,I2637*VLOOKUP(J2637,Summary!$H$2:$I$9,2)),VLOOKUP(J2637,Summary!$J$2:$K$9,2)*IF(ISNUMBER(H2637),H2637,1))</f>
        <v>0.91340277777777801</v>
      </c>
      <c r="AG2637" s="287">
        <v>2636</v>
      </c>
      <c r="AH2637" s="94"/>
      <c r="AI2637" s="94"/>
    </row>
    <row r="2638" spans="1:36" s="27" customFormat="1" ht="12" customHeight="1" x14ac:dyDescent="0.25">
      <c r="A2638" s="541" t="s">
        <v>12983</v>
      </c>
      <c r="B2638" s="541">
        <v>7</v>
      </c>
      <c r="C2638" s="541">
        <v>207</v>
      </c>
      <c r="D2638" s="407"/>
      <c r="E2638" s="315" t="s">
        <v>10277</v>
      </c>
      <c r="F2638" s="196">
        <v>42354</v>
      </c>
      <c r="G2638" s="170"/>
      <c r="H2638" s="170">
        <v>1</v>
      </c>
      <c r="I2638" s="752">
        <f>TIME(0,30,0)</f>
        <v>2.0833333333333332E-2</v>
      </c>
      <c r="J2638" s="899" t="s">
        <v>4706</v>
      </c>
      <c r="K2638" s="167" t="s">
        <v>5666</v>
      </c>
      <c r="L2638" s="167" t="s">
        <v>2313</v>
      </c>
      <c r="M2638" s="167"/>
      <c r="N2638" s="167"/>
      <c r="O2638" s="167"/>
      <c r="P2638" s="168" t="s">
        <v>10303</v>
      </c>
      <c r="Q2638" s="167" t="s">
        <v>3947</v>
      </c>
      <c r="R2638" s="172" t="s">
        <v>3146</v>
      </c>
      <c r="S2638" s="388" t="s">
        <v>2542</v>
      </c>
      <c r="T2638" s="168"/>
      <c r="U2638" s="168"/>
      <c r="V2638" s="168"/>
      <c r="W2638" s="312"/>
      <c r="X2638" s="644" t="s">
        <v>12984</v>
      </c>
      <c r="Y2638" s="352"/>
      <c r="Z2638" s="353"/>
      <c r="AA2638" s="353"/>
      <c r="AB2638" s="31">
        <f t="shared" ca="1" si="58"/>
        <v>0.24729946952029624</v>
      </c>
      <c r="AC2638" s="810"/>
      <c r="AD2638" s="811"/>
      <c r="AE2638" s="940"/>
      <c r="AF2638" s="920">
        <f>IF(X2638=X2637,AF2637,0)+IF(ISNUMBER(I2638),IF(I2638&lt;1,I2638,I2638*VLOOKUP(J2638,Summary!$H$2:$I$9,2)),VLOOKUP(J2638,Summary!$J$2:$K$9,2)*IF(ISNUMBER(H2638),H2638,1))</f>
        <v>2.0833333333333332E-2</v>
      </c>
      <c r="AG2638" s="287">
        <v>2637</v>
      </c>
      <c r="AH2638" s="94"/>
      <c r="AI2638" s="94"/>
    </row>
    <row r="2639" spans="1:36" s="27" customFormat="1" ht="12" customHeight="1" x14ac:dyDescent="0.25">
      <c r="A2639" s="541" t="s">
        <v>12983</v>
      </c>
      <c r="B2639" s="541">
        <v>7</v>
      </c>
      <c r="C2639" s="541">
        <v>207</v>
      </c>
      <c r="D2639" s="407"/>
      <c r="E2639" s="315" t="s">
        <v>10279</v>
      </c>
      <c r="F2639" s="196">
        <v>42354</v>
      </c>
      <c r="G2639" s="170"/>
      <c r="H2639" s="170">
        <v>1</v>
      </c>
      <c r="I2639" s="752">
        <f>TIME(0,30,0)</f>
        <v>2.0833333333333332E-2</v>
      </c>
      <c r="J2639" s="899" t="s">
        <v>4706</v>
      </c>
      <c r="K2639" s="167" t="s">
        <v>10304</v>
      </c>
      <c r="L2639" s="167" t="s">
        <v>2313</v>
      </c>
      <c r="M2639" s="167"/>
      <c r="N2639" s="167"/>
      <c r="O2639" s="167"/>
      <c r="P2639" s="168" t="s">
        <v>10303</v>
      </c>
      <c r="Q2639" s="167" t="s">
        <v>3947</v>
      </c>
      <c r="R2639" s="172" t="s">
        <v>3146</v>
      </c>
      <c r="S2639" s="388" t="s">
        <v>2542</v>
      </c>
      <c r="T2639" s="168"/>
      <c r="U2639" s="168"/>
      <c r="V2639" s="168"/>
      <c r="W2639" s="312"/>
      <c r="X2639" s="644" t="s">
        <v>12984</v>
      </c>
      <c r="Y2639" s="352"/>
      <c r="Z2639" s="353"/>
      <c r="AA2639" s="353"/>
      <c r="AB2639" s="31">
        <f t="shared" ca="1" si="58"/>
        <v>0.89584180469921293</v>
      </c>
      <c r="AC2639" s="810"/>
      <c r="AD2639" s="811"/>
      <c r="AE2639" s="940"/>
      <c r="AF2639" s="920">
        <f>IF(X2639=X2638,AF2638,0)+IF(ISNUMBER(I2639),IF(I2639&lt;1,I2639,I2639*VLOOKUP(J2639,Summary!$H$2:$I$9,2)),VLOOKUP(J2639,Summary!$J$2:$K$9,2)*IF(ISNUMBER(H2639),H2639,1))</f>
        <v>4.1666666666666664E-2</v>
      </c>
      <c r="AG2639" s="287">
        <v>2638</v>
      </c>
      <c r="AH2639" s="94"/>
      <c r="AI2639" s="94"/>
    </row>
    <row r="2640" spans="1:36" s="27" customFormat="1" ht="12" customHeight="1" x14ac:dyDescent="0.25">
      <c r="A2640" s="541" t="s">
        <v>12983</v>
      </c>
      <c r="B2640" s="541">
        <v>7</v>
      </c>
      <c r="C2640" s="541">
        <v>207</v>
      </c>
      <c r="D2640" s="407"/>
      <c r="E2640" s="315" t="s">
        <v>10302</v>
      </c>
      <c r="F2640" s="196">
        <v>42354</v>
      </c>
      <c r="G2640" s="170"/>
      <c r="H2640" s="170">
        <v>1</v>
      </c>
      <c r="I2640" s="752">
        <f>TIME(0,30,0)</f>
        <v>2.0833333333333332E-2</v>
      </c>
      <c r="J2640" s="899" t="s">
        <v>4706</v>
      </c>
      <c r="K2640" s="167" t="s">
        <v>10305</v>
      </c>
      <c r="L2640" s="167" t="s">
        <v>2313</v>
      </c>
      <c r="M2640" s="167"/>
      <c r="N2640" s="167"/>
      <c r="O2640" s="167"/>
      <c r="P2640" s="168" t="s">
        <v>10303</v>
      </c>
      <c r="Q2640" s="167" t="s">
        <v>3947</v>
      </c>
      <c r="R2640" s="172" t="s">
        <v>3146</v>
      </c>
      <c r="S2640" s="388" t="s">
        <v>2542</v>
      </c>
      <c r="T2640" s="168"/>
      <c r="U2640" s="168"/>
      <c r="V2640" s="168"/>
      <c r="W2640" s="312"/>
      <c r="X2640" s="644" t="s">
        <v>12984</v>
      </c>
      <c r="Y2640" s="352"/>
      <c r="Z2640" s="353"/>
      <c r="AA2640" s="353"/>
      <c r="AB2640" s="31">
        <f t="shared" ca="1" si="58"/>
        <v>0.34112591813756343</v>
      </c>
      <c r="AC2640" s="810"/>
      <c r="AD2640" s="811"/>
      <c r="AE2640" s="940"/>
      <c r="AF2640" s="920">
        <f>IF(X2640=X2639,AF2639,0)+IF(ISNUMBER(I2640),IF(I2640&lt;1,I2640,I2640*VLOOKUP(J2640,Summary!$H$2:$I$9,2)),VLOOKUP(J2640,Summary!$J$2:$K$9,2)*IF(ISNUMBER(H2640),H2640,1))</f>
        <v>6.25E-2</v>
      </c>
      <c r="AG2640" s="287">
        <v>2639</v>
      </c>
      <c r="AH2640" s="94"/>
      <c r="AI2640" s="94"/>
    </row>
    <row r="2641" spans="1:35" s="27" customFormat="1" ht="12" customHeight="1" x14ac:dyDescent="0.25">
      <c r="A2641" s="541" t="s">
        <v>12983</v>
      </c>
      <c r="B2641" s="541">
        <v>7</v>
      </c>
      <c r="C2641" s="541">
        <v>207</v>
      </c>
      <c r="D2641" s="407"/>
      <c r="E2641" s="315" t="s">
        <v>10278</v>
      </c>
      <c r="F2641" s="196">
        <v>42354</v>
      </c>
      <c r="G2641" s="170"/>
      <c r="H2641" s="170">
        <v>1</v>
      </c>
      <c r="I2641" s="752">
        <f>TIME(0,30,0)</f>
        <v>2.0833333333333332E-2</v>
      </c>
      <c r="J2641" s="899" t="s">
        <v>4706</v>
      </c>
      <c r="K2641" s="167" t="s">
        <v>4147</v>
      </c>
      <c r="L2641" s="167" t="s">
        <v>2313</v>
      </c>
      <c r="M2641" s="167"/>
      <c r="N2641" s="167"/>
      <c r="O2641" s="167"/>
      <c r="P2641" s="168" t="s">
        <v>10303</v>
      </c>
      <c r="Q2641" s="167" t="s">
        <v>3947</v>
      </c>
      <c r="R2641" s="172" t="s">
        <v>3146</v>
      </c>
      <c r="S2641" s="388" t="s">
        <v>2542</v>
      </c>
      <c r="T2641" s="168"/>
      <c r="U2641" s="168"/>
      <c r="V2641" s="168"/>
      <c r="W2641" s="312"/>
      <c r="X2641" s="644" t="s">
        <v>12984</v>
      </c>
      <c r="Y2641" s="352"/>
      <c r="Z2641" s="353"/>
      <c r="AA2641" s="353"/>
      <c r="AB2641" s="31">
        <f t="shared" ca="1" si="58"/>
        <v>0.14194477881984013</v>
      </c>
      <c r="AC2641" s="810"/>
      <c r="AD2641" s="811"/>
      <c r="AE2641" s="940"/>
      <c r="AF2641" s="920">
        <f>IF(X2641=X2640,AF2640,0)+IF(ISNUMBER(I2641),IF(I2641&lt;1,I2641,I2641*VLOOKUP(J2641,Summary!$H$2:$I$9,2)),VLOOKUP(J2641,Summary!$J$2:$K$9,2)*IF(ISNUMBER(H2641),H2641,1))</f>
        <v>8.3333333333333329E-2</v>
      </c>
      <c r="AG2641" s="287">
        <v>2640</v>
      </c>
      <c r="AH2641" s="94"/>
      <c r="AI2641" s="94"/>
    </row>
    <row r="2642" spans="1:35" s="22" customFormat="1" ht="12" customHeight="1" x14ac:dyDescent="0.2">
      <c r="A2642" s="541" t="s">
        <v>12983</v>
      </c>
      <c r="B2642" s="541">
        <v>7</v>
      </c>
      <c r="C2642" s="541">
        <v>214</v>
      </c>
      <c r="D2642" s="407"/>
      <c r="E2642" s="315" t="s">
        <v>12972</v>
      </c>
      <c r="F2642" s="196">
        <v>42563</v>
      </c>
      <c r="G2642" s="170"/>
      <c r="H2642" s="170">
        <v>4</v>
      </c>
      <c r="I2642" s="747">
        <f t="shared" ref="I2642:I2650" si="59">TIME(0,120,0)</f>
        <v>8.3333333333333329E-2</v>
      </c>
      <c r="J2642" s="899" t="s">
        <v>4706</v>
      </c>
      <c r="K2642" s="167" t="s">
        <v>6452</v>
      </c>
      <c r="L2642" s="167" t="s">
        <v>2313</v>
      </c>
      <c r="M2642" s="167"/>
      <c r="N2642" s="167"/>
      <c r="O2642" s="167" t="s">
        <v>3295</v>
      </c>
      <c r="P2642" s="168" t="s">
        <v>12980</v>
      </c>
      <c r="Q2642" s="167" t="s">
        <v>3947</v>
      </c>
      <c r="R2642" s="172" t="s">
        <v>3146</v>
      </c>
      <c r="S2642" s="388" t="s">
        <v>2542</v>
      </c>
      <c r="T2642" s="168" t="s">
        <v>2321</v>
      </c>
      <c r="U2642" s="168"/>
      <c r="V2642" s="168"/>
      <c r="W2642" s="312"/>
      <c r="X2642" s="644" t="s">
        <v>12984</v>
      </c>
      <c r="Y2642" s="352"/>
      <c r="Z2642" s="353"/>
      <c r="AA2642" s="353"/>
      <c r="AB2642" s="31">
        <f t="shared" ca="1" si="58"/>
        <v>0.32038058886392418</v>
      </c>
      <c r="AC2642" s="810"/>
      <c r="AD2642" s="811"/>
      <c r="AE2642" s="940"/>
      <c r="AF2642" s="920">
        <f>IF(X2642=X2641,AF2641,0)+IF(ISNUMBER(I2642),IF(I2642&lt;1,I2642,I2642*VLOOKUP(J2642,Summary!$H$2:$I$9,2)),VLOOKUP(J2642,Summary!$J$2:$K$9,2)*IF(ISNUMBER(H2642),H2642,1))</f>
        <v>0.16666666666666666</v>
      </c>
      <c r="AG2642" s="287">
        <v>2641</v>
      </c>
      <c r="AH2642" s="94"/>
      <c r="AI2642" s="94"/>
    </row>
    <row r="2643" spans="1:35" s="22" customFormat="1" ht="12" customHeight="1" x14ac:dyDescent="0.2">
      <c r="A2643" s="541" t="s">
        <v>12983</v>
      </c>
      <c r="B2643" s="541">
        <v>7</v>
      </c>
      <c r="C2643" s="541">
        <v>215</v>
      </c>
      <c r="D2643" s="407"/>
      <c r="E2643" s="315" t="s">
        <v>12973</v>
      </c>
      <c r="F2643" s="196">
        <v>42591</v>
      </c>
      <c r="G2643" s="170"/>
      <c r="H2643" s="170">
        <v>4</v>
      </c>
      <c r="I2643" s="747">
        <f t="shared" si="59"/>
        <v>8.3333333333333329E-2</v>
      </c>
      <c r="J2643" s="899" t="s">
        <v>4706</v>
      </c>
      <c r="K2643" s="167" t="s">
        <v>1826</v>
      </c>
      <c r="L2643" s="167" t="s">
        <v>2313</v>
      </c>
      <c r="M2643" s="167"/>
      <c r="N2643" s="167"/>
      <c r="O2643" s="167" t="s">
        <v>3295</v>
      </c>
      <c r="P2643" s="168" t="s">
        <v>12981</v>
      </c>
      <c r="Q2643" s="167" t="s">
        <v>3947</v>
      </c>
      <c r="R2643" s="172" t="s">
        <v>3146</v>
      </c>
      <c r="S2643" s="388" t="s">
        <v>2542</v>
      </c>
      <c r="T2643" s="168" t="s">
        <v>2321</v>
      </c>
      <c r="U2643" s="168"/>
      <c r="V2643" s="168"/>
      <c r="W2643" s="312"/>
      <c r="X2643" s="644" t="s">
        <v>12984</v>
      </c>
      <c r="Y2643" s="352"/>
      <c r="Z2643" s="353"/>
      <c r="AA2643" s="353"/>
      <c r="AB2643" s="31">
        <f t="shared" ca="1" si="58"/>
        <v>7.3432757966151785E-2</v>
      </c>
      <c r="AC2643" s="810"/>
      <c r="AD2643" s="811"/>
      <c r="AE2643" s="940"/>
      <c r="AF2643" s="920">
        <f>IF(X2643=X2642,AF2642,0)+IF(ISNUMBER(I2643),IF(I2643&lt;1,I2643,I2643*VLOOKUP(J2643,Summary!$H$2:$I$9,2)),VLOOKUP(J2643,Summary!$J$2:$K$9,2)*IF(ISNUMBER(H2643),H2643,1))</f>
        <v>0.25</v>
      </c>
      <c r="AG2643" s="287">
        <v>2642</v>
      </c>
      <c r="AH2643" s="94"/>
      <c r="AI2643" s="94"/>
    </row>
    <row r="2644" spans="1:35" s="27" customFormat="1" ht="12" customHeight="1" x14ac:dyDescent="0.25">
      <c r="A2644" s="541" t="s">
        <v>12983</v>
      </c>
      <c r="B2644" s="541">
        <v>7</v>
      </c>
      <c r="C2644" s="541">
        <v>216</v>
      </c>
      <c r="D2644" s="407"/>
      <c r="E2644" s="315" t="s">
        <v>12974</v>
      </c>
      <c r="F2644" s="196">
        <v>42626</v>
      </c>
      <c r="G2644" s="170"/>
      <c r="H2644" s="170">
        <v>4</v>
      </c>
      <c r="I2644" s="747">
        <f t="shared" si="59"/>
        <v>8.3333333333333329E-2</v>
      </c>
      <c r="J2644" s="899" t="s">
        <v>4706</v>
      </c>
      <c r="K2644" s="167" t="s">
        <v>10305</v>
      </c>
      <c r="L2644" s="167" t="s">
        <v>2313</v>
      </c>
      <c r="M2644" s="167"/>
      <c r="N2644" s="167"/>
      <c r="O2644" s="167" t="s">
        <v>3295</v>
      </c>
      <c r="P2644" s="168" t="s">
        <v>12982</v>
      </c>
      <c r="Q2644" s="167" t="s">
        <v>3947</v>
      </c>
      <c r="R2644" s="172" t="s">
        <v>3146</v>
      </c>
      <c r="S2644" s="388" t="s">
        <v>2542</v>
      </c>
      <c r="T2644" s="168" t="s">
        <v>2321</v>
      </c>
      <c r="U2644" s="168"/>
      <c r="V2644" s="168"/>
      <c r="W2644" s="312"/>
      <c r="X2644" s="644" t="s">
        <v>12984</v>
      </c>
      <c r="Y2644" s="352"/>
      <c r="Z2644" s="353"/>
      <c r="AA2644" s="353"/>
      <c r="AB2644" s="31">
        <f t="shared" ca="1" si="58"/>
        <v>0.77806592374601136</v>
      </c>
      <c r="AC2644" s="810"/>
      <c r="AD2644" s="811"/>
      <c r="AE2644" s="940"/>
      <c r="AF2644" s="920">
        <f>IF(X2644=X2643,AF2643,0)+IF(ISNUMBER(I2644),IF(I2644&lt;1,I2644,I2644*VLOOKUP(J2644,Summary!$H$2:$I$9,2)),VLOOKUP(J2644,Summary!$J$2:$K$9,2)*IF(ISNUMBER(H2644),H2644,1))</f>
        <v>0.33333333333333331</v>
      </c>
      <c r="AG2644" s="287">
        <v>2643</v>
      </c>
      <c r="AH2644" s="94"/>
      <c r="AI2644" s="94"/>
    </row>
    <row r="2645" spans="1:35" s="22" customFormat="1" ht="12" customHeight="1" x14ac:dyDescent="0.2">
      <c r="A2645" s="541" t="s">
        <v>12983</v>
      </c>
      <c r="B2645" s="541">
        <v>7</v>
      </c>
      <c r="C2645" s="541">
        <v>227</v>
      </c>
      <c r="D2645" s="407"/>
      <c r="E2645" s="315" t="s">
        <v>12975</v>
      </c>
      <c r="F2645" s="196">
        <v>42927</v>
      </c>
      <c r="G2645" s="170"/>
      <c r="H2645" s="170">
        <v>4</v>
      </c>
      <c r="I2645" s="747">
        <f t="shared" si="59"/>
        <v>8.3333333333333329E-2</v>
      </c>
      <c r="J2645" s="899" t="s">
        <v>4706</v>
      </c>
      <c r="K2645" s="167" t="s">
        <v>5666</v>
      </c>
      <c r="L2645" s="167" t="s">
        <v>2313</v>
      </c>
      <c r="M2645" s="167"/>
      <c r="N2645" s="167" t="s">
        <v>7374</v>
      </c>
      <c r="O2645" s="167" t="s">
        <v>3295</v>
      </c>
      <c r="P2645" s="168" t="s">
        <v>12978</v>
      </c>
      <c r="Q2645" s="167" t="s">
        <v>3947</v>
      </c>
      <c r="R2645" s="172" t="s">
        <v>3146</v>
      </c>
      <c r="S2645" s="388" t="s">
        <v>2542</v>
      </c>
      <c r="T2645" s="168" t="s">
        <v>2321</v>
      </c>
      <c r="U2645" s="168"/>
      <c r="V2645" s="168"/>
      <c r="W2645" s="312"/>
      <c r="X2645" s="644" t="s">
        <v>12984</v>
      </c>
      <c r="Y2645" s="352"/>
      <c r="Z2645" s="353"/>
      <c r="AA2645" s="353"/>
      <c r="AB2645" s="31">
        <f t="shared" ca="1" si="58"/>
        <v>3.7612371681074341E-2</v>
      </c>
      <c r="AC2645" s="810"/>
      <c r="AD2645" s="811"/>
      <c r="AE2645" s="940"/>
      <c r="AF2645" s="920">
        <f>IF(X2645=X2644,AF2644,0)+IF(ISNUMBER(I2645),IF(I2645&lt;1,I2645,I2645*VLOOKUP(J2645,Summary!$H$2:$I$9,2)),VLOOKUP(J2645,Summary!$J$2:$K$9,2)*IF(ISNUMBER(H2645),H2645,1))</f>
        <v>0.41666666666666663</v>
      </c>
      <c r="AG2645" s="287">
        <v>2644</v>
      </c>
      <c r="AH2645" s="94"/>
      <c r="AI2645" s="94"/>
    </row>
    <row r="2646" spans="1:35" s="27" customFormat="1" ht="12" customHeight="1" x14ac:dyDescent="0.25">
      <c r="A2646" s="541" t="s">
        <v>12983</v>
      </c>
      <c r="B2646" s="541">
        <v>7</v>
      </c>
      <c r="C2646" s="541">
        <v>228</v>
      </c>
      <c r="D2646" s="407"/>
      <c r="E2646" s="315" t="s">
        <v>12976</v>
      </c>
      <c r="F2646" s="196">
        <v>42962</v>
      </c>
      <c r="G2646" s="170"/>
      <c r="H2646" s="170">
        <v>4</v>
      </c>
      <c r="I2646" s="747">
        <f t="shared" si="59"/>
        <v>8.3333333333333329E-2</v>
      </c>
      <c r="J2646" s="899" t="s">
        <v>4706</v>
      </c>
      <c r="K2646" s="167" t="s">
        <v>6353</v>
      </c>
      <c r="L2646" s="167" t="s">
        <v>2313</v>
      </c>
      <c r="M2646" s="167"/>
      <c r="N2646" s="167" t="s">
        <v>7374</v>
      </c>
      <c r="O2646" s="167" t="s">
        <v>3295</v>
      </c>
      <c r="P2646" s="168" t="s">
        <v>12745</v>
      </c>
      <c r="Q2646" s="167" t="s">
        <v>3947</v>
      </c>
      <c r="R2646" s="172" t="s">
        <v>3146</v>
      </c>
      <c r="S2646" s="388" t="s">
        <v>2542</v>
      </c>
      <c r="T2646" s="168" t="s">
        <v>2321</v>
      </c>
      <c r="U2646" s="168"/>
      <c r="V2646" s="168"/>
      <c r="W2646" s="312"/>
      <c r="X2646" s="644" t="s">
        <v>12984</v>
      </c>
      <c r="Y2646" s="352"/>
      <c r="Z2646" s="353"/>
      <c r="AA2646" s="353"/>
      <c r="AB2646" s="31">
        <f t="shared" ca="1" si="58"/>
        <v>0.52848185104894108</v>
      </c>
      <c r="AC2646" s="810"/>
      <c r="AD2646" s="811"/>
      <c r="AE2646" s="940"/>
      <c r="AF2646" s="920">
        <f>IF(X2646=X2645,AF2645,0)+IF(ISNUMBER(I2646),IF(I2646&lt;1,I2646,I2646*VLOOKUP(J2646,Summary!$H$2:$I$9,2)),VLOOKUP(J2646,Summary!$J$2:$K$9,2)*IF(ISNUMBER(H2646),H2646,1))</f>
        <v>0.49999999999999994</v>
      </c>
      <c r="AG2646" s="287">
        <v>2645</v>
      </c>
      <c r="AH2646" s="94"/>
      <c r="AI2646" s="94"/>
    </row>
    <row r="2647" spans="1:35" s="27" customFormat="1" ht="12" customHeight="1" x14ac:dyDescent="0.25">
      <c r="A2647" s="541" t="s">
        <v>12983</v>
      </c>
      <c r="B2647" s="541">
        <v>7</v>
      </c>
      <c r="C2647" s="541">
        <v>229</v>
      </c>
      <c r="D2647" s="407"/>
      <c r="E2647" s="315" t="s">
        <v>12977</v>
      </c>
      <c r="F2647" s="196">
        <v>42990</v>
      </c>
      <c r="G2647" s="170"/>
      <c r="H2647" s="170">
        <v>4</v>
      </c>
      <c r="I2647" s="747">
        <f t="shared" si="59"/>
        <v>8.3333333333333329E-2</v>
      </c>
      <c r="J2647" s="899" t="s">
        <v>4706</v>
      </c>
      <c r="K2647" s="167" t="s">
        <v>10305</v>
      </c>
      <c r="L2647" s="167" t="s">
        <v>2313</v>
      </c>
      <c r="M2647" s="167"/>
      <c r="N2647" s="167" t="s">
        <v>7374</v>
      </c>
      <c r="O2647" s="167" t="s">
        <v>3295</v>
      </c>
      <c r="P2647" s="168" t="s">
        <v>12979</v>
      </c>
      <c r="Q2647" s="167" t="s">
        <v>3947</v>
      </c>
      <c r="R2647" s="172" t="s">
        <v>3146</v>
      </c>
      <c r="S2647" s="388" t="s">
        <v>2542</v>
      </c>
      <c r="T2647" s="168" t="s">
        <v>2321</v>
      </c>
      <c r="U2647" s="168"/>
      <c r="V2647" s="168"/>
      <c r="W2647" s="312"/>
      <c r="X2647" s="644" t="s">
        <v>12984</v>
      </c>
      <c r="Y2647" s="352"/>
      <c r="Z2647" s="353"/>
      <c r="AA2647" s="353"/>
      <c r="AB2647" s="31">
        <f t="shared" ca="1" si="58"/>
        <v>0.62180059975161639</v>
      </c>
      <c r="AC2647" s="810"/>
      <c r="AD2647" s="811"/>
      <c r="AE2647" s="940"/>
      <c r="AF2647" s="920">
        <f>IF(X2647=X2646,AF2646,0)+IF(ISNUMBER(I2647),IF(I2647&lt;1,I2647,I2647*VLOOKUP(J2647,Summary!$H$2:$I$9,2)),VLOOKUP(J2647,Summary!$J$2:$K$9,2)*IF(ISNUMBER(H2647),H2647,1))</f>
        <v>0.58333333333333326</v>
      </c>
      <c r="AG2647" s="287">
        <v>2646</v>
      </c>
      <c r="AH2647" s="94"/>
      <c r="AI2647" s="94"/>
    </row>
    <row r="2648" spans="1:35" s="27" customFormat="1" ht="12" customHeight="1" x14ac:dyDescent="0.25">
      <c r="A2648" s="541" t="s">
        <v>12983</v>
      </c>
      <c r="B2648" s="541">
        <v>7</v>
      </c>
      <c r="C2648" s="541">
        <v>241</v>
      </c>
      <c r="D2648" s="407"/>
      <c r="E2648" s="315" t="s">
        <v>15015</v>
      </c>
      <c r="F2648" s="196">
        <v>43326</v>
      </c>
      <c r="G2648" s="170"/>
      <c r="H2648" s="170">
        <v>4</v>
      </c>
      <c r="I2648" s="747">
        <f t="shared" si="59"/>
        <v>8.3333333333333329E-2</v>
      </c>
      <c r="J2648" s="899" t="s">
        <v>4706</v>
      </c>
      <c r="K2648" s="167" t="s">
        <v>7797</v>
      </c>
      <c r="L2648" s="167" t="s">
        <v>10304</v>
      </c>
      <c r="M2648" s="167"/>
      <c r="N2648" s="167" t="s">
        <v>1826</v>
      </c>
      <c r="O2648" s="167" t="s">
        <v>4549</v>
      </c>
      <c r="P2648" s="168" t="s">
        <v>15016</v>
      </c>
      <c r="Q2648" s="167" t="s">
        <v>3947</v>
      </c>
      <c r="R2648" s="172" t="s">
        <v>3146</v>
      </c>
      <c r="S2648" s="388" t="s">
        <v>2542</v>
      </c>
      <c r="T2648" s="168" t="s">
        <v>2321</v>
      </c>
      <c r="U2648" s="168"/>
      <c r="V2648" s="168"/>
      <c r="W2648" s="312"/>
      <c r="X2648" s="644" t="s">
        <v>12984</v>
      </c>
      <c r="Y2648" s="352"/>
      <c r="Z2648" s="353"/>
      <c r="AA2648" s="353"/>
      <c r="AB2648" s="31">
        <f t="shared" ca="1" si="58"/>
        <v>8.0154975381779847E-2</v>
      </c>
      <c r="AC2648" s="810"/>
      <c r="AD2648" s="811"/>
      <c r="AE2648" s="940"/>
      <c r="AF2648" s="920">
        <f>IF(X2648=X2647,AF2647,0)+IF(ISNUMBER(I2648),IF(I2648&lt;1,I2648,I2648*VLOOKUP(J2648,Summary!$H$2:$I$9,2)),VLOOKUP(J2648,Summary!$J$2:$K$9,2)*IF(ISNUMBER(H2648),H2648,1))</f>
        <v>0.66666666666666663</v>
      </c>
      <c r="AG2648" s="287">
        <v>2647</v>
      </c>
      <c r="AH2648" s="94"/>
      <c r="AI2648" s="94"/>
    </row>
    <row r="2649" spans="1:35" s="27" customFormat="1" ht="12" customHeight="1" x14ac:dyDescent="0.25">
      <c r="A2649" s="541" t="s">
        <v>12983</v>
      </c>
      <c r="B2649" s="541">
        <v>7</v>
      </c>
      <c r="C2649" s="541">
        <v>242</v>
      </c>
      <c r="D2649" s="407"/>
      <c r="E2649" s="315" t="s">
        <v>15263</v>
      </c>
      <c r="F2649" s="196">
        <v>43354</v>
      </c>
      <c r="G2649" s="170"/>
      <c r="H2649" s="170">
        <v>4</v>
      </c>
      <c r="I2649" s="747">
        <f t="shared" si="59"/>
        <v>8.3333333333333329E-2</v>
      </c>
      <c r="J2649" s="899" t="s">
        <v>4706</v>
      </c>
      <c r="K2649" s="167" t="s">
        <v>4033</v>
      </c>
      <c r="L2649" s="167" t="s">
        <v>10304</v>
      </c>
      <c r="M2649" s="167"/>
      <c r="N2649" s="167" t="s">
        <v>1826</v>
      </c>
      <c r="O2649" s="167" t="s">
        <v>4549</v>
      </c>
      <c r="P2649" s="168" t="s">
        <v>15264</v>
      </c>
      <c r="Q2649" s="167" t="s">
        <v>3947</v>
      </c>
      <c r="R2649" s="172" t="s">
        <v>3146</v>
      </c>
      <c r="S2649" s="388" t="s">
        <v>2542</v>
      </c>
      <c r="T2649" s="168" t="s">
        <v>2321</v>
      </c>
      <c r="U2649" s="168"/>
      <c r="V2649" s="168"/>
      <c r="W2649" s="312"/>
      <c r="X2649" s="644" t="s">
        <v>12984</v>
      </c>
      <c r="Y2649" s="352"/>
      <c r="Z2649" s="353"/>
      <c r="AA2649" s="353"/>
      <c r="AB2649" s="31">
        <f t="shared" ca="1" si="58"/>
        <v>0.23031033672362466</v>
      </c>
      <c r="AC2649" s="810"/>
      <c r="AD2649" s="811"/>
      <c r="AE2649" s="940"/>
      <c r="AF2649" s="920">
        <f>IF(X2649=X2648,AF2648,0)+IF(ISNUMBER(I2649),IF(I2649&lt;1,I2649,I2649*VLOOKUP(J2649,Summary!$H$2:$I$9,2)),VLOOKUP(J2649,Summary!$J$2:$K$9,2)*IF(ISNUMBER(H2649),H2649,1))</f>
        <v>0.75</v>
      </c>
      <c r="AG2649" s="287">
        <v>2648</v>
      </c>
      <c r="AH2649" s="94"/>
      <c r="AI2649" s="94"/>
    </row>
    <row r="2650" spans="1:35" s="27" customFormat="1" ht="12" customHeight="1" x14ac:dyDescent="0.25">
      <c r="A2650" s="541" t="s">
        <v>12983</v>
      </c>
      <c r="B2650" s="541">
        <v>7</v>
      </c>
      <c r="C2650" s="541">
        <v>243</v>
      </c>
      <c r="D2650" s="407"/>
      <c r="E2650" s="315" t="s">
        <v>15341</v>
      </c>
      <c r="F2650" s="196">
        <v>43389</v>
      </c>
      <c r="G2650" s="170"/>
      <c r="H2650" s="170">
        <v>4</v>
      </c>
      <c r="I2650" s="747">
        <f t="shared" si="59"/>
        <v>8.3333333333333329E-2</v>
      </c>
      <c r="J2650" s="899" t="s">
        <v>4706</v>
      </c>
      <c r="K2650" s="167" t="s">
        <v>1826</v>
      </c>
      <c r="L2650" s="167" t="s">
        <v>10304</v>
      </c>
      <c r="M2650" s="167"/>
      <c r="N2650" s="167" t="s">
        <v>4549</v>
      </c>
      <c r="O2650" s="167" t="s">
        <v>4549</v>
      </c>
      <c r="P2650" s="168" t="s">
        <v>15342</v>
      </c>
      <c r="Q2650" s="167" t="s">
        <v>3947</v>
      </c>
      <c r="R2650" s="172" t="s">
        <v>3146</v>
      </c>
      <c r="S2650" s="388" t="s">
        <v>2542</v>
      </c>
      <c r="T2650" s="168" t="s">
        <v>2321</v>
      </c>
      <c r="U2650" s="168"/>
      <c r="V2650" s="168"/>
      <c r="W2650" s="312"/>
      <c r="X2650" s="644" t="s">
        <v>12984</v>
      </c>
      <c r="Y2650" s="352" t="s">
        <v>2798</v>
      </c>
      <c r="Z2650" s="353"/>
      <c r="AA2650" s="353"/>
      <c r="AB2650" s="31">
        <f t="shared" ca="1" si="58"/>
        <v>0.44852145775477303</v>
      </c>
      <c r="AC2650" s="810"/>
      <c r="AD2650" s="811"/>
      <c r="AE2650" s="940"/>
      <c r="AF2650" s="920">
        <f>IF(X2650=X2649,AF2649,0)+IF(ISNUMBER(I2650),IF(I2650&lt;1,I2650,I2650*VLOOKUP(J2650,Summary!$H$2:$I$9,2)),VLOOKUP(J2650,Summary!$J$2:$K$9,2)*IF(ISNUMBER(H2650),H2650,1))</f>
        <v>0.83333333333333337</v>
      </c>
      <c r="AG2650" s="287">
        <v>2649</v>
      </c>
      <c r="AH2650" s="94"/>
      <c r="AI2650" s="94"/>
    </row>
    <row r="2651" spans="1:35" s="27" customFormat="1" ht="12" customHeight="1" x14ac:dyDescent="0.25">
      <c r="A2651" s="550" t="s">
        <v>6477</v>
      </c>
      <c r="B2651" s="550">
        <v>7</v>
      </c>
      <c r="C2651" s="550">
        <v>1</v>
      </c>
      <c r="D2651" s="417" t="s">
        <v>6477</v>
      </c>
      <c r="E2651" s="316" t="s">
        <v>1200</v>
      </c>
      <c r="F2651" s="195">
        <v>33409</v>
      </c>
      <c r="G2651" s="188"/>
      <c r="H2651" s="188" t="str">
        <f>IF(J2651="Book","n/a","")</f>
        <v>n/a</v>
      </c>
      <c r="I2651" s="188">
        <v>230</v>
      </c>
      <c r="J2651" s="902" t="s">
        <v>6868</v>
      </c>
      <c r="K2651" s="162" t="s">
        <v>7085</v>
      </c>
      <c r="L2651" s="162" t="str">
        <f>IF(J2651="Book","n/a","")</f>
        <v>n/a</v>
      </c>
      <c r="M2651" s="162"/>
      <c r="N2651" s="162"/>
      <c r="O2651" s="162"/>
      <c r="P2651" s="178" t="s">
        <v>8158</v>
      </c>
      <c r="Q2651" s="162" t="s">
        <v>601</v>
      </c>
      <c r="R2651" s="189" t="s">
        <v>2716</v>
      </c>
      <c r="S2651" s="366" t="s">
        <v>2542</v>
      </c>
      <c r="T2651" s="178"/>
      <c r="U2651" s="178"/>
      <c r="V2651" s="178"/>
      <c r="W2651" s="316" t="s">
        <v>1200</v>
      </c>
      <c r="X2651" s="648" t="s">
        <v>12472</v>
      </c>
      <c r="Y2651" s="356"/>
      <c r="Z2651" s="272">
        <v>214</v>
      </c>
      <c r="AA2651" s="272">
        <v>3</v>
      </c>
      <c r="AB2651" s="34">
        <f t="shared" ca="1" si="58"/>
        <v>0.90154821679943054</v>
      </c>
      <c r="AC2651" s="814"/>
      <c r="AD2651" s="818" t="s">
        <v>15039</v>
      </c>
      <c r="AE2651" s="942" t="s">
        <v>12543</v>
      </c>
      <c r="AF2651" s="923">
        <f>IF(X2651=X2650,AF2650,0)+IF(ISNUMBER(I2651),IF(I2651&lt;1,I2651,I2651*VLOOKUP(J2651,Summary!$H$2:$I$9,2)),VLOOKUP(J2651,Summary!$J$2:$K$9,2)*IF(ISNUMBER(H2651),H2651,1))</f>
        <v>0.15972222222222224</v>
      </c>
      <c r="AG2651" s="291">
        <v>2650</v>
      </c>
      <c r="AH2651" s="94"/>
      <c r="AI2651" s="94"/>
    </row>
    <row r="2652" spans="1:35" s="3" customFormat="1" ht="12" customHeight="1" x14ac:dyDescent="0.25">
      <c r="A2652" s="550" t="s">
        <v>6477</v>
      </c>
      <c r="B2652" s="550">
        <v>7</v>
      </c>
      <c r="C2652" s="550">
        <v>2</v>
      </c>
      <c r="D2652" s="417" t="s">
        <v>1201</v>
      </c>
      <c r="E2652" s="316" t="s">
        <v>1202</v>
      </c>
      <c r="F2652" s="195">
        <v>33465</v>
      </c>
      <c r="G2652" s="188"/>
      <c r="H2652" s="188">
        <v>4</v>
      </c>
      <c r="I2652" s="188">
        <v>234</v>
      </c>
      <c r="J2652" s="902" t="s">
        <v>6868</v>
      </c>
      <c r="K2652" s="162" t="s">
        <v>1088</v>
      </c>
      <c r="L2652" s="162" t="str">
        <f>IF(J2652="Book","n/a","")</f>
        <v>n/a</v>
      </c>
      <c r="M2652" s="162"/>
      <c r="N2652" s="162"/>
      <c r="O2652" s="162"/>
      <c r="P2652" s="178" t="s">
        <v>8159</v>
      </c>
      <c r="Q2652" s="162" t="s">
        <v>601</v>
      </c>
      <c r="R2652" s="189" t="s">
        <v>2716</v>
      </c>
      <c r="S2652" s="366" t="s">
        <v>2542</v>
      </c>
      <c r="T2652" s="178"/>
      <c r="U2652" s="178"/>
      <c r="V2652" s="178"/>
      <c r="W2652" s="316" t="s">
        <v>11470</v>
      </c>
      <c r="X2652" s="648" t="s">
        <v>12472</v>
      </c>
      <c r="Y2652" s="356"/>
      <c r="Z2652" s="272">
        <v>174</v>
      </c>
      <c r="AA2652" s="272">
        <v>4</v>
      </c>
      <c r="AB2652" s="34">
        <f t="shared" ca="1" si="58"/>
        <v>0.25244402617397166</v>
      </c>
      <c r="AC2652" s="814"/>
      <c r="AD2652" s="815" t="s">
        <v>16756</v>
      </c>
      <c r="AE2652" s="942" t="s">
        <v>16664</v>
      </c>
      <c r="AF2652" s="923">
        <f>IF(X2652=X2651,AF2651,0)+IF(ISNUMBER(I2652),IF(I2652&lt;1,I2652,I2652*VLOOKUP(J2652,Summary!$H$2:$I$9,2)),VLOOKUP(J2652,Summary!$J$2:$K$9,2)*IF(ISNUMBER(H2652),H2652,1))</f>
        <v>0.32222222222222224</v>
      </c>
      <c r="AG2652" s="291">
        <v>2651</v>
      </c>
      <c r="AH2652" s="94"/>
      <c r="AI2652" s="94"/>
    </row>
    <row r="2653" spans="1:35" s="27" customFormat="1" ht="12" customHeight="1" x14ac:dyDescent="0.25">
      <c r="A2653" s="546" t="s">
        <v>6477</v>
      </c>
      <c r="B2653" s="546">
        <v>7</v>
      </c>
      <c r="C2653" s="548" t="s">
        <v>12904</v>
      </c>
      <c r="D2653" s="192" t="s">
        <v>12905</v>
      </c>
      <c r="E2653" s="317" t="s">
        <v>12906</v>
      </c>
      <c r="F2653" s="209">
        <v>42733</v>
      </c>
      <c r="G2653" s="209"/>
      <c r="H2653" s="192" t="s">
        <v>461</v>
      </c>
      <c r="I2653" s="753">
        <f>TIME(0,38,23)</f>
        <v>2.6655092592592591E-2</v>
      </c>
      <c r="J2653" s="903" t="s">
        <v>2755</v>
      </c>
      <c r="K2653" s="194" t="s">
        <v>12907</v>
      </c>
      <c r="L2653" s="194" t="s">
        <v>10635</v>
      </c>
      <c r="M2653" s="194" t="s">
        <v>4549</v>
      </c>
      <c r="N2653" s="194"/>
      <c r="O2653" s="194"/>
      <c r="P2653" s="190" t="s">
        <v>12908</v>
      </c>
      <c r="Q2653" s="194" t="s">
        <v>3947</v>
      </c>
      <c r="R2653" s="193" t="s">
        <v>2722</v>
      </c>
      <c r="S2653" s="357" t="s">
        <v>2542</v>
      </c>
      <c r="T2653" s="190"/>
      <c r="U2653" s="190"/>
      <c r="V2653" s="190"/>
      <c r="W2653" s="317" t="s">
        <v>12906</v>
      </c>
      <c r="X2653" s="649" t="s">
        <v>12472</v>
      </c>
      <c r="Y2653" s="357" t="s">
        <v>5643</v>
      </c>
      <c r="Z2653" s="192"/>
      <c r="AA2653" s="192"/>
      <c r="AB2653" s="37">
        <f t="shared" ca="1" si="58"/>
        <v>0.50891055591557699</v>
      </c>
      <c r="AC2653" s="816"/>
      <c r="AD2653" s="817"/>
      <c r="AE2653" s="943"/>
      <c r="AF2653" s="924">
        <f>IF(X2653=X2652,AF2652,0)+IF(ISNUMBER(I2653),IF(I2653&lt;1,I2653,I2653*VLOOKUP(J2653,Summary!$H$2:$I$9,2)),VLOOKUP(J2653,Summary!$J$2:$K$9,2)*IF(ISNUMBER(H2653),H2653,1))</f>
        <v>0.34887731481481482</v>
      </c>
      <c r="AG2653" s="292">
        <v>2652</v>
      </c>
      <c r="AH2653" s="94"/>
      <c r="AI2653" s="94"/>
    </row>
    <row r="2654" spans="1:35" s="27" customFormat="1" ht="12" customHeight="1" x14ac:dyDescent="0.25">
      <c r="A2654" s="550" t="s">
        <v>6477</v>
      </c>
      <c r="B2654" s="550">
        <v>7</v>
      </c>
      <c r="C2654" s="550">
        <v>5</v>
      </c>
      <c r="D2654" s="417" t="s">
        <v>2511</v>
      </c>
      <c r="E2654" s="316" t="s">
        <v>2512</v>
      </c>
      <c r="F2654" s="195">
        <v>33654</v>
      </c>
      <c r="G2654" s="188"/>
      <c r="H2654" s="188" t="str">
        <f>IF(J2654="Book","n/a","")</f>
        <v>n/a</v>
      </c>
      <c r="I2654" s="188">
        <v>275</v>
      </c>
      <c r="J2654" s="902" t="s">
        <v>6868</v>
      </c>
      <c r="K2654" s="162" t="s">
        <v>941</v>
      </c>
      <c r="L2654" s="162" t="str">
        <f>IF(J2654="Book","n/a","")</f>
        <v>n/a</v>
      </c>
      <c r="M2654" s="162"/>
      <c r="N2654" s="162"/>
      <c r="O2654" s="162"/>
      <c r="P2654" s="178" t="s">
        <v>8162</v>
      </c>
      <c r="Q2654" s="162" t="s">
        <v>601</v>
      </c>
      <c r="R2654" s="189" t="s">
        <v>2716</v>
      </c>
      <c r="S2654" s="366" t="s">
        <v>2542</v>
      </c>
      <c r="T2654" s="178"/>
      <c r="U2654" s="178"/>
      <c r="V2654" s="178"/>
      <c r="W2654" s="316" t="s">
        <v>2512</v>
      </c>
      <c r="X2654" s="648" t="s">
        <v>12472</v>
      </c>
      <c r="Y2654" s="356"/>
      <c r="Z2654" s="272">
        <v>43</v>
      </c>
      <c r="AA2654" s="272">
        <v>7</v>
      </c>
      <c r="AB2654" s="34">
        <f t="shared" ca="1" si="58"/>
        <v>0.87100144915676792</v>
      </c>
      <c r="AC2654" s="814"/>
      <c r="AD2654" s="815" t="s">
        <v>16035</v>
      </c>
      <c r="AE2654" s="942" t="s">
        <v>12543</v>
      </c>
      <c r="AF2654" s="923">
        <f>IF(X2654=X2653,AF2653,0)+IF(ISNUMBER(I2654),IF(I2654&lt;1,I2654,I2654*VLOOKUP(J2654,Summary!$H$2:$I$9,2)),VLOOKUP(J2654,Summary!$J$2:$K$9,2)*IF(ISNUMBER(H2654),H2654,1))</f>
        <v>0.53984953703703709</v>
      </c>
      <c r="AG2654" s="291">
        <v>2653</v>
      </c>
      <c r="AH2654" s="94"/>
      <c r="AI2654" s="94"/>
    </row>
    <row r="2655" spans="1:35" s="27" customFormat="1" ht="12" customHeight="1" x14ac:dyDescent="0.25">
      <c r="A2655" s="550" t="s">
        <v>6477</v>
      </c>
      <c r="B2655" s="550">
        <v>7</v>
      </c>
      <c r="C2655" s="550">
        <v>3</v>
      </c>
      <c r="D2655" s="417" t="s">
        <v>1203</v>
      </c>
      <c r="E2655" s="316" t="s">
        <v>2508</v>
      </c>
      <c r="F2655" s="195">
        <v>33528</v>
      </c>
      <c r="G2655" s="188"/>
      <c r="H2655" s="188" t="str">
        <f>IF(J2655="Book","n/a","")</f>
        <v>n/a</v>
      </c>
      <c r="I2655" s="188">
        <v>201</v>
      </c>
      <c r="J2655" s="902" t="s">
        <v>6868</v>
      </c>
      <c r="K2655" s="162" t="s">
        <v>4556</v>
      </c>
      <c r="L2655" s="162" t="str">
        <f>IF(J2655="Book","n/a","")</f>
        <v>n/a</v>
      </c>
      <c r="M2655" s="162"/>
      <c r="N2655" s="162"/>
      <c r="O2655" s="162"/>
      <c r="P2655" s="178" t="s">
        <v>8160</v>
      </c>
      <c r="Q2655" s="162" t="s">
        <v>601</v>
      </c>
      <c r="R2655" s="189" t="s">
        <v>2716</v>
      </c>
      <c r="S2655" s="366" t="s">
        <v>2542</v>
      </c>
      <c r="T2655" s="178"/>
      <c r="U2655" s="178"/>
      <c r="V2655" s="178"/>
      <c r="W2655" s="316" t="s">
        <v>2508</v>
      </c>
      <c r="X2655" s="648" t="s">
        <v>12472</v>
      </c>
      <c r="Y2655" s="356"/>
      <c r="Z2655" s="272">
        <v>163</v>
      </c>
      <c r="AA2655" s="272">
        <v>4</v>
      </c>
      <c r="AB2655" s="34">
        <f t="shared" ca="1" si="58"/>
        <v>0.38851017674619892</v>
      </c>
      <c r="AC2655" s="814"/>
      <c r="AD2655" s="815"/>
      <c r="AE2655" s="942"/>
      <c r="AF2655" s="923">
        <f>IF(X2655=X2654,AF2654,0)+IF(ISNUMBER(I2655),IF(I2655&lt;1,I2655,I2655*VLOOKUP(J2655,Summary!$H$2:$I$9,2)),VLOOKUP(J2655,Summary!$J$2:$K$9,2)*IF(ISNUMBER(H2655),H2655,1))</f>
        <v>0.67943287037037048</v>
      </c>
      <c r="AG2655" s="291">
        <v>2654</v>
      </c>
      <c r="AH2655" s="94"/>
      <c r="AI2655" s="94"/>
    </row>
    <row r="2656" spans="1:35" s="3" customFormat="1" ht="12" customHeight="1" x14ac:dyDescent="0.25">
      <c r="A2656" s="550" t="s">
        <v>6477</v>
      </c>
      <c r="B2656" s="550">
        <v>7</v>
      </c>
      <c r="C2656" s="550">
        <v>4</v>
      </c>
      <c r="D2656" s="417" t="s">
        <v>2509</v>
      </c>
      <c r="E2656" s="316" t="s">
        <v>2510</v>
      </c>
      <c r="F2656" s="195">
        <v>33577</v>
      </c>
      <c r="G2656" s="188"/>
      <c r="H2656" s="188" t="str">
        <f>IF(J2656="Book","n/a","")</f>
        <v>n/a</v>
      </c>
      <c r="I2656" s="188">
        <v>220</v>
      </c>
      <c r="J2656" s="902" t="s">
        <v>6868</v>
      </c>
      <c r="K2656" s="162" t="s">
        <v>3807</v>
      </c>
      <c r="L2656" s="162" t="str">
        <f>IF(J2656="Book","n/a","")</f>
        <v>n/a</v>
      </c>
      <c r="M2656" s="162"/>
      <c r="N2656" s="162"/>
      <c r="O2656" s="162"/>
      <c r="P2656" s="178" t="s">
        <v>8161</v>
      </c>
      <c r="Q2656" s="162" t="s">
        <v>601</v>
      </c>
      <c r="R2656" s="189" t="s">
        <v>2716</v>
      </c>
      <c r="S2656" s="366" t="s">
        <v>2542</v>
      </c>
      <c r="T2656" s="178"/>
      <c r="U2656" s="178"/>
      <c r="V2656" s="178"/>
      <c r="W2656" s="316" t="s">
        <v>2510</v>
      </c>
      <c r="X2656" s="648" t="s">
        <v>12472</v>
      </c>
      <c r="Y2656" s="356"/>
      <c r="Z2656" s="272">
        <v>4</v>
      </c>
      <c r="AA2656" s="272">
        <v>9.5</v>
      </c>
      <c r="AB2656" s="34">
        <f t="shared" ca="1" si="58"/>
        <v>0.30118604686063977</v>
      </c>
      <c r="AC2656" s="814"/>
      <c r="AD2656" s="815" t="s">
        <v>16039</v>
      </c>
      <c r="AE2656" s="942"/>
      <c r="AF2656" s="923">
        <f>IF(X2656=X2655,AF2655,0)+IF(ISNUMBER(I2656),IF(I2656&lt;1,I2656,I2656*VLOOKUP(J2656,Summary!$H$2:$I$9,2)),VLOOKUP(J2656,Summary!$J$2:$K$9,2)*IF(ISNUMBER(H2656),H2656,1))</f>
        <v>0.83221064814814827</v>
      </c>
      <c r="AG2656" s="291">
        <v>2655</v>
      </c>
      <c r="AH2656" s="94"/>
      <c r="AI2656" s="94"/>
    </row>
    <row r="2657" spans="1:35" s="27" customFormat="1" ht="12" customHeight="1" x14ac:dyDescent="0.25">
      <c r="A2657" s="543" t="s">
        <v>6477</v>
      </c>
      <c r="B2657" s="543">
        <v>7</v>
      </c>
      <c r="C2657" s="549">
        <v>58</v>
      </c>
      <c r="D2657" s="185" t="s">
        <v>5185</v>
      </c>
      <c r="E2657" s="314" t="s">
        <v>646</v>
      </c>
      <c r="F2657" s="183">
        <v>33512</v>
      </c>
      <c r="G2657" s="183"/>
      <c r="H2657" s="185">
        <v>1</v>
      </c>
      <c r="I2657" s="185">
        <v>7</v>
      </c>
      <c r="J2657" s="901" t="s">
        <v>1796</v>
      </c>
      <c r="K2657" s="163" t="s">
        <v>561</v>
      </c>
      <c r="L2657" s="163" t="s">
        <v>3377</v>
      </c>
      <c r="M2657" s="163"/>
      <c r="N2657" s="163" t="s">
        <v>7626</v>
      </c>
      <c r="O2657" s="163"/>
      <c r="P2657" s="182" t="s">
        <v>461</v>
      </c>
      <c r="Q2657" s="163" t="s">
        <v>4062</v>
      </c>
      <c r="R2657" s="186" t="s">
        <v>5266</v>
      </c>
      <c r="S2657" s="355" t="s">
        <v>2542</v>
      </c>
      <c r="T2657" s="182"/>
      <c r="U2657" s="182"/>
      <c r="V2657" s="182"/>
      <c r="W2657" s="314" t="s">
        <v>646</v>
      </c>
      <c r="X2657" s="646" t="s">
        <v>12472</v>
      </c>
      <c r="Y2657" s="355"/>
      <c r="Z2657" s="185"/>
      <c r="AA2657" s="185"/>
      <c r="AB2657" s="33">
        <f t="shared" ca="1" si="58"/>
        <v>0.45060345338965546</v>
      </c>
      <c r="AC2657" s="813"/>
      <c r="AD2657" s="826" t="s">
        <v>15037</v>
      </c>
      <c r="AE2657" s="964" t="s">
        <v>15859</v>
      </c>
      <c r="AF2657" s="922">
        <f>IF(X2657=X2656,AF2656,0)+IF(ISNUMBER(I2657),IF(I2657&lt;1,I2657,I2657*VLOOKUP(J2657,Summary!$H$2:$I$9,2)),VLOOKUP(J2657,Summary!$J$2:$K$9,2)*IF(ISNUMBER(H2657),H2657,1))</f>
        <v>0.83464120370370387</v>
      </c>
      <c r="AG2657" s="290">
        <v>2656</v>
      </c>
      <c r="AH2657" s="94"/>
      <c r="AI2657" s="94"/>
    </row>
    <row r="2658" spans="1:35" s="22" customFormat="1" ht="12" customHeight="1" x14ac:dyDescent="0.2">
      <c r="A2658" s="543" t="s">
        <v>6477</v>
      </c>
      <c r="B2658" s="543">
        <v>7</v>
      </c>
      <c r="C2658" s="549">
        <v>59</v>
      </c>
      <c r="D2658" s="185" t="s">
        <v>3381</v>
      </c>
      <c r="E2658" s="314" t="s">
        <v>647</v>
      </c>
      <c r="F2658" s="183">
        <v>34182</v>
      </c>
      <c r="G2658" s="183"/>
      <c r="H2658" s="185">
        <v>1</v>
      </c>
      <c r="I2658" s="185">
        <v>50</v>
      </c>
      <c r="J2658" s="901" t="s">
        <v>1796</v>
      </c>
      <c r="K2658" s="163" t="s">
        <v>2939</v>
      </c>
      <c r="L2658" s="163" t="s">
        <v>3380</v>
      </c>
      <c r="M2658" s="163" t="s">
        <v>6043</v>
      </c>
      <c r="N2658" s="163" t="s">
        <v>561</v>
      </c>
      <c r="O2658" s="163"/>
      <c r="P2658" s="182" t="s">
        <v>461</v>
      </c>
      <c r="Q2658" s="163" t="s">
        <v>4062</v>
      </c>
      <c r="R2658" s="186" t="s">
        <v>5266</v>
      </c>
      <c r="S2658" s="355" t="s">
        <v>2542</v>
      </c>
      <c r="T2658" s="182"/>
      <c r="U2658" s="182"/>
      <c r="V2658" s="182"/>
      <c r="W2658" s="314" t="s">
        <v>647</v>
      </c>
      <c r="X2658" s="646" t="s">
        <v>12472</v>
      </c>
      <c r="Y2658" s="355"/>
      <c r="Z2658" s="185"/>
      <c r="AA2658" s="185"/>
      <c r="AB2658" s="33">
        <f t="shared" ca="1" si="58"/>
        <v>0.85630709434543029</v>
      </c>
      <c r="AC2658" s="813"/>
      <c r="AD2658" s="211" t="s">
        <v>15847</v>
      </c>
      <c r="AE2658" s="941" t="s">
        <v>12543</v>
      </c>
      <c r="AF2658" s="922">
        <f>IF(X2658=X2657,AF2657,0)+IF(ISNUMBER(I2658),IF(I2658&lt;1,I2658,I2658*VLOOKUP(J2658,Summary!$H$2:$I$9,2)),VLOOKUP(J2658,Summary!$J$2:$K$9,2)*IF(ISNUMBER(H2658),H2658,1))</f>
        <v>0.85200231481481503</v>
      </c>
      <c r="AG2658" s="290">
        <v>2657</v>
      </c>
      <c r="AH2658" s="94"/>
      <c r="AI2658" s="94"/>
    </row>
    <row r="2659" spans="1:35" s="22" customFormat="1" ht="12" customHeight="1" x14ac:dyDescent="0.2">
      <c r="A2659" s="543" t="s">
        <v>6477</v>
      </c>
      <c r="B2659" s="543">
        <v>7</v>
      </c>
      <c r="C2659" s="549">
        <v>60</v>
      </c>
      <c r="D2659" s="185" t="s">
        <v>3378</v>
      </c>
      <c r="E2659" s="314" t="s">
        <v>648</v>
      </c>
      <c r="F2659" s="183">
        <v>33695</v>
      </c>
      <c r="G2659" s="183">
        <v>33756</v>
      </c>
      <c r="H2659" s="185">
        <v>3</v>
      </c>
      <c r="I2659" s="185">
        <v>21</v>
      </c>
      <c r="J2659" s="901" t="s">
        <v>1796</v>
      </c>
      <c r="K2659" s="163" t="s">
        <v>4132</v>
      </c>
      <c r="L2659" s="163" t="s">
        <v>3379</v>
      </c>
      <c r="M2659" s="163"/>
      <c r="N2659" s="163" t="s">
        <v>561</v>
      </c>
      <c r="O2659" s="163"/>
      <c r="P2659" s="182" t="s">
        <v>461</v>
      </c>
      <c r="Q2659" s="163" t="s">
        <v>4062</v>
      </c>
      <c r="R2659" s="186" t="s">
        <v>5266</v>
      </c>
      <c r="S2659" s="355" t="s">
        <v>2542</v>
      </c>
      <c r="T2659" s="182"/>
      <c r="U2659" s="182"/>
      <c r="V2659" s="182"/>
      <c r="W2659" s="314"/>
      <c r="X2659" s="646" t="s">
        <v>12472</v>
      </c>
      <c r="Y2659" s="355"/>
      <c r="Z2659" s="185"/>
      <c r="AA2659" s="185"/>
      <c r="AB2659" s="33">
        <f t="shared" ca="1" si="58"/>
        <v>0.38408646133933233</v>
      </c>
      <c r="AC2659" s="813"/>
      <c r="AD2659" s="211" t="s">
        <v>16132</v>
      </c>
      <c r="AE2659" s="941" t="s">
        <v>12543</v>
      </c>
      <c r="AF2659" s="922">
        <f>IF(X2659=X2658,AF2658,0)+IF(ISNUMBER(I2659),IF(I2659&lt;1,I2659,I2659*VLOOKUP(J2659,Summary!$H$2:$I$9,2)),VLOOKUP(J2659,Summary!$J$2:$K$9,2)*IF(ISNUMBER(H2659),H2659,1))</f>
        <v>0.85929398148148173</v>
      </c>
      <c r="AG2659" s="290">
        <v>2658</v>
      </c>
      <c r="AH2659" s="94"/>
      <c r="AI2659" s="94"/>
    </row>
    <row r="2660" spans="1:35" s="22" customFormat="1" ht="12" customHeight="1" x14ac:dyDescent="0.25">
      <c r="A2660" s="539" t="s">
        <v>6477</v>
      </c>
      <c r="B2660" s="539">
        <v>7</v>
      </c>
      <c r="C2660" s="539">
        <v>11</v>
      </c>
      <c r="D2660" s="176" t="s">
        <v>430</v>
      </c>
      <c r="E2660" s="313" t="s">
        <v>4174</v>
      </c>
      <c r="F2660" s="175">
        <v>33681</v>
      </c>
      <c r="G2660" s="174"/>
      <c r="H2660" s="176">
        <v>1</v>
      </c>
      <c r="I2660" s="176">
        <v>1</v>
      </c>
      <c r="J2660" s="900" t="s">
        <v>2755</v>
      </c>
      <c r="K2660" s="164" t="s">
        <v>961</v>
      </c>
      <c r="L2660" s="164" t="s">
        <v>3571</v>
      </c>
      <c r="M2660" s="164"/>
      <c r="N2660" s="164" t="s">
        <v>561</v>
      </c>
      <c r="O2660" s="164"/>
      <c r="P2660" s="173" t="s">
        <v>461</v>
      </c>
      <c r="Q2660" s="164" t="s">
        <v>4062</v>
      </c>
      <c r="R2660" s="177" t="s">
        <v>4599</v>
      </c>
      <c r="S2660" s="354"/>
      <c r="T2660" s="173"/>
      <c r="U2660" s="173"/>
      <c r="V2660" s="173"/>
      <c r="W2660" s="313" t="s">
        <v>4174</v>
      </c>
      <c r="X2660" s="645" t="s">
        <v>12472</v>
      </c>
      <c r="Y2660" s="354" t="s">
        <v>5464</v>
      </c>
      <c r="Z2660" s="176">
        <v>999</v>
      </c>
      <c r="AA2660" s="176"/>
      <c r="AB2660" s="32">
        <f t="shared" ca="1" si="58"/>
        <v>0.93196166474162923</v>
      </c>
      <c r="AC2660" s="812"/>
      <c r="AD2660" s="763"/>
      <c r="AE2660" s="807"/>
      <c r="AF2660" s="921">
        <f>IF(X2660=X2659,AF2659,0)+IF(ISNUMBER(I2660),IF(I2660&lt;1,I2660,I2660*VLOOKUP(J2660,Summary!$H$2:$I$9,2)),VLOOKUP(J2660,Summary!$J$2:$K$9,2)*IF(ISNUMBER(H2660),H2660,1))</f>
        <v>0.85998842592592617</v>
      </c>
      <c r="AG2660" s="289">
        <v>2659</v>
      </c>
      <c r="AH2660" s="94"/>
      <c r="AI2660" s="94"/>
    </row>
    <row r="2661" spans="1:35" s="132" customFormat="1" ht="12" customHeight="1" x14ac:dyDescent="0.25">
      <c r="A2661" s="539" t="s">
        <v>6477</v>
      </c>
      <c r="B2661" s="539">
        <v>7</v>
      </c>
      <c r="C2661" s="540">
        <v>28</v>
      </c>
      <c r="D2661" s="176" t="s">
        <v>1275</v>
      </c>
      <c r="E2661" s="313" t="s">
        <v>1276</v>
      </c>
      <c r="F2661" s="175">
        <v>34297</v>
      </c>
      <c r="G2661" s="174"/>
      <c r="H2661" s="176">
        <v>1</v>
      </c>
      <c r="I2661" s="176">
        <v>1</v>
      </c>
      <c r="J2661" s="900" t="s">
        <v>2755</v>
      </c>
      <c r="K2661" s="164" t="s">
        <v>7800</v>
      </c>
      <c r="L2661" s="164"/>
      <c r="M2661" s="164"/>
      <c r="N2661" s="164" t="s">
        <v>7375</v>
      </c>
      <c r="O2661" s="164"/>
      <c r="P2661" s="173" t="s">
        <v>461</v>
      </c>
      <c r="Q2661" s="164" t="s">
        <v>4062</v>
      </c>
      <c r="R2661" s="177" t="s">
        <v>4599</v>
      </c>
      <c r="S2661" s="354" t="s">
        <v>2542</v>
      </c>
      <c r="T2661" s="173"/>
      <c r="U2661" s="173"/>
      <c r="V2661" s="173"/>
      <c r="W2661" s="313" t="s">
        <v>1276</v>
      </c>
      <c r="X2661" s="645" t="s">
        <v>12472</v>
      </c>
      <c r="Y2661" s="354"/>
      <c r="Z2661" s="176"/>
      <c r="AA2661" s="176"/>
      <c r="AB2661" s="32">
        <f t="shared" ca="1" si="58"/>
        <v>0.20630730497892524</v>
      </c>
      <c r="AC2661" s="812"/>
      <c r="AD2661" s="763"/>
      <c r="AE2661" s="807"/>
      <c r="AF2661" s="921">
        <f>IF(X2661=X2660,AF2660,0)+IF(ISNUMBER(I2661),IF(I2661&lt;1,I2661,I2661*VLOOKUP(J2661,Summary!$H$2:$I$9,2)),VLOOKUP(J2661,Summary!$J$2:$K$9,2)*IF(ISNUMBER(H2661),H2661,1))</f>
        <v>0.86068287037037061</v>
      </c>
      <c r="AG2661" s="289">
        <v>2660</v>
      </c>
      <c r="AH2661" s="122"/>
      <c r="AI2661" s="122"/>
    </row>
    <row r="2662" spans="1:35" s="22" customFormat="1" ht="12" customHeight="1" x14ac:dyDescent="0.25">
      <c r="A2662" s="550" t="s">
        <v>6477</v>
      </c>
      <c r="B2662" s="550">
        <v>7</v>
      </c>
      <c r="C2662" s="550">
        <v>6</v>
      </c>
      <c r="D2662" s="417" t="s">
        <v>2513</v>
      </c>
      <c r="E2662" s="316" t="s">
        <v>2514</v>
      </c>
      <c r="F2662" s="195">
        <v>33710</v>
      </c>
      <c r="G2662" s="188"/>
      <c r="H2662" s="188">
        <v>2</v>
      </c>
      <c r="I2662" s="188">
        <v>272</v>
      </c>
      <c r="J2662" s="902" t="s">
        <v>6868</v>
      </c>
      <c r="K2662" s="162" t="s">
        <v>2939</v>
      </c>
      <c r="L2662" s="162" t="str">
        <f>IF(J2662="Book","n/a","")</f>
        <v>n/a</v>
      </c>
      <c r="M2662" s="162"/>
      <c r="N2662" s="162"/>
      <c r="O2662" s="162"/>
      <c r="P2662" s="178" t="s">
        <v>8163</v>
      </c>
      <c r="Q2662" s="162" t="s">
        <v>601</v>
      </c>
      <c r="R2662" s="189" t="s">
        <v>2716</v>
      </c>
      <c r="S2662" s="366" t="s">
        <v>2542</v>
      </c>
      <c r="T2662" s="178"/>
      <c r="U2662" s="178"/>
      <c r="V2662" s="178"/>
      <c r="W2662" s="316" t="s">
        <v>11471</v>
      </c>
      <c r="X2662" s="648" t="s">
        <v>12472</v>
      </c>
      <c r="Y2662" s="356"/>
      <c r="Z2662" s="272">
        <v>227</v>
      </c>
      <c r="AA2662" s="272">
        <v>2</v>
      </c>
      <c r="AB2662" s="34">
        <f t="shared" ca="1" si="58"/>
        <v>0.98632546265396392</v>
      </c>
      <c r="AC2662" s="814"/>
      <c r="AD2662" s="815" t="s">
        <v>15866</v>
      </c>
      <c r="AE2662" s="942" t="s">
        <v>12543</v>
      </c>
      <c r="AF2662" s="923">
        <f>IF(X2662=X2661,AF2661,0)+IF(ISNUMBER(I2662),IF(I2662&lt;1,I2662,I2662*VLOOKUP(J2662,Summary!$H$2:$I$9,2)),VLOOKUP(J2662,Summary!$J$2:$K$9,2)*IF(ISNUMBER(H2662),H2662,1))</f>
        <v>1.0495717592592595</v>
      </c>
      <c r="AG2662" s="291">
        <v>2661</v>
      </c>
      <c r="AH2662" s="94"/>
      <c r="AI2662" s="94"/>
    </row>
    <row r="2663" spans="1:35" s="22" customFormat="1" ht="12" customHeight="1" x14ac:dyDescent="0.2">
      <c r="A2663" s="543" t="s">
        <v>6477</v>
      </c>
      <c r="B2663" s="543">
        <v>7</v>
      </c>
      <c r="C2663" s="549">
        <v>61</v>
      </c>
      <c r="D2663" s="185" t="s">
        <v>3382</v>
      </c>
      <c r="E2663" s="314" t="s">
        <v>649</v>
      </c>
      <c r="F2663" s="183">
        <v>33786</v>
      </c>
      <c r="G2663" s="183">
        <v>33848</v>
      </c>
      <c r="H2663" s="185">
        <v>3</v>
      </c>
      <c r="I2663" s="185">
        <v>21</v>
      </c>
      <c r="J2663" s="901" t="s">
        <v>1796</v>
      </c>
      <c r="K2663" s="163" t="s">
        <v>2939</v>
      </c>
      <c r="L2663" s="163" t="s">
        <v>3383</v>
      </c>
      <c r="M2663" s="163"/>
      <c r="N2663" s="163" t="s">
        <v>561</v>
      </c>
      <c r="O2663" s="163"/>
      <c r="P2663" s="182" t="s">
        <v>461</v>
      </c>
      <c r="Q2663" s="163" t="s">
        <v>4062</v>
      </c>
      <c r="R2663" s="186" t="s">
        <v>5266</v>
      </c>
      <c r="S2663" s="355" t="s">
        <v>2542</v>
      </c>
      <c r="T2663" s="182"/>
      <c r="U2663" s="182"/>
      <c r="V2663" s="182"/>
      <c r="W2663" s="314"/>
      <c r="X2663" s="646" t="s">
        <v>12472</v>
      </c>
      <c r="Y2663" s="355"/>
      <c r="Z2663" s="185"/>
      <c r="AA2663" s="185"/>
      <c r="AB2663" s="33">
        <f t="shared" ca="1" si="58"/>
        <v>0.51140758185045632</v>
      </c>
      <c r="AC2663" s="813"/>
      <c r="AD2663" s="826" t="s">
        <v>16548</v>
      </c>
      <c r="AE2663" s="941" t="s">
        <v>16075</v>
      </c>
      <c r="AF2663" s="922">
        <f>IF(X2663=X2662,AF2662,0)+IF(ISNUMBER(I2663),IF(I2663&lt;1,I2663,I2663*VLOOKUP(J2663,Summary!$H$2:$I$9,2)),VLOOKUP(J2663,Summary!$J$2:$K$9,2)*IF(ISNUMBER(H2663),H2663,1))</f>
        <v>1.0568634259259262</v>
      </c>
      <c r="AG2663" s="290">
        <v>2662</v>
      </c>
      <c r="AH2663" s="94"/>
      <c r="AI2663" s="94"/>
    </row>
    <row r="2664" spans="1:35" s="22" customFormat="1" ht="12" customHeight="1" x14ac:dyDescent="0.25">
      <c r="A2664" s="550" t="s">
        <v>6477</v>
      </c>
      <c r="B2664" s="550">
        <v>7</v>
      </c>
      <c r="C2664" s="550">
        <v>7</v>
      </c>
      <c r="D2664" s="417" t="s">
        <v>2515</v>
      </c>
      <c r="E2664" s="316" t="s">
        <v>2516</v>
      </c>
      <c r="F2664" s="195">
        <v>33773</v>
      </c>
      <c r="G2664" s="188"/>
      <c r="H2664" s="188" t="str">
        <f>IF(J2664="Book","n/a","")</f>
        <v>n/a</v>
      </c>
      <c r="I2664" s="188">
        <v>256</v>
      </c>
      <c r="J2664" s="902" t="s">
        <v>6868</v>
      </c>
      <c r="K2664" s="162" t="s">
        <v>5565</v>
      </c>
      <c r="L2664" s="162" t="str">
        <f>IF(J2664="Book","n/a","")</f>
        <v>n/a</v>
      </c>
      <c r="M2664" s="162"/>
      <c r="N2664" s="162"/>
      <c r="O2664" s="162"/>
      <c r="P2664" s="178" t="s">
        <v>8164</v>
      </c>
      <c r="Q2664" s="162" t="s">
        <v>601</v>
      </c>
      <c r="R2664" s="189" t="s">
        <v>2716</v>
      </c>
      <c r="S2664" s="366" t="s">
        <v>2542</v>
      </c>
      <c r="T2664" s="178"/>
      <c r="U2664" s="178"/>
      <c r="V2664" s="178"/>
      <c r="W2664" s="316" t="s">
        <v>2516</v>
      </c>
      <c r="X2664" s="648" t="s">
        <v>12472</v>
      </c>
      <c r="Y2664" s="356"/>
      <c r="Z2664" s="272">
        <v>234</v>
      </c>
      <c r="AA2664" s="272">
        <v>1</v>
      </c>
      <c r="AB2664" s="34">
        <f t="shared" ca="1" si="58"/>
        <v>0.10216523462555138</v>
      </c>
      <c r="AC2664" s="814"/>
      <c r="AD2664" s="815" t="s">
        <v>16037</v>
      </c>
      <c r="AE2664" s="942" t="s">
        <v>12543</v>
      </c>
      <c r="AF2664" s="923">
        <f>IF(X2664=X2663,AF2663,0)+IF(ISNUMBER(I2664),IF(I2664&lt;1,I2664,I2664*VLOOKUP(J2664,Summary!$H$2:$I$9,2)),VLOOKUP(J2664,Summary!$J$2:$K$9,2)*IF(ISNUMBER(H2664),H2664,1))</f>
        <v>1.234641203703704</v>
      </c>
      <c r="AG2664" s="291">
        <v>2663</v>
      </c>
      <c r="AH2664" s="94"/>
      <c r="AI2664" s="94"/>
    </row>
    <row r="2665" spans="1:35" s="22" customFormat="1" ht="12" customHeight="1" x14ac:dyDescent="0.25">
      <c r="A2665" s="408" t="s">
        <v>6477</v>
      </c>
      <c r="B2665" s="408" t="s">
        <v>2650</v>
      </c>
      <c r="C2665" s="408">
        <v>1</v>
      </c>
      <c r="D2665" s="176" t="s">
        <v>14090</v>
      </c>
      <c r="E2665" s="313" t="s">
        <v>14088</v>
      </c>
      <c r="F2665" s="175">
        <v>33822</v>
      </c>
      <c r="G2665" s="174"/>
      <c r="H2665" s="176">
        <v>1</v>
      </c>
      <c r="I2665" s="176">
        <v>2</v>
      </c>
      <c r="J2665" s="900" t="s">
        <v>2755</v>
      </c>
      <c r="K2665" s="164" t="s">
        <v>4964</v>
      </c>
      <c r="L2665" s="164" t="s">
        <v>10253</v>
      </c>
      <c r="M2665" s="164"/>
      <c r="N2665" s="164" t="s">
        <v>7375</v>
      </c>
      <c r="O2665" s="164"/>
      <c r="P2665" s="173" t="s">
        <v>461</v>
      </c>
      <c r="Q2665" s="164" t="s">
        <v>4062</v>
      </c>
      <c r="R2665" s="177" t="s">
        <v>14089</v>
      </c>
      <c r="S2665" s="354"/>
      <c r="T2665" s="173"/>
      <c r="U2665" s="173"/>
      <c r="V2665" s="173"/>
      <c r="W2665" s="313" t="s">
        <v>14088</v>
      </c>
      <c r="X2665" s="645" t="s">
        <v>12472</v>
      </c>
      <c r="Y2665" s="354"/>
      <c r="Z2665" s="176"/>
      <c r="AA2665" s="176"/>
      <c r="AB2665" s="32">
        <f t="shared" ca="1" si="58"/>
        <v>0.70330133855067078</v>
      </c>
      <c r="AC2665" s="812"/>
      <c r="AD2665" s="763"/>
      <c r="AE2665" s="807"/>
      <c r="AF2665" s="921">
        <f>IF(X2665=X2664,AF2664,0)+IF(ISNUMBER(I2665),IF(I2665&lt;1,I2665,I2665*VLOOKUP(J2665,Summary!$H$2:$I$9,2)),VLOOKUP(J2665,Summary!$J$2:$K$9,2)*IF(ISNUMBER(H2665),H2665,1))</f>
        <v>1.2360300925925929</v>
      </c>
      <c r="AG2665" s="289">
        <v>2664</v>
      </c>
      <c r="AH2665" s="94"/>
      <c r="AI2665" s="94"/>
    </row>
    <row r="2666" spans="1:35" s="22" customFormat="1" ht="12" customHeight="1" x14ac:dyDescent="0.2">
      <c r="A2666" s="541" t="s">
        <v>6477</v>
      </c>
      <c r="B2666" s="541">
        <v>7</v>
      </c>
      <c r="C2666" s="541">
        <v>9</v>
      </c>
      <c r="D2666" s="407" t="s">
        <v>11466</v>
      </c>
      <c r="E2666" s="315" t="s">
        <v>2518</v>
      </c>
      <c r="F2666" s="196">
        <v>42474</v>
      </c>
      <c r="G2666" s="170"/>
      <c r="H2666" s="170">
        <v>2</v>
      </c>
      <c r="I2666" s="747">
        <f>TIME(0,120,0)</f>
        <v>8.3333333333333329E-2</v>
      </c>
      <c r="J2666" s="899" t="s">
        <v>4706</v>
      </c>
      <c r="K2666" s="167" t="s">
        <v>9701</v>
      </c>
      <c r="L2666" s="167" t="s">
        <v>179</v>
      </c>
      <c r="M2666" s="167"/>
      <c r="N2666" s="167"/>
      <c r="O2666" s="167"/>
      <c r="P2666" s="168" t="s">
        <v>9702</v>
      </c>
      <c r="Q2666" s="167" t="s">
        <v>3947</v>
      </c>
      <c r="R2666" s="172" t="s">
        <v>9690</v>
      </c>
      <c r="S2666" s="388" t="s">
        <v>2542</v>
      </c>
      <c r="T2666" s="168"/>
      <c r="U2666" s="168"/>
      <c r="V2666" s="168"/>
      <c r="W2666" s="312"/>
      <c r="X2666" s="644" t="s">
        <v>12472</v>
      </c>
      <c r="Y2666" s="352"/>
      <c r="Z2666" s="353"/>
      <c r="AA2666" s="353"/>
      <c r="AB2666" s="31">
        <f t="shared" ca="1" si="58"/>
        <v>5.6698500609007496E-2</v>
      </c>
      <c r="AC2666" s="810"/>
      <c r="AD2666" s="811" t="s">
        <v>15120</v>
      </c>
      <c r="AE2666" s="940"/>
      <c r="AF2666" s="920">
        <f>IF(X2666=X2665,AF2665,0)+IF(ISNUMBER(I2666),IF(I2666&lt;1,I2666,I2666*VLOOKUP(J2666,Summary!$H$2:$I$9,2)),VLOOKUP(J2666,Summary!$J$2:$K$9,2)*IF(ISNUMBER(H2666),H2666,1))</f>
        <v>1.3193634259259261</v>
      </c>
      <c r="AG2666" s="287">
        <v>2665</v>
      </c>
      <c r="AH2666" s="94"/>
      <c r="AI2666" s="94"/>
    </row>
    <row r="2667" spans="1:35" s="3" customFormat="1" ht="12" customHeight="1" x14ac:dyDescent="0.25">
      <c r="A2667" s="550" t="s">
        <v>6477</v>
      </c>
      <c r="B2667" s="550">
        <v>7</v>
      </c>
      <c r="C2667" s="550">
        <v>8</v>
      </c>
      <c r="D2667" s="417" t="s">
        <v>2517</v>
      </c>
      <c r="E2667" s="316" t="s">
        <v>2518</v>
      </c>
      <c r="F2667" s="195">
        <v>33836</v>
      </c>
      <c r="G2667" s="188"/>
      <c r="H2667" s="188" t="str">
        <f>IF(J2667="Book","n/a","")</f>
        <v>n/a</v>
      </c>
      <c r="I2667" s="188">
        <v>231</v>
      </c>
      <c r="J2667" s="902" t="s">
        <v>6868</v>
      </c>
      <c r="K2667" s="162" t="s">
        <v>4964</v>
      </c>
      <c r="L2667" s="162" t="str">
        <f>IF(J2667="Book","n/a","")</f>
        <v>n/a</v>
      </c>
      <c r="M2667" s="162"/>
      <c r="N2667" s="162"/>
      <c r="O2667" s="162"/>
      <c r="P2667" s="178" t="s">
        <v>8771</v>
      </c>
      <c r="Q2667" s="162" t="s">
        <v>601</v>
      </c>
      <c r="R2667" s="189" t="s">
        <v>2716</v>
      </c>
      <c r="S2667" s="366" t="s">
        <v>2542</v>
      </c>
      <c r="T2667" s="178"/>
      <c r="U2667" s="178"/>
      <c r="V2667" s="178"/>
      <c r="W2667" s="316" t="s">
        <v>2518</v>
      </c>
      <c r="X2667" s="648" t="s">
        <v>12472</v>
      </c>
      <c r="Y2667" s="356" t="s">
        <v>4707</v>
      </c>
      <c r="Z2667" s="887">
        <v>141</v>
      </c>
      <c r="AA2667" s="272">
        <v>4.5</v>
      </c>
      <c r="AB2667" s="34">
        <f t="shared" ca="1" si="58"/>
        <v>0.81022122359667614</v>
      </c>
      <c r="AC2667" s="814"/>
      <c r="AD2667" s="815" t="s">
        <v>15120</v>
      </c>
      <c r="AE2667" s="942"/>
      <c r="AF2667" s="923">
        <f>IF(X2667=X2666,AF2666,0)+IF(ISNUMBER(I2667),IF(I2667&lt;1,I2667,I2667*VLOOKUP(J2667,Summary!$H$2:$I$9,2)),VLOOKUP(J2667,Summary!$J$2:$K$9,2)*IF(ISNUMBER(H2667),H2667,1))</f>
        <v>1.4797800925925928</v>
      </c>
      <c r="AG2667" s="291">
        <v>2666</v>
      </c>
      <c r="AH2667" s="94"/>
      <c r="AI2667" s="94"/>
    </row>
    <row r="2668" spans="1:35" s="22" customFormat="1" ht="12" customHeight="1" x14ac:dyDescent="0.25">
      <c r="A2668" s="539" t="s">
        <v>6477</v>
      </c>
      <c r="B2668" s="539">
        <v>7</v>
      </c>
      <c r="C2668" s="540">
        <v>13</v>
      </c>
      <c r="D2668" s="176" t="s">
        <v>3576</v>
      </c>
      <c r="E2668" s="313" t="s">
        <v>3577</v>
      </c>
      <c r="F2668" s="175">
        <v>33710</v>
      </c>
      <c r="G2668" s="174"/>
      <c r="H2668" s="176">
        <v>1</v>
      </c>
      <c r="I2668" s="176">
        <v>1</v>
      </c>
      <c r="J2668" s="900" t="s">
        <v>2755</v>
      </c>
      <c r="K2668" s="164" t="s">
        <v>3807</v>
      </c>
      <c r="L2668" s="164" t="s">
        <v>3578</v>
      </c>
      <c r="M2668" s="164"/>
      <c r="N2668" s="164" t="s">
        <v>7375</v>
      </c>
      <c r="O2668" s="164"/>
      <c r="P2668" s="173" t="s">
        <v>461</v>
      </c>
      <c r="Q2668" s="164" t="s">
        <v>4062</v>
      </c>
      <c r="R2668" s="177" t="s">
        <v>4599</v>
      </c>
      <c r="S2668" s="354" t="s">
        <v>2542</v>
      </c>
      <c r="T2668" s="173"/>
      <c r="U2668" s="173"/>
      <c r="V2668" s="173"/>
      <c r="W2668" s="313" t="s">
        <v>3577</v>
      </c>
      <c r="X2668" s="645" t="s">
        <v>12472</v>
      </c>
      <c r="Y2668" s="354"/>
      <c r="Z2668" s="176"/>
      <c r="AA2668" s="176"/>
      <c r="AB2668" s="32">
        <f t="shared" ca="1" si="58"/>
        <v>0.91264902704577366</v>
      </c>
      <c r="AC2668" s="812"/>
      <c r="AD2668" s="763"/>
      <c r="AE2668" s="807"/>
      <c r="AF2668" s="921">
        <f>IF(X2668=X2667,AF2667,0)+IF(ISNUMBER(I2668),IF(I2668&lt;1,I2668,I2668*VLOOKUP(J2668,Summary!$H$2:$I$9,2)),VLOOKUP(J2668,Summary!$J$2:$K$9,2)*IF(ISNUMBER(H2668),H2668,1))</f>
        <v>1.4804745370370374</v>
      </c>
      <c r="AG2668" s="289">
        <v>2667</v>
      </c>
      <c r="AH2668" s="94"/>
      <c r="AI2668" s="94"/>
    </row>
    <row r="2669" spans="1:35" s="22" customFormat="1" ht="12" customHeight="1" x14ac:dyDescent="0.2">
      <c r="A2669" s="543" t="s">
        <v>6477</v>
      </c>
      <c r="B2669" s="543">
        <v>7</v>
      </c>
      <c r="C2669" s="549">
        <v>62</v>
      </c>
      <c r="D2669" s="185" t="s">
        <v>3384</v>
      </c>
      <c r="E2669" s="314" t="s">
        <v>650</v>
      </c>
      <c r="F2669" s="183">
        <v>33878</v>
      </c>
      <c r="G2669" s="183"/>
      <c r="H2669" s="185">
        <v>1</v>
      </c>
      <c r="I2669" s="185">
        <v>7</v>
      </c>
      <c r="J2669" s="901" t="s">
        <v>1796</v>
      </c>
      <c r="K2669" s="163" t="s">
        <v>552</v>
      </c>
      <c r="L2669" s="163" t="s">
        <v>2866</v>
      </c>
      <c r="M2669" s="163"/>
      <c r="N2669" s="163" t="s">
        <v>561</v>
      </c>
      <c r="O2669" s="163"/>
      <c r="P2669" s="182" t="s">
        <v>461</v>
      </c>
      <c r="Q2669" s="163" t="s">
        <v>4062</v>
      </c>
      <c r="R2669" s="186" t="s">
        <v>5266</v>
      </c>
      <c r="S2669" s="355" t="s">
        <v>2542</v>
      </c>
      <c r="T2669" s="182"/>
      <c r="U2669" s="182"/>
      <c r="V2669" s="182"/>
      <c r="W2669" s="314" t="s">
        <v>650</v>
      </c>
      <c r="X2669" s="646" t="s">
        <v>12472</v>
      </c>
      <c r="Y2669" s="355"/>
      <c r="Z2669" s="185"/>
      <c r="AA2669" s="185"/>
      <c r="AB2669" s="33">
        <f t="shared" ca="1" si="58"/>
        <v>0.11767557056463629</v>
      </c>
      <c r="AC2669" s="813"/>
      <c r="AD2669" s="211" t="s">
        <v>16049</v>
      </c>
      <c r="AE2669" s="941"/>
      <c r="AF2669" s="922">
        <f>IF(X2669=X2668,AF2668,0)+IF(ISNUMBER(I2669),IF(I2669&lt;1,I2669,I2669*VLOOKUP(J2669,Summary!$H$2:$I$9,2)),VLOOKUP(J2669,Summary!$J$2:$K$9,2)*IF(ISNUMBER(H2669),H2669,1))</f>
        <v>1.4829050925925928</v>
      </c>
      <c r="AG2669" s="290">
        <v>2668</v>
      </c>
      <c r="AH2669" s="94"/>
      <c r="AI2669" s="94"/>
    </row>
    <row r="2670" spans="1:35" s="22" customFormat="1" ht="12" customHeight="1" x14ac:dyDescent="0.2">
      <c r="A2670" s="543" t="s">
        <v>6477</v>
      </c>
      <c r="B2670" s="543">
        <v>7</v>
      </c>
      <c r="C2670" s="549">
        <v>63</v>
      </c>
      <c r="D2670" s="185" t="s">
        <v>3385</v>
      </c>
      <c r="E2670" s="314" t="s">
        <v>651</v>
      </c>
      <c r="F2670" s="183">
        <v>33878</v>
      </c>
      <c r="G2670" s="183"/>
      <c r="H2670" s="185">
        <v>1</v>
      </c>
      <c r="I2670" s="185">
        <v>8</v>
      </c>
      <c r="J2670" s="901" t="s">
        <v>1796</v>
      </c>
      <c r="K2670" s="163" t="s">
        <v>941</v>
      </c>
      <c r="L2670" s="163" t="s">
        <v>2866</v>
      </c>
      <c r="M2670" s="163"/>
      <c r="N2670" s="163" t="s">
        <v>561</v>
      </c>
      <c r="O2670" s="163"/>
      <c r="P2670" s="182" t="s">
        <v>461</v>
      </c>
      <c r="Q2670" s="163" t="s">
        <v>4062</v>
      </c>
      <c r="R2670" s="186" t="s">
        <v>5266</v>
      </c>
      <c r="S2670" s="355" t="s">
        <v>2542</v>
      </c>
      <c r="T2670" s="182"/>
      <c r="U2670" s="182"/>
      <c r="V2670" s="182"/>
      <c r="W2670" s="314" t="s">
        <v>651</v>
      </c>
      <c r="X2670" s="646" t="s">
        <v>12472</v>
      </c>
      <c r="Y2670" s="355"/>
      <c r="Z2670" s="185"/>
      <c r="AA2670" s="185"/>
      <c r="AB2670" s="33">
        <f t="shared" ca="1" si="58"/>
        <v>0.86059224047296001</v>
      </c>
      <c r="AC2670" s="813"/>
      <c r="AD2670" s="211" t="s">
        <v>461</v>
      </c>
      <c r="AE2670" s="941"/>
      <c r="AF2670" s="922">
        <f>IF(X2670=X2669,AF2669,0)+IF(ISNUMBER(I2670),IF(I2670&lt;1,I2670,I2670*VLOOKUP(J2670,Summary!$H$2:$I$9,2)),VLOOKUP(J2670,Summary!$J$2:$K$9,2)*IF(ISNUMBER(H2670),H2670,1))</f>
        <v>1.4856828703703706</v>
      </c>
      <c r="AG2670" s="290">
        <v>2669</v>
      </c>
      <c r="AH2670" s="94"/>
      <c r="AI2670" s="94"/>
    </row>
    <row r="2671" spans="1:35" s="22" customFormat="1" ht="12" customHeight="1" x14ac:dyDescent="0.25">
      <c r="A2671" s="550" t="s">
        <v>6477</v>
      </c>
      <c r="B2671" s="550">
        <v>7</v>
      </c>
      <c r="C2671" s="550">
        <v>36</v>
      </c>
      <c r="D2671" s="417" t="s">
        <v>6461</v>
      </c>
      <c r="E2671" s="316" t="s">
        <v>6462</v>
      </c>
      <c r="F2671" s="187">
        <v>36800</v>
      </c>
      <c r="G2671" s="188"/>
      <c r="H2671" s="188" t="str">
        <f>IF(J2671="Book","n/a","")</f>
        <v>n/a</v>
      </c>
      <c r="I2671" s="188">
        <v>285</v>
      </c>
      <c r="J2671" s="902" t="s">
        <v>6868</v>
      </c>
      <c r="K2671" s="162" t="s">
        <v>1930</v>
      </c>
      <c r="L2671" s="162" t="str">
        <f>IF(J2671="Book","n/a","")</f>
        <v>n/a</v>
      </c>
      <c r="M2671" s="162"/>
      <c r="N2671" s="162"/>
      <c r="O2671" s="162"/>
      <c r="P2671" s="178" t="s">
        <v>8961</v>
      </c>
      <c r="Q2671" s="162" t="s">
        <v>3953</v>
      </c>
      <c r="R2671" s="189" t="s">
        <v>2717</v>
      </c>
      <c r="S2671" s="366" t="s">
        <v>2542</v>
      </c>
      <c r="T2671" s="178"/>
      <c r="U2671" s="178"/>
      <c r="V2671" s="178"/>
      <c r="W2671" s="316" t="s">
        <v>6462</v>
      </c>
      <c r="X2671" s="648" t="s">
        <v>12472</v>
      </c>
      <c r="Y2671" s="356"/>
      <c r="Z2671" s="272">
        <v>219</v>
      </c>
      <c r="AA2671" s="272">
        <v>0.5</v>
      </c>
      <c r="AB2671" s="34">
        <f t="shared" ca="1" si="58"/>
        <v>0.81376024096967725</v>
      </c>
      <c r="AC2671" s="814"/>
      <c r="AD2671" s="815" t="s">
        <v>16328</v>
      </c>
      <c r="AE2671" s="942" t="s">
        <v>12543</v>
      </c>
      <c r="AF2671" s="923">
        <f>IF(X2671=X2670,AF2670,0)+IF(ISNUMBER(I2671),IF(I2671&lt;1,I2671,I2671*VLOOKUP(J2671,Summary!$H$2:$I$9,2)),VLOOKUP(J2671,Summary!$J$2:$K$9,2)*IF(ISNUMBER(H2671),H2671,1))</f>
        <v>1.6835995370370374</v>
      </c>
      <c r="AG2671" s="291">
        <v>2670</v>
      </c>
      <c r="AH2671" s="94"/>
      <c r="AI2671" s="94"/>
    </row>
    <row r="2672" spans="1:35" s="22" customFormat="1" ht="12" customHeight="1" x14ac:dyDescent="0.25">
      <c r="A2672" s="539" t="s">
        <v>6477</v>
      </c>
      <c r="B2672" s="539">
        <v>7</v>
      </c>
      <c r="C2672" s="542">
        <v>23.08</v>
      </c>
      <c r="D2672" s="176" t="s">
        <v>4184</v>
      </c>
      <c r="E2672" s="313" t="s">
        <v>652</v>
      </c>
      <c r="F2672" s="174">
        <v>39234</v>
      </c>
      <c r="G2672" s="174"/>
      <c r="H2672" s="176">
        <v>1</v>
      </c>
      <c r="I2672" s="176">
        <v>12</v>
      </c>
      <c r="J2672" s="900" t="s">
        <v>2755</v>
      </c>
      <c r="K2672" s="164" t="s">
        <v>5213</v>
      </c>
      <c r="L2672" s="164" t="s">
        <v>461</v>
      </c>
      <c r="M2672" s="164"/>
      <c r="N2672" s="164" t="s">
        <v>804</v>
      </c>
      <c r="O2672" s="164"/>
      <c r="P2672" s="173" t="s">
        <v>6700</v>
      </c>
      <c r="Q2672" s="164" t="s">
        <v>3947</v>
      </c>
      <c r="R2672" s="177" t="s">
        <v>2723</v>
      </c>
      <c r="S2672" s="354" t="s">
        <v>2542</v>
      </c>
      <c r="T2672" s="173"/>
      <c r="U2672" s="173"/>
      <c r="V2672" s="173"/>
      <c r="W2672" s="313" t="s">
        <v>652</v>
      </c>
      <c r="X2672" s="645" t="s">
        <v>12472</v>
      </c>
      <c r="Y2672" s="354"/>
      <c r="Z2672" s="176"/>
      <c r="AA2672" s="176"/>
      <c r="AB2672" s="32">
        <f t="shared" ca="1" si="58"/>
        <v>0.47109099839196233</v>
      </c>
      <c r="AC2672" s="812"/>
      <c r="AD2672" s="763"/>
      <c r="AE2672" s="807"/>
      <c r="AF2672" s="921">
        <f>IF(X2672=X2671,AF2671,0)+IF(ISNUMBER(I2672),IF(I2672&lt;1,I2672,I2672*VLOOKUP(J2672,Summary!$H$2:$I$9,2)),VLOOKUP(J2672,Summary!$J$2:$K$9,2)*IF(ISNUMBER(H2672),H2672,1))</f>
        <v>1.6919328703703707</v>
      </c>
      <c r="AG2672" s="289">
        <v>2671</v>
      </c>
      <c r="AH2672" s="94"/>
      <c r="AI2672" s="94"/>
    </row>
    <row r="2673" spans="1:36" s="22" customFormat="1" ht="12" customHeight="1" x14ac:dyDescent="0.25">
      <c r="A2673" s="539" t="s">
        <v>6477</v>
      </c>
      <c r="B2673" s="539">
        <v>7</v>
      </c>
      <c r="C2673" s="542">
        <v>26.09</v>
      </c>
      <c r="D2673" s="176" t="s">
        <v>5214</v>
      </c>
      <c r="E2673" s="313" t="s">
        <v>653</v>
      </c>
      <c r="F2673" s="174">
        <v>39508</v>
      </c>
      <c r="G2673" s="174"/>
      <c r="H2673" s="176">
        <v>1</v>
      </c>
      <c r="I2673" s="176">
        <v>6</v>
      </c>
      <c r="J2673" s="900" t="s">
        <v>2755</v>
      </c>
      <c r="K2673" s="164" t="s">
        <v>4374</v>
      </c>
      <c r="L2673" s="164" t="s">
        <v>461</v>
      </c>
      <c r="M2673" s="164"/>
      <c r="N2673" s="164" t="s">
        <v>7381</v>
      </c>
      <c r="O2673" s="164"/>
      <c r="P2673" s="173" t="s">
        <v>6706</v>
      </c>
      <c r="Q2673" s="164" t="s">
        <v>3947</v>
      </c>
      <c r="R2673" s="177" t="s">
        <v>2723</v>
      </c>
      <c r="S2673" s="354"/>
      <c r="T2673" s="173"/>
      <c r="U2673" s="173"/>
      <c r="V2673" s="173"/>
      <c r="W2673" s="313" t="s">
        <v>653</v>
      </c>
      <c r="X2673" s="645" t="s">
        <v>12472</v>
      </c>
      <c r="Y2673" s="354"/>
      <c r="Z2673" s="176"/>
      <c r="AA2673" s="176"/>
      <c r="AB2673" s="32">
        <f t="shared" ca="1" si="58"/>
        <v>0.55585422356722425</v>
      </c>
      <c r="AC2673" s="812"/>
      <c r="AD2673" s="763"/>
      <c r="AE2673" s="807"/>
      <c r="AF2673" s="921">
        <f>IF(X2673=X2672,AF2672,0)+IF(ISNUMBER(I2673),IF(I2673&lt;1,I2673,I2673*VLOOKUP(J2673,Summary!$H$2:$I$9,2)),VLOOKUP(J2673,Summary!$J$2:$K$9,2)*IF(ISNUMBER(H2673),H2673,1))</f>
        <v>1.6960995370370373</v>
      </c>
      <c r="AG2673" s="289">
        <v>2672</v>
      </c>
      <c r="AH2673" s="94"/>
      <c r="AI2673" s="94"/>
    </row>
    <row r="2674" spans="1:36" s="22" customFormat="1" ht="12" customHeight="1" x14ac:dyDescent="0.2">
      <c r="A2674" s="543" t="s">
        <v>6477</v>
      </c>
      <c r="B2674" s="543">
        <v>7</v>
      </c>
      <c r="C2674" s="544"/>
      <c r="D2674" s="185" t="s">
        <v>186</v>
      </c>
      <c r="E2674" s="314" t="s">
        <v>654</v>
      </c>
      <c r="F2674" s="183">
        <v>33848</v>
      </c>
      <c r="G2674" s="183"/>
      <c r="H2674" s="185">
        <v>1</v>
      </c>
      <c r="I2674" s="185">
        <v>16</v>
      </c>
      <c r="J2674" s="901" t="s">
        <v>1796</v>
      </c>
      <c r="K2674" s="163" t="s">
        <v>3807</v>
      </c>
      <c r="L2674" s="163" t="s">
        <v>7928</v>
      </c>
      <c r="M2674" s="163" t="s">
        <v>4624</v>
      </c>
      <c r="N2674" s="163" t="s">
        <v>561</v>
      </c>
      <c r="O2674" s="163"/>
      <c r="P2674" s="182" t="s">
        <v>189</v>
      </c>
      <c r="Q2674" s="163" t="s">
        <v>4062</v>
      </c>
      <c r="R2674" s="186" t="s">
        <v>5266</v>
      </c>
      <c r="S2674" s="355" t="s">
        <v>2542</v>
      </c>
      <c r="T2674" s="182"/>
      <c r="U2674" s="182"/>
      <c r="V2674" s="182"/>
      <c r="W2674" s="314" t="s">
        <v>654</v>
      </c>
      <c r="X2674" s="646" t="s">
        <v>12472</v>
      </c>
      <c r="Y2674" s="355"/>
      <c r="Z2674" s="185"/>
      <c r="AA2674" s="185"/>
      <c r="AB2674" s="33">
        <f t="shared" ca="1" si="58"/>
        <v>0.36935944421792211</v>
      </c>
      <c r="AC2674" s="813"/>
      <c r="AD2674" s="211"/>
      <c r="AE2674" s="941"/>
      <c r="AF2674" s="922">
        <f>IF(X2674=X2673,AF2673,0)+IF(ISNUMBER(I2674),IF(I2674&lt;1,I2674,I2674*VLOOKUP(J2674,Summary!$H$2:$I$9,2)),VLOOKUP(J2674,Summary!$J$2:$K$9,2)*IF(ISNUMBER(H2674),H2674,1))</f>
        <v>1.7016550925925928</v>
      </c>
      <c r="AG2674" s="290">
        <v>2673</v>
      </c>
      <c r="AH2674" s="94"/>
      <c r="AI2674" s="94"/>
    </row>
    <row r="2675" spans="1:36" s="22" customFormat="1" ht="12" customHeight="1" x14ac:dyDescent="0.25">
      <c r="A2675" s="408"/>
      <c r="B2675" s="408" t="s">
        <v>2650</v>
      </c>
      <c r="C2675" s="408">
        <v>3</v>
      </c>
      <c r="D2675" s="176" t="s">
        <v>4156</v>
      </c>
      <c r="E2675" s="313" t="s">
        <v>4157</v>
      </c>
      <c r="F2675" s="175">
        <v>33261</v>
      </c>
      <c r="G2675" s="174"/>
      <c r="H2675" s="176">
        <v>1</v>
      </c>
      <c r="I2675" s="176">
        <v>1</v>
      </c>
      <c r="J2675" s="900" t="s">
        <v>2755</v>
      </c>
      <c r="K2675" s="164" t="s">
        <v>1746</v>
      </c>
      <c r="L2675" s="164" t="s">
        <v>6043</v>
      </c>
      <c r="M2675" s="164"/>
      <c r="N2675" s="164" t="s">
        <v>561</v>
      </c>
      <c r="O2675" s="164"/>
      <c r="P2675" s="173" t="s">
        <v>461</v>
      </c>
      <c r="Q2675" s="164" t="s">
        <v>4062</v>
      </c>
      <c r="R2675" s="177" t="s">
        <v>4599</v>
      </c>
      <c r="S2675" s="354"/>
      <c r="T2675" s="173" t="s">
        <v>2324</v>
      </c>
      <c r="U2675" s="173" t="s">
        <v>2325</v>
      </c>
      <c r="V2675" s="173"/>
      <c r="W2675" s="313" t="s">
        <v>4157</v>
      </c>
      <c r="X2675" s="645" t="s">
        <v>12472</v>
      </c>
      <c r="Y2675" s="354"/>
      <c r="Z2675" s="176"/>
      <c r="AA2675" s="176"/>
      <c r="AB2675" s="32">
        <f t="shared" ca="1" si="58"/>
        <v>0.210097841314423</v>
      </c>
      <c r="AC2675" s="812"/>
      <c r="AD2675" s="763"/>
      <c r="AE2675" s="807"/>
      <c r="AF2675" s="921">
        <f>IF(X2675=X2674,AF2674,0)+IF(ISNUMBER(I2675),IF(I2675&lt;1,I2675,I2675*VLOOKUP(J2675,Summary!$H$2:$I$9,2)),VLOOKUP(J2675,Summary!$J$2:$K$9,2)*IF(ISNUMBER(H2675),H2675,1))</f>
        <v>1.7023495370370374</v>
      </c>
      <c r="AG2675" s="289">
        <v>2674</v>
      </c>
      <c r="AH2675" s="94"/>
      <c r="AI2675" s="94"/>
    </row>
    <row r="2676" spans="1:36" s="120" customFormat="1" ht="12" customHeight="1" x14ac:dyDescent="0.25">
      <c r="A2676" s="408" t="s">
        <v>10492</v>
      </c>
      <c r="B2676" s="408" t="s">
        <v>6146</v>
      </c>
      <c r="C2676" s="408">
        <v>7.01</v>
      </c>
      <c r="D2676" s="176" t="s">
        <v>6761</v>
      </c>
      <c r="E2676" s="313" t="s">
        <v>6736</v>
      </c>
      <c r="F2676" s="174">
        <v>39387</v>
      </c>
      <c r="G2676" s="174"/>
      <c r="H2676" s="176" t="s">
        <v>461</v>
      </c>
      <c r="I2676" s="176"/>
      <c r="J2676" s="900" t="s">
        <v>2755</v>
      </c>
      <c r="K2676" s="164" t="s">
        <v>4944</v>
      </c>
      <c r="L2676" s="164" t="s">
        <v>461</v>
      </c>
      <c r="M2676" s="164"/>
      <c r="N2676" s="164" t="s">
        <v>5222</v>
      </c>
      <c r="O2676" s="164"/>
      <c r="P2676" s="173" t="s">
        <v>6722</v>
      </c>
      <c r="Q2676" s="164" t="s">
        <v>3947</v>
      </c>
      <c r="R2676" s="177" t="s">
        <v>6720</v>
      </c>
      <c r="S2676" s="354"/>
      <c r="T2676" s="173" t="s">
        <v>2611</v>
      </c>
      <c r="U2676" s="173"/>
      <c r="V2676" s="173"/>
      <c r="W2676" s="313" t="s">
        <v>6736</v>
      </c>
      <c r="X2676" s="645" t="s">
        <v>12526</v>
      </c>
      <c r="Y2676" s="354"/>
      <c r="Z2676" s="176"/>
      <c r="AA2676" s="176"/>
      <c r="AB2676" s="32">
        <f t="shared" ca="1" si="58"/>
        <v>0.32413899066829199</v>
      </c>
      <c r="AC2676" s="812"/>
      <c r="AD2676" s="763"/>
      <c r="AE2676" s="807"/>
      <c r="AF2676" s="921">
        <f>IF(X2676=X2675,AF2675,0)+IF(ISNUMBER(I2676),IF(I2676&lt;1,I2676,I2676*VLOOKUP(J2676,Summary!$H$2:$I$9,2)),VLOOKUP(J2676,Summary!$J$2:$K$9,2)*IF(ISNUMBER(H2676),H2676,1))</f>
        <v>1.7361111111111112E-2</v>
      </c>
      <c r="AG2676" s="289">
        <v>2675</v>
      </c>
      <c r="AH2676" s="94"/>
      <c r="AI2676" s="94"/>
    </row>
    <row r="2677" spans="1:36" s="26" customFormat="1" ht="12" customHeight="1" x14ac:dyDescent="0.25">
      <c r="A2677" s="478" t="s">
        <v>10492</v>
      </c>
      <c r="B2677" s="478" t="s">
        <v>6146</v>
      </c>
      <c r="C2677" s="478">
        <v>7.02</v>
      </c>
      <c r="D2677" s="192" t="s">
        <v>2023</v>
      </c>
      <c r="E2677" s="317" t="s">
        <v>6737</v>
      </c>
      <c r="F2677" s="191">
        <v>39387</v>
      </c>
      <c r="G2677" s="191"/>
      <c r="H2677" s="192" t="s">
        <v>461</v>
      </c>
      <c r="I2677" s="192"/>
      <c r="J2677" s="903" t="s">
        <v>2755</v>
      </c>
      <c r="K2677" s="194" t="s">
        <v>4732</v>
      </c>
      <c r="L2677" s="194" t="s">
        <v>461</v>
      </c>
      <c r="M2677" s="194" t="s">
        <v>5662</v>
      </c>
      <c r="N2677" s="194" t="s">
        <v>5222</v>
      </c>
      <c r="O2677" s="194"/>
      <c r="P2677" s="190" t="s">
        <v>6722</v>
      </c>
      <c r="Q2677" s="194" t="s">
        <v>3947</v>
      </c>
      <c r="R2677" s="193" t="s">
        <v>6720</v>
      </c>
      <c r="S2677" s="357"/>
      <c r="T2677" s="190" t="s">
        <v>2611</v>
      </c>
      <c r="U2677" s="190"/>
      <c r="V2677" s="190"/>
      <c r="W2677" s="317" t="s">
        <v>6737</v>
      </c>
      <c r="X2677" s="649" t="s">
        <v>12526</v>
      </c>
      <c r="Y2677" s="357"/>
      <c r="Z2677" s="192"/>
      <c r="AA2677" s="192"/>
      <c r="AB2677" s="37">
        <f t="shared" ca="1" si="58"/>
        <v>0.67671821281288114</v>
      </c>
      <c r="AC2677" s="816"/>
      <c r="AD2677" s="817"/>
      <c r="AE2677" s="943"/>
      <c r="AF2677" s="924">
        <f>IF(X2677=X2676,AF2676,0)+IF(ISNUMBER(I2677),IF(I2677&lt;1,I2677,I2677*VLOOKUP(J2677,Summary!$H$2:$I$9,2)),VLOOKUP(J2677,Summary!$J$2:$K$9,2)*IF(ISNUMBER(H2677),H2677,1))</f>
        <v>3.4722222222222224E-2</v>
      </c>
      <c r="AG2677" s="292">
        <v>2676</v>
      </c>
      <c r="AH2677" s="94"/>
      <c r="AI2677" s="94"/>
    </row>
    <row r="2678" spans="1:36" s="3" customFormat="1" ht="12" customHeight="1" x14ac:dyDescent="0.25">
      <c r="A2678" s="507" t="s">
        <v>10492</v>
      </c>
      <c r="B2678" s="507" t="s">
        <v>6146</v>
      </c>
      <c r="C2678" s="507">
        <v>8</v>
      </c>
      <c r="D2678" s="188" t="s">
        <v>6738</v>
      </c>
      <c r="E2678" s="327" t="s">
        <v>6739</v>
      </c>
      <c r="F2678" s="195">
        <v>38887</v>
      </c>
      <c r="G2678" s="187"/>
      <c r="H2678" s="188" t="s">
        <v>461</v>
      </c>
      <c r="I2678" s="188">
        <v>208</v>
      </c>
      <c r="J2678" s="902" t="s">
        <v>6868</v>
      </c>
      <c r="K2678" s="218" t="s">
        <v>4732</v>
      </c>
      <c r="L2678" s="218" t="s">
        <v>461</v>
      </c>
      <c r="M2678" s="218"/>
      <c r="N2678" s="218"/>
      <c r="O2678" s="218"/>
      <c r="P2678" s="178" t="s">
        <v>6740</v>
      </c>
      <c r="Q2678" s="218" t="s">
        <v>3947</v>
      </c>
      <c r="R2678" s="217" t="s">
        <v>6721</v>
      </c>
      <c r="S2678" s="366"/>
      <c r="T2678" s="178" t="s">
        <v>2611</v>
      </c>
      <c r="U2678" s="178"/>
      <c r="V2678" s="178"/>
      <c r="W2678" s="327" t="s">
        <v>6739</v>
      </c>
      <c r="X2678" s="658" t="s">
        <v>12526</v>
      </c>
      <c r="Y2678" s="366"/>
      <c r="Z2678" s="188"/>
      <c r="AA2678" s="188"/>
      <c r="AB2678" s="34">
        <f t="shared" ca="1" si="58"/>
        <v>0.38067648646349428</v>
      </c>
      <c r="AC2678" s="814"/>
      <c r="AD2678" s="815" t="s">
        <v>16245</v>
      </c>
      <c r="AE2678" s="245"/>
      <c r="AF2678" s="923">
        <f>IF(X2678=X2677,AF2677,0)+IF(ISNUMBER(I2678),IF(I2678&lt;1,I2678,I2678*VLOOKUP(J2678,Summary!$H$2:$I$9,2)),VLOOKUP(J2678,Summary!$J$2:$K$9,2)*IF(ISNUMBER(H2678),H2678,1))</f>
        <v>0.1791666666666667</v>
      </c>
      <c r="AG2678" s="297">
        <v>2677</v>
      </c>
      <c r="AH2678" s="94"/>
      <c r="AI2678" s="94"/>
    </row>
    <row r="2679" spans="1:36" s="22" customFormat="1" ht="12" customHeight="1" x14ac:dyDescent="0.25">
      <c r="A2679" s="408" t="s">
        <v>10492</v>
      </c>
      <c r="B2679" s="408" t="s">
        <v>6146</v>
      </c>
      <c r="C2679" s="408">
        <v>3.1</v>
      </c>
      <c r="D2679" s="176" t="s">
        <v>2024</v>
      </c>
      <c r="E2679" s="313" t="s">
        <v>16247</v>
      </c>
      <c r="F2679" s="175">
        <v>39023</v>
      </c>
      <c r="G2679" s="174"/>
      <c r="H2679" s="176" t="s">
        <v>461</v>
      </c>
      <c r="I2679" s="176"/>
      <c r="J2679" s="900" t="s">
        <v>2755</v>
      </c>
      <c r="K2679" s="164" t="s">
        <v>941</v>
      </c>
      <c r="L2679" s="164" t="s">
        <v>461</v>
      </c>
      <c r="M2679" s="164"/>
      <c r="N2679" s="164"/>
      <c r="O2679" s="164"/>
      <c r="P2679" s="173" t="s">
        <v>6742</v>
      </c>
      <c r="Q2679" s="164" t="s">
        <v>3947</v>
      </c>
      <c r="R2679" s="177" t="s">
        <v>6741</v>
      </c>
      <c r="S2679" s="354"/>
      <c r="T2679" s="173" t="s">
        <v>2611</v>
      </c>
      <c r="U2679" s="173"/>
      <c r="V2679" s="173"/>
      <c r="W2679" s="313" t="s">
        <v>16247</v>
      </c>
      <c r="X2679" s="645" t="s">
        <v>12526</v>
      </c>
      <c r="Y2679" s="354"/>
      <c r="Z2679" s="176"/>
      <c r="AA2679" s="176"/>
      <c r="AB2679" s="32">
        <f t="shared" ca="1" si="58"/>
        <v>0.3128186858536397</v>
      </c>
      <c r="AC2679" s="812"/>
      <c r="AD2679" s="763" t="s">
        <v>16248</v>
      </c>
      <c r="AE2679" s="807"/>
      <c r="AF2679" s="921">
        <f>IF(X2679=X2678,AF2678,0)+IF(ISNUMBER(I2679),IF(I2679&lt;1,I2679,I2679*VLOOKUP(J2679,Summary!$H$2:$I$9,2)),VLOOKUP(J2679,Summary!$J$2:$K$9,2)*IF(ISNUMBER(H2679),H2679,1))</f>
        <v>0.1965277777777778</v>
      </c>
      <c r="AG2679" s="289">
        <v>2678</v>
      </c>
      <c r="AH2679" s="94"/>
      <c r="AI2679" s="94"/>
    </row>
    <row r="2680" spans="1:36" s="22" customFormat="1" ht="12" customHeight="1" x14ac:dyDescent="0.25">
      <c r="A2680" s="408" t="s">
        <v>10492</v>
      </c>
      <c r="B2680" s="408" t="s">
        <v>6146</v>
      </c>
      <c r="C2680" s="408">
        <v>5.0999999999999996</v>
      </c>
      <c r="D2680" s="176" t="s">
        <v>2025</v>
      </c>
      <c r="E2680" s="313" t="s">
        <v>6743</v>
      </c>
      <c r="F2680" s="175">
        <v>39784</v>
      </c>
      <c r="G2680" s="174"/>
      <c r="H2680" s="176" t="s">
        <v>461</v>
      </c>
      <c r="I2680" s="176"/>
      <c r="J2680" s="900" t="s">
        <v>2755</v>
      </c>
      <c r="K2680" s="164" t="s">
        <v>342</v>
      </c>
      <c r="L2680" s="164" t="s">
        <v>461</v>
      </c>
      <c r="M2680" s="164"/>
      <c r="N2680" s="164"/>
      <c r="O2680" s="164"/>
      <c r="P2680" s="173" t="s">
        <v>6744</v>
      </c>
      <c r="Q2680" s="164" t="s">
        <v>3947</v>
      </c>
      <c r="R2680" s="177" t="s">
        <v>6741</v>
      </c>
      <c r="S2680" s="354"/>
      <c r="T2680" s="173" t="s">
        <v>2611</v>
      </c>
      <c r="U2680" s="173"/>
      <c r="V2680" s="173"/>
      <c r="W2680" s="313" t="s">
        <v>6743</v>
      </c>
      <c r="X2680" s="645" t="s">
        <v>12526</v>
      </c>
      <c r="Y2680" s="354"/>
      <c r="Z2680" s="176"/>
      <c r="AA2680" s="176"/>
      <c r="AB2680" s="32">
        <f t="shared" ca="1" si="58"/>
        <v>0.27897338416221873</v>
      </c>
      <c r="AC2680" s="812"/>
      <c r="AD2680" s="763" t="s">
        <v>16249</v>
      </c>
      <c r="AE2680" s="807"/>
      <c r="AF2680" s="921">
        <f>IF(X2680=X2679,AF2679,0)+IF(ISNUMBER(I2680),IF(I2680&lt;1,I2680,I2680*VLOOKUP(J2680,Summary!$H$2:$I$9,2)),VLOOKUP(J2680,Summary!$J$2:$K$9,2)*IF(ISNUMBER(H2680),H2680,1))</f>
        <v>0.21388888888888891</v>
      </c>
      <c r="AG2680" s="289">
        <v>2679</v>
      </c>
      <c r="AH2680" s="94"/>
      <c r="AI2680" s="94"/>
    </row>
    <row r="2681" spans="1:36" s="120" customFormat="1" ht="12" customHeight="1" x14ac:dyDescent="0.25">
      <c r="A2681" s="408" t="s">
        <v>10492</v>
      </c>
      <c r="B2681" s="408" t="s">
        <v>6146</v>
      </c>
      <c r="C2681" s="497">
        <v>7.03</v>
      </c>
      <c r="D2681" s="176" t="s">
        <v>2026</v>
      </c>
      <c r="E2681" s="313" t="s">
        <v>6735</v>
      </c>
      <c r="F2681" s="174">
        <v>39387</v>
      </c>
      <c r="G2681" s="174"/>
      <c r="H2681" s="176" t="s">
        <v>461</v>
      </c>
      <c r="I2681" s="176"/>
      <c r="J2681" s="900" t="s">
        <v>2755</v>
      </c>
      <c r="K2681" s="164" t="s">
        <v>6723</v>
      </c>
      <c r="L2681" s="164" t="s">
        <v>461</v>
      </c>
      <c r="M2681" s="164"/>
      <c r="N2681" s="164" t="s">
        <v>5222</v>
      </c>
      <c r="O2681" s="164"/>
      <c r="P2681" s="173" t="s">
        <v>6722</v>
      </c>
      <c r="Q2681" s="164" t="s">
        <v>3947</v>
      </c>
      <c r="R2681" s="177" t="s">
        <v>6720</v>
      </c>
      <c r="S2681" s="354"/>
      <c r="T2681" s="173" t="s">
        <v>2611</v>
      </c>
      <c r="U2681" s="173"/>
      <c r="V2681" s="173"/>
      <c r="W2681" s="313" t="s">
        <v>6735</v>
      </c>
      <c r="X2681" s="645" t="s">
        <v>12526</v>
      </c>
      <c r="Y2681" s="354"/>
      <c r="Z2681" s="176"/>
      <c r="AA2681" s="176"/>
      <c r="AB2681" s="32">
        <f t="shared" ca="1" si="58"/>
        <v>0.80908000840935501</v>
      </c>
      <c r="AC2681" s="812"/>
      <c r="AD2681" s="763"/>
      <c r="AE2681" s="807"/>
      <c r="AF2681" s="921">
        <f>IF(X2681=X2680,AF2680,0)+IF(ISNUMBER(I2681),IF(I2681&lt;1,I2681,I2681*VLOOKUP(J2681,Summary!$H$2:$I$9,2)),VLOOKUP(J2681,Summary!$J$2:$K$9,2)*IF(ISNUMBER(H2681),H2681,1))</f>
        <v>0.23125000000000001</v>
      </c>
      <c r="AG2681" s="289">
        <v>2680</v>
      </c>
      <c r="AH2681" s="94"/>
      <c r="AI2681" s="94"/>
    </row>
    <row r="2682" spans="1:36" s="2" customFormat="1" ht="12" customHeight="1" x14ac:dyDescent="0.25">
      <c r="A2682" s="737" t="s">
        <v>10492</v>
      </c>
      <c r="B2682" s="738" t="s">
        <v>6146</v>
      </c>
      <c r="C2682" s="739"/>
      <c r="D2682" s="407" t="s">
        <v>15343</v>
      </c>
      <c r="E2682" s="315" t="s">
        <v>15931</v>
      </c>
      <c r="F2682" s="196">
        <v>43368</v>
      </c>
      <c r="G2682" s="170"/>
      <c r="H2682" s="170" t="s">
        <v>461</v>
      </c>
      <c r="I2682" s="747">
        <f>TIME(0,60,0)</f>
        <v>4.1666666666666664E-2</v>
      </c>
      <c r="J2682" s="899" t="s">
        <v>4706</v>
      </c>
      <c r="K2682" s="167" t="s">
        <v>1643</v>
      </c>
      <c r="L2682" s="167" t="s">
        <v>179</v>
      </c>
      <c r="M2682" s="167"/>
      <c r="N2682" s="167" t="s">
        <v>1643</v>
      </c>
      <c r="O2682" s="167" t="s">
        <v>1643</v>
      </c>
      <c r="P2682" s="168" t="s">
        <v>15344</v>
      </c>
      <c r="Q2682" s="167" t="s">
        <v>3947</v>
      </c>
      <c r="R2682" s="172" t="s">
        <v>3711</v>
      </c>
      <c r="S2682" s="388"/>
      <c r="T2682" s="168" t="s">
        <v>2611</v>
      </c>
      <c r="U2682" s="168"/>
      <c r="V2682" s="168"/>
      <c r="W2682" s="315" t="s">
        <v>15931</v>
      </c>
      <c r="X2682" s="683" t="s">
        <v>12526</v>
      </c>
      <c r="Y2682" s="352" t="s">
        <v>2798</v>
      </c>
      <c r="Z2682" s="353">
        <v>138</v>
      </c>
      <c r="AA2682" s="353">
        <v>7</v>
      </c>
      <c r="AB2682" s="31">
        <f t="shared" ca="1" si="58"/>
        <v>0.34616091805928084</v>
      </c>
      <c r="AC2682" s="810"/>
      <c r="AD2682" s="811"/>
      <c r="AE2682" s="940"/>
      <c r="AF2682" s="920">
        <f>IF(X2682=X2681,AF2681,0)+IF(ISNUMBER(I2682),IF(I2682&lt;1,I2682,I2682*VLOOKUP(J2682,Summary!$H$2:$I$9,2)),VLOOKUP(J2682,Summary!$J$2:$K$9,2)*IF(ISNUMBER(H2682),H2682,1))</f>
        <v>0.2729166666666667</v>
      </c>
      <c r="AG2682" s="287">
        <v>2681</v>
      </c>
      <c r="AH2682" s="94"/>
      <c r="AI2682" s="94"/>
    </row>
    <row r="2683" spans="1:36" s="26" customFormat="1" ht="12" customHeight="1" x14ac:dyDescent="0.25">
      <c r="A2683" s="478" t="s">
        <v>10492</v>
      </c>
      <c r="B2683" s="478" t="s">
        <v>6146</v>
      </c>
      <c r="C2683" s="478">
        <v>11.02</v>
      </c>
      <c r="D2683" s="192" t="s">
        <v>15804</v>
      </c>
      <c r="E2683" s="317" t="s">
        <v>15802</v>
      </c>
      <c r="F2683" s="209">
        <v>43453</v>
      </c>
      <c r="G2683" s="191"/>
      <c r="H2683" s="192" t="s">
        <v>461</v>
      </c>
      <c r="I2683" s="192"/>
      <c r="J2683" s="903" t="s">
        <v>2755</v>
      </c>
      <c r="K2683" s="194" t="s">
        <v>15801</v>
      </c>
      <c r="L2683" s="194" t="s">
        <v>461</v>
      </c>
      <c r="M2683" s="194" t="s">
        <v>5662</v>
      </c>
      <c r="N2683" s="194" t="s">
        <v>4944</v>
      </c>
      <c r="O2683" s="194" t="s">
        <v>4944</v>
      </c>
      <c r="P2683" s="190" t="s">
        <v>15800</v>
      </c>
      <c r="Q2683" s="194" t="s">
        <v>3947</v>
      </c>
      <c r="R2683" s="193" t="s">
        <v>6720</v>
      </c>
      <c r="S2683" s="357"/>
      <c r="T2683" s="190" t="s">
        <v>2611</v>
      </c>
      <c r="U2683" s="190"/>
      <c r="V2683" s="190"/>
      <c r="W2683" s="317" t="s">
        <v>15802</v>
      </c>
      <c r="X2683" s="649" t="s">
        <v>12526</v>
      </c>
      <c r="Y2683" s="357"/>
      <c r="Z2683" s="192"/>
      <c r="AA2683" s="192"/>
      <c r="AB2683" s="37">
        <f t="shared" ca="1" si="58"/>
        <v>0.97264477114782155</v>
      </c>
      <c r="AC2683" s="816"/>
      <c r="AD2683" s="817"/>
      <c r="AE2683" s="943"/>
      <c r="AF2683" s="924">
        <f>IF(X2683=X2682,AF2682,0)+IF(ISNUMBER(I2683),IF(I2683&lt;1,I2683,I2683*VLOOKUP(J2683,Summary!$H$2:$I$9,2)),VLOOKUP(J2683,Summary!$J$2:$K$9,2)*IF(ISNUMBER(H2683),H2683,1))</f>
        <v>0.2902777777777778</v>
      </c>
      <c r="AG2683" s="292">
        <v>2682</v>
      </c>
      <c r="AH2683" s="94"/>
      <c r="AI2683" s="94"/>
    </row>
    <row r="2684" spans="1:36" s="22" customFormat="1" ht="12" customHeight="1" x14ac:dyDescent="0.25">
      <c r="A2684" s="408" t="s">
        <v>10492</v>
      </c>
      <c r="B2684" s="408" t="s">
        <v>6146</v>
      </c>
      <c r="C2684" s="497">
        <v>7.04</v>
      </c>
      <c r="D2684" s="176" t="s">
        <v>2027</v>
      </c>
      <c r="E2684" s="313" t="s">
        <v>6726</v>
      </c>
      <c r="F2684" s="174">
        <v>39387</v>
      </c>
      <c r="G2684" s="174"/>
      <c r="H2684" s="176" t="s">
        <v>461</v>
      </c>
      <c r="I2684" s="176"/>
      <c r="J2684" s="900" t="s">
        <v>2755</v>
      </c>
      <c r="K2684" s="164" t="s">
        <v>5146</v>
      </c>
      <c r="L2684" s="164" t="s">
        <v>461</v>
      </c>
      <c r="M2684" s="164"/>
      <c r="N2684" s="164" t="s">
        <v>5222</v>
      </c>
      <c r="O2684" s="164"/>
      <c r="P2684" s="173" t="s">
        <v>6722</v>
      </c>
      <c r="Q2684" s="164" t="s">
        <v>3947</v>
      </c>
      <c r="R2684" s="177" t="s">
        <v>6720</v>
      </c>
      <c r="S2684" s="354"/>
      <c r="T2684" s="173" t="s">
        <v>2611</v>
      </c>
      <c r="U2684" s="173"/>
      <c r="V2684" s="173"/>
      <c r="W2684" s="313" t="s">
        <v>6726</v>
      </c>
      <c r="X2684" s="645" t="s">
        <v>12526</v>
      </c>
      <c r="Y2684" s="354"/>
      <c r="Z2684" s="176"/>
      <c r="AA2684" s="176"/>
      <c r="AB2684" s="32">
        <f t="shared" ca="1" si="58"/>
        <v>0.47061536004794147</v>
      </c>
      <c r="AC2684" s="812"/>
      <c r="AD2684" s="763"/>
      <c r="AE2684" s="807"/>
      <c r="AF2684" s="921">
        <f>IF(X2684=X2683,AF2683,0)+IF(ISNUMBER(I2684),IF(I2684&lt;1,I2684,I2684*VLOOKUP(J2684,Summary!$H$2:$I$9,2)),VLOOKUP(J2684,Summary!$J$2:$K$9,2)*IF(ISNUMBER(H2684),H2684,1))</f>
        <v>0.30763888888888891</v>
      </c>
      <c r="AG2684" s="289">
        <v>2683</v>
      </c>
      <c r="AH2684" s="94"/>
      <c r="AI2684" s="94"/>
    </row>
    <row r="2685" spans="1:36" s="1" customFormat="1" ht="12" customHeight="1" x14ac:dyDescent="0.25">
      <c r="A2685" s="408" t="s">
        <v>10492</v>
      </c>
      <c r="B2685" s="408" t="s">
        <v>6146</v>
      </c>
      <c r="C2685" s="497">
        <v>7.05</v>
      </c>
      <c r="D2685" s="176" t="s">
        <v>2028</v>
      </c>
      <c r="E2685" s="313" t="s">
        <v>6727</v>
      </c>
      <c r="F2685" s="174">
        <v>39387</v>
      </c>
      <c r="G2685" s="174"/>
      <c r="H2685" s="176" t="s">
        <v>461</v>
      </c>
      <c r="I2685" s="176"/>
      <c r="J2685" s="900" t="s">
        <v>2755</v>
      </c>
      <c r="K2685" s="164" t="s">
        <v>4996</v>
      </c>
      <c r="L2685" s="164" t="s">
        <v>461</v>
      </c>
      <c r="M2685" s="164"/>
      <c r="N2685" s="164" t="s">
        <v>5222</v>
      </c>
      <c r="O2685" s="164"/>
      <c r="P2685" s="173" t="s">
        <v>6722</v>
      </c>
      <c r="Q2685" s="164" t="s">
        <v>3947</v>
      </c>
      <c r="R2685" s="177" t="s">
        <v>6720</v>
      </c>
      <c r="S2685" s="354"/>
      <c r="T2685" s="173" t="s">
        <v>2611</v>
      </c>
      <c r="U2685" s="173"/>
      <c r="V2685" s="173"/>
      <c r="W2685" s="313" t="s">
        <v>6727</v>
      </c>
      <c r="X2685" s="645" t="s">
        <v>12526</v>
      </c>
      <c r="Y2685" s="354"/>
      <c r="Z2685" s="176"/>
      <c r="AA2685" s="176"/>
      <c r="AB2685" s="32">
        <f t="shared" ca="1" si="58"/>
        <v>0.75704557350681478</v>
      </c>
      <c r="AC2685" s="812"/>
      <c r="AD2685" s="763"/>
      <c r="AE2685" s="807"/>
      <c r="AF2685" s="921">
        <f>IF(X2685=X2684,AF2684,0)+IF(ISNUMBER(I2685),IF(I2685&lt;1,I2685,I2685*VLOOKUP(J2685,Summary!$H$2:$I$9,2)),VLOOKUP(J2685,Summary!$J$2:$K$9,2)*IF(ISNUMBER(H2685),H2685,1))</f>
        <v>0.32500000000000001</v>
      </c>
      <c r="AG2685" s="289">
        <v>2684</v>
      </c>
      <c r="AH2685" s="94"/>
      <c r="AI2685" s="94"/>
    </row>
    <row r="2686" spans="1:36" s="1" customFormat="1" ht="12" customHeight="1" x14ac:dyDescent="0.25">
      <c r="A2686" s="408" t="s">
        <v>10492</v>
      </c>
      <c r="B2686" s="408" t="s">
        <v>6146</v>
      </c>
      <c r="C2686" s="497">
        <v>7.06</v>
      </c>
      <c r="D2686" s="176" t="s">
        <v>2029</v>
      </c>
      <c r="E2686" s="313" t="s">
        <v>6728</v>
      </c>
      <c r="F2686" s="174">
        <v>39387</v>
      </c>
      <c r="G2686" s="174"/>
      <c r="H2686" s="176" t="s">
        <v>461</v>
      </c>
      <c r="I2686" s="176"/>
      <c r="J2686" s="900" t="s">
        <v>2755</v>
      </c>
      <c r="K2686" s="164" t="s">
        <v>1033</v>
      </c>
      <c r="L2686" s="164" t="s">
        <v>461</v>
      </c>
      <c r="M2686" s="164"/>
      <c r="N2686" s="164" t="s">
        <v>5222</v>
      </c>
      <c r="O2686" s="164"/>
      <c r="P2686" s="173" t="s">
        <v>6722</v>
      </c>
      <c r="Q2686" s="164" t="s">
        <v>3947</v>
      </c>
      <c r="R2686" s="177" t="s">
        <v>6720</v>
      </c>
      <c r="S2686" s="354"/>
      <c r="T2686" s="173" t="s">
        <v>2611</v>
      </c>
      <c r="U2686" s="173"/>
      <c r="V2686" s="173"/>
      <c r="W2686" s="313" t="s">
        <v>6728</v>
      </c>
      <c r="X2686" s="645" t="s">
        <v>12526</v>
      </c>
      <c r="Y2686" s="354"/>
      <c r="Z2686" s="176"/>
      <c r="AA2686" s="176"/>
      <c r="AB2686" s="32">
        <f t="shared" ca="1" si="58"/>
        <v>0.88276003123647595</v>
      </c>
      <c r="AC2686" s="812"/>
      <c r="AD2686" s="763"/>
      <c r="AE2686" s="807"/>
      <c r="AF2686" s="921">
        <f>IF(X2686=X2685,AF2685,0)+IF(ISNUMBER(I2686),IF(I2686&lt;1,I2686,I2686*VLOOKUP(J2686,Summary!$H$2:$I$9,2)),VLOOKUP(J2686,Summary!$J$2:$K$9,2)*IF(ISNUMBER(H2686),H2686,1))</f>
        <v>0.34236111111111112</v>
      </c>
      <c r="AG2686" s="289">
        <v>2685</v>
      </c>
      <c r="AH2686" s="94"/>
      <c r="AI2686" s="94"/>
    </row>
    <row r="2687" spans="1:36" s="22" customFormat="1" ht="12" customHeight="1" x14ac:dyDescent="0.25">
      <c r="A2687" s="408" t="s">
        <v>10492</v>
      </c>
      <c r="B2687" s="408" t="s">
        <v>6146</v>
      </c>
      <c r="C2687" s="497">
        <v>7.07</v>
      </c>
      <c r="D2687" s="176" t="s">
        <v>2030</v>
      </c>
      <c r="E2687" s="313" t="s">
        <v>6729</v>
      </c>
      <c r="F2687" s="174">
        <v>39387</v>
      </c>
      <c r="G2687" s="174"/>
      <c r="H2687" s="176" t="s">
        <v>461</v>
      </c>
      <c r="I2687" s="176"/>
      <c r="J2687" s="900" t="s">
        <v>2755</v>
      </c>
      <c r="K2687" s="164" t="s">
        <v>1930</v>
      </c>
      <c r="L2687" s="164" t="s">
        <v>461</v>
      </c>
      <c r="M2687" s="164"/>
      <c r="N2687" s="164" t="s">
        <v>5222</v>
      </c>
      <c r="O2687" s="164"/>
      <c r="P2687" s="173" t="s">
        <v>6722</v>
      </c>
      <c r="Q2687" s="164" t="s">
        <v>3947</v>
      </c>
      <c r="R2687" s="177" t="s">
        <v>6720</v>
      </c>
      <c r="S2687" s="354"/>
      <c r="T2687" s="173" t="s">
        <v>2611</v>
      </c>
      <c r="U2687" s="173"/>
      <c r="V2687" s="173"/>
      <c r="W2687" s="313" t="s">
        <v>6729</v>
      </c>
      <c r="X2687" s="645" t="s">
        <v>12526</v>
      </c>
      <c r="Y2687" s="354"/>
      <c r="Z2687" s="176"/>
      <c r="AA2687" s="176"/>
      <c r="AB2687" s="32">
        <f t="shared" ca="1" si="58"/>
        <v>0.66812823228336171</v>
      </c>
      <c r="AC2687" s="812"/>
      <c r="AD2687" s="763"/>
      <c r="AE2687" s="807"/>
      <c r="AF2687" s="921">
        <f>IF(X2687=X2686,AF2686,0)+IF(ISNUMBER(I2687),IF(I2687&lt;1,I2687,I2687*VLOOKUP(J2687,Summary!$H$2:$I$9,2)),VLOOKUP(J2687,Summary!$J$2:$K$9,2)*IF(ISNUMBER(H2687),H2687,1))</f>
        <v>0.35972222222222222</v>
      </c>
      <c r="AG2687" s="289">
        <v>2686</v>
      </c>
      <c r="AH2687" s="94"/>
      <c r="AI2687" s="94"/>
    </row>
    <row r="2688" spans="1:36" s="1" customFormat="1" ht="12" customHeight="1" x14ac:dyDescent="0.25">
      <c r="A2688" s="408" t="s">
        <v>10492</v>
      </c>
      <c r="B2688" s="408" t="s">
        <v>6146</v>
      </c>
      <c r="C2688" s="497">
        <v>7.08</v>
      </c>
      <c r="D2688" s="176" t="s">
        <v>2031</v>
      </c>
      <c r="E2688" s="313" t="s">
        <v>6730</v>
      </c>
      <c r="F2688" s="174">
        <v>39387</v>
      </c>
      <c r="G2688" s="174"/>
      <c r="H2688" s="176" t="s">
        <v>461</v>
      </c>
      <c r="I2688" s="176"/>
      <c r="J2688" s="900" t="s">
        <v>2755</v>
      </c>
      <c r="K2688" s="164" t="s">
        <v>6724</v>
      </c>
      <c r="L2688" s="164" t="s">
        <v>461</v>
      </c>
      <c r="M2688" s="164"/>
      <c r="N2688" s="164" t="s">
        <v>5222</v>
      </c>
      <c r="O2688" s="164"/>
      <c r="P2688" s="173" t="s">
        <v>6722</v>
      </c>
      <c r="Q2688" s="164" t="s">
        <v>3947</v>
      </c>
      <c r="R2688" s="177" t="s">
        <v>6720</v>
      </c>
      <c r="S2688" s="354"/>
      <c r="T2688" s="173" t="s">
        <v>2611</v>
      </c>
      <c r="U2688" s="173"/>
      <c r="V2688" s="173"/>
      <c r="W2688" s="313" t="s">
        <v>6730</v>
      </c>
      <c r="X2688" s="645" t="s">
        <v>12526</v>
      </c>
      <c r="Y2688" s="354"/>
      <c r="Z2688" s="176"/>
      <c r="AA2688" s="176"/>
      <c r="AB2688" s="32">
        <f t="shared" ca="1" si="58"/>
        <v>0.24386730332643747</v>
      </c>
      <c r="AC2688" s="812"/>
      <c r="AD2688" s="763"/>
      <c r="AE2688" s="807"/>
      <c r="AF2688" s="921">
        <f>IF(X2688=X2687,AF2687,0)+IF(ISNUMBER(I2688),IF(I2688&lt;1,I2688,I2688*VLOOKUP(J2688,Summary!$H$2:$I$9,2)),VLOOKUP(J2688,Summary!$J$2:$K$9,2)*IF(ISNUMBER(H2688),H2688,1))</f>
        <v>0.37708333333333333</v>
      </c>
      <c r="AG2688" s="289">
        <v>2687</v>
      </c>
      <c r="AH2688" s="94"/>
      <c r="AI2688" s="94"/>
      <c r="AJ2688" s="6"/>
    </row>
    <row r="2689" spans="1:36" s="2" customFormat="1" ht="12" customHeight="1" x14ac:dyDescent="0.25">
      <c r="A2689" s="478" t="s">
        <v>10492</v>
      </c>
      <c r="B2689" s="478" t="s">
        <v>6146</v>
      </c>
      <c r="C2689" s="726">
        <v>7.09</v>
      </c>
      <c r="D2689" s="192" t="s">
        <v>2032</v>
      </c>
      <c r="E2689" s="317" t="s">
        <v>6731</v>
      </c>
      <c r="F2689" s="191">
        <v>39387</v>
      </c>
      <c r="G2689" s="191"/>
      <c r="H2689" s="192" t="s">
        <v>461</v>
      </c>
      <c r="I2689" s="192"/>
      <c r="J2689" s="903" t="s">
        <v>2755</v>
      </c>
      <c r="K2689" s="194" t="s">
        <v>2939</v>
      </c>
      <c r="L2689" s="194" t="s">
        <v>461</v>
      </c>
      <c r="M2689" s="194" t="s">
        <v>5662</v>
      </c>
      <c r="N2689" s="194" t="s">
        <v>5222</v>
      </c>
      <c r="O2689" s="194"/>
      <c r="P2689" s="190" t="s">
        <v>6722</v>
      </c>
      <c r="Q2689" s="194" t="s">
        <v>3947</v>
      </c>
      <c r="R2689" s="193" t="s">
        <v>6720</v>
      </c>
      <c r="S2689" s="357"/>
      <c r="T2689" s="190" t="s">
        <v>2611</v>
      </c>
      <c r="U2689" s="190"/>
      <c r="V2689" s="190"/>
      <c r="W2689" s="317" t="s">
        <v>6731</v>
      </c>
      <c r="X2689" s="649" t="s">
        <v>12526</v>
      </c>
      <c r="Y2689" s="357"/>
      <c r="Z2689" s="192"/>
      <c r="AA2689" s="192"/>
      <c r="AB2689" s="37">
        <f t="shared" ca="1" si="58"/>
        <v>4.8208530905328506E-2</v>
      </c>
      <c r="AC2689" s="816"/>
      <c r="AD2689" s="817"/>
      <c r="AE2689" s="943"/>
      <c r="AF2689" s="924">
        <f>IF(X2689=X2688,AF2688,0)+IF(ISNUMBER(I2689),IF(I2689&lt;1,I2689,I2689*VLOOKUP(J2689,Summary!$H$2:$I$9,2)),VLOOKUP(J2689,Summary!$J$2:$K$9,2)*IF(ISNUMBER(H2689),H2689,1))</f>
        <v>0.39444444444444443</v>
      </c>
      <c r="AG2689" s="292">
        <v>2688</v>
      </c>
      <c r="AH2689" s="94"/>
      <c r="AI2689" s="94"/>
    </row>
    <row r="2690" spans="1:36" s="2" customFormat="1" ht="12" customHeight="1" x14ac:dyDescent="0.25">
      <c r="A2690" s="408" t="s">
        <v>10492</v>
      </c>
      <c r="B2690" s="408" t="s">
        <v>6146</v>
      </c>
      <c r="C2690" s="497">
        <v>7.1</v>
      </c>
      <c r="D2690" s="176" t="s">
        <v>2033</v>
      </c>
      <c r="E2690" s="313" t="s">
        <v>6732</v>
      </c>
      <c r="F2690" s="174">
        <v>39387</v>
      </c>
      <c r="G2690" s="174"/>
      <c r="H2690" s="176" t="s">
        <v>461</v>
      </c>
      <c r="I2690" s="176"/>
      <c r="J2690" s="900" t="s">
        <v>2755</v>
      </c>
      <c r="K2690" s="164" t="s">
        <v>6725</v>
      </c>
      <c r="L2690" s="164" t="s">
        <v>461</v>
      </c>
      <c r="M2690" s="164"/>
      <c r="N2690" s="164" t="s">
        <v>5222</v>
      </c>
      <c r="O2690" s="164"/>
      <c r="P2690" s="173" t="s">
        <v>6722</v>
      </c>
      <c r="Q2690" s="164" t="s">
        <v>3947</v>
      </c>
      <c r="R2690" s="177" t="s">
        <v>6720</v>
      </c>
      <c r="S2690" s="354"/>
      <c r="T2690" s="173" t="s">
        <v>2611</v>
      </c>
      <c r="U2690" s="173"/>
      <c r="V2690" s="173"/>
      <c r="W2690" s="313" t="s">
        <v>6732</v>
      </c>
      <c r="X2690" s="645" t="s">
        <v>12526</v>
      </c>
      <c r="Y2690" s="354"/>
      <c r="Z2690" s="176"/>
      <c r="AA2690" s="176"/>
      <c r="AB2690" s="32">
        <f t="shared" ref="AB2690:AB2753" ca="1" si="60">RAND()</f>
        <v>0.98294675574237489</v>
      </c>
      <c r="AC2690" s="812"/>
      <c r="AD2690" s="763"/>
      <c r="AE2690" s="807"/>
      <c r="AF2690" s="921">
        <f>IF(X2690=X2689,AF2689,0)+IF(ISNUMBER(I2690),IF(I2690&lt;1,I2690,I2690*VLOOKUP(J2690,Summary!$H$2:$I$9,2)),VLOOKUP(J2690,Summary!$J$2:$K$9,2)*IF(ISNUMBER(H2690),H2690,1))</f>
        <v>0.41180555555555554</v>
      </c>
      <c r="AG2690" s="289">
        <v>2689</v>
      </c>
      <c r="AH2690" s="94"/>
      <c r="AI2690" s="94"/>
    </row>
    <row r="2691" spans="1:36" s="3" customFormat="1" ht="12" customHeight="1" x14ac:dyDescent="0.25">
      <c r="A2691" s="408" t="s">
        <v>10492</v>
      </c>
      <c r="B2691" s="408" t="s">
        <v>6146</v>
      </c>
      <c r="C2691" s="497">
        <v>7.11</v>
      </c>
      <c r="D2691" s="176" t="s">
        <v>2034</v>
      </c>
      <c r="E2691" s="313" t="s">
        <v>6733</v>
      </c>
      <c r="F2691" s="174">
        <v>39387</v>
      </c>
      <c r="G2691" s="174"/>
      <c r="H2691" s="176" t="s">
        <v>461</v>
      </c>
      <c r="I2691" s="176"/>
      <c r="J2691" s="900" t="s">
        <v>2755</v>
      </c>
      <c r="K2691" s="164" t="s">
        <v>175</v>
      </c>
      <c r="L2691" s="164" t="s">
        <v>461</v>
      </c>
      <c r="M2691" s="164"/>
      <c r="N2691" s="164" t="s">
        <v>5222</v>
      </c>
      <c r="O2691" s="164"/>
      <c r="P2691" s="173" t="s">
        <v>6722</v>
      </c>
      <c r="Q2691" s="164" t="s">
        <v>3947</v>
      </c>
      <c r="R2691" s="177" t="s">
        <v>6720</v>
      </c>
      <c r="S2691" s="354"/>
      <c r="T2691" s="173" t="s">
        <v>2611</v>
      </c>
      <c r="U2691" s="173"/>
      <c r="V2691" s="173"/>
      <c r="W2691" s="313" t="s">
        <v>6733</v>
      </c>
      <c r="X2691" s="645" t="s">
        <v>12526</v>
      </c>
      <c r="Y2691" s="354"/>
      <c r="Z2691" s="176"/>
      <c r="AA2691" s="176"/>
      <c r="AB2691" s="32">
        <f t="shared" ca="1" si="60"/>
        <v>0.40494669548409412</v>
      </c>
      <c r="AC2691" s="812"/>
      <c r="AD2691" s="763"/>
      <c r="AE2691" s="807"/>
      <c r="AF2691" s="921">
        <f>IF(X2691=X2690,AF2690,0)+IF(ISNUMBER(I2691),IF(I2691&lt;1,I2691,I2691*VLOOKUP(J2691,Summary!$H$2:$I$9,2)),VLOOKUP(J2691,Summary!$J$2:$K$9,2)*IF(ISNUMBER(H2691),H2691,1))</f>
        <v>0.42916666666666664</v>
      </c>
      <c r="AG2691" s="289">
        <v>2690</v>
      </c>
      <c r="AH2691" s="94"/>
      <c r="AI2691" s="94"/>
    </row>
    <row r="2692" spans="1:36" s="3" customFormat="1" ht="12" customHeight="1" x14ac:dyDescent="0.25">
      <c r="A2692" s="408" t="s">
        <v>10492</v>
      </c>
      <c r="B2692" s="408" t="s">
        <v>6146</v>
      </c>
      <c r="C2692" s="497">
        <v>7.12</v>
      </c>
      <c r="D2692" s="176" t="s">
        <v>2035</v>
      </c>
      <c r="E2692" s="313" t="s">
        <v>6734</v>
      </c>
      <c r="F2692" s="174">
        <v>39387</v>
      </c>
      <c r="G2692" s="174"/>
      <c r="H2692" s="176" t="s">
        <v>461</v>
      </c>
      <c r="I2692" s="176"/>
      <c r="J2692" s="900" t="s">
        <v>2755</v>
      </c>
      <c r="K2692" s="164" t="s">
        <v>6353</v>
      </c>
      <c r="L2692" s="164" t="s">
        <v>461</v>
      </c>
      <c r="M2692" s="164"/>
      <c r="N2692" s="164" t="s">
        <v>5222</v>
      </c>
      <c r="O2692" s="164"/>
      <c r="P2692" s="173" t="s">
        <v>6722</v>
      </c>
      <c r="Q2692" s="164" t="s">
        <v>3947</v>
      </c>
      <c r="R2692" s="177" t="s">
        <v>6720</v>
      </c>
      <c r="S2692" s="354"/>
      <c r="T2692" s="173" t="s">
        <v>2611</v>
      </c>
      <c r="U2692" s="173"/>
      <c r="V2692" s="173"/>
      <c r="W2692" s="313" t="s">
        <v>6734</v>
      </c>
      <c r="X2692" s="645" t="s">
        <v>12526</v>
      </c>
      <c r="Y2692" s="354"/>
      <c r="Z2692" s="176"/>
      <c r="AA2692" s="176"/>
      <c r="AB2692" s="32">
        <f t="shared" ca="1" si="60"/>
        <v>0.54788945490779539</v>
      </c>
      <c r="AC2692" s="812"/>
      <c r="AD2692" s="763"/>
      <c r="AE2692" s="807"/>
      <c r="AF2692" s="921">
        <f>IF(X2692=X2691,AF2691,0)+IF(ISNUMBER(I2692),IF(I2692&lt;1,I2692,I2692*VLOOKUP(J2692,Summary!$H$2:$I$9,2)),VLOOKUP(J2692,Summary!$J$2:$K$9,2)*IF(ISNUMBER(H2692),H2692,1))</f>
        <v>0.44652777777777775</v>
      </c>
      <c r="AG2692" s="289">
        <v>2691</v>
      </c>
      <c r="AH2692" s="94"/>
      <c r="AI2692" s="94"/>
    </row>
    <row r="2693" spans="1:36" s="22" customFormat="1" ht="12" customHeight="1" x14ac:dyDescent="0.25">
      <c r="A2693" s="408" t="s">
        <v>10492</v>
      </c>
      <c r="B2693" s="440" t="s">
        <v>6146</v>
      </c>
      <c r="C2693" s="408">
        <v>30</v>
      </c>
      <c r="D2693" s="176" t="s">
        <v>14146</v>
      </c>
      <c r="E2693" s="313" t="s">
        <v>14147</v>
      </c>
      <c r="F2693" s="175">
        <v>34802</v>
      </c>
      <c r="G2693" s="174"/>
      <c r="H2693" s="176">
        <v>1</v>
      </c>
      <c r="I2693" s="176">
        <v>2</v>
      </c>
      <c r="J2693" s="900" t="s">
        <v>2755</v>
      </c>
      <c r="K2693" s="164" t="s">
        <v>6234</v>
      </c>
      <c r="L2693" s="164" t="s">
        <v>10253</v>
      </c>
      <c r="M2693" s="164"/>
      <c r="N2693" s="164" t="s">
        <v>2750</v>
      </c>
      <c r="O2693" s="164"/>
      <c r="P2693" s="173" t="s">
        <v>461</v>
      </c>
      <c r="Q2693" s="164" t="s">
        <v>4062</v>
      </c>
      <c r="R2693" s="177" t="s">
        <v>14089</v>
      </c>
      <c r="S2693" s="354"/>
      <c r="T2693" s="173" t="s">
        <v>2611</v>
      </c>
      <c r="U2693" s="173"/>
      <c r="V2693" s="173"/>
      <c r="W2693" s="313" t="s">
        <v>14147</v>
      </c>
      <c r="X2693" s="645" t="s">
        <v>12526</v>
      </c>
      <c r="Y2693" s="354"/>
      <c r="Z2693" s="176"/>
      <c r="AA2693" s="176"/>
      <c r="AB2693" s="32">
        <f t="shared" ca="1" si="60"/>
        <v>0.62763388452736579</v>
      </c>
      <c r="AC2693" s="812"/>
      <c r="AD2693" s="763"/>
      <c r="AE2693" s="807"/>
      <c r="AF2693" s="921">
        <f>IF(X2693=X2692,AF2692,0)+IF(ISNUMBER(I2693),IF(I2693&lt;1,I2693,I2693*VLOOKUP(J2693,Summary!$H$2:$I$9,2)),VLOOKUP(J2693,Summary!$J$2:$K$9,2)*IF(ISNUMBER(H2693),H2693,1))</f>
        <v>0.44791666666666663</v>
      </c>
      <c r="AG2693" s="289">
        <v>2692</v>
      </c>
      <c r="AH2693" s="94"/>
      <c r="AI2693" s="94"/>
    </row>
    <row r="2694" spans="1:36" s="22" customFormat="1" ht="12" customHeight="1" x14ac:dyDescent="0.25">
      <c r="A2694" s="408" t="s">
        <v>5568</v>
      </c>
      <c r="B2694" s="408" t="s">
        <v>2650</v>
      </c>
      <c r="C2694" s="408">
        <v>2</v>
      </c>
      <c r="D2694" s="176" t="s">
        <v>14087</v>
      </c>
      <c r="E2694" s="313" t="s">
        <v>14091</v>
      </c>
      <c r="F2694" s="175">
        <v>33878</v>
      </c>
      <c r="G2694" s="174"/>
      <c r="H2694" s="176">
        <v>1</v>
      </c>
      <c r="I2694" s="176">
        <v>2</v>
      </c>
      <c r="J2694" s="900" t="s">
        <v>2755</v>
      </c>
      <c r="K2694" s="164" t="s">
        <v>3807</v>
      </c>
      <c r="L2694" s="164" t="s">
        <v>10253</v>
      </c>
      <c r="M2694" s="164"/>
      <c r="N2694" s="164" t="s">
        <v>7375</v>
      </c>
      <c r="O2694" s="164"/>
      <c r="P2694" s="173" t="s">
        <v>461</v>
      </c>
      <c r="Q2694" s="164" t="s">
        <v>4062</v>
      </c>
      <c r="R2694" s="177" t="s">
        <v>14089</v>
      </c>
      <c r="S2694" s="354"/>
      <c r="T2694" s="173" t="s">
        <v>2611</v>
      </c>
      <c r="U2694" s="173"/>
      <c r="V2694" s="173"/>
      <c r="W2694" s="313" t="s">
        <v>14091</v>
      </c>
      <c r="X2694" s="645" t="s">
        <v>12512</v>
      </c>
      <c r="Y2694" s="354"/>
      <c r="Z2694" s="176"/>
      <c r="AA2694" s="176"/>
      <c r="AB2694" s="32">
        <f t="shared" ca="1" si="60"/>
        <v>0.48709892946544942</v>
      </c>
      <c r="AC2694" s="812"/>
      <c r="AD2694" s="763"/>
      <c r="AE2694" s="807"/>
      <c r="AF2694" s="921">
        <f>IF(X2694=X2693,AF2693,0)+IF(ISNUMBER(I2694),IF(I2694&lt;1,I2694,I2694*VLOOKUP(J2694,Summary!$H$2:$I$9,2)),VLOOKUP(J2694,Summary!$J$2:$K$9,2)*IF(ISNUMBER(H2694),H2694,1))</f>
        <v>1.3888888888888889E-3</v>
      </c>
      <c r="AG2694" s="289">
        <v>2693</v>
      </c>
      <c r="AH2694" s="94"/>
      <c r="AI2694" s="94"/>
    </row>
    <row r="2695" spans="1:36" s="2" customFormat="1" ht="12" customHeight="1" x14ac:dyDescent="0.25">
      <c r="A2695" s="541" t="s">
        <v>1201</v>
      </c>
      <c r="B2695" s="541">
        <v>7</v>
      </c>
      <c r="C2695" s="541">
        <v>2</v>
      </c>
      <c r="D2695" s="407" t="s">
        <v>11458</v>
      </c>
      <c r="E2695" s="315" t="s">
        <v>305</v>
      </c>
      <c r="F2695" s="196">
        <v>41206</v>
      </c>
      <c r="G2695" s="170"/>
      <c r="H2695" s="170">
        <v>2</v>
      </c>
      <c r="I2695" s="746">
        <f>TIME(2,22,46)</f>
        <v>9.9143518518518506E-2</v>
      </c>
      <c r="J2695" s="899" t="s">
        <v>4706</v>
      </c>
      <c r="K2695" s="167" t="s">
        <v>3722</v>
      </c>
      <c r="L2695" s="167" t="s">
        <v>7375</v>
      </c>
      <c r="M2695" s="167"/>
      <c r="N2695" s="167"/>
      <c r="O2695" s="167"/>
      <c r="P2695" s="168" t="s">
        <v>8528</v>
      </c>
      <c r="Q2695" s="167" t="s">
        <v>3947</v>
      </c>
      <c r="R2695" s="172" t="s">
        <v>9690</v>
      </c>
      <c r="S2695" s="388" t="s">
        <v>2542</v>
      </c>
      <c r="T2695" s="168" t="s">
        <v>2611</v>
      </c>
      <c r="U2695" s="168"/>
      <c r="V2695" s="168"/>
      <c r="W2695" s="312" t="s">
        <v>9689</v>
      </c>
      <c r="X2695" s="644" t="s">
        <v>12512</v>
      </c>
      <c r="Y2695" s="352" t="s">
        <v>5643</v>
      </c>
      <c r="Z2695" s="353">
        <v>214</v>
      </c>
      <c r="AA2695" s="353">
        <v>6</v>
      </c>
      <c r="AB2695" s="31">
        <f t="shared" ca="1" si="60"/>
        <v>0.78176525597312807</v>
      </c>
      <c r="AC2695" s="810"/>
      <c r="AD2695" s="811" t="s">
        <v>16250</v>
      </c>
      <c r="AE2695" s="940"/>
      <c r="AF2695" s="920">
        <f>IF(X2695=X2694,AF2694,0)+IF(ISNUMBER(I2695),IF(I2695&lt;1,I2695,I2695*VLOOKUP(J2695,Summary!$H$2:$I$9,2)),VLOOKUP(J2695,Summary!$J$2:$K$9,2)*IF(ISNUMBER(H2695),H2695,1))</f>
        <v>0.10053240740740739</v>
      </c>
      <c r="AG2695" s="287">
        <v>2694</v>
      </c>
      <c r="AH2695" s="94"/>
      <c r="AI2695" s="94"/>
      <c r="AJ2695" s="43"/>
    </row>
    <row r="2696" spans="1:36" s="22" customFormat="1" ht="12" customHeight="1" x14ac:dyDescent="0.25">
      <c r="A2696" s="550" t="s">
        <v>1201</v>
      </c>
      <c r="B2696" s="550">
        <v>7</v>
      </c>
      <c r="C2696" s="550">
        <v>9</v>
      </c>
      <c r="D2696" s="417" t="s">
        <v>304</v>
      </c>
      <c r="E2696" s="316" t="s">
        <v>305</v>
      </c>
      <c r="F2696" s="195">
        <v>33892</v>
      </c>
      <c r="G2696" s="188"/>
      <c r="H2696" s="188" t="str">
        <f>IF(J2696="Book","n/a","")</f>
        <v>n/a</v>
      </c>
      <c r="I2696" s="188">
        <v>235</v>
      </c>
      <c r="J2696" s="902" t="s">
        <v>6868</v>
      </c>
      <c r="K2696" s="162" t="s">
        <v>3807</v>
      </c>
      <c r="L2696" s="162" t="str">
        <f>IF(J2696="Book","n/a","")</f>
        <v>n/a</v>
      </c>
      <c r="M2696" s="162"/>
      <c r="N2696" s="162"/>
      <c r="O2696" s="162"/>
      <c r="P2696" s="178" t="s">
        <v>8772</v>
      </c>
      <c r="Q2696" s="162" t="s">
        <v>601</v>
      </c>
      <c r="R2696" s="189" t="s">
        <v>2716</v>
      </c>
      <c r="S2696" s="366" t="s">
        <v>2542</v>
      </c>
      <c r="T2696" s="178" t="s">
        <v>2611</v>
      </c>
      <c r="U2696" s="178"/>
      <c r="V2696" s="178"/>
      <c r="W2696" s="316" t="s">
        <v>305</v>
      </c>
      <c r="X2696" s="648" t="s">
        <v>12512</v>
      </c>
      <c r="Y2696" s="356" t="s">
        <v>575</v>
      </c>
      <c r="Z2696" s="272">
        <v>31</v>
      </c>
      <c r="AA2696" s="272">
        <v>8</v>
      </c>
      <c r="AB2696" s="34">
        <f t="shared" ca="1" si="60"/>
        <v>0.11772419196104933</v>
      </c>
      <c r="AC2696" s="814"/>
      <c r="AD2696" s="815" t="s">
        <v>16250</v>
      </c>
      <c r="AE2696" s="942"/>
      <c r="AF2696" s="923">
        <f>IF(X2696=X2695,AF2695,0)+IF(ISNUMBER(I2696),IF(I2696&lt;1,I2696,I2696*VLOOKUP(J2696,Summary!$H$2:$I$9,2)),VLOOKUP(J2696,Summary!$J$2:$K$9,2)*IF(ISNUMBER(H2696),H2696,1))</f>
        <v>0.26372685185185185</v>
      </c>
      <c r="AG2696" s="291">
        <v>2695</v>
      </c>
      <c r="AH2696" s="94"/>
      <c r="AI2696" s="94"/>
    </row>
    <row r="2697" spans="1:36" s="22" customFormat="1" ht="12" customHeight="1" x14ac:dyDescent="0.2">
      <c r="A2697" s="543" t="s">
        <v>1201</v>
      </c>
      <c r="B2697" s="543">
        <v>7</v>
      </c>
      <c r="C2697" s="549">
        <v>64</v>
      </c>
      <c r="D2697" s="185" t="s">
        <v>3386</v>
      </c>
      <c r="E2697" s="314" t="s">
        <v>655</v>
      </c>
      <c r="F2697" s="183">
        <v>33909</v>
      </c>
      <c r="G2697" s="183">
        <v>34001</v>
      </c>
      <c r="H2697" s="185">
        <v>4</v>
      </c>
      <c r="I2697" s="185">
        <v>28</v>
      </c>
      <c r="J2697" s="901" t="s">
        <v>1796</v>
      </c>
      <c r="K2697" s="163" t="s">
        <v>4132</v>
      </c>
      <c r="L2697" s="163" t="s">
        <v>553</v>
      </c>
      <c r="M2697" s="163"/>
      <c r="N2697" s="163" t="s">
        <v>561</v>
      </c>
      <c r="O2697" s="163"/>
      <c r="P2697" s="182" t="s">
        <v>461</v>
      </c>
      <c r="Q2697" s="163" t="s">
        <v>4062</v>
      </c>
      <c r="R2697" s="186" t="s">
        <v>5266</v>
      </c>
      <c r="S2697" s="355"/>
      <c r="T2697" s="182" t="s">
        <v>2611</v>
      </c>
      <c r="U2697" s="182"/>
      <c r="V2697" s="182"/>
      <c r="W2697" s="314"/>
      <c r="X2697" s="646" t="s">
        <v>12512</v>
      </c>
      <c r="Y2697" s="355"/>
      <c r="Z2697" s="185"/>
      <c r="AA2697" s="185"/>
      <c r="AB2697" s="33">
        <f t="shared" ca="1" si="60"/>
        <v>0.90913302417744501</v>
      </c>
      <c r="AC2697" s="813"/>
      <c r="AD2697" s="211" t="s">
        <v>16243</v>
      </c>
      <c r="AE2697" s="941" t="s">
        <v>12543</v>
      </c>
      <c r="AF2697" s="922">
        <f>IF(X2697=X2696,AF2696,0)+IF(ISNUMBER(I2697),IF(I2697&lt;1,I2697,I2697*VLOOKUP(J2697,Summary!$H$2:$I$9,2)),VLOOKUP(J2697,Summary!$J$2:$K$9,2)*IF(ISNUMBER(H2697),H2697,1))</f>
        <v>0.27344907407407409</v>
      </c>
      <c r="AG2697" s="290">
        <v>2696</v>
      </c>
      <c r="AH2697" s="94"/>
      <c r="AI2697" s="94"/>
    </row>
    <row r="2698" spans="1:36" s="22" customFormat="1" ht="12" customHeight="1" x14ac:dyDescent="0.25">
      <c r="A2698" s="408" t="s">
        <v>1201</v>
      </c>
      <c r="B2698" s="408" t="s">
        <v>2650</v>
      </c>
      <c r="C2698" s="408">
        <v>3</v>
      </c>
      <c r="D2698" s="176" t="s">
        <v>14092</v>
      </c>
      <c r="E2698" s="313" t="s">
        <v>14093</v>
      </c>
      <c r="F2698" s="175">
        <v>33962</v>
      </c>
      <c r="G2698" s="174"/>
      <c r="H2698" s="176">
        <v>1</v>
      </c>
      <c r="I2698" s="176">
        <v>1</v>
      </c>
      <c r="J2698" s="900" t="s">
        <v>2755</v>
      </c>
      <c r="K2698" s="164" t="s">
        <v>4732</v>
      </c>
      <c r="L2698" s="164" t="s">
        <v>461</v>
      </c>
      <c r="M2698" s="164"/>
      <c r="N2698" s="164" t="s">
        <v>7375</v>
      </c>
      <c r="O2698" s="164"/>
      <c r="P2698" s="173" t="s">
        <v>461</v>
      </c>
      <c r="Q2698" s="164" t="s">
        <v>4062</v>
      </c>
      <c r="R2698" s="177" t="s">
        <v>14089</v>
      </c>
      <c r="S2698" s="354"/>
      <c r="T2698" s="173"/>
      <c r="U2698" s="173"/>
      <c r="V2698" s="173"/>
      <c r="W2698" s="313" t="s">
        <v>14093</v>
      </c>
      <c r="X2698" s="645" t="s">
        <v>12472</v>
      </c>
      <c r="Y2698" s="354"/>
      <c r="Z2698" s="176"/>
      <c r="AA2698" s="176"/>
      <c r="AB2698" s="32">
        <f t="shared" ca="1" si="60"/>
        <v>7.8720456125479732E-2</v>
      </c>
      <c r="AC2698" s="812"/>
      <c r="AD2698" s="763"/>
      <c r="AE2698" s="807"/>
      <c r="AF2698" s="921">
        <f>IF(X2698=X2697,AF2697,0)+IF(ISNUMBER(I2698),IF(I2698&lt;1,I2698,I2698*VLOOKUP(J2698,Summary!$H$2:$I$9,2)),VLOOKUP(J2698,Summary!$J$2:$K$9,2)*IF(ISNUMBER(H2698),H2698,1))</f>
        <v>6.9444444444444447E-4</v>
      </c>
      <c r="AG2698" s="289">
        <v>2697</v>
      </c>
      <c r="AH2698" s="94"/>
      <c r="AI2698" s="94"/>
    </row>
    <row r="2699" spans="1:36" s="3" customFormat="1" ht="12" customHeight="1" x14ac:dyDescent="0.25">
      <c r="A2699" s="550" t="s">
        <v>1201</v>
      </c>
      <c r="B2699" s="550">
        <v>7</v>
      </c>
      <c r="C2699" s="550">
        <v>10</v>
      </c>
      <c r="D2699" s="417" t="s">
        <v>306</v>
      </c>
      <c r="E2699" s="316" t="s">
        <v>307</v>
      </c>
      <c r="F2699" s="195">
        <v>33819</v>
      </c>
      <c r="G2699" s="188"/>
      <c r="H2699" s="188">
        <v>2</v>
      </c>
      <c r="I2699" s="188">
        <v>264</v>
      </c>
      <c r="J2699" s="902" t="s">
        <v>6868</v>
      </c>
      <c r="K2699" s="162" t="s">
        <v>4732</v>
      </c>
      <c r="L2699" s="162" t="str">
        <f>IF(J2699="Book","n/a","")</f>
        <v>n/a</v>
      </c>
      <c r="M2699" s="162"/>
      <c r="N2699" s="162"/>
      <c r="O2699" s="162"/>
      <c r="P2699" s="178" t="s">
        <v>8773</v>
      </c>
      <c r="Q2699" s="162" t="s">
        <v>601</v>
      </c>
      <c r="R2699" s="189" t="s">
        <v>2716</v>
      </c>
      <c r="S2699" s="366"/>
      <c r="T2699" s="178" t="s">
        <v>2611</v>
      </c>
      <c r="U2699" s="178"/>
      <c r="V2699" s="178"/>
      <c r="W2699" s="316"/>
      <c r="X2699" s="648" t="s">
        <v>12512</v>
      </c>
      <c r="Y2699" s="356"/>
      <c r="Z2699" s="885">
        <v>73</v>
      </c>
      <c r="AA2699" s="272">
        <v>6</v>
      </c>
      <c r="AB2699" s="34">
        <f t="shared" ca="1" si="60"/>
        <v>0.22001030099243069</v>
      </c>
      <c r="AC2699" s="814"/>
      <c r="AD2699" s="815" t="s">
        <v>16117</v>
      </c>
      <c r="AE2699" s="942" t="s">
        <v>12543</v>
      </c>
      <c r="AF2699" s="923">
        <f>IF(X2699=X2698,AF2698,0)+IF(ISNUMBER(I2699),IF(I2699&lt;1,I2699,I2699*VLOOKUP(J2699,Summary!$H$2:$I$9,2)),VLOOKUP(J2699,Summary!$J$2:$K$9,2)*IF(ISNUMBER(H2699),H2699,1))</f>
        <v>0.18333333333333335</v>
      </c>
      <c r="AG2699" s="291">
        <v>2698</v>
      </c>
      <c r="AH2699" s="94"/>
      <c r="AI2699" s="94"/>
    </row>
    <row r="2700" spans="1:36" s="27" customFormat="1" ht="12" customHeight="1" x14ac:dyDescent="0.25">
      <c r="A2700" s="543" t="s">
        <v>1201</v>
      </c>
      <c r="B2700" s="543">
        <v>7</v>
      </c>
      <c r="C2700" s="549"/>
      <c r="D2700" s="185" t="s">
        <v>3398</v>
      </c>
      <c r="E2700" s="314" t="s">
        <v>1492</v>
      </c>
      <c r="F2700" s="183">
        <v>33909</v>
      </c>
      <c r="G2700" s="183"/>
      <c r="H2700" s="185">
        <v>1</v>
      </c>
      <c r="I2700" s="185">
        <v>8</v>
      </c>
      <c r="J2700" s="901" t="s">
        <v>1796</v>
      </c>
      <c r="K2700" s="163" t="s">
        <v>552</v>
      </c>
      <c r="L2700" s="163" t="s">
        <v>2866</v>
      </c>
      <c r="M2700" s="163"/>
      <c r="N2700" s="163" t="s">
        <v>7375</v>
      </c>
      <c r="O2700" s="163"/>
      <c r="P2700" s="182" t="s">
        <v>461</v>
      </c>
      <c r="Q2700" s="163" t="s">
        <v>4062</v>
      </c>
      <c r="R2700" s="186" t="s">
        <v>5266</v>
      </c>
      <c r="S2700" s="355" t="s">
        <v>2542</v>
      </c>
      <c r="T2700" s="182" t="s">
        <v>2611</v>
      </c>
      <c r="U2700" s="182"/>
      <c r="V2700" s="182"/>
      <c r="W2700" s="314" t="s">
        <v>1492</v>
      </c>
      <c r="X2700" s="646" t="s">
        <v>12512</v>
      </c>
      <c r="Y2700" s="355"/>
      <c r="Z2700" s="220"/>
      <c r="AA2700" s="185"/>
      <c r="AB2700" s="33">
        <f t="shared" ca="1" si="60"/>
        <v>0.25708329827699794</v>
      </c>
      <c r="AC2700" s="813"/>
      <c r="AD2700" s="211"/>
      <c r="AE2700" s="941"/>
      <c r="AF2700" s="922">
        <f>IF(X2700=X2699,AF2699,0)+IF(ISNUMBER(I2700),IF(I2700&lt;1,I2700,I2700*VLOOKUP(J2700,Summary!$H$2:$I$9,2)),VLOOKUP(J2700,Summary!$J$2:$K$9,2)*IF(ISNUMBER(H2700),H2700,1))</f>
        <v>0.18611111111111112</v>
      </c>
      <c r="AG2700" s="290">
        <v>2699</v>
      </c>
      <c r="AH2700" s="94"/>
      <c r="AI2700" s="94"/>
    </row>
    <row r="2701" spans="1:36" s="22" customFormat="1" ht="12" customHeight="1" x14ac:dyDescent="0.25">
      <c r="A2701" s="539" t="s">
        <v>1201</v>
      </c>
      <c r="B2701" s="539">
        <v>7</v>
      </c>
      <c r="C2701" s="540">
        <v>4</v>
      </c>
      <c r="D2701" s="176" t="s">
        <v>14096</v>
      </c>
      <c r="E2701" s="313" t="s">
        <v>14094</v>
      </c>
      <c r="F2701" s="175">
        <v>33990</v>
      </c>
      <c r="G2701" s="174"/>
      <c r="H2701" s="176">
        <v>1</v>
      </c>
      <c r="I2701" s="176">
        <v>2</v>
      </c>
      <c r="J2701" s="900" t="s">
        <v>2755</v>
      </c>
      <c r="K2701" s="164" t="s">
        <v>3451</v>
      </c>
      <c r="L2701" s="164" t="s">
        <v>10253</v>
      </c>
      <c r="M2701" s="164"/>
      <c r="N2701" s="164" t="s">
        <v>7375</v>
      </c>
      <c r="O2701" s="164"/>
      <c r="P2701" s="173" t="s">
        <v>461</v>
      </c>
      <c r="Q2701" s="164" t="s">
        <v>4062</v>
      </c>
      <c r="R2701" s="177" t="s">
        <v>14089</v>
      </c>
      <c r="S2701" s="354"/>
      <c r="T2701" s="173" t="s">
        <v>2611</v>
      </c>
      <c r="U2701" s="173"/>
      <c r="V2701" s="173"/>
      <c r="W2701" s="313" t="s">
        <v>14094</v>
      </c>
      <c r="X2701" s="645" t="s">
        <v>12512</v>
      </c>
      <c r="Y2701" s="354"/>
      <c r="Z2701" s="176"/>
      <c r="AA2701" s="176"/>
      <c r="AB2701" s="32">
        <f t="shared" ca="1" si="60"/>
        <v>0.56939556945860592</v>
      </c>
      <c r="AC2701" s="812"/>
      <c r="AD2701" s="763"/>
      <c r="AE2701" s="807"/>
      <c r="AF2701" s="921">
        <f>IF(X2701=X2700,AF2700,0)+IF(ISNUMBER(I2701),IF(I2701&lt;1,I2701,I2701*VLOOKUP(J2701,Summary!$H$2:$I$9,2)),VLOOKUP(J2701,Summary!$J$2:$K$9,2)*IF(ISNUMBER(H2701),H2701,1))</f>
        <v>0.1875</v>
      </c>
      <c r="AG2701" s="289">
        <v>2700</v>
      </c>
      <c r="AH2701" s="94"/>
      <c r="AI2701" s="94"/>
    </row>
    <row r="2702" spans="1:36" s="22" customFormat="1" ht="12" customHeight="1" x14ac:dyDescent="0.2">
      <c r="A2702" s="541" t="s">
        <v>1201</v>
      </c>
      <c r="B2702" s="541">
        <v>7</v>
      </c>
      <c r="C2702" s="541">
        <v>2</v>
      </c>
      <c r="D2702" s="407" t="s">
        <v>11459</v>
      </c>
      <c r="E2702" s="315" t="s">
        <v>309</v>
      </c>
      <c r="F2702" s="196">
        <v>41985</v>
      </c>
      <c r="G2702" s="170"/>
      <c r="H2702" s="170">
        <v>4</v>
      </c>
      <c r="I2702" s="746">
        <f>TIME(2,16,32)</f>
        <v>9.481481481481481E-2</v>
      </c>
      <c r="J2702" s="899" t="s">
        <v>4706</v>
      </c>
      <c r="K2702" s="167" t="s">
        <v>9692</v>
      </c>
      <c r="L2702" s="167" t="s">
        <v>179</v>
      </c>
      <c r="M2702" s="167"/>
      <c r="N2702" s="167"/>
      <c r="O2702" s="167"/>
      <c r="P2702" s="168" t="s">
        <v>9693</v>
      </c>
      <c r="Q2702" s="167" t="s">
        <v>3947</v>
      </c>
      <c r="R2702" s="172" t="s">
        <v>9690</v>
      </c>
      <c r="S2702" s="388"/>
      <c r="T2702" s="168" t="s">
        <v>2611</v>
      </c>
      <c r="U2702" s="168"/>
      <c r="V2702" s="168"/>
      <c r="W2702" s="312"/>
      <c r="X2702" s="644" t="s">
        <v>12512</v>
      </c>
      <c r="Y2702" s="352" t="s">
        <v>5643</v>
      </c>
      <c r="Z2702" s="353"/>
      <c r="AA2702" s="353"/>
      <c r="AB2702" s="31">
        <f t="shared" ca="1" si="60"/>
        <v>0.61111263494341006</v>
      </c>
      <c r="AC2702" s="810"/>
      <c r="AD2702" s="811" t="s">
        <v>16304</v>
      </c>
      <c r="AE2702" s="940"/>
      <c r="AF2702" s="920">
        <f>IF(X2702=X2701,AF2701,0)+IF(ISNUMBER(I2702),IF(I2702&lt;1,I2702,I2702*VLOOKUP(J2702,Summary!$H$2:$I$9,2)),VLOOKUP(J2702,Summary!$J$2:$K$9,2)*IF(ISNUMBER(H2702),H2702,1))</f>
        <v>0.2823148148148148</v>
      </c>
      <c r="AG2702" s="287">
        <v>2701</v>
      </c>
      <c r="AH2702" s="94"/>
      <c r="AI2702" s="94"/>
    </row>
    <row r="2703" spans="1:36" s="780" customFormat="1" ht="12" customHeight="1" x14ac:dyDescent="0.25">
      <c r="A2703" s="550" t="s">
        <v>1201</v>
      </c>
      <c r="B2703" s="550">
        <v>7</v>
      </c>
      <c r="C2703" s="550">
        <v>11</v>
      </c>
      <c r="D2703" s="417" t="s">
        <v>308</v>
      </c>
      <c r="E2703" s="316" t="s">
        <v>309</v>
      </c>
      <c r="F2703" s="195">
        <v>34018</v>
      </c>
      <c r="G2703" s="188"/>
      <c r="H2703" s="188" t="str">
        <f>IF(J2703="Book","n/a","")</f>
        <v>n/a</v>
      </c>
      <c r="I2703" s="188">
        <v>258</v>
      </c>
      <c r="J2703" s="902" t="s">
        <v>6868</v>
      </c>
      <c r="K2703" s="162" t="s">
        <v>3451</v>
      </c>
      <c r="L2703" s="162" t="str">
        <f>IF(J2703="Book","n/a","")</f>
        <v>n/a</v>
      </c>
      <c r="M2703" s="162"/>
      <c r="N2703" s="162"/>
      <c r="O2703" s="162"/>
      <c r="P2703" s="178" t="s">
        <v>8774</v>
      </c>
      <c r="Q2703" s="162" t="s">
        <v>601</v>
      </c>
      <c r="R2703" s="189" t="s">
        <v>2716</v>
      </c>
      <c r="S2703" s="366"/>
      <c r="T2703" s="178" t="s">
        <v>2611</v>
      </c>
      <c r="U2703" s="178"/>
      <c r="V2703" s="178"/>
      <c r="W2703" s="316" t="s">
        <v>309</v>
      </c>
      <c r="X2703" s="648" t="s">
        <v>12512</v>
      </c>
      <c r="Y2703" s="356"/>
      <c r="Z2703" s="885">
        <v>93</v>
      </c>
      <c r="AA2703" s="272">
        <v>5.5</v>
      </c>
      <c r="AB2703" s="34">
        <f t="shared" ca="1" si="60"/>
        <v>9.22831249967907E-2</v>
      </c>
      <c r="AC2703" s="814"/>
      <c r="AD2703" s="815" t="s">
        <v>16304</v>
      </c>
      <c r="AE2703" s="942"/>
      <c r="AF2703" s="923">
        <f>IF(X2703=X2702,AF2702,0)+IF(ISNUMBER(I2703),IF(I2703&lt;1,I2703,I2703*VLOOKUP(J2703,Summary!$H$2:$I$9,2)),VLOOKUP(J2703,Summary!$J$2:$K$9,2)*IF(ISNUMBER(H2703),H2703,1))</f>
        <v>0.46148148148148149</v>
      </c>
      <c r="AG2703" s="291">
        <v>2702</v>
      </c>
      <c r="AH2703" s="122"/>
      <c r="AI2703" s="122"/>
    </row>
    <row r="2704" spans="1:36" s="3" customFormat="1" ht="12" customHeight="1" x14ac:dyDescent="0.25">
      <c r="A2704" s="539" t="s">
        <v>1201</v>
      </c>
      <c r="B2704" s="539">
        <v>7</v>
      </c>
      <c r="C2704" s="540">
        <v>9</v>
      </c>
      <c r="D2704" s="176" t="s">
        <v>5543</v>
      </c>
      <c r="E2704" s="313" t="s">
        <v>5542</v>
      </c>
      <c r="F2704" s="175">
        <v>33513</v>
      </c>
      <c r="G2704" s="176"/>
      <c r="H2704" s="176">
        <v>1</v>
      </c>
      <c r="I2704" s="176">
        <v>1</v>
      </c>
      <c r="J2704" s="900" t="s">
        <v>2755</v>
      </c>
      <c r="K2704" s="164" t="s">
        <v>188</v>
      </c>
      <c r="L2704" s="164" t="s">
        <v>461</v>
      </c>
      <c r="M2704" s="164"/>
      <c r="N2704" s="164" t="s">
        <v>561</v>
      </c>
      <c r="O2704" s="164"/>
      <c r="P2704" s="173" t="s">
        <v>461</v>
      </c>
      <c r="Q2704" s="164" t="s">
        <v>4062</v>
      </c>
      <c r="R2704" s="177" t="s">
        <v>4599</v>
      </c>
      <c r="S2704" s="354"/>
      <c r="T2704" s="173" t="s">
        <v>2604</v>
      </c>
      <c r="U2704" s="173"/>
      <c r="V2704" s="173"/>
      <c r="W2704" s="313" t="s">
        <v>5542</v>
      </c>
      <c r="X2704" s="645" t="s">
        <v>12512</v>
      </c>
      <c r="Y2704" s="354"/>
      <c r="Z2704" s="869"/>
      <c r="AA2704" s="176"/>
      <c r="AB2704" s="32">
        <f t="shared" ca="1" si="60"/>
        <v>5.2119512909115651E-3</v>
      </c>
      <c r="AC2704" s="812"/>
      <c r="AD2704" s="763"/>
      <c r="AE2704" s="807"/>
      <c r="AF2704" s="921">
        <f>IF(X2704=X2703,AF2703,0)+IF(ISNUMBER(I2704),IF(I2704&lt;1,I2704,I2704*VLOOKUP(J2704,Summary!$H$2:$I$9,2)),VLOOKUP(J2704,Summary!$J$2:$K$9,2)*IF(ISNUMBER(H2704),H2704,1))</f>
        <v>0.46217592592592593</v>
      </c>
      <c r="AG2704" s="289">
        <v>2703</v>
      </c>
      <c r="AH2704" s="94"/>
      <c r="AI2704" s="94"/>
    </row>
    <row r="2705" spans="1:35" s="22" customFormat="1" ht="12" customHeight="1" x14ac:dyDescent="0.25">
      <c r="A2705" s="408" t="s">
        <v>1201</v>
      </c>
      <c r="B2705" s="408" t="s">
        <v>2650</v>
      </c>
      <c r="C2705" s="408">
        <v>5</v>
      </c>
      <c r="D2705" s="176" t="s">
        <v>14095</v>
      </c>
      <c r="E2705" s="313" t="s">
        <v>14097</v>
      </c>
      <c r="F2705" s="175">
        <v>34018</v>
      </c>
      <c r="G2705" s="174"/>
      <c r="H2705" s="176">
        <v>1</v>
      </c>
      <c r="I2705" s="176">
        <v>2</v>
      </c>
      <c r="J2705" s="900" t="s">
        <v>2755</v>
      </c>
      <c r="K2705" s="164" t="s">
        <v>4733</v>
      </c>
      <c r="L2705" s="164" t="s">
        <v>10253</v>
      </c>
      <c r="M2705" s="164"/>
      <c r="N2705" s="164" t="s">
        <v>7375</v>
      </c>
      <c r="O2705" s="164"/>
      <c r="P2705" s="173" t="s">
        <v>461</v>
      </c>
      <c r="Q2705" s="164" t="s">
        <v>4062</v>
      </c>
      <c r="R2705" s="177" t="s">
        <v>14089</v>
      </c>
      <c r="S2705" s="354"/>
      <c r="T2705" s="173"/>
      <c r="U2705" s="173"/>
      <c r="V2705" s="173"/>
      <c r="W2705" s="313" t="s">
        <v>14097</v>
      </c>
      <c r="X2705" s="645" t="s">
        <v>12512</v>
      </c>
      <c r="Y2705" s="354"/>
      <c r="Z2705" s="176"/>
      <c r="AA2705" s="176"/>
      <c r="AB2705" s="32">
        <f t="shared" ca="1" si="60"/>
        <v>0.82510282971793059</v>
      </c>
      <c r="AC2705" s="812"/>
      <c r="AD2705" s="763"/>
      <c r="AE2705" s="807"/>
      <c r="AF2705" s="921">
        <f>IF(X2705=X2704,AF2704,0)+IF(ISNUMBER(I2705),IF(I2705&lt;1,I2705,I2705*VLOOKUP(J2705,Summary!$H$2:$I$9,2)),VLOOKUP(J2705,Summary!$J$2:$K$9,2)*IF(ISNUMBER(H2705),H2705,1))</f>
        <v>0.46356481481481482</v>
      </c>
      <c r="AG2705" s="289">
        <v>2704</v>
      </c>
      <c r="AH2705" s="94"/>
      <c r="AI2705" s="94"/>
    </row>
    <row r="2706" spans="1:35" s="22" customFormat="1" ht="12" customHeight="1" x14ac:dyDescent="0.25">
      <c r="A2706" s="550" t="s">
        <v>1201</v>
      </c>
      <c r="B2706" s="550">
        <v>7</v>
      </c>
      <c r="C2706" s="550">
        <v>12</v>
      </c>
      <c r="D2706" s="417" t="s">
        <v>310</v>
      </c>
      <c r="E2706" s="316" t="s">
        <v>1747</v>
      </c>
      <c r="F2706" s="195">
        <v>34046</v>
      </c>
      <c r="G2706" s="188"/>
      <c r="H2706" s="188">
        <v>4</v>
      </c>
      <c r="I2706" s="188">
        <v>276</v>
      </c>
      <c r="J2706" s="902" t="s">
        <v>6868</v>
      </c>
      <c r="K2706" s="162" t="s">
        <v>4733</v>
      </c>
      <c r="L2706" s="162" t="str">
        <f>IF(J2706="Book","n/a","")</f>
        <v>n/a</v>
      </c>
      <c r="M2706" s="162"/>
      <c r="N2706" s="162"/>
      <c r="O2706" s="162"/>
      <c r="P2706" s="178" t="s">
        <v>8775</v>
      </c>
      <c r="Q2706" s="162" t="s">
        <v>601</v>
      </c>
      <c r="R2706" s="189" t="s">
        <v>2716</v>
      </c>
      <c r="S2706" s="366"/>
      <c r="T2706" s="178" t="s">
        <v>2611</v>
      </c>
      <c r="U2706" s="178"/>
      <c r="V2706" s="178"/>
      <c r="W2706" s="316"/>
      <c r="X2706" s="648" t="s">
        <v>12512</v>
      </c>
      <c r="Y2706" s="356"/>
      <c r="Z2706" s="885">
        <v>237</v>
      </c>
      <c r="AA2706" s="272">
        <v>0.5</v>
      </c>
      <c r="AB2706" s="34">
        <f t="shared" ca="1" si="60"/>
        <v>0.82265515280426971</v>
      </c>
      <c r="AC2706" s="814"/>
      <c r="AD2706" s="815" t="s">
        <v>16630</v>
      </c>
      <c r="AE2706" s="942"/>
      <c r="AF2706" s="923">
        <f>IF(X2706=X2705,AF2705,0)+IF(ISNUMBER(I2706),IF(I2706&lt;1,I2706,I2706*VLOOKUP(J2706,Summary!$H$2:$I$9,2)),VLOOKUP(J2706,Summary!$J$2:$K$9,2)*IF(ISNUMBER(H2706),H2706,1))</f>
        <v>0.65523148148148147</v>
      </c>
      <c r="AG2706" s="291">
        <v>2705</v>
      </c>
      <c r="AH2706" s="94"/>
      <c r="AI2706" s="94"/>
    </row>
    <row r="2707" spans="1:35" s="22" customFormat="1" ht="12" customHeight="1" x14ac:dyDescent="0.25">
      <c r="A2707" s="539" t="s">
        <v>1201</v>
      </c>
      <c r="B2707" s="539">
        <v>7</v>
      </c>
      <c r="C2707" s="540">
        <v>24</v>
      </c>
      <c r="D2707" s="176" t="s">
        <v>3603</v>
      </c>
      <c r="E2707" s="313" t="s">
        <v>3604</v>
      </c>
      <c r="F2707" s="175">
        <v>34045</v>
      </c>
      <c r="G2707" s="174"/>
      <c r="H2707" s="176">
        <v>1</v>
      </c>
      <c r="I2707" s="176">
        <v>1</v>
      </c>
      <c r="J2707" s="900" t="s">
        <v>2755</v>
      </c>
      <c r="K2707" s="164" t="s">
        <v>7797</v>
      </c>
      <c r="L2707" s="164" t="s">
        <v>3605</v>
      </c>
      <c r="M2707" s="164"/>
      <c r="N2707" s="164" t="s">
        <v>7375</v>
      </c>
      <c r="O2707" s="164"/>
      <c r="P2707" s="173" t="s">
        <v>461</v>
      </c>
      <c r="Q2707" s="164" t="s">
        <v>4062</v>
      </c>
      <c r="R2707" s="177" t="s">
        <v>4599</v>
      </c>
      <c r="S2707" s="354"/>
      <c r="T2707" s="173"/>
      <c r="U2707" s="173"/>
      <c r="V2707" s="173"/>
      <c r="W2707" s="313" t="s">
        <v>3604</v>
      </c>
      <c r="X2707" s="645" t="s">
        <v>12512</v>
      </c>
      <c r="Y2707" s="354"/>
      <c r="Z2707" s="869"/>
      <c r="AA2707" s="176"/>
      <c r="AB2707" s="32">
        <f t="shared" ca="1" si="60"/>
        <v>0.32218011629552035</v>
      </c>
      <c r="AC2707" s="812"/>
      <c r="AD2707" s="763"/>
      <c r="AE2707" s="807"/>
      <c r="AF2707" s="921">
        <f>IF(X2707=X2706,AF2706,0)+IF(ISNUMBER(I2707),IF(I2707&lt;1,I2707,I2707*VLOOKUP(J2707,Summary!$H$2:$I$9,2)),VLOOKUP(J2707,Summary!$J$2:$K$9,2)*IF(ISNUMBER(H2707),H2707,1))</f>
        <v>0.65592592592592591</v>
      </c>
      <c r="AG2707" s="289">
        <v>2706</v>
      </c>
      <c r="AH2707" s="94"/>
      <c r="AI2707" s="94"/>
    </row>
    <row r="2708" spans="1:35" s="1" customFormat="1" ht="12" customHeight="1" x14ac:dyDescent="0.25">
      <c r="A2708" s="543" t="s">
        <v>1201</v>
      </c>
      <c r="B2708" s="543">
        <v>7</v>
      </c>
      <c r="C2708" s="549">
        <v>65</v>
      </c>
      <c r="D2708" s="185" t="s">
        <v>3387</v>
      </c>
      <c r="E2708" s="314" t="s">
        <v>658</v>
      </c>
      <c r="F2708" s="183">
        <v>34029</v>
      </c>
      <c r="G2708" s="183">
        <v>34182</v>
      </c>
      <c r="H2708" s="185">
        <v>6</v>
      </c>
      <c r="I2708" s="185">
        <v>49</v>
      </c>
      <c r="J2708" s="901" t="s">
        <v>1796</v>
      </c>
      <c r="K2708" s="163" t="s">
        <v>3807</v>
      </c>
      <c r="L2708" s="163" t="s">
        <v>7928</v>
      </c>
      <c r="M2708" s="163" t="s">
        <v>3388</v>
      </c>
      <c r="N2708" s="163" t="s">
        <v>561</v>
      </c>
      <c r="O2708" s="163"/>
      <c r="P2708" s="182" t="s">
        <v>461</v>
      </c>
      <c r="Q2708" s="163" t="s">
        <v>4062</v>
      </c>
      <c r="R2708" s="186" t="s">
        <v>5266</v>
      </c>
      <c r="S2708" s="355"/>
      <c r="T2708" s="182" t="s">
        <v>2611</v>
      </c>
      <c r="U2708" s="182">
        <v>6</v>
      </c>
      <c r="V2708" s="182" t="s">
        <v>2319</v>
      </c>
      <c r="W2708" s="314"/>
      <c r="X2708" s="646" t="s">
        <v>12512</v>
      </c>
      <c r="Y2708" s="355"/>
      <c r="Z2708" s="185"/>
      <c r="AA2708" s="185"/>
      <c r="AB2708" s="33">
        <f t="shared" ca="1" si="60"/>
        <v>0.2193553894261181</v>
      </c>
      <c r="AC2708" s="813"/>
      <c r="AD2708" s="211" t="s">
        <v>16417</v>
      </c>
      <c r="AE2708" s="941" t="s">
        <v>16126</v>
      </c>
      <c r="AF2708" s="922">
        <f>IF(X2708=X2707,AF2707,0)+IF(ISNUMBER(I2708),IF(I2708&lt;1,I2708,I2708*VLOOKUP(J2708,Summary!$H$2:$I$9,2)),VLOOKUP(J2708,Summary!$J$2:$K$9,2)*IF(ISNUMBER(H2708),H2708,1))</f>
        <v>0.6729398148148148</v>
      </c>
      <c r="AG2708" s="290">
        <v>2707</v>
      </c>
      <c r="AH2708" s="94"/>
      <c r="AI2708" s="94"/>
    </row>
    <row r="2709" spans="1:35" s="3" customFormat="1" ht="12" customHeight="1" x14ac:dyDescent="0.25">
      <c r="A2709" s="543" t="s">
        <v>1201</v>
      </c>
      <c r="B2709" s="543">
        <v>7</v>
      </c>
      <c r="C2709" s="549"/>
      <c r="D2709" s="185" t="s">
        <v>4063</v>
      </c>
      <c r="E2709" s="314" t="s">
        <v>656</v>
      </c>
      <c r="F2709" s="183">
        <v>34547</v>
      </c>
      <c r="G2709" s="183"/>
      <c r="H2709" s="185">
        <v>1</v>
      </c>
      <c r="I2709" s="185">
        <v>4</v>
      </c>
      <c r="J2709" s="901" t="s">
        <v>1796</v>
      </c>
      <c r="K2709" s="163" t="s">
        <v>552</v>
      </c>
      <c r="L2709" s="163" t="s">
        <v>553</v>
      </c>
      <c r="M2709" s="163"/>
      <c r="N2709" s="163" t="s">
        <v>7375</v>
      </c>
      <c r="O2709" s="163"/>
      <c r="P2709" s="182" t="s">
        <v>461</v>
      </c>
      <c r="Q2709" s="163" t="s">
        <v>4062</v>
      </c>
      <c r="R2709" s="186" t="s">
        <v>5266</v>
      </c>
      <c r="S2709" s="355"/>
      <c r="T2709" s="182" t="s">
        <v>2611</v>
      </c>
      <c r="U2709" s="182"/>
      <c r="V2709" s="182"/>
      <c r="W2709" s="314" t="s">
        <v>656</v>
      </c>
      <c r="X2709" s="646" t="s">
        <v>12512</v>
      </c>
      <c r="Y2709" s="355"/>
      <c r="Z2709" s="220"/>
      <c r="AA2709" s="185"/>
      <c r="AB2709" s="38">
        <f t="shared" ca="1" si="60"/>
        <v>0.61995439188748269</v>
      </c>
      <c r="AC2709" s="830"/>
      <c r="AD2709" s="831"/>
      <c r="AE2709" s="953"/>
      <c r="AF2709" s="928">
        <f>IF(X2709=X2708,AF2708,0)+IF(ISNUMBER(I2709),IF(I2709&lt;1,I2709,I2709*VLOOKUP(J2709,Summary!$H$2:$I$9,2)),VLOOKUP(J2709,Summary!$J$2:$K$9,2)*IF(ISNUMBER(H2709),H2709,1))</f>
        <v>0.67432870370370368</v>
      </c>
      <c r="AG2709" s="300">
        <v>2708</v>
      </c>
      <c r="AH2709" s="94"/>
      <c r="AI2709" s="94"/>
    </row>
    <row r="2710" spans="1:35" s="27" customFormat="1" ht="12" customHeight="1" x14ac:dyDescent="0.25">
      <c r="A2710" s="539" t="s">
        <v>1201</v>
      </c>
      <c r="B2710" s="539">
        <v>7</v>
      </c>
      <c r="C2710" s="539">
        <v>30</v>
      </c>
      <c r="D2710" s="176" t="s">
        <v>880</v>
      </c>
      <c r="E2710" s="313" t="s">
        <v>852</v>
      </c>
      <c r="F2710" s="174">
        <v>36100</v>
      </c>
      <c r="G2710" s="175"/>
      <c r="H2710" s="176" t="s">
        <v>461</v>
      </c>
      <c r="I2710" s="176"/>
      <c r="J2710" s="900" t="s">
        <v>2755</v>
      </c>
      <c r="K2710" s="164" t="s">
        <v>342</v>
      </c>
      <c r="L2710" s="164"/>
      <c r="M2710" s="164"/>
      <c r="N2710" s="164" t="s">
        <v>819</v>
      </c>
      <c r="O2710" s="164"/>
      <c r="P2710" s="178" t="s">
        <v>461</v>
      </c>
      <c r="Q2710" s="164" t="s">
        <v>820</v>
      </c>
      <c r="R2710" s="177" t="s">
        <v>895</v>
      </c>
      <c r="S2710" s="354"/>
      <c r="T2710" s="173" t="s">
        <v>2611</v>
      </c>
      <c r="U2710" s="173"/>
      <c r="V2710" s="173"/>
      <c r="W2710" s="313" t="s">
        <v>852</v>
      </c>
      <c r="X2710" s="645" t="s">
        <v>12512</v>
      </c>
      <c r="Y2710" s="354"/>
      <c r="Z2710" s="869"/>
      <c r="AA2710" s="176"/>
      <c r="AB2710" s="32">
        <f t="shared" ca="1" si="60"/>
        <v>0.10162709674383863</v>
      </c>
      <c r="AC2710" s="812"/>
      <c r="AD2710" s="763"/>
      <c r="AE2710" s="807"/>
      <c r="AF2710" s="921">
        <f>IF(X2710=X2709,AF2709,0)+IF(ISNUMBER(I2710),IF(I2710&lt;1,I2710,I2710*VLOOKUP(J2710,Summary!$H$2:$I$9,2)),VLOOKUP(J2710,Summary!$J$2:$K$9,2)*IF(ISNUMBER(H2710),H2710,1))</f>
        <v>0.69168981481481484</v>
      </c>
      <c r="AG2710" s="289">
        <v>2709</v>
      </c>
      <c r="AH2710" s="94"/>
      <c r="AI2710" s="94"/>
    </row>
    <row r="2711" spans="1:35" s="27" customFormat="1" ht="12" customHeight="1" x14ac:dyDescent="0.25">
      <c r="A2711" s="539" t="s">
        <v>1201</v>
      </c>
      <c r="B2711" s="539">
        <v>7</v>
      </c>
      <c r="C2711" s="542">
        <v>1.1000000000000001</v>
      </c>
      <c r="D2711" s="176" t="s">
        <v>5215</v>
      </c>
      <c r="E2711" s="313" t="s">
        <v>657</v>
      </c>
      <c r="F2711" s="176">
        <v>1994</v>
      </c>
      <c r="G2711" s="176"/>
      <c r="H2711" s="176">
        <v>10</v>
      </c>
      <c r="I2711" s="176">
        <v>39</v>
      </c>
      <c r="J2711" s="900" t="s">
        <v>2755</v>
      </c>
      <c r="K2711" s="164" t="s">
        <v>5216</v>
      </c>
      <c r="L2711" s="164" t="s">
        <v>461</v>
      </c>
      <c r="M2711" s="164"/>
      <c r="N2711" s="164" t="s">
        <v>7001</v>
      </c>
      <c r="O2711" s="164"/>
      <c r="P2711" s="173" t="s">
        <v>7002</v>
      </c>
      <c r="Q2711" s="164" t="s">
        <v>6548</v>
      </c>
      <c r="R2711" s="177" t="s">
        <v>4598</v>
      </c>
      <c r="S2711" s="354"/>
      <c r="T2711" s="173"/>
      <c r="U2711" s="173"/>
      <c r="V2711" s="173"/>
      <c r="W2711" s="313" t="s">
        <v>657</v>
      </c>
      <c r="X2711" s="645" t="s">
        <v>12512</v>
      </c>
      <c r="Y2711" s="354" t="s">
        <v>6868</v>
      </c>
      <c r="Z2711" s="869">
        <v>999</v>
      </c>
      <c r="AA2711" s="176"/>
      <c r="AB2711" s="32">
        <f t="shared" ca="1" si="60"/>
        <v>0.14915660913515494</v>
      </c>
      <c r="AC2711" s="812"/>
      <c r="AD2711" s="763"/>
      <c r="AE2711" s="807"/>
      <c r="AF2711" s="921">
        <f>IF(X2711=X2710,AF2710,0)+IF(ISNUMBER(I2711),IF(I2711&lt;1,I2711,I2711*VLOOKUP(J2711,Summary!$H$2:$I$9,2)),VLOOKUP(J2711,Summary!$J$2:$K$9,2)*IF(ISNUMBER(H2711),H2711,1))</f>
        <v>0.71877314814814819</v>
      </c>
      <c r="AG2711" s="289">
        <v>2710</v>
      </c>
      <c r="AH2711" s="94"/>
      <c r="AI2711" s="94"/>
    </row>
    <row r="2712" spans="1:35" s="3" customFormat="1" ht="12" customHeight="1" x14ac:dyDescent="0.25">
      <c r="A2712" s="539" t="s">
        <v>1201</v>
      </c>
      <c r="B2712" s="539">
        <v>7</v>
      </c>
      <c r="C2712" s="542">
        <v>3.08</v>
      </c>
      <c r="D2712" s="176" t="s">
        <v>5217</v>
      </c>
      <c r="E2712" s="313" t="s">
        <v>659</v>
      </c>
      <c r="F2712" s="176">
        <v>1996</v>
      </c>
      <c r="G2712" s="176"/>
      <c r="H2712" s="176" t="s">
        <v>461</v>
      </c>
      <c r="I2712" s="176"/>
      <c r="J2712" s="900" t="s">
        <v>2755</v>
      </c>
      <c r="K2712" s="164" t="s">
        <v>3810</v>
      </c>
      <c r="L2712" s="164" t="s">
        <v>461</v>
      </c>
      <c r="M2712" s="164"/>
      <c r="N2712" s="164" t="s">
        <v>333</v>
      </c>
      <c r="O2712" s="164"/>
      <c r="P2712" s="173" t="s">
        <v>3523</v>
      </c>
      <c r="Q2712" s="164" t="s">
        <v>6548</v>
      </c>
      <c r="R2712" s="177" t="s">
        <v>4598</v>
      </c>
      <c r="S2712" s="354"/>
      <c r="T2712" s="173" t="s">
        <v>2611</v>
      </c>
      <c r="U2712" s="173"/>
      <c r="V2712" s="173"/>
      <c r="W2712" s="313" t="s">
        <v>659</v>
      </c>
      <c r="X2712" s="645" t="s">
        <v>12512</v>
      </c>
      <c r="Y2712" s="354" t="s">
        <v>6868</v>
      </c>
      <c r="Z2712" s="869">
        <v>2</v>
      </c>
      <c r="AA2712" s="176">
        <v>10</v>
      </c>
      <c r="AB2712" s="32">
        <f t="shared" ca="1" si="60"/>
        <v>0.31059230762546663</v>
      </c>
      <c r="AC2712" s="812"/>
      <c r="AD2712" s="763"/>
      <c r="AE2712" s="807"/>
      <c r="AF2712" s="921">
        <f>IF(X2712=X2711,AF2711,0)+IF(ISNUMBER(I2712),IF(I2712&lt;1,I2712,I2712*VLOOKUP(J2712,Summary!$H$2:$I$9,2)),VLOOKUP(J2712,Summary!$J$2:$K$9,2)*IF(ISNUMBER(H2712),H2712,1))</f>
        <v>0.73613425925925935</v>
      </c>
      <c r="AG2712" s="289">
        <v>2711</v>
      </c>
      <c r="AH2712" s="94"/>
      <c r="AI2712" s="94"/>
    </row>
    <row r="2713" spans="1:35" s="3" customFormat="1" ht="12" customHeight="1" x14ac:dyDescent="0.25">
      <c r="A2713" s="539" t="s">
        <v>1201</v>
      </c>
      <c r="B2713" s="539">
        <v>7</v>
      </c>
      <c r="C2713" s="542">
        <v>16.13</v>
      </c>
      <c r="D2713" s="176" t="s">
        <v>2464</v>
      </c>
      <c r="E2713" s="313" t="s">
        <v>672</v>
      </c>
      <c r="F2713" s="174">
        <v>38473</v>
      </c>
      <c r="G2713" s="174"/>
      <c r="H2713" s="176">
        <v>1</v>
      </c>
      <c r="I2713" s="176">
        <v>14</v>
      </c>
      <c r="J2713" s="900" t="s">
        <v>2755</v>
      </c>
      <c r="K2713" s="164" t="s">
        <v>5664</v>
      </c>
      <c r="L2713" s="164" t="s">
        <v>461</v>
      </c>
      <c r="M2713" s="164"/>
      <c r="N2713" s="164" t="s">
        <v>7381</v>
      </c>
      <c r="O2713" s="164"/>
      <c r="P2713" s="173" t="s">
        <v>1652</v>
      </c>
      <c r="Q2713" s="164" t="s">
        <v>3947</v>
      </c>
      <c r="R2713" s="177" t="s">
        <v>2723</v>
      </c>
      <c r="S2713" s="354"/>
      <c r="T2713" s="173" t="s">
        <v>2611</v>
      </c>
      <c r="U2713" s="173"/>
      <c r="V2713" s="173"/>
      <c r="W2713" s="313" t="s">
        <v>672</v>
      </c>
      <c r="X2713" s="645" t="s">
        <v>12512</v>
      </c>
      <c r="Y2713" s="354"/>
      <c r="Z2713" s="869"/>
      <c r="AA2713" s="176"/>
      <c r="AB2713" s="32">
        <f t="shared" ca="1" si="60"/>
        <v>0.6917329760431784</v>
      </c>
      <c r="AC2713" s="812"/>
      <c r="AD2713" s="763"/>
      <c r="AE2713" s="807"/>
      <c r="AF2713" s="921">
        <f>IF(X2713=X2712,AF2712,0)+IF(ISNUMBER(I2713),IF(I2713&lt;1,I2713,I2713*VLOOKUP(J2713,Summary!$H$2:$I$9,2)),VLOOKUP(J2713,Summary!$J$2:$K$9,2)*IF(ISNUMBER(H2713),H2713,1))</f>
        <v>0.74585648148148154</v>
      </c>
      <c r="AG2713" s="289">
        <v>2712</v>
      </c>
      <c r="AH2713" s="94"/>
      <c r="AI2713" s="94"/>
    </row>
    <row r="2714" spans="1:35" s="22" customFormat="1" ht="12" customHeight="1" x14ac:dyDescent="0.25">
      <c r="A2714" s="553" t="s">
        <v>1201</v>
      </c>
      <c r="B2714" s="554" t="s">
        <v>2650</v>
      </c>
      <c r="C2714" s="555"/>
      <c r="D2714" s="424" t="s">
        <v>14183</v>
      </c>
      <c r="E2714" s="319" t="s">
        <v>14176</v>
      </c>
      <c r="F2714" s="246">
        <v>35796</v>
      </c>
      <c r="G2714" s="199"/>
      <c r="H2714" s="199">
        <v>1</v>
      </c>
      <c r="I2714" s="754">
        <f>TIME(0,30,0)</f>
        <v>2.0833333333333332E-2</v>
      </c>
      <c r="J2714" s="904" t="s">
        <v>1588</v>
      </c>
      <c r="K2714" s="200" t="s">
        <v>1088</v>
      </c>
      <c r="L2714" s="200" t="s">
        <v>6259</v>
      </c>
      <c r="M2714" s="200"/>
      <c r="N2714" s="200"/>
      <c r="O2714" s="200" t="s">
        <v>6259</v>
      </c>
      <c r="P2714" s="197" t="s">
        <v>461</v>
      </c>
      <c r="Q2714" s="200" t="s">
        <v>602</v>
      </c>
      <c r="R2714" s="201" t="s">
        <v>6989</v>
      </c>
      <c r="S2714" s="390" t="s">
        <v>2542</v>
      </c>
      <c r="T2714" s="197"/>
      <c r="U2714" s="197"/>
      <c r="V2714" s="197"/>
      <c r="W2714" s="319" t="s">
        <v>14176</v>
      </c>
      <c r="X2714" s="651" t="s">
        <v>12512</v>
      </c>
      <c r="Y2714" s="358"/>
      <c r="Z2714" s="253"/>
      <c r="AA2714" s="253"/>
      <c r="AB2714" s="35">
        <f t="shared" ca="1" si="60"/>
        <v>0.82952534193131211</v>
      </c>
      <c r="AC2714" s="820"/>
      <c r="AD2714" s="821" t="s">
        <v>16241</v>
      </c>
      <c r="AE2714" s="944" t="s">
        <v>12543</v>
      </c>
      <c r="AF2714" s="925">
        <f>IF(X2714=X2713,AF2713,0)+IF(ISNUMBER(I2714),IF(I2714&lt;1,I2714,I2714*VLOOKUP(J2714,Summary!$H$2:$I$9,2)),VLOOKUP(J2714,Summary!$J$2:$K$9,2)*IF(ISNUMBER(H2714),H2714,1))</f>
        <v>0.76668981481481491</v>
      </c>
      <c r="AG2714" s="293">
        <v>2713</v>
      </c>
      <c r="AH2714" s="94"/>
      <c r="AI2714" s="94"/>
    </row>
    <row r="2715" spans="1:35" s="22" customFormat="1" ht="12" customHeight="1" x14ac:dyDescent="0.25">
      <c r="A2715" s="553" t="s">
        <v>1201</v>
      </c>
      <c r="B2715" s="554" t="s">
        <v>2650</v>
      </c>
      <c r="C2715" s="555"/>
      <c r="D2715" s="424" t="s">
        <v>14177</v>
      </c>
      <c r="E2715" s="319" t="s">
        <v>935</v>
      </c>
      <c r="F2715" s="247">
        <v>36161</v>
      </c>
      <c r="G2715" s="199"/>
      <c r="H2715" s="199">
        <v>1</v>
      </c>
      <c r="I2715" s="754">
        <f>TIME(0,25,0)</f>
        <v>1.7361111111111112E-2</v>
      </c>
      <c r="J2715" s="904" t="s">
        <v>1588</v>
      </c>
      <c r="K2715" s="200" t="s">
        <v>1088</v>
      </c>
      <c r="L2715" s="200" t="s">
        <v>6259</v>
      </c>
      <c r="M2715" s="200"/>
      <c r="N2715" s="200"/>
      <c r="O2715" s="200" t="s">
        <v>6259</v>
      </c>
      <c r="P2715" s="197" t="s">
        <v>461</v>
      </c>
      <c r="Q2715" s="200" t="s">
        <v>602</v>
      </c>
      <c r="R2715" s="201" t="s">
        <v>6989</v>
      </c>
      <c r="S2715" s="390"/>
      <c r="T2715" s="197"/>
      <c r="U2715" s="197"/>
      <c r="V2715" s="197"/>
      <c r="W2715" s="319" t="s">
        <v>935</v>
      </c>
      <c r="X2715" s="651" t="s">
        <v>12512</v>
      </c>
      <c r="Y2715" s="358"/>
      <c r="Z2715" s="253"/>
      <c r="AA2715" s="253"/>
      <c r="AB2715" s="35">
        <f t="shared" ca="1" si="60"/>
        <v>0.42670302348625433</v>
      </c>
      <c r="AC2715" s="820"/>
      <c r="AD2715" s="821" t="s">
        <v>16241</v>
      </c>
      <c r="AE2715" s="944" t="s">
        <v>12543</v>
      </c>
      <c r="AF2715" s="925">
        <f>IF(X2715=X2714,AF2714,0)+IF(ISNUMBER(I2715),IF(I2715&lt;1,I2715,I2715*VLOOKUP(J2715,Summary!$H$2:$I$9,2)),VLOOKUP(J2715,Summary!$J$2:$K$9,2)*IF(ISNUMBER(H2715),H2715,1))</f>
        <v>0.78405092592592607</v>
      </c>
      <c r="AG2715" s="293">
        <v>2714</v>
      </c>
      <c r="AH2715" s="94"/>
      <c r="AI2715" s="94"/>
    </row>
    <row r="2716" spans="1:35" s="22" customFormat="1" ht="12" customHeight="1" x14ac:dyDescent="0.25">
      <c r="A2716" s="553" t="s">
        <v>1201</v>
      </c>
      <c r="B2716" s="554" t="s">
        <v>2650</v>
      </c>
      <c r="C2716" s="555"/>
      <c r="D2716" s="424" t="s">
        <v>14178</v>
      </c>
      <c r="E2716" s="319" t="s">
        <v>14180</v>
      </c>
      <c r="F2716" s="247">
        <v>36161</v>
      </c>
      <c r="G2716" s="199"/>
      <c r="H2716" s="199">
        <v>1</v>
      </c>
      <c r="I2716" s="754">
        <f>TIME(0,25,0)</f>
        <v>1.7361111111111112E-2</v>
      </c>
      <c r="J2716" s="904" t="s">
        <v>1588</v>
      </c>
      <c r="K2716" s="200" t="s">
        <v>10513</v>
      </c>
      <c r="L2716" s="200" t="s">
        <v>6259</v>
      </c>
      <c r="M2716" s="200"/>
      <c r="N2716" s="200"/>
      <c r="O2716" s="200" t="s">
        <v>6259</v>
      </c>
      <c r="P2716" s="197" t="s">
        <v>461</v>
      </c>
      <c r="Q2716" s="200" t="s">
        <v>602</v>
      </c>
      <c r="R2716" s="201" t="s">
        <v>6989</v>
      </c>
      <c r="S2716" s="390"/>
      <c r="T2716" s="197"/>
      <c r="U2716" s="197"/>
      <c r="V2716" s="197"/>
      <c r="W2716" s="319" t="s">
        <v>14180</v>
      </c>
      <c r="X2716" s="651" t="s">
        <v>12512</v>
      </c>
      <c r="Y2716" s="358"/>
      <c r="Z2716" s="253"/>
      <c r="AA2716" s="253"/>
      <c r="AB2716" s="35">
        <f t="shared" ca="1" si="60"/>
        <v>0.35480649752232774</v>
      </c>
      <c r="AC2716" s="820"/>
      <c r="AD2716" s="821" t="s">
        <v>16241</v>
      </c>
      <c r="AE2716" s="944" t="s">
        <v>12543</v>
      </c>
      <c r="AF2716" s="925">
        <f>IF(X2716=X2715,AF2715,0)+IF(ISNUMBER(I2716),IF(I2716&lt;1,I2716,I2716*VLOOKUP(J2716,Summary!$H$2:$I$9,2)),VLOOKUP(J2716,Summary!$J$2:$K$9,2)*IF(ISNUMBER(H2716),H2716,1))</f>
        <v>0.80141203703703723</v>
      </c>
      <c r="AG2716" s="293">
        <v>2715</v>
      </c>
      <c r="AH2716" s="94"/>
      <c r="AI2716" s="94"/>
    </row>
    <row r="2717" spans="1:35" s="22" customFormat="1" ht="12" customHeight="1" x14ac:dyDescent="0.25">
      <c r="A2717" s="553" t="s">
        <v>1201</v>
      </c>
      <c r="B2717" s="554" t="s">
        <v>2650</v>
      </c>
      <c r="C2717" s="555"/>
      <c r="D2717" s="424" t="s">
        <v>14179</v>
      </c>
      <c r="E2717" s="319" t="s">
        <v>14181</v>
      </c>
      <c r="F2717" s="247">
        <v>36161</v>
      </c>
      <c r="G2717" s="199"/>
      <c r="H2717" s="199">
        <v>1</v>
      </c>
      <c r="I2717" s="754">
        <f>TIME(0,25,0)</f>
        <v>1.7361111111111112E-2</v>
      </c>
      <c r="J2717" s="904" t="s">
        <v>1588</v>
      </c>
      <c r="K2717" s="200" t="s">
        <v>14182</v>
      </c>
      <c r="L2717" s="200" t="s">
        <v>6259</v>
      </c>
      <c r="M2717" s="200"/>
      <c r="N2717" s="200"/>
      <c r="O2717" s="200" t="s">
        <v>6259</v>
      </c>
      <c r="P2717" s="197" t="s">
        <v>461</v>
      </c>
      <c r="Q2717" s="200" t="s">
        <v>602</v>
      </c>
      <c r="R2717" s="201" t="s">
        <v>6989</v>
      </c>
      <c r="S2717" s="390" t="s">
        <v>2542</v>
      </c>
      <c r="T2717" s="197"/>
      <c r="U2717" s="197"/>
      <c r="V2717" s="197"/>
      <c r="W2717" s="319" t="s">
        <v>14181</v>
      </c>
      <c r="X2717" s="651" t="s">
        <v>12512</v>
      </c>
      <c r="Y2717" s="358"/>
      <c r="Z2717" s="253"/>
      <c r="AA2717" s="253"/>
      <c r="AB2717" s="35">
        <f t="shared" ca="1" si="60"/>
        <v>0.12006183733238118</v>
      </c>
      <c r="AC2717" s="820"/>
      <c r="AD2717" s="821" t="s">
        <v>16241</v>
      </c>
      <c r="AE2717" s="944" t="s">
        <v>12543</v>
      </c>
      <c r="AF2717" s="925">
        <f>IF(X2717=X2716,AF2716,0)+IF(ISNUMBER(I2717),IF(I2717&lt;1,I2717,I2717*VLOOKUP(J2717,Summary!$H$2:$I$9,2)),VLOOKUP(J2717,Summary!$J$2:$K$9,2)*IF(ISNUMBER(H2717),H2717,1))</f>
        <v>0.81877314814814839</v>
      </c>
      <c r="AG2717" s="293">
        <v>2716</v>
      </c>
      <c r="AH2717" s="94"/>
      <c r="AI2717" s="94"/>
    </row>
    <row r="2718" spans="1:35" s="22" customFormat="1" ht="12" customHeight="1" x14ac:dyDescent="0.25">
      <c r="A2718" s="408" t="s">
        <v>1201</v>
      </c>
      <c r="B2718" s="408" t="s">
        <v>2650</v>
      </c>
      <c r="C2718" s="408">
        <v>6</v>
      </c>
      <c r="D2718" s="176" t="s">
        <v>14098</v>
      </c>
      <c r="E2718" s="313" t="s">
        <v>14099</v>
      </c>
      <c r="F2718" s="175">
        <v>34046</v>
      </c>
      <c r="G2718" s="174"/>
      <c r="H2718" s="176">
        <v>1</v>
      </c>
      <c r="I2718" s="176">
        <v>2</v>
      </c>
      <c r="J2718" s="900" t="s">
        <v>2755</v>
      </c>
      <c r="K2718" s="164" t="s">
        <v>1930</v>
      </c>
      <c r="L2718" s="164" t="s">
        <v>10253</v>
      </c>
      <c r="M2718" s="164"/>
      <c r="N2718" s="164" t="s">
        <v>7375</v>
      </c>
      <c r="O2718" s="164"/>
      <c r="P2718" s="173" t="s">
        <v>461</v>
      </c>
      <c r="Q2718" s="164" t="s">
        <v>4062</v>
      </c>
      <c r="R2718" s="177" t="s">
        <v>14089</v>
      </c>
      <c r="S2718" s="354"/>
      <c r="T2718" s="173"/>
      <c r="U2718" s="173"/>
      <c r="V2718" s="173"/>
      <c r="W2718" s="313" t="s">
        <v>14099</v>
      </c>
      <c r="X2718" s="645" t="s">
        <v>12512</v>
      </c>
      <c r="Y2718" s="354"/>
      <c r="Z2718" s="176"/>
      <c r="AA2718" s="176"/>
      <c r="AB2718" s="32">
        <f t="shared" ca="1" si="60"/>
        <v>0.86578040512421306</v>
      </c>
      <c r="AC2718" s="812"/>
      <c r="AD2718" s="763"/>
      <c r="AE2718" s="807"/>
      <c r="AF2718" s="921">
        <f>IF(X2718=X2717,AF2717,0)+IF(ISNUMBER(I2718),IF(I2718&lt;1,I2718,I2718*VLOOKUP(J2718,Summary!$H$2:$I$9,2)),VLOOKUP(J2718,Summary!$J$2:$K$9,2)*IF(ISNUMBER(H2718),H2718,1))</f>
        <v>0.82016203703703727</v>
      </c>
      <c r="AG2718" s="289">
        <v>2717</v>
      </c>
      <c r="AH2718" s="94"/>
      <c r="AI2718" s="94"/>
    </row>
    <row r="2719" spans="1:35" s="2" customFormat="1" ht="12" customHeight="1" x14ac:dyDescent="0.25">
      <c r="A2719" s="550" t="s">
        <v>1201</v>
      </c>
      <c r="B2719" s="550">
        <v>7</v>
      </c>
      <c r="C2719" s="550">
        <v>13</v>
      </c>
      <c r="D2719" s="417" t="s">
        <v>1748</v>
      </c>
      <c r="E2719" s="316" t="s">
        <v>1749</v>
      </c>
      <c r="F2719" s="195">
        <v>34074</v>
      </c>
      <c r="G2719" s="188"/>
      <c r="H2719" s="188">
        <v>6</v>
      </c>
      <c r="I2719" s="188">
        <v>325</v>
      </c>
      <c r="J2719" s="902" t="s">
        <v>6868</v>
      </c>
      <c r="K2719" s="162" t="s">
        <v>1930</v>
      </c>
      <c r="L2719" s="162" t="str">
        <f>IF(J2719="Book","n/a","")</f>
        <v>n/a</v>
      </c>
      <c r="M2719" s="162"/>
      <c r="N2719" s="162"/>
      <c r="O2719" s="162"/>
      <c r="P2719" s="178" t="s">
        <v>8776</v>
      </c>
      <c r="Q2719" s="162" t="s">
        <v>601</v>
      </c>
      <c r="R2719" s="189" t="s">
        <v>2716</v>
      </c>
      <c r="S2719" s="366" t="s">
        <v>2542</v>
      </c>
      <c r="T2719" s="178" t="s">
        <v>2611</v>
      </c>
      <c r="U2719" s="178"/>
      <c r="V2719" s="178"/>
      <c r="W2719" s="316" t="s">
        <v>11472</v>
      </c>
      <c r="X2719" s="648" t="s">
        <v>12512</v>
      </c>
      <c r="Y2719" s="356"/>
      <c r="Z2719" s="272">
        <v>238</v>
      </c>
      <c r="AA2719" s="272">
        <v>0.5</v>
      </c>
      <c r="AB2719" s="34">
        <f t="shared" ca="1" si="60"/>
        <v>1.4176470499209559E-2</v>
      </c>
      <c r="AC2719" s="814"/>
      <c r="AD2719" s="815" t="s">
        <v>16251</v>
      </c>
      <c r="AE2719" s="942" t="s">
        <v>15062</v>
      </c>
      <c r="AF2719" s="923">
        <f>IF(X2719=X2718,AF2718,0)+IF(ISNUMBER(I2719),IF(I2719&lt;1,I2719,I2719*VLOOKUP(J2719,Summary!$H$2:$I$9,2)),VLOOKUP(J2719,Summary!$J$2:$K$9,2)*IF(ISNUMBER(H2719),H2719,1))</f>
        <v>1.0458564814814817</v>
      </c>
      <c r="AG2719" s="291">
        <v>2718</v>
      </c>
      <c r="AH2719" s="94"/>
      <c r="AI2719" s="94"/>
    </row>
    <row r="2720" spans="1:35" s="22" customFormat="1" ht="12" customHeight="1" x14ac:dyDescent="0.25">
      <c r="A2720" s="408" t="s">
        <v>1201</v>
      </c>
      <c r="B2720" s="408" t="s">
        <v>2650</v>
      </c>
      <c r="C2720" s="408">
        <v>7</v>
      </c>
      <c r="D2720" s="176" t="s">
        <v>14100</v>
      </c>
      <c r="E2720" s="313" t="s">
        <v>14101</v>
      </c>
      <c r="F2720" s="175">
        <v>34074</v>
      </c>
      <c r="G2720" s="174"/>
      <c r="H2720" s="176">
        <v>1</v>
      </c>
      <c r="I2720" s="176">
        <v>2</v>
      </c>
      <c r="J2720" s="900" t="s">
        <v>2755</v>
      </c>
      <c r="K2720" s="164" t="s">
        <v>4734</v>
      </c>
      <c r="L2720" s="164" t="s">
        <v>10253</v>
      </c>
      <c r="M2720" s="164"/>
      <c r="N2720" s="164" t="s">
        <v>7375</v>
      </c>
      <c r="O2720" s="164"/>
      <c r="P2720" s="173" t="s">
        <v>461</v>
      </c>
      <c r="Q2720" s="164" t="s">
        <v>4062</v>
      </c>
      <c r="R2720" s="177" t="s">
        <v>14089</v>
      </c>
      <c r="S2720" s="354"/>
      <c r="T2720" s="173"/>
      <c r="U2720" s="173"/>
      <c r="V2720" s="173"/>
      <c r="W2720" s="313" t="s">
        <v>14101</v>
      </c>
      <c r="X2720" s="645" t="s">
        <v>12512</v>
      </c>
      <c r="Y2720" s="354"/>
      <c r="Z2720" s="176"/>
      <c r="AA2720" s="176"/>
      <c r="AB2720" s="32">
        <f t="shared" ca="1" si="60"/>
        <v>0.5884409491457967</v>
      </c>
      <c r="AC2720" s="812"/>
      <c r="AD2720" s="763"/>
      <c r="AE2720" s="807"/>
      <c r="AF2720" s="921">
        <f>IF(X2720=X2719,AF2719,0)+IF(ISNUMBER(I2720),IF(I2720&lt;1,I2720,I2720*VLOOKUP(J2720,Summary!$H$2:$I$9,2)),VLOOKUP(J2720,Summary!$J$2:$K$9,2)*IF(ISNUMBER(H2720),H2720,1))</f>
        <v>1.0472453703703706</v>
      </c>
      <c r="AG2720" s="289">
        <v>2719</v>
      </c>
      <c r="AH2720" s="94"/>
      <c r="AI2720" s="94"/>
    </row>
    <row r="2721" spans="1:35" s="3" customFormat="1" ht="12" customHeight="1" x14ac:dyDescent="0.25">
      <c r="A2721" s="550" t="s">
        <v>1201</v>
      </c>
      <c r="B2721" s="550">
        <v>7</v>
      </c>
      <c r="C2721" s="550">
        <v>14</v>
      </c>
      <c r="D2721" s="417" t="s">
        <v>1750</v>
      </c>
      <c r="E2721" s="316" t="s">
        <v>1751</v>
      </c>
      <c r="F2721" s="195">
        <v>34109</v>
      </c>
      <c r="G2721" s="188"/>
      <c r="H2721" s="188">
        <v>5</v>
      </c>
      <c r="I2721" s="188">
        <v>346</v>
      </c>
      <c r="J2721" s="902" t="s">
        <v>6868</v>
      </c>
      <c r="K2721" s="162" t="s">
        <v>4734</v>
      </c>
      <c r="L2721" s="162" t="str">
        <f>IF(J2721="Book","n/a","")</f>
        <v>n/a</v>
      </c>
      <c r="M2721" s="162"/>
      <c r="N2721" s="162"/>
      <c r="O2721" s="162"/>
      <c r="P2721" s="178" t="s">
        <v>8777</v>
      </c>
      <c r="Q2721" s="162" t="s">
        <v>601</v>
      </c>
      <c r="R2721" s="189" t="s">
        <v>2716</v>
      </c>
      <c r="S2721" s="366" t="s">
        <v>2542</v>
      </c>
      <c r="T2721" s="178" t="s">
        <v>2611</v>
      </c>
      <c r="U2721" s="178"/>
      <c r="V2721" s="178"/>
      <c r="W2721" s="316" t="s">
        <v>11473</v>
      </c>
      <c r="X2721" s="648" t="s">
        <v>12512</v>
      </c>
      <c r="Y2721" s="356"/>
      <c r="Z2721" s="885">
        <v>92</v>
      </c>
      <c r="AA2721" s="272">
        <v>5.5</v>
      </c>
      <c r="AB2721" s="34">
        <f t="shared" ca="1" si="60"/>
        <v>0.81403272947421668</v>
      </c>
      <c r="AC2721" s="814"/>
      <c r="AD2721" s="815"/>
      <c r="AE2721" s="942"/>
      <c r="AF2721" s="923">
        <f>IF(X2721=X2720,AF2720,0)+IF(ISNUMBER(I2721),IF(I2721&lt;1,I2721,I2721*VLOOKUP(J2721,Summary!$H$2:$I$9,2)),VLOOKUP(J2721,Summary!$J$2:$K$9,2)*IF(ISNUMBER(H2721),H2721,1))</f>
        <v>1.2875231481481484</v>
      </c>
      <c r="AG2721" s="291">
        <v>2720</v>
      </c>
      <c r="AH2721" s="94"/>
      <c r="AI2721" s="94"/>
    </row>
    <row r="2722" spans="1:35" s="3" customFormat="1" ht="12" customHeight="1" x14ac:dyDescent="0.25">
      <c r="A2722" s="550" t="s">
        <v>1201</v>
      </c>
      <c r="B2722" s="550">
        <v>7</v>
      </c>
      <c r="C2722" s="550">
        <v>15</v>
      </c>
      <c r="D2722" s="417" t="s">
        <v>1752</v>
      </c>
      <c r="E2722" s="316" t="s">
        <v>1753</v>
      </c>
      <c r="F2722" s="195">
        <v>34137</v>
      </c>
      <c r="G2722" s="188"/>
      <c r="H2722" s="188" t="str">
        <f>IF(J2722="Book","n/a","")</f>
        <v>n/a</v>
      </c>
      <c r="I2722" s="188">
        <v>244</v>
      </c>
      <c r="J2722" s="902" t="s">
        <v>6868</v>
      </c>
      <c r="K2722" s="162" t="s">
        <v>6234</v>
      </c>
      <c r="L2722" s="162" t="str">
        <f>IF(J2722="Book","n/a","")</f>
        <v>n/a</v>
      </c>
      <c r="M2722" s="162"/>
      <c r="N2722" s="162"/>
      <c r="O2722" s="162"/>
      <c r="P2722" s="178" t="s">
        <v>8778</v>
      </c>
      <c r="Q2722" s="162" t="s">
        <v>601</v>
      </c>
      <c r="R2722" s="189" t="s">
        <v>2716</v>
      </c>
      <c r="S2722" s="366" t="s">
        <v>2542</v>
      </c>
      <c r="T2722" s="178" t="s">
        <v>2611</v>
      </c>
      <c r="U2722" s="178"/>
      <c r="V2722" s="178"/>
      <c r="W2722" s="316" t="s">
        <v>1753</v>
      </c>
      <c r="X2722" s="648" t="s">
        <v>12512</v>
      </c>
      <c r="Y2722" s="356"/>
      <c r="Z2722" s="885">
        <v>101</v>
      </c>
      <c r="AA2722" s="272">
        <v>5</v>
      </c>
      <c r="AB2722" s="34">
        <f t="shared" ca="1" si="60"/>
        <v>0.44653836341123077</v>
      </c>
      <c r="AC2722" s="814"/>
      <c r="AD2722" s="815" t="s">
        <v>15360</v>
      </c>
      <c r="AE2722" s="942"/>
      <c r="AF2722" s="923">
        <f>IF(X2722=X2721,AF2721,0)+IF(ISNUMBER(I2722),IF(I2722&lt;1,I2722,I2722*VLOOKUP(J2722,Summary!$H$2:$I$9,2)),VLOOKUP(J2722,Summary!$J$2:$K$9,2)*IF(ISNUMBER(H2722),H2722,1))</f>
        <v>1.4569675925925929</v>
      </c>
      <c r="AG2722" s="291">
        <v>2721</v>
      </c>
      <c r="AH2722" s="94"/>
      <c r="AI2722" s="94"/>
    </row>
    <row r="2723" spans="1:35" s="22" customFormat="1" ht="12" customHeight="1" x14ac:dyDescent="0.25">
      <c r="A2723" s="408" t="s">
        <v>1201</v>
      </c>
      <c r="B2723" s="408" t="s">
        <v>2650</v>
      </c>
      <c r="C2723" s="408">
        <v>9</v>
      </c>
      <c r="D2723" s="176" t="s">
        <v>14104</v>
      </c>
      <c r="E2723" s="313" t="s">
        <v>14105</v>
      </c>
      <c r="F2723" s="175">
        <v>34158</v>
      </c>
      <c r="G2723" s="174"/>
      <c r="H2723" s="176">
        <v>1</v>
      </c>
      <c r="I2723" s="176">
        <v>2</v>
      </c>
      <c r="J2723" s="900" t="s">
        <v>2755</v>
      </c>
      <c r="K2723" s="164" t="s">
        <v>181</v>
      </c>
      <c r="L2723" s="164" t="s">
        <v>181</v>
      </c>
      <c r="M2723" s="164"/>
      <c r="N2723" s="164" t="s">
        <v>7375</v>
      </c>
      <c r="O2723" s="164"/>
      <c r="P2723" s="173" t="s">
        <v>461</v>
      </c>
      <c r="Q2723" s="164" t="s">
        <v>4062</v>
      </c>
      <c r="R2723" s="177" t="s">
        <v>14089</v>
      </c>
      <c r="S2723" s="354"/>
      <c r="T2723" s="173"/>
      <c r="U2723" s="173"/>
      <c r="V2723" s="173"/>
      <c r="W2723" s="313" t="s">
        <v>14105</v>
      </c>
      <c r="X2723" s="645" t="s">
        <v>12512</v>
      </c>
      <c r="Y2723" s="354"/>
      <c r="Z2723" s="176"/>
      <c r="AA2723" s="176"/>
      <c r="AB2723" s="32">
        <f t="shared" ca="1" si="60"/>
        <v>4.226657226653685E-2</v>
      </c>
      <c r="AC2723" s="812"/>
      <c r="AD2723" s="763"/>
      <c r="AE2723" s="807"/>
      <c r="AF2723" s="921">
        <f>IF(X2723=X2722,AF2722,0)+IF(ISNUMBER(I2723),IF(I2723&lt;1,I2723,I2723*VLOOKUP(J2723,Summary!$H$2:$I$9,2)),VLOOKUP(J2723,Summary!$J$2:$K$9,2)*IF(ISNUMBER(H2723),H2723,1))</f>
        <v>1.4583564814814818</v>
      </c>
      <c r="AG2723" s="289">
        <v>2722</v>
      </c>
      <c r="AH2723" s="94"/>
      <c r="AI2723" s="94"/>
    </row>
    <row r="2724" spans="1:35" s="3" customFormat="1" ht="12" customHeight="1" x14ac:dyDescent="0.25">
      <c r="A2724" s="550" t="s">
        <v>1201</v>
      </c>
      <c r="B2724" s="550">
        <v>7</v>
      </c>
      <c r="C2724" s="550">
        <v>16</v>
      </c>
      <c r="D2724" s="417" t="s">
        <v>1754</v>
      </c>
      <c r="E2724" s="316" t="s">
        <v>42</v>
      </c>
      <c r="F2724" s="195">
        <v>34165</v>
      </c>
      <c r="G2724" s="188"/>
      <c r="H2724" s="188" t="str">
        <f>IF(J2724="Book","n/a","")</f>
        <v>n/a</v>
      </c>
      <c r="I2724" s="188">
        <v>244</v>
      </c>
      <c r="J2724" s="902" t="s">
        <v>6868</v>
      </c>
      <c r="K2724" s="162" t="s">
        <v>181</v>
      </c>
      <c r="L2724" s="162" t="str">
        <f>IF(J2724="Book","n/a","")</f>
        <v>n/a</v>
      </c>
      <c r="M2724" s="162"/>
      <c r="N2724" s="162"/>
      <c r="O2724" s="162"/>
      <c r="P2724" s="178" t="s">
        <v>8779</v>
      </c>
      <c r="Q2724" s="162" t="s">
        <v>601</v>
      </c>
      <c r="R2724" s="189" t="s">
        <v>2716</v>
      </c>
      <c r="S2724" s="366" t="s">
        <v>2542</v>
      </c>
      <c r="T2724" s="178" t="s">
        <v>2611</v>
      </c>
      <c r="U2724" s="178"/>
      <c r="V2724" s="178"/>
      <c r="W2724" s="316" t="s">
        <v>42</v>
      </c>
      <c r="X2724" s="648" t="s">
        <v>12512</v>
      </c>
      <c r="Y2724" s="356"/>
      <c r="Z2724" s="885">
        <v>184</v>
      </c>
      <c r="AA2724" s="272">
        <v>3.5</v>
      </c>
      <c r="AB2724" s="34">
        <f t="shared" ca="1" si="60"/>
        <v>0.71750759095860583</v>
      </c>
      <c r="AC2724" s="814"/>
      <c r="AD2724" s="815" t="s">
        <v>16302</v>
      </c>
      <c r="AE2724" s="942"/>
      <c r="AF2724" s="923">
        <f>IF(X2724=X2723,AF2723,0)+IF(ISNUMBER(I2724),IF(I2724&lt;1,I2724,I2724*VLOOKUP(J2724,Summary!$H$2:$I$9,2)),VLOOKUP(J2724,Summary!$J$2:$K$9,2)*IF(ISNUMBER(H2724),H2724,1))</f>
        <v>1.6278009259259263</v>
      </c>
      <c r="AG2724" s="291">
        <v>2723</v>
      </c>
      <c r="AH2724" s="94"/>
      <c r="AI2724" s="94"/>
    </row>
    <row r="2725" spans="1:35" s="27" customFormat="1" ht="12" customHeight="1" x14ac:dyDescent="0.25">
      <c r="A2725" s="543" t="s">
        <v>1203</v>
      </c>
      <c r="B2725" s="543">
        <v>7</v>
      </c>
      <c r="C2725" s="549">
        <v>66</v>
      </c>
      <c r="D2725" s="185" t="s">
        <v>3389</v>
      </c>
      <c r="E2725" s="314" t="s">
        <v>661</v>
      </c>
      <c r="F2725" s="183">
        <v>34213</v>
      </c>
      <c r="G2725" s="183">
        <v>34304</v>
      </c>
      <c r="H2725" s="185">
        <v>4</v>
      </c>
      <c r="I2725" s="185">
        <v>25</v>
      </c>
      <c r="J2725" s="901" t="s">
        <v>1796</v>
      </c>
      <c r="K2725" s="163" t="s">
        <v>552</v>
      </c>
      <c r="L2725" s="163" t="s">
        <v>553</v>
      </c>
      <c r="M2725" s="163"/>
      <c r="N2725" s="163" t="s">
        <v>7375</v>
      </c>
      <c r="O2725" s="163"/>
      <c r="P2725" s="182" t="s">
        <v>461</v>
      </c>
      <c r="Q2725" s="163" t="s">
        <v>4062</v>
      </c>
      <c r="R2725" s="186" t="s">
        <v>5266</v>
      </c>
      <c r="S2725" s="355" t="s">
        <v>2542</v>
      </c>
      <c r="T2725" s="182" t="s">
        <v>2611</v>
      </c>
      <c r="U2725" s="182"/>
      <c r="V2725" s="182"/>
      <c r="W2725" s="314"/>
      <c r="X2725" s="646" t="s">
        <v>12513</v>
      </c>
      <c r="Y2725" s="355"/>
      <c r="Z2725" s="220"/>
      <c r="AA2725" s="185"/>
      <c r="AB2725" s="33">
        <f t="shared" ca="1" si="60"/>
        <v>0.93908511187000088</v>
      </c>
      <c r="AC2725" s="813"/>
      <c r="AD2725" s="211" t="s">
        <v>15833</v>
      </c>
      <c r="AE2725" s="964" t="s">
        <v>15859</v>
      </c>
      <c r="AF2725" s="922">
        <f>IF(X2725=X2724,AF2724,0)+IF(ISNUMBER(I2725),IF(I2725&lt;1,I2725,I2725*VLOOKUP(J2725,Summary!$H$2:$I$9,2)),VLOOKUP(J2725,Summary!$J$2:$K$9,2)*IF(ISNUMBER(H2725),H2725,1))</f>
        <v>8.6805555555555559E-3</v>
      </c>
      <c r="AG2725" s="290">
        <v>2724</v>
      </c>
      <c r="AH2725" s="94"/>
      <c r="AI2725" s="94"/>
    </row>
    <row r="2726" spans="1:35" s="27" customFormat="1" ht="12" customHeight="1" x14ac:dyDescent="0.25">
      <c r="A2726" s="543" t="s">
        <v>1203</v>
      </c>
      <c r="B2726" s="543">
        <v>7</v>
      </c>
      <c r="C2726" s="549">
        <v>67</v>
      </c>
      <c r="D2726" s="185" t="s">
        <v>3390</v>
      </c>
      <c r="E2726" s="314" t="s">
        <v>662</v>
      </c>
      <c r="F2726" s="183">
        <v>34304</v>
      </c>
      <c r="G2726" s="183"/>
      <c r="H2726" s="185">
        <v>1</v>
      </c>
      <c r="I2726" s="185">
        <v>10</v>
      </c>
      <c r="J2726" s="901" t="s">
        <v>1796</v>
      </c>
      <c r="K2726" s="163" t="s">
        <v>3807</v>
      </c>
      <c r="L2726" s="163" t="s">
        <v>3391</v>
      </c>
      <c r="M2726" s="163"/>
      <c r="N2726" s="163" t="s">
        <v>7375</v>
      </c>
      <c r="O2726" s="163"/>
      <c r="P2726" s="182" t="s">
        <v>461</v>
      </c>
      <c r="Q2726" s="163" t="s">
        <v>4062</v>
      </c>
      <c r="R2726" s="186" t="s">
        <v>5266</v>
      </c>
      <c r="S2726" s="355" t="s">
        <v>2542</v>
      </c>
      <c r="T2726" s="182" t="s">
        <v>2611</v>
      </c>
      <c r="U2726" s="397" t="s">
        <v>3392</v>
      </c>
      <c r="V2726" s="182"/>
      <c r="W2726" s="314" t="s">
        <v>662</v>
      </c>
      <c r="X2726" s="646" t="s">
        <v>12513</v>
      </c>
      <c r="Y2726" s="355"/>
      <c r="Z2726" s="220"/>
      <c r="AA2726" s="185"/>
      <c r="AB2726" s="33">
        <f t="shared" ca="1" si="60"/>
        <v>0.51902095806976956</v>
      </c>
      <c r="AC2726" s="813"/>
      <c r="AD2726" s="211" t="s">
        <v>16040</v>
      </c>
      <c r="AE2726" s="941" t="s">
        <v>15093</v>
      </c>
      <c r="AF2726" s="922">
        <f>IF(X2726=X2725,AF2725,0)+IF(ISNUMBER(I2726),IF(I2726&lt;1,I2726,I2726*VLOOKUP(J2726,Summary!$H$2:$I$9,2)),VLOOKUP(J2726,Summary!$J$2:$K$9,2)*IF(ISNUMBER(H2726),H2726,1))</f>
        <v>1.2152777777777778E-2</v>
      </c>
      <c r="AG2726" s="290">
        <v>2725</v>
      </c>
      <c r="AH2726" s="94"/>
      <c r="AI2726" s="94"/>
    </row>
    <row r="2727" spans="1:35" s="22" customFormat="1" ht="12" customHeight="1" x14ac:dyDescent="0.25">
      <c r="A2727" s="539" t="s">
        <v>1203</v>
      </c>
      <c r="B2727" s="539">
        <v>7</v>
      </c>
      <c r="C2727" s="540">
        <v>10</v>
      </c>
      <c r="D2727" s="176" t="s">
        <v>14106</v>
      </c>
      <c r="E2727" s="313" t="s">
        <v>14107</v>
      </c>
      <c r="F2727" s="175">
        <v>34187</v>
      </c>
      <c r="G2727" s="174"/>
      <c r="H2727" s="176">
        <v>1</v>
      </c>
      <c r="I2727" s="176">
        <v>2</v>
      </c>
      <c r="J2727" s="900" t="s">
        <v>2755</v>
      </c>
      <c r="K2727" s="164" t="s">
        <v>4556</v>
      </c>
      <c r="L2727" s="164" t="s">
        <v>10253</v>
      </c>
      <c r="M2727" s="164"/>
      <c r="N2727" s="164" t="s">
        <v>7375</v>
      </c>
      <c r="O2727" s="164"/>
      <c r="P2727" s="173" t="s">
        <v>461</v>
      </c>
      <c r="Q2727" s="164" t="s">
        <v>4062</v>
      </c>
      <c r="R2727" s="177" t="s">
        <v>14089</v>
      </c>
      <c r="S2727" s="354" t="s">
        <v>2542</v>
      </c>
      <c r="T2727" s="173"/>
      <c r="U2727" s="173" t="s">
        <v>2595</v>
      </c>
      <c r="V2727" s="173"/>
      <c r="W2727" s="313" t="s">
        <v>14107</v>
      </c>
      <c r="X2727" s="645" t="s">
        <v>12513</v>
      </c>
      <c r="Y2727" s="354"/>
      <c r="Z2727" s="176"/>
      <c r="AA2727" s="176"/>
      <c r="AB2727" s="32">
        <f t="shared" ca="1" si="60"/>
        <v>0.95786651441889004</v>
      </c>
      <c r="AC2727" s="812"/>
      <c r="AD2727" s="763"/>
      <c r="AE2727" s="807"/>
      <c r="AF2727" s="921">
        <f>IF(X2727=X2726,AF2726,0)+IF(ISNUMBER(I2727),IF(I2727&lt;1,I2727,I2727*VLOOKUP(J2727,Summary!$H$2:$I$9,2)),VLOOKUP(J2727,Summary!$J$2:$K$9,2)*IF(ISNUMBER(H2727),H2727,1))</f>
        <v>1.3541666666666667E-2</v>
      </c>
      <c r="AG2727" s="289">
        <v>2726</v>
      </c>
      <c r="AH2727" s="94"/>
      <c r="AI2727" s="94"/>
    </row>
    <row r="2728" spans="1:35" s="3" customFormat="1" ht="12" customHeight="1" x14ac:dyDescent="0.25">
      <c r="A2728" s="550" t="s">
        <v>1203</v>
      </c>
      <c r="B2728" s="550">
        <v>7</v>
      </c>
      <c r="C2728" s="550">
        <v>17</v>
      </c>
      <c r="D2728" s="417" t="s">
        <v>10293</v>
      </c>
      <c r="E2728" s="316" t="s">
        <v>43</v>
      </c>
      <c r="F2728" s="195">
        <v>34200</v>
      </c>
      <c r="G2728" s="188"/>
      <c r="H2728" s="188">
        <v>4</v>
      </c>
      <c r="I2728" s="188">
        <v>216</v>
      </c>
      <c r="J2728" s="902" t="s">
        <v>6868</v>
      </c>
      <c r="K2728" s="162" t="s">
        <v>4556</v>
      </c>
      <c r="L2728" s="162" t="str">
        <f>IF(J2728="Book","n/a","")</f>
        <v>n/a</v>
      </c>
      <c r="M2728" s="162"/>
      <c r="N2728" s="162"/>
      <c r="O2728" s="162"/>
      <c r="P2728" s="178" t="s">
        <v>10294</v>
      </c>
      <c r="Q2728" s="162" t="s">
        <v>601</v>
      </c>
      <c r="R2728" s="189" t="s">
        <v>2716</v>
      </c>
      <c r="S2728" s="366" t="s">
        <v>2542</v>
      </c>
      <c r="T2728" s="178" t="s">
        <v>2611</v>
      </c>
      <c r="U2728" s="178"/>
      <c r="V2728" s="178"/>
      <c r="W2728" s="316" t="s">
        <v>11474</v>
      </c>
      <c r="X2728" s="648" t="s">
        <v>12513</v>
      </c>
      <c r="Y2728" s="356"/>
      <c r="Z2728" s="885">
        <v>208</v>
      </c>
      <c r="AA2728" s="272">
        <v>3</v>
      </c>
      <c r="AB2728" s="34">
        <f t="shared" ca="1" si="60"/>
        <v>0.7613999105351279</v>
      </c>
      <c r="AC2728" s="814"/>
      <c r="AD2728" s="815" t="s">
        <v>16665</v>
      </c>
      <c r="AE2728" s="942" t="s">
        <v>16524</v>
      </c>
      <c r="AF2728" s="923">
        <f>IF(X2728=X2727,AF2727,0)+IF(ISNUMBER(I2728),IF(I2728&lt;1,I2728,I2728*VLOOKUP(J2728,Summary!$H$2:$I$9,2)),VLOOKUP(J2728,Summary!$J$2:$K$9,2)*IF(ISNUMBER(H2728),H2728,1))</f>
        <v>0.16354166666666667</v>
      </c>
      <c r="AG2728" s="291">
        <v>2727</v>
      </c>
      <c r="AH2728" s="94"/>
      <c r="AI2728" s="94"/>
    </row>
    <row r="2729" spans="1:35" s="22" customFormat="1" ht="12" customHeight="1" x14ac:dyDescent="0.25">
      <c r="A2729" s="408" t="s">
        <v>1203</v>
      </c>
      <c r="B2729" s="440" t="s">
        <v>2650</v>
      </c>
      <c r="C2729" s="408">
        <v>11</v>
      </c>
      <c r="D2729" s="176" t="s">
        <v>14108</v>
      </c>
      <c r="E2729" s="313" t="s">
        <v>14109</v>
      </c>
      <c r="F2729" s="175">
        <v>34214</v>
      </c>
      <c r="G2729" s="174"/>
      <c r="H2729" s="176">
        <v>1</v>
      </c>
      <c r="I2729" s="176">
        <v>2</v>
      </c>
      <c r="J2729" s="900" t="s">
        <v>2755</v>
      </c>
      <c r="K2729" s="164" t="s">
        <v>4735</v>
      </c>
      <c r="L2729" s="164" t="s">
        <v>10253</v>
      </c>
      <c r="M2729" s="164"/>
      <c r="N2729" s="164" t="s">
        <v>7375</v>
      </c>
      <c r="O2729" s="164"/>
      <c r="P2729" s="173" t="s">
        <v>461</v>
      </c>
      <c r="Q2729" s="164" t="s">
        <v>4062</v>
      </c>
      <c r="R2729" s="177" t="s">
        <v>14089</v>
      </c>
      <c r="S2729" s="354"/>
      <c r="T2729" s="173"/>
      <c r="U2729" s="173"/>
      <c r="V2729" s="173"/>
      <c r="W2729" s="313" t="s">
        <v>14109</v>
      </c>
      <c r="X2729" s="645" t="s">
        <v>12513</v>
      </c>
      <c r="Y2729" s="354"/>
      <c r="Z2729" s="176"/>
      <c r="AA2729" s="176"/>
      <c r="AB2729" s="32">
        <f t="shared" ca="1" si="60"/>
        <v>0.46794405739591916</v>
      </c>
      <c r="AC2729" s="812"/>
      <c r="AD2729" s="763"/>
      <c r="AE2729" s="807"/>
      <c r="AF2729" s="921">
        <f>IF(X2729=X2728,AF2728,0)+IF(ISNUMBER(I2729),IF(I2729&lt;1,I2729,I2729*VLOOKUP(J2729,Summary!$H$2:$I$9,2)),VLOOKUP(J2729,Summary!$J$2:$K$9,2)*IF(ISNUMBER(H2729),H2729,1))</f>
        <v>0.16493055555555555</v>
      </c>
      <c r="AG2729" s="289">
        <v>2728</v>
      </c>
      <c r="AH2729" s="94"/>
      <c r="AI2729" s="94"/>
    </row>
    <row r="2730" spans="1:35" s="3" customFormat="1" ht="12" customHeight="1" x14ac:dyDescent="0.25">
      <c r="A2730" s="550" t="s">
        <v>1203</v>
      </c>
      <c r="B2730" s="550">
        <v>7</v>
      </c>
      <c r="C2730" s="550">
        <v>18</v>
      </c>
      <c r="D2730" s="417" t="s">
        <v>44</v>
      </c>
      <c r="E2730" s="316" t="s">
        <v>45</v>
      </c>
      <c r="F2730" s="195">
        <v>34218</v>
      </c>
      <c r="G2730" s="188"/>
      <c r="H2730" s="188" t="str">
        <f>IF(J2730="Book","n/a","")</f>
        <v>n/a</v>
      </c>
      <c r="I2730" s="188">
        <v>253</v>
      </c>
      <c r="J2730" s="902" t="s">
        <v>6868</v>
      </c>
      <c r="K2730" s="162" t="s">
        <v>4735</v>
      </c>
      <c r="L2730" s="162" t="str">
        <f>IF(J2730="Book","n/a","")</f>
        <v>n/a</v>
      </c>
      <c r="M2730" s="162"/>
      <c r="N2730" s="162"/>
      <c r="O2730" s="162"/>
      <c r="P2730" s="178" t="s">
        <v>8780</v>
      </c>
      <c r="Q2730" s="162" t="s">
        <v>601</v>
      </c>
      <c r="R2730" s="189" t="s">
        <v>2716</v>
      </c>
      <c r="S2730" s="366" t="s">
        <v>2542</v>
      </c>
      <c r="T2730" s="178" t="s">
        <v>2611</v>
      </c>
      <c r="U2730" s="178"/>
      <c r="V2730" s="178"/>
      <c r="W2730" s="316" t="s">
        <v>45</v>
      </c>
      <c r="X2730" s="648" t="s">
        <v>12513</v>
      </c>
      <c r="Y2730" s="356"/>
      <c r="Z2730" s="885">
        <v>183</v>
      </c>
      <c r="AA2730" s="272">
        <v>3.5</v>
      </c>
      <c r="AB2730" s="34">
        <f t="shared" ca="1" si="60"/>
        <v>0.94340725369855793</v>
      </c>
      <c r="AC2730" s="814"/>
      <c r="AD2730" s="815" t="s">
        <v>14898</v>
      </c>
      <c r="AE2730" s="942"/>
      <c r="AF2730" s="923">
        <f>IF(X2730=X2729,AF2729,0)+IF(ISNUMBER(I2730),IF(I2730&lt;1,I2730,I2730*VLOOKUP(J2730,Summary!$H$2:$I$9,2)),VLOOKUP(J2730,Summary!$J$2:$K$9,2)*IF(ISNUMBER(H2730),H2730,1))</f>
        <v>0.34062500000000001</v>
      </c>
      <c r="AG2730" s="291">
        <v>2729</v>
      </c>
      <c r="AH2730" s="94"/>
      <c r="AI2730" s="94"/>
    </row>
    <row r="2731" spans="1:35" s="22" customFormat="1" ht="12" customHeight="1" x14ac:dyDescent="0.25">
      <c r="A2731" s="408" t="s">
        <v>1203</v>
      </c>
      <c r="B2731" s="440" t="s">
        <v>2650</v>
      </c>
      <c r="C2731" s="408">
        <v>12</v>
      </c>
      <c r="D2731" s="176" t="s">
        <v>14110</v>
      </c>
      <c r="E2731" s="313" t="s">
        <v>14111</v>
      </c>
      <c r="F2731" s="175">
        <v>34242</v>
      </c>
      <c r="G2731" s="174"/>
      <c r="H2731" s="176">
        <v>1</v>
      </c>
      <c r="I2731" s="176">
        <v>2</v>
      </c>
      <c r="J2731" s="900" t="s">
        <v>2755</v>
      </c>
      <c r="K2731" s="164" t="s">
        <v>1932</v>
      </c>
      <c r="L2731" s="164" t="s">
        <v>10253</v>
      </c>
      <c r="M2731" s="164"/>
      <c r="N2731" s="164" t="s">
        <v>7375</v>
      </c>
      <c r="O2731" s="164"/>
      <c r="P2731" s="173" t="s">
        <v>461</v>
      </c>
      <c r="Q2731" s="164" t="s">
        <v>4062</v>
      </c>
      <c r="R2731" s="177" t="s">
        <v>14089</v>
      </c>
      <c r="S2731" s="354"/>
      <c r="T2731" s="173"/>
      <c r="U2731" s="173"/>
      <c r="V2731" s="173"/>
      <c r="W2731" s="313" t="s">
        <v>14111</v>
      </c>
      <c r="X2731" s="645" t="s">
        <v>12513</v>
      </c>
      <c r="Y2731" s="354"/>
      <c r="Z2731" s="176"/>
      <c r="AA2731" s="176"/>
      <c r="AB2731" s="32">
        <f t="shared" ca="1" si="60"/>
        <v>0.31545404294296209</v>
      </c>
      <c r="AC2731" s="812"/>
      <c r="AD2731" s="763"/>
      <c r="AE2731" s="807"/>
      <c r="AF2731" s="921">
        <f>IF(X2731=X2730,AF2730,0)+IF(ISNUMBER(I2731),IF(I2731&lt;1,I2731,I2731*VLOOKUP(J2731,Summary!$H$2:$I$9,2)),VLOOKUP(J2731,Summary!$J$2:$K$9,2)*IF(ISNUMBER(H2731),H2731,1))</f>
        <v>0.3420138888888889</v>
      </c>
      <c r="AG2731" s="289">
        <v>2730</v>
      </c>
      <c r="AH2731" s="94"/>
      <c r="AI2731" s="94"/>
    </row>
    <row r="2732" spans="1:35" s="3" customFormat="1" ht="12" customHeight="1" x14ac:dyDescent="0.25">
      <c r="A2732" s="550" t="s">
        <v>1203</v>
      </c>
      <c r="B2732" s="550">
        <v>7</v>
      </c>
      <c r="C2732" s="550">
        <v>19</v>
      </c>
      <c r="D2732" s="417" t="s">
        <v>46</v>
      </c>
      <c r="E2732" s="316" t="s">
        <v>47</v>
      </c>
      <c r="F2732" s="195">
        <v>34263</v>
      </c>
      <c r="G2732" s="188"/>
      <c r="H2732" s="188">
        <v>5</v>
      </c>
      <c r="I2732" s="188">
        <v>309</v>
      </c>
      <c r="J2732" s="902" t="s">
        <v>6868</v>
      </c>
      <c r="K2732" s="162" t="s">
        <v>1932</v>
      </c>
      <c r="L2732" s="162" t="str">
        <f>IF(J2732="Book","n/a","")</f>
        <v>n/a</v>
      </c>
      <c r="M2732" s="162"/>
      <c r="N2732" s="162"/>
      <c r="O2732" s="162"/>
      <c r="P2732" s="178" t="s">
        <v>8781</v>
      </c>
      <c r="Q2732" s="162" t="s">
        <v>601</v>
      </c>
      <c r="R2732" s="189" t="s">
        <v>2716</v>
      </c>
      <c r="S2732" s="366" t="s">
        <v>2542</v>
      </c>
      <c r="T2732" s="178" t="s">
        <v>2611</v>
      </c>
      <c r="U2732" s="178"/>
      <c r="V2732" s="178"/>
      <c r="W2732" s="316" t="s">
        <v>11475</v>
      </c>
      <c r="X2732" s="648" t="s">
        <v>12513</v>
      </c>
      <c r="Y2732" s="356" t="s">
        <v>6868</v>
      </c>
      <c r="Z2732" s="885">
        <v>40</v>
      </c>
      <c r="AA2732" s="272">
        <v>7.5</v>
      </c>
      <c r="AB2732" s="34">
        <f t="shared" ca="1" si="60"/>
        <v>0.723482588035257</v>
      </c>
      <c r="AC2732" s="814"/>
      <c r="AD2732" s="815" t="s">
        <v>16040</v>
      </c>
      <c r="AE2732" s="950" t="s">
        <v>15860</v>
      </c>
      <c r="AF2732" s="923">
        <f>IF(X2732=X2731,AF2731,0)+IF(ISNUMBER(I2732),IF(I2732&lt;1,I2732,I2732*VLOOKUP(J2732,Summary!$H$2:$I$9,2)),VLOOKUP(J2732,Summary!$J$2:$K$9,2)*IF(ISNUMBER(H2732),H2732,1))</f>
        <v>0.55659722222222219</v>
      </c>
      <c r="AG2732" s="291">
        <v>2731</v>
      </c>
      <c r="AH2732" s="94"/>
      <c r="AI2732" s="94"/>
    </row>
    <row r="2733" spans="1:35" s="22" customFormat="1" ht="12" customHeight="1" x14ac:dyDescent="0.25">
      <c r="A2733" s="539" t="s">
        <v>1203</v>
      </c>
      <c r="B2733" s="539">
        <v>7</v>
      </c>
      <c r="C2733" s="540">
        <v>13</v>
      </c>
      <c r="D2733" s="176" t="s">
        <v>14112</v>
      </c>
      <c r="E2733" s="313" t="s">
        <v>14113</v>
      </c>
      <c r="F2733" s="175">
        <v>34270</v>
      </c>
      <c r="G2733" s="174"/>
      <c r="H2733" s="176">
        <v>1</v>
      </c>
      <c r="I2733" s="176">
        <v>2</v>
      </c>
      <c r="J2733" s="900" t="s">
        <v>2755</v>
      </c>
      <c r="K2733" s="164" t="s">
        <v>4148</v>
      </c>
      <c r="L2733" s="164" t="s">
        <v>10253</v>
      </c>
      <c r="M2733" s="164"/>
      <c r="N2733" s="164" t="s">
        <v>7375</v>
      </c>
      <c r="O2733" s="164"/>
      <c r="P2733" s="173" t="s">
        <v>461</v>
      </c>
      <c r="Q2733" s="164" t="s">
        <v>4062</v>
      </c>
      <c r="R2733" s="177" t="s">
        <v>14089</v>
      </c>
      <c r="S2733" s="354"/>
      <c r="T2733" s="173"/>
      <c r="U2733" s="173"/>
      <c r="V2733" s="173"/>
      <c r="W2733" s="313" t="s">
        <v>14113</v>
      </c>
      <c r="X2733" s="645" t="s">
        <v>12513</v>
      </c>
      <c r="Y2733" s="354"/>
      <c r="Z2733" s="176"/>
      <c r="AA2733" s="176"/>
      <c r="AB2733" s="32">
        <f t="shared" ca="1" si="60"/>
        <v>0.95282021012537033</v>
      </c>
      <c r="AC2733" s="812"/>
      <c r="AD2733" s="763"/>
      <c r="AE2733" s="807"/>
      <c r="AF2733" s="921">
        <f>IF(X2733=X2732,AF2732,0)+IF(ISNUMBER(I2733),IF(I2733&lt;1,I2733,I2733*VLOOKUP(J2733,Summary!$H$2:$I$9,2)),VLOOKUP(J2733,Summary!$J$2:$K$9,2)*IF(ISNUMBER(H2733),H2733,1))</f>
        <v>0.55798611111111107</v>
      </c>
      <c r="AG2733" s="289">
        <v>2732</v>
      </c>
      <c r="AH2733" s="94"/>
      <c r="AI2733" s="94"/>
    </row>
    <row r="2734" spans="1:35" s="3" customFormat="1" ht="12" customHeight="1" x14ac:dyDescent="0.25">
      <c r="A2734" s="550" t="s">
        <v>1203</v>
      </c>
      <c r="B2734" s="550">
        <v>7</v>
      </c>
      <c r="C2734" s="550">
        <v>20</v>
      </c>
      <c r="D2734" s="417" t="s">
        <v>48</v>
      </c>
      <c r="E2734" s="316" t="s">
        <v>49</v>
      </c>
      <c r="F2734" s="195">
        <v>34291</v>
      </c>
      <c r="G2734" s="188"/>
      <c r="H2734" s="188" t="str">
        <f>IF(J2734="Book","n/a","")</f>
        <v>n/a</v>
      </c>
      <c r="I2734" s="188">
        <v>247</v>
      </c>
      <c r="J2734" s="902" t="s">
        <v>6868</v>
      </c>
      <c r="K2734" s="162" t="s">
        <v>4148</v>
      </c>
      <c r="L2734" s="162" t="str">
        <f>IF(J2734="Book","n/a","")</f>
        <v>n/a</v>
      </c>
      <c r="M2734" s="162"/>
      <c r="N2734" s="162"/>
      <c r="O2734" s="162"/>
      <c r="P2734" s="178" t="s">
        <v>8782</v>
      </c>
      <c r="Q2734" s="162" t="s">
        <v>601</v>
      </c>
      <c r="R2734" s="189" t="s">
        <v>2716</v>
      </c>
      <c r="S2734" s="366" t="s">
        <v>2542</v>
      </c>
      <c r="T2734" s="178" t="s">
        <v>2611</v>
      </c>
      <c r="U2734" s="178"/>
      <c r="V2734" s="178"/>
      <c r="W2734" s="316" t="s">
        <v>49</v>
      </c>
      <c r="X2734" s="648" t="s">
        <v>12513</v>
      </c>
      <c r="Y2734" s="356"/>
      <c r="Z2734" s="885">
        <v>153</v>
      </c>
      <c r="AA2734" s="272">
        <v>4.5</v>
      </c>
      <c r="AB2734" s="34">
        <f t="shared" ca="1" si="60"/>
        <v>8.3766280029268225E-2</v>
      </c>
      <c r="AC2734" s="814"/>
      <c r="AD2734" s="815" t="s">
        <v>16187</v>
      </c>
      <c r="AE2734" s="942" t="s">
        <v>16188</v>
      </c>
      <c r="AF2734" s="923">
        <f>IF(X2734=X2733,AF2733,0)+IF(ISNUMBER(I2734),IF(I2734&lt;1,I2734,I2734*VLOOKUP(J2734,Summary!$H$2:$I$9,2)),VLOOKUP(J2734,Summary!$J$2:$K$9,2)*IF(ISNUMBER(H2734),H2734,1))</f>
        <v>0.7295138888888888</v>
      </c>
      <c r="AG2734" s="291">
        <v>2733</v>
      </c>
      <c r="AH2734" s="94"/>
      <c r="AI2734" s="94"/>
    </row>
    <row r="2735" spans="1:35" s="22" customFormat="1" ht="12" customHeight="1" x14ac:dyDescent="0.25">
      <c r="A2735" s="539" t="s">
        <v>1203</v>
      </c>
      <c r="B2735" s="539">
        <v>7</v>
      </c>
      <c r="C2735" s="540">
        <v>14</v>
      </c>
      <c r="D2735" s="176" t="s">
        <v>14115</v>
      </c>
      <c r="E2735" s="313" t="s">
        <v>14114</v>
      </c>
      <c r="F2735" s="175">
        <v>34298</v>
      </c>
      <c r="G2735" s="174"/>
      <c r="H2735" s="176">
        <v>1</v>
      </c>
      <c r="I2735" s="176">
        <v>2</v>
      </c>
      <c r="J2735" s="900" t="s">
        <v>2755</v>
      </c>
      <c r="K2735" s="164" t="s">
        <v>7800</v>
      </c>
      <c r="L2735" s="164" t="s">
        <v>10253</v>
      </c>
      <c r="M2735" s="164"/>
      <c r="N2735" s="164" t="s">
        <v>7375</v>
      </c>
      <c r="O2735" s="164"/>
      <c r="P2735" s="173" t="s">
        <v>461</v>
      </c>
      <c r="Q2735" s="164" t="s">
        <v>4062</v>
      </c>
      <c r="R2735" s="177" t="s">
        <v>14089</v>
      </c>
      <c r="S2735" s="354"/>
      <c r="T2735" s="173"/>
      <c r="U2735" s="173"/>
      <c r="V2735" s="173"/>
      <c r="W2735" s="313" t="s">
        <v>14114</v>
      </c>
      <c r="X2735" s="645" t="s">
        <v>12513</v>
      </c>
      <c r="Y2735" s="354"/>
      <c r="Z2735" s="176"/>
      <c r="AA2735" s="176"/>
      <c r="AB2735" s="32">
        <f t="shared" ca="1" si="60"/>
        <v>0.92392591581763761</v>
      </c>
      <c r="AC2735" s="812"/>
      <c r="AD2735" s="763"/>
      <c r="AE2735" s="807"/>
      <c r="AF2735" s="921">
        <f>IF(X2735=X2734,AF2734,0)+IF(ISNUMBER(I2735),IF(I2735&lt;1,I2735,I2735*VLOOKUP(J2735,Summary!$H$2:$I$9,2)),VLOOKUP(J2735,Summary!$J$2:$K$9,2)*IF(ISNUMBER(H2735),H2735,1))</f>
        <v>0.73090277777777768</v>
      </c>
      <c r="AG2735" s="289">
        <v>2734</v>
      </c>
      <c r="AH2735" s="94"/>
      <c r="AI2735" s="94"/>
    </row>
    <row r="2736" spans="1:35" s="22" customFormat="1" ht="12" customHeight="1" x14ac:dyDescent="0.25">
      <c r="A2736" s="550" t="s">
        <v>1203</v>
      </c>
      <c r="B2736" s="550">
        <v>7</v>
      </c>
      <c r="C2736" s="550">
        <v>21</v>
      </c>
      <c r="D2736" s="417" t="s">
        <v>50</v>
      </c>
      <c r="E2736" s="316" t="s">
        <v>1180</v>
      </c>
      <c r="F2736" s="195">
        <v>34305</v>
      </c>
      <c r="G2736" s="188"/>
      <c r="H2736" s="188">
        <v>3</v>
      </c>
      <c r="I2736" s="188">
        <v>264</v>
      </c>
      <c r="J2736" s="902" t="s">
        <v>6868</v>
      </c>
      <c r="K2736" s="162" t="s">
        <v>7800</v>
      </c>
      <c r="L2736" s="162" t="str">
        <f>IF(J2736="Book","n/a","")</f>
        <v>n/a</v>
      </c>
      <c r="M2736" s="162"/>
      <c r="N2736" s="162"/>
      <c r="O2736" s="162"/>
      <c r="P2736" s="178" t="s">
        <v>8783</v>
      </c>
      <c r="Q2736" s="162" t="s">
        <v>601</v>
      </c>
      <c r="R2736" s="189" t="s">
        <v>2716</v>
      </c>
      <c r="S2736" s="366" t="s">
        <v>2542</v>
      </c>
      <c r="T2736" s="178" t="s">
        <v>2611</v>
      </c>
      <c r="U2736" s="178"/>
      <c r="V2736" s="178"/>
      <c r="W2736" s="316" t="s">
        <v>11476</v>
      </c>
      <c r="X2736" s="648" t="s">
        <v>12513</v>
      </c>
      <c r="Y2736" s="356" t="s">
        <v>6868</v>
      </c>
      <c r="Z2736" s="272">
        <v>25</v>
      </c>
      <c r="AA2736" s="272">
        <v>8.5</v>
      </c>
      <c r="AB2736" s="34">
        <f t="shared" ca="1" si="60"/>
        <v>0.90550618006683137</v>
      </c>
      <c r="AC2736" s="814"/>
      <c r="AD2736" s="815" t="s">
        <v>16669</v>
      </c>
      <c r="AE2736" s="942" t="s">
        <v>3234</v>
      </c>
      <c r="AF2736" s="923">
        <f>IF(X2736=X2735,AF2735,0)+IF(ISNUMBER(I2736),IF(I2736&lt;1,I2736,I2736*VLOOKUP(J2736,Summary!$H$2:$I$9,2)),VLOOKUP(J2736,Summary!$J$2:$K$9,2)*IF(ISNUMBER(H2736),H2736,1))</f>
        <v>0.91423611111111103</v>
      </c>
      <c r="AG2736" s="291">
        <v>2735</v>
      </c>
      <c r="AH2736" s="94"/>
      <c r="AI2736" s="94"/>
    </row>
    <row r="2737" spans="1:35" s="22" customFormat="1" ht="12" customHeight="1" x14ac:dyDescent="0.25">
      <c r="A2737" s="539" t="s">
        <v>1203</v>
      </c>
      <c r="B2737" s="539" t="s">
        <v>6869</v>
      </c>
      <c r="C2737" s="540">
        <v>15</v>
      </c>
      <c r="D2737" s="176" t="s">
        <v>14118</v>
      </c>
      <c r="E2737" s="313" t="s">
        <v>14116</v>
      </c>
      <c r="F2737" s="175">
        <v>34326</v>
      </c>
      <c r="G2737" s="174"/>
      <c r="H2737" s="176">
        <v>1</v>
      </c>
      <c r="I2737" s="176">
        <v>2</v>
      </c>
      <c r="J2737" s="900" t="s">
        <v>2755</v>
      </c>
      <c r="K2737" s="164" t="s">
        <v>176</v>
      </c>
      <c r="L2737" s="164" t="s">
        <v>10253</v>
      </c>
      <c r="M2737" s="164"/>
      <c r="N2737" s="164" t="s">
        <v>7375</v>
      </c>
      <c r="O2737" s="164"/>
      <c r="P2737" s="173" t="s">
        <v>461</v>
      </c>
      <c r="Q2737" s="164" t="s">
        <v>4062</v>
      </c>
      <c r="R2737" s="177" t="s">
        <v>14089</v>
      </c>
      <c r="S2737" s="354"/>
      <c r="T2737" s="173" t="s">
        <v>2751</v>
      </c>
      <c r="U2737" s="173" t="s">
        <v>2752</v>
      </c>
      <c r="V2737" s="173"/>
      <c r="W2737" s="313" t="s">
        <v>14116</v>
      </c>
      <c r="X2737" s="645" t="s">
        <v>12513</v>
      </c>
      <c r="Y2737" s="354"/>
      <c r="Z2737" s="176"/>
      <c r="AA2737" s="176"/>
      <c r="AB2737" s="32">
        <f t="shared" ca="1" si="60"/>
        <v>0.32009328617234645</v>
      </c>
      <c r="AC2737" s="812"/>
      <c r="AD2737" s="763"/>
      <c r="AE2737" s="807"/>
      <c r="AF2737" s="921">
        <f>IF(X2737=X2736,AF2736,0)+IF(ISNUMBER(I2737),IF(I2737&lt;1,I2737,I2737*VLOOKUP(J2737,Summary!$H$2:$I$9,2)),VLOOKUP(J2737,Summary!$J$2:$K$9,2)*IF(ISNUMBER(H2737),H2737,1))</f>
        <v>0.91562499999999991</v>
      </c>
      <c r="AG2737" s="289">
        <v>2736</v>
      </c>
      <c r="AH2737" s="94"/>
      <c r="AI2737" s="94"/>
    </row>
    <row r="2738" spans="1:35" s="22" customFormat="1" ht="12" customHeight="1" x14ac:dyDescent="0.25">
      <c r="A2738" s="550" t="s">
        <v>1203</v>
      </c>
      <c r="B2738" s="550">
        <v>7</v>
      </c>
      <c r="C2738" s="550">
        <v>22</v>
      </c>
      <c r="D2738" s="417" t="s">
        <v>1181</v>
      </c>
      <c r="E2738" s="316" t="s">
        <v>1182</v>
      </c>
      <c r="F2738" s="195">
        <v>34354</v>
      </c>
      <c r="G2738" s="188"/>
      <c r="H2738" s="188" t="str">
        <f>IF(J2738="Book","n/a","")</f>
        <v>n/a</v>
      </c>
      <c r="I2738" s="188">
        <v>261</v>
      </c>
      <c r="J2738" s="902" t="s">
        <v>6868</v>
      </c>
      <c r="K2738" s="162" t="s">
        <v>176</v>
      </c>
      <c r="L2738" s="162" t="str">
        <f>IF(J2738="Book","n/a","")</f>
        <v>n/a</v>
      </c>
      <c r="M2738" s="162"/>
      <c r="N2738" s="162"/>
      <c r="O2738" s="162"/>
      <c r="P2738" s="178" t="s">
        <v>8784</v>
      </c>
      <c r="Q2738" s="162" t="s">
        <v>601</v>
      </c>
      <c r="R2738" s="189" t="s">
        <v>2716</v>
      </c>
      <c r="S2738" s="366" t="s">
        <v>2542</v>
      </c>
      <c r="T2738" s="178" t="s">
        <v>2611</v>
      </c>
      <c r="U2738" s="178"/>
      <c r="V2738" s="178"/>
      <c r="W2738" s="316" t="s">
        <v>1182</v>
      </c>
      <c r="X2738" s="648" t="s">
        <v>12513</v>
      </c>
      <c r="Y2738" s="356"/>
      <c r="Z2738" s="272">
        <v>167</v>
      </c>
      <c r="AA2738" s="272">
        <v>4</v>
      </c>
      <c r="AB2738" s="34">
        <f t="shared" ca="1" si="60"/>
        <v>0.73876136578219098</v>
      </c>
      <c r="AC2738" s="814"/>
      <c r="AD2738" s="815" t="s">
        <v>16041</v>
      </c>
      <c r="AE2738" s="950" t="s">
        <v>15860</v>
      </c>
      <c r="AF2738" s="923">
        <f>IF(X2738=X2737,AF2737,0)+IF(ISNUMBER(I2738),IF(I2738&lt;1,I2738,I2738*VLOOKUP(J2738,Summary!$H$2:$I$9,2)),VLOOKUP(J2738,Summary!$J$2:$K$9,2)*IF(ISNUMBER(H2738),H2738,1))</f>
        <v>1.0968749999999998</v>
      </c>
      <c r="AG2738" s="291">
        <v>2737</v>
      </c>
      <c r="AH2738" s="94"/>
      <c r="AI2738" s="94"/>
    </row>
    <row r="2739" spans="1:35" s="1" customFormat="1" ht="12" customHeight="1" x14ac:dyDescent="0.25">
      <c r="A2739" s="538" t="s">
        <v>1203</v>
      </c>
      <c r="B2739" s="538" t="s">
        <v>6869</v>
      </c>
      <c r="C2739" s="538"/>
      <c r="D2739" s="619"/>
      <c r="E2739" s="345" t="s">
        <v>15646</v>
      </c>
      <c r="F2739" s="800">
        <v>33878</v>
      </c>
      <c r="G2739" s="219"/>
      <c r="H2739" s="210" t="s">
        <v>461</v>
      </c>
      <c r="I2739" s="210"/>
      <c r="J2739" s="908" t="s">
        <v>3346</v>
      </c>
      <c r="K2739" s="166" t="s">
        <v>15648</v>
      </c>
      <c r="L2739" s="166"/>
      <c r="M2739" s="166"/>
      <c r="N2739" s="166"/>
      <c r="O2739" s="166" t="s">
        <v>15648</v>
      </c>
      <c r="P2739" s="267" t="s">
        <v>461</v>
      </c>
      <c r="Q2739" s="166" t="s">
        <v>15647</v>
      </c>
      <c r="R2739" s="268" t="s">
        <v>15637</v>
      </c>
      <c r="S2739" s="386" t="s">
        <v>2542</v>
      </c>
      <c r="T2739" s="267" t="s">
        <v>6335</v>
      </c>
      <c r="U2739" s="267"/>
      <c r="V2739" s="267"/>
      <c r="W2739" s="345" t="s">
        <v>15646</v>
      </c>
      <c r="X2739" s="680" t="s">
        <v>12513</v>
      </c>
      <c r="Y2739" s="384"/>
      <c r="Z2739" s="385"/>
      <c r="AA2739" s="385"/>
      <c r="AB2739" s="41">
        <f t="shared" ca="1" si="60"/>
        <v>0.82504173764745781</v>
      </c>
      <c r="AC2739" s="832"/>
      <c r="AD2739" s="833"/>
      <c r="AE2739" s="956"/>
      <c r="AF2739" s="929">
        <f>IF(X2739=X2738,AF2738,0)+IF(ISNUMBER(I2739),IF(I2739&lt;1,I2739,I2739*VLOOKUP(J2739,Summary!$H$2:$I$9,2)),VLOOKUP(J2739,Summary!$J$2:$K$9,2)*IF(ISNUMBER(H2739),H2739,1))</f>
        <v>1.1385416666666666</v>
      </c>
      <c r="AG2739" s="307">
        <v>2738</v>
      </c>
      <c r="AH2739" s="94"/>
      <c r="AI2739" s="94"/>
    </row>
    <row r="2740" spans="1:35" s="22" customFormat="1" ht="12" customHeight="1" x14ac:dyDescent="0.25">
      <c r="A2740" s="408" t="s">
        <v>1203</v>
      </c>
      <c r="B2740" s="440" t="s">
        <v>2650</v>
      </c>
      <c r="C2740" s="408">
        <v>16</v>
      </c>
      <c r="D2740" s="176" t="s">
        <v>14117</v>
      </c>
      <c r="E2740" s="313" t="s">
        <v>14119</v>
      </c>
      <c r="F2740" s="175">
        <v>34354</v>
      </c>
      <c r="G2740" s="174"/>
      <c r="H2740" s="176">
        <v>1</v>
      </c>
      <c r="I2740" s="176">
        <v>2</v>
      </c>
      <c r="J2740" s="900" t="s">
        <v>2755</v>
      </c>
      <c r="K2740" s="164" t="s">
        <v>3807</v>
      </c>
      <c r="L2740" s="164" t="s">
        <v>10253</v>
      </c>
      <c r="M2740" s="164"/>
      <c r="N2740" s="164" t="s">
        <v>7375</v>
      </c>
      <c r="O2740" s="164"/>
      <c r="P2740" s="173" t="s">
        <v>461</v>
      </c>
      <c r="Q2740" s="164" t="s">
        <v>4062</v>
      </c>
      <c r="R2740" s="177" t="s">
        <v>14089</v>
      </c>
      <c r="S2740" s="354"/>
      <c r="T2740" s="173"/>
      <c r="U2740" s="173"/>
      <c r="V2740" s="173"/>
      <c r="W2740" s="313" t="s">
        <v>14119</v>
      </c>
      <c r="X2740" s="645" t="s">
        <v>12513</v>
      </c>
      <c r="Y2740" s="354"/>
      <c r="Z2740" s="176"/>
      <c r="AA2740" s="176"/>
      <c r="AB2740" s="32">
        <f t="shared" ca="1" si="60"/>
        <v>0.23593507465002017</v>
      </c>
      <c r="AC2740" s="812"/>
      <c r="AD2740" s="763"/>
      <c r="AE2740" s="807"/>
      <c r="AF2740" s="921">
        <f>IF(X2740=X2739,AF2739,0)+IF(ISNUMBER(I2740),IF(I2740&lt;1,I2740,I2740*VLOOKUP(J2740,Summary!$H$2:$I$9,2)),VLOOKUP(J2740,Summary!$J$2:$K$9,2)*IF(ISNUMBER(H2740),H2740,1))</f>
        <v>1.1399305555555554</v>
      </c>
      <c r="AG2740" s="289">
        <v>2739</v>
      </c>
      <c r="AH2740" s="94"/>
      <c r="AI2740" s="94"/>
    </row>
    <row r="2741" spans="1:35" s="3" customFormat="1" ht="12" customHeight="1" x14ac:dyDescent="0.25">
      <c r="A2741" s="550" t="s">
        <v>1203</v>
      </c>
      <c r="B2741" s="550">
        <v>7</v>
      </c>
      <c r="C2741" s="550">
        <v>23</v>
      </c>
      <c r="D2741" s="417" t="s">
        <v>1183</v>
      </c>
      <c r="E2741" s="316" t="s">
        <v>2212</v>
      </c>
      <c r="F2741" s="195">
        <v>34382</v>
      </c>
      <c r="G2741" s="188"/>
      <c r="H2741" s="188" t="str">
        <f>IF(J2741="Book","n/a","")</f>
        <v>n/a</v>
      </c>
      <c r="I2741" s="188">
        <v>272</v>
      </c>
      <c r="J2741" s="902" t="s">
        <v>6868</v>
      </c>
      <c r="K2741" s="162" t="s">
        <v>3807</v>
      </c>
      <c r="L2741" s="162" t="str">
        <f>IF(J2741="Book","n/a","")</f>
        <v>n/a</v>
      </c>
      <c r="M2741" s="162"/>
      <c r="N2741" s="162"/>
      <c r="O2741" s="162"/>
      <c r="P2741" s="178" t="s">
        <v>8785</v>
      </c>
      <c r="Q2741" s="162" t="s">
        <v>601</v>
      </c>
      <c r="R2741" s="189" t="s">
        <v>2716</v>
      </c>
      <c r="S2741" s="366" t="s">
        <v>2542</v>
      </c>
      <c r="T2741" s="178" t="s">
        <v>2611</v>
      </c>
      <c r="U2741" s="178"/>
      <c r="V2741" s="178"/>
      <c r="W2741" s="316" t="s">
        <v>2212</v>
      </c>
      <c r="X2741" s="648" t="s">
        <v>12513</v>
      </c>
      <c r="Y2741" s="356"/>
      <c r="Z2741" s="272">
        <v>176</v>
      </c>
      <c r="AA2741" s="272">
        <v>4</v>
      </c>
      <c r="AB2741" s="34">
        <f t="shared" ca="1" si="60"/>
        <v>0.49575220438645728</v>
      </c>
      <c r="AC2741" s="814"/>
      <c r="AD2741" s="815" t="s">
        <v>14897</v>
      </c>
      <c r="AE2741" s="942" t="s">
        <v>3234</v>
      </c>
      <c r="AF2741" s="923">
        <f>IF(X2741=X2740,AF2740,0)+IF(ISNUMBER(I2741),IF(I2741&lt;1,I2741,I2741*VLOOKUP(J2741,Summary!$H$2:$I$9,2)),VLOOKUP(J2741,Summary!$J$2:$K$9,2)*IF(ISNUMBER(H2741),H2741,1))</f>
        <v>1.3288194444444443</v>
      </c>
      <c r="AG2741" s="291">
        <v>2740</v>
      </c>
      <c r="AH2741" s="94"/>
      <c r="AI2741" s="94"/>
    </row>
    <row r="2742" spans="1:35" s="22" customFormat="1" ht="12" customHeight="1" x14ac:dyDescent="0.25">
      <c r="A2742" s="539" t="s">
        <v>2509</v>
      </c>
      <c r="B2742" s="539">
        <v>7</v>
      </c>
      <c r="C2742" s="540">
        <v>17</v>
      </c>
      <c r="D2742" s="176" t="s">
        <v>14120</v>
      </c>
      <c r="E2742" s="313" t="s">
        <v>14121</v>
      </c>
      <c r="F2742" s="175">
        <v>34382</v>
      </c>
      <c r="G2742" s="174"/>
      <c r="H2742" s="176">
        <v>1</v>
      </c>
      <c r="I2742" s="176">
        <v>2</v>
      </c>
      <c r="J2742" s="900" t="s">
        <v>2755</v>
      </c>
      <c r="K2742" s="164" t="s">
        <v>3451</v>
      </c>
      <c r="L2742" s="164" t="s">
        <v>10253</v>
      </c>
      <c r="M2742" s="164"/>
      <c r="N2742" s="164" t="s">
        <v>7375</v>
      </c>
      <c r="O2742" s="164"/>
      <c r="P2742" s="173" t="s">
        <v>461</v>
      </c>
      <c r="Q2742" s="164" t="s">
        <v>4062</v>
      </c>
      <c r="R2742" s="177" t="s">
        <v>14089</v>
      </c>
      <c r="S2742" s="354" t="s">
        <v>2542</v>
      </c>
      <c r="T2742" s="173" t="s">
        <v>2611</v>
      </c>
      <c r="U2742" s="173"/>
      <c r="V2742" s="173"/>
      <c r="W2742" s="313" t="s">
        <v>14121</v>
      </c>
      <c r="X2742" s="645" t="s">
        <v>12473</v>
      </c>
      <c r="Y2742" s="354"/>
      <c r="Z2742" s="176"/>
      <c r="AA2742" s="176"/>
      <c r="AB2742" s="32">
        <f t="shared" ca="1" si="60"/>
        <v>0.60212188992661242</v>
      </c>
      <c r="AC2742" s="812"/>
      <c r="AD2742" s="763"/>
      <c r="AE2742" s="807"/>
      <c r="AF2742" s="921">
        <f>IF(X2742=X2741,AF2741,0)+IF(ISNUMBER(I2742),IF(I2742&lt;1,I2742,I2742*VLOOKUP(J2742,Summary!$H$2:$I$9,2)),VLOOKUP(J2742,Summary!$J$2:$K$9,2)*IF(ISNUMBER(H2742),H2742,1))</f>
        <v>1.3888888888888889E-3</v>
      </c>
      <c r="AG2742" s="289">
        <v>2741</v>
      </c>
      <c r="AH2742" s="94"/>
      <c r="AI2742" s="94"/>
    </row>
    <row r="2743" spans="1:35" s="3" customFormat="1" ht="12" customHeight="1" x14ac:dyDescent="0.25">
      <c r="A2743" s="550" t="s">
        <v>2509</v>
      </c>
      <c r="B2743" s="550">
        <v>7</v>
      </c>
      <c r="C2743" s="550">
        <v>24</v>
      </c>
      <c r="D2743" s="417" t="s">
        <v>2213</v>
      </c>
      <c r="E2743" s="316" t="s">
        <v>2214</v>
      </c>
      <c r="F2743" s="195">
        <v>34410</v>
      </c>
      <c r="G2743" s="188"/>
      <c r="H2743" s="188" t="str">
        <f>IF(J2743="Book","n/a","")</f>
        <v>n/a</v>
      </c>
      <c r="I2743" s="188">
        <v>290</v>
      </c>
      <c r="J2743" s="902" t="s">
        <v>6868</v>
      </c>
      <c r="K2743" s="162" t="s">
        <v>3451</v>
      </c>
      <c r="L2743" s="162" t="str">
        <f>IF(J2743="Book","n/a","")</f>
        <v>n/a</v>
      </c>
      <c r="M2743" s="162"/>
      <c r="N2743" s="162"/>
      <c r="O2743" s="162"/>
      <c r="P2743" s="178" t="s">
        <v>8786</v>
      </c>
      <c r="Q2743" s="162" t="s">
        <v>601</v>
      </c>
      <c r="R2743" s="189" t="s">
        <v>2716</v>
      </c>
      <c r="S2743" s="366" t="s">
        <v>2542</v>
      </c>
      <c r="T2743" s="178" t="s">
        <v>2611</v>
      </c>
      <c r="U2743" s="178"/>
      <c r="V2743" s="178"/>
      <c r="W2743" s="316" t="s">
        <v>2214</v>
      </c>
      <c r="X2743" s="648" t="s">
        <v>12473</v>
      </c>
      <c r="Y2743" s="356"/>
      <c r="Z2743" s="885">
        <v>125</v>
      </c>
      <c r="AA2743" s="272">
        <v>5</v>
      </c>
      <c r="AB2743" s="34">
        <f t="shared" ca="1" si="60"/>
        <v>0.14780441354253215</v>
      </c>
      <c r="AC2743" s="814"/>
      <c r="AD2743" s="815" t="s">
        <v>16449</v>
      </c>
      <c r="AE2743" s="942" t="s">
        <v>3365</v>
      </c>
      <c r="AF2743" s="923">
        <f>IF(X2743=X2742,AF2742,0)+IF(ISNUMBER(I2743),IF(I2743&lt;1,I2743,I2743*VLOOKUP(J2743,Summary!$H$2:$I$9,2)),VLOOKUP(J2743,Summary!$J$2:$K$9,2)*IF(ISNUMBER(H2743),H2743,1))</f>
        <v>0.20277777777777778</v>
      </c>
      <c r="AG2743" s="291">
        <v>2742</v>
      </c>
      <c r="AH2743" s="94"/>
      <c r="AI2743" s="94"/>
    </row>
    <row r="2744" spans="1:35" s="27" customFormat="1" ht="12" customHeight="1" x14ac:dyDescent="0.25">
      <c r="A2744" s="539" t="s">
        <v>2509</v>
      </c>
      <c r="B2744" s="539">
        <v>7</v>
      </c>
      <c r="C2744" s="542">
        <v>2.1</v>
      </c>
      <c r="D2744" s="176" t="s">
        <v>5219</v>
      </c>
      <c r="E2744" s="313" t="s">
        <v>664</v>
      </c>
      <c r="F2744" s="176">
        <v>1995</v>
      </c>
      <c r="G2744" s="176"/>
      <c r="H2744" s="176" t="s">
        <v>461</v>
      </c>
      <c r="I2744" s="176">
        <v>33</v>
      </c>
      <c r="J2744" s="900" t="s">
        <v>2755</v>
      </c>
      <c r="K2744" s="164" t="s">
        <v>5218</v>
      </c>
      <c r="L2744" s="164" t="s">
        <v>461</v>
      </c>
      <c r="M2744" s="164"/>
      <c r="N2744" s="164" t="s">
        <v>7001</v>
      </c>
      <c r="O2744" s="164"/>
      <c r="P2744" s="173" t="s">
        <v>6554</v>
      </c>
      <c r="Q2744" s="164" t="s">
        <v>6548</v>
      </c>
      <c r="R2744" s="177" t="s">
        <v>4598</v>
      </c>
      <c r="S2744" s="354" t="s">
        <v>2542</v>
      </c>
      <c r="T2744" s="173" t="s">
        <v>2611</v>
      </c>
      <c r="U2744" s="173"/>
      <c r="V2744" s="173"/>
      <c r="W2744" s="313" t="s">
        <v>664</v>
      </c>
      <c r="X2744" s="645" t="s">
        <v>12473</v>
      </c>
      <c r="Y2744" s="354" t="s">
        <v>6868</v>
      </c>
      <c r="Z2744" s="869">
        <v>22</v>
      </c>
      <c r="AA2744" s="176">
        <v>6</v>
      </c>
      <c r="AB2744" s="32">
        <f t="shared" ca="1" si="60"/>
        <v>0.91560552955241992</v>
      </c>
      <c r="AC2744" s="812"/>
      <c r="AD2744" s="763"/>
      <c r="AE2744" s="807"/>
      <c r="AF2744" s="921">
        <f>IF(X2744=X2743,AF2743,0)+IF(ISNUMBER(I2744),IF(I2744&lt;1,I2744,I2744*VLOOKUP(J2744,Summary!$H$2:$I$9,2)),VLOOKUP(J2744,Summary!$J$2:$K$9,2)*IF(ISNUMBER(H2744),H2744,1))</f>
        <v>0.22569444444444445</v>
      </c>
      <c r="AG2744" s="289">
        <v>2743</v>
      </c>
      <c r="AH2744" s="94"/>
      <c r="AI2744" s="94"/>
    </row>
    <row r="2745" spans="1:35" s="27" customFormat="1" ht="12" customHeight="1" x14ac:dyDescent="0.25">
      <c r="A2745" s="543" t="s">
        <v>2509</v>
      </c>
      <c r="B2745" s="543">
        <v>7</v>
      </c>
      <c r="C2745" s="549">
        <v>68</v>
      </c>
      <c r="D2745" s="185" t="s">
        <v>3393</v>
      </c>
      <c r="E2745" s="314" t="s">
        <v>663</v>
      </c>
      <c r="F2745" s="183">
        <v>34335</v>
      </c>
      <c r="G2745" s="183">
        <v>34394</v>
      </c>
      <c r="H2745" s="185">
        <v>3</v>
      </c>
      <c r="I2745" s="185">
        <v>24</v>
      </c>
      <c r="J2745" s="901" t="s">
        <v>1796</v>
      </c>
      <c r="K2745" s="163" t="s">
        <v>4132</v>
      </c>
      <c r="L2745" s="163" t="s">
        <v>2866</v>
      </c>
      <c r="M2745" s="163"/>
      <c r="N2745" s="163" t="s">
        <v>7375</v>
      </c>
      <c r="O2745" s="163"/>
      <c r="P2745" s="182" t="s">
        <v>461</v>
      </c>
      <c r="Q2745" s="163" t="s">
        <v>4062</v>
      </c>
      <c r="R2745" s="186" t="s">
        <v>5266</v>
      </c>
      <c r="S2745" s="355" t="s">
        <v>2542</v>
      </c>
      <c r="T2745" s="182" t="s">
        <v>2611</v>
      </c>
      <c r="U2745" s="182"/>
      <c r="V2745" s="182"/>
      <c r="W2745" s="314"/>
      <c r="X2745" s="646" t="s">
        <v>12473</v>
      </c>
      <c r="Y2745" s="355"/>
      <c r="Z2745" s="185"/>
      <c r="AA2745" s="185"/>
      <c r="AB2745" s="33">
        <f t="shared" ca="1" si="60"/>
        <v>0.21088074945715052</v>
      </c>
      <c r="AC2745" s="813"/>
      <c r="AD2745" s="211" t="s">
        <v>16588</v>
      </c>
      <c r="AE2745" s="941"/>
      <c r="AF2745" s="922">
        <f>IF(X2745=X2744,AF2744,0)+IF(ISNUMBER(I2745),IF(I2745&lt;1,I2745,I2745*VLOOKUP(J2745,Summary!$H$2:$I$9,2)),VLOOKUP(J2745,Summary!$J$2:$K$9,2)*IF(ISNUMBER(H2745),H2745,1))</f>
        <v>0.23402777777777778</v>
      </c>
      <c r="AG2745" s="290">
        <v>2744</v>
      </c>
      <c r="AH2745" s="94"/>
      <c r="AI2745" s="94"/>
    </row>
    <row r="2746" spans="1:35" s="27" customFormat="1" ht="12" customHeight="1" x14ac:dyDescent="0.25">
      <c r="A2746" s="539" t="s">
        <v>2509</v>
      </c>
      <c r="B2746" s="539">
        <v>7</v>
      </c>
      <c r="C2746" s="542">
        <v>8.1300000000000008</v>
      </c>
      <c r="D2746" s="176" t="s">
        <v>5221</v>
      </c>
      <c r="E2746" s="313" t="s">
        <v>665</v>
      </c>
      <c r="F2746" s="174">
        <v>37956</v>
      </c>
      <c r="G2746" s="174"/>
      <c r="H2746" s="176">
        <v>1</v>
      </c>
      <c r="I2746" s="176">
        <v>13</v>
      </c>
      <c r="J2746" s="900" t="s">
        <v>2755</v>
      </c>
      <c r="K2746" s="164" t="s">
        <v>5222</v>
      </c>
      <c r="L2746" s="164" t="s">
        <v>461</v>
      </c>
      <c r="M2746" s="164"/>
      <c r="N2746" s="164" t="s">
        <v>4996</v>
      </c>
      <c r="O2746" s="164"/>
      <c r="P2746" s="173" t="s">
        <v>2555</v>
      </c>
      <c r="Q2746" s="164" t="s">
        <v>3947</v>
      </c>
      <c r="R2746" s="177" t="s">
        <v>2723</v>
      </c>
      <c r="S2746" s="354" t="s">
        <v>2542</v>
      </c>
      <c r="T2746" s="173" t="s">
        <v>2611</v>
      </c>
      <c r="U2746" s="173"/>
      <c r="V2746" s="173"/>
      <c r="W2746" s="313" t="s">
        <v>665</v>
      </c>
      <c r="X2746" s="645" t="s">
        <v>12473</v>
      </c>
      <c r="Y2746" s="354"/>
      <c r="Z2746" s="886"/>
      <c r="AA2746" s="176"/>
      <c r="AB2746" s="32">
        <f t="shared" ca="1" si="60"/>
        <v>0.81540982376634064</v>
      </c>
      <c r="AC2746" s="812"/>
      <c r="AD2746" s="763"/>
      <c r="AE2746" s="807"/>
      <c r="AF2746" s="921">
        <f>IF(X2746=X2745,AF2745,0)+IF(ISNUMBER(I2746),IF(I2746&lt;1,I2746,I2746*VLOOKUP(J2746,Summary!$H$2:$I$9,2)),VLOOKUP(J2746,Summary!$J$2:$K$9,2)*IF(ISNUMBER(H2746),H2746,1))</f>
        <v>0.24305555555555555</v>
      </c>
      <c r="AG2746" s="289">
        <v>2745</v>
      </c>
      <c r="AH2746" s="94"/>
      <c r="AI2746" s="94"/>
    </row>
    <row r="2747" spans="1:35" s="22" customFormat="1" ht="12" customHeight="1" x14ac:dyDescent="0.25">
      <c r="A2747" s="408" t="s">
        <v>2509</v>
      </c>
      <c r="B2747" s="440" t="s">
        <v>2650</v>
      </c>
      <c r="C2747" s="408">
        <v>18</v>
      </c>
      <c r="D2747" s="176" t="s">
        <v>14122</v>
      </c>
      <c r="E2747" s="313" t="s">
        <v>14123</v>
      </c>
      <c r="F2747" s="175">
        <v>34410</v>
      </c>
      <c r="G2747" s="174"/>
      <c r="H2747" s="176">
        <v>1</v>
      </c>
      <c r="I2747" s="176">
        <v>2</v>
      </c>
      <c r="J2747" s="900" t="s">
        <v>2755</v>
      </c>
      <c r="K2747" s="164" t="s">
        <v>7375</v>
      </c>
      <c r="L2747" s="164" t="s">
        <v>10253</v>
      </c>
      <c r="M2747" s="164"/>
      <c r="N2747" s="164" t="s">
        <v>7375</v>
      </c>
      <c r="O2747" s="164"/>
      <c r="P2747" s="173" t="s">
        <v>461</v>
      </c>
      <c r="Q2747" s="164" t="s">
        <v>4062</v>
      </c>
      <c r="R2747" s="177" t="s">
        <v>14089</v>
      </c>
      <c r="S2747" s="354"/>
      <c r="T2747" s="173"/>
      <c r="U2747" s="173"/>
      <c r="V2747" s="173"/>
      <c r="W2747" s="313" t="s">
        <v>14123</v>
      </c>
      <c r="X2747" s="645" t="s">
        <v>12473</v>
      </c>
      <c r="Y2747" s="354"/>
      <c r="Z2747" s="176"/>
      <c r="AA2747" s="176"/>
      <c r="AB2747" s="32">
        <f t="shared" ca="1" si="60"/>
        <v>0.23334200325493137</v>
      </c>
      <c r="AC2747" s="812"/>
      <c r="AD2747" s="763"/>
      <c r="AE2747" s="807"/>
      <c r="AF2747" s="921">
        <f>IF(X2747=X2746,AF2746,0)+IF(ISNUMBER(I2747),IF(I2747&lt;1,I2747,I2747*VLOOKUP(J2747,Summary!$H$2:$I$9,2)),VLOOKUP(J2747,Summary!$J$2:$K$9,2)*IF(ISNUMBER(H2747),H2747,1))</f>
        <v>0.24444444444444444</v>
      </c>
      <c r="AG2747" s="289">
        <v>2746</v>
      </c>
      <c r="AH2747" s="94"/>
      <c r="AI2747" s="94"/>
    </row>
    <row r="2748" spans="1:35" s="3" customFormat="1" ht="12" customHeight="1" x14ac:dyDescent="0.25">
      <c r="A2748" s="550" t="s">
        <v>2509</v>
      </c>
      <c r="B2748" s="550">
        <v>7</v>
      </c>
      <c r="C2748" s="550">
        <v>25</v>
      </c>
      <c r="D2748" s="417" t="s">
        <v>2215</v>
      </c>
      <c r="E2748" s="316" t="s">
        <v>2216</v>
      </c>
      <c r="F2748" s="195">
        <v>34445</v>
      </c>
      <c r="G2748" s="188"/>
      <c r="H2748" s="188">
        <v>3</v>
      </c>
      <c r="I2748" s="188">
        <v>301</v>
      </c>
      <c r="J2748" s="902" t="s">
        <v>6868</v>
      </c>
      <c r="K2748" s="162" t="s">
        <v>7375</v>
      </c>
      <c r="L2748" s="162" t="str">
        <f>IF(J2748="Book","n/a","")</f>
        <v>n/a</v>
      </c>
      <c r="M2748" s="162"/>
      <c r="N2748" s="162"/>
      <c r="O2748" s="162"/>
      <c r="P2748" s="178" t="s">
        <v>8787</v>
      </c>
      <c r="Q2748" s="162" t="s">
        <v>601</v>
      </c>
      <c r="R2748" s="189" t="s">
        <v>2716</v>
      </c>
      <c r="S2748" s="366" t="s">
        <v>2542</v>
      </c>
      <c r="T2748" s="178" t="s">
        <v>2611</v>
      </c>
      <c r="U2748" s="178"/>
      <c r="V2748" s="178"/>
      <c r="W2748" s="316" t="s">
        <v>11477</v>
      </c>
      <c r="X2748" s="648" t="s">
        <v>12473</v>
      </c>
      <c r="Y2748" s="356"/>
      <c r="Z2748" s="885">
        <v>162</v>
      </c>
      <c r="AA2748" s="272">
        <v>4</v>
      </c>
      <c r="AB2748" s="34">
        <f t="shared" ca="1" si="60"/>
        <v>0.82684831920574864</v>
      </c>
      <c r="AC2748" s="814"/>
      <c r="AD2748" s="815" t="s">
        <v>16392</v>
      </c>
      <c r="AE2748" s="942" t="s">
        <v>12543</v>
      </c>
      <c r="AF2748" s="923">
        <f>IF(X2748=X2747,AF2747,0)+IF(ISNUMBER(I2748),IF(I2748&lt;1,I2748,I2748*VLOOKUP(J2748,Summary!$H$2:$I$9,2)),VLOOKUP(J2748,Summary!$J$2:$K$9,2)*IF(ISNUMBER(H2748),H2748,1))</f>
        <v>0.45347222222222222</v>
      </c>
      <c r="AG2748" s="291">
        <v>2747</v>
      </c>
      <c r="AH2748" s="94"/>
      <c r="AI2748" s="94"/>
    </row>
    <row r="2749" spans="1:35" s="22" customFormat="1" ht="12" customHeight="1" x14ac:dyDescent="0.25">
      <c r="A2749" s="539" t="s">
        <v>2509</v>
      </c>
      <c r="B2749" s="539">
        <v>7</v>
      </c>
      <c r="C2749" s="540">
        <v>19</v>
      </c>
      <c r="D2749" s="176" t="s">
        <v>14124</v>
      </c>
      <c r="E2749" s="313" t="s">
        <v>14125</v>
      </c>
      <c r="F2749" s="175">
        <v>34438</v>
      </c>
      <c r="G2749" s="174"/>
      <c r="H2749" s="176">
        <v>1</v>
      </c>
      <c r="I2749" s="176">
        <v>2</v>
      </c>
      <c r="J2749" s="900" t="s">
        <v>2755</v>
      </c>
      <c r="K2749" s="164" t="s">
        <v>543</v>
      </c>
      <c r="L2749" s="164" t="s">
        <v>10253</v>
      </c>
      <c r="M2749" s="164"/>
      <c r="N2749" s="164" t="s">
        <v>7375</v>
      </c>
      <c r="O2749" s="164"/>
      <c r="P2749" s="173" t="s">
        <v>461</v>
      </c>
      <c r="Q2749" s="164" t="s">
        <v>4062</v>
      </c>
      <c r="R2749" s="177" t="s">
        <v>14089</v>
      </c>
      <c r="S2749" s="354" t="s">
        <v>2542</v>
      </c>
      <c r="T2749" s="173"/>
      <c r="U2749" s="173"/>
      <c r="V2749" s="173"/>
      <c r="W2749" s="313" t="s">
        <v>14125</v>
      </c>
      <c r="X2749" s="645" t="s">
        <v>12473</v>
      </c>
      <c r="Y2749" s="354"/>
      <c r="Z2749" s="176"/>
      <c r="AA2749" s="176"/>
      <c r="AB2749" s="32">
        <f t="shared" ca="1" si="60"/>
        <v>0.50120165483373658</v>
      </c>
      <c r="AC2749" s="812"/>
      <c r="AD2749" s="763"/>
      <c r="AE2749" s="807"/>
      <c r="AF2749" s="921">
        <f>IF(X2749=X2748,AF2748,0)+IF(ISNUMBER(I2749),IF(I2749&lt;1,I2749,I2749*VLOOKUP(J2749,Summary!$H$2:$I$9,2)),VLOOKUP(J2749,Summary!$J$2:$K$9,2)*IF(ISNUMBER(H2749),H2749,1))</f>
        <v>0.4548611111111111</v>
      </c>
      <c r="AG2749" s="289">
        <v>2748</v>
      </c>
      <c r="AH2749" s="94"/>
      <c r="AI2749" s="94"/>
    </row>
    <row r="2750" spans="1:35" s="3" customFormat="1" ht="12" customHeight="1" x14ac:dyDescent="0.25">
      <c r="A2750" s="541" t="s">
        <v>2509</v>
      </c>
      <c r="B2750" s="541">
        <v>7</v>
      </c>
      <c r="C2750" s="541">
        <v>7</v>
      </c>
      <c r="D2750" s="407" t="s">
        <v>11464</v>
      </c>
      <c r="E2750" s="315" t="s">
        <v>2218</v>
      </c>
      <c r="F2750" s="196">
        <v>42347</v>
      </c>
      <c r="G2750" s="170"/>
      <c r="H2750" s="170">
        <v>4</v>
      </c>
      <c r="I2750" s="746">
        <f>TIME(1,50,12)</f>
        <v>7.6527777777777778E-2</v>
      </c>
      <c r="J2750" s="899" t="s">
        <v>4706</v>
      </c>
      <c r="K2750" s="167" t="s">
        <v>543</v>
      </c>
      <c r="L2750" s="167" t="s">
        <v>179</v>
      </c>
      <c r="M2750" s="167"/>
      <c r="N2750" s="167"/>
      <c r="O2750" s="167"/>
      <c r="P2750" s="168" t="s">
        <v>9700</v>
      </c>
      <c r="Q2750" s="167" t="s">
        <v>3947</v>
      </c>
      <c r="R2750" s="172" t="s">
        <v>9690</v>
      </c>
      <c r="S2750" s="388" t="s">
        <v>2542</v>
      </c>
      <c r="T2750" s="168" t="s">
        <v>2611</v>
      </c>
      <c r="U2750" s="168"/>
      <c r="V2750" s="168"/>
      <c r="W2750" s="312" t="s">
        <v>14274</v>
      </c>
      <c r="X2750" s="644" t="s">
        <v>12473</v>
      </c>
      <c r="Y2750" s="352" t="s">
        <v>5643</v>
      </c>
      <c r="Z2750" s="368">
        <v>405</v>
      </c>
      <c r="AA2750" s="353">
        <v>4.5</v>
      </c>
      <c r="AB2750" s="31">
        <f t="shared" ca="1" si="60"/>
        <v>0.72150055478966446</v>
      </c>
      <c r="AC2750" s="810"/>
      <c r="AD2750" s="811" t="s">
        <v>16392</v>
      </c>
      <c r="AE2750" s="940"/>
      <c r="AF2750" s="920">
        <f>IF(X2750=X2749,AF2749,0)+IF(ISNUMBER(I2750),IF(I2750&lt;1,I2750,I2750*VLOOKUP(J2750,Summary!$H$2:$I$9,2)),VLOOKUP(J2750,Summary!$J$2:$K$9,2)*IF(ISNUMBER(H2750),H2750,1))</f>
        <v>0.53138888888888891</v>
      </c>
      <c r="AG2750" s="287">
        <v>2749</v>
      </c>
      <c r="AH2750" s="94"/>
      <c r="AI2750" s="94"/>
    </row>
    <row r="2751" spans="1:35" s="3" customFormat="1" ht="12" customHeight="1" x14ac:dyDescent="0.25">
      <c r="A2751" s="550" t="s">
        <v>2509</v>
      </c>
      <c r="B2751" s="550">
        <v>7</v>
      </c>
      <c r="C2751" s="550">
        <v>26</v>
      </c>
      <c r="D2751" s="417" t="s">
        <v>2217</v>
      </c>
      <c r="E2751" s="316" t="s">
        <v>2218</v>
      </c>
      <c r="F2751" s="195">
        <v>34473</v>
      </c>
      <c r="G2751" s="188"/>
      <c r="H2751" s="188">
        <v>3</v>
      </c>
      <c r="I2751" s="188">
        <v>316</v>
      </c>
      <c r="J2751" s="902" t="s">
        <v>6868</v>
      </c>
      <c r="K2751" s="162" t="s">
        <v>543</v>
      </c>
      <c r="L2751" s="162" t="str">
        <f>IF(J2751="Book","n/a","")</f>
        <v>n/a</v>
      </c>
      <c r="M2751" s="162"/>
      <c r="N2751" s="162"/>
      <c r="O2751" s="162"/>
      <c r="P2751" s="178" t="s">
        <v>8788</v>
      </c>
      <c r="Q2751" s="162" t="s">
        <v>601</v>
      </c>
      <c r="R2751" s="189" t="s">
        <v>2716</v>
      </c>
      <c r="S2751" s="366" t="s">
        <v>2542</v>
      </c>
      <c r="T2751" s="178" t="s">
        <v>2611</v>
      </c>
      <c r="U2751" s="178"/>
      <c r="V2751" s="178"/>
      <c r="W2751" s="316" t="s">
        <v>11478</v>
      </c>
      <c r="X2751" s="648" t="s">
        <v>12473</v>
      </c>
      <c r="Y2751" s="356"/>
      <c r="Z2751" s="885">
        <v>72</v>
      </c>
      <c r="AA2751" s="272">
        <v>6.5</v>
      </c>
      <c r="AB2751" s="34">
        <f t="shared" ca="1" si="60"/>
        <v>0.55838490373324867</v>
      </c>
      <c r="AC2751" s="814"/>
      <c r="AD2751" s="815" t="s">
        <v>16392</v>
      </c>
      <c r="AE2751" s="942"/>
      <c r="AF2751" s="923">
        <f>IF(X2751=X2750,AF2750,0)+IF(ISNUMBER(I2751),IF(I2751&lt;1,I2751,I2751*VLOOKUP(J2751,Summary!$H$2:$I$9,2)),VLOOKUP(J2751,Summary!$J$2:$K$9,2)*IF(ISNUMBER(H2751),H2751,1))</f>
        <v>0.75083333333333335</v>
      </c>
      <c r="AG2751" s="291">
        <v>2750</v>
      </c>
      <c r="AH2751" s="94"/>
      <c r="AI2751" s="94"/>
    </row>
    <row r="2752" spans="1:35" s="22" customFormat="1" ht="12" customHeight="1" x14ac:dyDescent="0.25">
      <c r="A2752" s="408" t="s">
        <v>2509</v>
      </c>
      <c r="B2752" s="440" t="s">
        <v>2650</v>
      </c>
      <c r="C2752" s="408">
        <v>20</v>
      </c>
      <c r="D2752" s="176" t="s">
        <v>14126</v>
      </c>
      <c r="E2752" s="313" t="s">
        <v>14127</v>
      </c>
      <c r="F2752" s="175">
        <v>34466</v>
      </c>
      <c r="G2752" s="174"/>
      <c r="H2752" s="176">
        <v>1</v>
      </c>
      <c r="I2752" s="176">
        <v>2</v>
      </c>
      <c r="J2752" s="900" t="s">
        <v>2755</v>
      </c>
      <c r="K2752" s="164" t="s">
        <v>175</v>
      </c>
      <c r="L2752" s="164" t="s">
        <v>10253</v>
      </c>
      <c r="M2752" s="164"/>
      <c r="N2752" s="164" t="s">
        <v>7375</v>
      </c>
      <c r="O2752" s="164"/>
      <c r="P2752" s="173" t="s">
        <v>461</v>
      </c>
      <c r="Q2752" s="164" t="s">
        <v>4062</v>
      </c>
      <c r="R2752" s="177" t="s">
        <v>14089</v>
      </c>
      <c r="S2752" s="354"/>
      <c r="T2752" s="173"/>
      <c r="U2752" s="173"/>
      <c r="V2752" s="173"/>
      <c r="W2752" s="313" t="s">
        <v>14127</v>
      </c>
      <c r="X2752" s="645" t="s">
        <v>12473</v>
      </c>
      <c r="Y2752" s="354"/>
      <c r="Z2752" s="176"/>
      <c r="AA2752" s="176"/>
      <c r="AB2752" s="32">
        <f t="shared" ca="1" si="60"/>
        <v>6.820179789385783E-2</v>
      </c>
      <c r="AC2752" s="812"/>
      <c r="AD2752" s="763"/>
      <c r="AE2752" s="807"/>
      <c r="AF2752" s="921">
        <f>IF(X2752=X2751,AF2751,0)+IF(ISNUMBER(I2752),IF(I2752&lt;1,I2752,I2752*VLOOKUP(J2752,Summary!$H$2:$I$9,2)),VLOOKUP(J2752,Summary!$J$2:$K$9,2)*IF(ISNUMBER(H2752),H2752,1))</f>
        <v>0.75222222222222224</v>
      </c>
      <c r="AG2752" s="289">
        <v>2751</v>
      </c>
      <c r="AH2752" s="94"/>
      <c r="AI2752" s="94"/>
    </row>
    <row r="2753" spans="1:35" s="27" customFormat="1" ht="12" customHeight="1" x14ac:dyDescent="0.25">
      <c r="A2753" s="541" t="s">
        <v>2509</v>
      </c>
      <c r="B2753" s="541">
        <v>7</v>
      </c>
      <c r="C2753" s="541">
        <v>8</v>
      </c>
      <c r="D2753" s="407" t="s">
        <v>11465</v>
      </c>
      <c r="E2753" s="315" t="s">
        <v>6072</v>
      </c>
      <c r="F2753" s="196">
        <v>42347</v>
      </c>
      <c r="G2753" s="170"/>
      <c r="H2753" s="170">
        <v>4</v>
      </c>
      <c r="I2753" s="746">
        <f>TIME(1,59,17)</f>
        <v>8.2835648148148144E-2</v>
      </c>
      <c r="J2753" s="899" t="s">
        <v>4706</v>
      </c>
      <c r="K2753" s="167" t="s">
        <v>9703</v>
      </c>
      <c r="L2753" s="167" t="s">
        <v>179</v>
      </c>
      <c r="M2753" s="167"/>
      <c r="N2753" s="167"/>
      <c r="O2753" s="167"/>
      <c r="P2753" s="168" t="s">
        <v>9704</v>
      </c>
      <c r="Q2753" s="167" t="s">
        <v>3947</v>
      </c>
      <c r="R2753" s="172" t="s">
        <v>9690</v>
      </c>
      <c r="S2753" s="388" t="s">
        <v>2542</v>
      </c>
      <c r="T2753" s="168" t="s">
        <v>2611</v>
      </c>
      <c r="U2753" s="168"/>
      <c r="V2753" s="168" t="s">
        <v>12280</v>
      </c>
      <c r="W2753" s="312"/>
      <c r="X2753" s="644" t="s">
        <v>12473</v>
      </c>
      <c r="Y2753" s="352" t="s">
        <v>5643</v>
      </c>
      <c r="Z2753" s="353">
        <v>192</v>
      </c>
      <c r="AA2753" s="353">
        <v>6</v>
      </c>
      <c r="AB2753" s="31">
        <f t="shared" ca="1" si="60"/>
        <v>0.4293542608722235</v>
      </c>
      <c r="AC2753" s="810"/>
      <c r="AD2753" s="825" t="s">
        <v>14896</v>
      </c>
      <c r="AE2753" s="940"/>
      <c r="AF2753" s="920">
        <f>IF(X2753=X2752,AF2752,0)+IF(ISNUMBER(I2753),IF(I2753&lt;1,I2753,I2753*VLOOKUP(J2753,Summary!$H$2:$I$9,2)),VLOOKUP(J2753,Summary!$J$2:$K$9,2)*IF(ISNUMBER(H2753),H2753,1))</f>
        <v>0.83505787037037038</v>
      </c>
      <c r="AG2753" s="287">
        <v>2752</v>
      </c>
      <c r="AH2753" s="94"/>
      <c r="AI2753" s="94"/>
    </row>
    <row r="2754" spans="1:35" s="3" customFormat="1" ht="12" customHeight="1" x14ac:dyDescent="0.25">
      <c r="A2754" s="550" t="s">
        <v>2509</v>
      </c>
      <c r="B2754" s="550">
        <v>7</v>
      </c>
      <c r="C2754" s="550">
        <v>27</v>
      </c>
      <c r="D2754" s="417" t="s">
        <v>2219</v>
      </c>
      <c r="E2754" s="316" t="s">
        <v>6072</v>
      </c>
      <c r="F2754" s="195">
        <v>34501</v>
      </c>
      <c r="G2754" s="188"/>
      <c r="H2754" s="188" t="str">
        <f>IF(J2754="Book","n/a","")</f>
        <v>n/a</v>
      </c>
      <c r="I2754" s="188">
        <v>305</v>
      </c>
      <c r="J2754" s="902" t="s">
        <v>6868</v>
      </c>
      <c r="K2754" s="162" t="s">
        <v>175</v>
      </c>
      <c r="L2754" s="162" t="str">
        <f>IF(J2754="Book","n/a","")</f>
        <v>n/a</v>
      </c>
      <c r="M2754" s="162"/>
      <c r="N2754" s="162"/>
      <c r="O2754" s="162"/>
      <c r="P2754" s="178" t="s">
        <v>8789</v>
      </c>
      <c r="Q2754" s="162" t="s">
        <v>601</v>
      </c>
      <c r="R2754" s="189" t="s">
        <v>2716</v>
      </c>
      <c r="S2754" s="366" t="s">
        <v>2542</v>
      </c>
      <c r="T2754" s="178" t="s">
        <v>2611</v>
      </c>
      <c r="U2754" s="178"/>
      <c r="V2754" s="178" t="s">
        <v>12280</v>
      </c>
      <c r="W2754" s="316" t="s">
        <v>6072</v>
      </c>
      <c r="X2754" s="648" t="s">
        <v>12473</v>
      </c>
      <c r="Y2754" s="356"/>
      <c r="Z2754" s="885">
        <v>149</v>
      </c>
      <c r="AA2754" s="272">
        <v>4.5</v>
      </c>
      <c r="AB2754" s="34">
        <f t="shared" ref="AB2754:AB2817" ca="1" si="61">RAND()</f>
        <v>0.9828874021121824</v>
      </c>
      <c r="AC2754" s="814"/>
      <c r="AD2754" s="815" t="s">
        <v>14896</v>
      </c>
      <c r="AE2754" s="942"/>
      <c r="AF2754" s="923">
        <f>IF(X2754=X2753,AF2753,0)+IF(ISNUMBER(I2754),IF(I2754&lt;1,I2754,I2754*VLOOKUP(J2754,Summary!$H$2:$I$9,2)),VLOOKUP(J2754,Summary!$J$2:$K$9,2)*IF(ISNUMBER(H2754),H2754,1))</f>
        <v>1.046863425925926</v>
      </c>
      <c r="AG2754" s="291">
        <v>2753</v>
      </c>
      <c r="AH2754" s="94"/>
      <c r="AI2754" s="94"/>
    </row>
    <row r="2755" spans="1:35" s="3" customFormat="1" ht="12" customHeight="1" x14ac:dyDescent="0.25">
      <c r="A2755" s="541" t="s">
        <v>2509</v>
      </c>
      <c r="B2755" s="541">
        <v>7</v>
      </c>
      <c r="C2755" s="541">
        <v>13</v>
      </c>
      <c r="D2755" s="407" t="s">
        <v>6073</v>
      </c>
      <c r="E2755" s="315" t="s">
        <v>6074</v>
      </c>
      <c r="F2755" s="169">
        <v>36800</v>
      </c>
      <c r="G2755" s="170"/>
      <c r="H2755" s="170">
        <v>4</v>
      </c>
      <c r="I2755" s="746">
        <f>TIME(2,10,50)</f>
        <v>9.0856481481481469E-2</v>
      </c>
      <c r="J2755" s="899" t="s">
        <v>4706</v>
      </c>
      <c r="K2755" s="167" t="s">
        <v>3807</v>
      </c>
      <c r="L2755" s="167" t="s">
        <v>7375</v>
      </c>
      <c r="M2755" s="167"/>
      <c r="N2755" s="167"/>
      <c r="O2755" s="167" t="s">
        <v>2909</v>
      </c>
      <c r="P2755" s="168" t="s">
        <v>12959</v>
      </c>
      <c r="Q2755" s="167" t="s">
        <v>3947</v>
      </c>
      <c r="R2755" s="172" t="s">
        <v>3146</v>
      </c>
      <c r="S2755" s="388" t="s">
        <v>2542</v>
      </c>
      <c r="T2755" s="168" t="s">
        <v>2611</v>
      </c>
      <c r="U2755" s="168"/>
      <c r="V2755" s="168"/>
      <c r="W2755" s="312" t="s">
        <v>8761</v>
      </c>
      <c r="X2755" s="644" t="s">
        <v>12473</v>
      </c>
      <c r="Y2755" s="352" t="s">
        <v>5643</v>
      </c>
      <c r="Z2755" s="353">
        <v>234</v>
      </c>
      <c r="AA2755" s="353">
        <v>5.5</v>
      </c>
      <c r="AB2755" s="31">
        <f t="shared" ca="1" si="61"/>
        <v>0.59805680320276444</v>
      </c>
      <c r="AC2755" s="810"/>
      <c r="AD2755" s="811" t="s">
        <v>15849</v>
      </c>
      <c r="AE2755" s="940"/>
      <c r="AF2755" s="920">
        <f>IF(X2755=X2754,AF2754,0)+IF(ISNUMBER(I2755),IF(I2755&lt;1,I2755,I2755*VLOOKUP(J2755,Summary!$H$2:$I$9,2)),VLOOKUP(J2755,Summary!$J$2:$K$9,2)*IF(ISNUMBER(H2755),H2755,1))</f>
        <v>1.1377199074074074</v>
      </c>
      <c r="AG2755" s="287">
        <v>2754</v>
      </c>
      <c r="AH2755" s="94"/>
      <c r="AI2755" s="94"/>
    </row>
    <row r="2756" spans="1:35" s="2" customFormat="1" ht="12" customHeight="1" x14ac:dyDescent="0.25">
      <c r="A2756" s="543" t="s">
        <v>2509</v>
      </c>
      <c r="B2756" s="543">
        <v>7</v>
      </c>
      <c r="C2756" s="549">
        <v>100</v>
      </c>
      <c r="D2756" s="185" t="s">
        <v>3397</v>
      </c>
      <c r="E2756" s="314" t="s">
        <v>660</v>
      </c>
      <c r="F2756" s="183">
        <v>37043</v>
      </c>
      <c r="G2756" s="183"/>
      <c r="H2756" s="185">
        <v>1</v>
      </c>
      <c r="I2756" s="185">
        <v>7</v>
      </c>
      <c r="J2756" s="901" t="s">
        <v>1796</v>
      </c>
      <c r="K2756" s="163" t="s">
        <v>3451</v>
      </c>
      <c r="L2756" s="163" t="s">
        <v>7928</v>
      </c>
      <c r="M2756" s="163" t="s">
        <v>7928</v>
      </c>
      <c r="N2756" s="163" t="s">
        <v>7374</v>
      </c>
      <c r="O2756" s="163"/>
      <c r="P2756" s="182" t="s">
        <v>461</v>
      </c>
      <c r="Q2756" s="163" t="s">
        <v>4062</v>
      </c>
      <c r="R2756" s="186" t="s">
        <v>5266</v>
      </c>
      <c r="S2756" s="355" t="s">
        <v>2542</v>
      </c>
      <c r="T2756" s="182" t="s">
        <v>2611</v>
      </c>
      <c r="U2756" s="182"/>
      <c r="V2756" s="182"/>
      <c r="W2756" s="314" t="s">
        <v>660</v>
      </c>
      <c r="X2756" s="646" t="s">
        <v>12473</v>
      </c>
      <c r="Y2756" s="355"/>
      <c r="Z2756" s="185"/>
      <c r="AA2756" s="185"/>
      <c r="AB2756" s="33">
        <f t="shared" ca="1" si="61"/>
        <v>0.94286661969791952</v>
      </c>
      <c r="AC2756" s="813"/>
      <c r="AD2756" s="211"/>
      <c r="AE2756" s="949"/>
      <c r="AF2756" s="922">
        <f>IF(X2756=X2755,AF2755,0)+IF(ISNUMBER(I2756),IF(I2756&lt;1,I2756,I2756*VLOOKUP(J2756,Summary!$H$2:$I$9,2)),VLOOKUP(J2756,Summary!$J$2:$K$9,2)*IF(ISNUMBER(H2756),H2756,1))</f>
        <v>1.1401504629629629</v>
      </c>
      <c r="AG2756" s="295">
        <v>2755</v>
      </c>
      <c r="AH2756" s="94"/>
      <c r="AI2756" s="94"/>
    </row>
    <row r="2757" spans="1:35" s="27" customFormat="1" ht="12" customHeight="1" x14ac:dyDescent="0.25">
      <c r="A2757" s="539" t="s">
        <v>2509</v>
      </c>
      <c r="B2757" s="539">
        <v>7</v>
      </c>
      <c r="C2757" s="542">
        <v>4.0599999999999996</v>
      </c>
      <c r="D2757" s="176" t="s">
        <v>5220</v>
      </c>
      <c r="E2757" s="313" t="s">
        <v>4919</v>
      </c>
      <c r="F2757" s="174">
        <v>37591</v>
      </c>
      <c r="G2757" s="174"/>
      <c r="H2757" s="176">
        <v>1</v>
      </c>
      <c r="I2757" s="176">
        <v>12</v>
      </c>
      <c r="J2757" s="900" t="s">
        <v>2755</v>
      </c>
      <c r="K2757" s="164" t="s">
        <v>3500</v>
      </c>
      <c r="L2757" s="164" t="s">
        <v>461</v>
      </c>
      <c r="M2757" s="164"/>
      <c r="N2757" s="164" t="s">
        <v>4552</v>
      </c>
      <c r="O2757" s="164"/>
      <c r="P2757" s="173" t="s">
        <v>6556</v>
      </c>
      <c r="Q2757" s="164" t="s">
        <v>3947</v>
      </c>
      <c r="R2757" s="177" t="s">
        <v>2723</v>
      </c>
      <c r="S2757" s="354" t="s">
        <v>2542</v>
      </c>
      <c r="T2757" s="173" t="s">
        <v>2611</v>
      </c>
      <c r="U2757" s="173"/>
      <c r="V2757" s="173"/>
      <c r="W2757" s="313" t="s">
        <v>4919</v>
      </c>
      <c r="X2757" s="645" t="s">
        <v>12473</v>
      </c>
      <c r="Y2757" s="354"/>
      <c r="Z2757" s="176"/>
      <c r="AA2757" s="176"/>
      <c r="AB2757" s="32">
        <f t="shared" ca="1" si="61"/>
        <v>0.63465844530206694</v>
      </c>
      <c r="AC2757" s="812"/>
      <c r="AD2757" s="763"/>
      <c r="AE2757" s="807"/>
      <c r="AF2757" s="921">
        <f>IF(X2757=X2756,AF2756,0)+IF(ISNUMBER(I2757),IF(I2757&lt;1,I2757,I2757*VLOOKUP(J2757,Summary!$H$2:$I$9,2)),VLOOKUP(J2757,Summary!$J$2:$K$9,2)*IF(ISNUMBER(H2757),H2757,1))</f>
        <v>1.1484837962962962</v>
      </c>
      <c r="AG2757" s="289">
        <v>2756</v>
      </c>
      <c r="AH2757" s="94"/>
      <c r="AI2757" s="94"/>
    </row>
    <row r="2758" spans="1:35" s="27" customFormat="1" ht="12" customHeight="1" x14ac:dyDescent="0.25">
      <c r="A2758" s="541" t="s">
        <v>2509</v>
      </c>
      <c r="B2758" s="541">
        <v>7</v>
      </c>
      <c r="C2758" s="541">
        <v>42</v>
      </c>
      <c r="D2758" s="407" t="s">
        <v>6075</v>
      </c>
      <c r="E2758" s="315" t="s">
        <v>6076</v>
      </c>
      <c r="F2758" s="169">
        <v>37681</v>
      </c>
      <c r="G2758" s="170"/>
      <c r="H2758" s="170">
        <v>4</v>
      </c>
      <c r="I2758" s="746">
        <f>TIME(1,56,12)</f>
        <v>8.0694444444444444E-2</v>
      </c>
      <c r="J2758" s="899" t="s">
        <v>4706</v>
      </c>
      <c r="K2758" s="167" t="s">
        <v>4032</v>
      </c>
      <c r="L2758" s="167" t="s">
        <v>6354</v>
      </c>
      <c r="M2758" s="167"/>
      <c r="N2758" s="167"/>
      <c r="O2758" s="167" t="s">
        <v>2909</v>
      </c>
      <c r="P2758" s="168" t="s">
        <v>12960</v>
      </c>
      <c r="Q2758" s="167" t="s">
        <v>3947</v>
      </c>
      <c r="R2758" s="172" t="s">
        <v>3146</v>
      </c>
      <c r="S2758" s="388" t="s">
        <v>2542</v>
      </c>
      <c r="T2758" s="168" t="s">
        <v>2611</v>
      </c>
      <c r="U2758" s="168"/>
      <c r="V2758" s="168"/>
      <c r="W2758" s="312" t="s">
        <v>8497</v>
      </c>
      <c r="X2758" s="644" t="s">
        <v>12473</v>
      </c>
      <c r="Y2758" s="352" t="s">
        <v>5398</v>
      </c>
      <c r="Z2758" s="353">
        <v>640</v>
      </c>
      <c r="AA2758" s="353">
        <v>3</v>
      </c>
      <c r="AB2758" s="31">
        <f t="shared" ca="1" si="61"/>
        <v>0.18932063189443571</v>
      </c>
      <c r="AC2758" s="810"/>
      <c r="AD2758" s="811" t="s">
        <v>16251</v>
      </c>
      <c r="AE2758" s="940" t="s">
        <v>12543</v>
      </c>
      <c r="AF2758" s="920">
        <f>IF(X2758=X2757,AF2757,0)+IF(ISNUMBER(I2758),IF(I2758&lt;1,I2758,I2758*VLOOKUP(J2758,Summary!$H$2:$I$9,2)),VLOOKUP(J2758,Summary!$J$2:$K$9,2)*IF(ISNUMBER(H2758),H2758,1))</f>
        <v>1.2291782407407406</v>
      </c>
      <c r="AG2758" s="287">
        <v>2757</v>
      </c>
      <c r="AH2758" s="94"/>
      <c r="AI2758" s="94"/>
    </row>
    <row r="2759" spans="1:35" s="3" customFormat="1" ht="12" customHeight="1" x14ac:dyDescent="0.25">
      <c r="A2759" s="541" t="s">
        <v>2509</v>
      </c>
      <c r="B2759" s="541">
        <v>7</v>
      </c>
      <c r="C2759" s="545">
        <v>3.08</v>
      </c>
      <c r="D2759" s="407" t="s">
        <v>3143</v>
      </c>
      <c r="E2759" s="315" t="s">
        <v>6077</v>
      </c>
      <c r="F2759" s="169">
        <v>39814</v>
      </c>
      <c r="G2759" s="170"/>
      <c r="H2759" s="170">
        <v>2</v>
      </c>
      <c r="I2759" s="746">
        <f>TIME(1,7,52)</f>
        <v>4.7129629629629632E-2</v>
      </c>
      <c r="J2759" s="899" t="s">
        <v>4706</v>
      </c>
      <c r="K2759" s="167" t="s">
        <v>5664</v>
      </c>
      <c r="L2759" s="167" t="s">
        <v>5662</v>
      </c>
      <c r="M2759" s="167" t="s">
        <v>8041</v>
      </c>
      <c r="N2759" s="167"/>
      <c r="O2759" s="167"/>
      <c r="P2759" s="168" t="s">
        <v>9170</v>
      </c>
      <c r="Q2759" s="167" t="s">
        <v>3947</v>
      </c>
      <c r="R2759" s="172" t="s">
        <v>3153</v>
      </c>
      <c r="S2759" s="388" t="s">
        <v>2542</v>
      </c>
      <c r="T2759" s="168"/>
      <c r="U2759" s="168"/>
      <c r="V2759" s="168"/>
      <c r="W2759" s="312" t="s">
        <v>9566</v>
      </c>
      <c r="X2759" s="644" t="s">
        <v>12473</v>
      </c>
      <c r="Y2759" s="352" t="s">
        <v>5643</v>
      </c>
      <c r="Z2759" s="353">
        <v>442</v>
      </c>
      <c r="AA2759" s="353">
        <v>4.5</v>
      </c>
      <c r="AB2759" s="31">
        <f t="shared" ca="1" si="61"/>
        <v>0.84749338120252748</v>
      </c>
      <c r="AC2759" s="810"/>
      <c r="AD2759" s="811" t="s">
        <v>16161</v>
      </c>
      <c r="AE2759" s="940" t="s">
        <v>12543</v>
      </c>
      <c r="AF2759" s="920">
        <f>IF(X2759=X2758,AF2758,0)+IF(ISNUMBER(I2759),IF(I2759&lt;1,I2759,I2759*VLOOKUP(J2759,Summary!$H$2:$I$9,2)),VLOOKUP(J2759,Summary!$J$2:$K$9,2)*IF(ISNUMBER(H2759),H2759,1))</f>
        <v>1.2763078703703701</v>
      </c>
      <c r="AG2759" s="287">
        <v>2758</v>
      </c>
      <c r="AH2759" s="94"/>
      <c r="AI2759" s="94"/>
    </row>
    <row r="2760" spans="1:35" s="22" customFormat="1" ht="12" customHeight="1" x14ac:dyDescent="0.25">
      <c r="A2760" s="408" t="s">
        <v>2509</v>
      </c>
      <c r="B2760" s="440" t="s">
        <v>2650</v>
      </c>
      <c r="C2760" s="408">
        <v>21</v>
      </c>
      <c r="D2760" s="176" t="s">
        <v>14128</v>
      </c>
      <c r="E2760" s="313" t="s">
        <v>14129</v>
      </c>
      <c r="F2760" s="175">
        <v>34494</v>
      </c>
      <c r="G2760" s="174"/>
      <c r="H2760" s="176">
        <v>1</v>
      </c>
      <c r="I2760" s="176">
        <v>2</v>
      </c>
      <c r="J2760" s="900" t="s">
        <v>2755</v>
      </c>
      <c r="K2760" s="164" t="s">
        <v>1088</v>
      </c>
      <c r="L2760" s="164" t="s">
        <v>10253</v>
      </c>
      <c r="M2760" s="164"/>
      <c r="N2760" s="164" t="s">
        <v>7375</v>
      </c>
      <c r="O2760" s="164"/>
      <c r="P2760" s="173" t="s">
        <v>461</v>
      </c>
      <c r="Q2760" s="164" t="s">
        <v>4062</v>
      </c>
      <c r="R2760" s="177" t="s">
        <v>14089</v>
      </c>
      <c r="S2760" s="354"/>
      <c r="T2760" s="173"/>
      <c r="U2760" s="173"/>
      <c r="V2760" s="173"/>
      <c r="W2760" s="313" t="s">
        <v>14129</v>
      </c>
      <c r="X2760" s="645" t="s">
        <v>12473</v>
      </c>
      <c r="Y2760" s="354"/>
      <c r="Z2760" s="176"/>
      <c r="AA2760" s="176"/>
      <c r="AB2760" s="32">
        <f t="shared" ca="1" si="61"/>
        <v>0.16886787210151566</v>
      </c>
      <c r="AC2760" s="812"/>
      <c r="AD2760" s="763"/>
      <c r="AE2760" s="807"/>
      <c r="AF2760" s="921">
        <f>IF(X2760=X2759,AF2759,0)+IF(ISNUMBER(I2760),IF(I2760&lt;1,I2760,I2760*VLOOKUP(J2760,Summary!$H$2:$I$9,2)),VLOOKUP(J2760,Summary!$J$2:$K$9,2)*IF(ISNUMBER(H2760),H2760,1))</f>
        <v>1.277696759259259</v>
      </c>
      <c r="AG2760" s="289">
        <v>2759</v>
      </c>
      <c r="AH2760" s="94"/>
      <c r="AI2760" s="94"/>
    </row>
    <row r="2761" spans="1:35" s="3" customFormat="1" ht="12" customHeight="1" x14ac:dyDescent="0.25">
      <c r="A2761" s="550" t="s">
        <v>2509</v>
      </c>
      <c r="B2761" s="550">
        <v>7</v>
      </c>
      <c r="C2761" s="550">
        <v>28</v>
      </c>
      <c r="D2761" s="417" t="s">
        <v>6078</v>
      </c>
      <c r="E2761" s="316" t="s">
        <v>6079</v>
      </c>
      <c r="F2761" s="195">
        <v>34536</v>
      </c>
      <c r="G2761" s="188"/>
      <c r="H2761" s="188" t="str">
        <f>IF(J2761="Book","n/a","")</f>
        <v>n/a</v>
      </c>
      <c r="I2761" s="188">
        <v>287</v>
      </c>
      <c r="J2761" s="902" t="s">
        <v>6868</v>
      </c>
      <c r="K2761" s="162" t="s">
        <v>1088</v>
      </c>
      <c r="L2761" s="162" t="str">
        <f>IF(J2761="Book","n/a","")</f>
        <v>n/a</v>
      </c>
      <c r="M2761" s="162"/>
      <c r="N2761" s="162"/>
      <c r="O2761" s="162"/>
      <c r="P2761" s="178" t="s">
        <v>8790</v>
      </c>
      <c r="Q2761" s="162" t="s">
        <v>601</v>
      </c>
      <c r="R2761" s="189" t="s">
        <v>2716</v>
      </c>
      <c r="S2761" s="366" t="s">
        <v>2542</v>
      </c>
      <c r="T2761" s="178" t="s">
        <v>2611</v>
      </c>
      <c r="U2761" s="178"/>
      <c r="V2761" s="178"/>
      <c r="W2761" s="316" t="s">
        <v>6079</v>
      </c>
      <c r="X2761" s="648" t="s">
        <v>12473</v>
      </c>
      <c r="Y2761" s="356" t="s">
        <v>6868</v>
      </c>
      <c r="Z2761" s="272">
        <v>105</v>
      </c>
      <c r="AA2761" s="272">
        <v>5</v>
      </c>
      <c r="AB2761" s="34">
        <f t="shared" ca="1" si="61"/>
        <v>0.40437786954730837</v>
      </c>
      <c r="AC2761" s="814"/>
      <c r="AD2761" s="815" t="s">
        <v>16700</v>
      </c>
      <c r="AE2761" s="942"/>
      <c r="AF2761" s="923">
        <f>IF(X2761=X2760,AF2760,0)+IF(ISNUMBER(I2761),IF(I2761&lt;1,I2761,I2761*VLOOKUP(J2761,Summary!$H$2:$I$9,2)),VLOOKUP(J2761,Summary!$J$2:$K$9,2)*IF(ISNUMBER(H2761),H2761,1))</f>
        <v>1.4770023148148146</v>
      </c>
      <c r="AG2761" s="291">
        <v>2760</v>
      </c>
      <c r="AH2761" s="94"/>
      <c r="AI2761" s="94"/>
    </row>
    <row r="2762" spans="1:35" s="22" customFormat="1" ht="12" customHeight="1" x14ac:dyDescent="0.25">
      <c r="A2762" s="408" t="s">
        <v>2511</v>
      </c>
      <c r="B2762" s="440" t="s">
        <v>2650</v>
      </c>
      <c r="C2762" s="408">
        <v>22</v>
      </c>
      <c r="D2762" s="176" t="s">
        <v>14130</v>
      </c>
      <c r="E2762" s="313" t="s">
        <v>14131</v>
      </c>
      <c r="F2762" s="175">
        <v>34522</v>
      </c>
      <c r="G2762" s="174"/>
      <c r="H2762" s="176">
        <v>1</v>
      </c>
      <c r="I2762" s="176">
        <v>2</v>
      </c>
      <c r="J2762" s="900" t="s">
        <v>2755</v>
      </c>
      <c r="K2762" s="164" t="s">
        <v>6356</v>
      </c>
      <c r="L2762" s="164" t="s">
        <v>10253</v>
      </c>
      <c r="M2762" s="164"/>
      <c r="N2762" s="164" t="s">
        <v>7375</v>
      </c>
      <c r="O2762" s="164"/>
      <c r="P2762" s="173" t="s">
        <v>461</v>
      </c>
      <c r="Q2762" s="164" t="s">
        <v>4062</v>
      </c>
      <c r="R2762" s="177" t="s">
        <v>14089</v>
      </c>
      <c r="S2762" s="354"/>
      <c r="T2762" s="173"/>
      <c r="U2762" s="173"/>
      <c r="V2762" s="173"/>
      <c r="W2762" s="313" t="s">
        <v>14131</v>
      </c>
      <c r="X2762" s="645" t="s">
        <v>10016</v>
      </c>
      <c r="Y2762" s="354"/>
      <c r="Z2762" s="176"/>
      <c r="AA2762" s="176"/>
      <c r="AB2762" s="32">
        <f t="shared" ca="1" si="61"/>
        <v>0.92261255762859351</v>
      </c>
      <c r="AC2762" s="812"/>
      <c r="AD2762" s="763"/>
      <c r="AE2762" s="807"/>
      <c r="AF2762" s="921">
        <f>IF(X2762=X2761,AF2761,0)+IF(ISNUMBER(I2762),IF(I2762&lt;1,I2762,I2762*VLOOKUP(J2762,Summary!$H$2:$I$9,2)),VLOOKUP(J2762,Summary!$J$2:$K$9,2)*IF(ISNUMBER(H2762),H2762,1))</f>
        <v>1.3888888888888889E-3</v>
      </c>
      <c r="AG2762" s="289">
        <v>2761</v>
      </c>
      <c r="AH2762" s="94"/>
      <c r="AI2762" s="94"/>
    </row>
    <row r="2763" spans="1:35" s="27" customFormat="1" ht="12" customHeight="1" x14ac:dyDescent="0.25">
      <c r="A2763" s="550" t="s">
        <v>2511</v>
      </c>
      <c r="B2763" s="550">
        <v>7</v>
      </c>
      <c r="C2763" s="550">
        <v>29</v>
      </c>
      <c r="D2763" s="417" t="s">
        <v>6080</v>
      </c>
      <c r="E2763" s="316" t="s">
        <v>6081</v>
      </c>
      <c r="F2763" s="195">
        <v>34564</v>
      </c>
      <c r="G2763" s="188"/>
      <c r="H2763" s="188" t="str">
        <f>IF(J2763="Book","n/a","")</f>
        <v>n/a</v>
      </c>
      <c r="I2763" s="188">
        <v>276</v>
      </c>
      <c r="J2763" s="902" t="s">
        <v>6868</v>
      </c>
      <c r="K2763" s="162" t="s">
        <v>6356</v>
      </c>
      <c r="L2763" s="162" t="str">
        <f>IF(J2763="Book","n/a","")</f>
        <v>n/a</v>
      </c>
      <c r="M2763" s="162"/>
      <c r="N2763" s="162"/>
      <c r="O2763" s="162"/>
      <c r="P2763" s="178" t="s">
        <v>8791</v>
      </c>
      <c r="Q2763" s="162" t="s">
        <v>601</v>
      </c>
      <c r="R2763" s="189" t="s">
        <v>2716</v>
      </c>
      <c r="S2763" s="366" t="s">
        <v>2542</v>
      </c>
      <c r="T2763" s="178" t="s">
        <v>2611</v>
      </c>
      <c r="U2763" s="178"/>
      <c r="V2763" s="178"/>
      <c r="W2763" s="316" t="s">
        <v>6081</v>
      </c>
      <c r="X2763" s="648" t="s">
        <v>10016</v>
      </c>
      <c r="Y2763" s="356"/>
      <c r="Z2763" s="272">
        <v>139</v>
      </c>
      <c r="AA2763" s="272">
        <v>4.5</v>
      </c>
      <c r="AB2763" s="34">
        <f t="shared" ca="1" si="61"/>
        <v>0.18531045812434499</v>
      </c>
      <c r="AC2763" s="814"/>
      <c r="AD2763" s="815" t="s">
        <v>16619</v>
      </c>
      <c r="AE2763" s="942"/>
      <c r="AF2763" s="923">
        <f>IF(X2763=X2762,AF2762,0)+IF(ISNUMBER(I2763),IF(I2763&lt;1,I2763,I2763*VLOOKUP(J2763,Summary!$H$2:$I$9,2)),VLOOKUP(J2763,Summary!$J$2:$K$9,2)*IF(ISNUMBER(H2763),H2763,1))</f>
        <v>0.19305555555555556</v>
      </c>
      <c r="AG2763" s="291">
        <v>2762</v>
      </c>
      <c r="AH2763" s="94"/>
      <c r="AI2763" s="94"/>
    </row>
    <row r="2764" spans="1:35" s="2" customFormat="1" ht="12" customHeight="1" x14ac:dyDescent="0.25">
      <c r="A2764" s="550" t="s">
        <v>2511</v>
      </c>
      <c r="B2764" s="550">
        <v>7</v>
      </c>
      <c r="C2764" s="550">
        <v>30</v>
      </c>
      <c r="D2764" s="417" t="s">
        <v>6082</v>
      </c>
      <c r="E2764" s="316" t="s">
        <v>6083</v>
      </c>
      <c r="F2764" s="195">
        <v>34592</v>
      </c>
      <c r="G2764" s="188"/>
      <c r="H2764" s="188" t="str">
        <f>IF(J2764="Book","n/a","")</f>
        <v>n/a</v>
      </c>
      <c r="I2764" s="188">
        <v>294</v>
      </c>
      <c r="J2764" s="902" t="s">
        <v>6868</v>
      </c>
      <c r="K2764" s="162" t="s">
        <v>6234</v>
      </c>
      <c r="L2764" s="162" t="str">
        <f>IF(J2764="Book","n/a","")</f>
        <v>n/a</v>
      </c>
      <c r="M2764" s="162"/>
      <c r="N2764" s="162"/>
      <c r="O2764" s="162"/>
      <c r="P2764" s="178" t="s">
        <v>8792</v>
      </c>
      <c r="Q2764" s="162" t="s">
        <v>601</v>
      </c>
      <c r="R2764" s="189" t="s">
        <v>2716</v>
      </c>
      <c r="S2764" s="366" t="s">
        <v>2542</v>
      </c>
      <c r="T2764" s="178" t="s">
        <v>2611</v>
      </c>
      <c r="U2764" s="178"/>
      <c r="V2764" s="178"/>
      <c r="W2764" s="316" t="s">
        <v>6083</v>
      </c>
      <c r="X2764" s="648" t="s">
        <v>10016</v>
      </c>
      <c r="Y2764" s="356"/>
      <c r="Z2764" s="272">
        <v>130</v>
      </c>
      <c r="AA2764" s="272">
        <v>5</v>
      </c>
      <c r="AB2764" s="34">
        <f t="shared" ca="1" si="61"/>
        <v>0.80370139947285291</v>
      </c>
      <c r="AC2764" s="814"/>
      <c r="AD2764" s="815" t="s">
        <v>16770</v>
      </c>
      <c r="AE2764" s="942"/>
      <c r="AF2764" s="923">
        <f>IF(X2764=X2763,AF2763,0)+IF(ISNUMBER(I2764),IF(I2764&lt;1,I2764,I2764*VLOOKUP(J2764,Summary!$H$2:$I$9,2)),VLOOKUP(J2764,Summary!$J$2:$K$9,2)*IF(ISNUMBER(H2764),H2764,1))</f>
        <v>0.39722222222222225</v>
      </c>
      <c r="AG2764" s="291">
        <v>2763</v>
      </c>
      <c r="AH2764" s="94"/>
      <c r="AI2764" s="94"/>
    </row>
    <row r="2765" spans="1:35" s="22" customFormat="1" ht="12" customHeight="1" x14ac:dyDescent="0.25">
      <c r="A2765" s="408" t="s">
        <v>2511</v>
      </c>
      <c r="B2765" s="440" t="s">
        <v>2650</v>
      </c>
      <c r="C2765" s="408">
        <v>24</v>
      </c>
      <c r="D2765" s="176" t="s">
        <v>14134</v>
      </c>
      <c r="E2765" s="313" t="s">
        <v>14135</v>
      </c>
      <c r="F2765" s="175">
        <v>34578</v>
      </c>
      <c r="G2765" s="174"/>
      <c r="H2765" s="176">
        <v>1</v>
      </c>
      <c r="I2765" s="176">
        <v>2</v>
      </c>
      <c r="J2765" s="900" t="s">
        <v>2755</v>
      </c>
      <c r="K2765" s="164" t="s">
        <v>4964</v>
      </c>
      <c r="L2765" s="164" t="s">
        <v>10253</v>
      </c>
      <c r="M2765" s="164"/>
      <c r="N2765" s="164" t="s">
        <v>7375</v>
      </c>
      <c r="O2765" s="164"/>
      <c r="P2765" s="173" t="s">
        <v>461</v>
      </c>
      <c r="Q2765" s="164" t="s">
        <v>4062</v>
      </c>
      <c r="R2765" s="177" t="s">
        <v>14089</v>
      </c>
      <c r="S2765" s="354"/>
      <c r="T2765" s="173"/>
      <c r="U2765" s="173"/>
      <c r="V2765" s="173"/>
      <c r="W2765" s="313" t="s">
        <v>14135</v>
      </c>
      <c r="X2765" s="645" t="s">
        <v>10016</v>
      </c>
      <c r="Y2765" s="354"/>
      <c r="Z2765" s="176"/>
      <c r="AA2765" s="176"/>
      <c r="AB2765" s="32">
        <f t="shared" ca="1" si="61"/>
        <v>0.17706065204039168</v>
      </c>
      <c r="AC2765" s="812"/>
      <c r="AD2765" s="763"/>
      <c r="AE2765" s="807"/>
      <c r="AF2765" s="921">
        <f>IF(X2765=X2764,AF2764,0)+IF(ISNUMBER(I2765),IF(I2765&lt;1,I2765,I2765*VLOOKUP(J2765,Summary!$H$2:$I$9,2)),VLOOKUP(J2765,Summary!$J$2:$K$9,2)*IF(ISNUMBER(H2765),H2765,1))</f>
        <v>0.39861111111111114</v>
      </c>
      <c r="AG2765" s="289">
        <v>2764</v>
      </c>
      <c r="AH2765" s="94"/>
      <c r="AI2765" s="94"/>
    </row>
    <row r="2766" spans="1:35" s="3" customFormat="1" ht="12" customHeight="1" x14ac:dyDescent="0.25">
      <c r="A2766" s="550" t="s">
        <v>2511</v>
      </c>
      <c r="B2766" s="550">
        <v>7</v>
      </c>
      <c r="C2766" s="550">
        <v>31</v>
      </c>
      <c r="D2766" s="417" t="s">
        <v>6084</v>
      </c>
      <c r="E2766" s="316" t="s">
        <v>6085</v>
      </c>
      <c r="F2766" s="195">
        <v>34627</v>
      </c>
      <c r="G2766" s="188"/>
      <c r="H2766" s="188" t="str">
        <f>IF(J2766="Book","n/a","")</f>
        <v>n/a</v>
      </c>
      <c r="I2766" s="188">
        <v>274</v>
      </c>
      <c r="J2766" s="902" t="s">
        <v>6868</v>
      </c>
      <c r="K2766" s="162" t="s">
        <v>4964</v>
      </c>
      <c r="L2766" s="162" t="str">
        <f>IF(J2766="Book","n/a","")</f>
        <v>n/a</v>
      </c>
      <c r="M2766" s="162"/>
      <c r="N2766" s="162"/>
      <c r="O2766" s="162"/>
      <c r="P2766" s="178" t="s">
        <v>8793</v>
      </c>
      <c r="Q2766" s="162" t="s">
        <v>601</v>
      </c>
      <c r="R2766" s="189" t="s">
        <v>2716</v>
      </c>
      <c r="S2766" s="366" t="s">
        <v>2542</v>
      </c>
      <c r="T2766" s="178" t="s">
        <v>2611</v>
      </c>
      <c r="U2766" s="178"/>
      <c r="V2766" s="178"/>
      <c r="W2766" s="316" t="s">
        <v>6085</v>
      </c>
      <c r="X2766" s="648" t="s">
        <v>10016</v>
      </c>
      <c r="Y2766" s="356"/>
      <c r="Z2766" s="272">
        <v>224</v>
      </c>
      <c r="AA2766" s="272">
        <v>2</v>
      </c>
      <c r="AB2766" s="34">
        <f t="shared" ca="1" si="61"/>
        <v>0.18797535925036912</v>
      </c>
      <c r="AC2766" s="814"/>
      <c r="AD2766" s="815" t="s">
        <v>16131</v>
      </c>
      <c r="AE2766" s="942"/>
      <c r="AF2766" s="923">
        <f>IF(X2766=X2765,AF2765,0)+IF(ISNUMBER(I2766),IF(I2766&lt;1,I2766,I2766*VLOOKUP(J2766,Summary!$H$2:$I$9,2)),VLOOKUP(J2766,Summary!$J$2:$K$9,2)*IF(ISNUMBER(H2766),H2766,1))</f>
        <v>0.58888888888888891</v>
      </c>
      <c r="AG2766" s="291">
        <v>2765</v>
      </c>
      <c r="AH2766" s="94"/>
      <c r="AI2766" s="94"/>
    </row>
    <row r="2767" spans="1:35" s="3" customFormat="1" ht="12" customHeight="1" x14ac:dyDescent="0.25">
      <c r="A2767" s="550" t="s">
        <v>2511</v>
      </c>
      <c r="B2767" s="550">
        <v>7</v>
      </c>
      <c r="C2767" s="550">
        <v>32</v>
      </c>
      <c r="D2767" s="417" t="s">
        <v>6086</v>
      </c>
      <c r="E2767" s="316" t="s">
        <v>6087</v>
      </c>
      <c r="F2767" s="195">
        <v>34655</v>
      </c>
      <c r="G2767" s="188"/>
      <c r="H2767" s="188" t="str">
        <f>IF(J2767="Book","n/a","")</f>
        <v>n/a</v>
      </c>
      <c r="I2767" s="188">
        <v>356</v>
      </c>
      <c r="J2767" s="902" t="s">
        <v>6868</v>
      </c>
      <c r="K2767" s="162" t="s">
        <v>6236</v>
      </c>
      <c r="L2767" s="162" t="str">
        <f>IF(J2767="Book","n/a","")</f>
        <v>n/a</v>
      </c>
      <c r="M2767" s="162"/>
      <c r="N2767" s="162"/>
      <c r="O2767" s="162"/>
      <c r="P2767" s="178" t="s">
        <v>8794</v>
      </c>
      <c r="Q2767" s="162" t="s">
        <v>601</v>
      </c>
      <c r="R2767" s="189" t="s">
        <v>2716</v>
      </c>
      <c r="S2767" s="366" t="s">
        <v>2542</v>
      </c>
      <c r="T2767" s="178" t="s">
        <v>2611</v>
      </c>
      <c r="U2767" s="178"/>
      <c r="V2767" s="178"/>
      <c r="W2767" s="316" t="s">
        <v>6087</v>
      </c>
      <c r="X2767" s="648" t="s">
        <v>10016</v>
      </c>
      <c r="Y2767" s="356"/>
      <c r="Z2767" s="272">
        <v>233</v>
      </c>
      <c r="AA2767" s="272">
        <v>1</v>
      </c>
      <c r="AB2767" s="34">
        <f t="shared" ca="1" si="61"/>
        <v>8.2855002818586154E-2</v>
      </c>
      <c r="AC2767" s="814"/>
      <c r="AD2767" s="815" t="s">
        <v>15851</v>
      </c>
      <c r="AE2767" s="942" t="s">
        <v>12543</v>
      </c>
      <c r="AF2767" s="923">
        <f>IF(X2767=X2766,AF2766,0)+IF(ISNUMBER(I2767),IF(I2767&lt;1,I2767,I2767*VLOOKUP(J2767,Summary!$H$2:$I$9,2)),VLOOKUP(J2767,Summary!$J$2:$K$9,2)*IF(ISNUMBER(H2767),H2767,1))</f>
        <v>0.83611111111111114</v>
      </c>
      <c r="AG2767" s="291">
        <v>2766</v>
      </c>
      <c r="AH2767" s="94"/>
      <c r="AI2767" s="94"/>
    </row>
    <row r="2768" spans="1:35" s="120" customFormat="1" ht="12" customHeight="1" x14ac:dyDescent="0.25">
      <c r="A2768" s="408" t="s">
        <v>2511</v>
      </c>
      <c r="B2768" s="440" t="s">
        <v>2650</v>
      </c>
      <c r="C2768" s="408">
        <v>26</v>
      </c>
      <c r="D2768" s="176" t="s">
        <v>14137</v>
      </c>
      <c r="E2768" s="313" t="s">
        <v>14139</v>
      </c>
      <c r="F2768" s="175">
        <v>34662</v>
      </c>
      <c r="G2768" s="174"/>
      <c r="H2768" s="176">
        <v>1</v>
      </c>
      <c r="I2768" s="176">
        <v>1</v>
      </c>
      <c r="J2768" s="900" t="s">
        <v>2755</v>
      </c>
      <c r="K2768" s="164" t="s">
        <v>1932</v>
      </c>
      <c r="L2768" s="164" t="s">
        <v>10253</v>
      </c>
      <c r="M2768" s="164"/>
      <c r="N2768" s="164" t="s">
        <v>7375</v>
      </c>
      <c r="O2768" s="164"/>
      <c r="P2768" s="173" t="s">
        <v>461</v>
      </c>
      <c r="Q2768" s="164" t="s">
        <v>4062</v>
      </c>
      <c r="R2768" s="177" t="s">
        <v>14089</v>
      </c>
      <c r="S2768" s="354"/>
      <c r="T2768" s="173"/>
      <c r="U2768" s="173"/>
      <c r="V2768" s="173"/>
      <c r="W2768" s="313" t="s">
        <v>14139</v>
      </c>
      <c r="X2768" s="645" t="s">
        <v>10016</v>
      </c>
      <c r="Y2768" s="354"/>
      <c r="Z2768" s="176"/>
      <c r="AA2768" s="176"/>
      <c r="AB2768" s="32">
        <f t="shared" ca="1" si="61"/>
        <v>0.80908907439815547</v>
      </c>
      <c r="AC2768" s="812"/>
      <c r="AD2768" s="763"/>
      <c r="AE2768" s="807"/>
      <c r="AF2768" s="921">
        <f>IF(X2768=X2767,AF2767,0)+IF(ISNUMBER(I2768),IF(I2768&lt;1,I2768,I2768*VLOOKUP(J2768,Summary!$H$2:$I$9,2)),VLOOKUP(J2768,Summary!$J$2:$K$9,2)*IF(ISNUMBER(H2768),H2768,1))</f>
        <v>0.83680555555555558</v>
      </c>
      <c r="AG2768" s="289">
        <v>2767</v>
      </c>
      <c r="AH2768" s="94"/>
      <c r="AI2768" s="94"/>
    </row>
    <row r="2769" spans="1:35" s="3" customFormat="1" ht="12" customHeight="1" x14ac:dyDescent="0.25">
      <c r="A2769" s="550" t="s">
        <v>2511</v>
      </c>
      <c r="B2769" s="550">
        <v>7</v>
      </c>
      <c r="C2769" s="550">
        <v>33</v>
      </c>
      <c r="D2769" s="417" t="s">
        <v>6088</v>
      </c>
      <c r="E2769" s="316" t="s">
        <v>6089</v>
      </c>
      <c r="F2769" s="195">
        <v>34669</v>
      </c>
      <c r="G2769" s="188"/>
      <c r="H2769" s="188">
        <v>3</v>
      </c>
      <c r="I2769" s="188">
        <v>306</v>
      </c>
      <c r="J2769" s="902" t="s">
        <v>6868</v>
      </c>
      <c r="K2769" s="162" t="s">
        <v>1932</v>
      </c>
      <c r="L2769" s="162" t="str">
        <f>IF(J2769="Book","n/a","")</f>
        <v>n/a</v>
      </c>
      <c r="M2769" s="162"/>
      <c r="N2769" s="162"/>
      <c r="O2769" s="162"/>
      <c r="P2769" s="178" t="s">
        <v>8795</v>
      </c>
      <c r="Q2769" s="162" t="s">
        <v>601</v>
      </c>
      <c r="R2769" s="189" t="s">
        <v>2716</v>
      </c>
      <c r="S2769" s="366" t="s">
        <v>2542</v>
      </c>
      <c r="T2769" s="178" t="s">
        <v>2611</v>
      </c>
      <c r="U2769" s="178"/>
      <c r="V2769" s="178"/>
      <c r="W2769" s="316" t="s">
        <v>11332</v>
      </c>
      <c r="X2769" s="648" t="s">
        <v>10016</v>
      </c>
      <c r="Y2769" s="356"/>
      <c r="Z2769" s="272">
        <v>197</v>
      </c>
      <c r="AA2769" s="272">
        <v>3</v>
      </c>
      <c r="AB2769" s="34">
        <f t="shared" ca="1" si="61"/>
        <v>0.58543782805325084</v>
      </c>
      <c r="AC2769" s="814"/>
      <c r="AD2769" s="815" t="s">
        <v>16237</v>
      </c>
      <c r="AE2769" s="942" t="s">
        <v>3365</v>
      </c>
      <c r="AF2769" s="923">
        <f>IF(X2769=X2768,AF2768,0)+IF(ISNUMBER(I2769),IF(I2769&lt;1,I2769,I2769*VLOOKUP(J2769,Summary!$H$2:$I$9,2)),VLOOKUP(J2769,Summary!$J$2:$K$9,2)*IF(ISNUMBER(H2769),H2769,1))</f>
        <v>1.0493055555555555</v>
      </c>
      <c r="AG2769" s="291">
        <v>2768</v>
      </c>
      <c r="AH2769" s="94"/>
      <c r="AI2769" s="94"/>
    </row>
    <row r="2770" spans="1:35" s="27" customFormat="1" ht="12" customHeight="1" x14ac:dyDescent="0.25">
      <c r="A2770" s="539" t="s">
        <v>2511</v>
      </c>
      <c r="B2770" s="539">
        <v>7</v>
      </c>
      <c r="C2770" s="542">
        <v>18.13</v>
      </c>
      <c r="D2770" s="176" t="s">
        <v>5224</v>
      </c>
      <c r="E2770" s="313" t="s">
        <v>668</v>
      </c>
      <c r="F2770" s="174">
        <v>38687</v>
      </c>
      <c r="G2770" s="174"/>
      <c r="H2770" s="176">
        <v>1</v>
      </c>
      <c r="I2770" s="176">
        <v>6</v>
      </c>
      <c r="J2770" s="900" t="s">
        <v>2755</v>
      </c>
      <c r="K2770" s="164" t="s">
        <v>7800</v>
      </c>
      <c r="L2770" s="164" t="s">
        <v>461</v>
      </c>
      <c r="M2770" s="164"/>
      <c r="N2770" s="164" t="s">
        <v>5664</v>
      </c>
      <c r="O2770" s="164"/>
      <c r="P2770" s="173" t="s">
        <v>5000</v>
      </c>
      <c r="Q2770" s="164" t="s">
        <v>3947</v>
      </c>
      <c r="R2770" s="177" t="s">
        <v>2723</v>
      </c>
      <c r="S2770" s="354"/>
      <c r="T2770" s="173"/>
      <c r="U2770" s="173"/>
      <c r="V2770" s="173"/>
      <c r="W2770" s="313" t="s">
        <v>668</v>
      </c>
      <c r="X2770" s="645" t="s">
        <v>10016</v>
      </c>
      <c r="Y2770" s="354"/>
      <c r="Z2770" s="176"/>
      <c r="AA2770" s="176"/>
      <c r="AB2770" s="32">
        <f t="shared" ca="1" si="61"/>
        <v>0.39623109026788428</v>
      </c>
      <c r="AC2770" s="812"/>
      <c r="AD2770" s="763"/>
      <c r="AE2770" s="807"/>
      <c r="AF2770" s="921">
        <f>IF(X2770=X2769,AF2769,0)+IF(ISNUMBER(I2770),IF(I2770&lt;1,I2770,I2770*VLOOKUP(J2770,Summary!$H$2:$I$9,2)),VLOOKUP(J2770,Summary!$J$2:$K$9,2)*IF(ISNUMBER(H2770),H2770,1))</f>
        <v>1.0534722222222221</v>
      </c>
      <c r="AG2770" s="289">
        <v>2769</v>
      </c>
      <c r="AH2770" s="94"/>
      <c r="AI2770" s="94"/>
    </row>
    <row r="2771" spans="1:35" s="3" customFormat="1" ht="12" customHeight="1" x14ac:dyDescent="0.25">
      <c r="A2771" s="539" t="s">
        <v>2511</v>
      </c>
      <c r="B2771" s="539">
        <v>7</v>
      </c>
      <c r="C2771" s="542">
        <v>19.12</v>
      </c>
      <c r="D2771" s="176" t="s">
        <v>5226</v>
      </c>
      <c r="E2771" s="313" t="s">
        <v>6226</v>
      </c>
      <c r="F2771" s="174">
        <v>38808</v>
      </c>
      <c r="G2771" s="174"/>
      <c r="H2771" s="176">
        <v>1</v>
      </c>
      <c r="I2771" s="176">
        <v>14</v>
      </c>
      <c r="J2771" s="900" t="s">
        <v>2755</v>
      </c>
      <c r="K2771" s="164" t="s">
        <v>5225</v>
      </c>
      <c r="L2771" s="164" t="s">
        <v>461</v>
      </c>
      <c r="M2771" s="164"/>
      <c r="N2771" s="164" t="s">
        <v>4552</v>
      </c>
      <c r="O2771" s="164"/>
      <c r="P2771" s="173" t="s">
        <v>5020</v>
      </c>
      <c r="Q2771" s="164" t="s">
        <v>3947</v>
      </c>
      <c r="R2771" s="177" t="s">
        <v>2723</v>
      </c>
      <c r="S2771" s="354"/>
      <c r="T2771" s="173"/>
      <c r="U2771" s="173"/>
      <c r="V2771" s="173"/>
      <c r="W2771" s="313" t="s">
        <v>6226</v>
      </c>
      <c r="X2771" s="645" t="s">
        <v>10016</v>
      </c>
      <c r="Y2771" s="354"/>
      <c r="Z2771" s="176"/>
      <c r="AA2771" s="176"/>
      <c r="AB2771" s="32">
        <f t="shared" ca="1" si="61"/>
        <v>0.43794821747920865</v>
      </c>
      <c r="AC2771" s="812"/>
      <c r="AD2771" s="763"/>
      <c r="AE2771" s="807"/>
      <c r="AF2771" s="921">
        <f>IF(X2771=X2770,AF2770,0)+IF(ISNUMBER(I2771),IF(I2771&lt;1,I2771,I2771*VLOOKUP(J2771,Summary!$H$2:$I$9,2)),VLOOKUP(J2771,Summary!$J$2:$K$9,2)*IF(ISNUMBER(H2771),H2771,1))</f>
        <v>1.0631944444444443</v>
      </c>
      <c r="AG2771" s="289">
        <v>2770</v>
      </c>
      <c r="AH2771" s="94"/>
      <c r="AI2771" s="94"/>
    </row>
    <row r="2772" spans="1:35" s="3" customFormat="1" ht="12" customHeight="1" x14ac:dyDescent="0.25">
      <c r="A2772" s="539" t="s">
        <v>2511</v>
      </c>
      <c r="B2772" s="539">
        <v>7</v>
      </c>
      <c r="C2772" s="542">
        <v>20.16</v>
      </c>
      <c r="D2772" s="176" t="s">
        <v>5227</v>
      </c>
      <c r="E2772" s="313" t="s">
        <v>669</v>
      </c>
      <c r="F2772" s="174">
        <v>38961</v>
      </c>
      <c r="G2772" s="174"/>
      <c r="H2772" s="176">
        <v>1</v>
      </c>
      <c r="I2772" s="176">
        <v>16</v>
      </c>
      <c r="J2772" s="900" t="s">
        <v>2755</v>
      </c>
      <c r="K2772" s="164" t="s">
        <v>4374</v>
      </c>
      <c r="L2772" s="164" t="s">
        <v>461</v>
      </c>
      <c r="M2772" s="164"/>
      <c r="N2772" s="164" t="s">
        <v>7381</v>
      </c>
      <c r="O2772" s="164"/>
      <c r="P2772" s="173" t="s">
        <v>705</v>
      </c>
      <c r="Q2772" s="164" t="s">
        <v>3947</v>
      </c>
      <c r="R2772" s="177" t="s">
        <v>2723</v>
      </c>
      <c r="S2772" s="354"/>
      <c r="T2772" s="173"/>
      <c r="U2772" s="173"/>
      <c r="V2772" s="173"/>
      <c r="W2772" s="313" t="s">
        <v>669</v>
      </c>
      <c r="X2772" s="645" t="s">
        <v>10016</v>
      </c>
      <c r="Y2772" s="354"/>
      <c r="Z2772" s="176"/>
      <c r="AA2772" s="176"/>
      <c r="AB2772" s="32">
        <f t="shared" ca="1" si="61"/>
        <v>0.9223282660212615</v>
      </c>
      <c r="AC2772" s="812"/>
      <c r="AD2772" s="763"/>
      <c r="AE2772" s="807"/>
      <c r="AF2772" s="921">
        <f>IF(X2772=X2771,AF2771,0)+IF(ISNUMBER(I2772),IF(I2772&lt;1,I2772,I2772*VLOOKUP(J2772,Summary!$H$2:$I$9,2)),VLOOKUP(J2772,Summary!$J$2:$K$9,2)*IF(ISNUMBER(H2772),H2772,1))</f>
        <v>1.0743055555555554</v>
      </c>
      <c r="AG2772" s="289">
        <v>2771</v>
      </c>
      <c r="AH2772" s="94"/>
      <c r="AI2772" s="94"/>
    </row>
    <row r="2773" spans="1:35" s="120" customFormat="1" ht="12" customHeight="1" x14ac:dyDescent="0.25">
      <c r="A2773" s="539" t="s">
        <v>2511</v>
      </c>
      <c r="B2773" s="539">
        <v>7</v>
      </c>
      <c r="C2773" s="540">
        <v>27</v>
      </c>
      <c r="D2773" s="176" t="s">
        <v>14140</v>
      </c>
      <c r="E2773" s="313" t="s">
        <v>14141</v>
      </c>
      <c r="F2773" s="175">
        <v>34695</v>
      </c>
      <c r="G2773" s="174"/>
      <c r="H2773" s="176">
        <v>1</v>
      </c>
      <c r="I2773" s="176">
        <v>2</v>
      </c>
      <c r="J2773" s="900" t="s">
        <v>2755</v>
      </c>
      <c r="K2773" s="164" t="s">
        <v>2939</v>
      </c>
      <c r="L2773" s="164" t="s">
        <v>10253</v>
      </c>
      <c r="M2773" s="164"/>
      <c r="N2773" s="164" t="s">
        <v>7375</v>
      </c>
      <c r="O2773" s="164"/>
      <c r="P2773" s="173" t="s">
        <v>461</v>
      </c>
      <c r="Q2773" s="164" t="s">
        <v>4062</v>
      </c>
      <c r="R2773" s="177" t="s">
        <v>14089</v>
      </c>
      <c r="S2773" s="354"/>
      <c r="T2773" s="173"/>
      <c r="U2773" s="173"/>
      <c r="V2773" s="173"/>
      <c r="W2773" s="313" t="s">
        <v>14141</v>
      </c>
      <c r="X2773" s="645" t="s">
        <v>10016</v>
      </c>
      <c r="Y2773" s="354"/>
      <c r="Z2773" s="176"/>
      <c r="AA2773" s="176"/>
      <c r="AB2773" s="32">
        <f t="shared" ca="1" si="61"/>
        <v>0.8067171578843465</v>
      </c>
      <c r="AC2773" s="812"/>
      <c r="AD2773" s="763"/>
      <c r="AE2773" s="807"/>
      <c r="AF2773" s="921">
        <f>IF(X2773=X2772,AF2772,0)+IF(ISNUMBER(I2773),IF(I2773&lt;1,I2773,I2773*VLOOKUP(J2773,Summary!$H$2:$I$9,2)),VLOOKUP(J2773,Summary!$J$2:$K$9,2)*IF(ISNUMBER(H2773),H2773,1))</f>
        <v>1.0756944444444443</v>
      </c>
      <c r="AG2773" s="289">
        <v>2772</v>
      </c>
      <c r="AH2773" s="94"/>
      <c r="AI2773" s="94"/>
    </row>
    <row r="2774" spans="1:35" s="2" customFormat="1" ht="12" customHeight="1" x14ac:dyDescent="0.25">
      <c r="A2774" s="550" t="s">
        <v>2511</v>
      </c>
      <c r="B2774" s="550">
        <v>7</v>
      </c>
      <c r="C2774" s="550">
        <v>34</v>
      </c>
      <c r="D2774" s="417" t="s">
        <v>6090</v>
      </c>
      <c r="E2774" s="316" t="s">
        <v>6091</v>
      </c>
      <c r="F2774" s="195">
        <v>34718</v>
      </c>
      <c r="G2774" s="188"/>
      <c r="H2774" s="188" t="str">
        <f>IF(J2774="Book","n/a","")</f>
        <v>n/a</v>
      </c>
      <c r="I2774" s="188">
        <v>359</v>
      </c>
      <c r="J2774" s="902" t="s">
        <v>6868</v>
      </c>
      <c r="K2774" s="162" t="s">
        <v>2939</v>
      </c>
      <c r="L2774" s="162" t="str">
        <f>IF(J2774="Book","n/a","")</f>
        <v>n/a</v>
      </c>
      <c r="M2774" s="162"/>
      <c r="N2774" s="162"/>
      <c r="O2774" s="162"/>
      <c r="P2774" s="178" t="s">
        <v>8796</v>
      </c>
      <c r="Q2774" s="162" t="s">
        <v>601</v>
      </c>
      <c r="R2774" s="189" t="s">
        <v>2716</v>
      </c>
      <c r="S2774" s="366" t="s">
        <v>2542</v>
      </c>
      <c r="T2774" s="178" t="s">
        <v>2611</v>
      </c>
      <c r="U2774" s="178"/>
      <c r="V2774" s="178"/>
      <c r="W2774" s="316" t="s">
        <v>6091</v>
      </c>
      <c r="X2774" s="648" t="s">
        <v>10016</v>
      </c>
      <c r="Y2774" s="356"/>
      <c r="Z2774" s="272">
        <v>158</v>
      </c>
      <c r="AA2774" s="272">
        <v>4</v>
      </c>
      <c r="AB2774" s="34">
        <f t="shared" ca="1" si="61"/>
        <v>0.59797615336045451</v>
      </c>
      <c r="AC2774" s="814"/>
      <c r="AD2774" s="815" t="s">
        <v>16079</v>
      </c>
      <c r="AE2774" s="942"/>
      <c r="AF2774" s="923">
        <f>IF(X2774=X2773,AF2773,0)+IF(ISNUMBER(I2774),IF(I2774&lt;1,I2774,I2774*VLOOKUP(J2774,Summary!$H$2:$I$9,2)),VLOOKUP(J2774,Summary!$J$2:$K$9,2)*IF(ISNUMBER(H2774),H2774,1))</f>
        <v>1.3249999999999997</v>
      </c>
      <c r="AG2774" s="291">
        <v>2773</v>
      </c>
      <c r="AH2774" s="94"/>
      <c r="AI2774" s="94"/>
    </row>
    <row r="2775" spans="1:35" s="120" customFormat="1" ht="12" customHeight="1" x14ac:dyDescent="0.25">
      <c r="A2775" s="539" t="s">
        <v>2511</v>
      </c>
      <c r="B2775" s="539">
        <v>7</v>
      </c>
      <c r="C2775" s="540">
        <v>28</v>
      </c>
      <c r="D2775" s="176" t="s">
        <v>14142</v>
      </c>
      <c r="E2775" s="313" t="s">
        <v>14143</v>
      </c>
      <c r="F2775" s="175">
        <v>34718</v>
      </c>
      <c r="G2775" s="174"/>
      <c r="H2775" s="176">
        <v>1</v>
      </c>
      <c r="I2775" s="176">
        <v>2</v>
      </c>
      <c r="J2775" s="900" t="s">
        <v>2755</v>
      </c>
      <c r="K2775" s="164" t="s">
        <v>7800</v>
      </c>
      <c r="L2775" s="164" t="s">
        <v>10253</v>
      </c>
      <c r="M2775" s="164"/>
      <c r="N2775" s="164" t="s">
        <v>7375</v>
      </c>
      <c r="O2775" s="164"/>
      <c r="P2775" s="173" t="s">
        <v>461</v>
      </c>
      <c r="Q2775" s="164" t="s">
        <v>4062</v>
      </c>
      <c r="R2775" s="177" t="s">
        <v>14089</v>
      </c>
      <c r="S2775" s="354"/>
      <c r="T2775" s="173"/>
      <c r="U2775" s="173"/>
      <c r="V2775" s="173"/>
      <c r="W2775" s="313" t="s">
        <v>14143</v>
      </c>
      <c r="X2775" s="645" t="s">
        <v>10016</v>
      </c>
      <c r="Y2775" s="354"/>
      <c r="Z2775" s="176"/>
      <c r="AA2775" s="176"/>
      <c r="AB2775" s="32">
        <f t="shared" ca="1" si="61"/>
        <v>0.94657001323936885</v>
      </c>
      <c r="AC2775" s="812"/>
      <c r="AD2775" s="763"/>
      <c r="AE2775" s="807"/>
      <c r="AF2775" s="921">
        <f>IF(X2775=X2774,AF2774,0)+IF(ISNUMBER(I2775),IF(I2775&lt;1,I2775,I2775*VLOOKUP(J2775,Summary!$H$2:$I$9,2)),VLOOKUP(J2775,Summary!$J$2:$K$9,2)*IF(ISNUMBER(H2775),H2775,1))</f>
        <v>1.3263888888888886</v>
      </c>
      <c r="AG2775" s="289">
        <v>2774</v>
      </c>
      <c r="AH2775" s="94"/>
      <c r="AI2775" s="94"/>
    </row>
    <row r="2776" spans="1:35" s="29" customFormat="1" ht="12" customHeight="1" x14ac:dyDescent="0.25">
      <c r="A2776" s="550" t="s">
        <v>2511</v>
      </c>
      <c r="B2776" s="550">
        <v>7</v>
      </c>
      <c r="C2776" s="550">
        <v>35</v>
      </c>
      <c r="D2776" s="417" t="s">
        <v>6092</v>
      </c>
      <c r="E2776" s="316" t="s">
        <v>6093</v>
      </c>
      <c r="F2776" s="195">
        <v>34746</v>
      </c>
      <c r="G2776" s="188"/>
      <c r="H2776" s="188">
        <v>3</v>
      </c>
      <c r="I2776" s="188">
        <v>241</v>
      </c>
      <c r="J2776" s="902" t="s">
        <v>6868</v>
      </c>
      <c r="K2776" s="162" t="s">
        <v>7800</v>
      </c>
      <c r="L2776" s="162" t="str">
        <f>IF(J2776="Book","n/a","")</f>
        <v>n/a</v>
      </c>
      <c r="M2776" s="162"/>
      <c r="N2776" s="162"/>
      <c r="O2776" s="162"/>
      <c r="P2776" s="178" t="s">
        <v>8797</v>
      </c>
      <c r="Q2776" s="162" t="s">
        <v>601</v>
      </c>
      <c r="R2776" s="189" t="s">
        <v>2716</v>
      </c>
      <c r="S2776" s="366" t="s">
        <v>2542</v>
      </c>
      <c r="T2776" s="178" t="s">
        <v>2611</v>
      </c>
      <c r="U2776" s="178"/>
      <c r="V2776" s="178"/>
      <c r="W2776" s="316" t="s">
        <v>11449</v>
      </c>
      <c r="X2776" s="648" t="s">
        <v>10016</v>
      </c>
      <c r="Y2776" s="356"/>
      <c r="Z2776" s="272">
        <v>64</v>
      </c>
      <c r="AA2776" s="272">
        <v>6.5</v>
      </c>
      <c r="AB2776" s="34">
        <f t="shared" ca="1" si="61"/>
        <v>0.27488300101535712</v>
      </c>
      <c r="AC2776" s="814"/>
      <c r="AD2776" s="818" t="s">
        <v>16613</v>
      </c>
      <c r="AE2776" s="942" t="s">
        <v>16614</v>
      </c>
      <c r="AF2776" s="923">
        <f>IF(X2776=X2775,AF2775,0)+IF(ISNUMBER(I2776),IF(I2776&lt;1,I2776,I2776*VLOOKUP(J2776,Summary!$H$2:$I$9,2)),VLOOKUP(J2776,Summary!$J$2:$K$9,2)*IF(ISNUMBER(H2776),H2776,1))</f>
        <v>1.4937499999999997</v>
      </c>
      <c r="AG2776" s="291">
        <v>2775</v>
      </c>
      <c r="AH2776" s="94"/>
      <c r="AI2776" s="94"/>
    </row>
    <row r="2777" spans="1:35" s="22" customFormat="1" ht="12" customHeight="1" x14ac:dyDescent="0.25">
      <c r="A2777" s="539" t="s">
        <v>2513</v>
      </c>
      <c r="B2777" s="539">
        <v>7</v>
      </c>
      <c r="C2777" s="540">
        <v>29</v>
      </c>
      <c r="D2777" s="176" t="s">
        <v>14144</v>
      </c>
      <c r="E2777" s="313" t="s">
        <v>14145</v>
      </c>
      <c r="F2777" s="175">
        <v>34746</v>
      </c>
      <c r="G2777" s="174"/>
      <c r="H2777" s="176">
        <v>1</v>
      </c>
      <c r="I2777" s="176">
        <v>2</v>
      </c>
      <c r="J2777" s="900" t="s">
        <v>2755</v>
      </c>
      <c r="K2777" s="164" t="s">
        <v>4148</v>
      </c>
      <c r="L2777" s="164" t="s">
        <v>10253</v>
      </c>
      <c r="M2777" s="164"/>
      <c r="N2777" s="164" t="s">
        <v>2750</v>
      </c>
      <c r="O2777" s="164"/>
      <c r="P2777" s="173" t="s">
        <v>461</v>
      </c>
      <c r="Q2777" s="164" t="s">
        <v>4062</v>
      </c>
      <c r="R2777" s="177" t="s">
        <v>14089</v>
      </c>
      <c r="S2777" s="354"/>
      <c r="T2777" s="173" t="s">
        <v>2611</v>
      </c>
      <c r="U2777" s="173"/>
      <c r="V2777" s="173"/>
      <c r="W2777" s="313" t="s">
        <v>14145</v>
      </c>
      <c r="X2777" s="645" t="s">
        <v>6099</v>
      </c>
      <c r="Y2777" s="354"/>
      <c r="Z2777" s="176"/>
      <c r="AA2777" s="176"/>
      <c r="AB2777" s="32">
        <f t="shared" ca="1" si="61"/>
        <v>0.56662356263064528</v>
      </c>
      <c r="AC2777" s="812"/>
      <c r="AD2777" s="763"/>
      <c r="AE2777" s="807"/>
      <c r="AF2777" s="921">
        <f>IF(X2777=X2776,AF2776,0)+IF(ISNUMBER(I2777),IF(I2777&lt;1,I2777,I2777*VLOOKUP(J2777,Summary!$H$2:$I$9,2)),VLOOKUP(J2777,Summary!$J$2:$K$9,2)*IF(ISNUMBER(H2777),H2777,1))</f>
        <v>1.3888888888888889E-3</v>
      </c>
      <c r="AG2777" s="289">
        <v>2776</v>
      </c>
      <c r="AH2777" s="94"/>
      <c r="AI2777" s="94"/>
    </row>
    <row r="2778" spans="1:35" s="22" customFormat="1" ht="12" customHeight="1" x14ac:dyDescent="0.25">
      <c r="A2778" s="550" t="s">
        <v>2513</v>
      </c>
      <c r="B2778" s="550">
        <v>7</v>
      </c>
      <c r="C2778" s="550">
        <v>36</v>
      </c>
      <c r="D2778" s="417" t="s">
        <v>6094</v>
      </c>
      <c r="E2778" s="316" t="s">
        <v>6095</v>
      </c>
      <c r="F2778" s="195">
        <v>34774</v>
      </c>
      <c r="G2778" s="188"/>
      <c r="H2778" s="188">
        <v>4</v>
      </c>
      <c r="I2778" s="188">
        <v>274</v>
      </c>
      <c r="J2778" s="902" t="s">
        <v>6868</v>
      </c>
      <c r="K2778" s="162" t="s">
        <v>4148</v>
      </c>
      <c r="L2778" s="162" t="str">
        <f>IF(J2778="Book","n/a","")</f>
        <v>n/a</v>
      </c>
      <c r="M2778" s="162"/>
      <c r="N2778" s="162"/>
      <c r="O2778" s="162"/>
      <c r="P2778" s="178" t="s">
        <v>8798</v>
      </c>
      <c r="Q2778" s="162" t="s">
        <v>601</v>
      </c>
      <c r="R2778" s="189" t="s">
        <v>2716</v>
      </c>
      <c r="S2778" s="366"/>
      <c r="T2778" s="178" t="s">
        <v>2611</v>
      </c>
      <c r="U2778" s="178"/>
      <c r="V2778" s="178"/>
      <c r="W2778" s="316" t="s">
        <v>11479</v>
      </c>
      <c r="X2778" s="648" t="s">
        <v>6099</v>
      </c>
      <c r="Y2778" s="356"/>
      <c r="Z2778" s="272">
        <v>160</v>
      </c>
      <c r="AA2778" s="272">
        <v>4</v>
      </c>
      <c r="AB2778" s="34">
        <f t="shared" ca="1" si="61"/>
        <v>0.3751144079068468</v>
      </c>
      <c r="AC2778" s="814"/>
      <c r="AD2778" s="815" t="s">
        <v>16523</v>
      </c>
      <c r="AE2778" s="942" t="s">
        <v>16524</v>
      </c>
      <c r="AF2778" s="923">
        <f>IF(X2778=X2777,AF2777,0)+IF(ISNUMBER(I2778),IF(I2778&lt;1,I2778,I2778*VLOOKUP(J2778,Summary!$H$2:$I$9,2)),VLOOKUP(J2778,Summary!$J$2:$K$9,2)*IF(ISNUMBER(H2778),H2778,1))</f>
        <v>0.19166666666666668</v>
      </c>
      <c r="AG2778" s="291">
        <v>2777</v>
      </c>
      <c r="AH2778" s="94"/>
      <c r="AI2778" s="94"/>
    </row>
    <row r="2779" spans="1:35" s="22" customFormat="1" ht="12" customHeight="1" x14ac:dyDescent="0.25">
      <c r="A2779" s="539" t="s">
        <v>2513</v>
      </c>
      <c r="B2779" s="539">
        <v>7</v>
      </c>
      <c r="C2779" s="542">
        <v>9.1199999999999992</v>
      </c>
      <c r="D2779" s="176" t="s">
        <v>2463</v>
      </c>
      <c r="E2779" s="313" t="s">
        <v>671</v>
      </c>
      <c r="F2779" s="174">
        <v>38047</v>
      </c>
      <c r="G2779" s="174"/>
      <c r="H2779" s="176">
        <v>1</v>
      </c>
      <c r="I2779" s="176">
        <v>18</v>
      </c>
      <c r="J2779" s="900" t="s">
        <v>2755</v>
      </c>
      <c r="K2779" s="164" t="s">
        <v>2462</v>
      </c>
      <c r="L2779" s="164" t="s">
        <v>461</v>
      </c>
      <c r="M2779" s="164"/>
      <c r="N2779" s="164" t="s">
        <v>7381</v>
      </c>
      <c r="O2779" s="164"/>
      <c r="P2779" s="173" t="s">
        <v>3431</v>
      </c>
      <c r="Q2779" s="164" t="s">
        <v>3947</v>
      </c>
      <c r="R2779" s="177" t="s">
        <v>2723</v>
      </c>
      <c r="S2779" s="354"/>
      <c r="T2779" s="173" t="s">
        <v>2611</v>
      </c>
      <c r="U2779" s="173"/>
      <c r="V2779" s="173"/>
      <c r="W2779" s="313" t="s">
        <v>671</v>
      </c>
      <c r="X2779" s="645" t="s">
        <v>6099</v>
      </c>
      <c r="Y2779" s="354"/>
      <c r="Z2779" s="176">
        <v>999</v>
      </c>
      <c r="AA2779" s="176"/>
      <c r="AB2779" s="32">
        <f t="shared" ca="1" si="61"/>
        <v>0.8850683926070293</v>
      </c>
      <c r="AC2779" s="812"/>
      <c r="AD2779" s="763"/>
      <c r="AE2779" s="807"/>
      <c r="AF2779" s="921">
        <f>IF(X2779=X2778,AF2778,0)+IF(ISNUMBER(I2779),IF(I2779&lt;1,I2779,I2779*VLOOKUP(J2779,Summary!$H$2:$I$9,2)),VLOOKUP(J2779,Summary!$J$2:$K$9,2)*IF(ISNUMBER(H2779),H2779,1))</f>
        <v>0.20416666666666669</v>
      </c>
      <c r="AG2779" s="289">
        <v>2778</v>
      </c>
      <c r="AH2779" s="94"/>
      <c r="AI2779" s="94"/>
    </row>
    <row r="2780" spans="1:35" s="3" customFormat="1" ht="12" customHeight="1" x14ac:dyDescent="0.25">
      <c r="A2780" s="539" t="s">
        <v>2513</v>
      </c>
      <c r="B2780" s="539">
        <v>7</v>
      </c>
      <c r="C2780" s="542">
        <v>2.04</v>
      </c>
      <c r="D2780" s="176" t="s">
        <v>5228</v>
      </c>
      <c r="E2780" s="313" t="s">
        <v>670</v>
      </c>
      <c r="F2780" s="176">
        <v>1995</v>
      </c>
      <c r="G2780" s="176"/>
      <c r="H2780" s="176" t="s">
        <v>461</v>
      </c>
      <c r="I2780" s="176">
        <v>51</v>
      </c>
      <c r="J2780" s="900" t="s">
        <v>2755</v>
      </c>
      <c r="K2780" s="164" t="s">
        <v>3807</v>
      </c>
      <c r="L2780" s="164" t="s">
        <v>461</v>
      </c>
      <c r="M2780" s="164"/>
      <c r="N2780" s="164" t="s">
        <v>7001</v>
      </c>
      <c r="O2780" s="164"/>
      <c r="P2780" s="173" t="s">
        <v>6554</v>
      </c>
      <c r="Q2780" s="164" t="s">
        <v>6548</v>
      </c>
      <c r="R2780" s="177" t="s">
        <v>4598</v>
      </c>
      <c r="S2780" s="354"/>
      <c r="T2780" s="173" t="s">
        <v>2611</v>
      </c>
      <c r="U2780" s="173"/>
      <c r="V2780" s="173"/>
      <c r="W2780" s="313" t="s">
        <v>670</v>
      </c>
      <c r="X2780" s="645" t="s">
        <v>6099</v>
      </c>
      <c r="Y2780" s="354" t="s">
        <v>6868</v>
      </c>
      <c r="Z2780" s="176">
        <v>5</v>
      </c>
      <c r="AA2780" s="176">
        <v>9</v>
      </c>
      <c r="AB2780" s="32">
        <f t="shared" ca="1" si="61"/>
        <v>0.88805387294809257</v>
      </c>
      <c r="AC2780" s="812"/>
      <c r="AD2780" s="763"/>
      <c r="AE2780" s="807"/>
      <c r="AF2780" s="921">
        <f>IF(X2780=X2779,AF2779,0)+IF(ISNUMBER(I2780),IF(I2780&lt;1,I2780,I2780*VLOOKUP(J2780,Summary!$H$2:$I$9,2)),VLOOKUP(J2780,Summary!$J$2:$K$9,2)*IF(ISNUMBER(H2780),H2780,1))</f>
        <v>0.23958333333333337</v>
      </c>
      <c r="AG2780" s="289">
        <v>2779</v>
      </c>
      <c r="AH2780" s="94"/>
      <c r="AI2780" s="94"/>
    </row>
    <row r="2781" spans="1:35" s="3" customFormat="1" ht="12" customHeight="1" x14ac:dyDescent="0.25">
      <c r="A2781" s="541" t="s">
        <v>2513</v>
      </c>
      <c r="B2781" s="541">
        <v>7</v>
      </c>
      <c r="C2781" s="545">
        <v>4.0599999999999996</v>
      </c>
      <c r="D2781" s="407" t="s">
        <v>712</v>
      </c>
      <c r="E2781" s="315" t="s">
        <v>4736</v>
      </c>
      <c r="F2781" s="169">
        <v>40179</v>
      </c>
      <c r="G2781" s="170"/>
      <c r="H2781" s="170">
        <v>2</v>
      </c>
      <c r="I2781" s="746">
        <f>TIME(1,0,4)</f>
        <v>4.1712962962962959E-2</v>
      </c>
      <c r="J2781" s="899" t="s">
        <v>4706</v>
      </c>
      <c r="K2781" s="167" t="s">
        <v>6353</v>
      </c>
      <c r="L2781" s="167" t="s">
        <v>6231</v>
      </c>
      <c r="M2781" s="167" t="s">
        <v>8048</v>
      </c>
      <c r="N2781" s="167"/>
      <c r="O2781" s="167"/>
      <c r="P2781" s="168" t="s">
        <v>9183</v>
      </c>
      <c r="Q2781" s="167" t="s">
        <v>3947</v>
      </c>
      <c r="R2781" s="172" t="s">
        <v>3153</v>
      </c>
      <c r="S2781" s="388"/>
      <c r="T2781" s="168" t="s">
        <v>2611</v>
      </c>
      <c r="U2781" s="168"/>
      <c r="V2781" s="168"/>
      <c r="W2781" s="312" t="s">
        <v>10105</v>
      </c>
      <c r="X2781" s="644" t="s">
        <v>6099</v>
      </c>
      <c r="Y2781" s="352" t="s">
        <v>5398</v>
      </c>
      <c r="Z2781" s="353">
        <v>467</v>
      </c>
      <c r="AA2781" s="353">
        <v>4.5</v>
      </c>
      <c r="AB2781" s="31">
        <f t="shared" ca="1" si="61"/>
        <v>0.60992628596478193</v>
      </c>
      <c r="AC2781" s="810"/>
      <c r="AD2781" s="811" t="s">
        <v>16516</v>
      </c>
      <c r="AE2781" s="940" t="s">
        <v>12543</v>
      </c>
      <c r="AF2781" s="920">
        <f>IF(X2781=X2780,AF2780,0)+IF(ISNUMBER(I2781),IF(I2781&lt;1,I2781,I2781*VLOOKUP(J2781,Summary!$H$2:$I$9,2)),VLOOKUP(J2781,Summary!$J$2:$K$9,2)*IF(ISNUMBER(H2781),H2781,1))</f>
        <v>0.28129629629629632</v>
      </c>
      <c r="AG2781" s="287">
        <v>2780</v>
      </c>
      <c r="AH2781" s="94"/>
      <c r="AI2781" s="94"/>
    </row>
    <row r="2782" spans="1:35" s="120" customFormat="1" ht="12" customHeight="1" x14ac:dyDescent="0.25">
      <c r="A2782" s="550" t="s">
        <v>2513</v>
      </c>
      <c r="B2782" s="550">
        <v>7</v>
      </c>
      <c r="C2782" s="550">
        <v>37</v>
      </c>
      <c r="D2782" s="417" t="s">
        <v>6096</v>
      </c>
      <c r="E2782" s="316" t="s">
        <v>6097</v>
      </c>
      <c r="F2782" s="195">
        <v>34809</v>
      </c>
      <c r="G2782" s="188"/>
      <c r="H2782" s="188" t="str">
        <f>IF(J2782="Book","n/a","")</f>
        <v>n/a</v>
      </c>
      <c r="I2782" s="188">
        <v>272</v>
      </c>
      <c r="J2782" s="902" t="s">
        <v>6868</v>
      </c>
      <c r="K2782" s="162" t="s">
        <v>6234</v>
      </c>
      <c r="L2782" s="162" t="str">
        <f>IF(J2782="Book","n/a","")</f>
        <v>n/a</v>
      </c>
      <c r="M2782" s="162"/>
      <c r="N2782" s="162"/>
      <c r="O2782" s="162"/>
      <c r="P2782" s="178" t="s">
        <v>8799</v>
      </c>
      <c r="Q2782" s="162" t="s">
        <v>601</v>
      </c>
      <c r="R2782" s="189" t="s">
        <v>2716</v>
      </c>
      <c r="S2782" s="366"/>
      <c r="T2782" s="178" t="s">
        <v>2611</v>
      </c>
      <c r="U2782" s="178"/>
      <c r="V2782" s="178"/>
      <c r="W2782" s="316" t="s">
        <v>6097</v>
      </c>
      <c r="X2782" s="648" t="s">
        <v>6099</v>
      </c>
      <c r="Y2782" s="356"/>
      <c r="Z2782" s="272">
        <v>78</v>
      </c>
      <c r="AA2782" s="272">
        <v>6</v>
      </c>
      <c r="AB2782" s="34">
        <f t="shared" ca="1" si="61"/>
        <v>0.81938430282768115</v>
      </c>
      <c r="AC2782" s="814"/>
      <c r="AD2782" s="815" t="s">
        <v>15080</v>
      </c>
      <c r="AE2782" s="942"/>
      <c r="AF2782" s="923">
        <f>IF(X2782=X2781,AF2781,0)+IF(ISNUMBER(I2782),IF(I2782&lt;1,I2782,I2782*VLOOKUP(J2782,Summary!$H$2:$I$9,2)),VLOOKUP(J2782,Summary!$J$2:$K$9,2)*IF(ISNUMBER(H2782),H2782,1))</f>
        <v>0.47018518518518521</v>
      </c>
      <c r="AG2782" s="291">
        <v>2781</v>
      </c>
      <c r="AH2782" s="94"/>
      <c r="AI2782" s="94"/>
    </row>
    <row r="2783" spans="1:35" s="2" customFormat="1" ht="12" customHeight="1" x14ac:dyDescent="0.25">
      <c r="A2783" s="405" t="s">
        <v>2513</v>
      </c>
      <c r="B2783" s="406" t="s">
        <v>2650</v>
      </c>
      <c r="C2783" s="405">
        <v>4.0599999999999996</v>
      </c>
      <c r="D2783" s="407" t="s">
        <v>5480</v>
      </c>
      <c r="E2783" s="315" t="s">
        <v>5479</v>
      </c>
      <c r="F2783" s="169">
        <v>37500</v>
      </c>
      <c r="G2783" s="170"/>
      <c r="H2783" s="170"/>
      <c r="I2783" s="747">
        <f>TIME(0,60,0)</f>
        <v>4.1666666666666664E-2</v>
      </c>
      <c r="J2783" s="899" t="s">
        <v>4706</v>
      </c>
      <c r="K2783" s="167" t="s">
        <v>6234</v>
      </c>
      <c r="L2783" s="167" t="s">
        <v>7757</v>
      </c>
      <c r="M2783" s="167"/>
      <c r="N2783" s="167"/>
      <c r="O2783" s="167" t="s">
        <v>4640</v>
      </c>
      <c r="P2783" s="168" t="s">
        <v>461</v>
      </c>
      <c r="Q2783" s="167" t="s">
        <v>603</v>
      </c>
      <c r="R2783" s="172" t="s">
        <v>5481</v>
      </c>
      <c r="S2783" s="388"/>
      <c r="T2783" s="168"/>
      <c r="U2783" s="168"/>
      <c r="V2783" s="168"/>
      <c r="W2783" s="312"/>
      <c r="X2783" s="644" t="s">
        <v>6099</v>
      </c>
      <c r="Y2783" s="352"/>
      <c r="Z2783" s="353"/>
      <c r="AA2783" s="353"/>
      <c r="AB2783" s="31">
        <f t="shared" ca="1" si="61"/>
        <v>0.69615348610202066</v>
      </c>
      <c r="AC2783" s="810"/>
      <c r="AD2783" s="811" t="s">
        <v>15081</v>
      </c>
      <c r="AE2783" s="940"/>
      <c r="AF2783" s="920">
        <f>IF(X2783=X2782,AF2782,0)+IF(ISNUMBER(I2783),IF(I2783&lt;1,I2783,I2783*VLOOKUP(J2783,Summary!$H$2:$I$9,2)),VLOOKUP(J2783,Summary!$J$2:$K$9,2)*IF(ISNUMBER(H2783),H2783,1))</f>
        <v>0.51185185185185189</v>
      </c>
      <c r="AG2783" s="287">
        <v>2782</v>
      </c>
      <c r="AH2783" s="94"/>
      <c r="AI2783" s="94"/>
    </row>
    <row r="2784" spans="1:35" s="120" customFormat="1" ht="12" customHeight="1" x14ac:dyDescent="0.25">
      <c r="A2784" s="408" t="s">
        <v>2513</v>
      </c>
      <c r="B2784" s="440" t="s">
        <v>2650</v>
      </c>
      <c r="C2784" s="408">
        <v>31</v>
      </c>
      <c r="D2784" s="176" t="s">
        <v>14148</v>
      </c>
      <c r="E2784" s="313" t="s">
        <v>14149</v>
      </c>
      <c r="F2784" s="175">
        <v>34830</v>
      </c>
      <c r="G2784" s="174"/>
      <c r="H2784" s="176">
        <v>1</v>
      </c>
      <c r="I2784" s="176">
        <v>2</v>
      </c>
      <c r="J2784" s="900" t="s">
        <v>2755</v>
      </c>
      <c r="K2784" s="164" t="s">
        <v>3807</v>
      </c>
      <c r="L2784" s="164" t="s">
        <v>10253</v>
      </c>
      <c r="M2784" s="164"/>
      <c r="N2784" s="164" t="s">
        <v>2750</v>
      </c>
      <c r="O2784" s="164"/>
      <c r="P2784" s="173" t="s">
        <v>461</v>
      </c>
      <c r="Q2784" s="164" t="s">
        <v>4062</v>
      </c>
      <c r="R2784" s="177" t="s">
        <v>14089</v>
      </c>
      <c r="S2784" s="354"/>
      <c r="T2784" s="173"/>
      <c r="U2784" s="173"/>
      <c r="V2784" s="173"/>
      <c r="W2784" s="313" t="s">
        <v>14149</v>
      </c>
      <c r="X2784" s="645" t="s">
        <v>6099</v>
      </c>
      <c r="Y2784" s="354"/>
      <c r="Z2784" s="176"/>
      <c r="AA2784" s="176"/>
      <c r="AB2784" s="32">
        <f t="shared" ca="1" si="61"/>
        <v>0.16263390232559682</v>
      </c>
      <c r="AC2784" s="812"/>
      <c r="AD2784" s="763"/>
      <c r="AE2784" s="807"/>
      <c r="AF2784" s="921">
        <f>IF(X2784=X2783,AF2783,0)+IF(ISNUMBER(I2784),IF(I2784&lt;1,I2784,I2784*VLOOKUP(J2784,Summary!$H$2:$I$9,2)),VLOOKUP(J2784,Summary!$J$2:$K$9,2)*IF(ISNUMBER(H2784),H2784,1))</f>
        <v>0.51324074074074078</v>
      </c>
      <c r="AG2784" s="289">
        <v>2783</v>
      </c>
      <c r="AH2784" s="94"/>
      <c r="AI2784" s="94"/>
    </row>
    <row r="2785" spans="1:35" s="3" customFormat="1" ht="12" customHeight="1" x14ac:dyDescent="0.25">
      <c r="A2785" s="550" t="s">
        <v>2513</v>
      </c>
      <c r="B2785" s="550">
        <v>7</v>
      </c>
      <c r="C2785" s="550">
        <v>38</v>
      </c>
      <c r="D2785" s="417" t="s">
        <v>6098</v>
      </c>
      <c r="E2785" s="316" t="s">
        <v>6099</v>
      </c>
      <c r="F2785" s="195">
        <v>34837</v>
      </c>
      <c r="G2785" s="188"/>
      <c r="H2785" s="188" t="str">
        <f>IF(J2785="Book","n/a","")</f>
        <v>n/a</v>
      </c>
      <c r="I2785" s="188">
        <v>256</v>
      </c>
      <c r="J2785" s="902" t="s">
        <v>6868</v>
      </c>
      <c r="K2785" s="162" t="s">
        <v>3807</v>
      </c>
      <c r="L2785" s="162" t="str">
        <f>IF(J2785="Book","n/a","")</f>
        <v>n/a</v>
      </c>
      <c r="M2785" s="162"/>
      <c r="N2785" s="162"/>
      <c r="O2785" s="162"/>
      <c r="P2785" s="178" t="s">
        <v>8800</v>
      </c>
      <c r="Q2785" s="162" t="s">
        <v>601</v>
      </c>
      <c r="R2785" s="189" t="s">
        <v>2716</v>
      </c>
      <c r="S2785" s="366"/>
      <c r="T2785" s="178" t="s">
        <v>2611</v>
      </c>
      <c r="U2785" s="178"/>
      <c r="V2785" s="178"/>
      <c r="W2785" s="316" t="s">
        <v>6099</v>
      </c>
      <c r="X2785" s="648" t="s">
        <v>6099</v>
      </c>
      <c r="Y2785" s="356" t="s">
        <v>4707</v>
      </c>
      <c r="Z2785" s="272">
        <v>27</v>
      </c>
      <c r="AA2785" s="272">
        <v>8.5</v>
      </c>
      <c r="AB2785" s="34">
        <f t="shared" ca="1" si="61"/>
        <v>0.88351192278445334</v>
      </c>
      <c r="AC2785" s="814"/>
      <c r="AD2785" s="815" t="s">
        <v>16674</v>
      </c>
      <c r="AE2785" s="942" t="s">
        <v>16253</v>
      </c>
      <c r="AF2785" s="923">
        <f>IF(X2785=X2784,AF2784,0)+IF(ISNUMBER(I2785),IF(I2785&lt;1,I2785,I2785*VLOOKUP(J2785,Summary!$H$2:$I$9,2)),VLOOKUP(J2785,Summary!$J$2:$K$9,2)*IF(ISNUMBER(H2785),H2785,1))</f>
        <v>0.69101851851851859</v>
      </c>
      <c r="AG2785" s="291">
        <v>2784</v>
      </c>
      <c r="AH2785" s="94"/>
      <c r="AI2785" s="94"/>
    </row>
    <row r="2786" spans="1:35" s="3" customFormat="1" ht="12" customHeight="1" x14ac:dyDescent="0.25">
      <c r="A2786" s="546" t="s">
        <v>2513</v>
      </c>
      <c r="B2786" s="546">
        <v>7</v>
      </c>
      <c r="C2786" s="548">
        <v>6.12</v>
      </c>
      <c r="D2786" s="192" t="s">
        <v>12909</v>
      </c>
      <c r="E2786" s="317" t="s">
        <v>12910</v>
      </c>
      <c r="F2786" s="209">
        <v>42727</v>
      </c>
      <c r="G2786" s="209"/>
      <c r="H2786" s="192">
        <v>1</v>
      </c>
      <c r="I2786" s="753">
        <f>TIME(0,35,40)</f>
        <v>2.476851851851852E-2</v>
      </c>
      <c r="J2786" s="903" t="s">
        <v>2755</v>
      </c>
      <c r="K2786" s="194" t="s">
        <v>1643</v>
      </c>
      <c r="L2786" s="194" t="s">
        <v>5662</v>
      </c>
      <c r="M2786" s="194" t="s">
        <v>5662</v>
      </c>
      <c r="N2786" s="194"/>
      <c r="O2786" s="194"/>
      <c r="P2786" s="190" t="s">
        <v>12911</v>
      </c>
      <c r="Q2786" s="194" t="s">
        <v>3947</v>
      </c>
      <c r="R2786" s="193" t="s">
        <v>2722</v>
      </c>
      <c r="S2786" s="357"/>
      <c r="T2786" s="190" t="s">
        <v>2611</v>
      </c>
      <c r="U2786" s="190"/>
      <c r="V2786" s="190"/>
      <c r="W2786" s="317" t="s">
        <v>12910</v>
      </c>
      <c r="X2786" s="649" t="s">
        <v>6099</v>
      </c>
      <c r="Y2786" s="357" t="s">
        <v>5643</v>
      </c>
      <c r="Z2786" s="192"/>
      <c r="AA2786" s="192"/>
      <c r="AB2786" s="37">
        <f t="shared" ca="1" si="61"/>
        <v>0.41238034392455036</v>
      </c>
      <c r="AC2786" s="816"/>
      <c r="AD2786" s="817"/>
      <c r="AE2786" s="943"/>
      <c r="AF2786" s="924">
        <f>IF(X2786=X2785,AF2785,0)+IF(ISNUMBER(I2786),IF(I2786&lt;1,I2786,I2786*VLOOKUP(J2786,Summary!$H$2:$I$9,2)),VLOOKUP(J2786,Summary!$J$2:$K$9,2)*IF(ISNUMBER(H2786),H2786,1))</f>
        <v>0.71578703703703705</v>
      </c>
      <c r="AG2786" s="292">
        <v>2785</v>
      </c>
      <c r="AH2786" s="94"/>
      <c r="AI2786" s="94"/>
    </row>
    <row r="2787" spans="1:35" s="3" customFormat="1" ht="12" customHeight="1" x14ac:dyDescent="0.25">
      <c r="A2787" s="539" t="s">
        <v>2513</v>
      </c>
      <c r="B2787" s="539">
        <v>7</v>
      </c>
      <c r="C2787" s="542">
        <v>28.13</v>
      </c>
      <c r="D2787" s="176" t="s">
        <v>3005</v>
      </c>
      <c r="E2787" s="313" t="s">
        <v>673</v>
      </c>
      <c r="F2787" s="174">
        <v>38473</v>
      </c>
      <c r="G2787" s="174"/>
      <c r="H2787" s="176" t="s">
        <v>461</v>
      </c>
      <c r="I2787" s="176">
        <v>20</v>
      </c>
      <c r="J2787" s="900" t="s">
        <v>2755</v>
      </c>
      <c r="K2787" s="164" t="s">
        <v>3443</v>
      </c>
      <c r="L2787" s="164" t="s">
        <v>461</v>
      </c>
      <c r="M2787" s="164"/>
      <c r="N2787" s="164" t="s">
        <v>7381</v>
      </c>
      <c r="O2787" s="164"/>
      <c r="P2787" s="173" t="s">
        <v>1652</v>
      </c>
      <c r="Q2787" s="164" t="s">
        <v>3947</v>
      </c>
      <c r="R2787" s="177" t="s">
        <v>2723</v>
      </c>
      <c r="S2787" s="354"/>
      <c r="T2787" s="173" t="s">
        <v>2611</v>
      </c>
      <c r="U2787" s="173"/>
      <c r="V2787" s="173"/>
      <c r="W2787" s="313" t="s">
        <v>673</v>
      </c>
      <c r="X2787" s="645" t="s">
        <v>6099</v>
      </c>
      <c r="Y2787" s="354"/>
      <c r="Z2787" s="176"/>
      <c r="AA2787" s="176"/>
      <c r="AB2787" s="32">
        <f t="shared" ca="1" si="61"/>
        <v>0.37605508765966422</v>
      </c>
      <c r="AC2787" s="812"/>
      <c r="AD2787" s="763"/>
      <c r="AE2787" s="807"/>
      <c r="AF2787" s="921">
        <f>IF(X2787=X2786,AF2786,0)+IF(ISNUMBER(I2787),IF(I2787&lt;1,I2787,I2787*VLOOKUP(J2787,Summary!$H$2:$I$9,2)),VLOOKUP(J2787,Summary!$J$2:$K$9,2)*IF(ISNUMBER(H2787),H2787,1))</f>
        <v>0.72967592592592589</v>
      </c>
      <c r="AG2787" s="289">
        <v>2786</v>
      </c>
      <c r="AH2787" s="94"/>
      <c r="AI2787" s="94"/>
    </row>
    <row r="2788" spans="1:35" s="22" customFormat="1" ht="12" customHeight="1" x14ac:dyDescent="0.2">
      <c r="A2788" s="541" t="s">
        <v>2513</v>
      </c>
      <c r="B2788" s="541">
        <v>7</v>
      </c>
      <c r="C2788" s="541">
        <v>10</v>
      </c>
      <c r="D2788" s="407" t="s">
        <v>13155</v>
      </c>
      <c r="E2788" s="315" t="s">
        <v>6101</v>
      </c>
      <c r="F2788" s="196">
        <v>42719</v>
      </c>
      <c r="G2788" s="170"/>
      <c r="H2788" s="170">
        <v>2</v>
      </c>
      <c r="I2788" s="747">
        <f>TIME(0,120,0)</f>
        <v>8.3333333333333329E-2</v>
      </c>
      <c r="J2788" s="899" t="s">
        <v>4706</v>
      </c>
      <c r="K2788" s="167" t="s">
        <v>13157</v>
      </c>
      <c r="L2788" s="167" t="s">
        <v>2313</v>
      </c>
      <c r="M2788" s="167"/>
      <c r="N2788" s="167"/>
      <c r="O2788" s="167"/>
      <c r="P2788" s="168" t="s">
        <v>13158</v>
      </c>
      <c r="Q2788" s="167" t="s">
        <v>3947</v>
      </c>
      <c r="R2788" s="172" t="s">
        <v>9690</v>
      </c>
      <c r="S2788" s="388"/>
      <c r="T2788" s="168" t="s">
        <v>2611</v>
      </c>
      <c r="U2788" s="168" t="s">
        <v>7316</v>
      </c>
      <c r="V2788" s="168" t="s">
        <v>7317</v>
      </c>
      <c r="W2788" s="312"/>
      <c r="X2788" s="644" t="s">
        <v>6099</v>
      </c>
      <c r="Y2788" s="352"/>
      <c r="Z2788" s="353"/>
      <c r="AA2788" s="353"/>
      <c r="AB2788" s="31">
        <f t="shared" ca="1" si="61"/>
        <v>0.81863779054343377</v>
      </c>
      <c r="AC2788" s="810"/>
      <c r="AD2788" s="811" t="s">
        <v>16332</v>
      </c>
      <c r="AE2788" s="940"/>
      <c r="AF2788" s="920">
        <f>IF(X2788=X2787,AF2787,0)+IF(ISNUMBER(I2788),IF(I2788&lt;1,I2788,I2788*VLOOKUP(J2788,Summary!$H$2:$I$9,2)),VLOOKUP(J2788,Summary!$J$2:$K$9,2)*IF(ISNUMBER(H2788),H2788,1))</f>
        <v>0.81300925925925926</v>
      </c>
      <c r="AG2788" s="287">
        <v>2787</v>
      </c>
      <c r="AH2788" s="94"/>
      <c r="AI2788" s="94"/>
    </row>
    <row r="2789" spans="1:35" s="3" customFormat="1" ht="12" customHeight="1" x14ac:dyDescent="0.25">
      <c r="A2789" s="550" t="s">
        <v>2513</v>
      </c>
      <c r="B2789" s="550">
        <v>7</v>
      </c>
      <c r="C2789" s="550">
        <v>39</v>
      </c>
      <c r="D2789" s="417" t="s">
        <v>6100</v>
      </c>
      <c r="E2789" s="316" t="s">
        <v>6101</v>
      </c>
      <c r="F2789" s="195">
        <v>34865</v>
      </c>
      <c r="G2789" s="188"/>
      <c r="H2789" s="188" t="str">
        <f>IF(J2789="Book","n/a","")</f>
        <v>n/a</v>
      </c>
      <c r="I2789" s="188">
        <v>320</v>
      </c>
      <c r="J2789" s="902" t="s">
        <v>6868</v>
      </c>
      <c r="K2789" s="162" t="s">
        <v>175</v>
      </c>
      <c r="L2789" s="162" t="str">
        <f t="shared" ref="L2789:L2794" si="62">IF(J2789="Book","n/a","")</f>
        <v>n/a</v>
      </c>
      <c r="M2789" s="162"/>
      <c r="N2789" s="162"/>
      <c r="O2789" s="162"/>
      <c r="P2789" s="178" t="s">
        <v>8801</v>
      </c>
      <c r="Q2789" s="162" t="s">
        <v>601</v>
      </c>
      <c r="R2789" s="189" t="s">
        <v>2716</v>
      </c>
      <c r="S2789" s="366"/>
      <c r="T2789" s="178" t="s">
        <v>2611</v>
      </c>
      <c r="U2789" s="178" t="s">
        <v>7316</v>
      </c>
      <c r="V2789" s="178" t="s">
        <v>7317</v>
      </c>
      <c r="W2789" s="316" t="s">
        <v>6101</v>
      </c>
      <c r="X2789" s="648" t="s">
        <v>6099</v>
      </c>
      <c r="Y2789" s="356" t="s">
        <v>6868</v>
      </c>
      <c r="Z2789" s="272">
        <v>37</v>
      </c>
      <c r="AA2789" s="272">
        <v>7.5</v>
      </c>
      <c r="AB2789" s="34">
        <f t="shared" ca="1" si="61"/>
        <v>7.0818805789756301E-2</v>
      </c>
      <c r="AC2789" s="814"/>
      <c r="AD2789" s="815" t="s">
        <v>16332</v>
      </c>
      <c r="AE2789" s="942"/>
      <c r="AF2789" s="923">
        <f>IF(X2789=X2788,AF2788,0)+IF(ISNUMBER(I2789),IF(I2789&lt;1,I2789,I2789*VLOOKUP(J2789,Summary!$H$2:$I$9,2)),VLOOKUP(J2789,Summary!$J$2:$K$9,2)*IF(ISNUMBER(H2789),H2789,1))</f>
        <v>1.0352314814814816</v>
      </c>
      <c r="AG2789" s="291">
        <v>2788</v>
      </c>
      <c r="AH2789" s="94"/>
      <c r="AI2789" s="94"/>
    </row>
    <row r="2790" spans="1:35" s="3" customFormat="1" ht="12" customHeight="1" x14ac:dyDescent="0.25">
      <c r="A2790" s="550" t="s">
        <v>2513</v>
      </c>
      <c r="B2790" s="550">
        <v>7</v>
      </c>
      <c r="C2790" s="550">
        <v>40</v>
      </c>
      <c r="D2790" s="417" t="s">
        <v>6102</v>
      </c>
      <c r="E2790" s="316" t="s">
        <v>6103</v>
      </c>
      <c r="F2790" s="195">
        <v>34900</v>
      </c>
      <c r="G2790" s="188"/>
      <c r="H2790" s="188">
        <v>5</v>
      </c>
      <c r="I2790" s="188">
        <v>337</v>
      </c>
      <c r="J2790" s="902" t="s">
        <v>6868</v>
      </c>
      <c r="K2790" s="162" t="s">
        <v>7799</v>
      </c>
      <c r="L2790" s="162" t="str">
        <f t="shared" si="62"/>
        <v>n/a</v>
      </c>
      <c r="M2790" s="162"/>
      <c r="N2790" s="162"/>
      <c r="O2790" s="162"/>
      <c r="P2790" s="178" t="s">
        <v>8802</v>
      </c>
      <c r="Q2790" s="162" t="s">
        <v>601</v>
      </c>
      <c r="R2790" s="189" t="s">
        <v>2716</v>
      </c>
      <c r="S2790" s="366"/>
      <c r="T2790" s="178" t="s">
        <v>2611</v>
      </c>
      <c r="U2790" s="178" t="s">
        <v>7316</v>
      </c>
      <c r="V2790" s="178" t="s">
        <v>7317</v>
      </c>
      <c r="W2790" s="687" t="s">
        <v>11480</v>
      </c>
      <c r="X2790" s="673" t="s">
        <v>6099</v>
      </c>
      <c r="Y2790" s="356" t="s">
        <v>6868</v>
      </c>
      <c r="Z2790" s="272">
        <v>42</v>
      </c>
      <c r="AA2790" s="272">
        <v>7</v>
      </c>
      <c r="AB2790" s="34">
        <f t="shared" ca="1" si="61"/>
        <v>0.97360664733587388</v>
      </c>
      <c r="AC2790" s="814"/>
      <c r="AD2790" s="815"/>
      <c r="AE2790" s="942"/>
      <c r="AF2790" s="923">
        <f>IF(X2790=X2789,AF2789,0)+IF(ISNUMBER(I2790),IF(I2790&lt;1,I2790,I2790*VLOOKUP(J2790,Summary!$H$2:$I$9,2)),VLOOKUP(J2790,Summary!$J$2:$K$9,2)*IF(ISNUMBER(H2790),H2790,1))</f>
        <v>1.2692592592592593</v>
      </c>
      <c r="AG2790" s="291">
        <v>2789</v>
      </c>
      <c r="AH2790" s="94"/>
      <c r="AI2790" s="94"/>
    </row>
    <row r="2791" spans="1:35" s="22" customFormat="1" ht="12" customHeight="1" x14ac:dyDescent="0.25">
      <c r="A2791" s="550" t="s">
        <v>2513</v>
      </c>
      <c r="B2791" s="550">
        <v>7</v>
      </c>
      <c r="C2791" s="550">
        <v>41</v>
      </c>
      <c r="D2791" s="417" t="s">
        <v>6104</v>
      </c>
      <c r="E2791" s="316" t="s">
        <v>6105</v>
      </c>
      <c r="F2791" s="195">
        <v>34928</v>
      </c>
      <c r="G2791" s="188"/>
      <c r="H2791" s="188" t="str">
        <f>IF(J2791="Book","n/a","")</f>
        <v>n/a</v>
      </c>
      <c r="I2791" s="188">
        <v>250</v>
      </c>
      <c r="J2791" s="902" t="s">
        <v>6868</v>
      </c>
      <c r="K2791" s="162" t="s">
        <v>3451</v>
      </c>
      <c r="L2791" s="162" t="str">
        <f t="shared" si="62"/>
        <v>n/a</v>
      </c>
      <c r="M2791" s="162"/>
      <c r="N2791" s="162"/>
      <c r="O2791" s="162"/>
      <c r="P2791" s="178" t="s">
        <v>8803</v>
      </c>
      <c r="Q2791" s="162" t="s">
        <v>601</v>
      </c>
      <c r="R2791" s="189" t="s">
        <v>2716</v>
      </c>
      <c r="S2791" s="366"/>
      <c r="T2791" s="178" t="s">
        <v>2611</v>
      </c>
      <c r="U2791" s="178" t="s">
        <v>7316</v>
      </c>
      <c r="V2791" s="178" t="s">
        <v>7317</v>
      </c>
      <c r="W2791" s="316" t="s">
        <v>6105</v>
      </c>
      <c r="X2791" s="648" t="s">
        <v>6099</v>
      </c>
      <c r="Y2791" s="356"/>
      <c r="Z2791" s="272">
        <v>223</v>
      </c>
      <c r="AA2791" s="272">
        <v>2</v>
      </c>
      <c r="AB2791" s="34">
        <f t="shared" ca="1" si="61"/>
        <v>0.25202873471003395</v>
      </c>
      <c r="AC2791" s="814"/>
      <c r="AD2791" s="815" t="s">
        <v>16450</v>
      </c>
      <c r="AE2791" s="942" t="s">
        <v>12543</v>
      </c>
      <c r="AF2791" s="923">
        <f>IF(X2791=X2790,AF2790,0)+IF(ISNUMBER(I2791),IF(I2791&lt;1,I2791,I2791*VLOOKUP(J2791,Summary!$H$2:$I$9,2)),VLOOKUP(J2791,Summary!$J$2:$K$9,2)*IF(ISNUMBER(H2791),H2791,1))</f>
        <v>1.4428703703703705</v>
      </c>
      <c r="AG2791" s="291">
        <v>2790</v>
      </c>
      <c r="AH2791" s="94"/>
      <c r="AI2791" s="94"/>
    </row>
    <row r="2792" spans="1:35" s="3" customFormat="1" ht="12" customHeight="1" x14ac:dyDescent="0.25">
      <c r="A2792" s="550" t="s">
        <v>2513</v>
      </c>
      <c r="B2792" s="550">
        <v>7</v>
      </c>
      <c r="C2792" s="550">
        <v>42</v>
      </c>
      <c r="D2792" s="417" t="s">
        <v>6106</v>
      </c>
      <c r="E2792" s="316" t="s">
        <v>6107</v>
      </c>
      <c r="F2792" s="195">
        <v>34963</v>
      </c>
      <c r="G2792" s="188"/>
      <c r="H2792" s="188">
        <v>3</v>
      </c>
      <c r="I2792" s="188">
        <v>244</v>
      </c>
      <c r="J2792" s="902" t="s">
        <v>6868</v>
      </c>
      <c r="K2792" s="162" t="s">
        <v>6232</v>
      </c>
      <c r="L2792" s="162" t="str">
        <f t="shared" si="62"/>
        <v>n/a</v>
      </c>
      <c r="M2792" s="162"/>
      <c r="N2792" s="162"/>
      <c r="O2792" s="162"/>
      <c r="P2792" s="178" t="s">
        <v>8804</v>
      </c>
      <c r="Q2792" s="162" t="s">
        <v>601</v>
      </c>
      <c r="R2792" s="189" t="s">
        <v>2716</v>
      </c>
      <c r="S2792" s="366"/>
      <c r="T2792" s="178" t="s">
        <v>2611</v>
      </c>
      <c r="U2792" s="178" t="s">
        <v>7316</v>
      </c>
      <c r="V2792" s="178" t="s">
        <v>7317</v>
      </c>
      <c r="W2792" s="316" t="s">
        <v>11481</v>
      </c>
      <c r="X2792" s="648" t="s">
        <v>6099</v>
      </c>
      <c r="Y2792" s="356"/>
      <c r="Z2792" s="272">
        <v>85</v>
      </c>
      <c r="AA2792" s="272">
        <v>6</v>
      </c>
      <c r="AB2792" s="34">
        <f t="shared" ca="1" si="61"/>
        <v>0.48142275372984811</v>
      </c>
      <c r="AC2792" s="814"/>
      <c r="AD2792" s="815" t="s">
        <v>16686</v>
      </c>
      <c r="AE2792" s="942"/>
      <c r="AF2792" s="923">
        <f>IF(X2792=X2791,AF2791,0)+IF(ISNUMBER(I2792),IF(I2792&lt;1,I2792,I2792*VLOOKUP(J2792,Summary!$H$2:$I$9,2)),VLOOKUP(J2792,Summary!$J$2:$K$9,2)*IF(ISNUMBER(H2792),H2792,1))</f>
        <v>1.612314814814815</v>
      </c>
      <c r="AG2792" s="291">
        <v>2791</v>
      </c>
      <c r="AH2792" s="94"/>
      <c r="AI2792" s="94"/>
    </row>
    <row r="2793" spans="1:35" s="3" customFormat="1" ht="12" customHeight="1" x14ac:dyDescent="0.25">
      <c r="A2793" s="550" t="s">
        <v>2513</v>
      </c>
      <c r="B2793" s="550">
        <v>7</v>
      </c>
      <c r="C2793" s="550">
        <v>43</v>
      </c>
      <c r="D2793" s="417" t="s">
        <v>6108</v>
      </c>
      <c r="E2793" s="316" t="s">
        <v>6109</v>
      </c>
      <c r="F2793" s="195">
        <v>34991</v>
      </c>
      <c r="G2793" s="188"/>
      <c r="H2793" s="188" t="str">
        <f>IF(J2793="Book","n/a","")</f>
        <v>n/a</v>
      </c>
      <c r="I2793" s="188">
        <v>258</v>
      </c>
      <c r="J2793" s="902" t="s">
        <v>6868</v>
      </c>
      <c r="K2793" s="162" t="s">
        <v>176</v>
      </c>
      <c r="L2793" s="162" t="str">
        <f t="shared" si="62"/>
        <v>n/a</v>
      </c>
      <c r="M2793" s="162"/>
      <c r="N2793" s="162"/>
      <c r="O2793" s="162"/>
      <c r="P2793" s="178" t="s">
        <v>8805</v>
      </c>
      <c r="Q2793" s="162" t="s">
        <v>601</v>
      </c>
      <c r="R2793" s="189" t="s">
        <v>2716</v>
      </c>
      <c r="S2793" s="366"/>
      <c r="T2793" s="178" t="s">
        <v>2611</v>
      </c>
      <c r="U2793" s="178" t="s">
        <v>7316</v>
      </c>
      <c r="V2793" s="178" t="s">
        <v>7317</v>
      </c>
      <c r="W2793" s="316" t="s">
        <v>6109</v>
      </c>
      <c r="X2793" s="648" t="s">
        <v>6099</v>
      </c>
      <c r="Y2793" s="356"/>
      <c r="Z2793" s="272">
        <v>225</v>
      </c>
      <c r="AA2793" s="272">
        <v>2</v>
      </c>
      <c r="AB2793" s="34">
        <f t="shared" ca="1" si="61"/>
        <v>0.66970192033990306</v>
      </c>
      <c r="AC2793" s="814"/>
      <c r="AD2793" s="815" t="s">
        <v>16512</v>
      </c>
      <c r="AE2793" s="942"/>
      <c r="AF2793" s="923">
        <f>IF(X2793=X2792,AF2792,0)+IF(ISNUMBER(I2793),IF(I2793&lt;1,I2793,I2793*VLOOKUP(J2793,Summary!$H$2:$I$9,2)),VLOOKUP(J2793,Summary!$J$2:$K$9,2)*IF(ISNUMBER(H2793),H2793,1))</f>
        <v>1.7914814814814817</v>
      </c>
      <c r="AG2793" s="291">
        <v>2792</v>
      </c>
      <c r="AH2793" s="94"/>
      <c r="AI2793" s="94"/>
    </row>
    <row r="2794" spans="1:35" s="22" customFormat="1" ht="12" customHeight="1" x14ac:dyDescent="0.25">
      <c r="A2794" s="550" t="s">
        <v>2515</v>
      </c>
      <c r="B2794" s="550">
        <v>7</v>
      </c>
      <c r="C2794" s="550">
        <v>44</v>
      </c>
      <c r="D2794" s="417" t="s">
        <v>6110</v>
      </c>
      <c r="E2794" s="316" t="s">
        <v>6111</v>
      </c>
      <c r="F2794" s="195">
        <v>35019</v>
      </c>
      <c r="G2794" s="188"/>
      <c r="H2794" s="188" t="str">
        <f>IF(J2794="Book","n/a","")</f>
        <v>n/a</v>
      </c>
      <c r="I2794" s="188">
        <v>289</v>
      </c>
      <c r="J2794" s="902" t="s">
        <v>6868</v>
      </c>
      <c r="K2794" s="162" t="s">
        <v>3250</v>
      </c>
      <c r="L2794" s="162" t="str">
        <f t="shared" si="62"/>
        <v>n/a</v>
      </c>
      <c r="M2794" s="162"/>
      <c r="N2794" s="162"/>
      <c r="O2794" s="162"/>
      <c r="P2794" s="178" t="s">
        <v>8806</v>
      </c>
      <c r="Q2794" s="162" t="s">
        <v>601</v>
      </c>
      <c r="R2794" s="189" t="s">
        <v>2716</v>
      </c>
      <c r="S2794" s="366"/>
      <c r="T2794" s="178" t="s">
        <v>2611</v>
      </c>
      <c r="U2794" s="178" t="s">
        <v>7316</v>
      </c>
      <c r="V2794" s="178" t="s">
        <v>7317</v>
      </c>
      <c r="W2794" s="316" t="s">
        <v>6111</v>
      </c>
      <c r="X2794" s="648" t="s">
        <v>6122</v>
      </c>
      <c r="Y2794" s="356"/>
      <c r="Z2794" s="272">
        <v>5</v>
      </c>
      <c r="AA2794" s="272">
        <v>9.5</v>
      </c>
      <c r="AB2794" s="34">
        <f t="shared" ca="1" si="61"/>
        <v>0.68475536928684411</v>
      </c>
      <c r="AC2794" s="814"/>
      <c r="AD2794" s="815" t="s">
        <v>16258</v>
      </c>
      <c r="AE2794" s="942" t="s">
        <v>12543</v>
      </c>
      <c r="AF2794" s="923">
        <f>IF(X2794=X2793,AF2793,0)+IF(ISNUMBER(I2794),IF(I2794&lt;1,I2794,I2794*VLOOKUP(J2794,Summary!$H$2:$I$9,2)),VLOOKUP(J2794,Summary!$J$2:$K$9,2)*IF(ISNUMBER(H2794),H2794,1))</f>
        <v>0.20069444444444445</v>
      </c>
      <c r="AG2794" s="291">
        <v>2793</v>
      </c>
      <c r="AH2794" s="94"/>
      <c r="AI2794" s="94"/>
    </row>
    <row r="2795" spans="1:35" s="22" customFormat="1" ht="12" customHeight="1" x14ac:dyDescent="0.25">
      <c r="A2795" s="539" t="s">
        <v>2515</v>
      </c>
      <c r="B2795" s="539">
        <v>7</v>
      </c>
      <c r="C2795" s="542">
        <v>15.07</v>
      </c>
      <c r="D2795" s="176" t="s">
        <v>2467</v>
      </c>
      <c r="E2795" s="313" t="s">
        <v>4920</v>
      </c>
      <c r="F2795" s="174">
        <v>38412</v>
      </c>
      <c r="G2795" s="174"/>
      <c r="H2795" s="176">
        <v>1</v>
      </c>
      <c r="I2795" s="176">
        <v>28</v>
      </c>
      <c r="J2795" s="900" t="s">
        <v>2755</v>
      </c>
      <c r="K2795" s="164" t="s">
        <v>5222</v>
      </c>
      <c r="L2795" s="164" t="s">
        <v>461</v>
      </c>
      <c r="M2795" s="164"/>
      <c r="N2795" s="164" t="s">
        <v>6997</v>
      </c>
      <c r="O2795" s="164"/>
      <c r="P2795" s="173" t="s">
        <v>6998</v>
      </c>
      <c r="Q2795" s="164" t="s">
        <v>3947</v>
      </c>
      <c r="R2795" s="177" t="s">
        <v>2723</v>
      </c>
      <c r="S2795" s="354"/>
      <c r="T2795" s="173" t="s">
        <v>2611</v>
      </c>
      <c r="U2795" s="173" t="s">
        <v>7316</v>
      </c>
      <c r="V2795" s="173"/>
      <c r="W2795" s="313" t="s">
        <v>4920</v>
      </c>
      <c r="X2795" s="645" t="s">
        <v>6122</v>
      </c>
      <c r="Y2795" s="354"/>
      <c r="Z2795" s="176"/>
      <c r="AA2795" s="176"/>
      <c r="AB2795" s="32">
        <f t="shared" ca="1" si="61"/>
        <v>0.29892255498004283</v>
      </c>
      <c r="AC2795" s="812"/>
      <c r="AD2795" s="763"/>
      <c r="AE2795" s="807"/>
      <c r="AF2795" s="921">
        <f>IF(X2795=X2794,AF2794,0)+IF(ISNUMBER(I2795),IF(I2795&lt;1,I2795,I2795*VLOOKUP(J2795,Summary!$H$2:$I$9,2)),VLOOKUP(J2795,Summary!$J$2:$K$9,2)*IF(ISNUMBER(H2795),H2795,1))</f>
        <v>0.22013888888888888</v>
      </c>
      <c r="AG2795" s="289">
        <v>2794</v>
      </c>
      <c r="AH2795" s="94"/>
      <c r="AI2795" s="94"/>
    </row>
    <row r="2796" spans="1:35" s="22" customFormat="1" ht="12" customHeight="1" x14ac:dyDescent="0.25">
      <c r="A2796" s="550" t="s">
        <v>2515</v>
      </c>
      <c r="B2796" s="550">
        <v>7</v>
      </c>
      <c r="C2796" s="550">
        <v>45</v>
      </c>
      <c r="D2796" s="417" t="s">
        <v>6112</v>
      </c>
      <c r="E2796" s="316" t="s">
        <v>6113</v>
      </c>
      <c r="F2796" s="195">
        <v>35040</v>
      </c>
      <c r="G2796" s="188"/>
      <c r="H2796" s="188">
        <v>3</v>
      </c>
      <c r="I2796" s="188">
        <v>233</v>
      </c>
      <c r="J2796" s="902" t="s">
        <v>6868</v>
      </c>
      <c r="K2796" s="162" t="s">
        <v>1088</v>
      </c>
      <c r="L2796" s="162" t="str">
        <f t="shared" ref="L2796:L2802" si="63">IF(J2796="Book","n/a","")</f>
        <v>n/a</v>
      </c>
      <c r="M2796" s="162"/>
      <c r="N2796" s="162"/>
      <c r="O2796" s="162"/>
      <c r="P2796" s="178" t="s">
        <v>8807</v>
      </c>
      <c r="Q2796" s="162" t="s">
        <v>601</v>
      </c>
      <c r="R2796" s="189" t="s">
        <v>2716</v>
      </c>
      <c r="S2796" s="366"/>
      <c r="T2796" s="178" t="s">
        <v>2611</v>
      </c>
      <c r="U2796" s="178" t="s">
        <v>7316</v>
      </c>
      <c r="V2796" s="178" t="s">
        <v>7317</v>
      </c>
      <c r="W2796" s="316" t="s">
        <v>11482</v>
      </c>
      <c r="X2796" s="648" t="s">
        <v>6122</v>
      </c>
      <c r="Y2796" s="356"/>
      <c r="Z2796" s="272">
        <v>91</v>
      </c>
      <c r="AA2796" s="272">
        <v>5.5</v>
      </c>
      <c r="AB2796" s="34">
        <f t="shared" ca="1" si="61"/>
        <v>0.47952487710728053</v>
      </c>
      <c r="AC2796" s="814"/>
      <c r="AD2796" s="815" t="s">
        <v>16252</v>
      </c>
      <c r="AE2796" s="942" t="s">
        <v>15062</v>
      </c>
      <c r="AF2796" s="923">
        <f>IF(X2796=X2795,AF2795,0)+IF(ISNUMBER(I2796),IF(I2796&lt;1,I2796,I2796*VLOOKUP(J2796,Summary!$H$2:$I$9,2)),VLOOKUP(J2796,Summary!$J$2:$K$9,2)*IF(ISNUMBER(H2796),H2796,1))</f>
        <v>0.38194444444444442</v>
      </c>
      <c r="AG2796" s="291">
        <v>2795</v>
      </c>
      <c r="AH2796" s="94"/>
      <c r="AI2796" s="94"/>
    </row>
    <row r="2797" spans="1:35" s="22" customFormat="1" ht="12" customHeight="1" x14ac:dyDescent="0.25">
      <c r="A2797" s="550" t="s">
        <v>2515</v>
      </c>
      <c r="B2797" s="550">
        <v>7</v>
      </c>
      <c r="C2797" s="550">
        <v>46</v>
      </c>
      <c r="D2797" s="417" t="s">
        <v>6114</v>
      </c>
      <c r="E2797" s="316" t="s">
        <v>6115</v>
      </c>
      <c r="F2797" s="195">
        <v>35082</v>
      </c>
      <c r="G2797" s="188"/>
      <c r="H2797" s="188" t="str">
        <f>IF(J2797="Book","n/a","")</f>
        <v>n/a</v>
      </c>
      <c r="I2797" s="188">
        <v>257</v>
      </c>
      <c r="J2797" s="902" t="s">
        <v>6868</v>
      </c>
      <c r="K2797" s="162" t="s">
        <v>2311</v>
      </c>
      <c r="L2797" s="162" t="str">
        <f t="shared" si="63"/>
        <v>n/a</v>
      </c>
      <c r="M2797" s="162"/>
      <c r="N2797" s="162"/>
      <c r="O2797" s="162"/>
      <c r="P2797" s="178" t="s">
        <v>8808</v>
      </c>
      <c r="Q2797" s="162" t="s">
        <v>601</v>
      </c>
      <c r="R2797" s="189" t="s">
        <v>2716</v>
      </c>
      <c r="S2797" s="366"/>
      <c r="T2797" s="178" t="s">
        <v>2611</v>
      </c>
      <c r="U2797" s="178" t="s">
        <v>7316</v>
      </c>
      <c r="V2797" s="178" t="s">
        <v>7317</v>
      </c>
      <c r="W2797" s="316" t="s">
        <v>6115</v>
      </c>
      <c r="X2797" s="648" t="s">
        <v>6122</v>
      </c>
      <c r="Y2797" s="356"/>
      <c r="Z2797" s="272">
        <v>12</v>
      </c>
      <c r="AA2797" s="272">
        <v>9</v>
      </c>
      <c r="AB2797" s="34">
        <f t="shared" ca="1" si="61"/>
        <v>0.32788454666548061</v>
      </c>
      <c r="AC2797" s="814"/>
      <c r="AD2797" s="815" t="s">
        <v>16728</v>
      </c>
      <c r="AE2797" s="942"/>
      <c r="AF2797" s="923">
        <f>IF(X2797=X2796,AF2796,0)+IF(ISNUMBER(I2797),IF(I2797&lt;1,I2797,I2797*VLOOKUP(J2797,Summary!$H$2:$I$9,2)),VLOOKUP(J2797,Summary!$J$2:$K$9,2)*IF(ISNUMBER(H2797),H2797,1))</f>
        <v>0.56041666666666667</v>
      </c>
      <c r="AG2797" s="291">
        <v>2796</v>
      </c>
      <c r="AH2797" s="94"/>
      <c r="AI2797" s="94"/>
    </row>
    <row r="2798" spans="1:35" s="22" customFormat="1" ht="12" customHeight="1" x14ac:dyDescent="0.25">
      <c r="A2798" s="550" t="s">
        <v>2515</v>
      </c>
      <c r="B2798" s="550">
        <v>7</v>
      </c>
      <c r="C2798" s="550">
        <v>47</v>
      </c>
      <c r="D2798" s="417" t="s">
        <v>6116</v>
      </c>
      <c r="E2798" s="316" t="s">
        <v>6117</v>
      </c>
      <c r="F2798" s="195">
        <v>35111</v>
      </c>
      <c r="G2798" s="188"/>
      <c r="H2798" s="188" t="str">
        <f>IF(J2798="Book","n/a","")</f>
        <v>n/a</v>
      </c>
      <c r="I2798" s="188">
        <v>272</v>
      </c>
      <c r="J2798" s="902" t="s">
        <v>6868</v>
      </c>
      <c r="K2798" s="162" t="s">
        <v>2939</v>
      </c>
      <c r="L2798" s="162" t="str">
        <f t="shared" si="63"/>
        <v>n/a</v>
      </c>
      <c r="M2798" s="162"/>
      <c r="N2798" s="162"/>
      <c r="O2798" s="162"/>
      <c r="P2798" s="178" t="s">
        <v>8809</v>
      </c>
      <c r="Q2798" s="162" t="s">
        <v>601</v>
      </c>
      <c r="R2798" s="189" t="s">
        <v>2716</v>
      </c>
      <c r="S2798" s="366"/>
      <c r="T2798" s="178" t="s">
        <v>2611</v>
      </c>
      <c r="U2798" s="178" t="s">
        <v>7316</v>
      </c>
      <c r="V2798" s="178" t="s">
        <v>7317</v>
      </c>
      <c r="W2798" s="316" t="s">
        <v>6117</v>
      </c>
      <c r="X2798" s="648" t="s">
        <v>6122</v>
      </c>
      <c r="Y2798" s="356"/>
      <c r="Z2798" s="272">
        <v>203</v>
      </c>
      <c r="AA2798" s="272">
        <v>3</v>
      </c>
      <c r="AB2798" s="34">
        <f t="shared" ca="1" si="61"/>
        <v>2.8884381817050997E-2</v>
      </c>
      <c r="AC2798" s="814"/>
      <c r="AD2798" s="815" t="s">
        <v>16088</v>
      </c>
      <c r="AE2798" s="942"/>
      <c r="AF2798" s="923">
        <f>IF(X2798=X2797,AF2797,0)+IF(ISNUMBER(I2798),IF(I2798&lt;1,I2798,I2798*VLOOKUP(J2798,Summary!$H$2:$I$9,2)),VLOOKUP(J2798,Summary!$J$2:$K$9,2)*IF(ISNUMBER(H2798),H2798,1))</f>
        <v>0.74930555555555556</v>
      </c>
      <c r="AG2798" s="291">
        <v>2797</v>
      </c>
      <c r="AH2798" s="94"/>
      <c r="AI2798" s="94"/>
    </row>
    <row r="2799" spans="1:35" s="146" customFormat="1" ht="12" customHeight="1" x14ac:dyDescent="0.25">
      <c r="A2799" s="550" t="s">
        <v>2515</v>
      </c>
      <c r="B2799" s="550">
        <v>7</v>
      </c>
      <c r="C2799" s="550">
        <v>48</v>
      </c>
      <c r="D2799" s="417" t="s">
        <v>6118</v>
      </c>
      <c r="E2799" s="316" t="s">
        <v>4737</v>
      </c>
      <c r="F2799" s="195">
        <v>35140</v>
      </c>
      <c r="G2799" s="188"/>
      <c r="H2799" s="188">
        <v>3</v>
      </c>
      <c r="I2799" s="188">
        <v>255</v>
      </c>
      <c r="J2799" s="902" t="s">
        <v>6868</v>
      </c>
      <c r="K2799" s="162" t="s">
        <v>7800</v>
      </c>
      <c r="L2799" s="162" t="str">
        <f t="shared" si="63"/>
        <v>n/a</v>
      </c>
      <c r="M2799" s="162"/>
      <c r="N2799" s="162"/>
      <c r="O2799" s="162"/>
      <c r="P2799" s="178" t="s">
        <v>8810</v>
      </c>
      <c r="Q2799" s="162" t="s">
        <v>601</v>
      </c>
      <c r="R2799" s="189" t="s">
        <v>2716</v>
      </c>
      <c r="S2799" s="366"/>
      <c r="T2799" s="178" t="s">
        <v>2611</v>
      </c>
      <c r="U2799" s="178" t="s">
        <v>7316</v>
      </c>
      <c r="V2799" s="178" t="s">
        <v>7317</v>
      </c>
      <c r="W2799" s="316" t="s">
        <v>11483</v>
      </c>
      <c r="X2799" s="648" t="s">
        <v>6122</v>
      </c>
      <c r="Y2799" s="356"/>
      <c r="Z2799" s="272">
        <v>13</v>
      </c>
      <c r="AA2799" s="272">
        <v>9</v>
      </c>
      <c r="AB2799" s="34">
        <f t="shared" ca="1" si="61"/>
        <v>0.1372863228559037</v>
      </c>
      <c r="AC2799" s="814"/>
      <c r="AD2799" s="815" t="s">
        <v>16159</v>
      </c>
      <c r="AE2799" s="942"/>
      <c r="AF2799" s="923">
        <f>IF(X2799=X2798,AF2798,0)+IF(ISNUMBER(I2799),IF(I2799&lt;1,I2799,I2799*VLOOKUP(J2799,Summary!$H$2:$I$9,2)),VLOOKUP(J2799,Summary!$J$2:$K$9,2)*IF(ISNUMBER(H2799),H2799,1))</f>
        <v>0.92638888888888893</v>
      </c>
      <c r="AG2799" s="291">
        <v>2798</v>
      </c>
      <c r="AH2799" s="122"/>
      <c r="AI2799" s="122"/>
    </row>
    <row r="2800" spans="1:35" s="2" customFormat="1" ht="12" customHeight="1" x14ac:dyDescent="0.25">
      <c r="A2800" s="550" t="s">
        <v>2515</v>
      </c>
      <c r="B2800" s="550">
        <v>7</v>
      </c>
      <c r="C2800" s="550">
        <v>49</v>
      </c>
      <c r="D2800" s="417" t="s">
        <v>6119</v>
      </c>
      <c r="E2800" s="316" t="s">
        <v>6120</v>
      </c>
      <c r="F2800" s="195">
        <v>35173</v>
      </c>
      <c r="G2800" s="188"/>
      <c r="H2800" s="188" t="str">
        <f>IF(J2800="Book","n/a","")</f>
        <v>n/a</v>
      </c>
      <c r="I2800" s="188">
        <v>280</v>
      </c>
      <c r="J2800" s="902" t="s">
        <v>6868</v>
      </c>
      <c r="K2800" s="162" t="s">
        <v>7799</v>
      </c>
      <c r="L2800" s="162" t="str">
        <f t="shared" si="63"/>
        <v>n/a</v>
      </c>
      <c r="M2800" s="162"/>
      <c r="N2800" s="162"/>
      <c r="O2800" s="162"/>
      <c r="P2800" s="178" t="s">
        <v>8811</v>
      </c>
      <c r="Q2800" s="162" t="s">
        <v>601</v>
      </c>
      <c r="R2800" s="189" t="s">
        <v>2716</v>
      </c>
      <c r="S2800" s="366"/>
      <c r="T2800" s="178" t="s">
        <v>2611</v>
      </c>
      <c r="U2800" s="178" t="s">
        <v>7316</v>
      </c>
      <c r="V2800" s="178" t="s">
        <v>7317</v>
      </c>
      <c r="W2800" s="316" t="s">
        <v>6120</v>
      </c>
      <c r="X2800" s="648" t="s">
        <v>6122</v>
      </c>
      <c r="Y2800" s="356"/>
      <c r="Z2800" s="272">
        <v>136</v>
      </c>
      <c r="AA2800" s="272">
        <v>4.5</v>
      </c>
      <c r="AB2800" s="34">
        <f t="shared" ca="1" si="61"/>
        <v>0.44192352099851806</v>
      </c>
      <c r="AC2800" s="814"/>
      <c r="AD2800" s="815" t="s">
        <v>15875</v>
      </c>
      <c r="AE2800" s="942" t="s">
        <v>12543</v>
      </c>
      <c r="AF2800" s="923">
        <f>IF(X2800=X2799,AF2799,0)+IF(ISNUMBER(I2800),IF(I2800&lt;1,I2800,I2800*VLOOKUP(J2800,Summary!$H$2:$I$9,2)),VLOOKUP(J2800,Summary!$J$2:$K$9,2)*IF(ISNUMBER(H2800),H2800,1))</f>
        <v>1.1208333333333333</v>
      </c>
      <c r="AG2800" s="291">
        <v>2799</v>
      </c>
      <c r="AH2800" s="94"/>
      <c r="AI2800" s="94"/>
    </row>
    <row r="2801" spans="1:35" s="1" customFormat="1" ht="12" customHeight="1" x14ac:dyDescent="0.25">
      <c r="A2801" s="550" t="s">
        <v>2515</v>
      </c>
      <c r="B2801" s="550">
        <v>7</v>
      </c>
      <c r="C2801" s="550">
        <v>50</v>
      </c>
      <c r="D2801" s="417" t="s">
        <v>6121</v>
      </c>
      <c r="E2801" s="316" t="s">
        <v>6122</v>
      </c>
      <c r="F2801" s="195">
        <v>35201</v>
      </c>
      <c r="G2801" s="188"/>
      <c r="H2801" s="188" t="str">
        <f>IF(J2801="Book","n/a","")</f>
        <v>n/a</v>
      </c>
      <c r="I2801" s="188">
        <v>291</v>
      </c>
      <c r="J2801" s="902" t="s">
        <v>6868</v>
      </c>
      <c r="K2801" s="162" t="s">
        <v>3807</v>
      </c>
      <c r="L2801" s="162" t="str">
        <f t="shared" si="63"/>
        <v>n/a</v>
      </c>
      <c r="M2801" s="162"/>
      <c r="N2801" s="162"/>
      <c r="O2801" s="162"/>
      <c r="P2801" s="178" t="s">
        <v>8812</v>
      </c>
      <c r="Q2801" s="162" t="s">
        <v>601</v>
      </c>
      <c r="R2801" s="189" t="s">
        <v>2716</v>
      </c>
      <c r="S2801" s="366"/>
      <c r="T2801" s="178" t="s">
        <v>2611</v>
      </c>
      <c r="U2801" s="178" t="s">
        <v>7316</v>
      </c>
      <c r="V2801" s="178" t="s">
        <v>7317</v>
      </c>
      <c r="W2801" s="316" t="s">
        <v>6122</v>
      </c>
      <c r="X2801" s="648" t="s">
        <v>6122</v>
      </c>
      <c r="Y2801" s="356"/>
      <c r="Z2801" s="272">
        <v>46</v>
      </c>
      <c r="AA2801" s="272">
        <v>7</v>
      </c>
      <c r="AB2801" s="34">
        <f t="shared" ca="1" si="61"/>
        <v>0.33983346813005189</v>
      </c>
      <c r="AC2801" s="814"/>
      <c r="AD2801" s="815" t="s">
        <v>15877</v>
      </c>
      <c r="AE2801" s="942"/>
      <c r="AF2801" s="923">
        <f>IF(X2801=X2800,AF2800,0)+IF(ISNUMBER(I2801),IF(I2801&lt;1,I2801,I2801*VLOOKUP(J2801,Summary!$H$2:$I$9,2)),VLOOKUP(J2801,Summary!$J$2:$K$9,2)*IF(ISNUMBER(H2801),H2801,1))</f>
        <v>1.3229166666666667</v>
      </c>
      <c r="AG2801" s="291">
        <v>2800</v>
      </c>
      <c r="AH2801" s="94"/>
      <c r="AI2801" s="94"/>
    </row>
    <row r="2802" spans="1:35" s="29" customFormat="1" ht="12" customHeight="1" x14ac:dyDescent="0.25">
      <c r="A2802" s="550" t="s">
        <v>2517</v>
      </c>
      <c r="B2802" s="550">
        <v>7</v>
      </c>
      <c r="C2802" s="550">
        <v>51</v>
      </c>
      <c r="D2802" s="417" t="s">
        <v>6123</v>
      </c>
      <c r="E2802" s="316" t="s">
        <v>1773</v>
      </c>
      <c r="F2802" s="195">
        <v>35236</v>
      </c>
      <c r="G2802" s="188"/>
      <c r="H2802" s="188">
        <v>2</v>
      </c>
      <c r="I2802" s="188">
        <v>243</v>
      </c>
      <c r="J2802" s="902" t="s">
        <v>6868</v>
      </c>
      <c r="K2802" s="162" t="s">
        <v>4031</v>
      </c>
      <c r="L2802" s="162" t="str">
        <f t="shared" si="63"/>
        <v>n/a</v>
      </c>
      <c r="M2802" s="162"/>
      <c r="N2802" s="162"/>
      <c r="O2802" s="162"/>
      <c r="P2802" s="178" t="s">
        <v>8813</v>
      </c>
      <c r="Q2802" s="162" t="s">
        <v>601</v>
      </c>
      <c r="R2802" s="189" t="s">
        <v>2716</v>
      </c>
      <c r="S2802" s="366"/>
      <c r="T2802" s="178"/>
      <c r="U2802" s="178" t="s">
        <v>7316</v>
      </c>
      <c r="V2802" s="178" t="s">
        <v>7317</v>
      </c>
      <c r="W2802" s="316" t="s">
        <v>11484</v>
      </c>
      <c r="X2802" s="648" t="s">
        <v>12474</v>
      </c>
      <c r="Y2802" s="356"/>
      <c r="Z2802" s="272">
        <v>145</v>
      </c>
      <c r="AA2802" s="272">
        <v>4.5</v>
      </c>
      <c r="AB2802" s="34">
        <f t="shared" ca="1" si="61"/>
        <v>0.6048834907096049</v>
      </c>
      <c r="AC2802" s="814"/>
      <c r="AD2802" s="815" t="s">
        <v>16133</v>
      </c>
      <c r="AE2802" s="942"/>
      <c r="AF2802" s="923">
        <f>IF(X2802=X2801,AF2801,0)+IF(ISNUMBER(I2802),IF(I2802&lt;1,I2802,I2802*VLOOKUP(J2802,Summary!$H$2:$I$9,2)),VLOOKUP(J2802,Summary!$J$2:$K$9,2)*IF(ISNUMBER(H2802),H2802,1))</f>
        <v>0.16875000000000001</v>
      </c>
      <c r="AG2802" s="291">
        <v>2801</v>
      </c>
      <c r="AH2802" s="94"/>
      <c r="AI2802" s="94"/>
    </row>
    <row r="2803" spans="1:35" s="22" customFormat="1" ht="12" customHeight="1" x14ac:dyDescent="0.2">
      <c r="A2803" s="541" t="s">
        <v>2517</v>
      </c>
      <c r="B2803" s="541">
        <v>7</v>
      </c>
      <c r="C2803" s="541">
        <v>1.1000000000000001</v>
      </c>
      <c r="D2803" s="407" t="s">
        <v>15683</v>
      </c>
      <c r="E2803" s="315" t="s">
        <v>15689</v>
      </c>
      <c r="F2803" s="196">
        <v>43419</v>
      </c>
      <c r="G2803" s="170"/>
      <c r="H2803" s="170"/>
      <c r="I2803" s="747">
        <f>TIME(1,0,0)</f>
        <v>4.1666666666666664E-2</v>
      </c>
      <c r="J2803" s="899" t="s">
        <v>4706</v>
      </c>
      <c r="K2803" s="167" t="s">
        <v>175</v>
      </c>
      <c r="L2803" s="167" t="s">
        <v>179</v>
      </c>
      <c r="M2803" s="167"/>
      <c r="N2803" s="167" t="s">
        <v>179</v>
      </c>
      <c r="O2803" s="167" t="s">
        <v>179</v>
      </c>
      <c r="P2803" s="168" t="s">
        <v>15685</v>
      </c>
      <c r="Q2803" s="167" t="s">
        <v>3947</v>
      </c>
      <c r="R2803" s="172" t="s">
        <v>15684</v>
      </c>
      <c r="S2803" s="388"/>
      <c r="T2803" s="168"/>
      <c r="U2803" s="168" t="s">
        <v>7316</v>
      </c>
      <c r="V2803" s="168" t="s">
        <v>7317</v>
      </c>
      <c r="W2803" s="312"/>
      <c r="X2803" s="644" t="s">
        <v>12474</v>
      </c>
      <c r="Y2803" s="352"/>
      <c r="Z2803" s="353"/>
      <c r="AA2803" s="353"/>
      <c r="AB2803" s="31">
        <f t="shared" ca="1" si="61"/>
        <v>0.57805423672275635</v>
      </c>
      <c r="AC2803" s="810"/>
      <c r="AD2803" s="811"/>
      <c r="AE2803" s="940"/>
      <c r="AF2803" s="920">
        <f>IF(X2803=X2802,AF2802,0)+IF(ISNUMBER(I2803),IF(I2803&lt;1,I2803,I2803*VLOOKUP(J2803,Summary!$H$2:$I$9,2)),VLOOKUP(J2803,Summary!$J$2:$K$9,2)*IF(ISNUMBER(H2803),H2803,1))</f>
        <v>0.21041666666666667</v>
      </c>
      <c r="AG2803" s="287">
        <v>2802</v>
      </c>
      <c r="AH2803" s="94"/>
      <c r="AI2803" s="94"/>
    </row>
    <row r="2804" spans="1:35" s="22" customFormat="1" ht="12" customHeight="1" x14ac:dyDescent="0.2">
      <c r="A2804" s="541" t="s">
        <v>2517</v>
      </c>
      <c r="B2804" s="541">
        <v>7</v>
      </c>
      <c r="C2804" s="541">
        <v>1.2</v>
      </c>
      <c r="D2804" s="407" t="s">
        <v>15686</v>
      </c>
      <c r="E2804" s="315" t="s">
        <v>10051</v>
      </c>
      <c r="F2804" s="196">
        <v>43419</v>
      </c>
      <c r="G2804" s="170"/>
      <c r="H2804" s="170"/>
      <c r="I2804" s="747">
        <f>TIME(1,0,0)</f>
        <v>4.1666666666666664E-2</v>
      </c>
      <c r="J2804" s="899" t="s">
        <v>4706</v>
      </c>
      <c r="K2804" s="167" t="s">
        <v>15692</v>
      </c>
      <c r="L2804" s="167" t="s">
        <v>179</v>
      </c>
      <c r="M2804" s="167"/>
      <c r="N2804" s="167" t="s">
        <v>179</v>
      </c>
      <c r="O2804" s="167" t="s">
        <v>179</v>
      </c>
      <c r="P2804" s="168" t="s">
        <v>15685</v>
      </c>
      <c r="Q2804" s="167" t="s">
        <v>3947</v>
      </c>
      <c r="R2804" s="172" t="s">
        <v>15684</v>
      </c>
      <c r="S2804" s="388"/>
      <c r="T2804" s="168"/>
      <c r="U2804" s="168" t="s">
        <v>7316</v>
      </c>
      <c r="V2804" s="168" t="s">
        <v>7317</v>
      </c>
      <c r="W2804" s="312"/>
      <c r="X2804" s="644" t="s">
        <v>12474</v>
      </c>
      <c r="Y2804" s="352"/>
      <c r="Z2804" s="353"/>
      <c r="AA2804" s="353"/>
      <c r="AB2804" s="31">
        <f t="shared" ca="1" si="61"/>
        <v>0.56402519190701117</v>
      </c>
      <c r="AC2804" s="810"/>
      <c r="AD2804" s="811"/>
      <c r="AE2804" s="940"/>
      <c r="AF2804" s="920">
        <f>IF(X2804=X2803,AF2803,0)+IF(ISNUMBER(I2804),IF(I2804&lt;1,I2804,I2804*VLOOKUP(J2804,Summary!$H$2:$I$9,2)),VLOOKUP(J2804,Summary!$J$2:$K$9,2)*IF(ISNUMBER(H2804),H2804,1))</f>
        <v>0.25208333333333333</v>
      </c>
      <c r="AG2804" s="287">
        <v>2803</v>
      </c>
      <c r="AH2804" s="94"/>
      <c r="AI2804" s="94"/>
    </row>
    <row r="2805" spans="1:35" s="22" customFormat="1" ht="12" customHeight="1" x14ac:dyDescent="0.2">
      <c r="A2805" s="541" t="s">
        <v>2517</v>
      </c>
      <c r="B2805" s="541">
        <v>7</v>
      </c>
      <c r="C2805" s="541">
        <v>1.3</v>
      </c>
      <c r="D2805" s="407" t="s">
        <v>15687</v>
      </c>
      <c r="E2805" s="315" t="s">
        <v>15690</v>
      </c>
      <c r="F2805" s="196">
        <v>43419</v>
      </c>
      <c r="G2805" s="170"/>
      <c r="H2805" s="170"/>
      <c r="I2805" s="747">
        <f>TIME(1,0,0)</f>
        <v>4.1666666666666664E-2</v>
      </c>
      <c r="J2805" s="899" t="s">
        <v>4706</v>
      </c>
      <c r="K2805" s="167" t="s">
        <v>15693</v>
      </c>
      <c r="L2805" s="167" t="s">
        <v>179</v>
      </c>
      <c r="M2805" s="167"/>
      <c r="N2805" s="167" t="s">
        <v>179</v>
      </c>
      <c r="O2805" s="167" t="s">
        <v>179</v>
      </c>
      <c r="P2805" s="168" t="s">
        <v>15685</v>
      </c>
      <c r="Q2805" s="167" t="s">
        <v>3947</v>
      </c>
      <c r="R2805" s="172" t="s">
        <v>15684</v>
      </c>
      <c r="S2805" s="388"/>
      <c r="T2805" s="168"/>
      <c r="U2805" s="168" t="s">
        <v>7316</v>
      </c>
      <c r="V2805" s="168" t="s">
        <v>7317</v>
      </c>
      <c r="W2805" s="312"/>
      <c r="X2805" s="644" t="s">
        <v>12474</v>
      </c>
      <c r="Y2805" s="352"/>
      <c r="Z2805" s="353"/>
      <c r="AA2805" s="353"/>
      <c r="AB2805" s="31">
        <f t="shared" ca="1" si="61"/>
        <v>0.91203875296988657</v>
      </c>
      <c r="AC2805" s="810"/>
      <c r="AD2805" s="811"/>
      <c r="AE2805" s="940"/>
      <c r="AF2805" s="920">
        <f>IF(X2805=X2804,AF2804,0)+IF(ISNUMBER(I2805),IF(I2805&lt;1,I2805,I2805*VLOOKUP(J2805,Summary!$H$2:$I$9,2)),VLOOKUP(J2805,Summary!$J$2:$K$9,2)*IF(ISNUMBER(H2805),H2805,1))</f>
        <v>0.29375000000000001</v>
      </c>
      <c r="AG2805" s="287">
        <v>2804</v>
      </c>
      <c r="AH2805" s="94"/>
      <c r="AI2805" s="94"/>
    </row>
    <row r="2806" spans="1:35" s="22" customFormat="1" ht="12" customHeight="1" x14ac:dyDescent="0.2">
      <c r="A2806" s="541" t="s">
        <v>2517</v>
      </c>
      <c r="B2806" s="541">
        <v>7</v>
      </c>
      <c r="C2806" s="541">
        <v>1.4</v>
      </c>
      <c r="D2806" s="407" t="s">
        <v>15688</v>
      </c>
      <c r="E2806" s="315" t="s">
        <v>15691</v>
      </c>
      <c r="F2806" s="196">
        <v>43419</v>
      </c>
      <c r="G2806" s="170"/>
      <c r="H2806" s="170"/>
      <c r="I2806" s="747">
        <f>TIME(1,0,0)</f>
        <v>4.1666666666666664E-2</v>
      </c>
      <c r="J2806" s="899" t="s">
        <v>4706</v>
      </c>
      <c r="K2806" s="167" t="s">
        <v>12857</v>
      </c>
      <c r="L2806" s="167" t="s">
        <v>179</v>
      </c>
      <c r="M2806" s="167"/>
      <c r="N2806" s="167" t="s">
        <v>179</v>
      </c>
      <c r="O2806" s="167" t="s">
        <v>179</v>
      </c>
      <c r="P2806" s="168" t="s">
        <v>15685</v>
      </c>
      <c r="Q2806" s="167" t="s">
        <v>3947</v>
      </c>
      <c r="R2806" s="172" t="s">
        <v>15684</v>
      </c>
      <c r="S2806" s="388"/>
      <c r="T2806" s="168"/>
      <c r="U2806" s="168" t="s">
        <v>7316</v>
      </c>
      <c r="V2806" s="168" t="s">
        <v>7317</v>
      </c>
      <c r="W2806" s="312"/>
      <c r="X2806" s="644" t="s">
        <v>12474</v>
      </c>
      <c r="Y2806" s="352"/>
      <c r="Z2806" s="353"/>
      <c r="AA2806" s="353"/>
      <c r="AB2806" s="31">
        <f t="shared" ca="1" si="61"/>
        <v>0.87750691653029644</v>
      </c>
      <c r="AC2806" s="810"/>
      <c r="AD2806" s="811"/>
      <c r="AE2806" s="940"/>
      <c r="AF2806" s="920">
        <f>IF(X2806=X2805,AF2805,0)+IF(ISNUMBER(I2806),IF(I2806&lt;1,I2806,I2806*VLOOKUP(J2806,Summary!$H$2:$I$9,2)),VLOOKUP(J2806,Summary!$J$2:$K$9,2)*IF(ISNUMBER(H2806),H2806,1))</f>
        <v>0.3354166666666667</v>
      </c>
      <c r="AG2806" s="287">
        <v>2805</v>
      </c>
      <c r="AH2806" s="94"/>
      <c r="AI2806" s="94"/>
    </row>
    <row r="2807" spans="1:35" s="2" customFormat="1" ht="12" customHeight="1" x14ac:dyDescent="0.25">
      <c r="A2807" s="539" t="s">
        <v>2517</v>
      </c>
      <c r="B2807" s="539">
        <v>7</v>
      </c>
      <c r="C2807" s="542">
        <v>13.01</v>
      </c>
      <c r="D2807" s="176" t="s">
        <v>2465</v>
      </c>
      <c r="E2807" s="313" t="s">
        <v>489</v>
      </c>
      <c r="F2807" s="174">
        <v>38261</v>
      </c>
      <c r="G2807" s="174"/>
      <c r="H2807" s="176">
        <v>1</v>
      </c>
      <c r="I2807" s="176">
        <v>20</v>
      </c>
      <c r="J2807" s="900" t="s">
        <v>2755</v>
      </c>
      <c r="K2807" s="164" t="s">
        <v>185</v>
      </c>
      <c r="L2807" s="164" t="s">
        <v>461</v>
      </c>
      <c r="M2807" s="164"/>
      <c r="N2807" s="164" t="s">
        <v>4996</v>
      </c>
      <c r="O2807" s="164"/>
      <c r="P2807" s="173" t="s">
        <v>1945</v>
      </c>
      <c r="Q2807" s="164" t="s">
        <v>3947</v>
      </c>
      <c r="R2807" s="177" t="s">
        <v>2723</v>
      </c>
      <c r="S2807" s="354"/>
      <c r="T2807" s="173"/>
      <c r="U2807" s="173" t="s">
        <v>7316</v>
      </c>
      <c r="V2807" s="173" t="s">
        <v>7317</v>
      </c>
      <c r="W2807" s="313" t="s">
        <v>489</v>
      </c>
      <c r="X2807" s="645" t="s">
        <v>12474</v>
      </c>
      <c r="Y2807" s="354"/>
      <c r="Z2807" s="176"/>
      <c r="AA2807" s="176"/>
      <c r="AB2807" s="32">
        <f t="shared" ca="1" si="61"/>
        <v>0.99834807563069905</v>
      </c>
      <c r="AC2807" s="812"/>
      <c r="AD2807" s="763"/>
      <c r="AE2807" s="807"/>
      <c r="AF2807" s="921">
        <f>IF(X2807=X2806,AF2806,0)+IF(ISNUMBER(I2807),IF(I2807&lt;1,I2807,I2807*VLOOKUP(J2807,Summary!$H$2:$I$9,2)),VLOOKUP(J2807,Summary!$J$2:$K$9,2)*IF(ISNUMBER(H2807),H2807,1))</f>
        <v>0.34930555555555559</v>
      </c>
      <c r="AG2807" s="289">
        <v>2806</v>
      </c>
      <c r="AH2807" s="94"/>
      <c r="AI2807" s="94"/>
    </row>
    <row r="2808" spans="1:35" s="2" customFormat="1" ht="12" customHeight="1" x14ac:dyDescent="0.25">
      <c r="A2808" s="539" t="s">
        <v>2517</v>
      </c>
      <c r="B2808" s="539">
        <v>7</v>
      </c>
      <c r="C2808" s="542">
        <v>13.12</v>
      </c>
      <c r="D2808" s="176" t="s">
        <v>2466</v>
      </c>
      <c r="E2808" s="313" t="s">
        <v>2118</v>
      </c>
      <c r="F2808" s="174">
        <v>38261</v>
      </c>
      <c r="G2808" s="174"/>
      <c r="H2808" s="176">
        <v>1</v>
      </c>
      <c r="I2808" s="176">
        <v>12</v>
      </c>
      <c r="J2808" s="900" t="s">
        <v>2755</v>
      </c>
      <c r="K2808" s="164" t="s">
        <v>5222</v>
      </c>
      <c r="L2808" s="164" t="s">
        <v>461</v>
      </c>
      <c r="M2808" s="164"/>
      <c r="N2808" s="164" t="s">
        <v>4996</v>
      </c>
      <c r="O2808" s="164"/>
      <c r="P2808" s="173" t="s">
        <v>1945</v>
      </c>
      <c r="Q2808" s="164" t="s">
        <v>3947</v>
      </c>
      <c r="R2808" s="177" t="s">
        <v>2723</v>
      </c>
      <c r="S2808" s="354"/>
      <c r="T2808" s="173"/>
      <c r="U2808" s="173" t="s">
        <v>7316</v>
      </c>
      <c r="V2808" s="173"/>
      <c r="W2808" s="313" t="s">
        <v>2118</v>
      </c>
      <c r="X2808" s="645" t="s">
        <v>12474</v>
      </c>
      <c r="Y2808" s="354"/>
      <c r="Z2808" s="176"/>
      <c r="AA2808" s="176"/>
      <c r="AB2808" s="32">
        <f t="shared" ca="1" si="61"/>
        <v>0.61967953289481503</v>
      </c>
      <c r="AC2808" s="812"/>
      <c r="AD2808" s="763"/>
      <c r="AE2808" s="807"/>
      <c r="AF2808" s="921">
        <f>IF(X2808=X2807,AF2807,0)+IF(ISNUMBER(I2808),IF(I2808&lt;1,I2808,I2808*VLOOKUP(J2808,Summary!$H$2:$I$9,2)),VLOOKUP(J2808,Summary!$J$2:$K$9,2)*IF(ISNUMBER(H2808),H2808,1))</f>
        <v>0.35763888888888895</v>
      </c>
      <c r="AG2808" s="289">
        <v>2807</v>
      </c>
      <c r="AH2808" s="94"/>
      <c r="AI2808" s="94"/>
    </row>
    <row r="2809" spans="1:35" s="2" customFormat="1" ht="12" customHeight="1" x14ac:dyDescent="0.25">
      <c r="A2809" s="550" t="s">
        <v>2517</v>
      </c>
      <c r="B2809" s="550">
        <v>7</v>
      </c>
      <c r="C2809" s="550">
        <v>52</v>
      </c>
      <c r="D2809" s="417" t="s">
        <v>1774</v>
      </c>
      <c r="E2809" s="316" t="s">
        <v>1775</v>
      </c>
      <c r="F2809" s="195">
        <v>35264</v>
      </c>
      <c r="G2809" s="188"/>
      <c r="H2809" s="188">
        <v>3</v>
      </c>
      <c r="I2809" s="188">
        <v>256</v>
      </c>
      <c r="J2809" s="902" t="s">
        <v>6868</v>
      </c>
      <c r="K2809" s="162" t="s">
        <v>5122</v>
      </c>
      <c r="L2809" s="162" t="str">
        <f>IF(J2809="Book","n/a","")</f>
        <v>n/a</v>
      </c>
      <c r="M2809" s="162"/>
      <c r="N2809" s="162"/>
      <c r="O2809" s="162"/>
      <c r="P2809" s="178" t="s">
        <v>8814</v>
      </c>
      <c r="Q2809" s="162" t="s">
        <v>601</v>
      </c>
      <c r="R2809" s="189" t="s">
        <v>2716</v>
      </c>
      <c r="S2809" s="366"/>
      <c r="T2809" s="178"/>
      <c r="U2809" s="178" t="s">
        <v>7316</v>
      </c>
      <c r="V2809" s="178" t="s">
        <v>7317</v>
      </c>
      <c r="W2809" s="316" t="s">
        <v>11485</v>
      </c>
      <c r="X2809" s="648" t="s">
        <v>12474</v>
      </c>
      <c r="Y2809" s="356"/>
      <c r="Z2809" s="272">
        <v>9</v>
      </c>
      <c r="AA2809" s="272">
        <v>9.5</v>
      </c>
      <c r="AB2809" s="34">
        <f t="shared" ca="1" si="61"/>
        <v>0.834271185311111</v>
      </c>
      <c r="AC2809" s="814"/>
      <c r="AD2809" s="815" t="s">
        <v>16547</v>
      </c>
      <c r="AE2809" s="942"/>
      <c r="AF2809" s="923">
        <f>IF(X2809=X2808,AF2808,0)+IF(ISNUMBER(I2809),IF(I2809&lt;1,I2809,I2809*VLOOKUP(J2809,Summary!$H$2:$I$9,2)),VLOOKUP(J2809,Summary!$J$2:$K$9,2)*IF(ISNUMBER(H2809),H2809,1))</f>
        <v>0.53541666666666676</v>
      </c>
      <c r="AG2809" s="291">
        <v>2808</v>
      </c>
      <c r="AH2809" s="94"/>
      <c r="AI2809" s="94"/>
    </row>
    <row r="2810" spans="1:35" s="120" customFormat="1" ht="12" customHeight="1" x14ac:dyDescent="0.25">
      <c r="A2810" s="550" t="s">
        <v>2517</v>
      </c>
      <c r="B2810" s="550">
        <v>7</v>
      </c>
      <c r="C2810" s="550">
        <v>53</v>
      </c>
      <c r="D2810" s="417" t="s">
        <v>1776</v>
      </c>
      <c r="E2810" s="316" t="s">
        <v>2574</v>
      </c>
      <c r="F2810" s="195">
        <v>35292</v>
      </c>
      <c r="G2810" s="188"/>
      <c r="H2810" s="188">
        <v>4</v>
      </c>
      <c r="I2810" s="188">
        <v>281</v>
      </c>
      <c r="J2810" s="902" t="s">
        <v>6868</v>
      </c>
      <c r="K2810" s="162" t="s">
        <v>7800</v>
      </c>
      <c r="L2810" s="162" t="str">
        <f>IF(J2810="Book","n/a","")</f>
        <v>n/a</v>
      </c>
      <c r="M2810" s="162"/>
      <c r="N2810" s="162"/>
      <c r="O2810" s="162"/>
      <c r="P2810" s="178" t="s">
        <v>8815</v>
      </c>
      <c r="Q2810" s="162" t="s">
        <v>601</v>
      </c>
      <c r="R2810" s="189" t="s">
        <v>2716</v>
      </c>
      <c r="S2810" s="366"/>
      <c r="T2810" s="178" t="s">
        <v>2611</v>
      </c>
      <c r="U2810" s="178" t="s">
        <v>7316</v>
      </c>
      <c r="V2810" s="178" t="s">
        <v>7317</v>
      </c>
      <c r="W2810" s="316" t="s">
        <v>11486</v>
      </c>
      <c r="X2810" s="648" t="s">
        <v>12474</v>
      </c>
      <c r="Y2810" s="356"/>
      <c r="Z2810" s="272">
        <v>114</v>
      </c>
      <c r="AA2810" s="272">
        <v>5</v>
      </c>
      <c r="AB2810" s="34">
        <f t="shared" ca="1" si="61"/>
        <v>0.59194374384396331</v>
      </c>
      <c r="AC2810" s="814"/>
      <c r="AD2810" s="815" t="s">
        <v>16260</v>
      </c>
      <c r="AE2810" s="942" t="s">
        <v>16075</v>
      </c>
      <c r="AF2810" s="923">
        <f>IF(X2810=X2809,AF2809,0)+IF(ISNUMBER(I2810),IF(I2810&lt;1,I2810,I2810*VLOOKUP(J2810,Summary!$H$2:$I$9,2)),VLOOKUP(J2810,Summary!$J$2:$K$9,2)*IF(ISNUMBER(H2810),H2810,1))</f>
        <v>0.73055555555555562</v>
      </c>
      <c r="AG2810" s="291">
        <v>2809</v>
      </c>
      <c r="AH2810" s="94"/>
      <c r="AI2810" s="94"/>
    </row>
    <row r="2811" spans="1:35" s="2" customFormat="1" ht="12" customHeight="1" x14ac:dyDescent="0.25">
      <c r="A2811" s="550" t="s">
        <v>2517</v>
      </c>
      <c r="B2811" s="550">
        <v>7</v>
      </c>
      <c r="C2811" s="550">
        <v>54</v>
      </c>
      <c r="D2811" s="417" t="s">
        <v>2575</v>
      </c>
      <c r="E2811" s="316" t="s">
        <v>2419</v>
      </c>
      <c r="F2811" s="195">
        <v>35327</v>
      </c>
      <c r="G2811" s="188"/>
      <c r="H2811" s="188" t="str">
        <f>IF(J2811="Book","n/a","")</f>
        <v>n/a</v>
      </c>
      <c r="I2811" s="188">
        <v>276</v>
      </c>
      <c r="J2811" s="902" t="s">
        <v>6868</v>
      </c>
      <c r="K2811" s="162" t="s">
        <v>4738</v>
      </c>
      <c r="L2811" s="162" t="str">
        <f>IF(J2811="Book","n/a","")</f>
        <v>n/a</v>
      </c>
      <c r="M2811" s="162"/>
      <c r="N2811" s="162"/>
      <c r="O2811" s="162"/>
      <c r="P2811" s="178" t="s">
        <v>8816</v>
      </c>
      <c r="Q2811" s="162" t="s">
        <v>601</v>
      </c>
      <c r="R2811" s="189" t="s">
        <v>2716</v>
      </c>
      <c r="S2811" s="366"/>
      <c r="T2811" s="178"/>
      <c r="U2811" s="178" t="s">
        <v>7316</v>
      </c>
      <c r="V2811" s="178" t="s">
        <v>7317</v>
      </c>
      <c r="W2811" s="316" t="s">
        <v>2419</v>
      </c>
      <c r="X2811" s="648" t="s">
        <v>12474</v>
      </c>
      <c r="Y2811" s="356"/>
      <c r="Z2811" s="272">
        <v>226</v>
      </c>
      <c r="AA2811" s="272">
        <v>2</v>
      </c>
      <c r="AB2811" s="34">
        <f t="shared" ca="1" si="61"/>
        <v>0.96396682122508792</v>
      </c>
      <c r="AC2811" s="814"/>
      <c r="AD2811" s="815" t="s">
        <v>16649</v>
      </c>
      <c r="AE2811" s="942"/>
      <c r="AF2811" s="923">
        <f>IF(X2811=X2810,AF2810,0)+IF(ISNUMBER(I2811),IF(I2811&lt;1,I2811,I2811*VLOOKUP(J2811,Summary!$H$2:$I$9,2)),VLOOKUP(J2811,Summary!$J$2:$K$9,2)*IF(ISNUMBER(H2811),H2811,1))</f>
        <v>0.92222222222222228</v>
      </c>
      <c r="AG2811" s="291">
        <v>2810</v>
      </c>
      <c r="AH2811" s="94"/>
      <c r="AI2811" s="94"/>
    </row>
    <row r="2812" spans="1:35" s="22" customFormat="1" ht="12" customHeight="1" x14ac:dyDescent="0.2">
      <c r="A2812" s="541" t="s">
        <v>2517</v>
      </c>
      <c r="B2812" s="541">
        <v>7</v>
      </c>
      <c r="C2812" s="541">
        <v>6</v>
      </c>
      <c r="D2812" s="407" t="s">
        <v>11463</v>
      </c>
      <c r="E2812" s="315" t="s">
        <v>2421</v>
      </c>
      <c r="F2812" s="196">
        <v>42107</v>
      </c>
      <c r="G2812" s="170"/>
      <c r="H2812" s="170">
        <v>2</v>
      </c>
      <c r="I2812" s="746">
        <f>TIME(1,55,1)</f>
        <v>7.9872685185185185E-2</v>
      </c>
      <c r="J2812" s="899" t="s">
        <v>4706</v>
      </c>
      <c r="K2812" s="167" t="s">
        <v>9698</v>
      </c>
      <c r="L2812" s="167" t="s">
        <v>2313</v>
      </c>
      <c r="M2812" s="167"/>
      <c r="N2812" s="167"/>
      <c r="O2812" s="167"/>
      <c r="P2812" s="168" t="s">
        <v>9699</v>
      </c>
      <c r="Q2812" s="167" t="s">
        <v>3947</v>
      </c>
      <c r="R2812" s="172" t="s">
        <v>9690</v>
      </c>
      <c r="S2812" s="388"/>
      <c r="T2812" s="168"/>
      <c r="U2812" s="168" t="s">
        <v>7316</v>
      </c>
      <c r="V2812" s="168" t="s">
        <v>7317</v>
      </c>
      <c r="W2812" s="312"/>
      <c r="X2812" s="644" t="s">
        <v>12474</v>
      </c>
      <c r="Y2812" s="352" t="s">
        <v>5643</v>
      </c>
      <c r="Z2812" s="353">
        <v>318</v>
      </c>
      <c r="AA2812" s="353">
        <v>5.5</v>
      </c>
      <c r="AB2812" s="31">
        <f t="shared" ca="1" si="61"/>
        <v>0.13991286876435882</v>
      </c>
      <c r="AC2812" s="810"/>
      <c r="AD2812" s="811" t="s">
        <v>16026</v>
      </c>
      <c r="AE2812" s="940"/>
      <c r="AF2812" s="920">
        <f>IF(X2812=X2811,AF2811,0)+IF(ISNUMBER(I2812),IF(I2812&lt;1,I2812,I2812*VLOOKUP(J2812,Summary!$H$2:$I$9,2)),VLOOKUP(J2812,Summary!$J$2:$K$9,2)*IF(ISNUMBER(H2812),H2812,1))</f>
        <v>1.0020949074074075</v>
      </c>
      <c r="AG2812" s="287">
        <v>2811</v>
      </c>
      <c r="AH2812" s="94"/>
      <c r="AI2812" s="94"/>
    </row>
    <row r="2813" spans="1:35" s="22" customFormat="1" ht="12" customHeight="1" x14ac:dyDescent="0.25">
      <c r="A2813" s="550" t="s">
        <v>2517</v>
      </c>
      <c r="B2813" s="550">
        <v>7</v>
      </c>
      <c r="C2813" s="550">
        <v>55</v>
      </c>
      <c r="D2813" s="417" t="s">
        <v>2420</v>
      </c>
      <c r="E2813" s="316" t="s">
        <v>2421</v>
      </c>
      <c r="F2813" s="195">
        <v>35362</v>
      </c>
      <c r="G2813" s="188"/>
      <c r="H2813" s="188" t="str">
        <f>IF(J2813="Book","n/a","")</f>
        <v>n/a</v>
      </c>
      <c r="I2813" s="188">
        <v>263</v>
      </c>
      <c r="J2813" s="902" t="s">
        <v>6868</v>
      </c>
      <c r="K2813" s="162" t="s">
        <v>3373</v>
      </c>
      <c r="L2813" s="162" t="str">
        <f>IF(J2813="Book","n/a","")</f>
        <v>n/a</v>
      </c>
      <c r="M2813" s="162"/>
      <c r="N2813" s="162"/>
      <c r="O2813" s="162"/>
      <c r="P2813" s="178" t="s">
        <v>8817</v>
      </c>
      <c r="Q2813" s="162" t="s">
        <v>601</v>
      </c>
      <c r="R2813" s="189" t="s">
        <v>2716</v>
      </c>
      <c r="S2813" s="366"/>
      <c r="T2813" s="178"/>
      <c r="U2813" s="178" t="s">
        <v>7316</v>
      </c>
      <c r="V2813" s="178" t="s">
        <v>7317</v>
      </c>
      <c r="W2813" s="316" t="s">
        <v>2421</v>
      </c>
      <c r="X2813" s="648" t="s">
        <v>12474</v>
      </c>
      <c r="Y2813" s="356"/>
      <c r="Z2813" s="272">
        <v>159</v>
      </c>
      <c r="AA2813" s="272">
        <v>4</v>
      </c>
      <c r="AB2813" s="34">
        <f t="shared" ca="1" si="61"/>
        <v>0.41285709471327536</v>
      </c>
      <c r="AC2813" s="814"/>
      <c r="AD2813" s="815" t="s">
        <v>16026</v>
      </c>
      <c r="AE2813" s="942"/>
      <c r="AF2813" s="923">
        <f>IF(X2813=X2812,AF2812,0)+IF(ISNUMBER(I2813),IF(I2813&lt;1,I2813,I2813*VLOOKUP(J2813,Summary!$H$2:$I$9,2)),VLOOKUP(J2813,Summary!$J$2:$K$9,2)*IF(ISNUMBER(H2813),H2813,1))</f>
        <v>1.1847337962962965</v>
      </c>
      <c r="AG2813" s="291">
        <v>2812</v>
      </c>
      <c r="AH2813" s="94"/>
      <c r="AI2813" s="94"/>
    </row>
    <row r="2814" spans="1:35" s="2" customFormat="1" ht="12" customHeight="1" x14ac:dyDescent="0.25">
      <c r="A2814" s="550" t="s">
        <v>2517</v>
      </c>
      <c r="B2814" s="550">
        <v>7</v>
      </c>
      <c r="C2814" s="550">
        <v>56</v>
      </c>
      <c r="D2814" s="417" t="s">
        <v>2422</v>
      </c>
      <c r="E2814" s="316" t="s">
        <v>4605</v>
      </c>
      <c r="F2814" s="187">
        <v>35555</v>
      </c>
      <c r="G2814" s="188"/>
      <c r="H2814" s="188">
        <v>3</v>
      </c>
      <c r="I2814" s="188">
        <v>318</v>
      </c>
      <c r="J2814" s="902" t="s">
        <v>6868</v>
      </c>
      <c r="K2814" s="162" t="s">
        <v>4739</v>
      </c>
      <c r="L2814" s="162" t="str">
        <f>IF(J2814="Book","n/a","")</f>
        <v>n/a</v>
      </c>
      <c r="M2814" s="162"/>
      <c r="N2814" s="162"/>
      <c r="O2814" s="162"/>
      <c r="P2814" s="178" t="s">
        <v>8818</v>
      </c>
      <c r="Q2814" s="162" t="s">
        <v>601</v>
      </c>
      <c r="R2814" s="189" t="s">
        <v>2716</v>
      </c>
      <c r="S2814" s="366"/>
      <c r="T2814" s="178"/>
      <c r="U2814" s="178" t="s">
        <v>7316</v>
      </c>
      <c r="V2814" s="178" t="s">
        <v>7317</v>
      </c>
      <c r="W2814" s="316" t="s">
        <v>11487</v>
      </c>
      <c r="X2814" s="648" t="s">
        <v>12474</v>
      </c>
      <c r="Y2814" s="356"/>
      <c r="Z2814" s="272">
        <v>169</v>
      </c>
      <c r="AA2814" s="272">
        <v>4</v>
      </c>
      <c r="AB2814" s="34">
        <f t="shared" ca="1" si="61"/>
        <v>1.3554394496068212E-2</v>
      </c>
      <c r="AC2814" s="814"/>
      <c r="AD2814" s="815" t="s">
        <v>16333</v>
      </c>
      <c r="AE2814" s="942"/>
      <c r="AF2814" s="923">
        <f>IF(X2814=X2813,AF2813,0)+IF(ISNUMBER(I2814),IF(I2814&lt;1,I2814,I2814*VLOOKUP(J2814,Summary!$H$2:$I$9,2)),VLOOKUP(J2814,Summary!$J$2:$K$9,2)*IF(ISNUMBER(H2814),H2814,1))</f>
        <v>1.4055671296296299</v>
      </c>
      <c r="AG2814" s="291">
        <v>2813</v>
      </c>
      <c r="AH2814" s="94"/>
      <c r="AI2814" s="94"/>
    </row>
    <row r="2815" spans="1:35" s="3" customFormat="1" ht="12" customHeight="1" x14ac:dyDescent="0.25">
      <c r="A2815" s="578" t="s">
        <v>15950</v>
      </c>
      <c r="B2815" s="579" t="s">
        <v>2650</v>
      </c>
      <c r="C2815" s="710">
        <v>4.01</v>
      </c>
      <c r="D2815" s="434" t="s">
        <v>15196</v>
      </c>
      <c r="E2815" s="324" t="s">
        <v>4043</v>
      </c>
      <c r="F2815" s="174">
        <v>35551</v>
      </c>
      <c r="G2815" s="176"/>
      <c r="H2815" s="176" t="s">
        <v>461</v>
      </c>
      <c r="I2815" s="176"/>
      <c r="J2815" s="900" t="s">
        <v>2755</v>
      </c>
      <c r="K2815" s="157" t="s">
        <v>15215</v>
      </c>
      <c r="L2815" s="157" t="s">
        <v>461</v>
      </c>
      <c r="M2815" s="157"/>
      <c r="N2815" s="157" t="s">
        <v>333</v>
      </c>
      <c r="O2815" s="157"/>
      <c r="P2815" s="173" t="s">
        <v>15195</v>
      </c>
      <c r="Q2815" s="157" t="s">
        <v>601</v>
      </c>
      <c r="R2815" s="179" t="s">
        <v>4598</v>
      </c>
      <c r="S2815" s="354"/>
      <c r="T2815" s="173"/>
      <c r="U2815" s="173"/>
      <c r="V2815" s="173"/>
      <c r="W2815" s="324" t="s">
        <v>4043</v>
      </c>
      <c r="X2815" s="645" t="s">
        <v>15949</v>
      </c>
      <c r="Y2815" s="363"/>
      <c r="Z2815" s="364"/>
      <c r="AA2815" s="364"/>
      <c r="AB2815" s="32">
        <f t="shared" ca="1" si="61"/>
        <v>0.95137795245732926</v>
      </c>
      <c r="AC2815" s="812"/>
      <c r="AD2815" s="763"/>
      <c r="AE2815" s="951"/>
      <c r="AF2815" s="921">
        <f>IF(X2815=X2814,AF2814,0)+IF(ISNUMBER(I2815),IF(I2815&lt;1,I2815,I2815*VLOOKUP(J2815,Summary!$H$2:$I$9,2)),VLOOKUP(J2815,Summary!$J$2:$K$9,2)*IF(ISNUMBER(H2815),H2815,1))</f>
        <v>1.7361111111111112E-2</v>
      </c>
      <c r="AG2815" s="288">
        <v>2814</v>
      </c>
      <c r="AH2815" s="94"/>
      <c r="AI2815" s="94"/>
    </row>
    <row r="2816" spans="1:35" s="3" customFormat="1" ht="12" customHeight="1" x14ac:dyDescent="0.25">
      <c r="A2816" s="578" t="s">
        <v>15950</v>
      </c>
      <c r="B2816" s="579" t="s">
        <v>2650</v>
      </c>
      <c r="C2816" s="710">
        <v>4.0199999999999996</v>
      </c>
      <c r="D2816" s="434" t="s">
        <v>15197</v>
      </c>
      <c r="E2816" s="324" t="s">
        <v>15206</v>
      </c>
      <c r="F2816" s="174">
        <v>35551</v>
      </c>
      <c r="G2816" s="176"/>
      <c r="H2816" s="176" t="s">
        <v>461</v>
      </c>
      <c r="I2816" s="176"/>
      <c r="J2816" s="900" t="s">
        <v>2755</v>
      </c>
      <c r="K2816" s="157" t="s">
        <v>7800</v>
      </c>
      <c r="L2816" s="157" t="s">
        <v>461</v>
      </c>
      <c r="M2816" s="157"/>
      <c r="N2816" s="157" t="s">
        <v>333</v>
      </c>
      <c r="O2816" s="157"/>
      <c r="P2816" s="173" t="s">
        <v>15195</v>
      </c>
      <c r="Q2816" s="157" t="s">
        <v>601</v>
      </c>
      <c r="R2816" s="179" t="s">
        <v>4598</v>
      </c>
      <c r="S2816" s="354"/>
      <c r="T2816" s="173"/>
      <c r="U2816" s="173"/>
      <c r="V2816" s="173"/>
      <c r="W2816" s="324" t="s">
        <v>15206</v>
      </c>
      <c r="X2816" s="645" t="s">
        <v>15949</v>
      </c>
      <c r="Y2816" s="363"/>
      <c r="Z2816" s="364"/>
      <c r="AA2816" s="364"/>
      <c r="AB2816" s="32">
        <f t="shared" ca="1" si="61"/>
        <v>0.65676781984623855</v>
      </c>
      <c r="AC2816" s="812"/>
      <c r="AD2816" s="763"/>
      <c r="AE2816" s="951"/>
      <c r="AF2816" s="921">
        <f>IF(X2816=X2815,AF2815,0)+IF(ISNUMBER(I2816),IF(I2816&lt;1,I2816,I2816*VLOOKUP(J2816,Summary!$H$2:$I$9,2)),VLOOKUP(J2816,Summary!$J$2:$K$9,2)*IF(ISNUMBER(H2816),H2816,1))</f>
        <v>3.4722222222222224E-2</v>
      </c>
      <c r="AG2816" s="288">
        <v>2815</v>
      </c>
      <c r="AH2816" s="94"/>
      <c r="AI2816" s="94"/>
    </row>
    <row r="2817" spans="1:35" s="3" customFormat="1" ht="12" customHeight="1" x14ac:dyDescent="0.25">
      <c r="A2817" s="578" t="s">
        <v>15950</v>
      </c>
      <c r="B2817" s="579" t="s">
        <v>2650</v>
      </c>
      <c r="C2817" s="710">
        <v>4.0299999999999994</v>
      </c>
      <c r="D2817" s="434" t="s">
        <v>15198</v>
      </c>
      <c r="E2817" s="324" t="s">
        <v>15207</v>
      </c>
      <c r="F2817" s="174">
        <v>35551</v>
      </c>
      <c r="G2817" s="176"/>
      <c r="H2817" s="176" t="s">
        <v>461</v>
      </c>
      <c r="I2817" s="176"/>
      <c r="J2817" s="900" t="s">
        <v>2755</v>
      </c>
      <c r="K2817" s="157" t="s">
        <v>15216</v>
      </c>
      <c r="L2817" s="157" t="s">
        <v>461</v>
      </c>
      <c r="M2817" s="157"/>
      <c r="N2817" s="157" t="s">
        <v>333</v>
      </c>
      <c r="O2817" s="157"/>
      <c r="P2817" s="173" t="s">
        <v>15195</v>
      </c>
      <c r="Q2817" s="157" t="s">
        <v>601</v>
      </c>
      <c r="R2817" s="179" t="s">
        <v>4598</v>
      </c>
      <c r="S2817" s="354"/>
      <c r="T2817" s="173"/>
      <c r="U2817" s="173"/>
      <c r="V2817" s="173"/>
      <c r="W2817" s="324" t="s">
        <v>15207</v>
      </c>
      <c r="X2817" s="645" t="s">
        <v>15949</v>
      </c>
      <c r="Y2817" s="363"/>
      <c r="Z2817" s="364"/>
      <c r="AA2817" s="364"/>
      <c r="AB2817" s="32">
        <f t="shared" ca="1" si="61"/>
        <v>5.8495219564178913E-2</v>
      </c>
      <c r="AC2817" s="812"/>
      <c r="AD2817" s="763"/>
      <c r="AE2817" s="951"/>
      <c r="AF2817" s="921">
        <f>IF(X2817=X2816,AF2816,0)+IF(ISNUMBER(I2817),IF(I2817&lt;1,I2817,I2817*VLOOKUP(J2817,Summary!$H$2:$I$9,2)),VLOOKUP(J2817,Summary!$J$2:$K$9,2)*IF(ISNUMBER(H2817),H2817,1))</f>
        <v>5.2083333333333336E-2</v>
      </c>
      <c r="AG2817" s="288">
        <v>2816</v>
      </c>
      <c r="AH2817" s="94"/>
      <c r="AI2817" s="94"/>
    </row>
    <row r="2818" spans="1:35" s="3" customFormat="1" ht="12" customHeight="1" x14ac:dyDescent="0.25">
      <c r="A2818" s="578" t="s">
        <v>15950</v>
      </c>
      <c r="B2818" s="579" t="s">
        <v>2650</v>
      </c>
      <c r="C2818" s="710">
        <v>4.0399999999999991</v>
      </c>
      <c r="D2818" s="434" t="s">
        <v>15199</v>
      </c>
      <c r="E2818" s="324" t="s">
        <v>5567</v>
      </c>
      <c r="F2818" s="174">
        <v>35551</v>
      </c>
      <c r="G2818" s="176"/>
      <c r="H2818" s="176" t="s">
        <v>461</v>
      </c>
      <c r="I2818" s="176"/>
      <c r="J2818" s="900" t="s">
        <v>2755</v>
      </c>
      <c r="K2818" s="157" t="s">
        <v>5887</v>
      </c>
      <c r="L2818" s="157" t="s">
        <v>461</v>
      </c>
      <c r="M2818" s="157"/>
      <c r="N2818" s="157" t="s">
        <v>333</v>
      </c>
      <c r="O2818" s="157"/>
      <c r="P2818" s="173" t="s">
        <v>15195</v>
      </c>
      <c r="Q2818" s="157" t="s">
        <v>601</v>
      </c>
      <c r="R2818" s="179" t="s">
        <v>4598</v>
      </c>
      <c r="S2818" s="354"/>
      <c r="T2818" s="173"/>
      <c r="U2818" s="173"/>
      <c r="V2818" s="173"/>
      <c r="W2818" s="324" t="s">
        <v>5567</v>
      </c>
      <c r="X2818" s="645" t="s">
        <v>15949</v>
      </c>
      <c r="Y2818" s="363"/>
      <c r="Z2818" s="364"/>
      <c r="AA2818" s="364"/>
      <c r="AB2818" s="32">
        <f t="shared" ref="AB2818:AB2881" ca="1" si="64">RAND()</f>
        <v>0.38715657412087845</v>
      </c>
      <c r="AC2818" s="812"/>
      <c r="AD2818" s="763"/>
      <c r="AE2818" s="951"/>
      <c r="AF2818" s="921">
        <f>IF(X2818=X2817,AF2817,0)+IF(ISNUMBER(I2818),IF(I2818&lt;1,I2818,I2818*VLOOKUP(J2818,Summary!$H$2:$I$9,2)),VLOOKUP(J2818,Summary!$J$2:$K$9,2)*IF(ISNUMBER(H2818),H2818,1))</f>
        <v>6.9444444444444448E-2</v>
      </c>
      <c r="AG2818" s="288">
        <v>2817</v>
      </c>
      <c r="AH2818" s="94"/>
      <c r="AI2818" s="94"/>
    </row>
    <row r="2819" spans="1:35" s="3" customFormat="1" ht="12" customHeight="1" x14ac:dyDescent="0.25">
      <c r="A2819" s="578" t="s">
        <v>15950</v>
      </c>
      <c r="B2819" s="579" t="s">
        <v>2650</v>
      </c>
      <c r="C2819" s="710">
        <v>4.0499999999999989</v>
      </c>
      <c r="D2819" s="434" t="s">
        <v>15200</v>
      </c>
      <c r="E2819" s="324" t="s">
        <v>15208</v>
      </c>
      <c r="F2819" s="174">
        <v>35551</v>
      </c>
      <c r="G2819" s="176"/>
      <c r="H2819" s="176" t="s">
        <v>461</v>
      </c>
      <c r="I2819" s="176"/>
      <c r="J2819" s="900" t="s">
        <v>2755</v>
      </c>
      <c r="K2819" s="157" t="s">
        <v>15217</v>
      </c>
      <c r="L2819" s="157" t="s">
        <v>461</v>
      </c>
      <c r="M2819" s="157"/>
      <c r="N2819" s="157" t="s">
        <v>333</v>
      </c>
      <c r="O2819" s="157"/>
      <c r="P2819" s="173" t="s">
        <v>15195</v>
      </c>
      <c r="Q2819" s="157" t="s">
        <v>601</v>
      </c>
      <c r="R2819" s="179" t="s">
        <v>4598</v>
      </c>
      <c r="S2819" s="354"/>
      <c r="T2819" s="173"/>
      <c r="U2819" s="173"/>
      <c r="V2819" s="173"/>
      <c r="W2819" s="324" t="s">
        <v>15208</v>
      </c>
      <c r="X2819" s="645" t="s">
        <v>15949</v>
      </c>
      <c r="Y2819" s="363"/>
      <c r="Z2819" s="364"/>
      <c r="AA2819" s="364"/>
      <c r="AB2819" s="32">
        <f t="shared" ca="1" si="64"/>
        <v>0.39644086207867513</v>
      </c>
      <c r="AC2819" s="812"/>
      <c r="AD2819" s="763"/>
      <c r="AE2819" s="951"/>
      <c r="AF2819" s="921">
        <f>IF(X2819=X2818,AF2818,0)+IF(ISNUMBER(I2819),IF(I2819&lt;1,I2819,I2819*VLOOKUP(J2819,Summary!$H$2:$I$9,2)),VLOOKUP(J2819,Summary!$J$2:$K$9,2)*IF(ISNUMBER(H2819),H2819,1))</f>
        <v>8.6805555555555552E-2</v>
      </c>
      <c r="AG2819" s="288">
        <v>2818</v>
      </c>
      <c r="AH2819" s="94"/>
      <c r="AI2819" s="94"/>
    </row>
    <row r="2820" spans="1:35" s="3" customFormat="1" ht="12" customHeight="1" x14ac:dyDescent="0.25">
      <c r="A2820" s="578" t="s">
        <v>15950</v>
      </c>
      <c r="B2820" s="579" t="s">
        <v>2650</v>
      </c>
      <c r="C2820" s="710">
        <v>4.0599999999999987</v>
      </c>
      <c r="D2820" s="434" t="s">
        <v>15201</v>
      </c>
      <c r="E2820" s="324" t="s">
        <v>15209</v>
      </c>
      <c r="F2820" s="174">
        <v>35551</v>
      </c>
      <c r="G2820" s="176"/>
      <c r="H2820" s="176" t="s">
        <v>461</v>
      </c>
      <c r="I2820" s="176"/>
      <c r="J2820" s="900" t="s">
        <v>2755</v>
      </c>
      <c r="K2820" s="157" t="s">
        <v>4551</v>
      </c>
      <c r="L2820" s="157" t="s">
        <v>461</v>
      </c>
      <c r="M2820" s="157"/>
      <c r="N2820" s="157" t="s">
        <v>333</v>
      </c>
      <c r="O2820" s="157"/>
      <c r="P2820" s="173" t="s">
        <v>15195</v>
      </c>
      <c r="Q2820" s="157" t="s">
        <v>601</v>
      </c>
      <c r="R2820" s="179" t="s">
        <v>4598</v>
      </c>
      <c r="S2820" s="354"/>
      <c r="T2820" s="173"/>
      <c r="U2820" s="173"/>
      <c r="V2820" s="173"/>
      <c r="W2820" s="324" t="s">
        <v>15209</v>
      </c>
      <c r="X2820" s="645" t="s">
        <v>15949</v>
      </c>
      <c r="Y2820" s="363"/>
      <c r="Z2820" s="364"/>
      <c r="AA2820" s="364"/>
      <c r="AB2820" s="32">
        <f t="shared" ca="1" si="64"/>
        <v>0.7000089680973598</v>
      </c>
      <c r="AC2820" s="812"/>
      <c r="AD2820" s="763"/>
      <c r="AE2820" s="951"/>
      <c r="AF2820" s="921">
        <f>IF(X2820=X2819,AF2819,0)+IF(ISNUMBER(I2820),IF(I2820&lt;1,I2820,I2820*VLOOKUP(J2820,Summary!$H$2:$I$9,2)),VLOOKUP(J2820,Summary!$J$2:$K$9,2)*IF(ISNUMBER(H2820),H2820,1))</f>
        <v>0.10416666666666666</v>
      </c>
      <c r="AG2820" s="288">
        <v>2819</v>
      </c>
      <c r="AH2820" s="94"/>
      <c r="AI2820" s="94"/>
    </row>
    <row r="2821" spans="1:35" s="3" customFormat="1" ht="12" customHeight="1" x14ac:dyDescent="0.25">
      <c r="A2821" s="578" t="s">
        <v>15950</v>
      </c>
      <c r="B2821" s="579" t="s">
        <v>2650</v>
      </c>
      <c r="C2821" s="710">
        <v>4.0699999999999985</v>
      </c>
      <c r="D2821" s="434" t="s">
        <v>15202</v>
      </c>
      <c r="E2821" s="324" t="s">
        <v>15210</v>
      </c>
      <c r="F2821" s="174">
        <v>35551</v>
      </c>
      <c r="G2821" s="176"/>
      <c r="H2821" s="176" t="s">
        <v>461</v>
      </c>
      <c r="I2821" s="176"/>
      <c r="J2821" s="900" t="s">
        <v>2755</v>
      </c>
      <c r="K2821" s="157" t="s">
        <v>185</v>
      </c>
      <c r="L2821" s="157" t="s">
        <v>461</v>
      </c>
      <c r="M2821" s="157"/>
      <c r="N2821" s="157" t="s">
        <v>333</v>
      </c>
      <c r="O2821" s="157"/>
      <c r="P2821" s="173" t="s">
        <v>15195</v>
      </c>
      <c r="Q2821" s="157" t="s">
        <v>601</v>
      </c>
      <c r="R2821" s="179" t="s">
        <v>4598</v>
      </c>
      <c r="S2821" s="354"/>
      <c r="T2821" s="173"/>
      <c r="U2821" s="173"/>
      <c r="V2821" s="173"/>
      <c r="W2821" s="324" t="s">
        <v>15210</v>
      </c>
      <c r="X2821" s="645" t="s">
        <v>15949</v>
      </c>
      <c r="Y2821" s="363"/>
      <c r="Z2821" s="364"/>
      <c r="AA2821" s="364"/>
      <c r="AB2821" s="32">
        <f t="shared" ca="1" si="64"/>
        <v>0.93395892403636183</v>
      </c>
      <c r="AC2821" s="812"/>
      <c r="AD2821" s="763"/>
      <c r="AE2821" s="951"/>
      <c r="AF2821" s="921">
        <f>IF(X2821=X2820,AF2820,0)+IF(ISNUMBER(I2821),IF(I2821&lt;1,I2821,I2821*VLOOKUP(J2821,Summary!$H$2:$I$9,2)),VLOOKUP(J2821,Summary!$J$2:$K$9,2)*IF(ISNUMBER(H2821),H2821,1))</f>
        <v>0.12152777777777776</v>
      </c>
      <c r="AG2821" s="288">
        <v>2820</v>
      </c>
      <c r="AH2821" s="94"/>
      <c r="AI2821" s="94"/>
    </row>
    <row r="2822" spans="1:35" s="3" customFormat="1" ht="12" customHeight="1" x14ac:dyDescent="0.25">
      <c r="A2822" s="578" t="s">
        <v>15950</v>
      </c>
      <c r="B2822" s="579" t="s">
        <v>2650</v>
      </c>
      <c r="C2822" s="710">
        <v>4.0799999999999983</v>
      </c>
      <c r="D2822" s="434" t="s">
        <v>15203</v>
      </c>
      <c r="E2822" s="324" t="s">
        <v>15211</v>
      </c>
      <c r="F2822" s="174">
        <v>35551</v>
      </c>
      <c r="G2822" s="176"/>
      <c r="H2822" s="176" t="s">
        <v>461</v>
      </c>
      <c r="I2822" s="176"/>
      <c r="J2822" s="900" t="s">
        <v>2755</v>
      </c>
      <c r="K2822" s="157" t="s">
        <v>2311</v>
      </c>
      <c r="L2822" s="157" t="s">
        <v>461</v>
      </c>
      <c r="M2822" s="157"/>
      <c r="N2822" s="157" t="s">
        <v>333</v>
      </c>
      <c r="O2822" s="157"/>
      <c r="P2822" s="173" t="s">
        <v>15195</v>
      </c>
      <c r="Q2822" s="157" t="s">
        <v>601</v>
      </c>
      <c r="R2822" s="179" t="s">
        <v>4598</v>
      </c>
      <c r="S2822" s="354"/>
      <c r="T2822" s="173"/>
      <c r="U2822" s="173"/>
      <c r="V2822" s="173"/>
      <c r="W2822" s="324" t="s">
        <v>15211</v>
      </c>
      <c r="X2822" s="645" t="s">
        <v>15949</v>
      </c>
      <c r="Y2822" s="363"/>
      <c r="Z2822" s="364"/>
      <c r="AA2822" s="364"/>
      <c r="AB2822" s="32">
        <f t="shared" ca="1" si="64"/>
        <v>0.46904960516270189</v>
      </c>
      <c r="AC2822" s="812"/>
      <c r="AD2822" s="763"/>
      <c r="AE2822" s="951"/>
      <c r="AF2822" s="921">
        <f>IF(X2822=X2821,AF2821,0)+IF(ISNUMBER(I2822),IF(I2822&lt;1,I2822,I2822*VLOOKUP(J2822,Summary!$H$2:$I$9,2)),VLOOKUP(J2822,Summary!$J$2:$K$9,2)*IF(ISNUMBER(H2822),H2822,1))</f>
        <v>0.13888888888888887</v>
      </c>
      <c r="AG2822" s="288">
        <v>2821</v>
      </c>
      <c r="AH2822" s="94"/>
      <c r="AI2822" s="94"/>
    </row>
    <row r="2823" spans="1:35" s="3" customFormat="1" ht="12" customHeight="1" x14ac:dyDescent="0.25">
      <c r="A2823" s="578" t="s">
        <v>15950</v>
      </c>
      <c r="B2823" s="579" t="s">
        <v>2650</v>
      </c>
      <c r="C2823" s="710">
        <v>4.0899999999999981</v>
      </c>
      <c r="D2823" s="434" t="s">
        <v>15204</v>
      </c>
      <c r="E2823" s="324" t="s">
        <v>15212</v>
      </c>
      <c r="F2823" s="174">
        <v>35551</v>
      </c>
      <c r="G2823" s="176"/>
      <c r="H2823" s="176" t="s">
        <v>461</v>
      </c>
      <c r="I2823" s="176"/>
      <c r="J2823" s="900" t="s">
        <v>2755</v>
      </c>
      <c r="K2823" s="157" t="s">
        <v>6232</v>
      </c>
      <c r="L2823" s="157" t="s">
        <v>461</v>
      </c>
      <c r="M2823" s="157"/>
      <c r="N2823" s="157" t="s">
        <v>333</v>
      </c>
      <c r="O2823" s="157"/>
      <c r="P2823" s="173" t="s">
        <v>15195</v>
      </c>
      <c r="Q2823" s="157" t="s">
        <v>601</v>
      </c>
      <c r="R2823" s="179" t="s">
        <v>4598</v>
      </c>
      <c r="S2823" s="354"/>
      <c r="T2823" s="173"/>
      <c r="U2823" s="173"/>
      <c r="V2823" s="173"/>
      <c r="W2823" s="324" t="s">
        <v>15212</v>
      </c>
      <c r="X2823" s="645" t="s">
        <v>15949</v>
      </c>
      <c r="Y2823" s="363"/>
      <c r="Z2823" s="364"/>
      <c r="AA2823" s="364"/>
      <c r="AB2823" s="32">
        <f t="shared" ca="1" si="64"/>
        <v>0.73484259475373559</v>
      </c>
      <c r="AC2823" s="812"/>
      <c r="AD2823" s="763"/>
      <c r="AE2823" s="951"/>
      <c r="AF2823" s="921">
        <f>IF(X2823=X2822,AF2822,0)+IF(ISNUMBER(I2823),IF(I2823&lt;1,I2823,I2823*VLOOKUP(J2823,Summary!$H$2:$I$9,2)),VLOOKUP(J2823,Summary!$J$2:$K$9,2)*IF(ISNUMBER(H2823),H2823,1))</f>
        <v>0.15624999999999997</v>
      </c>
      <c r="AG2823" s="288">
        <v>2822</v>
      </c>
      <c r="AH2823" s="94"/>
      <c r="AI2823" s="94"/>
    </row>
    <row r="2824" spans="1:35" s="3" customFormat="1" ht="12" customHeight="1" x14ac:dyDescent="0.25">
      <c r="A2824" s="578" t="s">
        <v>15950</v>
      </c>
      <c r="B2824" s="579" t="s">
        <v>2650</v>
      </c>
      <c r="C2824" s="710">
        <v>4.0999999999999979</v>
      </c>
      <c r="D2824" s="434" t="s">
        <v>15205</v>
      </c>
      <c r="E2824" s="324" t="s">
        <v>15213</v>
      </c>
      <c r="F2824" s="174">
        <v>35551</v>
      </c>
      <c r="G2824" s="176"/>
      <c r="H2824" s="176" t="s">
        <v>461</v>
      </c>
      <c r="I2824" s="176"/>
      <c r="J2824" s="900" t="s">
        <v>2755</v>
      </c>
      <c r="K2824" s="157" t="s">
        <v>15214</v>
      </c>
      <c r="L2824" s="157" t="s">
        <v>461</v>
      </c>
      <c r="M2824" s="157"/>
      <c r="N2824" s="157" t="s">
        <v>333</v>
      </c>
      <c r="O2824" s="157"/>
      <c r="P2824" s="173" t="s">
        <v>15195</v>
      </c>
      <c r="Q2824" s="157" t="s">
        <v>601</v>
      </c>
      <c r="R2824" s="179" t="s">
        <v>4598</v>
      </c>
      <c r="S2824" s="354"/>
      <c r="T2824" s="173"/>
      <c r="U2824" s="173"/>
      <c r="V2824" s="173"/>
      <c r="W2824" s="324" t="s">
        <v>15213</v>
      </c>
      <c r="X2824" s="645" t="s">
        <v>15949</v>
      </c>
      <c r="Y2824" s="363"/>
      <c r="Z2824" s="364"/>
      <c r="AA2824" s="364"/>
      <c r="AB2824" s="32">
        <f t="shared" ca="1" si="64"/>
        <v>0.99819205998737548</v>
      </c>
      <c r="AC2824" s="812"/>
      <c r="AD2824" s="763"/>
      <c r="AE2824" s="951"/>
      <c r="AF2824" s="921">
        <f>IF(X2824=X2823,AF2823,0)+IF(ISNUMBER(I2824),IF(I2824&lt;1,I2824,I2824*VLOOKUP(J2824,Summary!$H$2:$I$9,2)),VLOOKUP(J2824,Summary!$J$2:$K$9,2)*IF(ISNUMBER(H2824),H2824,1))</f>
        <v>0.17361111111111108</v>
      </c>
      <c r="AG2824" s="288">
        <v>2823</v>
      </c>
      <c r="AH2824" s="94"/>
      <c r="AI2824" s="94"/>
    </row>
    <row r="2825" spans="1:35" s="3" customFormat="1" ht="12" customHeight="1" x14ac:dyDescent="0.25">
      <c r="A2825" s="539" t="s">
        <v>15950</v>
      </c>
      <c r="B2825" s="539">
        <v>7</v>
      </c>
      <c r="C2825" s="539">
        <v>26</v>
      </c>
      <c r="D2825" s="176" t="s">
        <v>876</v>
      </c>
      <c r="E2825" s="313" t="s">
        <v>848</v>
      </c>
      <c r="F2825" s="174">
        <v>36100</v>
      </c>
      <c r="G2825" s="175"/>
      <c r="H2825" s="176" t="s">
        <v>461</v>
      </c>
      <c r="I2825" s="176"/>
      <c r="J2825" s="900" t="s">
        <v>2755</v>
      </c>
      <c r="K2825" s="164" t="s">
        <v>906</v>
      </c>
      <c r="L2825" s="164"/>
      <c r="M2825" s="164"/>
      <c r="N2825" s="164" t="s">
        <v>819</v>
      </c>
      <c r="O2825" s="164"/>
      <c r="P2825" s="178" t="s">
        <v>461</v>
      </c>
      <c r="Q2825" s="164" t="s">
        <v>820</v>
      </c>
      <c r="R2825" s="177" t="s">
        <v>895</v>
      </c>
      <c r="S2825" s="354"/>
      <c r="T2825" s="173"/>
      <c r="U2825" s="173" t="s">
        <v>7316</v>
      </c>
      <c r="V2825" s="173"/>
      <c r="W2825" s="313" t="s">
        <v>848</v>
      </c>
      <c r="X2825" s="645" t="s">
        <v>15949</v>
      </c>
      <c r="Y2825" s="354"/>
      <c r="Z2825" s="176"/>
      <c r="AA2825" s="176"/>
      <c r="AB2825" s="32">
        <f t="shared" ca="1" si="64"/>
        <v>0.19710521181205298</v>
      </c>
      <c r="AC2825" s="812"/>
      <c r="AD2825" s="763"/>
      <c r="AE2825" s="807"/>
      <c r="AF2825" s="921">
        <f>IF(X2825=X2824,AF2824,0)+IF(ISNUMBER(I2825),IF(I2825&lt;1,I2825,I2825*VLOOKUP(J2825,Summary!$H$2:$I$9,2)),VLOOKUP(J2825,Summary!$J$2:$K$9,2)*IF(ISNUMBER(H2825),H2825,1))</f>
        <v>0.19097222222222218</v>
      </c>
      <c r="AG2825" s="289">
        <v>2824</v>
      </c>
      <c r="AH2825" s="94"/>
      <c r="AI2825" s="94"/>
    </row>
    <row r="2826" spans="1:35" s="2" customFormat="1" ht="12" customHeight="1" x14ac:dyDescent="0.25">
      <c r="A2826" s="550" t="s">
        <v>15950</v>
      </c>
      <c r="B2826" s="550">
        <v>7</v>
      </c>
      <c r="C2826" s="550">
        <v>57</v>
      </c>
      <c r="D2826" s="417" t="s">
        <v>4606</v>
      </c>
      <c r="E2826" s="316" t="s">
        <v>4607</v>
      </c>
      <c r="F2826" s="195">
        <v>35404</v>
      </c>
      <c r="G2826" s="188"/>
      <c r="H2826" s="188" t="str">
        <f>IF(J2826="Book","n/a","")</f>
        <v>n/a</v>
      </c>
      <c r="I2826" s="188">
        <v>292</v>
      </c>
      <c r="J2826" s="902" t="s">
        <v>6868</v>
      </c>
      <c r="K2826" s="162" t="s">
        <v>4740</v>
      </c>
      <c r="L2826" s="162" t="str">
        <f>IF(J2826="Book","n/a","")</f>
        <v>n/a</v>
      </c>
      <c r="M2826" s="162"/>
      <c r="N2826" s="162"/>
      <c r="O2826" s="162"/>
      <c r="P2826" s="178" t="s">
        <v>8819</v>
      </c>
      <c r="Q2826" s="162" t="s">
        <v>601</v>
      </c>
      <c r="R2826" s="189" t="s">
        <v>2716</v>
      </c>
      <c r="S2826" s="366"/>
      <c r="T2826" s="178"/>
      <c r="U2826" s="178" t="s">
        <v>7316</v>
      </c>
      <c r="V2826" s="178"/>
      <c r="W2826" s="316" t="s">
        <v>4607</v>
      </c>
      <c r="X2826" s="648" t="s">
        <v>15949</v>
      </c>
      <c r="Y2826" s="356"/>
      <c r="Z2826" s="272">
        <v>50</v>
      </c>
      <c r="AA2826" s="272">
        <v>7</v>
      </c>
      <c r="AB2826" s="34">
        <f t="shared" ca="1" si="64"/>
        <v>0.44855680006453202</v>
      </c>
      <c r="AC2826" s="814"/>
      <c r="AD2826" s="815" t="s">
        <v>16772</v>
      </c>
      <c r="AE2826" s="942"/>
      <c r="AF2826" s="923">
        <f>IF(X2826=X2825,AF2825,0)+IF(ISNUMBER(I2826),IF(I2826&lt;1,I2826,I2826*VLOOKUP(J2826,Summary!$H$2:$I$9,2)),VLOOKUP(J2826,Summary!$J$2:$K$9,2)*IF(ISNUMBER(H2826),H2826,1))</f>
        <v>0.39374999999999993</v>
      </c>
      <c r="AG2826" s="291">
        <v>2825</v>
      </c>
      <c r="AH2826" s="94"/>
      <c r="AI2826" s="94"/>
    </row>
    <row r="2827" spans="1:35" s="2" customFormat="1" ht="12" customHeight="1" x14ac:dyDescent="0.25">
      <c r="A2827" s="539" t="s">
        <v>15950</v>
      </c>
      <c r="B2827" s="539">
        <v>7</v>
      </c>
      <c r="C2827" s="542">
        <v>10.08</v>
      </c>
      <c r="D2827" s="176" t="s">
        <v>2468</v>
      </c>
      <c r="E2827" s="313" t="s">
        <v>2119</v>
      </c>
      <c r="F2827" s="174">
        <v>38139</v>
      </c>
      <c r="G2827" s="174"/>
      <c r="H2827" s="176">
        <v>1</v>
      </c>
      <c r="I2827" s="176">
        <v>14</v>
      </c>
      <c r="J2827" s="900" t="s">
        <v>2755</v>
      </c>
      <c r="K2827" s="164" t="s">
        <v>7800</v>
      </c>
      <c r="L2827" s="164" t="s">
        <v>461</v>
      </c>
      <c r="M2827" s="164"/>
      <c r="N2827" s="164" t="s">
        <v>4996</v>
      </c>
      <c r="O2827" s="164"/>
      <c r="P2827" s="173" t="s">
        <v>5669</v>
      </c>
      <c r="Q2827" s="164" t="s">
        <v>3947</v>
      </c>
      <c r="R2827" s="177" t="s">
        <v>2723</v>
      </c>
      <c r="S2827" s="354"/>
      <c r="T2827" s="173"/>
      <c r="U2827" s="173" t="s">
        <v>7316</v>
      </c>
      <c r="V2827" s="173"/>
      <c r="W2827" s="313" t="s">
        <v>2119</v>
      </c>
      <c r="X2827" s="645" t="s">
        <v>15949</v>
      </c>
      <c r="Y2827" s="354"/>
      <c r="Z2827" s="176">
        <v>999</v>
      </c>
      <c r="AA2827" s="176"/>
      <c r="AB2827" s="32">
        <f t="shared" ca="1" si="64"/>
        <v>0.22153745539457037</v>
      </c>
      <c r="AC2827" s="812"/>
      <c r="AD2827" s="763"/>
      <c r="AE2827" s="807"/>
      <c r="AF2827" s="921">
        <f>IF(X2827=X2826,AF2826,0)+IF(ISNUMBER(I2827),IF(I2827&lt;1,I2827,I2827*VLOOKUP(J2827,Summary!$H$2:$I$9,2)),VLOOKUP(J2827,Summary!$J$2:$K$9,2)*IF(ISNUMBER(H2827),H2827,1))</f>
        <v>0.40347222222222218</v>
      </c>
      <c r="AG2827" s="289">
        <v>2826</v>
      </c>
      <c r="AH2827" s="94"/>
      <c r="AI2827" s="94"/>
    </row>
    <row r="2828" spans="1:35" s="2" customFormat="1" ht="12" customHeight="1" x14ac:dyDescent="0.25">
      <c r="A2828" s="539" t="s">
        <v>15950</v>
      </c>
      <c r="B2828" s="539">
        <v>7</v>
      </c>
      <c r="C2828" s="542">
        <v>13.08</v>
      </c>
      <c r="D2828" s="176" t="s">
        <v>2469</v>
      </c>
      <c r="E2828" s="313" t="s">
        <v>2120</v>
      </c>
      <c r="F2828" s="174">
        <v>38261</v>
      </c>
      <c r="G2828" s="174"/>
      <c r="H2828" s="176">
        <v>1</v>
      </c>
      <c r="I2828" s="176">
        <v>10</v>
      </c>
      <c r="J2828" s="900" t="s">
        <v>2755</v>
      </c>
      <c r="K2828" s="164" t="s">
        <v>7800</v>
      </c>
      <c r="L2828" s="164" t="s">
        <v>461</v>
      </c>
      <c r="M2828" s="164"/>
      <c r="N2828" s="164" t="s">
        <v>4996</v>
      </c>
      <c r="O2828" s="164"/>
      <c r="P2828" s="173" t="s">
        <v>1945</v>
      </c>
      <c r="Q2828" s="164" t="s">
        <v>3947</v>
      </c>
      <c r="R2828" s="177" t="s">
        <v>2723</v>
      </c>
      <c r="S2828" s="354"/>
      <c r="T2828" s="173"/>
      <c r="U2828" s="173" t="s">
        <v>7316</v>
      </c>
      <c r="V2828" s="173"/>
      <c r="W2828" s="313" t="s">
        <v>2120</v>
      </c>
      <c r="X2828" s="645" t="s">
        <v>15949</v>
      </c>
      <c r="Y2828" s="354"/>
      <c r="Z2828" s="176"/>
      <c r="AA2828" s="176"/>
      <c r="AB2828" s="32">
        <f t="shared" ca="1" si="64"/>
        <v>4.3884094601132073E-3</v>
      </c>
      <c r="AC2828" s="812"/>
      <c r="AD2828" s="763"/>
      <c r="AE2828" s="807"/>
      <c r="AF2828" s="921">
        <f>IF(X2828=X2827,AF2827,0)+IF(ISNUMBER(I2828),IF(I2828&lt;1,I2828,I2828*VLOOKUP(J2828,Summary!$H$2:$I$9,2)),VLOOKUP(J2828,Summary!$J$2:$K$9,2)*IF(ISNUMBER(H2828),H2828,1))</f>
        <v>0.4104166666666666</v>
      </c>
      <c r="AG2828" s="289">
        <v>2827</v>
      </c>
      <c r="AH2828" s="94"/>
      <c r="AI2828" s="94"/>
    </row>
    <row r="2829" spans="1:35" s="2" customFormat="1" ht="12" customHeight="1" x14ac:dyDescent="0.25">
      <c r="A2829" s="539" t="s">
        <v>15950</v>
      </c>
      <c r="B2829" s="539">
        <v>7</v>
      </c>
      <c r="C2829" s="539">
        <v>30.11</v>
      </c>
      <c r="D2829" s="176" t="s">
        <v>5365</v>
      </c>
      <c r="E2829" s="313" t="s">
        <v>607</v>
      </c>
      <c r="F2829" s="174">
        <v>39783</v>
      </c>
      <c r="G2829" s="174"/>
      <c r="H2829" s="176" t="s">
        <v>461</v>
      </c>
      <c r="I2829" s="176">
        <v>12</v>
      </c>
      <c r="J2829" s="900" t="s">
        <v>2755</v>
      </c>
      <c r="K2829" s="164" t="s">
        <v>5222</v>
      </c>
      <c r="L2829" s="164" t="s">
        <v>461</v>
      </c>
      <c r="M2829" s="164"/>
      <c r="N2829" s="164" t="s">
        <v>4944</v>
      </c>
      <c r="O2829" s="164"/>
      <c r="P2829" s="173" t="s">
        <v>6702</v>
      </c>
      <c r="Q2829" s="164" t="s">
        <v>3947</v>
      </c>
      <c r="R2829" s="177" t="s">
        <v>2723</v>
      </c>
      <c r="S2829" s="354"/>
      <c r="T2829" s="173"/>
      <c r="U2829" s="173" t="s">
        <v>7316</v>
      </c>
      <c r="V2829" s="173"/>
      <c r="W2829" s="313" t="s">
        <v>607</v>
      </c>
      <c r="X2829" s="645" t="s">
        <v>15949</v>
      </c>
      <c r="Y2829" s="354"/>
      <c r="Z2829" s="176"/>
      <c r="AA2829" s="176"/>
      <c r="AB2829" s="32">
        <f t="shared" ca="1" si="64"/>
        <v>0.43781689605052254</v>
      </c>
      <c r="AC2829" s="812"/>
      <c r="AD2829" s="763"/>
      <c r="AE2829" s="807"/>
      <c r="AF2829" s="921">
        <f>IF(X2829=X2828,AF2828,0)+IF(ISNUMBER(I2829),IF(I2829&lt;1,I2829,I2829*VLOOKUP(J2829,Summary!$H$2:$I$9,2)),VLOOKUP(J2829,Summary!$J$2:$K$9,2)*IF(ISNUMBER(H2829),H2829,1))</f>
        <v>0.41874999999999996</v>
      </c>
      <c r="AG2829" s="289">
        <v>2828</v>
      </c>
      <c r="AH2829" s="94"/>
      <c r="AI2829" s="94"/>
    </row>
    <row r="2830" spans="1:35" s="2" customFormat="1" ht="12" customHeight="1" x14ac:dyDescent="0.25">
      <c r="A2830" s="550" t="s">
        <v>15950</v>
      </c>
      <c r="B2830" s="550">
        <v>7</v>
      </c>
      <c r="C2830" s="550">
        <v>58</v>
      </c>
      <c r="D2830" s="417" t="s">
        <v>7664</v>
      </c>
      <c r="E2830" s="316" t="s">
        <v>7665</v>
      </c>
      <c r="F2830" s="195">
        <v>35446</v>
      </c>
      <c r="G2830" s="188"/>
      <c r="H2830" s="188" t="str">
        <f>IF(J2830="Book","n/a","")</f>
        <v>n/a</v>
      </c>
      <c r="I2830" s="188">
        <v>246</v>
      </c>
      <c r="J2830" s="902" t="s">
        <v>6868</v>
      </c>
      <c r="K2830" s="162" t="s">
        <v>1932</v>
      </c>
      <c r="L2830" s="162" t="str">
        <f>IF(J2830="Book","n/a","")</f>
        <v>n/a</v>
      </c>
      <c r="M2830" s="162"/>
      <c r="N2830" s="162"/>
      <c r="O2830" s="162"/>
      <c r="P2830" s="178" t="s">
        <v>8820</v>
      </c>
      <c r="Q2830" s="162" t="s">
        <v>601</v>
      </c>
      <c r="R2830" s="189" t="s">
        <v>2716</v>
      </c>
      <c r="S2830" s="366"/>
      <c r="T2830" s="178"/>
      <c r="U2830" s="178" t="s">
        <v>7316</v>
      </c>
      <c r="V2830" s="178"/>
      <c r="W2830" s="316" t="s">
        <v>7665</v>
      </c>
      <c r="X2830" s="648" t="s">
        <v>15949</v>
      </c>
      <c r="Y2830" s="356"/>
      <c r="Z2830" s="272">
        <v>213</v>
      </c>
      <c r="AA2830" s="272">
        <v>3</v>
      </c>
      <c r="AB2830" s="34">
        <f t="shared" ca="1" si="64"/>
        <v>0.98113155068332558</v>
      </c>
      <c r="AC2830" s="814"/>
      <c r="AD2830" s="825" t="s">
        <v>15844</v>
      </c>
      <c r="AE2830" s="942" t="s">
        <v>12543</v>
      </c>
      <c r="AF2830" s="923">
        <f>IF(X2830=X2829,AF2829,0)+IF(ISNUMBER(I2830),IF(I2830&lt;1,I2830,I2830*VLOOKUP(J2830,Summary!$H$2:$I$9,2)),VLOOKUP(J2830,Summary!$J$2:$K$9,2)*IF(ISNUMBER(H2830),H2830,1))</f>
        <v>0.58958333333333335</v>
      </c>
      <c r="AG2830" s="291">
        <v>2829</v>
      </c>
      <c r="AH2830" s="94"/>
      <c r="AI2830" s="94"/>
    </row>
    <row r="2831" spans="1:35" s="2" customFormat="1" ht="12" customHeight="1" x14ac:dyDescent="0.25">
      <c r="A2831" s="550" t="s">
        <v>15950</v>
      </c>
      <c r="B2831" s="550">
        <v>7</v>
      </c>
      <c r="C2831" s="550">
        <v>59</v>
      </c>
      <c r="D2831" s="417" t="s">
        <v>7666</v>
      </c>
      <c r="E2831" s="316" t="s">
        <v>7667</v>
      </c>
      <c r="F2831" s="195">
        <v>35481</v>
      </c>
      <c r="G2831" s="188"/>
      <c r="H2831" s="188">
        <v>3</v>
      </c>
      <c r="I2831" s="188">
        <v>256</v>
      </c>
      <c r="J2831" s="902" t="s">
        <v>6868</v>
      </c>
      <c r="K2831" s="162" t="s">
        <v>7800</v>
      </c>
      <c r="L2831" s="162" t="str">
        <f>IF(J2831="Book","n/a","")</f>
        <v>n/a</v>
      </c>
      <c r="M2831" s="162"/>
      <c r="N2831" s="162"/>
      <c r="O2831" s="162"/>
      <c r="P2831" s="178" t="s">
        <v>8821</v>
      </c>
      <c r="Q2831" s="162" t="s">
        <v>601</v>
      </c>
      <c r="R2831" s="189" t="s">
        <v>2716</v>
      </c>
      <c r="S2831" s="366"/>
      <c r="T2831" s="178"/>
      <c r="U2831" s="178" t="s">
        <v>7316</v>
      </c>
      <c r="V2831" s="178"/>
      <c r="W2831" s="316" t="s">
        <v>11488</v>
      </c>
      <c r="X2831" s="648" t="s">
        <v>15949</v>
      </c>
      <c r="Y2831" s="356"/>
      <c r="Z2831" s="272">
        <v>7</v>
      </c>
      <c r="AA2831" s="272">
        <v>9.5</v>
      </c>
      <c r="AB2831" s="34">
        <f t="shared" ca="1" si="64"/>
        <v>0.11024610215420771</v>
      </c>
      <c r="AC2831" s="814"/>
      <c r="AD2831" s="815" t="s">
        <v>15103</v>
      </c>
      <c r="AE2831" s="942"/>
      <c r="AF2831" s="923">
        <f>IF(X2831=X2830,AF2830,0)+IF(ISNUMBER(I2831),IF(I2831&lt;1,I2831,I2831*VLOOKUP(J2831,Summary!$H$2:$I$9,2)),VLOOKUP(J2831,Summary!$J$2:$K$9,2)*IF(ISNUMBER(H2831),H2831,1))</f>
        <v>0.76736111111111116</v>
      </c>
      <c r="AG2831" s="291">
        <v>2830</v>
      </c>
      <c r="AH2831" s="94"/>
      <c r="AI2831" s="94"/>
    </row>
    <row r="2832" spans="1:35" s="22" customFormat="1" ht="12" customHeight="1" x14ac:dyDescent="0.25">
      <c r="A2832" s="539" t="s">
        <v>15950</v>
      </c>
      <c r="B2832" s="539">
        <v>7</v>
      </c>
      <c r="C2832" s="539">
        <v>24</v>
      </c>
      <c r="D2832" s="176" t="s">
        <v>874</v>
      </c>
      <c r="E2832" s="313" t="s">
        <v>846</v>
      </c>
      <c r="F2832" s="174">
        <v>36100</v>
      </c>
      <c r="G2832" s="175"/>
      <c r="H2832" s="176" t="s">
        <v>461</v>
      </c>
      <c r="I2832" s="176"/>
      <c r="J2832" s="900" t="s">
        <v>2755</v>
      </c>
      <c r="K2832" s="164" t="s">
        <v>905</v>
      </c>
      <c r="L2832" s="164"/>
      <c r="M2832" s="164"/>
      <c r="N2832" s="164" t="s">
        <v>819</v>
      </c>
      <c r="O2832" s="164"/>
      <c r="P2832" s="178" t="s">
        <v>461</v>
      </c>
      <c r="Q2832" s="164" t="s">
        <v>820</v>
      </c>
      <c r="R2832" s="177" t="s">
        <v>895</v>
      </c>
      <c r="S2832" s="354"/>
      <c r="T2832" s="173"/>
      <c r="U2832" s="173"/>
      <c r="V2832" s="173"/>
      <c r="W2832" s="313" t="s">
        <v>846</v>
      </c>
      <c r="X2832" s="645" t="s">
        <v>15949</v>
      </c>
      <c r="Y2832" s="354"/>
      <c r="Z2832" s="176"/>
      <c r="AA2832" s="176"/>
      <c r="AB2832" s="32">
        <f t="shared" ca="1" si="64"/>
        <v>0.1232031014203836</v>
      </c>
      <c r="AC2832" s="812"/>
      <c r="AD2832" s="763"/>
      <c r="AE2832" s="807"/>
      <c r="AF2832" s="921">
        <f>IF(X2832=X2831,AF2831,0)+IF(ISNUMBER(I2832),IF(I2832&lt;1,I2832,I2832*VLOOKUP(J2832,Summary!$H$2:$I$9,2)),VLOOKUP(J2832,Summary!$J$2:$K$9,2)*IF(ISNUMBER(H2832),H2832,1))</f>
        <v>0.78472222222222232</v>
      </c>
      <c r="AG2832" s="289">
        <v>2831</v>
      </c>
      <c r="AH2832" s="94"/>
      <c r="AI2832" s="94"/>
    </row>
    <row r="2833" spans="1:36" s="3" customFormat="1" ht="12" customHeight="1" x14ac:dyDescent="0.25">
      <c r="A2833" s="539" t="s">
        <v>15950</v>
      </c>
      <c r="B2833" s="539">
        <v>7</v>
      </c>
      <c r="C2833" s="539">
        <v>25</v>
      </c>
      <c r="D2833" s="176" t="s">
        <v>875</v>
      </c>
      <c r="E2833" s="313" t="s">
        <v>847</v>
      </c>
      <c r="F2833" s="174">
        <v>36100</v>
      </c>
      <c r="G2833" s="175"/>
      <c r="H2833" s="176" t="s">
        <v>461</v>
      </c>
      <c r="I2833" s="176"/>
      <c r="J2833" s="900" t="s">
        <v>2755</v>
      </c>
      <c r="K2833" s="164" t="s">
        <v>6233</v>
      </c>
      <c r="L2833" s="164"/>
      <c r="M2833" s="164"/>
      <c r="N2833" s="164" t="s">
        <v>819</v>
      </c>
      <c r="O2833" s="164"/>
      <c r="P2833" s="178" t="s">
        <v>461</v>
      </c>
      <c r="Q2833" s="164" t="s">
        <v>820</v>
      </c>
      <c r="R2833" s="177" t="s">
        <v>895</v>
      </c>
      <c r="S2833" s="354"/>
      <c r="T2833" s="173" t="s">
        <v>2320</v>
      </c>
      <c r="U2833" s="173"/>
      <c r="V2833" s="173"/>
      <c r="W2833" s="313" t="s">
        <v>847</v>
      </c>
      <c r="X2833" s="645" t="s">
        <v>15949</v>
      </c>
      <c r="Y2833" s="354"/>
      <c r="Z2833" s="176"/>
      <c r="AA2833" s="176"/>
      <c r="AB2833" s="32">
        <f t="shared" ca="1" si="64"/>
        <v>0.15378601157332017</v>
      </c>
      <c r="AC2833" s="812"/>
      <c r="AD2833" s="763"/>
      <c r="AE2833" s="807"/>
      <c r="AF2833" s="921">
        <f>IF(X2833=X2832,AF2832,0)+IF(ISNUMBER(I2833),IF(I2833&lt;1,I2833,I2833*VLOOKUP(J2833,Summary!$H$2:$I$9,2)),VLOOKUP(J2833,Summary!$J$2:$K$9,2)*IF(ISNUMBER(H2833),H2833,1))</f>
        <v>0.80208333333333348</v>
      </c>
      <c r="AG2833" s="289">
        <v>2832</v>
      </c>
      <c r="AH2833" s="94"/>
      <c r="AI2833" s="94"/>
      <c r="AJ2833" s="43"/>
    </row>
    <row r="2834" spans="1:36" s="22" customFormat="1" ht="12" customHeight="1" x14ac:dyDescent="0.25">
      <c r="A2834" s="539" t="s">
        <v>15950</v>
      </c>
      <c r="B2834" s="539">
        <v>7</v>
      </c>
      <c r="C2834" s="539">
        <v>23</v>
      </c>
      <c r="D2834" s="176" t="s">
        <v>873</v>
      </c>
      <c r="E2834" s="313" t="s">
        <v>845</v>
      </c>
      <c r="F2834" s="174">
        <v>36100</v>
      </c>
      <c r="G2834" s="175"/>
      <c r="H2834" s="176" t="s">
        <v>461</v>
      </c>
      <c r="I2834" s="176"/>
      <c r="J2834" s="900" t="s">
        <v>2755</v>
      </c>
      <c r="K2834" s="164" t="s">
        <v>904</v>
      </c>
      <c r="L2834" s="164"/>
      <c r="M2834" s="164"/>
      <c r="N2834" s="164" t="s">
        <v>819</v>
      </c>
      <c r="O2834" s="164"/>
      <c r="P2834" s="178" t="s">
        <v>461</v>
      </c>
      <c r="Q2834" s="164" t="s">
        <v>820</v>
      </c>
      <c r="R2834" s="177" t="s">
        <v>895</v>
      </c>
      <c r="S2834" s="354"/>
      <c r="T2834" s="173" t="s">
        <v>2320</v>
      </c>
      <c r="U2834" s="173"/>
      <c r="V2834" s="173"/>
      <c r="W2834" s="313" t="s">
        <v>845</v>
      </c>
      <c r="X2834" s="645" t="s">
        <v>15949</v>
      </c>
      <c r="Y2834" s="354"/>
      <c r="Z2834" s="176"/>
      <c r="AA2834" s="176"/>
      <c r="AB2834" s="32">
        <f t="shared" ca="1" si="64"/>
        <v>0.28991111934820946</v>
      </c>
      <c r="AC2834" s="812"/>
      <c r="AD2834" s="763"/>
      <c r="AE2834" s="807"/>
      <c r="AF2834" s="921">
        <f>IF(X2834=X2833,AF2833,0)+IF(ISNUMBER(I2834),IF(I2834&lt;1,I2834,I2834*VLOOKUP(J2834,Summary!$H$2:$I$9,2)),VLOOKUP(J2834,Summary!$J$2:$K$9,2)*IF(ISNUMBER(H2834),H2834,1))</f>
        <v>0.81944444444444464</v>
      </c>
      <c r="AG2834" s="289">
        <v>2833</v>
      </c>
      <c r="AH2834" s="94"/>
      <c r="AI2834" s="94"/>
    </row>
    <row r="2835" spans="1:36" s="3" customFormat="1" ht="12" customHeight="1" x14ac:dyDescent="0.25">
      <c r="A2835" s="539" t="s">
        <v>15950</v>
      </c>
      <c r="B2835" s="539">
        <v>7</v>
      </c>
      <c r="C2835" s="539">
        <v>18</v>
      </c>
      <c r="D2835" s="176" t="s">
        <v>3384</v>
      </c>
      <c r="E2835" s="313" t="s">
        <v>5197</v>
      </c>
      <c r="F2835" s="175">
        <v>33877</v>
      </c>
      <c r="G2835" s="174"/>
      <c r="H2835" s="176">
        <v>1</v>
      </c>
      <c r="I2835" s="176">
        <v>1</v>
      </c>
      <c r="J2835" s="900" t="s">
        <v>2755</v>
      </c>
      <c r="K2835" s="164" t="s">
        <v>3588</v>
      </c>
      <c r="L2835" s="164" t="s">
        <v>3589</v>
      </c>
      <c r="M2835" s="164"/>
      <c r="N2835" s="164" t="s">
        <v>7375</v>
      </c>
      <c r="O2835" s="164"/>
      <c r="P2835" s="173" t="s">
        <v>461</v>
      </c>
      <c r="Q2835" s="164" t="s">
        <v>4062</v>
      </c>
      <c r="R2835" s="177" t="s">
        <v>4599</v>
      </c>
      <c r="S2835" s="354" t="s">
        <v>2319</v>
      </c>
      <c r="T2835" s="173"/>
      <c r="U2835" s="173"/>
      <c r="V2835" s="173"/>
      <c r="W2835" s="313" t="s">
        <v>5197</v>
      </c>
      <c r="X2835" s="645" t="s">
        <v>15949</v>
      </c>
      <c r="Y2835" s="354"/>
      <c r="Z2835" s="176"/>
      <c r="AA2835" s="176"/>
      <c r="AB2835" s="32">
        <f t="shared" ca="1" si="64"/>
        <v>0.48322289063447943</v>
      </c>
      <c r="AC2835" s="812"/>
      <c r="AD2835" s="763"/>
      <c r="AE2835" s="807"/>
      <c r="AF2835" s="921">
        <f>IF(X2835=X2834,AF2834,0)+IF(ISNUMBER(I2835),IF(I2835&lt;1,I2835,I2835*VLOOKUP(J2835,Summary!$H$2:$I$9,2)),VLOOKUP(J2835,Summary!$J$2:$K$9,2)*IF(ISNUMBER(H2835),H2835,1))</f>
        <v>0.82013888888888908</v>
      </c>
      <c r="AG2835" s="289">
        <v>2834</v>
      </c>
      <c r="AH2835" s="94"/>
      <c r="AI2835" s="94"/>
    </row>
    <row r="2836" spans="1:36" s="3" customFormat="1" ht="12" customHeight="1" x14ac:dyDescent="0.25">
      <c r="A2836" s="539" t="s">
        <v>15950</v>
      </c>
      <c r="B2836" s="539">
        <v>7</v>
      </c>
      <c r="C2836" s="539">
        <v>31.15</v>
      </c>
      <c r="D2836" s="176" t="s">
        <v>7387</v>
      </c>
      <c r="E2836" s="313" t="s">
        <v>632</v>
      </c>
      <c r="F2836" s="174">
        <v>39873</v>
      </c>
      <c r="G2836" s="174"/>
      <c r="H2836" s="176" t="s">
        <v>461</v>
      </c>
      <c r="I2836" s="176">
        <v>12</v>
      </c>
      <c r="J2836" s="900" t="s">
        <v>2755</v>
      </c>
      <c r="K2836" s="164" t="s">
        <v>4374</v>
      </c>
      <c r="L2836" s="164" t="s">
        <v>461</v>
      </c>
      <c r="M2836" s="164"/>
      <c r="N2836" s="164" t="s">
        <v>1805</v>
      </c>
      <c r="O2836" s="164"/>
      <c r="P2836" s="173" t="s">
        <v>6699</v>
      </c>
      <c r="Q2836" s="164" t="s">
        <v>3947</v>
      </c>
      <c r="R2836" s="177" t="s">
        <v>2723</v>
      </c>
      <c r="S2836" s="354"/>
      <c r="T2836" s="173"/>
      <c r="U2836" s="173"/>
      <c r="V2836" s="173"/>
      <c r="W2836" s="313" t="s">
        <v>632</v>
      </c>
      <c r="X2836" s="645" t="s">
        <v>15949</v>
      </c>
      <c r="Y2836" s="354"/>
      <c r="Z2836" s="176"/>
      <c r="AA2836" s="176"/>
      <c r="AB2836" s="32">
        <f t="shared" ca="1" si="64"/>
        <v>0.70970764195512104</v>
      </c>
      <c r="AC2836" s="812"/>
      <c r="AD2836" s="763"/>
      <c r="AE2836" s="807"/>
      <c r="AF2836" s="921">
        <f>IF(X2836=X2835,AF2835,0)+IF(ISNUMBER(I2836),IF(I2836&lt;1,I2836,I2836*VLOOKUP(J2836,Summary!$H$2:$I$9,2)),VLOOKUP(J2836,Summary!$J$2:$K$9,2)*IF(ISNUMBER(H2836),H2836,1))</f>
        <v>0.82847222222222239</v>
      </c>
      <c r="AG2836" s="289">
        <v>2835</v>
      </c>
      <c r="AH2836" s="94"/>
      <c r="AI2836" s="94"/>
    </row>
    <row r="2837" spans="1:36" s="3" customFormat="1" ht="12" customHeight="1" x14ac:dyDescent="0.25">
      <c r="A2837" s="550" t="s">
        <v>15950</v>
      </c>
      <c r="B2837" s="550">
        <v>7</v>
      </c>
      <c r="C2837" s="550">
        <v>60</v>
      </c>
      <c r="D2837" s="417" t="s">
        <v>7668</v>
      </c>
      <c r="E2837" s="316" t="s">
        <v>7669</v>
      </c>
      <c r="F2837" s="195">
        <v>35570</v>
      </c>
      <c r="G2837" s="188"/>
      <c r="H2837" s="188" t="str">
        <f>IF(J2837="Book","n/a","")</f>
        <v>n/a</v>
      </c>
      <c r="I2837" s="188">
        <v>256</v>
      </c>
      <c r="J2837" s="902" t="s">
        <v>6868</v>
      </c>
      <c r="K2837" s="162" t="s">
        <v>941</v>
      </c>
      <c r="L2837" s="162" t="str">
        <f>IF(J2837="Book","n/a","")</f>
        <v>n/a</v>
      </c>
      <c r="M2837" s="162"/>
      <c r="N2837" s="162"/>
      <c r="O2837" s="162"/>
      <c r="P2837" s="178" t="s">
        <v>8822</v>
      </c>
      <c r="Q2837" s="162" t="s">
        <v>601</v>
      </c>
      <c r="R2837" s="189" t="s">
        <v>2716</v>
      </c>
      <c r="S2837" s="366" t="s">
        <v>2542</v>
      </c>
      <c r="T2837" s="178" t="s">
        <v>2608</v>
      </c>
      <c r="U2837" s="178" t="s">
        <v>7316</v>
      </c>
      <c r="V2837" s="178" t="s">
        <v>2610</v>
      </c>
      <c r="W2837" s="316" t="s">
        <v>7669</v>
      </c>
      <c r="X2837" s="648" t="s">
        <v>15949</v>
      </c>
      <c r="Y2837" s="356" t="s">
        <v>4707</v>
      </c>
      <c r="Z2837" s="272">
        <v>90</v>
      </c>
      <c r="AA2837" s="272">
        <v>5.5</v>
      </c>
      <c r="AB2837" s="34">
        <f t="shared" ca="1" si="64"/>
        <v>0.68480072907146661</v>
      </c>
      <c r="AC2837" s="814"/>
      <c r="AD2837" s="815"/>
      <c r="AE2837" s="942"/>
      <c r="AF2837" s="923">
        <f>IF(X2837=X2836,AF2836,0)+IF(ISNUMBER(I2837),IF(I2837&lt;1,I2837,I2837*VLOOKUP(J2837,Summary!$H$2:$I$9,2)),VLOOKUP(J2837,Summary!$J$2:$K$9,2)*IF(ISNUMBER(H2837),H2837,1))</f>
        <v>1.0062500000000001</v>
      </c>
      <c r="AG2837" s="291">
        <v>2836</v>
      </c>
      <c r="AH2837" s="94"/>
      <c r="AI2837" s="94"/>
    </row>
    <row r="2838" spans="1:36" s="3" customFormat="1" ht="12" customHeight="1" x14ac:dyDescent="0.25">
      <c r="A2838" s="474" t="s">
        <v>304</v>
      </c>
      <c r="B2838" s="474" t="s">
        <v>6146</v>
      </c>
      <c r="C2838" s="474">
        <v>62</v>
      </c>
      <c r="D2838" s="417" t="s">
        <v>1328</v>
      </c>
      <c r="E2838" s="316" t="s">
        <v>1329</v>
      </c>
      <c r="F2838" s="195">
        <v>35551</v>
      </c>
      <c r="G2838" s="188"/>
      <c r="H2838" s="188" t="s">
        <v>461</v>
      </c>
      <c r="I2838" s="188">
        <v>249</v>
      </c>
      <c r="J2838" s="902" t="s">
        <v>6868</v>
      </c>
      <c r="K2838" s="162" t="s">
        <v>3807</v>
      </c>
      <c r="L2838" s="162" t="s">
        <v>461</v>
      </c>
      <c r="M2838" s="162"/>
      <c r="N2838" s="162"/>
      <c r="O2838" s="162"/>
      <c r="P2838" s="178" t="s">
        <v>3707</v>
      </c>
      <c r="Q2838" s="162" t="s">
        <v>601</v>
      </c>
      <c r="R2838" s="189" t="s">
        <v>2716</v>
      </c>
      <c r="S2838" s="366"/>
      <c r="T2838" s="178" t="s">
        <v>2611</v>
      </c>
      <c r="U2838" s="178"/>
      <c r="V2838" s="178"/>
      <c r="W2838" s="316" t="s">
        <v>1329</v>
      </c>
      <c r="X2838" s="648" t="s">
        <v>12514</v>
      </c>
      <c r="Y2838" s="356"/>
      <c r="Z2838" s="272">
        <v>44</v>
      </c>
      <c r="AA2838" s="272">
        <v>7</v>
      </c>
      <c r="AB2838" s="34">
        <f t="shared" ca="1" si="64"/>
        <v>0.80357775835669432</v>
      </c>
      <c r="AC2838" s="814"/>
      <c r="AD2838" s="815" t="s">
        <v>16265</v>
      </c>
      <c r="AE2838" s="942"/>
      <c r="AF2838" s="923">
        <f>IF(X2838=X2837,AF2837,0)+IF(ISNUMBER(I2838),IF(I2838&lt;1,I2838,I2838*VLOOKUP(J2838,Summary!$H$2:$I$9,2)),VLOOKUP(J2838,Summary!$J$2:$K$9,2)*IF(ISNUMBER(H2838),H2838,1))</f>
        <v>0.17291666666666666</v>
      </c>
      <c r="AG2838" s="291">
        <v>2837</v>
      </c>
      <c r="AH2838" s="94"/>
      <c r="AI2838" s="94"/>
    </row>
    <row r="2839" spans="1:36" s="43" customFormat="1" ht="12" customHeight="1" x14ac:dyDescent="0.25">
      <c r="A2839" s="507" t="s">
        <v>304</v>
      </c>
      <c r="B2839" s="507" t="s">
        <v>6146</v>
      </c>
      <c r="C2839" s="474">
        <v>63</v>
      </c>
      <c r="D2839" s="417" t="s">
        <v>1331</v>
      </c>
      <c r="E2839" s="316" t="s">
        <v>1330</v>
      </c>
      <c r="F2839" s="195">
        <v>35583</v>
      </c>
      <c r="G2839" s="188"/>
      <c r="H2839" s="188" t="s">
        <v>461</v>
      </c>
      <c r="I2839" s="188">
        <v>247</v>
      </c>
      <c r="J2839" s="902" t="s">
        <v>6868</v>
      </c>
      <c r="K2839" s="162" t="s">
        <v>543</v>
      </c>
      <c r="L2839" s="162" t="s">
        <v>461</v>
      </c>
      <c r="M2839" s="162"/>
      <c r="N2839" s="162"/>
      <c r="O2839" s="162"/>
      <c r="P2839" s="178" t="s">
        <v>3723</v>
      </c>
      <c r="Q2839" s="162" t="s">
        <v>601</v>
      </c>
      <c r="R2839" s="189" t="s">
        <v>2716</v>
      </c>
      <c r="S2839" s="366"/>
      <c r="T2839" s="178" t="s">
        <v>2611</v>
      </c>
      <c r="U2839" s="178"/>
      <c r="V2839" s="178"/>
      <c r="W2839" s="316" t="s">
        <v>1330</v>
      </c>
      <c r="X2839" s="648" t="s">
        <v>12514</v>
      </c>
      <c r="Y2839" s="356"/>
      <c r="Z2839" s="272">
        <v>132</v>
      </c>
      <c r="AA2839" s="272">
        <v>4.5</v>
      </c>
      <c r="AB2839" s="34">
        <f t="shared" ca="1" si="64"/>
        <v>0.33185029883210582</v>
      </c>
      <c r="AC2839" s="814"/>
      <c r="AD2839" s="815" t="s">
        <v>16265</v>
      </c>
      <c r="AE2839" s="942"/>
      <c r="AF2839" s="923">
        <f>IF(X2839=X2838,AF2838,0)+IF(ISNUMBER(I2839),IF(I2839&lt;1,I2839,I2839*VLOOKUP(J2839,Summary!$H$2:$I$9,2)),VLOOKUP(J2839,Summary!$J$2:$K$9,2)*IF(ISNUMBER(H2839),H2839,1))</f>
        <v>0.34444444444444444</v>
      </c>
      <c r="AG2839" s="291">
        <v>2838</v>
      </c>
      <c r="AH2839" s="94"/>
      <c r="AI2839" s="94"/>
    </row>
    <row r="2840" spans="1:36" s="3" customFormat="1" ht="12" customHeight="1" x14ac:dyDescent="0.25">
      <c r="A2840" s="507" t="s">
        <v>304</v>
      </c>
      <c r="B2840" s="507" t="s">
        <v>6146</v>
      </c>
      <c r="C2840" s="474">
        <v>64</v>
      </c>
      <c r="D2840" s="417" t="s">
        <v>1333</v>
      </c>
      <c r="E2840" s="316" t="s">
        <v>1332</v>
      </c>
      <c r="F2840" s="195">
        <v>35614</v>
      </c>
      <c r="G2840" s="188"/>
      <c r="H2840" s="188" t="s">
        <v>461</v>
      </c>
      <c r="I2840" s="188">
        <v>295</v>
      </c>
      <c r="J2840" s="902" t="s">
        <v>6868</v>
      </c>
      <c r="K2840" s="162" t="s">
        <v>4740</v>
      </c>
      <c r="L2840" s="162" t="s">
        <v>461</v>
      </c>
      <c r="M2840" s="162"/>
      <c r="N2840" s="162"/>
      <c r="O2840" s="162"/>
      <c r="P2840" s="178" t="s">
        <v>3724</v>
      </c>
      <c r="Q2840" s="162" t="s">
        <v>601</v>
      </c>
      <c r="R2840" s="189" t="s">
        <v>2716</v>
      </c>
      <c r="S2840" s="366"/>
      <c r="T2840" s="178" t="s">
        <v>2611</v>
      </c>
      <c r="U2840" s="178"/>
      <c r="V2840" s="178"/>
      <c r="W2840" s="316" t="s">
        <v>1332</v>
      </c>
      <c r="X2840" s="648" t="s">
        <v>12514</v>
      </c>
      <c r="Y2840" s="356"/>
      <c r="Z2840" s="272">
        <v>212</v>
      </c>
      <c r="AA2840" s="272">
        <v>3</v>
      </c>
      <c r="AB2840" s="34">
        <f t="shared" ca="1" si="64"/>
        <v>0.65190228255626459</v>
      </c>
      <c r="AC2840" s="814"/>
      <c r="AD2840" s="815" t="s">
        <v>16265</v>
      </c>
      <c r="AE2840" s="942"/>
      <c r="AF2840" s="923">
        <f>IF(X2840=X2839,AF2839,0)+IF(ISNUMBER(I2840),IF(I2840&lt;1,I2840,I2840*VLOOKUP(J2840,Summary!$H$2:$I$9,2)),VLOOKUP(J2840,Summary!$J$2:$K$9,2)*IF(ISNUMBER(H2840),H2840,1))</f>
        <v>0.5493055555555556</v>
      </c>
      <c r="AG2840" s="291">
        <v>2839</v>
      </c>
      <c r="AH2840" s="94"/>
      <c r="AI2840" s="94"/>
    </row>
    <row r="2841" spans="1:36" s="3" customFormat="1" ht="12" customHeight="1" x14ac:dyDescent="0.25">
      <c r="A2841" s="507" t="s">
        <v>304</v>
      </c>
      <c r="B2841" s="507" t="s">
        <v>6146</v>
      </c>
      <c r="C2841" s="474">
        <v>65</v>
      </c>
      <c r="D2841" s="417" t="s">
        <v>1335</v>
      </c>
      <c r="E2841" s="316" t="s">
        <v>1334</v>
      </c>
      <c r="F2841" s="195">
        <v>35663</v>
      </c>
      <c r="G2841" s="188"/>
      <c r="H2841" s="188">
        <v>4</v>
      </c>
      <c r="I2841" s="188">
        <v>248</v>
      </c>
      <c r="J2841" s="902" t="s">
        <v>6868</v>
      </c>
      <c r="K2841" s="162" t="s">
        <v>7799</v>
      </c>
      <c r="L2841" s="162" t="s">
        <v>461</v>
      </c>
      <c r="M2841" s="162"/>
      <c r="N2841" s="162"/>
      <c r="O2841" s="162"/>
      <c r="P2841" s="178" t="s">
        <v>3725</v>
      </c>
      <c r="Q2841" s="162" t="s">
        <v>601</v>
      </c>
      <c r="R2841" s="189" t="s">
        <v>2716</v>
      </c>
      <c r="S2841" s="366"/>
      <c r="T2841" s="178" t="s">
        <v>2611</v>
      </c>
      <c r="U2841" s="178"/>
      <c r="V2841" s="178"/>
      <c r="W2841" s="316" t="s">
        <v>12071</v>
      </c>
      <c r="X2841" s="648" t="s">
        <v>12514</v>
      </c>
      <c r="Y2841" s="356"/>
      <c r="Z2841" s="272">
        <v>63</v>
      </c>
      <c r="AA2841" s="272">
        <v>6.5</v>
      </c>
      <c r="AB2841" s="34">
        <f t="shared" ca="1" si="64"/>
        <v>0.22441060652304112</v>
      </c>
      <c r="AC2841" s="814"/>
      <c r="AD2841" s="815" t="s">
        <v>16265</v>
      </c>
      <c r="AE2841" s="942"/>
      <c r="AF2841" s="923">
        <f>IF(X2841=X2840,AF2840,0)+IF(ISNUMBER(I2841),IF(I2841&lt;1,I2841,I2841*VLOOKUP(J2841,Summary!$H$2:$I$9,2)),VLOOKUP(J2841,Summary!$J$2:$K$9,2)*IF(ISNUMBER(H2841),H2841,1))</f>
        <v>0.72152777777777777</v>
      </c>
      <c r="AG2841" s="291">
        <v>2840</v>
      </c>
      <c r="AH2841" s="94"/>
      <c r="AI2841" s="94"/>
    </row>
    <row r="2842" spans="1:36" s="3" customFormat="1" ht="12" customHeight="1" x14ac:dyDescent="0.25">
      <c r="A2842" s="410" t="s">
        <v>304</v>
      </c>
      <c r="B2842" s="410" t="s">
        <v>6146</v>
      </c>
      <c r="C2842" s="409">
        <v>5.6</v>
      </c>
      <c r="D2842" s="434" t="s">
        <v>1337</v>
      </c>
      <c r="E2842" s="324" t="s">
        <v>1336</v>
      </c>
      <c r="F2842" s="174">
        <v>35674</v>
      </c>
      <c r="G2842" s="176"/>
      <c r="H2842" s="176" t="s">
        <v>461</v>
      </c>
      <c r="I2842" s="176"/>
      <c r="J2842" s="900" t="s">
        <v>2755</v>
      </c>
      <c r="K2842" s="157" t="s">
        <v>5122</v>
      </c>
      <c r="L2842" s="157" t="s">
        <v>461</v>
      </c>
      <c r="M2842" s="157"/>
      <c r="N2842" s="157" t="s">
        <v>15194</v>
      </c>
      <c r="O2842" s="157"/>
      <c r="P2842" s="173" t="s">
        <v>3718</v>
      </c>
      <c r="Q2842" s="157" t="s">
        <v>601</v>
      </c>
      <c r="R2842" s="179" t="s">
        <v>4598</v>
      </c>
      <c r="S2842" s="354"/>
      <c r="T2842" s="173" t="s">
        <v>2611</v>
      </c>
      <c r="U2842" s="173"/>
      <c r="V2842" s="173"/>
      <c r="W2842" s="324" t="s">
        <v>1336</v>
      </c>
      <c r="X2842" s="656" t="s">
        <v>12514</v>
      </c>
      <c r="Y2842" s="363"/>
      <c r="Z2842" s="364"/>
      <c r="AA2842" s="364"/>
      <c r="AB2842" s="32">
        <f t="shared" ca="1" si="64"/>
        <v>5.8871948441986399E-2</v>
      </c>
      <c r="AC2842" s="812"/>
      <c r="AD2842" s="763"/>
      <c r="AE2842" s="951"/>
      <c r="AF2842" s="921">
        <f>IF(X2842=X2841,AF2841,0)+IF(ISNUMBER(I2842),IF(I2842&lt;1,I2842,I2842*VLOOKUP(J2842,Summary!$H$2:$I$9,2)),VLOOKUP(J2842,Summary!$J$2:$K$9,2)*IF(ISNUMBER(H2842),H2842,1))</f>
        <v>0.73888888888888893</v>
      </c>
      <c r="AG2842" s="288">
        <v>2841</v>
      </c>
      <c r="AH2842" s="94"/>
      <c r="AI2842" s="94"/>
    </row>
    <row r="2843" spans="1:36" s="3" customFormat="1" ht="12" customHeight="1" x14ac:dyDescent="0.25">
      <c r="A2843" s="507" t="s">
        <v>304</v>
      </c>
      <c r="B2843" s="507" t="s">
        <v>6146</v>
      </c>
      <c r="C2843" s="474">
        <v>66</v>
      </c>
      <c r="D2843" s="417" t="s">
        <v>1339</v>
      </c>
      <c r="E2843" s="316" t="s">
        <v>1338</v>
      </c>
      <c r="F2843" s="195">
        <v>35675</v>
      </c>
      <c r="G2843" s="188"/>
      <c r="H2843" s="188" t="s">
        <v>461</v>
      </c>
      <c r="I2843" s="188">
        <v>311</v>
      </c>
      <c r="J2843" s="902" t="s">
        <v>6868</v>
      </c>
      <c r="K2843" s="162" t="s">
        <v>5122</v>
      </c>
      <c r="L2843" s="162" t="s">
        <v>461</v>
      </c>
      <c r="M2843" s="162"/>
      <c r="N2843" s="162"/>
      <c r="O2843" s="162"/>
      <c r="P2843" s="178" t="s">
        <v>3726</v>
      </c>
      <c r="Q2843" s="162" t="s">
        <v>601</v>
      </c>
      <c r="R2843" s="189" t="s">
        <v>2716</v>
      </c>
      <c r="S2843" s="366"/>
      <c r="T2843" s="178" t="s">
        <v>2611</v>
      </c>
      <c r="U2843" s="178"/>
      <c r="V2843" s="178"/>
      <c r="W2843" s="316" t="s">
        <v>1338</v>
      </c>
      <c r="X2843" s="648" t="s">
        <v>12514</v>
      </c>
      <c r="Y2843" s="356"/>
      <c r="Z2843" s="272">
        <v>19</v>
      </c>
      <c r="AA2843" s="272">
        <v>9</v>
      </c>
      <c r="AB2843" s="34">
        <f t="shared" ca="1" si="64"/>
        <v>0.49617738764260766</v>
      </c>
      <c r="AC2843" s="814"/>
      <c r="AD2843" s="815" t="s">
        <v>16266</v>
      </c>
      <c r="AE2843" s="942"/>
      <c r="AF2843" s="923">
        <f>IF(X2843=X2842,AF2842,0)+IF(ISNUMBER(I2843),IF(I2843&lt;1,I2843,I2843*VLOOKUP(J2843,Summary!$H$2:$I$9,2)),VLOOKUP(J2843,Summary!$J$2:$K$9,2)*IF(ISNUMBER(H2843),H2843,1))</f>
        <v>0.95486111111111116</v>
      </c>
      <c r="AG2843" s="291">
        <v>2842</v>
      </c>
      <c r="AH2843" s="94"/>
      <c r="AI2843" s="94"/>
    </row>
    <row r="2844" spans="1:36" s="3" customFormat="1" ht="12" customHeight="1" x14ac:dyDescent="0.25">
      <c r="A2844" s="507" t="s">
        <v>304</v>
      </c>
      <c r="B2844" s="507" t="s">
        <v>6146</v>
      </c>
      <c r="C2844" s="474">
        <v>67</v>
      </c>
      <c r="D2844" s="417" t="s">
        <v>1340</v>
      </c>
      <c r="E2844" s="316" t="s">
        <v>1360</v>
      </c>
      <c r="F2844" s="195">
        <v>39357</v>
      </c>
      <c r="G2844" s="188"/>
      <c r="H2844" s="188" t="s">
        <v>461</v>
      </c>
      <c r="I2844" s="188">
        <v>264</v>
      </c>
      <c r="J2844" s="902" t="s">
        <v>6868</v>
      </c>
      <c r="K2844" s="162" t="s">
        <v>7375</v>
      </c>
      <c r="L2844" s="162" t="s">
        <v>461</v>
      </c>
      <c r="M2844" s="162"/>
      <c r="N2844" s="162"/>
      <c r="O2844" s="162"/>
      <c r="P2844" s="178" t="s">
        <v>3727</v>
      </c>
      <c r="Q2844" s="162" t="s">
        <v>601</v>
      </c>
      <c r="R2844" s="189" t="s">
        <v>2716</v>
      </c>
      <c r="S2844" s="366"/>
      <c r="T2844" s="178" t="s">
        <v>2611</v>
      </c>
      <c r="U2844" s="178" t="s">
        <v>7316</v>
      </c>
      <c r="V2844" s="178"/>
      <c r="W2844" s="316" t="s">
        <v>1360</v>
      </c>
      <c r="X2844" s="648" t="s">
        <v>12514</v>
      </c>
      <c r="Y2844" s="356"/>
      <c r="Z2844" s="272">
        <v>207</v>
      </c>
      <c r="AA2844" s="272">
        <v>3</v>
      </c>
      <c r="AB2844" s="34">
        <f t="shared" ca="1" si="64"/>
        <v>0.91360130208009527</v>
      </c>
      <c r="AC2844" s="814"/>
      <c r="AD2844" s="815" t="s">
        <v>16266</v>
      </c>
      <c r="AE2844" s="942"/>
      <c r="AF2844" s="923">
        <f>IF(X2844=X2843,AF2843,0)+IF(ISNUMBER(I2844),IF(I2844&lt;1,I2844,I2844*VLOOKUP(J2844,Summary!$H$2:$I$9,2)),VLOOKUP(J2844,Summary!$J$2:$K$9,2)*IF(ISNUMBER(H2844),H2844,1))</f>
        <v>1.1381944444444445</v>
      </c>
      <c r="AG2844" s="291">
        <v>2843</v>
      </c>
      <c r="AH2844" s="94"/>
      <c r="AI2844" s="94"/>
    </row>
    <row r="2845" spans="1:36" s="2" customFormat="1" ht="12" customHeight="1" x14ac:dyDescent="0.25">
      <c r="A2845" s="507" t="s">
        <v>304</v>
      </c>
      <c r="B2845" s="507" t="s">
        <v>6146</v>
      </c>
      <c r="C2845" s="474">
        <v>68</v>
      </c>
      <c r="D2845" s="417" t="s">
        <v>1341</v>
      </c>
      <c r="E2845" s="316" t="s">
        <v>1361</v>
      </c>
      <c r="F2845" s="195">
        <v>35737</v>
      </c>
      <c r="G2845" s="188"/>
      <c r="H2845" s="188" t="s">
        <v>461</v>
      </c>
      <c r="I2845" s="188">
        <v>249</v>
      </c>
      <c r="J2845" s="902" t="s">
        <v>6868</v>
      </c>
      <c r="K2845" s="162" t="s">
        <v>4738</v>
      </c>
      <c r="L2845" s="162" t="s">
        <v>461</v>
      </c>
      <c r="M2845" s="162"/>
      <c r="N2845" s="162"/>
      <c r="O2845" s="162"/>
      <c r="P2845" s="178" t="s">
        <v>3728</v>
      </c>
      <c r="Q2845" s="162" t="s">
        <v>601</v>
      </c>
      <c r="R2845" s="189" t="s">
        <v>2716</v>
      </c>
      <c r="S2845" s="366"/>
      <c r="T2845" s="178" t="s">
        <v>2611</v>
      </c>
      <c r="U2845" s="178"/>
      <c r="V2845" s="178"/>
      <c r="W2845" s="316" t="s">
        <v>1361</v>
      </c>
      <c r="X2845" s="648" t="s">
        <v>12514</v>
      </c>
      <c r="Y2845" s="356"/>
      <c r="Z2845" s="272">
        <v>150</v>
      </c>
      <c r="AA2845" s="272">
        <v>4.5</v>
      </c>
      <c r="AB2845" s="34">
        <f t="shared" ca="1" si="64"/>
        <v>0.94522985796635994</v>
      </c>
      <c r="AC2845" s="814"/>
      <c r="AD2845" s="815" t="s">
        <v>16267</v>
      </c>
      <c r="AE2845" s="942"/>
      <c r="AF2845" s="923">
        <f>IF(X2845=X2844,AF2844,0)+IF(ISNUMBER(I2845),IF(I2845&lt;1,I2845,I2845*VLOOKUP(J2845,Summary!$H$2:$I$9,2)),VLOOKUP(J2845,Summary!$J$2:$K$9,2)*IF(ISNUMBER(H2845),H2845,1))</f>
        <v>1.3111111111111111</v>
      </c>
      <c r="AG2845" s="291">
        <v>2844</v>
      </c>
      <c r="AH2845" s="94"/>
      <c r="AI2845" s="94"/>
    </row>
    <row r="2846" spans="1:36" s="3" customFormat="1" ht="12" customHeight="1" x14ac:dyDescent="0.25">
      <c r="A2846" s="507" t="s">
        <v>304</v>
      </c>
      <c r="B2846" s="507" t="s">
        <v>6146</v>
      </c>
      <c r="C2846" s="474">
        <v>69</v>
      </c>
      <c r="D2846" s="417" t="s">
        <v>1342</v>
      </c>
      <c r="E2846" s="316" t="s">
        <v>1362</v>
      </c>
      <c r="F2846" s="195">
        <v>35765</v>
      </c>
      <c r="G2846" s="188"/>
      <c r="H2846" s="188" t="s">
        <v>461</v>
      </c>
      <c r="I2846" s="188">
        <v>248</v>
      </c>
      <c r="J2846" s="902" t="s">
        <v>6868</v>
      </c>
      <c r="K2846" s="162" t="s">
        <v>1088</v>
      </c>
      <c r="L2846" s="162" t="s">
        <v>461</v>
      </c>
      <c r="M2846" s="162"/>
      <c r="N2846" s="162"/>
      <c r="O2846" s="162"/>
      <c r="P2846" s="178" t="s">
        <v>3729</v>
      </c>
      <c r="Q2846" s="162" t="s">
        <v>601</v>
      </c>
      <c r="R2846" s="189" t="s">
        <v>2716</v>
      </c>
      <c r="S2846" s="366"/>
      <c r="T2846" s="178" t="s">
        <v>2611</v>
      </c>
      <c r="U2846" s="178" t="s">
        <v>7316</v>
      </c>
      <c r="V2846" s="178"/>
      <c r="W2846" s="316" t="s">
        <v>1362</v>
      </c>
      <c r="X2846" s="648" t="s">
        <v>12514</v>
      </c>
      <c r="Y2846" s="356"/>
      <c r="Z2846" s="272">
        <v>201</v>
      </c>
      <c r="AA2846" s="272">
        <v>3</v>
      </c>
      <c r="AB2846" s="34">
        <f t="shared" ca="1" si="64"/>
        <v>0.93660977010948598</v>
      </c>
      <c r="AC2846" s="814"/>
      <c r="AD2846" s="815" t="s">
        <v>16267</v>
      </c>
      <c r="AE2846" s="942"/>
      <c r="AF2846" s="923">
        <f>IF(X2846=X2845,AF2845,0)+IF(ISNUMBER(I2846),IF(I2846&lt;1,I2846,I2846*VLOOKUP(J2846,Summary!$H$2:$I$9,2)),VLOOKUP(J2846,Summary!$J$2:$K$9,2)*IF(ISNUMBER(H2846),H2846,1))</f>
        <v>1.4833333333333334</v>
      </c>
      <c r="AG2846" s="291">
        <v>2845</v>
      </c>
      <c r="AH2846" s="94"/>
      <c r="AI2846" s="94"/>
    </row>
    <row r="2847" spans="1:36" s="3" customFormat="1" ht="12" customHeight="1" x14ac:dyDescent="0.25">
      <c r="A2847" s="507" t="s">
        <v>306</v>
      </c>
      <c r="B2847" s="507" t="s">
        <v>6146</v>
      </c>
      <c r="C2847" s="474">
        <v>70</v>
      </c>
      <c r="D2847" s="417" t="s">
        <v>1343</v>
      </c>
      <c r="E2847" s="316" t="s">
        <v>1363</v>
      </c>
      <c r="F2847" s="195">
        <v>35797</v>
      </c>
      <c r="G2847" s="188"/>
      <c r="H2847" s="188" t="s">
        <v>461</v>
      </c>
      <c r="I2847" s="188">
        <v>265</v>
      </c>
      <c r="J2847" s="902" t="s">
        <v>6868</v>
      </c>
      <c r="K2847" s="162" t="s">
        <v>181</v>
      </c>
      <c r="L2847" s="162" t="s">
        <v>461</v>
      </c>
      <c r="M2847" s="162"/>
      <c r="N2847" s="162"/>
      <c r="O2847" s="162"/>
      <c r="P2847" s="178" t="s">
        <v>3730</v>
      </c>
      <c r="Q2847" s="162" t="s">
        <v>601</v>
      </c>
      <c r="R2847" s="189" t="s">
        <v>2716</v>
      </c>
      <c r="S2847" s="366"/>
      <c r="T2847" s="178" t="s">
        <v>2611</v>
      </c>
      <c r="U2847" s="178"/>
      <c r="V2847" s="178"/>
      <c r="W2847" s="316" t="s">
        <v>1363</v>
      </c>
      <c r="X2847" s="648" t="s">
        <v>12515</v>
      </c>
      <c r="Y2847" s="356"/>
      <c r="Z2847" s="272">
        <v>59</v>
      </c>
      <c r="AA2847" s="272">
        <v>6.5</v>
      </c>
      <c r="AB2847" s="34">
        <f t="shared" ca="1" si="64"/>
        <v>0.35652712165689171</v>
      </c>
      <c r="AC2847" s="814"/>
      <c r="AD2847" s="815" t="s">
        <v>16267</v>
      </c>
      <c r="AE2847" s="942"/>
      <c r="AF2847" s="923">
        <f>IF(X2847=X2846,AF2846,0)+IF(ISNUMBER(I2847),IF(I2847&lt;1,I2847,I2847*VLOOKUP(J2847,Summary!$H$2:$I$9,2)),VLOOKUP(J2847,Summary!$J$2:$K$9,2)*IF(ISNUMBER(H2847),H2847,1))</f>
        <v>0.18402777777777779</v>
      </c>
      <c r="AG2847" s="291">
        <v>2846</v>
      </c>
      <c r="AH2847" s="94"/>
      <c r="AI2847" s="94"/>
    </row>
    <row r="2848" spans="1:36" s="3" customFormat="1" ht="12" customHeight="1" x14ac:dyDescent="0.25">
      <c r="A2848" s="406" t="s">
        <v>306</v>
      </c>
      <c r="B2848" s="406" t="s">
        <v>6146</v>
      </c>
      <c r="C2848" s="405">
        <v>1</v>
      </c>
      <c r="D2848" s="407" t="s">
        <v>1344</v>
      </c>
      <c r="E2848" s="315" t="s">
        <v>9628</v>
      </c>
      <c r="F2848" s="169">
        <v>36373</v>
      </c>
      <c r="G2848" s="170"/>
      <c r="H2848" s="170">
        <v>1</v>
      </c>
      <c r="I2848" s="746">
        <f>TIME(0,22,25)</f>
        <v>1.556712962962963E-2</v>
      </c>
      <c r="J2848" s="899" t="s">
        <v>4706</v>
      </c>
      <c r="K2848" s="167" t="s">
        <v>4552</v>
      </c>
      <c r="L2848" s="167" t="s">
        <v>7375</v>
      </c>
      <c r="M2848" s="167"/>
      <c r="N2848" s="167"/>
      <c r="O2848" s="167"/>
      <c r="P2848" s="168" t="s">
        <v>3719</v>
      </c>
      <c r="Q2848" s="167" t="s">
        <v>3947</v>
      </c>
      <c r="R2848" s="172" t="s">
        <v>1377</v>
      </c>
      <c r="S2848" s="388"/>
      <c r="T2848" s="168" t="s">
        <v>2611</v>
      </c>
      <c r="U2848" s="168"/>
      <c r="V2848" s="168"/>
      <c r="W2848" s="312" t="s">
        <v>9628</v>
      </c>
      <c r="X2848" s="644" t="s">
        <v>12515</v>
      </c>
      <c r="Y2848" s="352" t="s">
        <v>5643</v>
      </c>
      <c r="Z2848" s="353">
        <v>44</v>
      </c>
      <c r="AA2848" s="353">
        <v>8.5</v>
      </c>
      <c r="AB2848" s="31">
        <f t="shared" ca="1" si="64"/>
        <v>0.64061944146987837</v>
      </c>
      <c r="AC2848" s="810"/>
      <c r="AD2848" s="811" t="s">
        <v>16267</v>
      </c>
      <c r="AE2848" s="940"/>
      <c r="AF2848" s="920">
        <f>IF(X2848=X2847,AF2847,0)+IF(ISNUMBER(I2848),IF(I2848&lt;1,I2848,I2848*VLOOKUP(J2848,Summary!$H$2:$I$9,2)),VLOOKUP(J2848,Summary!$J$2:$K$9,2)*IF(ISNUMBER(H2848),H2848,1))</f>
        <v>0.19959490740740743</v>
      </c>
      <c r="AG2848" s="287">
        <v>2847</v>
      </c>
      <c r="AH2848" s="94"/>
      <c r="AI2848" s="94"/>
    </row>
    <row r="2849" spans="1:36" s="3" customFormat="1" ht="12" customHeight="1" x14ac:dyDescent="0.25">
      <c r="A2849" s="507" t="s">
        <v>306</v>
      </c>
      <c r="B2849" s="507" t="s">
        <v>6146</v>
      </c>
      <c r="C2849" s="474">
        <v>71</v>
      </c>
      <c r="D2849" s="417" t="s">
        <v>1345</v>
      </c>
      <c r="E2849" s="316" t="s">
        <v>1375</v>
      </c>
      <c r="F2849" s="195">
        <v>35829</v>
      </c>
      <c r="G2849" s="188"/>
      <c r="H2849" s="188" t="s">
        <v>461</v>
      </c>
      <c r="I2849" s="188">
        <v>256</v>
      </c>
      <c r="J2849" s="902" t="s">
        <v>6868</v>
      </c>
      <c r="K2849" s="162" t="s">
        <v>7800</v>
      </c>
      <c r="L2849" s="162" t="s">
        <v>461</v>
      </c>
      <c r="M2849" s="162"/>
      <c r="N2849" s="162"/>
      <c r="O2849" s="162"/>
      <c r="P2849" s="178" t="s">
        <v>3731</v>
      </c>
      <c r="Q2849" s="162" t="s">
        <v>601</v>
      </c>
      <c r="R2849" s="189" t="s">
        <v>2716</v>
      </c>
      <c r="S2849" s="366"/>
      <c r="T2849" s="178" t="s">
        <v>2611</v>
      </c>
      <c r="U2849" s="178"/>
      <c r="V2849" s="178"/>
      <c r="W2849" s="316" t="s">
        <v>1375</v>
      </c>
      <c r="X2849" s="648" t="s">
        <v>12515</v>
      </c>
      <c r="Y2849" s="356"/>
      <c r="Z2849" s="272">
        <v>21</v>
      </c>
      <c r="AA2849" s="272">
        <v>8.5</v>
      </c>
      <c r="AB2849" s="34">
        <f t="shared" ca="1" si="64"/>
        <v>0.73542567352351129</v>
      </c>
      <c r="AC2849" s="814"/>
      <c r="AD2849" s="818" t="s">
        <v>16268</v>
      </c>
      <c r="AE2849" s="942"/>
      <c r="AF2849" s="923">
        <f>IF(X2849=X2848,AF2848,0)+IF(ISNUMBER(I2849),IF(I2849&lt;1,I2849,I2849*VLOOKUP(J2849,Summary!$H$2:$I$9,2)),VLOOKUP(J2849,Summary!$J$2:$K$9,2)*IF(ISNUMBER(H2849),H2849,1))</f>
        <v>0.37737268518518519</v>
      </c>
      <c r="AG2849" s="291">
        <v>2848</v>
      </c>
      <c r="AH2849" s="94"/>
      <c r="AI2849" s="94"/>
      <c r="AJ2849" s="43"/>
    </row>
    <row r="2850" spans="1:36" s="3" customFormat="1" ht="12" customHeight="1" x14ac:dyDescent="0.25">
      <c r="A2850" s="507" t="s">
        <v>306</v>
      </c>
      <c r="B2850" s="507" t="s">
        <v>6146</v>
      </c>
      <c r="C2850" s="474">
        <v>72</v>
      </c>
      <c r="D2850" s="417" t="s">
        <v>1346</v>
      </c>
      <c r="E2850" s="316" t="s">
        <v>921</v>
      </c>
      <c r="F2850" s="195">
        <v>35856</v>
      </c>
      <c r="G2850" s="188"/>
      <c r="H2850" s="188">
        <v>4</v>
      </c>
      <c r="I2850" s="188">
        <v>244</v>
      </c>
      <c r="J2850" s="902" t="s">
        <v>6868</v>
      </c>
      <c r="K2850" s="162" t="s">
        <v>7799</v>
      </c>
      <c r="L2850" s="162" t="s">
        <v>461</v>
      </c>
      <c r="M2850" s="162"/>
      <c r="N2850" s="162"/>
      <c r="O2850" s="162"/>
      <c r="P2850" s="178" t="s">
        <v>3732</v>
      </c>
      <c r="Q2850" s="162" t="s">
        <v>601</v>
      </c>
      <c r="R2850" s="189" t="s">
        <v>2716</v>
      </c>
      <c r="S2850" s="366"/>
      <c r="T2850" s="178" t="s">
        <v>2611</v>
      </c>
      <c r="U2850" s="178" t="s">
        <v>7316</v>
      </c>
      <c r="V2850" s="178" t="s">
        <v>7317</v>
      </c>
      <c r="W2850" s="316" t="s">
        <v>11489</v>
      </c>
      <c r="X2850" s="648" t="s">
        <v>12515</v>
      </c>
      <c r="Y2850" s="356"/>
      <c r="Z2850" s="272"/>
      <c r="AA2850" s="272"/>
      <c r="AB2850" s="34">
        <f t="shared" ca="1" si="64"/>
        <v>0.54093341021458141</v>
      </c>
      <c r="AC2850" s="814"/>
      <c r="AD2850" s="815" t="s">
        <v>16267</v>
      </c>
      <c r="AE2850" s="942"/>
      <c r="AF2850" s="923">
        <f>IF(X2850=X2849,AF2849,0)+IF(ISNUMBER(I2850),IF(I2850&lt;1,I2850,I2850*VLOOKUP(J2850,Summary!$H$2:$I$9,2)),VLOOKUP(J2850,Summary!$J$2:$K$9,2)*IF(ISNUMBER(H2850),H2850,1))</f>
        <v>0.54681712962962958</v>
      </c>
      <c r="AG2850" s="291">
        <v>2849</v>
      </c>
      <c r="AH2850" s="94"/>
      <c r="AI2850" s="94"/>
      <c r="AJ2850" s="43"/>
    </row>
    <row r="2851" spans="1:36" s="3" customFormat="1" ht="12" customHeight="1" x14ac:dyDescent="0.25">
      <c r="A2851" s="507" t="s">
        <v>306</v>
      </c>
      <c r="B2851" s="507" t="s">
        <v>6146</v>
      </c>
      <c r="C2851" s="474">
        <v>73</v>
      </c>
      <c r="D2851" s="417" t="s">
        <v>1347</v>
      </c>
      <c r="E2851" s="316" t="s">
        <v>1364</v>
      </c>
      <c r="F2851" s="195">
        <v>35887</v>
      </c>
      <c r="G2851" s="188"/>
      <c r="H2851" s="188">
        <v>3</v>
      </c>
      <c r="I2851" s="188">
        <v>258</v>
      </c>
      <c r="J2851" s="902" t="s">
        <v>6868</v>
      </c>
      <c r="K2851" s="162" t="s">
        <v>543</v>
      </c>
      <c r="L2851" s="162" t="s">
        <v>461</v>
      </c>
      <c r="M2851" s="162"/>
      <c r="N2851" s="162"/>
      <c r="O2851" s="162"/>
      <c r="P2851" s="178" t="s">
        <v>3733</v>
      </c>
      <c r="Q2851" s="162" t="s">
        <v>601</v>
      </c>
      <c r="R2851" s="189" t="s">
        <v>2716</v>
      </c>
      <c r="S2851" s="366"/>
      <c r="T2851" s="178" t="s">
        <v>2611</v>
      </c>
      <c r="U2851" s="178"/>
      <c r="V2851" s="178"/>
      <c r="W2851" s="316" t="s">
        <v>11491</v>
      </c>
      <c r="X2851" s="648" t="s">
        <v>12515</v>
      </c>
      <c r="Y2851" s="356"/>
      <c r="Z2851" s="272"/>
      <c r="AA2851" s="272"/>
      <c r="AB2851" s="34">
        <f t="shared" ca="1" si="64"/>
        <v>0.85047987593773211</v>
      </c>
      <c r="AC2851" s="814"/>
      <c r="AD2851" s="815" t="s">
        <v>16267</v>
      </c>
      <c r="AE2851" s="942"/>
      <c r="AF2851" s="923">
        <f>IF(X2851=X2850,AF2850,0)+IF(ISNUMBER(I2851),IF(I2851&lt;1,I2851,I2851*VLOOKUP(J2851,Summary!$H$2:$I$9,2)),VLOOKUP(J2851,Summary!$J$2:$K$9,2)*IF(ISNUMBER(H2851),H2851,1))</f>
        <v>0.72598379629629628</v>
      </c>
      <c r="AG2851" s="291">
        <v>2850</v>
      </c>
      <c r="AH2851" s="94"/>
      <c r="AI2851" s="94"/>
      <c r="AJ2851" s="43"/>
    </row>
    <row r="2852" spans="1:36" s="3" customFormat="1" ht="12" customHeight="1" x14ac:dyDescent="0.25">
      <c r="A2852" s="507" t="s">
        <v>306</v>
      </c>
      <c r="B2852" s="507" t="s">
        <v>6146</v>
      </c>
      <c r="C2852" s="474">
        <v>74</v>
      </c>
      <c r="D2852" s="417" t="s">
        <v>1348</v>
      </c>
      <c r="E2852" s="316" t="s">
        <v>1365</v>
      </c>
      <c r="F2852" s="195">
        <v>35918</v>
      </c>
      <c r="G2852" s="188"/>
      <c r="H2852" s="188" t="s">
        <v>461</v>
      </c>
      <c r="I2852" s="188">
        <v>292</v>
      </c>
      <c r="J2852" s="902" t="s">
        <v>6868</v>
      </c>
      <c r="K2852" s="162" t="s">
        <v>1383</v>
      </c>
      <c r="L2852" s="162" t="s">
        <v>461</v>
      </c>
      <c r="M2852" s="162"/>
      <c r="N2852" s="162"/>
      <c r="O2852" s="162"/>
      <c r="P2852" s="178" t="s">
        <v>3734</v>
      </c>
      <c r="Q2852" s="162" t="s">
        <v>601</v>
      </c>
      <c r="R2852" s="189" t="s">
        <v>2716</v>
      </c>
      <c r="S2852" s="366"/>
      <c r="T2852" s="178" t="s">
        <v>2611</v>
      </c>
      <c r="U2852" s="178"/>
      <c r="V2852" s="178"/>
      <c r="W2852" s="316" t="s">
        <v>1365</v>
      </c>
      <c r="X2852" s="648" t="s">
        <v>12515</v>
      </c>
      <c r="Y2852" s="356"/>
      <c r="Z2852" s="272"/>
      <c r="AA2852" s="272"/>
      <c r="AB2852" s="34">
        <f t="shared" ca="1" si="64"/>
        <v>0.21094189429975774</v>
      </c>
      <c r="AC2852" s="814"/>
      <c r="AD2852" s="815" t="s">
        <v>16267</v>
      </c>
      <c r="AE2852" s="942"/>
      <c r="AF2852" s="923">
        <f>IF(X2852=X2851,AF2851,0)+IF(ISNUMBER(I2852),IF(I2852&lt;1,I2852,I2852*VLOOKUP(J2852,Summary!$H$2:$I$9,2)),VLOOKUP(J2852,Summary!$J$2:$K$9,2)*IF(ISNUMBER(H2852),H2852,1))</f>
        <v>0.928761574074074</v>
      </c>
      <c r="AG2852" s="291">
        <v>2851</v>
      </c>
      <c r="AH2852" s="94"/>
      <c r="AI2852" s="94"/>
      <c r="AJ2852" s="120"/>
    </row>
    <row r="2853" spans="1:36" s="3" customFormat="1" ht="12" customHeight="1" x14ac:dyDescent="0.25">
      <c r="A2853" s="507" t="s">
        <v>306</v>
      </c>
      <c r="B2853" s="507" t="s">
        <v>6146</v>
      </c>
      <c r="C2853" s="474">
        <v>75</v>
      </c>
      <c r="D2853" s="417" t="s">
        <v>1349</v>
      </c>
      <c r="E2853" s="316" t="s">
        <v>1366</v>
      </c>
      <c r="F2853" s="195">
        <v>35948</v>
      </c>
      <c r="G2853" s="188"/>
      <c r="H2853" s="188">
        <v>4</v>
      </c>
      <c r="I2853" s="188">
        <v>293</v>
      </c>
      <c r="J2853" s="902" t="s">
        <v>6868</v>
      </c>
      <c r="K2853" s="162" t="s">
        <v>1932</v>
      </c>
      <c r="L2853" s="162" t="s">
        <v>461</v>
      </c>
      <c r="M2853" s="162"/>
      <c r="N2853" s="162"/>
      <c r="O2853" s="162"/>
      <c r="P2853" s="178" t="s">
        <v>3735</v>
      </c>
      <c r="Q2853" s="162" t="s">
        <v>601</v>
      </c>
      <c r="R2853" s="189" t="s">
        <v>2716</v>
      </c>
      <c r="S2853" s="366"/>
      <c r="T2853" s="178" t="s">
        <v>2611</v>
      </c>
      <c r="U2853" s="178"/>
      <c r="V2853" s="178"/>
      <c r="W2853" s="316" t="s">
        <v>11490</v>
      </c>
      <c r="X2853" s="648" t="s">
        <v>12515</v>
      </c>
      <c r="Y2853" s="356"/>
      <c r="Z2853" s="272"/>
      <c r="AA2853" s="272"/>
      <c r="AB2853" s="34">
        <f t="shared" ca="1" si="64"/>
        <v>0.71747136610396622</v>
      </c>
      <c r="AC2853" s="814"/>
      <c r="AD2853" s="818" t="s">
        <v>16255</v>
      </c>
      <c r="AE2853" s="942" t="s">
        <v>15093</v>
      </c>
      <c r="AF2853" s="923">
        <f>IF(X2853=X2852,AF2852,0)+IF(ISNUMBER(I2853),IF(I2853&lt;1,I2853,I2853*VLOOKUP(J2853,Summary!$H$2:$I$9,2)),VLOOKUP(J2853,Summary!$J$2:$K$9,2)*IF(ISNUMBER(H2853),H2853,1))</f>
        <v>1.1322337962962963</v>
      </c>
      <c r="AG2853" s="291">
        <v>2852</v>
      </c>
      <c r="AH2853" s="94"/>
      <c r="AI2853" s="94"/>
      <c r="AJ2853" s="120"/>
    </row>
    <row r="2854" spans="1:36" s="2" customFormat="1" ht="12" customHeight="1" x14ac:dyDescent="0.25">
      <c r="A2854" s="406" t="s">
        <v>306</v>
      </c>
      <c r="B2854" s="406" t="s">
        <v>6146</v>
      </c>
      <c r="C2854" s="405">
        <v>2</v>
      </c>
      <c r="D2854" s="407" t="s">
        <v>1350</v>
      </c>
      <c r="E2854" s="312" t="s">
        <v>9629</v>
      </c>
      <c r="F2854" s="169">
        <v>36373</v>
      </c>
      <c r="G2854" s="170"/>
      <c r="H2854" s="170">
        <v>1</v>
      </c>
      <c r="I2854" s="746">
        <f>TIME(0,29,51)</f>
        <v>2.0729166666666667E-2</v>
      </c>
      <c r="J2854" s="899" t="s">
        <v>4706</v>
      </c>
      <c r="K2854" s="167" t="s">
        <v>3807</v>
      </c>
      <c r="L2854" s="167" t="s">
        <v>7375</v>
      </c>
      <c r="M2854" s="167"/>
      <c r="N2854" s="167"/>
      <c r="O2854" s="167"/>
      <c r="P2854" s="168" t="s">
        <v>3719</v>
      </c>
      <c r="Q2854" s="167" t="s">
        <v>3947</v>
      </c>
      <c r="R2854" s="172" t="s">
        <v>1377</v>
      </c>
      <c r="S2854" s="388"/>
      <c r="T2854" s="168" t="s">
        <v>2611</v>
      </c>
      <c r="U2854" s="168"/>
      <c r="V2854" s="168"/>
      <c r="W2854" s="312" t="s">
        <v>9629</v>
      </c>
      <c r="X2854" s="644" t="s">
        <v>12515</v>
      </c>
      <c r="Y2854" s="352"/>
      <c r="Z2854" s="353"/>
      <c r="AA2854" s="353"/>
      <c r="AB2854" s="31">
        <f t="shared" ca="1" si="64"/>
        <v>0.42163457157879136</v>
      </c>
      <c r="AC2854" s="810"/>
      <c r="AD2854" s="811" t="s">
        <v>16269</v>
      </c>
      <c r="AE2854" s="940" t="s">
        <v>12543</v>
      </c>
      <c r="AF2854" s="920">
        <f>IF(X2854=X2853,AF2853,0)+IF(ISNUMBER(I2854),IF(I2854&lt;1,I2854,I2854*VLOOKUP(J2854,Summary!$H$2:$I$9,2)),VLOOKUP(J2854,Summary!$J$2:$K$9,2)*IF(ISNUMBER(H2854),H2854,1))</f>
        <v>1.152962962962963</v>
      </c>
      <c r="AG2854" s="287">
        <v>2853</v>
      </c>
      <c r="AH2854" s="94"/>
      <c r="AI2854" s="94"/>
      <c r="AJ2854" s="1"/>
    </row>
    <row r="2855" spans="1:36" s="3" customFormat="1" ht="12" customHeight="1" x14ac:dyDescent="0.25">
      <c r="A2855" s="507" t="s">
        <v>306</v>
      </c>
      <c r="B2855" s="507" t="s">
        <v>6146</v>
      </c>
      <c r="C2855" s="474">
        <v>76</v>
      </c>
      <c r="D2855" s="417" t="s">
        <v>1351</v>
      </c>
      <c r="E2855" s="316" t="s">
        <v>1367</v>
      </c>
      <c r="F2855" s="195">
        <v>36027</v>
      </c>
      <c r="G2855" s="188"/>
      <c r="H2855" s="188" t="s">
        <v>461</v>
      </c>
      <c r="I2855" s="188">
        <v>245</v>
      </c>
      <c r="J2855" s="902" t="s">
        <v>6868</v>
      </c>
      <c r="K2855" s="162" t="s">
        <v>1384</v>
      </c>
      <c r="L2855" s="162" t="str">
        <f t="shared" ref="L2855:L2863" si="65">IF(J2855="Book","n/a","")</f>
        <v>n/a</v>
      </c>
      <c r="M2855" s="162"/>
      <c r="N2855" s="162"/>
      <c r="O2855" s="162"/>
      <c r="P2855" s="178" t="s">
        <v>3736</v>
      </c>
      <c r="Q2855" s="162" t="s">
        <v>601</v>
      </c>
      <c r="R2855" s="189" t="s">
        <v>2716</v>
      </c>
      <c r="S2855" s="366"/>
      <c r="T2855" s="178" t="s">
        <v>2611</v>
      </c>
      <c r="U2855" s="178"/>
      <c r="V2855" s="178"/>
      <c r="W2855" s="316" t="s">
        <v>1367</v>
      </c>
      <c r="X2855" s="648" t="s">
        <v>12515</v>
      </c>
      <c r="Y2855" s="356"/>
      <c r="Z2855" s="272"/>
      <c r="AA2855" s="272"/>
      <c r="AB2855" s="34">
        <f t="shared" ca="1" si="64"/>
        <v>0.94411393825528922</v>
      </c>
      <c r="AC2855" s="814"/>
      <c r="AD2855" s="815" t="s">
        <v>16270</v>
      </c>
      <c r="AE2855" s="942"/>
      <c r="AF2855" s="923">
        <f>IF(X2855=X2854,AF2854,0)+IF(ISNUMBER(I2855),IF(I2855&lt;1,I2855,I2855*VLOOKUP(J2855,Summary!$H$2:$I$9,2)),VLOOKUP(J2855,Summary!$J$2:$K$9,2)*IF(ISNUMBER(H2855),H2855,1))</f>
        <v>1.3231018518518518</v>
      </c>
      <c r="AG2855" s="291">
        <v>2854</v>
      </c>
      <c r="AH2855" s="94"/>
      <c r="AI2855" s="94"/>
      <c r="AJ2855" s="29"/>
    </row>
    <row r="2856" spans="1:36" s="3" customFormat="1" ht="12" customHeight="1" x14ac:dyDescent="0.25">
      <c r="A2856" s="507" t="s">
        <v>308</v>
      </c>
      <c r="B2856" s="507" t="s">
        <v>6146</v>
      </c>
      <c r="C2856" s="474">
        <v>77</v>
      </c>
      <c r="D2856" s="417" t="s">
        <v>1352</v>
      </c>
      <c r="E2856" s="316" t="s">
        <v>1368</v>
      </c>
      <c r="F2856" s="195">
        <v>36083</v>
      </c>
      <c r="G2856" s="188"/>
      <c r="H2856" s="188" t="s">
        <v>461</v>
      </c>
      <c r="I2856" s="188">
        <v>242</v>
      </c>
      <c r="J2856" s="902" t="s">
        <v>6868</v>
      </c>
      <c r="K2856" s="162" t="s">
        <v>4401</v>
      </c>
      <c r="L2856" s="162" t="str">
        <f t="shared" si="65"/>
        <v>n/a</v>
      </c>
      <c r="M2856" s="162"/>
      <c r="N2856" s="162"/>
      <c r="O2856" s="162"/>
      <c r="P2856" s="178" t="s">
        <v>3737</v>
      </c>
      <c r="Q2856" s="162" t="s">
        <v>601</v>
      </c>
      <c r="R2856" s="189" t="s">
        <v>2716</v>
      </c>
      <c r="S2856" s="366"/>
      <c r="T2856" s="178" t="s">
        <v>2611</v>
      </c>
      <c r="U2856" s="178"/>
      <c r="V2856" s="178"/>
      <c r="W2856" s="316" t="s">
        <v>1368</v>
      </c>
      <c r="X2856" s="648" t="s">
        <v>12516</v>
      </c>
      <c r="Y2856" s="356"/>
      <c r="Z2856" s="272"/>
      <c r="AA2856" s="272"/>
      <c r="AB2856" s="34">
        <f t="shared" ca="1" si="64"/>
        <v>0.76701425678498414</v>
      </c>
      <c r="AC2856" s="814"/>
      <c r="AD2856" s="815" t="s">
        <v>16271</v>
      </c>
      <c r="AE2856" s="942"/>
      <c r="AF2856" s="923">
        <f>IF(X2856=X2855,AF2855,0)+IF(ISNUMBER(I2856),IF(I2856&lt;1,I2856,I2856*VLOOKUP(J2856,Summary!$H$2:$I$9,2)),VLOOKUP(J2856,Summary!$J$2:$K$9,2)*IF(ISNUMBER(H2856),H2856,1))</f>
        <v>0.16805555555555557</v>
      </c>
      <c r="AG2856" s="291">
        <v>2855</v>
      </c>
      <c r="AH2856" s="94"/>
      <c r="AI2856" s="94"/>
      <c r="AJ2856" s="43"/>
    </row>
    <row r="2857" spans="1:36" s="3" customFormat="1" ht="12" customHeight="1" x14ac:dyDescent="0.25">
      <c r="A2857" s="507" t="s">
        <v>308</v>
      </c>
      <c r="B2857" s="507" t="s">
        <v>6146</v>
      </c>
      <c r="C2857" s="474">
        <v>78</v>
      </c>
      <c r="D2857" s="417" t="s">
        <v>1353</v>
      </c>
      <c r="E2857" s="316" t="s">
        <v>1369</v>
      </c>
      <c r="F2857" s="195">
        <v>36131</v>
      </c>
      <c r="G2857" s="188"/>
      <c r="H2857" s="188" t="s">
        <v>461</v>
      </c>
      <c r="I2857" s="188">
        <v>241</v>
      </c>
      <c r="J2857" s="902" t="s">
        <v>6868</v>
      </c>
      <c r="K2857" s="162" t="s">
        <v>3705</v>
      </c>
      <c r="L2857" s="162" t="str">
        <f t="shared" si="65"/>
        <v>n/a</v>
      </c>
      <c r="M2857" s="162"/>
      <c r="N2857" s="162"/>
      <c r="O2857" s="162"/>
      <c r="P2857" s="178" t="s">
        <v>3738</v>
      </c>
      <c r="Q2857" s="162" t="s">
        <v>601</v>
      </c>
      <c r="R2857" s="189" t="s">
        <v>2716</v>
      </c>
      <c r="S2857" s="366"/>
      <c r="T2857" s="178" t="s">
        <v>2611</v>
      </c>
      <c r="U2857" s="178"/>
      <c r="V2857" s="178"/>
      <c r="W2857" s="316" t="s">
        <v>1369</v>
      </c>
      <c r="X2857" s="648" t="s">
        <v>12516</v>
      </c>
      <c r="Y2857" s="356"/>
      <c r="Z2857" s="272"/>
      <c r="AA2857" s="272"/>
      <c r="AB2857" s="34">
        <f t="shared" ca="1" si="64"/>
        <v>0.26213310077478646</v>
      </c>
      <c r="AC2857" s="814"/>
      <c r="AD2857" s="815" t="s">
        <v>16270</v>
      </c>
      <c r="AE2857" s="942"/>
      <c r="AF2857" s="923">
        <f>IF(X2857=X2856,AF2856,0)+IF(ISNUMBER(I2857),IF(I2857&lt;1,I2857,I2857*VLOOKUP(J2857,Summary!$H$2:$I$9,2)),VLOOKUP(J2857,Summary!$J$2:$K$9,2)*IF(ISNUMBER(H2857),H2857,1))</f>
        <v>0.3354166666666667</v>
      </c>
      <c r="AG2857" s="291">
        <v>2856</v>
      </c>
      <c r="AH2857" s="94"/>
      <c r="AI2857" s="94"/>
      <c r="AJ2857" s="43"/>
    </row>
    <row r="2858" spans="1:36" s="3" customFormat="1" ht="12" customHeight="1" x14ac:dyDescent="0.25">
      <c r="A2858" s="507" t="s">
        <v>308</v>
      </c>
      <c r="B2858" s="507" t="s">
        <v>6146</v>
      </c>
      <c r="C2858" s="474">
        <v>79</v>
      </c>
      <c r="D2858" s="417" t="s">
        <v>1354</v>
      </c>
      <c r="E2858" s="316" t="s">
        <v>1370</v>
      </c>
      <c r="F2858" s="195">
        <v>36192</v>
      </c>
      <c r="G2858" s="188"/>
      <c r="H2858" s="188" t="s">
        <v>461</v>
      </c>
      <c r="I2858" s="188">
        <v>243</v>
      </c>
      <c r="J2858" s="902" t="s">
        <v>6868</v>
      </c>
      <c r="K2858" s="162" t="s">
        <v>7799</v>
      </c>
      <c r="L2858" s="162" t="str">
        <f t="shared" si="65"/>
        <v>n/a</v>
      </c>
      <c r="M2858" s="162"/>
      <c r="N2858" s="162"/>
      <c r="O2858" s="162"/>
      <c r="P2858" s="178" t="s">
        <v>3739</v>
      </c>
      <c r="Q2858" s="162" t="s">
        <v>601</v>
      </c>
      <c r="R2858" s="189" t="s">
        <v>2716</v>
      </c>
      <c r="S2858" s="366"/>
      <c r="T2858" s="178" t="s">
        <v>2611</v>
      </c>
      <c r="U2858" s="178"/>
      <c r="V2858" s="178"/>
      <c r="W2858" s="316" t="s">
        <v>1370</v>
      </c>
      <c r="X2858" s="648" t="s">
        <v>12516</v>
      </c>
      <c r="Y2858" s="356"/>
      <c r="Z2858" s="272"/>
      <c r="AA2858" s="272"/>
      <c r="AB2858" s="34">
        <f t="shared" ca="1" si="64"/>
        <v>0.79330222541646289</v>
      </c>
      <c r="AC2858" s="814"/>
      <c r="AD2858" s="815" t="s">
        <v>16270</v>
      </c>
      <c r="AE2858" s="942"/>
      <c r="AF2858" s="923">
        <f>IF(X2858=X2857,AF2857,0)+IF(ISNUMBER(I2858),IF(I2858&lt;1,I2858,I2858*VLOOKUP(J2858,Summary!$H$2:$I$9,2)),VLOOKUP(J2858,Summary!$J$2:$K$9,2)*IF(ISNUMBER(H2858),H2858,1))</f>
        <v>0.50416666666666665</v>
      </c>
      <c r="AG2858" s="291">
        <v>2857</v>
      </c>
      <c r="AH2858" s="94"/>
      <c r="AI2858" s="94"/>
      <c r="AJ2858" s="43"/>
    </row>
    <row r="2859" spans="1:36" s="3" customFormat="1" ht="12" customHeight="1" x14ac:dyDescent="0.25">
      <c r="A2859" s="507" t="s">
        <v>308</v>
      </c>
      <c r="B2859" s="507" t="s">
        <v>6146</v>
      </c>
      <c r="C2859" s="474">
        <v>80</v>
      </c>
      <c r="D2859" s="417" t="s">
        <v>1355</v>
      </c>
      <c r="E2859" s="316" t="s">
        <v>1371</v>
      </c>
      <c r="F2859" s="195">
        <v>36220</v>
      </c>
      <c r="G2859" s="188"/>
      <c r="H2859" s="188">
        <v>3</v>
      </c>
      <c r="I2859" s="188">
        <v>294</v>
      </c>
      <c r="J2859" s="902" t="s">
        <v>6868</v>
      </c>
      <c r="K2859" s="162" t="s">
        <v>5122</v>
      </c>
      <c r="L2859" s="162" t="str">
        <f t="shared" si="65"/>
        <v>n/a</v>
      </c>
      <c r="M2859" s="162"/>
      <c r="N2859" s="162"/>
      <c r="O2859" s="162"/>
      <c r="P2859" s="178" t="s">
        <v>3740</v>
      </c>
      <c r="Q2859" s="162" t="s">
        <v>601</v>
      </c>
      <c r="R2859" s="189" t="s">
        <v>2716</v>
      </c>
      <c r="S2859" s="366"/>
      <c r="T2859" s="178" t="s">
        <v>2611</v>
      </c>
      <c r="U2859" s="178" t="s">
        <v>7316</v>
      </c>
      <c r="V2859" s="178"/>
      <c r="W2859" s="316" t="s">
        <v>11492</v>
      </c>
      <c r="X2859" s="648" t="s">
        <v>12516</v>
      </c>
      <c r="Y2859" s="356"/>
      <c r="Z2859" s="272"/>
      <c r="AA2859" s="272"/>
      <c r="AB2859" s="34">
        <f t="shared" ca="1" si="64"/>
        <v>9.7050822987283181E-2</v>
      </c>
      <c r="AC2859" s="814"/>
      <c r="AD2859" s="815" t="s">
        <v>16270</v>
      </c>
      <c r="AE2859" s="942"/>
      <c r="AF2859" s="923">
        <f>IF(X2859=X2858,AF2858,0)+IF(ISNUMBER(I2859),IF(I2859&lt;1,I2859,I2859*VLOOKUP(J2859,Summary!$H$2:$I$9,2)),VLOOKUP(J2859,Summary!$J$2:$K$9,2)*IF(ISNUMBER(H2859),H2859,1))</f>
        <v>0.70833333333333326</v>
      </c>
      <c r="AG2859" s="291">
        <v>2858</v>
      </c>
      <c r="AH2859" s="94"/>
      <c r="AI2859" s="94"/>
      <c r="AJ2859" s="43"/>
    </row>
    <row r="2860" spans="1:36" s="3" customFormat="1" ht="12" customHeight="1" x14ac:dyDescent="0.25">
      <c r="A2860" s="507" t="s">
        <v>308</v>
      </c>
      <c r="B2860" s="507" t="s">
        <v>6146</v>
      </c>
      <c r="C2860" s="474">
        <v>81</v>
      </c>
      <c r="D2860" s="417" t="s">
        <v>1356</v>
      </c>
      <c r="E2860" s="316" t="s">
        <v>1372</v>
      </c>
      <c r="F2860" s="195">
        <v>36313</v>
      </c>
      <c r="G2860" s="188"/>
      <c r="H2860" s="188" t="s">
        <v>461</v>
      </c>
      <c r="I2860" s="188">
        <v>294</v>
      </c>
      <c r="J2860" s="902" t="s">
        <v>6868</v>
      </c>
      <c r="K2860" s="162" t="s">
        <v>543</v>
      </c>
      <c r="L2860" s="162" t="str">
        <f t="shared" si="65"/>
        <v>n/a</v>
      </c>
      <c r="M2860" s="162"/>
      <c r="N2860" s="162"/>
      <c r="O2860" s="162"/>
      <c r="P2860" s="178" t="s">
        <v>3741</v>
      </c>
      <c r="Q2860" s="162" t="s">
        <v>601</v>
      </c>
      <c r="R2860" s="189" t="s">
        <v>2716</v>
      </c>
      <c r="S2860" s="366"/>
      <c r="T2860" s="178" t="s">
        <v>2611</v>
      </c>
      <c r="U2860" s="178"/>
      <c r="V2860" s="178"/>
      <c r="W2860" s="316" t="s">
        <v>1372</v>
      </c>
      <c r="X2860" s="648" t="s">
        <v>12516</v>
      </c>
      <c r="Y2860" s="356"/>
      <c r="Z2860" s="272"/>
      <c r="AA2860" s="272"/>
      <c r="AB2860" s="34">
        <f t="shared" ca="1" si="64"/>
        <v>0.20511313356643146</v>
      </c>
      <c r="AC2860" s="814"/>
      <c r="AD2860" s="815" t="s">
        <v>16272</v>
      </c>
      <c r="AE2860" s="942"/>
      <c r="AF2860" s="923">
        <f>IF(X2860=X2859,AF2859,0)+IF(ISNUMBER(I2860),IF(I2860&lt;1,I2860,I2860*VLOOKUP(J2860,Summary!$H$2:$I$9,2)),VLOOKUP(J2860,Summary!$J$2:$K$9,2)*IF(ISNUMBER(H2860),H2860,1))</f>
        <v>0.91249999999999987</v>
      </c>
      <c r="AG2860" s="291">
        <v>2859</v>
      </c>
      <c r="AH2860" s="94"/>
      <c r="AI2860" s="94"/>
      <c r="AJ2860" s="29"/>
    </row>
    <row r="2861" spans="1:36" s="2" customFormat="1" ht="12" customHeight="1" x14ac:dyDescent="0.25">
      <c r="A2861" s="507" t="s">
        <v>308</v>
      </c>
      <c r="B2861" s="507" t="s">
        <v>6146</v>
      </c>
      <c r="C2861" s="474">
        <v>82</v>
      </c>
      <c r="D2861" s="417" t="s">
        <v>1357</v>
      </c>
      <c r="E2861" s="316" t="s">
        <v>1373</v>
      </c>
      <c r="F2861" s="195">
        <v>36374</v>
      </c>
      <c r="G2861" s="188"/>
      <c r="H2861" s="188" t="s">
        <v>461</v>
      </c>
      <c r="I2861" s="188">
        <v>238</v>
      </c>
      <c r="J2861" s="902" t="s">
        <v>6868</v>
      </c>
      <c r="K2861" s="162" t="s">
        <v>7799</v>
      </c>
      <c r="L2861" s="162" t="str">
        <f t="shared" si="65"/>
        <v>n/a</v>
      </c>
      <c r="M2861" s="162"/>
      <c r="N2861" s="162"/>
      <c r="O2861" s="162"/>
      <c r="P2861" s="178" t="s">
        <v>3742</v>
      </c>
      <c r="Q2861" s="162" t="s">
        <v>601</v>
      </c>
      <c r="R2861" s="189" t="s">
        <v>2716</v>
      </c>
      <c r="S2861" s="366"/>
      <c r="T2861" s="178" t="s">
        <v>2611</v>
      </c>
      <c r="U2861" s="178"/>
      <c r="V2861" s="178"/>
      <c r="W2861" s="316" t="s">
        <v>1373</v>
      </c>
      <c r="X2861" s="648" t="s">
        <v>12516</v>
      </c>
      <c r="Y2861" s="356"/>
      <c r="Z2861" s="272"/>
      <c r="AA2861" s="272"/>
      <c r="AB2861" s="34">
        <f t="shared" ca="1" si="64"/>
        <v>0.13246542396623595</v>
      </c>
      <c r="AC2861" s="814"/>
      <c r="AD2861" s="815" t="s">
        <v>16272</v>
      </c>
      <c r="AE2861" s="942"/>
      <c r="AF2861" s="923">
        <f>IF(X2861=X2860,AF2860,0)+IF(ISNUMBER(I2861),IF(I2861&lt;1,I2861,I2861*VLOOKUP(J2861,Summary!$H$2:$I$9,2)),VLOOKUP(J2861,Summary!$J$2:$K$9,2)*IF(ISNUMBER(H2861),H2861,1))</f>
        <v>1.0777777777777777</v>
      </c>
      <c r="AG2861" s="291">
        <v>2860</v>
      </c>
      <c r="AH2861" s="94"/>
      <c r="AI2861" s="94"/>
      <c r="AJ2861" s="29"/>
    </row>
    <row r="2862" spans="1:36" s="2" customFormat="1" ht="12" customHeight="1" x14ac:dyDescent="0.25">
      <c r="A2862" s="507" t="s">
        <v>308</v>
      </c>
      <c r="B2862" s="507" t="s">
        <v>6146</v>
      </c>
      <c r="C2862" s="474">
        <v>83</v>
      </c>
      <c r="D2862" s="417" t="s">
        <v>1358</v>
      </c>
      <c r="E2862" s="316" t="s">
        <v>1374</v>
      </c>
      <c r="F2862" s="195">
        <v>36434</v>
      </c>
      <c r="G2862" s="188"/>
      <c r="H2862" s="188" t="s">
        <v>461</v>
      </c>
      <c r="I2862" s="188">
        <v>248</v>
      </c>
      <c r="J2862" s="902" t="s">
        <v>6868</v>
      </c>
      <c r="K2862" s="162" t="s">
        <v>543</v>
      </c>
      <c r="L2862" s="162" t="str">
        <f t="shared" si="65"/>
        <v>n/a</v>
      </c>
      <c r="M2862" s="162"/>
      <c r="N2862" s="162"/>
      <c r="O2862" s="162"/>
      <c r="P2862" s="178" t="s">
        <v>3743</v>
      </c>
      <c r="Q2862" s="162" t="s">
        <v>601</v>
      </c>
      <c r="R2862" s="189" t="s">
        <v>2716</v>
      </c>
      <c r="S2862" s="366"/>
      <c r="T2862" s="178" t="s">
        <v>2611</v>
      </c>
      <c r="U2862" s="178"/>
      <c r="V2862" s="178"/>
      <c r="W2862" s="316" t="s">
        <v>1374</v>
      </c>
      <c r="X2862" s="648" t="s">
        <v>12516</v>
      </c>
      <c r="Y2862" s="356"/>
      <c r="Z2862" s="272"/>
      <c r="AA2862" s="272"/>
      <c r="AB2862" s="34">
        <f t="shared" ca="1" si="64"/>
        <v>0.90244607703720037</v>
      </c>
      <c r="AC2862" s="814"/>
      <c r="AD2862" s="815" t="s">
        <v>16272</v>
      </c>
      <c r="AE2862" s="942"/>
      <c r="AF2862" s="923">
        <f>IF(X2862=X2861,AF2861,0)+IF(ISNUMBER(I2862),IF(I2862&lt;1,I2862,I2862*VLOOKUP(J2862,Summary!$H$2:$I$9,2)),VLOOKUP(J2862,Summary!$J$2:$K$9,2)*IF(ISNUMBER(H2862),H2862,1))</f>
        <v>1.25</v>
      </c>
      <c r="AG2862" s="291">
        <v>2861</v>
      </c>
      <c r="AH2862" s="94"/>
      <c r="AI2862" s="94"/>
      <c r="AJ2862" s="29"/>
    </row>
    <row r="2863" spans="1:36" s="2" customFormat="1" ht="12" customHeight="1" x14ac:dyDescent="0.25">
      <c r="A2863" s="507" t="s">
        <v>308</v>
      </c>
      <c r="B2863" s="507" t="s">
        <v>6146</v>
      </c>
      <c r="C2863" s="474">
        <v>84</v>
      </c>
      <c r="D2863" s="417" t="s">
        <v>1359</v>
      </c>
      <c r="E2863" s="316" t="s">
        <v>6068</v>
      </c>
      <c r="F2863" s="195">
        <v>36496</v>
      </c>
      <c r="G2863" s="188"/>
      <c r="H2863" s="188" t="s">
        <v>461</v>
      </c>
      <c r="I2863" s="188">
        <v>242</v>
      </c>
      <c r="J2863" s="902" t="s">
        <v>6868</v>
      </c>
      <c r="K2863" s="162" t="s">
        <v>3706</v>
      </c>
      <c r="L2863" s="162" t="str">
        <f t="shared" si="65"/>
        <v>n/a</v>
      </c>
      <c r="M2863" s="162"/>
      <c r="N2863" s="162"/>
      <c r="O2863" s="162"/>
      <c r="P2863" s="178" t="s">
        <v>3744</v>
      </c>
      <c r="Q2863" s="162" t="s">
        <v>601</v>
      </c>
      <c r="R2863" s="189" t="s">
        <v>2716</v>
      </c>
      <c r="S2863" s="366"/>
      <c r="T2863" s="178" t="s">
        <v>2611</v>
      </c>
      <c r="U2863" s="178" t="s">
        <v>7316</v>
      </c>
      <c r="V2863" s="178"/>
      <c r="W2863" s="316" t="s">
        <v>6068</v>
      </c>
      <c r="X2863" s="648" t="s">
        <v>12516</v>
      </c>
      <c r="Y2863" s="356"/>
      <c r="Z2863" s="272"/>
      <c r="AA2863" s="272"/>
      <c r="AB2863" s="34">
        <f t="shared" ca="1" si="64"/>
        <v>0.81863797694139862</v>
      </c>
      <c r="AC2863" s="814"/>
      <c r="AD2863" s="815" t="s">
        <v>16272</v>
      </c>
      <c r="AE2863" s="942"/>
      <c r="AF2863" s="923">
        <f>IF(X2863=X2862,AF2862,0)+IF(ISNUMBER(I2863),IF(I2863&lt;1,I2863,I2863*VLOOKUP(J2863,Summary!$H$2:$I$9,2)),VLOOKUP(J2863,Summary!$J$2:$K$9,2)*IF(ISNUMBER(H2863),H2863,1))</f>
        <v>1.4180555555555556</v>
      </c>
      <c r="AG2863" s="291">
        <v>2862</v>
      </c>
      <c r="AH2863" s="94"/>
      <c r="AI2863" s="94"/>
      <c r="AJ2863" s="29"/>
    </row>
    <row r="2864" spans="1:36" s="2" customFormat="1" ht="12" customHeight="1" x14ac:dyDescent="0.25">
      <c r="A2864" s="405" t="s">
        <v>3710</v>
      </c>
      <c r="B2864" s="406" t="s">
        <v>6146</v>
      </c>
      <c r="C2864" s="405">
        <v>1.1000000000000001</v>
      </c>
      <c r="D2864" s="407" t="s">
        <v>3708</v>
      </c>
      <c r="E2864" s="315" t="s">
        <v>1329</v>
      </c>
      <c r="F2864" s="169">
        <v>36039</v>
      </c>
      <c r="G2864" s="170"/>
      <c r="H2864" s="170">
        <v>2</v>
      </c>
      <c r="I2864" s="746">
        <f>TIME(0,111,6)</f>
        <v>7.7152777777777778E-2</v>
      </c>
      <c r="J2864" s="899" t="s">
        <v>4706</v>
      </c>
      <c r="K2864" s="167" t="s">
        <v>3722</v>
      </c>
      <c r="L2864" s="167" t="s">
        <v>4549</v>
      </c>
      <c r="M2864" s="167"/>
      <c r="N2864" s="167"/>
      <c r="O2864" s="167"/>
      <c r="P2864" s="168" t="s">
        <v>3709</v>
      </c>
      <c r="Q2864" s="167" t="s">
        <v>3947</v>
      </c>
      <c r="R2864" s="172" t="s">
        <v>3711</v>
      </c>
      <c r="S2864" s="388"/>
      <c r="T2864" s="168" t="s">
        <v>2611</v>
      </c>
      <c r="U2864" s="168"/>
      <c r="V2864" s="168"/>
      <c r="W2864" s="312"/>
      <c r="X2864" s="644" t="s">
        <v>12481</v>
      </c>
      <c r="Y2864" s="352"/>
      <c r="Z2864" s="353"/>
      <c r="AA2864" s="353"/>
      <c r="AB2864" s="31">
        <f t="shared" ca="1" si="64"/>
        <v>0.93355327407453814</v>
      </c>
      <c r="AC2864" s="810"/>
      <c r="AD2864" s="811"/>
      <c r="AE2864" s="940"/>
      <c r="AF2864" s="920">
        <f>IF(X2864=X2863,AF2863,0)+IF(ISNUMBER(I2864),IF(I2864&lt;1,I2864,I2864*VLOOKUP(J2864,Summary!$H$2:$I$9,2)),VLOOKUP(J2864,Summary!$J$2:$K$9,2)*IF(ISNUMBER(H2864),H2864,1))</f>
        <v>7.7152777777777778E-2</v>
      </c>
      <c r="AG2864" s="287">
        <v>2863</v>
      </c>
      <c r="AH2864" s="94"/>
      <c r="AI2864" s="94"/>
    </row>
    <row r="2865" spans="1:36" s="26" customFormat="1" ht="12" customHeight="1" x14ac:dyDescent="0.25">
      <c r="A2865" s="478" t="s">
        <v>3710</v>
      </c>
      <c r="B2865" s="478" t="s">
        <v>6146</v>
      </c>
      <c r="C2865" s="478">
        <v>11.01</v>
      </c>
      <c r="D2865" s="192" t="s">
        <v>15803</v>
      </c>
      <c r="E2865" s="317" t="s">
        <v>15805</v>
      </c>
      <c r="F2865" s="209">
        <v>43453</v>
      </c>
      <c r="G2865" s="191"/>
      <c r="H2865" s="192" t="s">
        <v>461</v>
      </c>
      <c r="I2865" s="192"/>
      <c r="J2865" s="903" t="s">
        <v>2755</v>
      </c>
      <c r="K2865" s="194" t="s">
        <v>7799</v>
      </c>
      <c r="L2865" s="194" t="s">
        <v>461</v>
      </c>
      <c r="M2865" s="194" t="s">
        <v>5662</v>
      </c>
      <c r="N2865" s="194" t="s">
        <v>4944</v>
      </c>
      <c r="O2865" s="194" t="s">
        <v>4944</v>
      </c>
      <c r="P2865" s="190" t="s">
        <v>15800</v>
      </c>
      <c r="Q2865" s="194" t="s">
        <v>3947</v>
      </c>
      <c r="R2865" s="193" t="s">
        <v>6720</v>
      </c>
      <c r="S2865" s="357"/>
      <c r="T2865" s="190" t="s">
        <v>2611</v>
      </c>
      <c r="U2865" s="190"/>
      <c r="V2865" s="190"/>
      <c r="W2865" s="317" t="s">
        <v>15805</v>
      </c>
      <c r="X2865" s="649" t="s">
        <v>12481</v>
      </c>
      <c r="Y2865" s="357"/>
      <c r="Z2865" s="192"/>
      <c r="AA2865" s="192"/>
      <c r="AB2865" s="37">
        <f t="shared" ca="1" si="64"/>
        <v>0.45798511593177482</v>
      </c>
      <c r="AC2865" s="816"/>
      <c r="AD2865" s="817"/>
      <c r="AE2865" s="943"/>
      <c r="AF2865" s="924">
        <f>IF(X2865=X2864,AF2864,0)+IF(ISNUMBER(I2865),IF(I2865&lt;1,I2865,I2865*VLOOKUP(J2865,Summary!$H$2:$I$9,2)),VLOOKUP(J2865,Summary!$J$2:$K$9,2)*IF(ISNUMBER(H2865),H2865,1))</f>
        <v>9.4513888888888897E-2</v>
      </c>
      <c r="AG2865" s="292">
        <v>2864</v>
      </c>
      <c r="AH2865" s="94"/>
      <c r="AI2865" s="94"/>
    </row>
    <row r="2866" spans="1:36" s="2" customFormat="1" ht="12" customHeight="1" x14ac:dyDescent="0.25">
      <c r="A2866" s="737" t="s">
        <v>3710</v>
      </c>
      <c r="B2866" s="738" t="s">
        <v>6146</v>
      </c>
      <c r="C2866" s="739"/>
      <c r="D2866" s="407" t="s">
        <v>15345</v>
      </c>
      <c r="E2866" s="315" t="s">
        <v>15932</v>
      </c>
      <c r="F2866" s="196">
        <v>43368</v>
      </c>
      <c r="G2866" s="170"/>
      <c r="H2866" s="170" t="s">
        <v>461</v>
      </c>
      <c r="I2866" s="747">
        <f>TIME(0,60,0)</f>
        <v>4.1666666666666664E-2</v>
      </c>
      <c r="J2866" s="899" t="s">
        <v>4706</v>
      </c>
      <c r="K2866" s="167" t="s">
        <v>4552</v>
      </c>
      <c r="L2866" s="167" t="s">
        <v>179</v>
      </c>
      <c r="M2866" s="167"/>
      <c r="N2866" s="167" t="s">
        <v>1643</v>
      </c>
      <c r="O2866" s="167" t="s">
        <v>1643</v>
      </c>
      <c r="P2866" s="168" t="s">
        <v>15344</v>
      </c>
      <c r="Q2866" s="167" t="s">
        <v>3947</v>
      </c>
      <c r="R2866" s="172" t="s">
        <v>3711</v>
      </c>
      <c r="S2866" s="388"/>
      <c r="T2866" s="168" t="s">
        <v>2611</v>
      </c>
      <c r="U2866" s="168"/>
      <c r="V2866" s="168"/>
      <c r="W2866" s="315" t="s">
        <v>15932</v>
      </c>
      <c r="X2866" s="644" t="s">
        <v>12481</v>
      </c>
      <c r="Y2866" s="352" t="s">
        <v>2798</v>
      </c>
      <c r="Z2866" s="353">
        <v>999</v>
      </c>
      <c r="AA2866" s="353"/>
      <c r="AB2866" s="31">
        <f t="shared" ca="1" si="64"/>
        <v>0.17015650016945139</v>
      </c>
      <c r="AC2866" s="810"/>
      <c r="AD2866" s="811"/>
      <c r="AE2866" s="940"/>
      <c r="AF2866" s="920">
        <f>IF(X2866=X2865,AF2865,0)+IF(ISNUMBER(I2866),IF(I2866&lt;1,I2866,I2866*VLOOKUP(J2866,Summary!$H$2:$I$9,2)),VLOOKUP(J2866,Summary!$J$2:$K$9,2)*IF(ISNUMBER(H2866),H2866,1))</f>
        <v>0.13618055555555555</v>
      </c>
      <c r="AG2866" s="287">
        <v>2865</v>
      </c>
      <c r="AH2866" s="94"/>
      <c r="AI2866" s="94"/>
    </row>
    <row r="2867" spans="1:36" s="2" customFormat="1" ht="12" customHeight="1" x14ac:dyDescent="0.25">
      <c r="A2867" s="405" t="s">
        <v>3710</v>
      </c>
      <c r="B2867" s="406" t="s">
        <v>6146</v>
      </c>
      <c r="C2867" s="405">
        <v>1.2</v>
      </c>
      <c r="D2867" s="407" t="s">
        <v>3713</v>
      </c>
      <c r="E2867" s="315" t="s">
        <v>1332</v>
      </c>
      <c r="F2867" s="169">
        <v>36039</v>
      </c>
      <c r="G2867" s="170"/>
      <c r="H2867" s="170">
        <v>4</v>
      </c>
      <c r="I2867" s="746">
        <f>TIME(0,100,27)</f>
        <v>6.9756944444444455E-2</v>
      </c>
      <c r="J2867" s="899" t="s">
        <v>4706</v>
      </c>
      <c r="K2867" s="167" t="s">
        <v>4740</v>
      </c>
      <c r="L2867" s="167" t="s">
        <v>7375</v>
      </c>
      <c r="M2867" s="167"/>
      <c r="N2867" s="167"/>
      <c r="O2867" s="167"/>
      <c r="P2867" s="168" t="s">
        <v>3715</v>
      </c>
      <c r="Q2867" s="167" t="s">
        <v>3947</v>
      </c>
      <c r="R2867" s="172" t="s">
        <v>3711</v>
      </c>
      <c r="S2867" s="388"/>
      <c r="T2867" s="168" t="s">
        <v>2611</v>
      </c>
      <c r="U2867" s="168"/>
      <c r="V2867" s="168"/>
      <c r="W2867" s="312"/>
      <c r="X2867" s="644" t="s">
        <v>12481</v>
      </c>
      <c r="Y2867" s="352"/>
      <c r="Z2867" s="353"/>
      <c r="AA2867" s="353"/>
      <c r="AB2867" s="31">
        <f t="shared" ca="1" si="64"/>
        <v>0.1999912382968001</v>
      </c>
      <c r="AC2867" s="810"/>
      <c r="AD2867" s="811"/>
      <c r="AE2867" s="940"/>
      <c r="AF2867" s="920">
        <f>IF(X2867=X2866,AF2866,0)+IF(ISNUMBER(I2867),IF(I2867&lt;1,I2867,I2867*VLOOKUP(J2867,Summary!$H$2:$I$9,2)),VLOOKUP(J2867,Summary!$J$2:$K$9,2)*IF(ISNUMBER(H2867),H2867,1))</f>
        <v>0.2059375</v>
      </c>
      <c r="AG2867" s="287">
        <v>2866</v>
      </c>
      <c r="AH2867" s="94"/>
      <c r="AI2867" s="94"/>
      <c r="AJ2867" s="43"/>
    </row>
    <row r="2868" spans="1:36" s="26" customFormat="1" ht="12" customHeight="1" x14ac:dyDescent="0.25">
      <c r="A2868" s="478" t="s">
        <v>3710</v>
      </c>
      <c r="B2868" s="478" t="s">
        <v>6146</v>
      </c>
      <c r="C2868" s="478">
        <v>11.03</v>
      </c>
      <c r="D2868" s="192" t="s">
        <v>15807</v>
      </c>
      <c r="E2868" s="317" t="s">
        <v>15806</v>
      </c>
      <c r="F2868" s="209">
        <v>43453</v>
      </c>
      <c r="G2868" s="191"/>
      <c r="H2868" s="192" t="s">
        <v>461</v>
      </c>
      <c r="I2868" s="192"/>
      <c r="J2868" s="903" t="s">
        <v>2755</v>
      </c>
      <c r="K2868" s="194" t="s">
        <v>340</v>
      </c>
      <c r="L2868" s="194" t="s">
        <v>461</v>
      </c>
      <c r="M2868" s="194" t="s">
        <v>5662</v>
      </c>
      <c r="N2868" s="194" t="s">
        <v>4944</v>
      </c>
      <c r="O2868" s="194" t="s">
        <v>4944</v>
      </c>
      <c r="P2868" s="190" t="s">
        <v>15800</v>
      </c>
      <c r="Q2868" s="194" t="s">
        <v>3947</v>
      </c>
      <c r="R2868" s="193" t="s">
        <v>6720</v>
      </c>
      <c r="S2868" s="357"/>
      <c r="T2868" s="190" t="s">
        <v>2611</v>
      </c>
      <c r="U2868" s="190"/>
      <c r="V2868" s="190"/>
      <c r="W2868" s="317" t="s">
        <v>15806</v>
      </c>
      <c r="X2868" s="649" t="s">
        <v>12481</v>
      </c>
      <c r="Y2868" s="357"/>
      <c r="Z2868" s="192"/>
      <c r="AA2868" s="192"/>
      <c r="AB2868" s="37">
        <f t="shared" ca="1" si="64"/>
        <v>0.11633492917290611</v>
      </c>
      <c r="AC2868" s="816"/>
      <c r="AD2868" s="817"/>
      <c r="AE2868" s="943"/>
      <c r="AF2868" s="924">
        <f>IF(X2868=X2867,AF2867,0)+IF(ISNUMBER(I2868),IF(I2868&lt;1,I2868,I2868*VLOOKUP(J2868,Summary!$H$2:$I$9,2)),VLOOKUP(J2868,Summary!$J$2:$K$9,2)*IF(ISNUMBER(H2868),H2868,1))</f>
        <v>0.2232986111111111</v>
      </c>
      <c r="AG2868" s="292">
        <v>2867</v>
      </c>
      <c r="AH2868" s="94"/>
      <c r="AI2868" s="94"/>
    </row>
    <row r="2869" spans="1:36" s="2" customFormat="1" ht="12" customHeight="1" x14ac:dyDescent="0.25">
      <c r="A2869" s="405" t="s">
        <v>3710</v>
      </c>
      <c r="B2869" s="406" t="s">
        <v>6146</v>
      </c>
      <c r="C2869" s="405">
        <v>1.3</v>
      </c>
      <c r="D2869" s="407" t="s">
        <v>3714</v>
      </c>
      <c r="E2869" s="315" t="s">
        <v>1375</v>
      </c>
      <c r="F2869" s="169">
        <v>36100</v>
      </c>
      <c r="G2869" s="170"/>
      <c r="H2869" s="170">
        <v>2</v>
      </c>
      <c r="I2869" s="746">
        <f>TIME(0,92,10)</f>
        <v>6.4004629629629634E-2</v>
      </c>
      <c r="J2869" s="899" t="s">
        <v>4706</v>
      </c>
      <c r="K2869" s="167" t="s">
        <v>3720</v>
      </c>
      <c r="L2869" s="167" t="s">
        <v>7375</v>
      </c>
      <c r="M2869" s="167"/>
      <c r="N2869" s="167"/>
      <c r="O2869" s="167"/>
      <c r="P2869" s="168" t="s">
        <v>3716</v>
      </c>
      <c r="Q2869" s="167" t="s">
        <v>3947</v>
      </c>
      <c r="R2869" s="172" t="s">
        <v>3711</v>
      </c>
      <c r="S2869" s="388"/>
      <c r="T2869" s="168" t="s">
        <v>2611</v>
      </c>
      <c r="U2869" s="168"/>
      <c r="V2869" s="168"/>
      <c r="W2869" s="312"/>
      <c r="X2869" s="644" t="s">
        <v>12481</v>
      </c>
      <c r="Y2869" s="352"/>
      <c r="Z2869" s="353"/>
      <c r="AA2869" s="353"/>
      <c r="AB2869" s="31">
        <f t="shared" ca="1" si="64"/>
        <v>0.24896104558158594</v>
      </c>
      <c r="AC2869" s="810"/>
      <c r="AD2869" s="811"/>
      <c r="AE2869" s="940"/>
      <c r="AF2869" s="920">
        <f>IF(X2869=X2868,AF2868,0)+IF(ISNUMBER(I2869),IF(I2869&lt;1,I2869,I2869*VLOOKUP(J2869,Summary!$H$2:$I$9,2)),VLOOKUP(J2869,Summary!$J$2:$K$9,2)*IF(ISNUMBER(H2869),H2869,1))</f>
        <v>0.28730324074074076</v>
      </c>
      <c r="AG2869" s="287">
        <v>2868</v>
      </c>
      <c r="AH2869" s="94"/>
      <c r="AI2869" s="94"/>
    </row>
    <row r="2870" spans="1:36" s="43" customFormat="1" ht="12" customHeight="1" x14ac:dyDescent="0.25">
      <c r="A2870" s="405" t="s">
        <v>3710</v>
      </c>
      <c r="B2870" s="406" t="s">
        <v>6146</v>
      </c>
      <c r="C2870" s="405">
        <v>1.4</v>
      </c>
      <c r="D2870" s="407" t="s">
        <v>6745</v>
      </c>
      <c r="E2870" s="315" t="s">
        <v>43</v>
      </c>
      <c r="F2870" s="169">
        <v>36192</v>
      </c>
      <c r="G2870" s="170"/>
      <c r="H2870" s="170">
        <v>2</v>
      </c>
      <c r="I2870" s="746">
        <f>TIME(0,127,50)</f>
        <v>8.8773148148148143E-2</v>
      </c>
      <c r="J2870" s="899" t="s">
        <v>4706</v>
      </c>
      <c r="K2870" s="167" t="s">
        <v>6747</v>
      </c>
      <c r="L2870" s="167" t="s">
        <v>4549</v>
      </c>
      <c r="M2870" s="167"/>
      <c r="N2870" s="167"/>
      <c r="O2870" s="167"/>
      <c r="P2870" s="168" t="s">
        <v>6748</v>
      </c>
      <c r="Q2870" s="167" t="s">
        <v>3947</v>
      </c>
      <c r="R2870" s="172" t="s">
        <v>3711</v>
      </c>
      <c r="S2870" s="388"/>
      <c r="T2870" s="168" t="s">
        <v>2611</v>
      </c>
      <c r="U2870" s="168"/>
      <c r="V2870" s="168"/>
      <c r="W2870" s="312"/>
      <c r="X2870" s="644" t="s">
        <v>12481</v>
      </c>
      <c r="Y2870" s="352"/>
      <c r="Z2870" s="353"/>
      <c r="AA2870" s="353"/>
      <c r="AB2870" s="31">
        <f t="shared" ca="1" si="64"/>
        <v>0.41649080285832052</v>
      </c>
      <c r="AC2870" s="810"/>
      <c r="AD2870" s="811"/>
      <c r="AE2870" s="940"/>
      <c r="AF2870" s="920">
        <f>IF(X2870=X2869,AF2869,0)+IF(ISNUMBER(I2870),IF(I2870&lt;1,I2870,I2870*VLOOKUP(J2870,Summary!$H$2:$I$9,2)),VLOOKUP(J2870,Summary!$J$2:$K$9,2)*IF(ISNUMBER(H2870),H2870,1))</f>
        <v>0.37607638888888889</v>
      </c>
      <c r="AG2870" s="287">
        <v>2869</v>
      </c>
      <c r="AH2870" s="94"/>
      <c r="AI2870" s="94"/>
      <c r="AJ2870" s="29"/>
    </row>
    <row r="2871" spans="1:36" s="43" customFormat="1" ht="12" customHeight="1" x14ac:dyDescent="0.25">
      <c r="A2871" s="405" t="s">
        <v>3710</v>
      </c>
      <c r="B2871" s="406" t="s">
        <v>6146</v>
      </c>
      <c r="C2871" s="405">
        <v>1.5</v>
      </c>
      <c r="D2871" s="407" t="s">
        <v>6746</v>
      </c>
      <c r="E2871" s="315" t="s">
        <v>6115</v>
      </c>
      <c r="F2871" s="169">
        <v>36373</v>
      </c>
      <c r="G2871" s="170"/>
      <c r="H2871" s="170">
        <v>2</v>
      </c>
      <c r="I2871" s="746">
        <f>TIME(0,115,42)</f>
        <v>8.0347222222222223E-2</v>
      </c>
      <c r="J2871" s="899" t="s">
        <v>4706</v>
      </c>
      <c r="K2871" s="167" t="s">
        <v>6749</v>
      </c>
      <c r="L2871" s="167" t="s">
        <v>7375</v>
      </c>
      <c r="M2871" s="167"/>
      <c r="N2871" s="167"/>
      <c r="O2871" s="167"/>
      <c r="P2871" s="168" t="s">
        <v>3719</v>
      </c>
      <c r="Q2871" s="167" t="s">
        <v>3947</v>
      </c>
      <c r="R2871" s="172" t="s">
        <v>3711</v>
      </c>
      <c r="S2871" s="388"/>
      <c r="T2871" s="168" t="s">
        <v>2611</v>
      </c>
      <c r="U2871" s="168"/>
      <c r="V2871" s="168"/>
      <c r="W2871" s="312"/>
      <c r="X2871" s="644" t="s">
        <v>12481</v>
      </c>
      <c r="Y2871" s="352"/>
      <c r="Z2871" s="353"/>
      <c r="AA2871" s="353"/>
      <c r="AB2871" s="31">
        <f t="shared" ca="1" si="64"/>
        <v>0.40677192735750667</v>
      </c>
      <c r="AC2871" s="810"/>
      <c r="AD2871" s="811"/>
      <c r="AE2871" s="940"/>
      <c r="AF2871" s="920">
        <f>IF(X2871=X2870,AF2870,0)+IF(ISNUMBER(I2871),IF(I2871&lt;1,I2871,I2871*VLOOKUP(J2871,Summary!$H$2:$I$9,2)),VLOOKUP(J2871,Summary!$J$2:$K$9,2)*IF(ISNUMBER(H2871),H2871,1))</f>
        <v>0.45642361111111113</v>
      </c>
      <c r="AG2871" s="287">
        <v>2870</v>
      </c>
      <c r="AH2871" s="94"/>
      <c r="AI2871" s="94"/>
      <c r="AJ2871" s="2"/>
    </row>
    <row r="2872" spans="1:36" s="43" customFormat="1" ht="12" customHeight="1" x14ac:dyDescent="0.25">
      <c r="A2872" s="405" t="s">
        <v>3710</v>
      </c>
      <c r="B2872" s="406" t="s">
        <v>6146</v>
      </c>
      <c r="C2872" s="405">
        <v>1.6</v>
      </c>
      <c r="D2872" s="407" t="s">
        <v>3712</v>
      </c>
      <c r="E2872" s="315" t="s">
        <v>1330</v>
      </c>
      <c r="F2872" s="169">
        <v>36770</v>
      </c>
      <c r="G2872" s="170"/>
      <c r="H2872" s="170">
        <v>1</v>
      </c>
      <c r="I2872" s="746">
        <f>TIME(0,72,31)</f>
        <v>5.0358796296296297E-2</v>
      </c>
      <c r="J2872" s="899" t="s">
        <v>4706</v>
      </c>
      <c r="K2872" s="167" t="s">
        <v>3721</v>
      </c>
      <c r="L2872" s="167" t="s">
        <v>6245</v>
      </c>
      <c r="M2872" s="167"/>
      <c r="N2872" s="167"/>
      <c r="O2872" s="167"/>
      <c r="P2872" s="168" t="s">
        <v>3717</v>
      </c>
      <c r="Q2872" s="167" t="s">
        <v>3947</v>
      </c>
      <c r="R2872" s="172" t="s">
        <v>3711</v>
      </c>
      <c r="S2872" s="388"/>
      <c r="T2872" s="168" t="s">
        <v>2611</v>
      </c>
      <c r="U2872" s="168"/>
      <c r="V2872" s="168"/>
      <c r="W2872" s="312"/>
      <c r="X2872" s="644" t="s">
        <v>12481</v>
      </c>
      <c r="Y2872" s="352"/>
      <c r="Z2872" s="353"/>
      <c r="AA2872" s="353"/>
      <c r="AB2872" s="31">
        <f t="shared" ca="1" si="64"/>
        <v>3.4194247142328549E-2</v>
      </c>
      <c r="AC2872" s="810"/>
      <c r="AD2872" s="811"/>
      <c r="AE2872" s="940"/>
      <c r="AF2872" s="920">
        <f>IF(X2872=X2871,AF2871,0)+IF(ISNUMBER(I2872),IF(I2872&lt;1,I2872,I2872*VLOOKUP(J2872,Summary!$H$2:$I$9,2)),VLOOKUP(J2872,Summary!$J$2:$K$9,2)*IF(ISNUMBER(H2872),H2872,1))</f>
        <v>0.50678240740740743</v>
      </c>
      <c r="AG2872" s="287">
        <v>2871</v>
      </c>
      <c r="AH2872" s="94"/>
      <c r="AI2872" s="94"/>
      <c r="AJ2872" s="3"/>
    </row>
    <row r="2873" spans="1:36" s="3" customFormat="1" ht="12" customHeight="1" x14ac:dyDescent="0.25">
      <c r="A2873" s="409" t="s">
        <v>3710</v>
      </c>
      <c r="B2873" s="410" t="s">
        <v>6146</v>
      </c>
      <c r="C2873" s="556">
        <v>1.01</v>
      </c>
      <c r="D2873" s="434" t="s">
        <v>6757</v>
      </c>
      <c r="E2873" s="324" t="s">
        <v>2036</v>
      </c>
      <c r="F2873" s="174">
        <v>36770</v>
      </c>
      <c r="G2873" s="176"/>
      <c r="H2873" s="176" t="s">
        <v>461</v>
      </c>
      <c r="I2873" s="176"/>
      <c r="J2873" s="900" t="s">
        <v>2755</v>
      </c>
      <c r="K2873" s="157" t="s">
        <v>5150</v>
      </c>
      <c r="L2873" s="157" t="s">
        <v>461</v>
      </c>
      <c r="M2873" s="157"/>
      <c r="N2873" s="157"/>
      <c r="O2873" s="157"/>
      <c r="P2873" s="173" t="s">
        <v>6750</v>
      </c>
      <c r="Q2873" s="157" t="s">
        <v>3947</v>
      </c>
      <c r="R2873" s="179" t="s">
        <v>6720</v>
      </c>
      <c r="S2873" s="354"/>
      <c r="T2873" s="173" t="s">
        <v>2611</v>
      </c>
      <c r="U2873" s="173"/>
      <c r="V2873" s="173"/>
      <c r="W2873" s="324" t="s">
        <v>2036</v>
      </c>
      <c r="X2873" s="656" t="s">
        <v>12481</v>
      </c>
      <c r="Y2873" s="363"/>
      <c r="Z2873" s="364"/>
      <c r="AA2873" s="364"/>
      <c r="AB2873" s="32">
        <f t="shared" ca="1" si="64"/>
        <v>3.2260649065278812E-2</v>
      </c>
      <c r="AC2873" s="812"/>
      <c r="AD2873" s="763"/>
      <c r="AE2873" s="951"/>
      <c r="AF2873" s="921">
        <f>IF(X2873=X2872,AF2872,0)+IF(ISNUMBER(I2873),IF(I2873&lt;1,I2873,I2873*VLOOKUP(J2873,Summary!$H$2:$I$9,2)),VLOOKUP(J2873,Summary!$J$2:$K$9,2)*IF(ISNUMBER(H2873),H2873,1))</f>
        <v>0.52414351851851859</v>
      </c>
      <c r="AG2873" s="288">
        <v>2872</v>
      </c>
      <c r="AH2873" s="94"/>
      <c r="AI2873" s="94"/>
    </row>
    <row r="2874" spans="1:36" s="3" customFormat="1" ht="12" customHeight="1" x14ac:dyDescent="0.25">
      <c r="A2874" s="409" t="s">
        <v>3710</v>
      </c>
      <c r="B2874" s="410" t="s">
        <v>6146</v>
      </c>
      <c r="C2874" s="556">
        <v>1.02</v>
      </c>
      <c r="D2874" s="434" t="s">
        <v>6758</v>
      </c>
      <c r="E2874" s="324" t="s">
        <v>2037</v>
      </c>
      <c r="F2874" s="174">
        <v>36770</v>
      </c>
      <c r="G2874" s="176"/>
      <c r="H2874" s="176" t="s">
        <v>461</v>
      </c>
      <c r="I2874" s="176"/>
      <c r="J2874" s="900" t="s">
        <v>2755</v>
      </c>
      <c r="K2874" s="157" t="s">
        <v>7800</v>
      </c>
      <c r="L2874" s="157" t="s">
        <v>461</v>
      </c>
      <c r="M2874" s="157"/>
      <c r="N2874" s="157"/>
      <c r="O2874" s="157"/>
      <c r="P2874" s="173" t="s">
        <v>6750</v>
      </c>
      <c r="Q2874" s="157" t="s">
        <v>3947</v>
      </c>
      <c r="R2874" s="179" t="s">
        <v>6720</v>
      </c>
      <c r="S2874" s="354"/>
      <c r="T2874" s="173" t="s">
        <v>2611</v>
      </c>
      <c r="U2874" s="173"/>
      <c r="V2874" s="173"/>
      <c r="W2874" s="324" t="s">
        <v>2037</v>
      </c>
      <c r="X2874" s="656" t="s">
        <v>12481</v>
      </c>
      <c r="Y2874" s="363"/>
      <c r="Z2874" s="364"/>
      <c r="AA2874" s="364"/>
      <c r="AB2874" s="32">
        <f t="shared" ca="1" si="64"/>
        <v>0.67359178092559857</v>
      </c>
      <c r="AC2874" s="812"/>
      <c r="AD2874" s="763"/>
      <c r="AE2874" s="951"/>
      <c r="AF2874" s="921">
        <f>IF(X2874=X2873,AF2873,0)+IF(ISNUMBER(I2874),IF(I2874&lt;1,I2874,I2874*VLOOKUP(J2874,Summary!$H$2:$I$9,2)),VLOOKUP(J2874,Summary!$J$2:$K$9,2)*IF(ISNUMBER(H2874),H2874,1))</f>
        <v>0.54150462962962975</v>
      </c>
      <c r="AG2874" s="288">
        <v>2873</v>
      </c>
      <c r="AH2874" s="94"/>
      <c r="AI2874" s="94"/>
    </row>
    <row r="2875" spans="1:36" s="43" customFormat="1" ht="12" customHeight="1" x14ac:dyDescent="0.25">
      <c r="A2875" s="409" t="s">
        <v>3710</v>
      </c>
      <c r="B2875" s="410" t="s">
        <v>6146</v>
      </c>
      <c r="C2875" s="556">
        <v>1.03</v>
      </c>
      <c r="D2875" s="434" t="s">
        <v>6759</v>
      </c>
      <c r="E2875" s="324" t="s">
        <v>2038</v>
      </c>
      <c r="F2875" s="174">
        <v>36770</v>
      </c>
      <c r="G2875" s="176"/>
      <c r="H2875" s="176" t="s">
        <v>461</v>
      </c>
      <c r="I2875" s="176"/>
      <c r="J2875" s="900" t="s">
        <v>2755</v>
      </c>
      <c r="K2875" s="157" t="s">
        <v>6353</v>
      </c>
      <c r="L2875" s="157" t="s">
        <v>461</v>
      </c>
      <c r="M2875" s="157"/>
      <c r="N2875" s="157"/>
      <c r="O2875" s="157"/>
      <c r="P2875" s="173" t="s">
        <v>6750</v>
      </c>
      <c r="Q2875" s="157" t="s">
        <v>3947</v>
      </c>
      <c r="R2875" s="179" t="s">
        <v>6720</v>
      </c>
      <c r="S2875" s="354"/>
      <c r="T2875" s="173" t="s">
        <v>2611</v>
      </c>
      <c r="U2875" s="173"/>
      <c r="V2875" s="173"/>
      <c r="W2875" s="324" t="s">
        <v>2038</v>
      </c>
      <c r="X2875" s="656" t="s">
        <v>12481</v>
      </c>
      <c r="Y2875" s="363"/>
      <c r="Z2875" s="364"/>
      <c r="AA2875" s="364"/>
      <c r="AB2875" s="32">
        <f t="shared" ca="1" si="64"/>
        <v>5.5008370312440658E-2</v>
      </c>
      <c r="AC2875" s="812"/>
      <c r="AD2875" s="763"/>
      <c r="AE2875" s="951"/>
      <c r="AF2875" s="921">
        <f>IF(X2875=X2874,AF2874,0)+IF(ISNUMBER(I2875),IF(I2875&lt;1,I2875,I2875*VLOOKUP(J2875,Summary!$H$2:$I$9,2)),VLOOKUP(J2875,Summary!$J$2:$K$9,2)*IF(ISNUMBER(H2875),H2875,1))</f>
        <v>0.55886574074074091</v>
      </c>
      <c r="AG2875" s="288">
        <v>2874</v>
      </c>
      <c r="AH2875" s="94"/>
      <c r="AI2875" s="94"/>
      <c r="AJ2875" s="29"/>
    </row>
    <row r="2876" spans="1:36" s="43" customFormat="1" ht="12" customHeight="1" x14ac:dyDescent="0.25">
      <c r="A2876" s="409" t="s">
        <v>3710</v>
      </c>
      <c r="B2876" s="410" t="s">
        <v>6146</v>
      </c>
      <c r="C2876" s="556">
        <v>1.04</v>
      </c>
      <c r="D2876" s="434" t="s">
        <v>6760</v>
      </c>
      <c r="E2876" s="324" t="s">
        <v>2039</v>
      </c>
      <c r="F2876" s="174">
        <v>36770</v>
      </c>
      <c r="G2876" s="176"/>
      <c r="H2876" s="176" t="s">
        <v>461</v>
      </c>
      <c r="I2876" s="176"/>
      <c r="J2876" s="900" t="s">
        <v>2755</v>
      </c>
      <c r="K2876" s="157" t="s">
        <v>6236</v>
      </c>
      <c r="L2876" s="157" t="s">
        <v>461</v>
      </c>
      <c r="M2876" s="157"/>
      <c r="N2876" s="157"/>
      <c r="O2876" s="157"/>
      <c r="P2876" s="173" t="s">
        <v>6750</v>
      </c>
      <c r="Q2876" s="157" t="s">
        <v>3947</v>
      </c>
      <c r="R2876" s="179" t="s">
        <v>6720</v>
      </c>
      <c r="S2876" s="354"/>
      <c r="T2876" s="173" t="s">
        <v>2611</v>
      </c>
      <c r="U2876" s="173"/>
      <c r="V2876" s="173"/>
      <c r="W2876" s="324" t="s">
        <v>2039</v>
      </c>
      <c r="X2876" s="656" t="s">
        <v>12481</v>
      </c>
      <c r="Y2876" s="363"/>
      <c r="Z2876" s="364"/>
      <c r="AA2876" s="364"/>
      <c r="AB2876" s="32">
        <f t="shared" ca="1" si="64"/>
        <v>0.65751473123802751</v>
      </c>
      <c r="AC2876" s="812"/>
      <c r="AD2876" s="763"/>
      <c r="AE2876" s="951"/>
      <c r="AF2876" s="921">
        <f>IF(X2876=X2875,AF2875,0)+IF(ISNUMBER(I2876),IF(I2876&lt;1,I2876,I2876*VLOOKUP(J2876,Summary!$H$2:$I$9,2)),VLOOKUP(J2876,Summary!$J$2:$K$9,2)*IF(ISNUMBER(H2876),H2876,1))</f>
        <v>0.57622685185185207</v>
      </c>
      <c r="AG2876" s="288">
        <v>2875</v>
      </c>
      <c r="AH2876" s="94"/>
      <c r="AI2876" s="94"/>
    </row>
    <row r="2877" spans="1:36" s="43" customFormat="1" ht="12" customHeight="1" x14ac:dyDescent="0.25">
      <c r="A2877" s="409" t="s">
        <v>3710</v>
      </c>
      <c r="B2877" s="410" t="s">
        <v>6146</v>
      </c>
      <c r="C2877" s="556">
        <v>1.05</v>
      </c>
      <c r="D2877" s="434" t="s">
        <v>6751</v>
      </c>
      <c r="E2877" s="324" t="s">
        <v>2040</v>
      </c>
      <c r="F2877" s="174">
        <v>36770</v>
      </c>
      <c r="G2877" s="176"/>
      <c r="H2877" s="176" t="s">
        <v>461</v>
      </c>
      <c r="I2877" s="176"/>
      <c r="J2877" s="900" t="s">
        <v>2755</v>
      </c>
      <c r="K2877" s="157" t="s">
        <v>2046</v>
      </c>
      <c r="L2877" s="157" t="s">
        <v>461</v>
      </c>
      <c r="M2877" s="157"/>
      <c r="N2877" s="157"/>
      <c r="O2877" s="157"/>
      <c r="P2877" s="173" t="s">
        <v>6750</v>
      </c>
      <c r="Q2877" s="157" t="s">
        <v>3947</v>
      </c>
      <c r="R2877" s="179" t="s">
        <v>6720</v>
      </c>
      <c r="S2877" s="354"/>
      <c r="T2877" s="173" t="s">
        <v>2611</v>
      </c>
      <c r="U2877" s="173"/>
      <c r="V2877" s="173"/>
      <c r="W2877" s="324" t="s">
        <v>2040</v>
      </c>
      <c r="X2877" s="656" t="s">
        <v>12481</v>
      </c>
      <c r="Y2877" s="363"/>
      <c r="Z2877" s="364"/>
      <c r="AA2877" s="364"/>
      <c r="AB2877" s="32">
        <f t="shared" ca="1" si="64"/>
        <v>0.36951905266643281</v>
      </c>
      <c r="AC2877" s="812"/>
      <c r="AD2877" s="763"/>
      <c r="AE2877" s="951"/>
      <c r="AF2877" s="921">
        <f>IF(X2877=X2876,AF2876,0)+IF(ISNUMBER(I2877),IF(I2877&lt;1,I2877,I2877*VLOOKUP(J2877,Summary!$H$2:$I$9,2)),VLOOKUP(J2877,Summary!$J$2:$K$9,2)*IF(ISNUMBER(H2877),H2877,1))</f>
        <v>0.59358796296296323</v>
      </c>
      <c r="AG2877" s="288">
        <v>2876</v>
      </c>
      <c r="AH2877" s="94"/>
      <c r="AI2877" s="94"/>
      <c r="AJ2877" s="1"/>
    </row>
    <row r="2878" spans="1:36" s="43" customFormat="1" ht="12" customHeight="1" x14ac:dyDescent="0.25">
      <c r="A2878" s="409" t="s">
        <v>3710</v>
      </c>
      <c r="B2878" s="410" t="s">
        <v>6146</v>
      </c>
      <c r="C2878" s="556">
        <v>1.06</v>
      </c>
      <c r="D2878" s="434" t="s">
        <v>6752</v>
      </c>
      <c r="E2878" s="324" t="s">
        <v>2041</v>
      </c>
      <c r="F2878" s="174">
        <v>36770</v>
      </c>
      <c r="G2878" s="176"/>
      <c r="H2878" s="176" t="s">
        <v>461</v>
      </c>
      <c r="I2878" s="176"/>
      <c r="J2878" s="900" t="s">
        <v>2755</v>
      </c>
      <c r="K2878" s="157" t="s">
        <v>6948</v>
      </c>
      <c r="L2878" s="157" t="s">
        <v>461</v>
      </c>
      <c r="M2878" s="157"/>
      <c r="N2878" s="157"/>
      <c r="O2878" s="157"/>
      <c r="P2878" s="173" t="s">
        <v>6750</v>
      </c>
      <c r="Q2878" s="157" t="s">
        <v>3947</v>
      </c>
      <c r="R2878" s="179" t="s">
        <v>6720</v>
      </c>
      <c r="S2878" s="354"/>
      <c r="T2878" s="173" t="s">
        <v>2611</v>
      </c>
      <c r="U2878" s="173"/>
      <c r="V2878" s="173"/>
      <c r="W2878" s="324" t="s">
        <v>2041</v>
      </c>
      <c r="X2878" s="656" t="s">
        <v>12481</v>
      </c>
      <c r="Y2878" s="363"/>
      <c r="Z2878" s="364"/>
      <c r="AA2878" s="364"/>
      <c r="AB2878" s="32">
        <f t="shared" ca="1" si="64"/>
        <v>0.35410012309112093</v>
      </c>
      <c r="AC2878" s="812"/>
      <c r="AD2878" s="763"/>
      <c r="AE2878" s="951"/>
      <c r="AF2878" s="921">
        <f>IF(X2878=X2877,AF2877,0)+IF(ISNUMBER(I2878),IF(I2878&lt;1,I2878,I2878*VLOOKUP(J2878,Summary!$H$2:$I$9,2)),VLOOKUP(J2878,Summary!$J$2:$K$9,2)*IF(ISNUMBER(H2878),H2878,1))</f>
        <v>0.61094907407407439</v>
      </c>
      <c r="AG2878" s="288">
        <v>2877</v>
      </c>
      <c r="AH2878" s="94"/>
      <c r="AI2878" s="94"/>
      <c r="AJ2878" s="3"/>
    </row>
    <row r="2879" spans="1:36" s="43" customFormat="1" ht="12" customHeight="1" x14ac:dyDescent="0.25">
      <c r="A2879" s="409" t="s">
        <v>3710</v>
      </c>
      <c r="B2879" s="410" t="s">
        <v>6146</v>
      </c>
      <c r="C2879" s="556">
        <v>1.07</v>
      </c>
      <c r="D2879" s="434" t="s">
        <v>6753</v>
      </c>
      <c r="E2879" s="324" t="s">
        <v>2042</v>
      </c>
      <c r="F2879" s="174">
        <v>36770</v>
      </c>
      <c r="G2879" s="176"/>
      <c r="H2879" s="176" t="s">
        <v>461</v>
      </c>
      <c r="I2879" s="176"/>
      <c r="J2879" s="900" t="s">
        <v>2755</v>
      </c>
      <c r="K2879" s="157" t="s">
        <v>2047</v>
      </c>
      <c r="L2879" s="157" t="s">
        <v>461</v>
      </c>
      <c r="M2879" s="157"/>
      <c r="N2879" s="157"/>
      <c r="O2879" s="157"/>
      <c r="P2879" s="173" t="s">
        <v>6750</v>
      </c>
      <c r="Q2879" s="157" t="s">
        <v>3947</v>
      </c>
      <c r="R2879" s="179" t="s">
        <v>6720</v>
      </c>
      <c r="S2879" s="354"/>
      <c r="T2879" s="173" t="s">
        <v>2611</v>
      </c>
      <c r="U2879" s="173"/>
      <c r="V2879" s="173"/>
      <c r="W2879" s="324" t="s">
        <v>2042</v>
      </c>
      <c r="X2879" s="656" t="s">
        <v>12481</v>
      </c>
      <c r="Y2879" s="363"/>
      <c r="Z2879" s="364"/>
      <c r="AA2879" s="364"/>
      <c r="AB2879" s="32">
        <f t="shared" ca="1" si="64"/>
        <v>7.7953795910594703E-3</v>
      </c>
      <c r="AC2879" s="812"/>
      <c r="AD2879" s="763"/>
      <c r="AE2879" s="951"/>
      <c r="AF2879" s="921">
        <f>IF(X2879=X2878,AF2878,0)+IF(ISNUMBER(I2879),IF(I2879&lt;1,I2879,I2879*VLOOKUP(J2879,Summary!$H$2:$I$9,2)),VLOOKUP(J2879,Summary!$J$2:$K$9,2)*IF(ISNUMBER(H2879),H2879,1))</f>
        <v>0.62831018518518555</v>
      </c>
      <c r="AG2879" s="288">
        <v>2878</v>
      </c>
      <c r="AH2879" s="94"/>
      <c r="AI2879" s="94"/>
      <c r="AJ2879" s="2"/>
    </row>
    <row r="2880" spans="1:36" s="3" customFormat="1" ht="12" customHeight="1" x14ac:dyDescent="0.25">
      <c r="A2880" s="409" t="s">
        <v>3710</v>
      </c>
      <c r="B2880" s="410" t="s">
        <v>6146</v>
      </c>
      <c r="C2880" s="556">
        <v>1.08</v>
      </c>
      <c r="D2880" s="434" t="s">
        <v>6754</v>
      </c>
      <c r="E2880" s="324" t="s">
        <v>2043</v>
      </c>
      <c r="F2880" s="174">
        <v>36770</v>
      </c>
      <c r="G2880" s="176"/>
      <c r="H2880" s="176" t="s">
        <v>461</v>
      </c>
      <c r="I2880" s="176"/>
      <c r="J2880" s="900" t="s">
        <v>2755</v>
      </c>
      <c r="K2880" s="157" t="s">
        <v>7799</v>
      </c>
      <c r="L2880" s="157" t="s">
        <v>461</v>
      </c>
      <c r="M2880" s="157"/>
      <c r="N2880" s="157"/>
      <c r="O2880" s="157"/>
      <c r="P2880" s="173" t="s">
        <v>6750</v>
      </c>
      <c r="Q2880" s="157" t="s">
        <v>3947</v>
      </c>
      <c r="R2880" s="179" t="s">
        <v>6720</v>
      </c>
      <c r="S2880" s="354"/>
      <c r="T2880" s="173" t="s">
        <v>2611</v>
      </c>
      <c r="U2880" s="173"/>
      <c r="V2880" s="173"/>
      <c r="W2880" s="324" t="s">
        <v>2043</v>
      </c>
      <c r="X2880" s="656" t="s">
        <v>12481</v>
      </c>
      <c r="Y2880" s="363"/>
      <c r="Z2880" s="364"/>
      <c r="AA2880" s="364"/>
      <c r="AB2880" s="32">
        <f t="shared" ca="1" si="64"/>
        <v>0.35055372459889811</v>
      </c>
      <c r="AC2880" s="812"/>
      <c r="AD2880" s="763"/>
      <c r="AE2880" s="951"/>
      <c r="AF2880" s="921">
        <f>IF(X2880=X2879,AF2879,0)+IF(ISNUMBER(I2880),IF(I2880&lt;1,I2880,I2880*VLOOKUP(J2880,Summary!$H$2:$I$9,2)),VLOOKUP(J2880,Summary!$J$2:$K$9,2)*IF(ISNUMBER(H2880),H2880,1))</f>
        <v>0.64567129629629672</v>
      </c>
      <c r="AG2880" s="288">
        <v>2879</v>
      </c>
      <c r="AH2880" s="94"/>
      <c r="AI2880" s="94"/>
      <c r="AJ2880" s="58"/>
    </row>
    <row r="2881" spans="1:36" s="2" customFormat="1" ht="12" customHeight="1" x14ac:dyDescent="0.25">
      <c r="A2881" s="723" t="s">
        <v>3710</v>
      </c>
      <c r="B2881" s="724" t="s">
        <v>6146</v>
      </c>
      <c r="C2881" s="725">
        <v>1.0900000000000001</v>
      </c>
      <c r="D2881" s="463" t="s">
        <v>6755</v>
      </c>
      <c r="E2881" s="330" t="s">
        <v>2044</v>
      </c>
      <c r="F2881" s="191">
        <v>36770</v>
      </c>
      <c r="G2881" s="192"/>
      <c r="H2881" s="192" t="s">
        <v>461</v>
      </c>
      <c r="I2881" s="192"/>
      <c r="J2881" s="903" t="s">
        <v>2755</v>
      </c>
      <c r="K2881" s="159" t="s">
        <v>3810</v>
      </c>
      <c r="L2881" s="159" t="s">
        <v>461</v>
      </c>
      <c r="M2881" s="159" t="s">
        <v>5662</v>
      </c>
      <c r="N2881" s="159"/>
      <c r="O2881" s="159"/>
      <c r="P2881" s="190" t="s">
        <v>6750</v>
      </c>
      <c r="Q2881" s="159" t="s">
        <v>3947</v>
      </c>
      <c r="R2881" s="221" t="s">
        <v>6720</v>
      </c>
      <c r="S2881" s="357"/>
      <c r="T2881" s="190" t="s">
        <v>2611</v>
      </c>
      <c r="U2881" s="190"/>
      <c r="V2881" s="190"/>
      <c r="W2881" s="330" t="s">
        <v>2044</v>
      </c>
      <c r="X2881" s="662" t="s">
        <v>12481</v>
      </c>
      <c r="Y2881" s="378"/>
      <c r="Z2881" s="367"/>
      <c r="AA2881" s="367"/>
      <c r="AB2881" s="37">
        <f t="shared" ca="1" si="64"/>
        <v>0.37594287049508257</v>
      </c>
      <c r="AC2881" s="816"/>
      <c r="AD2881" s="817"/>
      <c r="AE2881" s="955"/>
      <c r="AF2881" s="924">
        <f>IF(X2881=X2880,AF2880,0)+IF(ISNUMBER(I2881),IF(I2881&lt;1,I2881,I2881*VLOOKUP(J2881,Summary!$H$2:$I$9,2)),VLOOKUP(J2881,Summary!$J$2:$K$9,2)*IF(ISNUMBER(H2881),H2881,1))</f>
        <v>0.66303240740740788</v>
      </c>
      <c r="AG2881" s="298">
        <v>2880</v>
      </c>
      <c r="AH2881" s="94"/>
      <c r="AI2881" s="94"/>
      <c r="AJ2881" s="7"/>
    </row>
    <row r="2882" spans="1:36" s="3" customFormat="1" ht="12" customHeight="1" x14ac:dyDescent="0.25">
      <c r="A2882" s="409" t="s">
        <v>3710</v>
      </c>
      <c r="B2882" s="410" t="s">
        <v>6146</v>
      </c>
      <c r="C2882" s="556">
        <v>1.1000000000000001</v>
      </c>
      <c r="D2882" s="434" t="s">
        <v>6756</v>
      </c>
      <c r="E2882" s="324" t="s">
        <v>2045</v>
      </c>
      <c r="F2882" s="174">
        <v>36770</v>
      </c>
      <c r="G2882" s="176"/>
      <c r="H2882" s="176" t="s">
        <v>461</v>
      </c>
      <c r="I2882" s="176"/>
      <c r="J2882" s="900" t="s">
        <v>2755</v>
      </c>
      <c r="K2882" s="157" t="s">
        <v>1936</v>
      </c>
      <c r="L2882" s="157" t="s">
        <v>461</v>
      </c>
      <c r="M2882" s="157"/>
      <c r="N2882" s="157"/>
      <c r="O2882" s="157"/>
      <c r="P2882" s="173" t="s">
        <v>6750</v>
      </c>
      <c r="Q2882" s="157" t="s">
        <v>3947</v>
      </c>
      <c r="R2882" s="179" t="s">
        <v>6720</v>
      </c>
      <c r="S2882" s="354"/>
      <c r="T2882" s="173" t="s">
        <v>2611</v>
      </c>
      <c r="U2882" s="173"/>
      <c r="V2882" s="173"/>
      <c r="W2882" s="324" t="s">
        <v>2045</v>
      </c>
      <c r="X2882" s="656" t="s">
        <v>12481</v>
      </c>
      <c r="Y2882" s="363"/>
      <c r="Z2882" s="364"/>
      <c r="AA2882" s="364"/>
      <c r="AB2882" s="32">
        <f t="shared" ref="AB2882:AB2945" ca="1" si="66">RAND()</f>
        <v>0.6985231662007616</v>
      </c>
      <c r="AC2882" s="812"/>
      <c r="AD2882" s="763"/>
      <c r="AE2882" s="951"/>
      <c r="AF2882" s="921">
        <f>IF(X2882=X2881,AF2881,0)+IF(ISNUMBER(I2882),IF(I2882&lt;1,I2882,I2882*VLOOKUP(J2882,Summary!$H$2:$I$9,2)),VLOOKUP(J2882,Summary!$J$2:$K$9,2)*IF(ISNUMBER(H2882),H2882,1))</f>
        <v>0.68039351851851904</v>
      </c>
      <c r="AG2882" s="288">
        <v>2881</v>
      </c>
      <c r="AH2882" s="94"/>
      <c r="AI2882" s="94"/>
      <c r="AJ2882" s="22"/>
    </row>
    <row r="2883" spans="1:36" s="3" customFormat="1" ht="12" customHeight="1" x14ac:dyDescent="0.25">
      <c r="A2883" s="474" t="s">
        <v>3710</v>
      </c>
      <c r="B2883" s="507" t="s">
        <v>6146</v>
      </c>
      <c r="C2883" s="474">
        <v>1</v>
      </c>
      <c r="D2883" s="417" t="s">
        <v>2049</v>
      </c>
      <c r="E2883" s="316" t="s">
        <v>2048</v>
      </c>
      <c r="F2883" s="187">
        <v>36831</v>
      </c>
      <c r="G2883" s="188"/>
      <c r="H2883" s="188" t="s">
        <v>461</v>
      </c>
      <c r="I2883" s="188">
        <v>213</v>
      </c>
      <c r="J2883" s="902" t="s">
        <v>6868</v>
      </c>
      <c r="K2883" s="162" t="s">
        <v>543</v>
      </c>
      <c r="L2883" s="162" t="str">
        <f>IF(J2883="Book","n/a","")</f>
        <v>n/a</v>
      </c>
      <c r="M2883" s="162"/>
      <c r="N2883" s="162"/>
      <c r="O2883" s="162"/>
      <c r="P2883" s="178" t="s">
        <v>2050</v>
      </c>
      <c r="Q2883" s="162" t="s">
        <v>3947</v>
      </c>
      <c r="R2883" s="189" t="s">
        <v>6721</v>
      </c>
      <c r="S2883" s="366"/>
      <c r="T2883" s="178" t="s">
        <v>2611</v>
      </c>
      <c r="U2883" s="178"/>
      <c r="V2883" s="178"/>
      <c r="W2883" s="316" t="s">
        <v>2048</v>
      </c>
      <c r="X2883" s="648" t="s">
        <v>12481</v>
      </c>
      <c r="Y2883" s="356"/>
      <c r="Z2883" s="272"/>
      <c r="AA2883" s="272"/>
      <c r="AB2883" s="34">
        <f t="shared" ca="1" si="66"/>
        <v>3.9010268974504769E-2</v>
      </c>
      <c r="AC2883" s="814"/>
      <c r="AD2883" s="815" t="s">
        <v>16273</v>
      </c>
      <c r="AE2883" s="942"/>
      <c r="AF2883" s="923">
        <f>IF(X2883=X2882,AF2882,0)+IF(ISNUMBER(I2883),IF(I2883&lt;1,I2883,I2883*VLOOKUP(J2883,Summary!$H$2:$I$9,2)),VLOOKUP(J2883,Summary!$J$2:$K$9,2)*IF(ISNUMBER(H2883),H2883,1))</f>
        <v>0.82831018518518573</v>
      </c>
      <c r="AG2883" s="291">
        <v>2882</v>
      </c>
      <c r="AH2883" s="94"/>
      <c r="AI2883" s="94"/>
      <c r="AJ2883" s="2"/>
    </row>
    <row r="2884" spans="1:36" s="2" customFormat="1" ht="12" customHeight="1" x14ac:dyDescent="0.25">
      <c r="A2884" s="405" t="s">
        <v>2051</v>
      </c>
      <c r="B2884" s="406" t="s">
        <v>6146</v>
      </c>
      <c r="C2884" s="405">
        <v>2.1</v>
      </c>
      <c r="D2884" s="407" t="s">
        <v>2064</v>
      </c>
      <c r="E2884" s="315" t="s">
        <v>2065</v>
      </c>
      <c r="F2884" s="169">
        <v>36861</v>
      </c>
      <c r="G2884" s="170"/>
      <c r="H2884" s="170">
        <v>1</v>
      </c>
      <c r="I2884" s="746">
        <f>TIME(0,68,32)</f>
        <v>4.7592592592592596E-2</v>
      </c>
      <c r="J2884" s="899" t="s">
        <v>4706</v>
      </c>
      <c r="K2884" s="167" t="s">
        <v>6997</v>
      </c>
      <c r="L2884" s="167" t="s">
        <v>7375</v>
      </c>
      <c r="M2884" s="167"/>
      <c r="N2884" s="167"/>
      <c r="O2884" s="167"/>
      <c r="P2884" s="168" t="s">
        <v>2072</v>
      </c>
      <c r="Q2884" s="167" t="s">
        <v>3947</v>
      </c>
      <c r="R2884" s="172" t="s">
        <v>3711</v>
      </c>
      <c r="S2884" s="388"/>
      <c r="T2884" s="168" t="s">
        <v>2611</v>
      </c>
      <c r="U2884" s="168"/>
      <c r="V2884" s="168"/>
      <c r="W2884" s="315" t="s">
        <v>2065</v>
      </c>
      <c r="X2884" s="644" t="s">
        <v>12488</v>
      </c>
      <c r="Y2884" s="352"/>
      <c r="Z2884" s="353"/>
      <c r="AA2884" s="353"/>
      <c r="AB2884" s="31">
        <f t="shared" ca="1" si="66"/>
        <v>0.35536545119168772</v>
      </c>
      <c r="AC2884" s="810"/>
      <c r="AD2884" s="811" t="s">
        <v>16274</v>
      </c>
      <c r="AE2884" s="940"/>
      <c r="AF2884" s="920">
        <f>IF(X2884=X2883,AF2883,0)+IF(ISNUMBER(I2884),IF(I2884&lt;1,I2884,I2884*VLOOKUP(J2884,Summary!$H$2:$I$9,2)),VLOOKUP(J2884,Summary!$J$2:$K$9,2)*IF(ISNUMBER(H2884),H2884,1))</f>
        <v>4.7592592592592596E-2</v>
      </c>
      <c r="AG2884" s="287">
        <v>2883</v>
      </c>
      <c r="AH2884" s="94"/>
      <c r="AI2884" s="94"/>
      <c r="AJ2884" s="43"/>
    </row>
    <row r="2885" spans="1:36" s="3" customFormat="1" ht="12" customHeight="1" x14ac:dyDescent="0.25">
      <c r="A2885" s="474" t="s">
        <v>2051</v>
      </c>
      <c r="B2885" s="507" t="s">
        <v>6146</v>
      </c>
      <c r="C2885" s="474">
        <v>3</v>
      </c>
      <c r="D2885" s="417" t="s">
        <v>2054</v>
      </c>
      <c r="E2885" s="316" t="s">
        <v>2057</v>
      </c>
      <c r="F2885" s="187">
        <v>36982</v>
      </c>
      <c r="G2885" s="188"/>
      <c r="H2885" s="188" t="s">
        <v>461</v>
      </c>
      <c r="I2885" s="188">
        <v>188</v>
      </c>
      <c r="J2885" s="902" t="s">
        <v>6868</v>
      </c>
      <c r="K2885" s="162" t="s">
        <v>4552</v>
      </c>
      <c r="L2885" s="162" t="str">
        <f>IF(J2885="Book","n/a","")</f>
        <v>n/a</v>
      </c>
      <c r="M2885" s="162"/>
      <c r="N2885" s="162"/>
      <c r="O2885" s="162"/>
      <c r="P2885" s="178" t="s">
        <v>2061</v>
      </c>
      <c r="Q2885" s="162" t="s">
        <v>3947</v>
      </c>
      <c r="R2885" s="189" t="s">
        <v>6721</v>
      </c>
      <c r="S2885" s="366"/>
      <c r="T2885" s="178" t="s">
        <v>2611</v>
      </c>
      <c r="U2885" s="178"/>
      <c r="V2885" s="178"/>
      <c r="W2885" s="316" t="s">
        <v>2057</v>
      </c>
      <c r="X2885" s="648" t="s">
        <v>12488</v>
      </c>
      <c r="Y2885" s="356"/>
      <c r="Z2885" s="272"/>
      <c r="AA2885" s="272"/>
      <c r="AB2885" s="34">
        <f t="shared" ca="1" si="66"/>
        <v>0.14098449731470164</v>
      </c>
      <c r="AC2885" s="814"/>
      <c r="AD2885" s="815" t="s">
        <v>16275</v>
      </c>
      <c r="AE2885" s="942"/>
      <c r="AF2885" s="923">
        <f>IF(X2885=X2884,AF2884,0)+IF(ISNUMBER(I2885),IF(I2885&lt;1,I2885,I2885*VLOOKUP(J2885,Summary!$H$2:$I$9,2)),VLOOKUP(J2885,Summary!$J$2:$K$9,2)*IF(ISNUMBER(H2885),H2885,1))</f>
        <v>0.17814814814814817</v>
      </c>
      <c r="AG2885" s="291">
        <v>2884</v>
      </c>
      <c r="AH2885" s="94"/>
      <c r="AI2885" s="94"/>
    </row>
    <row r="2886" spans="1:36" s="2" customFormat="1" ht="12" customHeight="1" x14ac:dyDescent="0.25">
      <c r="A2886" s="474" t="s">
        <v>2051</v>
      </c>
      <c r="B2886" s="507" t="s">
        <v>6146</v>
      </c>
      <c r="C2886" s="474">
        <v>2</v>
      </c>
      <c r="D2886" s="417" t="s">
        <v>2052</v>
      </c>
      <c r="E2886" s="316" t="s">
        <v>2056</v>
      </c>
      <c r="F2886" s="187">
        <v>36892</v>
      </c>
      <c r="G2886" s="188"/>
      <c r="H2886" s="188" t="s">
        <v>461</v>
      </c>
      <c r="I2886" s="188">
        <v>227</v>
      </c>
      <c r="J2886" s="902" t="s">
        <v>6868</v>
      </c>
      <c r="K2886" s="162" t="s">
        <v>6237</v>
      </c>
      <c r="L2886" s="162" t="str">
        <f>IF(J2886="Book","n/a","")</f>
        <v>n/a</v>
      </c>
      <c r="M2886" s="162"/>
      <c r="N2886" s="162"/>
      <c r="O2886" s="162"/>
      <c r="P2886" s="178" t="s">
        <v>2060</v>
      </c>
      <c r="Q2886" s="162" t="s">
        <v>3947</v>
      </c>
      <c r="R2886" s="189" t="s">
        <v>6721</v>
      </c>
      <c r="S2886" s="366"/>
      <c r="T2886" s="178" t="s">
        <v>2611</v>
      </c>
      <c r="U2886" s="178"/>
      <c r="V2886" s="178"/>
      <c r="W2886" s="316" t="s">
        <v>2056</v>
      </c>
      <c r="X2886" s="648" t="s">
        <v>12488</v>
      </c>
      <c r="Y2886" s="356"/>
      <c r="Z2886" s="272"/>
      <c r="AA2886" s="272"/>
      <c r="AB2886" s="34">
        <f t="shared" ca="1" si="66"/>
        <v>0.2574698142557108</v>
      </c>
      <c r="AC2886" s="814"/>
      <c r="AD2886" s="815" t="s">
        <v>16276</v>
      </c>
      <c r="AE2886" s="942"/>
      <c r="AF2886" s="923">
        <f>IF(X2886=X2885,AF2885,0)+IF(ISNUMBER(I2886),IF(I2886&lt;1,I2886,I2886*VLOOKUP(J2886,Summary!$H$2:$I$9,2)),VLOOKUP(J2886,Summary!$J$2:$K$9,2)*IF(ISNUMBER(H2886),H2886,1))</f>
        <v>0.33578703703703705</v>
      </c>
      <c r="AG2886" s="291">
        <v>2885</v>
      </c>
      <c r="AH2886" s="94"/>
      <c r="AI2886" s="94"/>
      <c r="AJ2886" s="43"/>
    </row>
    <row r="2887" spans="1:36" s="2" customFormat="1" ht="12" customHeight="1" x14ac:dyDescent="0.25">
      <c r="A2887" s="405" t="s">
        <v>2051</v>
      </c>
      <c r="B2887" s="406" t="s">
        <v>6146</v>
      </c>
      <c r="C2887" s="405">
        <v>2.2000000000000002</v>
      </c>
      <c r="D2887" s="407" t="s">
        <v>2066</v>
      </c>
      <c r="E2887" s="315" t="s">
        <v>2067</v>
      </c>
      <c r="F2887" s="169">
        <v>37012</v>
      </c>
      <c r="G2887" s="170"/>
      <c r="H2887" s="170">
        <v>1</v>
      </c>
      <c r="I2887" s="746">
        <f>TIME(0,67,48)</f>
        <v>4.7083333333333331E-2</v>
      </c>
      <c r="J2887" s="899" t="s">
        <v>4706</v>
      </c>
      <c r="K2887" s="167" t="s">
        <v>1935</v>
      </c>
      <c r="L2887" s="167" t="s">
        <v>6245</v>
      </c>
      <c r="M2887" s="167"/>
      <c r="N2887" s="167"/>
      <c r="O2887" s="167"/>
      <c r="P2887" s="168" t="s">
        <v>2073</v>
      </c>
      <c r="Q2887" s="167" t="s">
        <v>3947</v>
      </c>
      <c r="R2887" s="172" t="s">
        <v>3711</v>
      </c>
      <c r="S2887" s="388"/>
      <c r="T2887" s="168" t="s">
        <v>2611</v>
      </c>
      <c r="U2887" s="168"/>
      <c r="V2887" s="168"/>
      <c r="W2887" s="315" t="s">
        <v>2067</v>
      </c>
      <c r="X2887" s="644" t="s">
        <v>12488</v>
      </c>
      <c r="Y2887" s="352"/>
      <c r="Z2887" s="353"/>
      <c r="AA2887" s="353"/>
      <c r="AB2887" s="31">
        <f t="shared" ca="1" si="66"/>
        <v>0.89782904331472024</v>
      </c>
      <c r="AC2887" s="810"/>
      <c r="AD2887" s="811" t="s">
        <v>16274</v>
      </c>
      <c r="AE2887" s="940"/>
      <c r="AF2887" s="920">
        <f>IF(X2887=X2886,AF2886,0)+IF(ISNUMBER(I2887),IF(I2887&lt;1,I2887,I2887*VLOOKUP(J2887,Summary!$H$2:$I$9,2)),VLOOKUP(J2887,Summary!$J$2:$K$9,2)*IF(ISNUMBER(H2887),H2887,1))</f>
        <v>0.38287037037037036</v>
      </c>
      <c r="AG2887" s="287">
        <v>2886</v>
      </c>
      <c r="AH2887" s="94"/>
      <c r="AI2887" s="94"/>
      <c r="AJ2887" s="3"/>
    </row>
    <row r="2888" spans="1:36" s="3" customFormat="1" ht="12" customHeight="1" x14ac:dyDescent="0.25">
      <c r="A2888" s="405" t="s">
        <v>2051</v>
      </c>
      <c r="B2888" s="406" t="s">
        <v>6146</v>
      </c>
      <c r="C2888" s="405">
        <v>2.2999999999999998</v>
      </c>
      <c r="D2888" s="407" t="s">
        <v>2068</v>
      </c>
      <c r="E2888" s="315" t="s">
        <v>2069</v>
      </c>
      <c r="F2888" s="169">
        <v>37073</v>
      </c>
      <c r="G2888" s="170"/>
      <c r="H2888" s="170">
        <v>1</v>
      </c>
      <c r="I2888" s="746">
        <f>TIME(0,60,47)</f>
        <v>4.221064814814815E-2</v>
      </c>
      <c r="J2888" s="899" t="s">
        <v>4706</v>
      </c>
      <c r="K2888" s="167" t="s">
        <v>2311</v>
      </c>
      <c r="L2888" s="167" t="s">
        <v>7375</v>
      </c>
      <c r="M2888" s="167"/>
      <c r="N2888" s="167"/>
      <c r="O2888" s="167"/>
      <c r="P2888" s="168" t="s">
        <v>7464</v>
      </c>
      <c r="Q2888" s="167" t="s">
        <v>3947</v>
      </c>
      <c r="R2888" s="172" t="s">
        <v>3711</v>
      </c>
      <c r="S2888" s="388"/>
      <c r="T2888" s="168" t="s">
        <v>2611</v>
      </c>
      <c r="U2888" s="168"/>
      <c r="V2888" s="168"/>
      <c r="W2888" s="315" t="s">
        <v>2069</v>
      </c>
      <c r="X2888" s="644" t="s">
        <v>12488</v>
      </c>
      <c r="Y2888" s="352"/>
      <c r="Z2888" s="353"/>
      <c r="AA2888" s="353"/>
      <c r="AB2888" s="31">
        <f t="shared" ca="1" si="66"/>
        <v>0.3065233626071483</v>
      </c>
      <c r="AC2888" s="810"/>
      <c r="AD2888" s="811" t="s">
        <v>16274</v>
      </c>
      <c r="AE2888" s="940"/>
      <c r="AF2888" s="920">
        <f>IF(X2888=X2887,AF2887,0)+IF(ISNUMBER(I2888),IF(I2888&lt;1,I2888,I2888*VLOOKUP(J2888,Summary!$H$2:$I$9,2)),VLOOKUP(J2888,Summary!$J$2:$K$9,2)*IF(ISNUMBER(H2888),H2888,1))</f>
        <v>0.42508101851851854</v>
      </c>
      <c r="AG2888" s="287">
        <v>2887</v>
      </c>
      <c r="AH2888" s="94"/>
      <c r="AI2888" s="94"/>
    </row>
    <row r="2889" spans="1:36" s="2" customFormat="1" ht="12" customHeight="1" x14ac:dyDescent="0.25">
      <c r="A2889" s="474" t="s">
        <v>2051</v>
      </c>
      <c r="B2889" s="507" t="s">
        <v>6146</v>
      </c>
      <c r="C2889" s="474">
        <v>4</v>
      </c>
      <c r="D2889" s="417" t="s">
        <v>2055</v>
      </c>
      <c r="E2889" s="316" t="s">
        <v>2058</v>
      </c>
      <c r="F2889" s="187">
        <v>37104</v>
      </c>
      <c r="G2889" s="188"/>
      <c r="H2889" s="188" t="s">
        <v>461</v>
      </c>
      <c r="I2889" s="188">
        <v>188</v>
      </c>
      <c r="J2889" s="902" t="s">
        <v>6868</v>
      </c>
      <c r="K2889" s="162" t="s">
        <v>7799</v>
      </c>
      <c r="L2889" s="162" t="str">
        <f>IF(J2889="Book","n/a","")</f>
        <v>n/a</v>
      </c>
      <c r="M2889" s="162"/>
      <c r="N2889" s="162"/>
      <c r="O2889" s="162"/>
      <c r="P2889" s="178" t="s">
        <v>2062</v>
      </c>
      <c r="Q2889" s="162" t="s">
        <v>3947</v>
      </c>
      <c r="R2889" s="189" t="s">
        <v>6721</v>
      </c>
      <c r="S2889" s="366"/>
      <c r="T2889" s="178" t="s">
        <v>2611</v>
      </c>
      <c r="U2889" s="178"/>
      <c r="V2889" s="178"/>
      <c r="W2889" s="316" t="s">
        <v>2058</v>
      </c>
      <c r="X2889" s="648" t="s">
        <v>12488</v>
      </c>
      <c r="Y2889" s="356"/>
      <c r="Z2889" s="272"/>
      <c r="AA2889" s="272"/>
      <c r="AB2889" s="34">
        <f t="shared" ca="1" si="66"/>
        <v>0.66506944631755682</v>
      </c>
      <c r="AC2889" s="814"/>
      <c r="AD2889" s="815" t="s">
        <v>16274</v>
      </c>
      <c r="AE2889" s="942"/>
      <c r="AF2889" s="923">
        <f>IF(X2889=X2888,AF2888,0)+IF(ISNUMBER(I2889),IF(I2889&lt;1,I2889,I2889*VLOOKUP(J2889,Summary!$H$2:$I$9,2)),VLOOKUP(J2889,Summary!$J$2:$K$9,2)*IF(ISNUMBER(H2889),H2889,1))</f>
        <v>0.55563657407407407</v>
      </c>
      <c r="AG2889" s="291">
        <v>2888</v>
      </c>
      <c r="AH2889" s="94"/>
      <c r="AI2889" s="94"/>
      <c r="AJ2889" s="43"/>
    </row>
    <row r="2890" spans="1:36" s="2" customFormat="1" ht="12" customHeight="1" x14ac:dyDescent="0.25">
      <c r="A2890" s="405" t="s">
        <v>2051</v>
      </c>
      <c r="B2890" s="406" t="s">
        <v>6146</v>
      </c>
      <c r="C2890" s="405">
        <v>2.4</v>
      </c>
      <c r="D2890" s="407" t="s">
        <v>2070</v>
      </c>
      <c r="E2890" s="315" t="s">
        <v>2071</v>
      </c>
      <c r="F2890" s="169">
        <v>37135</v>
      </c>
      <c r="G2890" s="170"/>
      <c r="H2890" s="170">
        <v>1</v>
      </c>
      <c r="I2890" s="746">
        <f>TIME(0,64,55)</f>
        <v>4.5081018518518527E-2</v>
      </c>
      <c r="J2890" s="899" t="s">
        <v>4706</v>
      </c>
      <c r="K2890" s="167" t="s">
        <v>6997</v>
      </c>
      <c r="L2890" s="167" t="s">
        <v>6245</v>
      </c>
      <c r="M2890" s="167"/>
      <c r="N2890" s="167"/>
      <c r="O2890" s="167"/>
      <c r="P2890" s="168" t="s">
        <v>7464</v>
      </c>
      <c r="Q2890" s="167" t="s">
        <v>3947</v>
      </c>
      <c r="R2890" s="172" t="s">
        <v>3711</v>
      </c>
      <c r="S2890" s="388"/>
      <c r="T2890" s="168" t="s">
        <v>2611</v>
      </c>
      <c r="U2890" s="168"/>
      <c r="V2890" s="168"/>
      <c r="W2890" s="315" t="s">
        <v>2071</v>
      </c>
      <c r="X2890" s="644" t="s">
        <v>12488</v>
      </c>
      <c r="Y2890" s="352"/>
      <c r="Z2890" s="353"/>
      <c r="AA2890" s="353"/>
      <c r="AB2890" s="31">
        <f t="shared" ca="1" si="66"/>
        <v>0.91225656828698121</v>
      </c>
      <c r="AC2890" s="810"/>
      <c r="AD2890" s="811" t="s">
        <v>16274</v>
      </c>
      <c r="AE2890" s="940"/>
      <c r="AF2890" s="920">
        <f>IF(X2890=X2889,AF2889,0)+IF(ISNUMBER(I2890),IF(I2890&lt;1,I2890,I2890*VLOOKUP(J2890,Summary!$H$2:$I$9,2)),VLOOKUP(J2890,Summary!$J$2:$K$9,2)*IF(ISNUMBER(H2890),H2890,1))</f>
        <v>0.60071759259259261</v>
      </c>
      <c r="AG2890" s="287">
        <v>2889</v>
      </c>
      <c r="AH2890" s="94"/>
      <c r="AI2890" s="94"/>
      <c r="AJ2890" s="1"/>
    </row>
    <row r="2891" spans="1:36" s="2" customFormat="1" ht="12" customHeight="1" x14ac:dyDescent="0.25">
      <c r="A2891" s="474" t="s">
        <v>4263</v>
      </c>
      <c r="B2891" s="507" t="s">
        <v>6146</v>
      </c>
      <c r="C2891" s="474">
        <v>5</v>
      </c>
      <c r="D2891" s="417" t="s">
        <v>2053</v>
      </c>
      <c r="E2891" s="316" t="s">
        <v>2059</v>
      </c>
      <c r="F2891" s="187">
        <v>37257</v>
      </c>
      <c r="G2891" s="188"/>
      <c r="H2891" s="188" t="s">
        <v>461</v>
      </c>
      <c r="I2891" s="188">
        <v>207</v>
      </c>
      <c r="J2891" s="902" t="s">
        <v>6868</v>
      </c>
      <c r="K2891" s="162" t="s">
        <v>4552</v>
      </c>
      <c r="L2891" s="162" t="str">
        <f>IF(J2891="Book","n/a","")</f>
        <v>n/a</v>
      </c>
      <c r="M2891" s="162"/>
      <c r="N2891" s="162"/>
      <c r="O2891" s="162"/>
      <c r="P2891" s="178" t="s">
        <v>2063</v>
      </c>
      <c r="Q2891" s="162" t="s">
        <v>3947</v>
      </c>
      <c r="R2891" s="189" t="s">
        <v>6721</v>
      </c>
      <c r="S2891" s="366"/>
      <c r="T2891" s="178" t="s">
        <v>2611</v>
      </c>
      <c r="U2891" s="178"/>
      <c r="V2891" s="178"/>
      <c r="W2891" s="316" t="s">
        <v>2059</v>
      </c>
      <c r="X2891" s="648" t="s">
        <v>12482</v>
      </c>
      <c r="Y2891" s="356"/>
      <c r="Z2891" s="272"/>
      <c r="AA2891" s="272"/>
      <c r="AB2891" s="34">
        <f t="shared" ca="1" si="66"/>
        <v>0.10406802593684517</v>
      </c>
      <c r="AC2891" s="814"/>
      <c r="AD2891" s="815" t="s">
        <v>16277</v>
      </c>
      <c r="AE2891" s="942"/>
      <c r="AF2891" s="923">
        <f>IF(X2891=X2890,AF2890,0)+IF(ISNUMBER(I2891),IF(I2891&lt;1,I2891,I2891*VLOOKUP(J2891,Summary!$H$2:$I$9,2)),VLOOKUP(J2891,Summary!$J$2:$K$9,2)*IF(ISNUMBER(H2891),H2891,1))</f>
        <v>0.14375000000000002</v>
      </c>
      <c r="AG2891" s="291">
        <v>2890</v>
      </c>
      <c r="AH2891" s="94"/>
      <c r="AI2891" s="94"/>
      <c r="AJ2891" s="1"/>
    </row>
    <row r="2892" spans="1:36" s="2" customFormat="1" ht="12" customHeight="1" x14ac:dyDescent="0.25">
      <c r="A2892" s="405" t="s">
        <v>4263</v>
      </c>
      <c r="B2892" s="406" t="s">
        <v>6146</v>
      </c>
      <c r="C2892" s="405">
        <v>3.1</v>
      </c>
      <c r="D2892" s="407" t="s">
        <v>1409</v>
      </c>
      <c r="E2892" s="315" t="s">
        <v>1410</v>
      </c>
      <c r="F2892" s="169">
        <v>37288</v>
      </c>
      <c r="G2892" s="170"/>
      <c r="H2892" s="170">
        <v>1</v>
      </c>
      <c r="I2892" s="746">
        <f>TIME(0,59,44)</f>
        <v>4.148148148148148E-2</v>
      </c>
      <c r="J2892" s="899" t="s">
        <v>4706</v>
      </c>
      <c r="K2892" s="167" t="s">
        <v>341</v>
      </c>
      <c r="L2892" s="167" t="s">
        <v>1427</v>
      </c>
      <c r="M2892" s="167"/>
      <c r="N2892" s="167"/>
      <c r="O2892" s="167"/>
      <c r="P2892" s="168" t="s">
        <v>1428</v>
      </c>
      <c r="Q2892" s="167" t="s">
        <v>3947</v>
      </c>
      <c r="R2892" s="172" t="s">
        <v>3711</v>
      </c>
      <c r="S2892" s="388"/>
      <c r="T2892" s="168" t="s">
        <v>2611</v>
      </c>
      <c r="U2892" s="168"/>
      <c r="V2892" s="168"/>
      <c r="W2892" s="315" t="s">
        <v>1410</v>
      </c>
      <c r="X2892" s="644" t="s">
        <v>12482</v>
      </c>
      <c r="Y2892" s="352"/>
      <c r="Z2892" s="353"/>
      <c r="AA2892" s="353"/>
      <c r="AB2892" s="31">
        <f t="shared" ca="1" si="66"/>
        <v>0.66361480822847219</v>
      </c>
      <c r="AC2892" s="810"/>
      <c r="AD2892" s="811" t="s">
        <v>16278</v>
      </c>
      <c r="AE2892" s="940"/>
      <c r="AF2892" s="920">
        <f>IF(X2892=X2891,AF2891,0)+IF(ISNUMBER(I2892),IF(I2892&lt;1,I2892,I2892*VLOOKUP(J2892,Summary!$H$2:$I$9,2)),VLOOKUP(J2892,Summary!$J$2:$K$9,2)*IF(ISNUMBER(H2892),H2892,1))</f>
        <v>0.1852314814814815</v>
      </c>
      <c r="AG2892" s="287">
        <v>2891</v>
      </c>
      <c r="AH2892" s="94"/>
      <c r="AI2892" s="94"/>
      <c r="AJ2892" s="1"/>
    </row>
    <row r="2893" spans="1:36" s="43" customFormat="1" ht="12" customHeight="1" x14ac:dyDescent="0.25">
      <c r="A2893" s="405" t="s">
        <v>4263</v>
      </c>
      <c r="B2893" s="406" t="s">
        <v>6146</v>
      </c>
      <c r="C2893" s="405">
        <v>3.2</v>
      </c>
      <c r="D2893" s="407" t="s">
        <v>1411</v>
      </c>
      <c r="E2893" s="315" t="s">
        <v>1412</v>
      </c>
      <c r="F2893" s="169">
        <v>37469</v>
      </c>
      <c r="G2893" s="170"/>
      <c r="H2893" s="170">
        <v>1</v>
      </c>
      <c r="I2893" s="746">
        <f>TIME(0,56,38)</f>
        <v>3.9328703703703706E-2</v>
      </c>
      <c r="J2893" s="899" t="s">
        <v>4706</v>
      </c>
      <c r="K2893" s="167" t="s">
        <v>7799</v>
      </c>
      <c r="L2893" s="167" t="s">
        <v>7375</v>
      </c>
      <c r="M2893" s="167"/>
      <c r="N2893" s="167"/>
      <c r="O2893" s="167"/>
      <c r="P2893" s="168" t="s">
        <v>1429</v>
      </c>
      <c r="Q2893" s="167" t="s">
        <v>3947</v>
      </c>
      <c r="R2893" s="172" t="s">
        <v>3711</v>
      </c>
      <c r="S2893" s="388"/>
      <c r="T2893" s="168" t="s">
        <v>2611</v>
      </c>
      <c r="U2893" s="168"/>
      <c r="V2893" s="168"/>
      <c r="W2893" s="315" t="s">
        <v>1412</v>
      </c>
      <c r="X2893" s="644" t="s">
        <v>12482</v>
      </c>
      <c r="Y2893" s="352"/>
      <c r="Z2893" s="353"/>
      <c r="AA2893" s="353"/>
      <c r="AB2893" s="31">
        <f t="shared" ca="1" si="66"/>
        <v>0.17762185143395515</v>
      </c>
      <c r="AC2893" s="810"/>
      <c r="AD2893" s="811" t="s">
        <v>16278</v>
      </c>
      <c r="AE2893" s="940"/>
      <c r="AF2893" s="920">
        <f>IF(X2893=X2892,AF2892,0)+IF(ISNUMBER(I2893),IF(I2893&lt;1,I2893,I2893*VLOOKUP(J2893,Summary!$H$2:$I$9,2)),VLOOKUP(J2893,Summary!$J$2:$K$9,2)*IF(ISNUMBER(H2893),H2893,1))</f>
        <v>0.2245601851851852</v>
      </c>
      <c r="AG2893" s="287">
        <v>2892</v>
      </c>
      <c r="AH2893" s="94"/>
      <c r="AI2893" s="94"/>
      <c r="AJ2893" s="1"/>
    </row>
    <row r="2894" spans="1:36" s="3" customFormat="1" ht="12" customHeight="1" x14ac:dyDescent="0.25">
      <c r="A2894" s="405" t="s">
        <v>4263</v>
      </c>
      <c r="B2894" s="406" t="s">
        <v>6146</v>
      </c>
      <c r="C2894" s="405">
        <v>4</v>
      </c>
      <c r="D2894" s="407" t="s">
        <v>1413</v>
      </c>
      <c r="E2894" s="315" t="s">
        <v>1414</v>
      </c>
      <c r="F2894" s="169">
        <v>37438</v>
      </c>
      <c r="G2894" s="170"/>
      <c r="H2894" s="170">
        <v>1</v>
      </c>
      <c r="I2894" s="746">
        <f>TIME(0,71,51)</f>
        <v>4.9895833333333334E-2</v>
      </c>
      <c r="J2894" s="899" t="s">
        <v>4706</v>
      </c>
      <c r="K2894" s="167" t="s">
        <v>6237</v>
      </c>
      <c r="L2894" s="167" t="s">
        <v>6231</v>
      </c>
      <c r="M2894" s="167"/>
      <c r="N2894" s="167"/>
      <c r="O2894" s="167"/>
      <c r="P2894" s="168" t="s">
        <v>1430</v>
      </c>
      <c r="Q2894" s="167" t="s">
        <v>3947</v>
      </c>
      <c r="R2894" s="172" t="s">
        <v>3711</v>
      </c>
      <c r="S2894" s="388"/>
      <c r="T2894" s="168" t="s">
        <v>2611</v>
      </c>
      <c r="U2894" s="168"/>
      <c r="V2894" s="168" t="s">
        <v>3535</v>
      </c>
      <c r="W2894" s="315" t="s">
        <v>1414</v>
      </c>
      <c r="X2894" s="644" t="s">
        <v>12482</v>
      </c>
      <c r="Y2894" s="352"/>
      <c r="Z2894" s="353"/>
      <c r="AA2894" s="353"/>
      <c r="AB2894" s="31">
        <f t="shared" ca="1" si="66"/>
        <v>0.35071930387819528</v>
      </c>
      <c r="AC2894" s="810"/>
      <c r="AD2894" s="811" t="s">
        <v>16278</v>
      </c>
      <c r="AE2894" s="940"/>
      <c r="AF2894" s="920">
        <f>IF(X2894=X2893,AF2893,0)+IF(ISNUMBER(I2894),IF(I2894&lt;1,I2894,I2894*VLOOKUP(J2894,Summary!$H$2:$I$9,2)),VLOOKUP(J2894,Summary!$J$2:$K$9,2)*IF(ISNUMBER(H2894),H2894,1))</f>
        <v>0.27445601851851853</v>
      </c>
      <c r="AG2894" s="287">
        <v>2893</v>
      </c>
      <c r="AH2894" s="94"/>
      <c r="AI2894" s="94"/>
      <c r="AJ2894" s="120"/>
    </row>
    <row r="2895" spans="1:36" s="43" customFormat="1" ht="12" customHeight="1" x14ac:dyDescent="0.25">
      <c r="A2895" s="405" t="s">
        <v>4263</v>
      </c>
      <c r="B2895" s="406" t="s">
        <v>6146</v>
      </c>
      <c r="C2895" s="405">
        <v>3.3</v>
      </c>
      <c r="D2895" s="407" t="s">
        <v>1415</v>
      </c>
      <c r="E2895" s="315" t="s">
        <v>1416</v>
      </c>
      <c r="F2895" s="169">
        <v>37500</v>
      </c>
      <c r="G2895" s="170"/>
      <c r="H2895" s="170">
        <v>1</v>
      </c>
      <c r="I2895" s="746">
        <f>TIME(0,64,57)</f>
        <v>4.5104166666666667E-2</v>
      </c>
      <c r="J2895" s="899" t="s">
        <v>4706</v>
      </c>
      <c r="K2895" s="167" t="s">
        <v>6237</v>
      </c>
      <c r="L2895" s="167" t="s">
        <v>6245</v>
      </c>
      <c r="M2895" s="167"/>
      <c r="N2895" s="167"/>
      <c r="O2895" s="167"/>
      <c r="P2895" s="168" t="s">
        <v>1431</v>
      </c>
      <c r="Q2895" s="167" t="s">
        <v>3947</v>
      </c>
      <c r="R2895" s="172" t="s">
        <v>3711</v>
      </c>
      <c r="S2895" s="388"/>
      <c r="T2895" s="168" t="s">
        <v>2611</v>
      </c>
      <c r="U2895" s="168"/>
      <c r="V2895" s="168"/>
      <c r="W2895" s="315" t="s">
        <v>1416</v>
      </c>
      <c r="X2895" s="644" t="s">
        <v>12482</v>
      </c>
      <c r="Y2895" s="352"/>
      <c r="Z2895" s="353"/>
      <c r="AA2895" s="353"/>
      <c r="AB2895" s="31">
        <f t="shared" ca="1" si="66"/>
        <v>0.38867964572816971</v>
      </c>
      <c r="AC2895" s="810"/>
      <c r="AD2895" s="811" t="s">
        <v>16278</v>
      </c>
      <c r="AE2895" s="940"/>
      <c r="AF2895" s="920">
        <f>IF(X2895=X2894,AF2894,0)+IF(ISNUMBER(I2895),IF(I2895&lt;1,I2895,I2895*VLOOKUP(J2895,Summary!$H$2:$I$9,2)),VLOOKUP(J2895,Summary!$J$2:$K$9,2)*IF(ISNUMBER(H2895),H2895,1))</f>
        <v>0.3195601851851852</v>
      </c>
      <c r="AG2895" s="287">
        <v>2894</v>
      </c>
      <c r="AH2895" s="94"/>
      <c r="AI2895" s="94"/>
      <c r="AJ2895" s="1"/>
    </row>
    <row r="2896" spans="1:36" s="3" customFormat="1" ht="12" customHeight="1" x14ac:dyDescent="0.25">
      <c r="A2896" s="409" t="s">
        <v>4263</v>
      </c>
      <c r="B2896" s="410" t="s">
        <v>6146</v>
      </c>
      <c r="C2896" s="556">
        <v>2.0099999999999998</v>
      </c>
      <c r="D2896" s="434" t="s">
        <v>4267</v>
      </c>
      <c r="E2896" s="324" t="s">
        <v>998</v>
      </c>
      <c r="F2896" s="175">
        <v>37533</v>
      </c>
      <c r="G2896" s="176"/>
      <c r="H2896" s="176" t="s">
        <v>461</v>
      </c>
      <c r="I2896" s="176"/>
      <c r="J2896" s="900" t="s">
        <v>2755</v>
      </c>
      <c r="K2896" s="157" t="s">
        <v>3807</v>
      </c>
      <c r="L2896" s="157" t="s">
        <v>461</v>
      </c>
      <c r="M2896" s="157"/>
      <c r="N2896" s="157" t="s">
        <v>3807</v>
      </c>
      <c r="O2896" s="157"/>
      <c r="P2896" s="173" t="s">
        <v>4289</v>
      </c>
      <c r="Q2896" s="157" t="s">
        <v>3947</v>
      </c>
      <c r="R2896" s="179" t="s">
        <v>6720</v>
      </c>
      <c r="S2896" s="354"/>
      <c r="T2896" s="173" t="s">
        <v>2611</v>
      </c>
      <c r="U2896" s="173"/>
      <c r="V2896" s="173"/>
      <c r="W2896" s="324" t="s">
        <v>998</v>
      </c>
      <c r="X2896" s="656" t="s">
        <v>12482</v>
      </c>
      <c r="Y2896" s="363"/>
      <c r="Z2896" s="364"/>
      <c r="AA2896" s="364"/>
      <c r="AB2896" s="32">
        <f t="shared" ca="1" si="66"/>
        <v>3.2977906054884376E-2</v>
      </c>
      <c r="AC2896" s="812"/>
      <c r="AD2896" s="763"/>
      <c r="AE2896" s="951"/>
      <c r="AF2896" s="921">
        <f>IF(X2896=X2895,AF2895,0)+IF(ISNUMBER(I2896),IF(I2896&lt;1,I2896,I2896*VLOOKUP(J2896,Summary!$H$2:$I$9,2)),VLOOKUP(J2896,Summary!$J$2:$K$9,2)*IF(ISNUMBER(H2896),H2896,1))</f>
        <v>0.3369212962962963</v>
      </c>
      <c r="AG2896" s="288">
        <v>2895</v>
      </c>
      <c r="AH2896" s="94"/>
      <c r="AI2896" s="94"/>
    </row>
    <row r="2897" spans="1:36" s="43" customFormat="1" ht="12" customHeight="1" x14ac:dyDescent="0.25">
      <c r="A2897" s="409" t="s">
        <v>4263</v>
      </c>
      <c r="B2897" s="410" t="s">
        <v>6146</v>
      </c>
      <c r="C2897" s="556">
        <v>2.02</v>
      </c>
      <c r="D2897" s="434" t="s">
        <v>4268</v>
      </c>
      <c r="E2897" s="324" t="s">
        <v>999</v>
      </c>
      <c r="F2897" s="175">
        <v>37533</v>
      </c>
      <c r="G2897" s="176"/>
      <c r="H2897" s="176" t="s">
        <v>461</v>
      </c>
      <c r="I2897" s="176"/>
      <c r="J2897" s="900" t="s">
        <v>2755</v>
      </c>
      <c r="K2897" s="157" t="s">
        <v>6236</v>
      </c>
      <c r="L2897" s="157" t="s">
        <v>461</v>
      </c>
      <c r="M2897" s="157"/>
      <c r="N2897" s="157" t="s">
        <v>3807</v>
      </c>
      <c r="O2897" s="157"/>
      <c r="P2897" s="173" t="s">
        <v>4289</v>
      </c>
      <c r="Q2897" s="157" t="s">
        <v>3947</v>
      </c>
      <c r="R2897" s="179" t="s">
        <v>6720</v>
      </c>
      <c r="S2897" s="354"/>
      <c r="T2897" s="173" t="s">
        <v>2611</v>
      </c>
      <c r="U2897" s="173"/>
      <c r="V2897" s="173"/>
      <c r="W2897" s="324" t="s">
        <v>999</v>
      </c>
      <c r="X2897" s="656" t="s">
        <v>12482</v>
      </c>
      <c r="Y2897" s="363"/>
      <c r="Z2897" s="364"/>
      <c r="AA2897" s="364"/>
      <c r="AB2897" s="32">
        <f t="shared" ca="1" si="66"/>
        <v>0.72221047366318636</v>
      </c>
      <c r="AC2897" s="812"/>
      <c r="AD2897" s="763"/>
      <c r="AE2897" s="951"/>
      <c r="AF2897" s="921">
        <f>IF(X2897=X2896,AF2896,0)+IF(ISNUMBER(I2897),IF(I2897&lt;1,I2897,I2897*VLOOKUP(J2897,Summary!$H$2:$I$9,2)),VLOOKUP(J2897,Summary!$J$2:$K$9,2)*IF(ISNUMBER(H2897),H2897,1))</f>
        <v>0.35428240740740741</v>
      </c>
      <c r="AG2897" s="288">
        <v>2896</v>
      </c>
      <c r="AH2897" s="94"/>
      <c r="AI2897" s="94"/>
      <c r="AJ2897" s="1"/>
    </row>
    <row r="2898" spans="1:36" s="44" customFormat="1" ht="12" customHeight="1" x14ac:dyDescent="0.25">
      <c r="A2898" s="723" t="s">
        <v>4263</v>
      </c>
      <c r="B2898" s="724" t="s">
        <v>6146</v>
      </c>
      <c r="C2898" s="725">
        <v>2.0299999999999998</v>
      </c>
      <c r="D2898" s="463" t="s">
        <v>4269</v>
      </c>
      <c r="E2898" s="330" t="s">
        <v>1000</v>
      </c>
      <c r="F2898" s="209">
        <v>37533</v>
      </c>
      <c r="G2898" s="192"/>
      <c r="H2898" s="192" t="s">
        <v>461</v>
      </c>
      <c r="I2898" s="192"/>
      <c r="J2898" s="903" t="s">
        <v>2755</v>
      </c>
      <c r="K2898" s="159" t="s">
        <v>7800</v>
      </c>
      <c r="L2898" s="159" t="s">
        <v>461</v>
      </c>
      <c r="M2898" s="159" t="s">
        <v>5662</v>
      </c>
      <c r="N2898" s="159" t="s">
        <v>3807</v>
      </c>
      <c r="O2898" s="159"/>
      <c r="P2898" s="190" t="s">
        <v>4289</v>
      </c>
      <c r="Q2898" s="159" t="s">
        <v>3947</v>
      </c>
      <c r="R2898" s="221" t="s">
        <v>6720</v>
      </c>
      <c r="S2898" s="357"/>
      <c r="T2898" s="190" t="s">
        <v>2611</v>
      </c>
      <c r="U2898" s="190"/>
      <c r="V2898" s="190"/>
      <c r="W2898" s="330" t="s">
        <v>1000</v>
      </c>
      <c r="X2898" s="662" t="s">
        <v>12482</v>
      </c>
      <c r="Y2898" s="378"/>
      <c r="Z2898" s="367"/>
      <c r="AA2898" s="367"/>
      <c r="AB2898" s="37">
        <f t="shared" ca="1" si="66"/>
        <v>1.5214926054384792E-2</v>
      </c>
      <c r="AC2898" s="816"/>
      <c r="AD2898" s="817"/>
      <c r="AE2898" s="955"/>
      <c r="AF2898" s="924">
        <f>IF(X2898=X2897,AF2897,0)+IF(ISNUMBER(I2898),IF(I2898&lt;1,I2898,I2898*VLOOKUP(J2898,Summary!$H$2:$I$9,2)),VLOOKUP(J2898,Summary!$J$2:$K$9,2)*IF(ISNUMBER(H2898),H2898,1))</f>
        <v>0.37164351851851851</v>
      </c>
      <c r="AG2898" s="298">
        <v>2897</v>
      </c>
      <c r="AH2898" s="94"/>
      <c r="AI2898" s="94"/>
      <c r="AJ2898" s="7"/>
    </row>
    <row r="2899" spans="1:36" s="8" customFormat="1" ht="12" customHeight="1" x14ac:dyDescent="0.25">
      <c r="A2899" s="723" t="s">
        <v>4263</v>
      </c>
      <c r="B2899" s="724" t="s">
        <v>6146</v>
      </c>
      <c r="C2899" s="725">
        <v>2.04</v>
      </c>
      <c r="D2899" s="463" t="s">
        <v>4270</v>
      </c>
      <c r="E2899" s="330" t="s">
        <v>1001</v>
      </c>
      <c r="F2899" s="209">
        <v>37533</v>
      </c>
      <c r="G2899" s="192"/>
      <c r="H2899" s="192" t="s">
        <v>461</v>
      </c>
      <c r="I2899" s="192"/>
      <c r="J2899" s="903" t="s">
        <v>2755</v>
      </c>
      <c r="K2899" s="159" t="s">
        <v>1088</v>
      </c>
      <c r="L2899" s="159" t="s">
        <v>461</v>
      </c>
      <c r="M2899" s="159" t="s">
        <v>5662</v>
      </c>
      <c r="N2899" s="159" t="s">
        <v>3807</v>
      </c>
      <c r="O2899" s="159"/>
      <c r="P2899" s="190" t="s">
        <v>4289</v>
      </c>
      <c r="Q2899" s="159" t="s">
        <v>3947</v>
      </c>
      <c r="R2899" s="221" t="s">
        <v>6720</v>
      </c>
      <c r="S2899" s="357"/>
      <c r="T2899" s="190" t="s">
        <v>2611</v>
      </c>
      <c r="U2899" s="190"/>
      <c r="V2899" s="190"/>
      <c r="W2899" s="330" t="s">
        <v>1001</v>
      </c>
      <c r="X2899" s="662" t="s">
        <v>12482</v>
      </c>
      <c r="Y2899" s="378"/>
      <c r="Z2899" s="367"/>
      <c r="AA2899" s="367"/>
      <c r="AB2899" s="37">
        <f t="shared" ca="1" si="66"/>
        <v>0.19373259657653308</v>
      </c>
      <c r="AC2899" s="816"/>
      <c r="AD2899" s="817"/>
      <c r="AE2899" s="955"/>
      <c r="AF2899" s="924">
        <f>IF(X2899=X2898,AF2898,0)+IF(ISNUMBER(I2899),IF(I2899&lt;1,I2899,I2899*VLOOKUP(J2899,Summary!$H$2:$I$9,2)),VLOOKUP(J2899,Summary!$J$2:$K$9,2)*IF(ISNUMBER(H2899),H2899,1))</f>
        <v>0.38900462962962962</v>
      </c>
      <c r="AG2899" s="298">
        <v>2898</v>
      </c>
      <c r="AH2899" s="94"/>
      <c r="AI2899" s="94"/>
      <c r="AJ2899" s="7"/>
    </row>
    <row r="2900" spans="1:36" s="43" customFormat="1" ht="12" customHeight="1" x14ac:dyDescent="0.25">
      <c r="A2900" s="409" t="s">
        <v>4263</v>
      </c>
      <c r="B2900" s="410" t="s">
        <v>6146</v>
      </c>
      <c r="C2900" s="556">
        <v>2.0499999999999998</v>
      </c>
      <c r="D2900" s="434" t="s">
        <v>4271</v>
      </c>
      <c r="E2900" s="324" t="s">
        <v>1054</v>
      </c>
      <c r="F2900" s="175">
        <v>37533</v>
      </c>
      <c r="G2900" s="176"/>
      <c r="H2900" s="176" t="s">
        <v>461</v>
      </c>
      <c r="I2900" s="176"/>
      <c r="J2900" s="900" t="s">
        <v>2755</v>
      </c>
      <c r="K2900" s="157" t="s">
        <v>7799</v>
      </c>
      <c r="L2900" s="157" t="s">
        <v>461</v>
      </c>
      <c r="M2900" s="157"/>
      <c r="N2900" s="157" t="s">
        <v>3807</v>
      </c>
      <c r="O2900" s="157"/>
      <c r="P2900" s="173" t="s">
        <v>4289</v>
      </c>
      <c r="Q2900" s="157" t="s">
        <v>3947</v>
      </c>
      <c r="R2900" s="179" t="s">
        <v>6720</v>
      </c>
      <c r="S2900" s="354"/>
      <c r="T2900" s="173" t="s">
        <v>2611</v>
      </c>
      <c r="U2900" s="173"/>
      <c r="V2900" s="173"/>
      <c r="W2900" s="324" t="s">
        <v>1054</v>
      </c>
      <c r="X2900" s="656" t="s">
        <v>12482</v>
      </c>
      <c r="Y2900" s="363"/>
      <c r="Z2900" s="364"/>
      <c r="AA2900" s="364"/>
      <c r="AB2900" s="32">
        <f t="shared" ca="1" si="66"/>
        <v>0.18815579643721736</v>
      </c>
      <c r="AC2900" s="812"/>
      <c r="AD2900" s="763"/>
      <c r="AE2900" s="951"/>
      <c r="AF2900" s="921">
        <f>IF(X2900=X2899,AF2899,0)+IF(ISNUMBER(I2900),IF(I2900&lt;1,I2900,I2900*VLOOKUP(J2900,Summary!$H$2:$I$9,2)),VLOOKUP(J2900,Summary!$J$2:$K$9,2)*IF(ISNUMBER(H2900),H2900,1))</f>
        <v>0.40636574074074072</v>
      </c>
      <c r="AG2900" s="288">
        <v>2899</v>
      </c>
      <c r="AH2900" s="94"/>
      <c r="AI2900" s="94"/>
      <c r="AJ2900" s="29"/>
    </row>
    <row r="2901" spans="1:36" s="3" customFormat="1" ht="12" customHeight="1" x14ac:dyDescent="0.25">
      <c r="A2901" s="409" t="s">
        <v>4263</v>
      </c>
      <c r="B2901" s="410" t="s">
        <v>6146</v>
      </c>
      <c r="C2901" s="556">
        <v>2.06</v>
      </c>
      <c r="D2901" s="434" t="s">
        <v>4272</v>
      </c>
      <c r="E2901" s="324" t="s">
        <v>1055</v>
      </c>
      <c r="F2901" s="175">
        <v>37533</v>
      </c>
      <c r="G2901" s="176"/>
      <c r="H2901" s="176" t="s">
        <v>461</v>
      </c>
      <c r="I2901" s="176"/>
      <c r="J2901" s="900" t="s">
        <v>2755</v>
      </c>
      <c r="K2901" s="157" t="s">
        <v>341</v>
      </c>
      <c r="L2901" s="157" t="s">
        <v>461</v>
      </c>
      <c r="M2901" s="157"/>
      <c r="N2901" s="157" t="s">
        <v>3807</v>
      </c>
      <c r="O2901" s="157"/>
      <c r="P2901" s="173" t="s">
        <v>4289</v>
      </c>
      <c r="Q2901" s="157" t="s">
        <v>3947</v>
      </c>
      <c r="R2901" s="179" t="s">
        <v>6720</v>
      </c>
      <c r="S2901" s="354"/>
      <c r="T2901" s="173" t="s">
        <v>2611</v>
      </c>
      <c r="U2901" s="173"/>
      <c r="V2901" s="173"/>
      <c r="W2901" s="324" t="s">
        <v>1055</v>
      </c>
      <c r="X2901" s="656" t="s">
        <v>12482</v>
      </c>
      <c r="Y2901" s="363"/>
      <c r="Z2901" s="364"/>
      <c r="AA2901" s="364"/>
      <c r="AB2901" s="32">
        <f t="shared" ca="1" si="66"/>
        <v>0.83802181983794144</v>
      </c>
      <c r="AC2901" s="812"/>
      <c r="AD2901" s="763"/>
      <c r="AE2901" s="951"/>
      <c r="AF2901" s="921">
        <f>IF(X2901=X2900,AF2900,0)+IF(ISNUMBER(I2901),IF(I2901&lt;1,I2901,I2901*VLOOKUP(J2901,Summary!$H$2:$I$9,2)),VLOOKUP(J2901,Summary!$J$2:$K$9,2)*IF(ISNUMBER(H2901),H2901,1))</f>
        <v>0.42372685185185183</v>
      </c>
      <c r="AG2901" s="288">
        <v>2900</v>
      </c>
      <c r="AH2901" s="94"/>
      <c r="AI2901" s="94"/>
      <c r="AJ2901" s="11"/>
    </row>
    <row r="2902" spans="1:36" s="43" customFormat="1" ht="12" customHeight="1" x14ac:dyDescent="0.25">
      <c r="A2902" s="409" t="s">
        <v>4263</v>
      </c>
      <c r="B2902" s="410" t="s">
        <v>6146</v>
      </c>
      <c r="C2902" s="556">
        <v>2.0699999999999998</v>
      </c>
      <c r="D2902" s="434" t="s">
        <v>4273</v>
      </c>
      <c r="E2902" s="324" t="s">
        <v>1056</v>
      </c>
      <c r="F2902" s="175">
        <v>37533</v>
      </c>
      <c r="G2902" s="176"/>
      <c r="H2902" s="176" t="s">
        <v>461</v>
      </c>
      <c r="I2902" s="176"/>
      <c r="J2902" s="900" t="s">
        <v>2755</v>
      </c>
      <c r="K2902" s="157" t="s">
        <v>4551</v>
      </c>
      <c r="L2902" s="157" t="s">
        <v>461</v>
      </c>
      <c r="M2902" s="157"/>
      <c r="N2902" s="157" t="s">
        <v>3807</v>
      </c>
      <c r="O2902" s="157"/>
      <c r="P2902" s="173" t="s">
        <v>4289</v>
      </c>
      <c r="Q2902" s="157" t="s">
        <v>3947</v>
      </c>
      <c r="R2902" s="179" t="s">
        <v>6720</v>
      </c>
      <c r="S2902" s="354"/>
      <c r="T2902" s="173" t="s">
        <v>2611</v>
      </c>
      <c r="U2902" s="173"/>
      <c r="V2902" s="173"/>
      <c r="W2902" s="324" t="s">
        <v>1056</v>
      </c>
      <c r="X2902" s="656" t="s">
        <v>12482</v>
      </c>
      <c r="Y2902" s="363"/>
      <c r="Z2902" s="364"/>
      <c r="AA2902" s="364"/>
      <c r="AB2902" s="32">
        <f t="shared" ca="1" si="66"/>
        <v>6.2517300159266265E-2</v>
      </c>
      <c r="AC2902" s="812"/>
      <c r="AD2902" s="763"/>
      <c r="AE2902" s="951"/>
      <c r="AF2902" s="921">
        <f>IF(X2902=X2901,AF2901,0)+IF(ISNUMBER(I2902),IF(I2902&lt;1,I2902,I2902*VLOOKUP(J2902,Summary!$H$2:$I$9,2)),VLOOKUP(J2902,Summary!$J$2:$K$9,2)*IF(ISNUMBER(H2902),H2902,1))</f>
        <v>0.44108796296296293</v>
      </c>
      <c r="AG2902" s="288">
        <v>2901</v>
      </c>
      <c r="AH2902" s="94"/>
      <c r="AI2902" s="94"/>
      <c r="AJ2902" s="1"/>
    </row>
    <row r="2903" spans="1:36" s="3" customFormat="1" ht="12" customHeight="1" x14ac:dyDescent="0.25">
      <c r="A2903" s="409" t="s">
        <v>4263</v>
      </c>
      <c r="B2903" s="410" t="s">
        <v>6146</v>
      </c>
      <c r="C2903" s="556">
        <v>2.08</v>
      </c>
      <c r="D2903" s="434" t="s">
        <v>4274</v>
      </c>
      <c r="E2903" s="324" t="s">
        <v>1057</v>
      </c>
      <c r="F2903" s="175">
        <v>37533</v>
      </c>
      <c r="G2903" s="176"/>
      <c r="H2903" s="176" t="s">
        <v>461</v>
      </c>
      <c r="I2903" s="176"/>
      <c r="J2903" s="900" t="s">
        <v>2755</v>
      </c>
      <c r="K2903" s="157" t="s">
        <v>3443</v>
      </c>
      <c r="L2903" s="157" t="s">
        <v>461</v>
      </c>
      <c r="M2903" s="157"/>
      <c r="N2903" s="157" t="s">
        <v>3807</v>
      </c>
      <c r="O2903" s="157"/>
      <c r="P2903" s="173" t="s">
        <v>4289</v>
      </c>
      <c r="Q2903" s="157" t="s">
        <v>3947</v>
      </c>
      <c r="R2903" s="179" t="s">
        <v>6720</v>
      </c>
      <c r="S2903" s="354"/>
      <c r="T2903" s="173" t="s">
        <v>2611</v>
      </c>
      <c r="U2903" s="173"/>
      <c r="V2903" s="173"/>
      <c r="W2903" s="324" t="s">
        <v>1057</v>
      </c>
      <c r="X2903" s="656" t="s">
        <v>12482</v>
      </c>
      <c r="Y2903" s="363"/>
      <c r="Z2903" s="364"/>
      <c r="AA2903" s="364"/>
      <c r="AB2903" s="32">
        <f t="shared" ca="1" si="66"/>
        <v>0.83686954332153796</v>
      </c>
      <c r="AC2903" s="812"/>
      <c r="AD2903" s="763"/>
      <c r="AE2903" s="951"/>
      <c r="AF2903" s="921">
        <f>IF(X2903=X2902,AF2902,0)+IF(ISNUMBER(I2903),IF(I2903&lt;1,I2903,I2903*VLOOKUP(J2903,Summary!$H$2:$I$9,2)),VLOOKUP(J2903,Summary!$J$2:$K$9,2)*IF(ISNUMBER(H2903),H2903,1))</f>
        <v>0.45844907407407404</v>
      </c>
      <c r="AG2903" s="288">
        <v>2902</v>
      </c>
      <c r="AH2903" s="94"/>
      <c r="AI2903" s="94"/>
      <c r="AJ2903" s="1"/>
    </row>
    <row r="2904" spans="1:36" s="43" customFormat="1" ht="12" customHeight="1" x14ac:dyDescent="0.25">
      <c r="A2904" s="409" t="s">
        <v>4263</v>
      </c>
      <c r="B2904" s="410" t="s">
        <v>6146</v>
      </c>
      <c r="C2904" s="556">
        <v>2.09</v>
      </c>
      <c r="D2904" s="434" t="s">
        <v>4275</v>
      </c>
      <c r="E2904" s="324" t="s">
        <v>1058</v>
      </c>
      <c r="F2904" s="175">
        <v>37533</v>
      </c>
      <c r="G2904" s="176"/>
      <c r="H2904" s="176" t="s">
        <v>461</v>
      </c>
      <c r="I2904" s="176"/>
      <c r="J2904" s="900" t="s">
        <v>2755</v>
      </c>
      <c r="K2904" s="157" t="s">
        <v>6234</v>
      </c>
      <c r="L2904" s="157" t="s">
        <v>461</v>
      </c>
      <c r="M2904" s="157"/>
      <c r="N2904" s="157" t="s">
        <v>3807</v>
      </c>
      <c r="O2904" s="157"/>
      <c r="P2904" s="173" t="s">
        <v>4289</v>
      </c>
      <c r="Q2904" s="157" t="s">
        <v>3947</v>
      </c>
      <c r="R2904" s="179" t="s">
        <v>6720</v>
      </c>
      <c r="S2904" s="354"/>
      <c r="T2904" s="173" t="s">
        <v>2611</v>
      </c>
      <c r="U2904" s="173"/>
      <c r="V2904" s="173"/>
      <c r="W2904" s="324" t="s">
        <v>1058</v>
      </c>
      <c r="X2904" s="656" t="s">
        <v>12482</v>
      </c>
      <c r="Y2904" s="363"/>
      <c r="Z2904" s="364"/>
      <c r="AA2904" s="364"/>
      <c r="AB2904" s="32">
        <f t="shared" ca="1" si="66"/>
        <v>0.33841483545310991</v>
      </c>
      <c r="AC2904" s="812"/>
      <c r="AD2904" s="763"/>
      <c r="AE2904" s="951"/>
      <c r="AF2904" s="921">
        <f>IF(X2904=X2903,AF2903,0)+IF(ISNUMBER(I2904),IF(I2904&lt;1,I2904,I2904*VLOOKUP(J2904,Summary!$H$2:$I$9,2)),VLOOKUP(J2904,Summary!$J$2:$K$9,2)*IF(ISNUMBER(H2904),H2904,1))</f>
        <v>0.47581018518518514</v>
      </c>
      <c r="AG2904" s="288">
        <v>2903</v>
      </c>
      <c r="AH2904" s="94"/>
      <c r="AI2904" s="94"/>
      <c r="AJ2904" s="1"/>
    </row>
    <row r="2905" spans="1:36" s="43" customFormat="1" ht="12" customHeight="1" x14ac:dyDescent="0.25">
      <c r="A2905" s="409" t="s">
        <v>4263</v>
      </c>
      <c r="B2905" s="410" t="s">
        <v>6146</v>
      </c>
      <c r="C2905" s="556">
        <v>2.1</v>
      </c>
      <c r="D2905" s="434" t="s">
        <v>4276</v>
      </c>
      <c r="E2905" s="324" t="s">
        <v>1059</v>
      </c>
      <c r="F2905" s="175">
        <v>37533</v>
      </c>
      <c r="G2905" s="176"/>
      <c r="H2905" s="176" t="s">
        <v>461</v>
      </c>
      <c r="I2905" s="176"/>
      <c r="J2905" s="900" t="s">
        <v>2755</v>
      </c>
      <c r="K2905" s="157" t="s">
        <v>3284</v>
      </c>
      <c r="L2905" s="157" t="s">
        <v>461</v>
      </c>
      <c r="M2905" s="157"/>
      <c r="N2905" s="157" t="s">
        <v>3807</v>
      </c>
      <c r="O2905" s="157"/>
      <c r="P2905" s="173" t="s">
        <v>4289</v>
      </c>
      <c r="Q2905" s="157" t="s">
        <v>3947</v>
      </c>
      <c r="R2905" s="179" t="s">
        <v>6720</v>
      </c>
      <c r="S2905" s="354"/>
      <c r="T2905" s="173" t="s">
        <v>2611</v>
      </c>
      <c r="U2905" s="173"/>
      <c r="V2905" s="173"/>
      <c r="W2905" s="324" t="s">
        <v>1059</v>
      </c>
      <c r="X2905" s="656" t="s">
        <v>12482</v>
      </c>
      <c r="Y2905" s="363"/>
      <c r="Z2905" s="364"/>
      <c r="AA2905" s="364"/>
      <c r="AB2905" s="32">
        <f t="shared" ca="1" si="66"/>
        <v>0.87350003510994523</v>
      </c>
      <c r="AC2905" s="812"/>
      <c r="AD2905" s="763"/>
      <c r="AE2905" s="951"/>
      <c r="AF2905" s="921">
        <f>IF(X2905=X2904,AF2904,0)+IF(ISNUMBER(I2905),IF(I2905&lt;1,I2905,I2905*VLOOKUP(J2905,Summary!$H$2:$I$9,2)),VLOOKUP(J2905,Summary!$J$2:$K$9,2)*IF(ISNUMBER(H2905),H2905,1))</f>
        <v>0.49317129629629625</v>
      </c>
      <c r="AG2905" s="288">
        <v>2904</v>
      </c>
      <c r="AH2905" s="94"/>
      <c r="AI2905" s="94"/>
      <c r="AJ2905" s="3"/>
    </row>
    <row r="2906" spans="1:36" s="43" customFormat="1" ht="12" customHeight="1" x14ac:dyDescent="0.25">
      <c r="A2906" s="409" t="s">
        <v>4263</v>
      </c>
      <c r="B2906" s="410" t="s">
        <v>6146</v>
      </c>
      <c r="C2906" s="556">
        <v>2.11</v>
      </c>
      <c r="D2906" s="434" t="s">
        <v>4277</v>
      </c>
      <c r="E2906" s="324" t="s">
        <v>1060</v>
      </c>
      <c r="F2906" s="175">
        <v>37533</v>
      </c>
      <c r="G2906" s="176"/>
      <c r="H2906" s="176" t="s">
        <v>461</v>
      </c>
      <c r="I2906" s="176"/>
      <c r="J2906" s="900" t="s">
        <v>2755</v>
      </c>
      <c r="K2906" s="157" t="s">
        <v>543</v>
      </c>
      <c r="L2906" s="157" t="s">
        <v>461</v>
      </c>
      <c r="M2906" s="157"/>
      <c r="N2906" s="157" t="s">
        <v>3807</v>
      </c>
      <c r="O2906" s="157"/>
      <c r="P2906" s="173" t="s">
        <v>4289</v>
      </c>
      <c r="Q2906" s="157" t="s">
        <v>3947</v>
      </c>
      <c r="R2906" s="179" t="s">
        <v>6720</v>
      </c>
      <c r="S2906" s="354"/>
      <c r="T2906" s="173" t="s">
        <v>2611</v>
      </c>
      <c r="U2906" s="173"/>
      <c r="V2906" s="173"/>
      <c r="W2906" s="324" t="s">
        <v>1060</v>
      </c>
      <c r="X2906" s="656" t="s">
        <v>12482</v>
      </c>
      <c r="Y2906" s="363"/>
      <c r="Z2906" s="364"/>
      <c r="AA2906" s="364"/>
      <c r="AB2906" s="32">
        <f t="shared" ca="1" si="66"/>
        <v>0.59598646982735659</v>
      </c>
      <c r="AC2906" s="812"/>
      <c r="AD2906" s="763"/>
      <c r="AE2906" s="951"/>
      <c r="AF2906" s="921">
        <f>IF(X2906=X2905,AF2905,0)+IF(ISNUMBER(I2906),IF(I2906&lt;1,I2906,I2906*VLOOKUP(J2906,Summary!$H$2:$I$9,2)),VLOOKUP(J2906,Summary!$J$2:$K$9,2)*IF(ISNUMBER(H2906),H2906,1))</f>
        <v>0.51053240740740735</v>
      </c>
      <c r="AG2906" s="288">
        <v>2905</v>
      </c>
      <c r="AH2906" s="94"/>
      <c r="AI2906" s="94"/>
      <c r="AJ2906" s="29"/>
    </row>
    <row r="2907" spans="1:36" s="44" customFormat="1" ht="12" customHeight="1" x14ac:dyDescent="0.3">
      <c r="A2907" s="723" t="s">
        <v>4263</v>
      </c>
      <c r="B2907" s="724" t="s">
        <v>6146</v>
      </c>
      <c r="C2907" s="725">
        <v>2.12</v>
      </c>
      <c r="D2907" s="463" t="s">
        <v>4278</v>
      </c>
      <c r="E2907" s="330" t="s">
        <v>1061</v>
      </c>
      <c r="F2907" s="209">
        <v>37533</v>
      </c>
      <c r="G2907" s="192"/>
      <c r="H2907" s="192" t="s">
        <v>461</v>
      </c>
      <c r="I2907" s="192"/>
      <c r="J2907" s="903" t="s">
        <v>2755</v>
      </c>
      <c r="K2907" s="159" t="s">
        <v>4279</v>
      </c>
      <c r="L2907" s="159" t="s">
        <v>461</v>
      </c>
      <c r="M2907" s="159" t="s">
        <v>5662</v>
      </c>
      <c r="N2907" s="159" t="s">
        <v>3807</v>
      </c>
      <c r="O2907" s="159"/>
      <c r="P2907" s="190" t="s">
        <v>4289</v>
      </c>
      <c r="Q2907" s="159" t="s">
        <v>3947</v>
      </c>
      <c r="R2907" s="221" t="s">
        <v>6720</v>
      </c>
      <c r="S2907" s="357"/>
      <c r="T2907" s="190" t="s">
        <v>2611</v>
      </c>
      <c r="U2907" s="190"/>
      <c r="V2907" s="190"/>
      <c r="W2907" s="330" t="s">
        <v>1061</v>
      </c>
      <c r="X2907" s="662" t="s">
        <v>12482</v>
      </c>
      <c r="Y2907" s="378"/>
      <c r="Z2907" s="367"/>
      <c r="AA2907" s="367"/>
      <c r="AB2907" s="37">
        <f t="shared" ca="1" si="66"/>
        <v>0.40104823477634832</v>
      </c>
      <c r="AC2907" s="816"/>
      <c r="AD2907" s="817"/>
      <c r="AE2907" s="955"/>
      <c r="AF2907" s="924">
        <f>IF(X2907=X2906,AF2906,0)+IF(ISNUMBER(I2907),IF(I2907&lt;1,I2907,I2907*VLOOKUP(J2907,Summary!$H$2:$I$9,2)),VLOOKUP(J2907,Summary!$J$2:$K$9,2)*IF(ISNUMBER(H2907),H2907,1))</f>
        <v>0.52789351851851851</v>
      </c>
      <c r="AG2907" s="298">
        <v>2906</v>
      </c>
      <c r="AH2907" s="94"/>
      <c r="AI2907" s="94"/>
      <c r="AJ2907" s="45"/>
    </row>
    <row r="2908" spans="1:36" s="43" customFormat="1" ht="12" customHeight="1" x14ac:dyDescent="0.25">
      <c r="A2908" s="409" t="s">
        <v>4263</v>
      </c>
      <c r="B2908" s="410" t="s">
        <v>6146</v>
      </c>
      <c r="C2908" s="556">
        <v>2.13</v>
      </c>
      <c r="D2908" s="434" t="s">
        <v>4280</v>
      </c>
      <c r="E2908" s="324" t="s">
        <v>3982</v>
      </c>
      <c r="F2908" s="175">
        <v>37533</v>
      </c>
      <c r="G2908" s="176"/>
      <c r="H2908" s="176" t="s">
        <v>461</v>
      </c>
      <c r="I2908" s="176"/>
      <c r="J2908" s="900" t="s">
        <v>2755</v>
      </c>
      <c r="K2908" s="157" t="s">
        <v>6564</v>
      </c>
      <c r="L2908" s="157" t="s">
        <v>461</v>
      </c>
      <c r="M2908" s="157"/>
      <c r="N2908" s="157" t="s">
        <v>3807</v>
      </c>
      <c r="O2908" s="157"/>
      <c r="P2908" s="173" t="s">
        <v>4289</v>
      </c>
      <c r="Q2908" s="157" t="s">
        <v>3947</v>
      </c>
      <c r="R2908" s="179" t="s">
        <v>6720</v>
      </c>
      <c r="S2908" s="354"/>
      <c r="T2908" s="173" t="s">
        <v>2611</v>
      </c>
      <c r="U2908" s="173"/>
      <c r="V2908" s="173"/>
      <c r="W2908" s="324" t="s">
        <v>3982</v>
      </c>
      <c r="X2908" s="656" t="s">
        <v>12482</v>
      </c>
      <c r="Y2908" s="363"/>
      <c r="Z2908" s="364"/>
      <c r="AA2908" s="364"/>
      <c r="AB2908" s="32">
        <f t="shared" ca="1" si="66"/>
        <v>0.8119486624061425</v>
      </c>
      <c r="AC2908" s="812"/>
      <c r="AD2908" s="763"/>
      <c r="AE2908" s="951"/>
      <c r="AF2908" s="921">
        <f>IF(X2908=X2907,AF2907,0)+IF(ISNUMBER(I2908),IF(I2908&lt;1,I2908,I2908*VLOOKUP(J2908,Summary!$H$2:$I$9,2)),VLOOKUP(J2908,Summary!$J$2:$K$9,2)*IF(ISNUMBER(H2908),H2908,1))</f>
        <v>0.54525462962962967</v>
      </c>
      <c r="AG2908" s="288">
        <v>2907</v>
      </c>
      <c r="AH2908" s="94"/>
      <c r="AI2908" s="94"/>
      <c r="AJ2908" s="29"/>
    </row>
    <row r="2909" spans="1:36" s="43" customFormat="1" ht="12" customHeight="1" x14ac:dyDescent="0.25">
      <c r="A2909" s="409" t="s">
        <v>4263</v>
      </c>
      <c r="B2909" s="410" t="s">
        <v>6146</v>
      </c>
      <c r="C2909" s="556">
        <v>2.14</v>
      </c>
      <c r="D2909" s="434" t="s">
        <v>4281</v>
      </c>
      <c r="E2909" s="324" t="s">
        <v>3983</v>
      </c>
      <c r="F2909" s="175">
        <v>37533</v>
      </c>
      <c r="G2909" s="176"/>
      <c r="H2909" s="176" t="s">
        <v>461</v>
      </c>
      <c r="I2909" s="176"/>
      <c r="J2909" s="900" t="s">
        <v>2755</v>
      </c>
      <c r="K2909" s="157" t="s">
        <v>6997</v>
      </c>
      <c r="L2909" s="157" t="s">
        <v>461</v>
      </c>
      <c r="M2909" s="157"/>
      <c r="N2909" s="157" t="s">
        <v>3807</v>
      </c>
      <c r="O2909" s="157"/>
      <c r="P2909" s="173" t="s">
        <v>4289</v>
      </c>
      <c r="Q2909" s="157" t="s">
        <v>3947</v>
      </c>
      <c r="R2909" s="179" t="s">
        <v>6720</v>
      </c>
      <c r="S2909" s="354"/>
      <c r="T2909" s="173" t="s">
        <v>2611</v>
      </c>
      <c r="U2909" s="173"/>
      <c r="V2909" s="173"/>
      <c r="W2909" s="324" t="s">
        <v>3983</v>
      </c>
      <c r="X2909" s="656" t="s">
        <v>12482</v>
      </c>
      <c r="Y2909" s="363"/>
      <c r="Z2909" s="364"/>
      <c r="AA2909" s="364"/>
      <c r="AB2909" s="32">
        <f t="shared" ca="1" si="66"/>
        <v>0.38004466165377027</v>
      </c>
      <c r="AC2909" s="812"/>
      <c r="AD2909" s="763"/>
      <c r="AE2909" s="951"/>
      <c r="AF2909" s="921">
        <f>IF(X2909=X2908,AF2908,0)+IF(ISNUMBER(I2909),IF(I2909&lt;1,I2909,I2909*VLOOKUP(J2909,Summary!$H$2:$I$9,2)),VLOOKUP(J2909,Summary!$J$2:$K$9,2)*IF(ISNUMBER(H2909),H2909,1))</f>
        <v>0.56261574074074083</v>
      </c>
      <c r="AG2909" s="288">
        <v>2908</v>
      </c>
      <c r="AH2909" s="94"/>
      <c r="AI2909" s="94"/>
      <c r="AJ2909" s="29"/>
    </row>
    <row r="2910" spans="1:36" s="3" customFormat="1" ht="12" customHeight="1" x14ac:dyDescent="0.25">
      <c r="A2910" s="409" t="s">
        <v>4263</v>
      </c>
      <c r="B2910" s="410" t="s">
        <v>6146</v>
      </c>
      <c r="C2910" s="556">
        <v>2.15</v>
      </c>
      <c r="D2910" s="434" t="s">
        <v>4282</v>
      </c>
      <c r="E2910" s="324" t="s">
        <v>3984</v>
      </c>
      <c r="F2910" s="175">
        <v>37533</v>
      </c>
      <c r="G2910" s="176"/>
      <c r="H2910" s="176" t="s">
        <v>461</v>
      </c>
      <c r="I2910" s="176"/>
      <c r="J2910" s="900" t="s">
        <v>2755</v>
      </c>
      <c r="K2910" s="157" t="s">
        <v>4034</v>
      </c>
      <c r="L2910" s="157" t="s">
        <v>461</v>
      </c>
      <c r="M2910" s="157"/>
      <c r="N2910" s="157" t="s">
        <v>3807</v>
      </c>
      <c r="O2910" s="157"/>
      <c r="P2910" s="173" t="s">
        <v>4289</v>
      </c>
      <c r="Q2910" s="157" t="s">
        <v>3947</v>
      </c>
      <c r="R2910" s="179" t="s">
        <v>6720</v>
      </c>
      <c r="S2910" s="354"/>
      <c r="T2910" s="173" t="s">
        <v>2611</v>
      </c>
      <c r="U2910" s="173"/>
      <c r="V2910" s="173"/>
      <c r="W2910" s="324" t="s">
        <v>3984</v>
      </c>
      <c r="X2910" s="656" t="s">
        <v>12482</v>
      </c>
      <c r="Y2910" s="363"/>
      <c r="Z2910" s="364"/>
      <c r="AA2910" s="364"/>
      <c r="AB2910" s="32">
        <f t="shared" ca="1" si="66"/>
        <v>0.76839587073853766</v>
      </c>
      <c r="AC2910" s="812"/>
      <c r="AD2910" s="763"/>
      <c r="AE2910" s="951"/>
      <c r="AF2910" s="921">
        <f>IF(X2910=X2909,AF2909,0)+IF(ISNUMBER(I2910),IF(I2910&lt;1,I2910,I2910*VLOOKUP(J2910,Summary!$H$2:$I$9,2)),VLOOKUP(J2910,Summary!$J$2:$K$9,2)*IF(ISNUMBER(H2910),H2910,1))</f>
        <v>0.57997685185185199</v>
      </c>
      <c r="AG2910" s="288">
        <v>2909</v>
      </c>
      <c r="AH2910" s="94"/>
      <c r="AI2910" s="94"/>
    </row>
    <row r="2911" spans="1:36" s="43" customFormat="1" ht="12" customHeight="1" x14ac:dyDescent="0.25">
      <c r="A2911" s="409" t="s">
        <v>4263</v>
      </c>
      <c r="B2911" s="410" t="s">
        <v>6146</v>
      </c>
      <c r="C2911" s="556">
        <v>2.16</v>
      </c>
      <c r="D2911" s="434" t="s">
        <v>4283</v>
      </c>
      <c r="E2911" s="324" t="s">
        <v>3985</v>
      </c>
      <c r="F2911" s="175">
        <v>37533</v>
      </c>
      <c r="G2911" s="176"/>
      <c r="H2911" s="176" t="s">
        <v>461</v>
      </c>
      <c r="I2911" s="176"/>
      <c r="J2911" s="900" t="s">
        <v>2755</v>
      </c>
      <c r="K2911" s="157" t="s">
        <v>176</v>
      </c>
      <c r="L2911" s="157" t="s">
        <v>461</v>
      </c>
      <c r="M2911" s="157"/>
      <c r="N2911" s="157" t="s">
        <v>3807</v>
      </c>
      <c r="O2911" s="157"/>
      <c r="P2911" s="173" t="s">
        <v>4289</v>
      </c>
      <c r="Q2911" s="157" t="s">
        <v>3947</v>
      </c>
      <c r="R2911" s="179" t="s">
        <v>6720</v>
      </c>
      <c r="S2911" s="354"/>
      <c r="T2911" s="173" t="s">
        <v>2611</v>
      </c>
      <c r="U2911" s="173"/>
      <c r="V2911" s="173"/>
      <c r="W2911" s="324" t="s">
        <v>3985</v>
      </c>
      <c r="X2911" s="656" t="s">
        <v>12482</v>
      </c>
      <c r="Y2911" s="363"/>
      <c r="Z2911" s="364"/>
      <c r="AA2911" s="364"/>
      <c r="AB2911" s="32">
        <f t="shared" ca="1" si="66"/>
        <v>0.30302533708095536</v>
      </c>
      <c r="AC2911" s="812"/>
      <c r="AD2911" s="763"/>
      <c r="AE2911" s="951"/>
      <c r="AF2911" s="921">
        <f>IF(X2911=X2910,AF2910,0)+IF(ISNUMBER(I2911),IF(I2911&lt;1,I2911,I2911*VLOOKUP(J2911,Summary!$H$2:$I$9,2)),VLOOKUP(J2911,Summary!$J$2:$K$9,2)*IF(ISNUMBER(H2911),H2911,1))</f>
        <v>0.59733796296296315</v>
      </c>
      <c r="AG2911" s="288">
        <v>2910</v>
      </c>
      <c r="AH2911" s="94"/>
      <c r="AI2911" s="94"/>
    </row>
    <row r="2912" spans="1:36" s="3" customFormat="1" ht="12" customHeight="1" x14ac:dyDescent="0.25">
      <c r="A2912" s="409" t="s">
        <v>4263</v>
      </c>
      <c r="B2912" s="410" t="s">
        <v>6146</v>
      </c>
      <c r="C2912" s="556">
        <v>2.17</v>
      </c>
      <c r="D2912" s="434" t="s">
        <v>4284</v>
      </c>
      <c r="E2912" s="324" t="s">
        <v>3986</v>
      </c>
      <c r="F2912" s="175">
        <v>37533</v>
      </c>
      <c r="G2912" s="176"/>
      <c r="H2912" s="176" t="s">
        <v>461</v>
      </c>
      <c r="I2912" s="176"/>
      <c r="J2912" s="900" t="s">
        <v>2755</v>
      </c>
      <c r="K2912" s="157" t="s">
        <v>177</v>
      </c>
      <c r="L2912" s="157" t="s">
        <v>461</v>
      </c>
      <c r="M2912" s="157"/>
      <c r="N2912" s="157" t="s">
        <v>3807</v>
      </c>
      <c r="O2912" s="157"/>
      <c r="P2912" s="173" t="s">
        <v>4289</v>
      </c>
      <c r="Q2912" s="157" t="s">
        <v>3947</v>
      </c>
      <c r="R2912" s="179" t="s">
        <v>6720</v>
      </c>
      <c r="S2912" s="354"/>
      <c r="T2912" s="173" t="s">
        <v>2611</v>
      </c>
      <c r="U2912" s="173"/>
      <c r="V2912" s="173"/>
      <c r="W2912" s="324" t="s">
        <v>3986</v>
      </c>
      <c r="X2912" s="656" t="s">
        <v>12482</v>
      </c>
      <c r="Y2912" s="363"/>
      <c r="Z2912" s="364"/>
      <c r="AA2912" s="364"/>
      <c r="AB2912" s="32">
        <f t="shared" ca="1" si="66"/>
        <v>0.17265188521093555</v>
      </c>
      <c r="AC2912" s="812"/>
      <c r="AD2912" s="763"/>
      <c r="AE2912" s="951"/>
      <c r="AF2912" s="921">
        <f>IF(X2912=X2911,AF2911,0)+IF(ISNUMBER(I2912),IF(I2912&lt;1,I2912,I2912*VLOOKUP(J2912,Summary!$H$2:$I$9,2)),VLOOKUP(J2912,Summary!$J$2:$K$9,2)*IF(ISNUMBER(H2912),H2912,1))</f>
        <v>0.61469907407407431</v>
      </c>
      <c r="AG2912" s="288">
        <v>2911</v>
      </c>
      <c r="AH2912" s="94"/>
      <c r="AI2912" s="94"/>
    </row>
    <row r="2913" spans="1:36" s="43" customFormat="1" ht="12" customHeight="1" x14ac:dyDescent="0.25">
      <c r="A2913" s="409" t="s">
        <v>4263</v>
      </c>
      <c r="B2913" s="410" t="s">
        <v>6146</v>
      </c>
      <c r="C2913" s="556">
        <v>2.1800000000000002</v>
      </c>
      <c r="D2913" s="434" t="s">
        <v>4285</v>
      </c>
      <c r="E2913" s="324" t="s">
        <v>3987</v>
      </c>
      <c r="F2913" s="175">
        <v>37533</v>
      </c>
      <c r="G2913" s="176"/>
      <c r="H2913" s="176" t="s">
        <v>461</v>
      </c>
      <c r="I2913" s="176"/>
      <c r="J2913" s="900" t="s">
        <v>2755</v>
      </c>
      <c r="K2913" s="157" t="s">
        <v>1805</v>
      </c>
      <c r="L2913" s="157" t="s">
        <v>461</v>
      </c>
      <c r="M2913" s="157"/>
      <c r="N2913" s="157" t="s">
        <v>3807</v>
      </c>
      <c r="O2913" s="157"/>
      <c r="P2913" s="173" t="s">
        <v>4289</v>
      </c>
      <c r="Q2913" s="157" t="s">
        <v>3947</v>
      </c>
      <c r="R2913" s="179" t="s">
        <v>6720</v>
      </c>
      <c r="S2913" s="354"/>
      <c r="T2913" s="173" t="s">
        <v>2611</v>
      </c>
      <c r="U2913" s="173"/>
      <c r="V2913" s="173"/>
      <c r="W2913" s="324" t="s">
        <v>3987</v>
      </c>
      <c r="X2913" s="656" t="s">
        <v>12482</v>
      </c>
      <c r="Y2913" s="363"/>
      <c r="Z2913" s="364"/>
      <c r="AA2913" s="364"/>
      <c r="AB2913" s="32">
        <f t="shared" ca="1" si="66"/>
        <v>0.32080185192088262</v>
      </c>
      <c r="AC2913" s="812"/>
      <c r="AD2913" s="763"/>
      <c r="AE2913" s="951"/>
      <c r="AF2913" s="921">
        <f>IF(X2913=X2912,AF2912,0)+IF(ISNUMBER(I2913),IF(I2913&lt;1,I2913,I2913*VLOOKUP(J2913,Summary!$H$2:$I$9,2)),VLOOKUP(J2913,Summary!$J$2:$K$9,2)*IF(ISNUMBER(H2913),H2913,1))</f>
        <v>0.63206018518518547</v>
      </c>
      <c r="AG2913" s="288">
        <v>2912</v>
      </c>
      <c r="AH2913" s="94"/>
      <c r="AI2913" s="94"/>
      <c r="AJ2913" s="3"/>
    </row>
    <row r="2914" spans="1:36" s="2" customFormat="1" ht="12" customHeight="1" x14ac:dyDescent="0.25">
      <c r="A2914" s="409" t="s">
        <v>4263</v>
      </c>
      <c r="B2914" s="410" t="s">
        <v>6146</v>
      </c>
      <c r="C2914" s="556">
        <v>2.19</v>
      </c>
      <c r="D2914" s="434" t="s">
        <v>4286</v>
      </c>
      <c r="E2914" s="324" t="s">
        <v>3988</v>
      </c>
      <c r="F2914" s="175">
        <v>37533</v>
      </c>
      <c r="G2914" s="176"/>
      <c r="H2914" s="176" t="s">
        <v>461</v>
      </c>
      <c r="I2914" s="176"/>
      <c r="J2914" s="900" t="s">
        <v>2755</v>
      </c>
      <c r="K2914" s="157" t="s">
        <v>2311</v>
      </c>
      <c r="L2914" s="157" t="s">
        <v>461</v>
      </c>
      <c r="M2914" s="157"/>
      <c r="N2914" s="157" t="s">
        <v>3807</v>
      </c>
      <c r="O2914" s="157"/>
      <c r="P2914" s="173" t="s">
        <v>4289</v>
      </c>
      <c r="Q2914" s="157" t="s">
        <v>3947</v>
      </c>
      <c r="R2914" s="179" t="s">
        <v>6720</v>
      </c>
      <c r="S2914" s="354"/>
      <c r="T2914" s="173" t="s">
        <v>2611</v>
      </c>
      <c r="U2914" s="173"/>
      <c r="V2914" s="173"/>
      <c r="W2914" s="324" t="s">
        <v>3988</v>
      </c>
      <c r="X2914" s="656" t="s">
        <v>12482</v>
      </c>
      <c r="Y2914" s="363"/>
      <c r="Z2914" s="364"/>
      <c r="AA2914" s="364"/>
      <c r="AB2914" s="32">
        <f t="shared" ca="1" si="66"/>
        <v>0.1359754321743375</v>
      </c>
      <c r="AC2914" s="812"/>
      <c r="AD2914" s="763"/>
      <c r="AE2914" s="951"/>
      <c r="AF2914" s="921">
        <f>IF(X2914=X2913,AF2913,0)+IF(ISNUMBER(I2914),IF(I2914&lt;1,I2914,I2914*VLOOKUP(J2914,Summary!$H$2:$I$9,2)),VLOOKUP(J2914,Summary!$J$2:$K$9,2)*IF(ISNUMBER(H2914),H2914,1))</f>
        <v>0.64942129629629664</v>
      </c>
      <c r="AG2914" s="288">
        <v>2913</v>
      </c>
      <c r="AH2914" s="94"/>
      <c r="AI2914" s="94"/>
      <c r="AJ2914" s="29"/>
    </row>
    <row r="2915" spans="1:36" s="2" customFormat="1" ht="12" customHeight="1" x14ac:dyDescent="0.25">
      <c r="A2915" s="409" t="s">
        <v>4263</v>
      </c>
      <c r="B2915" s="410" t="s">
        <v>6146</v>
      </c>
      <c r="C2915" s="556">
        <v>2.2000000000000002</v>
      </c>
      <c r="D2915" s="434" t="s">
        <v>4287</v>
      </c>
      <c r="E2915" s="324" t="s">
        <v>3989</v>
      </c>
      <c r="F2915" s="175">
        <v>37533</v>
      </c>
      <c r="G2915" s="176"/>
      <c r="H2915" s="176" t="s">
        <v>461</v>
      </c>
      <c r="I2915" s="176"/>
      <c r="J2915" s="900" t="s">
        <v>2755</v>
      </c>
      <c r="K2915" s="157" t="s">
        <v>2998</v>
      </c>
      <c r="L2915" s="157" t="s">
        <v>461</v>
      </c>
      <c r="M2915" s="157"/>
      <c r="N2915" s="157" t="s">
        <v>3807</v>
      </c>
      <c r="O2915" s="157"/>
      <c r="P2915" s="173" t="s">
        <v>4289</v>
      </c>
      <c r="Q2915" s="157" t="s">
        <v>3947</v>
      </c>
      <c r="R2915" s="179" t="s">
        <v>6720</v>
      </c>
      <c r="S2915" s="354"/>
      <c r="T2915" s="173" t="s">
        <v>2611</v>
      </c>
      <c r="U2915" s="173"/>
      <c r="V2915" s="173"/>
      <c r="W2915" s="324" t="s">
        <v>3989</v>
      </c>
      <c r="X2915" s="656" t="s">
        <v>12482</v>
      </c>
      <c r="Y2915" s="363"/>
      <c r="Z2915" s="364"/>
      <c r="AA2915" s="364"/>
      <c r="AB2915" s="32">
        <f t="shared" ca="1" si="66"/>
        <v>0.85990608619803943</v>
      </c>
      <c r="AC2915" s="812"/>
      <c r="AD2915" s="763"/>
      <c r="AE2915" s="951"/>
      <c r="AF2915" s="921">
        <f>IF(X2915=X2914,AF2914,0)+IF(ISNUMBER(I2915),IF(I2915&lt;1,I2915,I2915*VLOOKUP(J2915,Summary!$H$2:$I$9,2)),VLOOKUP(J2915,Summary!$J$2:$K$9,2)*IF(ISNUMBER(H2915),H2915,1))</f>
        <v>0.6667824074074078</v>
      </c>
      <c r="AG2915" s="288">
        <v>2914</v>
      </c>
      <c r="AH2915" s="94"/>
      <c r="AI2915" s="94"/>
      <c r="AJ2915" s="43"/>
    </row>
    <row r="2916" spans="1:36" s="2" customFormat="1" ht="12" customHeight="1" x14ac:dyDescent="0.25">
      <c r="A2916" s="409" t="s">
        <v>4263</v>
      </c>
      <c r="B2916" s="410" t="s">
        <v>6146</v>
      </c>
      <c r="C2916" s="556">
        <v>2.21</v>
      </c>
      <c r="D2916" s="434" t="s">
        <v>4288</v>
      </c>
      <c r="E2916" s="324" t="s">
        <v>3990</v>
      </c>
      <c r="F2916" s="175">
        <v>37533</v>
      </c>
      <c r="G2916" s="176"/>
      <c r="H2916" s="176" t="s">
        <v>461</v>
      </c>
      <c r="I2916" s="176"/>
      <c r="J2916" s="900" t="s">
        <v>2755</v>
      </c>
      <c r="K2916" s="157" t="s">
        <v>3238</v>
      </c>
      <c r="L2916" s="157" t="s">
        <v>461</v>
      </c>
      <c r="M2916" s="157"/>
      <c r="N2916" s="157" t="s">
        <v>3807</v>
      </c>
      <c r="O2916" s="157"/>
      <c r="P2916" s="173" t="s">
        <v>4289</v>
      </c>
      <c r="Q2916" s="157" t="s">
        <v>3947</v>
      </c>
      <c r="R2916" s="179" t="s">
        <v>6720</v>
      </c>
      <c r="S2916" s="354"/>
      <c r="T2916" s="173" t="s">
        <v>2611</v>
      </c>
      <c r="U2916" s="173"/>
      <c r="V2916" s="173"/>
      <c r="W2916" s="324" t="s">
        <v>3990</v>
      </c>
      <c r="X2916" s="656" t="s">
        <v>12482</v>
      </c>
      <c r="Y2916" s="363"/>
      <c r="Z2916" s="364"/>
      <c r="AA2916" s="364"/>
      <c r="AB2916" s="32">
        <f t="shared" ca="1" si="66"/>
        <v>0.63915595753197207</v>
      </c>
      <c r="AC2916" s="812"/>
      <c r="AD2916" s="763"/>
      <c r="AE2916" s="951"/>
      <c r="AF2916" s="921">
        <f>IF(X2916=X2915,AF2915,0)+IF(ISNUMBER(I2916),IF(I2916&lt;1,I2916,I2916*VLOOKUP(J2916,Summary!$H$2:$I$9,2)),VLOOKUP(J2916,Summary!$J$2:$K$9,2)*IF(ISNUMBER(H2916),H2916,1))</f>
        <v>0.68414351851851896</v>
      </c>
      <c r="AG2916" s="288">
        <v>2915</v>
      </c>
      <c r="AH2916" s="94"/>
      <c r="AI2916" s="94"/>
      <c r="AJ2916" s="1"/>
    </row>
    <row r="2917" spans="1:36" s="2" customFormat="1" ht="12" customHeight="1" x14ac:dyDescent="0.25">
      <c r="A2917" s="405" t="s">
        <v>4263</v>
      </c>
      <c r="B2917" s="406" t="s">
        <v>6146</v>
      </c>
      <c r="C2917" s="405">
        <v>3.4</v>
      </c>
      <c r="D2917" s="407" t="s">
        <v>1417</v>
      </c>
      <c r="E2917" s="315" t="s">
        <v>1418</v>
      </c>
      <c r="F2917" s="169">
        <v>37681</v>
      </c>
      <c r="G2917" s="170"/>
      <c r="H2917" s="170">
        <v>1</v>
      </c>
      <c r="I2917" s="746">
        <f>TIME(0,71,27)</f>
        <v>4.9618055555555561E-2</v>
      </c>
      <c r="J2917" s="899" t="s">
        <v>4706</v>
      </c>
      <c r="K2917" s="167" t="s">
        <v>2312</v>
      </c>
      <c r="L2917" s="167" t="s">
        <v>7375</v>
      </c>
      <c r="M2917" s="167"/>
      <c r="N2917" s="167"/>
      <c r="O2917" s="167"/>
      <c r="P2917" s="168" t="s">
        <v>1432</v>
      </c>
      <c r="Q2917" s="167" t="s">
        <v>3947</v>
      </c>
      <c r="R2917" s="172" t="s">
        <v>3711</v>
      </c>
      <c r="S2917" s="388"/>
      <c r="T2917" s="168" t="s">
        <v>2611</v>
      </c>
      <c r="U2917" s="168"/>
      <c r="V2917" s="168"/>
      <c r="W2917" s="315" t="s">
        <v>1418</v>
      </c>
      <c r="X2917" s="644" t="s">
        <v>12482</v>
      </c>
      <c r="Y2917" s="352"/>
      <c r="Z2917" s="353"/>
      <c r="AA2917" s="353"/>
      <c r="AB2917" s="31">
        <f t="shared" ca="1" si="66"/>
        <v>0.63878390361331894</v>
      </c>
      <c r="AC2917" s="810"/>
      <c r="AD2917" s="811" t="s">
        <v>16278</v>
      </c>
      <c r="AE2917" s="940"/>
      <c r="AF2917" s="920">
        <f>IF(X2917=X2916,AF2916,0)+IF(ISNUMBER(I2917),IF(I2917&lt;1,I2917,I2917*VLOOKUP(J2917,Summary!$H$2:$I$9,2)),VLOOKUP(J2917,Summary!$J$2:$K$9,2)*IF(ISNUMBER(H2917),H2917,1))</f>
        <v>0.7337615740740745</v>
      </c>
      <c r="AG2917" s="287">
        <v>2916</v>
      </c>
      <c r="AH2917" s="94"/>
      <c r="AI2917" s="94"/>
      <c r="AJ2917" s="3"/>
    </row>
    <row r="2918" spans="1:36" s="3" customFormat="1" ht="12" customHeight="1" x14ac:dyDescent="0.25">
      <c r="A2918" s="405" t="s">
        <v>4266</v>
      </c>
      <c r="B2918" s="406" t="s">
        <v>6146</v>
      </c>
      <c r="C2918" s="405">
        <v>4.0999999999999996</v>
      </c>
      <c r="D2918" s="407" t="s">
        <v>1419</v>
      </c>
      <c r="E2918" s="315" t="s">
        <v>1420</v>
      </c>
      <c r="F2918" s="169">
        <v>37712</v>
      </c>
      <c r="G2918" s="170"/>
      <c r="H2918" s="170">
        <v>1</v>
      </c>
      <c r="I2918" s="746">
        <f>TIME(0,70,26)</f>
        <v>4.8912037037037039E-2</v>
      </c>
      <c r="J2918" s="899" t="s">
        <v>4706</v>
      </c>
      <c r="K2918" s="167" t="s">
        <v>1935</v>
      </c>
      <c r="L2918" s="167" t="s">
        <v>7375</v>
      </c>
      <c r="M2918" s="167"/>
      <c r="N2918" s="167"/>
      <c r="O2918" s="167"/>
      <c r="P2918" s="168" t="s">
        <v>1433</v>
      </c>
      <c r="Q2918" s="167" t="s">
        <v>3947</v>
      </c>
      <c r="R2918" s="172" t="s">
        <v>3711</v>
      </c>
      <c r="S2918" s="388"/>
      <c r="T2918" s="168" t="s">
        <v>2611</v>
      </c>
      <c r="U2918" s="168"/>
      <c r="V2918" s="168"/>
      <c r="W2918" s="315" t="s">
        <v>1420</v>
      </c>
      <c r="X2918" s="644" t="s">
        <v>12483</v>
      </c>
      <c r="Y2918" s="352"/>
      <c r="Z2918" s="353"/>
      <c r="AA2918" s="353"/>
      <c r="AB2918" s="31">
        <f t="shared" ca="1" si="66"/>
        <v>6.3104028479913032E-2</v>
      </c>
      <c r="AC2918" s="810"/>
      <c r="AD2918" s="811" t="s">
        <v>16279</v>
      </c>
      <c r="AE2918" s="940"/>
      <c r="AF2918" s="920">
        <f>IF(X2918=X2917,AF2917,0)+IF(ISNUMBER(I2918),IF(I2918&lt;1,I2918,I2918*VLOOKUP(J2918,Summary!$H$2:$I$9,2)),VLOOKUP(J2918,Summary!$J$2:$K$9,2)*IF(ISNUMBER(H2918),H2918,1))</f>
        <v>4.8912037037037039E-2</v>
      </c>
      <c r="AG2918" s="287">
        <v>2917</v>
      </c>
      <c r="AH2918" s="94"/>
      <c r="AI2918" s="94"/>
      <c r="AJ2918" s="11"/>
    </row>
    <row r="2919" spans="1:36" s="43" customFormat="1" ht="12" customHeight="1" x14ac:dyDescent="0.25">
      <c r="A2919" s="405" t="s">
        <v>4266</v>
      </c>
      <c r="B2919" s="406" t="s">
        <v>6146</v>
      </c>
      <c r="C2919" s="405">
        <v>4.2</v>
      </c>
      <c r="D2919" s="407" t="s">
        <v>1421</v>
      </c>
      <c r="E2919" s="315" t="s">
        <v>1422</v>
      </c>
      <c r="F2919" s="169">
        <v>37834</v>
      </c>
      <c r="G2919" s="170"/>
      <c r="H2919" s="170">
        <v>1</v>
      </c>
      <c r="I2919" s="746">
        <f>TIME(0,70,26)</f>
        <v>4.8912037037037039E-2</v>
      </c>
      <c r="J2919" s="899" t="s">
        <v>4706</v>
      </c>
      <c r="K2919" s="167" t="s">
        <v>4032</v>
      </c>
      <c r="L2919" s="167" t="s">
        <v>6245</v>
      </c>
      <c r="M2919" s="167"/>
      <c r="N2919" s="167"/>
      <c r="O2919" s="167"/>
      <c r="P2919" s="168" t="s">
        <v>1434</v>
      </c>
      <c r="Q2919" s="167" t="s">
        <v>3947</v>
      </c>
      <c r="R2919" s="172" t="s">
        <v>3711</v>
      </c>
      <c r="S2919" s="388"/>
      <c r="T2919" s="168" t="s">
        <v>2611</v>
      </c>
      <c r="U2919" s="168"/>
      <c r="V2919" s="168"/>
      <c r="W2919" s="315" t="s">
        <v>1422</v>
      </c>
      <c r="X2919" s="644" t="s">
        <v>12483</v>
      </c>
      <c r="Y2919" s="352"/>
      <c r="Z2919" s="353"/>
      <c r="AA2919" s="353"/>
      <c r="AB2919" s="31">
        <f t="shared" ca="1" si="66"/>
        <v>0.6195856741679393</v>
      </c>
      <c r="AC2919" s="810"/>
      <c r="AD2919" s="811" t="s">
        <v>16279</v>
      </c>
      <c r="AE2919" s="940"/>
      <c r="AF2919" s="920">
        <f>IF(X2919=X2918,AF2918,0)+IF(ISNUMBER(I2919),IF(I2919&lt;1,I2919,I2919*VLOOKUP(J2919,Summary!$H$2:$I$9,2)),VLOOKUP(J2919,Summary!$J$2:$K$9,2)*IF(ISNUMBER(H2919),H2919,1))</f>
        <v>9.7824074074074077E-2</v>
      </c>
      <c r="AG2919" s="287">
        <v>2918</v>
      </c>
      <c r="AH2919" s="94"/>
      <c r="AI2919" s="94"/>
    </row>
    <row r="2920" spans="1:36" s="43" customFormat="1" ht="12" customHeight="1" x14ac:dyDescent="0.25">
      <c r="A2920" s="405" t="s">
        <v>4266</v>
      </c>
      <c r="B2920" s="406" t="s">
        <v>6146</v>
      </c>
      <c r="C2920" s="405">
        <v>4.3</v>
      </c>
      <c r="D2920" s="407" t="s">
        <v>1423</v>
      </c>
      <c r="E2920" s="315" t="s">
        <v>1424</v>
      </c>
      <c r="F2920" s="169">
        <v>37865</v>
      </c>
      <c r="G2920" s="170"/>
      <c r="H2920" s="170">
        <v>1</v>
      </c>
      <c r="I2920" s="746">
        <f>TIME(0,63,16)</f>
        <v>4.3935185185185188E-2</v>
      </c>
      <c r="J2920" s="899" t="s">
        <v>4706</v>
      </c>
      <c r="K2920" s="167" t="s">
        <v>6997</v>
      </c>
      <c r="L2920" s="167" t="s">
        <v>6245</v>
      </c>
      <c r="M2920" s="167"/>
      <c r="N2920" s="167"/>
      <c r="O2920" s="167"/>
      <c r="P2920" s="168" t="s">
        <v>1435</v>
      </c>
      <c r="Q2920" s="167" t="s">
        <v>3947</v>
      </c>
      <c r="R2920" s="172" t="s">
        <v>3711</v>
      </c>
      <c r="S2920" s="388"/>
      <c r="T2920" s="168" t="s">
        <v>2611</v>
      </c>
      <c r="U2920" s="168"/>
      <c r="V2920" s="168"/>
      <c r="W2920" s="315" t="s">
        <v>1424</v>
      </c>
      <c r="X2920" s="644" t="s">
        <v>12483</v>
      </c>
      <c r="Y2920" s="352"/>
      <c r="Z2920" s="353"/>
      <c r="AA2920" s="353"/>
      <c r="AB2920" s="31">
        <f t="shared" ca="1" si="66"/>
        <v>8.762771978629591E-2</v>
      </c>
      <c r="AC2920" s="810"/>
      <c r="AD2920" s="811" t="s">
        <v>16279</v>
      </c>
      <c r="AE2920" s="940"/>
      <c r="AF2920" s="920">
        <f>IF(X2920=X2919,AF2919,0)+IF(ISNUMBER(I2920),IF(I2920&lt;1,I2920,I2920*VLOOKUP(J2920,Summary!$H$2:$I$9,2)),VLOOKUP(J2920,Summary!$J$2:$K$9,2)*IF(ISNUMBER(H2920),H2920,1))</f>
        <v>0.14175925925925925</v>
      </c>
      <c r="AG2920" s="287">
        <v>2919</v>
      </c>
      <c r="AH2920" s="94"/>
      <c r="AI2920" s="94"/>
      <c r="AJ2920" s="2"/>
    </row>
    <row r="2921" spans="1:36" s="43" customFormat="1" ht="12" customHeight="1" x14ac:dyDescent="0.25">
      <c r="A2921" s="409" t="s">
        <v>4266</v>
      </c>
      <c r="B2921" s="410" t="s">
        <v>6146</v>
      </c>
      <c r="C2921" s="556">
        <v>3.01</v>
      </c>
      <c r="D2921" s="434" t="s">
        <v>1385</v>
      </c>
      <c r="E2921" s="324" t="s">
        <v>976</v>
      </c>
      <c r="F2921" s="174">
        <v>37867</v>
      </c>
      <c r="G2921" s="176"/>
      <c r="H2921" s="176" t="s">
        <v>461</v>
      </c>
      <c r="I2921" s="176"/>
      <c r="J2921" s="900" t="s">
        <v>2755</v>
      </c>
      <c r="K2921" s="157" t="s">
        <v>3807</v>
      </c>
      <c r="L2921" s="157" t="s">
        <v>461</v>
      </c>
      <c r="M2921" s="157"/>
      <c r="N2921" s="157" t="s">
        <v>3807</v>
      </c>
      <c r="O2921" s="157"/>
      <c r="P2921" s="173" t="s">
        <v>1436</v>
      </c>
      <c r="Q2921" s="157" t="s">
        <v>3947</v>
      </c>
      <c r="R2921" s="179" t="s">
        <v>6720</v>
      </c>
      <c r="S2921" s="354"/>
      <c r="T2921" s="173" t="s">
        <v>2611</v>
      </c>
      <c r="U2921" s="173"/>
      <c r="V2921" s="173"/>
      <c r="W2921" s="324" t="s">
        <v>976</v>
      </c>
      <c r="X2921" s="656" t="s">
        <v>12483</v>
      </c>
      <c r="Y2921" s="363"/>
      <c r="Z2921" s="364"/>
      <c r="AA2921" s="364"/>
      <c r="AB2921" s="32">
        <f t="shared" ca="1" si="66"/>
        <v>0.11528811097120839</v>
      </c>
      <c r="AC2921" s="812"/>
      <c r="AD2921" s="763" t="s">
        <v>16279</v>
      </c>
      <c r="AE2921" s="951"/>
      <c r="AF2921" s="921">
        <f>IF(X2921=X2920,AF2920,0)+IF(ISNUMBER(I2921),IF(I2921&lt;1,I2921,I2921*VLOOKUP(J2921,Summary!$H$2:$I$9,2)),VLOOKUP(J2921,Summary!$J$2:$K$9,2)*IF(ISNUMBER(H2921),H2921,1))</f>
        <v>0.15912037037037036</v>
      </c>
      <c r="AG2921" s="288">
        <v>2920</v>
      </c>
      <c r="AH2921" s="94"/>
      <c r="AI2921" s="94"/>
    </row>
    <row r="2922" spans="1:36" s="43" customFormat="1" ht="12" customHeight="1" x14ac:dyDescent="0.25">
      <c r="A2922" s="409" t="s">
        <v>4266</v>
      </c>
      <c r="B2922" s="410" t="s">
        <v>6146</v>
      </c>
      <c r="C2922" s="556">
        <v>3.02</v>
      </c>
      <c r="D2922" s="434" t="s">
        <v>1386</v>
      </c>
      <c r="E2922" s="324" t="s">
        <v>977</v>
      </c>
      <c r="F2922" s="174">
        <v>37867</v>
      </c>
      <c r="G2922" s="176"/>
      <c r="H2922" s="176" t="s">
        <v>461</v>
      </c>
      <c r="I2922" s="176"/>
      <c r="J2922" s="900" t="s">
        <v>2755</v>
      </c>
      <c r="K2922" s="157" t="s">
        <v>543</v>
      </c>
      <c r="L2922" s="157" t="s">
        <v>461</v>
      </c>
      <c r="M2922" s="157"/>
      <c r="N2922" s="157" t="s">
        <v>3807</v>
      </c>
      <c r="O2922" s="157"/>
      <c r="P2922" s="173" t="s">
        <v>1436</v>
      </c>
      <c r="Q2922" s="157" t="s">
        <v>3947</v>
      </c>
      <c r="R2922" s="179" t="s">
        <v>6720</v>
      </c>
      <c r="S2922" s="354"/>
      <c r="T2922" s="173" t="s">
        <v>2611</v>
      </c>
      <c r="U2922" s="173"/>
      <c r="V2922" s="173"/>
      <c r="W2922" s="324" t="s">
        <v>977</v>
      </c>
      <c r="X2922" s="656" t="s">
        <v>12483</v>
      </c>
      <c r="Y2922" s="363"/>
      <c r="Z2922" s="364"/>
      <c r="AA2922" s="364"/>
      <c r="AB2922" s="32">
        <f t="shared" ca="1" si="66"/>
        <v>0.8563802646131532</v>
      </c>
      <c r="AC2922" s="812"/>
      <c r="AD2922" s="763" t="s">
        <v>16279</v>
      </c>
      <c r="AE2922" s="951"/>
      <c r="AF2922" s="921">
        <f>IF(X2922=X2921,AF2921,0)+IF(ISNUMBER(I2922),IF(I2922&lt;1,I2922,I2922*VLOOKUP(J2922,Summary!$H$2:$I$9,2)),VLOOKUP(J2922,Summary!$J$2:$K$9,2)*IF(ISNUMBER(H2922),H2922,1))</f>
        <v>0.17648148148148146</v>
      </c>
      <c r="AG2922" s="288">
        <v>2921</v>
      </c>
      <c r="AH2922" s="94"/>
      <c r="AI2922" s="94"/>
      <c r="AJ2922" s="2"/>
    </row>
    <row r="2923" spans="1:36" s="43" customFormat="1" ht="12" customHeight="1" x14ac:dyDescent="0.25">
      <c r="A2923" s="409" t="s">
        <v>4266</v>
      </c>
      <c r="B2923" s="410" t="s">
        <v>6146</v>
      </c>
      <c r="C2923" s="556">
        <v>3.03</v>
      </c>
      <c r="D2923" s="434" t="s">
        <v>1387</v>
      </c>
      <c r="E2923" s="324" t="s">
        <v>978</v>
      </c>
      <c r="F2923" s="174">
        <v>37867</v>
      </c>
      <c r="G2923" s="176"/>
      <c r="H2923" s="176" t="s">
        <v>461</v>
      </c>
      <c r="I2923" s="176"/>
      <c r="J2923" s="900" t="s">
        <v>2755</v>
      </c>
      <c r="K2923" s="157" t="s">
        <v>5664</v>
      </c>
      <c r="L2923" s="157" t="s">
        <v>461</v>
      </c>
      <c r="M2923" s="157"/>
      <c r="N2923" s="157" t="s">
        <v>3807</v>
      </c>
      <c r="O2923" s="157"/>
      <c r="P2923" s="173" t="s">
        <v>1436</v>
      </c>
      <c r="Q2923" s="157" t="s">
        <v>3947</v>
      </c>
      <c r="R2923" s="179" t="s">
        <v>6720</v>
      </c>
      <c r="S2923" s="354"/>
      <c r="T2923" s="173" t="s">
        <v>2611</v>
      </c>
      <c r="U2923" s="173"/>
      <c r="V2923" s="173"/>
      <c r="W2923" s="324" t="s">
        <v>978</v>
      </c>
      <c r="X2923" s="656" t="s">
        <v>12483</v>
      </c>
      <c r="Y2923" s="363"/>
      <c r="Z2923" s="364"/>
      <c r="AA2923" s="364"/>
      <c r="AB2923" s="32">
        <f t="shared" ca="1" si="66"/>
        <v>0.42188855862190622</v>
      </c>
      <c r="AC2923" s="812"/>
      <c r="AD2923" s="763" t="s">
        <v>16279</v>
      </c>
      <c r="AE2923" s="951"/>
      <c r="AF2923" s="921">
        <f>IF(X2923=X2922,AF2922,0)+IF(ISNUMBER(I2923),IF(I2923&lt;1,I2923,I2923*VLOOKUP(J2923,Summary!$H$2:$I$9,2)),VLOOKUP(J2923,Summary!$J$2:$K$9,2)*IF(ISNUMBER(H2923),H2923,1))</f>
        <v>0.19384259259259257</v>
      </c>
      <c r="AG2923" s="288">
        <v>2922</v>
      </c>
      <c r="AH2923" s="94"/>
      <c r="AI2923" s="94"/>
      <c r="AJ2923" s="2"/>
    </row>
    <row r="2924" spans="1:36" s="43" customFormat="1" ht="12" customHeight="1" x14ac:dyDescent="0.25">
      <c r="A2924" s="409" t="s">
        <v>4266</v>
      </c>
      <c r="B2924" s="410" t="s">
        <v>6146</v>
      </c>
      <c r="C2924" s="556">
        <v>3.04</v>
      </c>
      <c r="D2924" s="434" t="s">
        <v>1388</v>
      </c>
      <c r="E2924" s="324" t="s">
        <v>979</v>
      </c>
      <c r="F2924" s="174">
        <v>37867</v>
      </c>
      <c r="G2924" s="176"/>
      <c r="H2924" s="176" t="s">
        <v>461</v>
      </c>
      <c r="I2924" s="176"/>
      <c r="J2924" s="900" t="s">
        <v>2755</v>
      </c>
      <c r="K2924" s="157" t="s">
        <v>338</v>
      </c>
      <c r="L2924" s="157" t="s">
        <v>461</v>
      </c>
      <c r="M2924" s="157"/>
      <c r="N2924" s="157" t="s">
        <v>3807</v>
      </c>
      <c r="O2924" s="157"/>
      <c r="P2924" s="173" t="s">
        <v>1436</v>
      </c>
      <c r="Q2924" s="157" t="s">
        <v>3947</v>
      </c>
      <c r="R2924" s="179" t="s">
        <v>6720</v>
      </c>
      <c r="S2924" s="354"/>
      <c r="T2924" s="173" t="s">
        <v>2611</v>
      </c>
      <c r="U2924" s="173"/>
      <c r="V2924" s="173"/>
      <c r="W2924" s="324" t="s">
        <v>979</v>
      </c>
      <c r="X2924" s="656" t="s">
        <v>12483</v>
      </c>
      <c r="Y2924" s="363"/>
      <c r="Z2924" s="364"/>
      <c r="AA2924" s="364"/>
      <c r="AB2924" s="32">
        <f t="shared" ca="1" si="66"/>
        <v>0.83476193021305001</v>
      </c>
      <c r="AC2924" s="812"/>
      <c r="AD2924" s="763" t="s">
        <v>16279</v>
      </c>
      <c r="AE2924" s="951"/>
      <c r="AF2924" s="921">
        <f>IF(X2924=X2923,AF2923,0)+IF(ISNUMBER(I2924),IF(I2924&lt;1,I2924,I2924*VLOOKUP(J2924,Summary!$H$2:$I$9,2)),VLOOKUP(J2924,Summary!$J$2:$K$9,2)*IF(ISNUMBER(H2924),H2924,1))</f>
        <v>0.21120370370370367</v>
      </c>
      <c r="AG2924" s="288">
        <v>2923</v>
      </c>
      <c r="AH2924" s="94"/>
      <c r="AI2924" s="94"/>
      <c r="AJ2924" s="1"/>
    </row>
    <row r="2925" spans="1:36" s="3" customFormat="1" ht="12" customHeight="1" x14ac:dyDescent="0.25">
      <c r="A2925" s="409" t="s">
        <v>4266</v>
      </c>
      <c r="B2925" s="410" t="s">
        <v>6146</v>
      </c>
      <c r="C2925" s="556">
        <v>3.05</v>
      </c>
      <c r="D2925" s="434" t="s">
        <v>1389</v>
      </c>
      <c r="E2925" s="324" t="s">
        <v>980</v>
      </c>
      <c r="F2925" s="174">
        <v>37867</v>
      </c>
      <c r="G2925" s="176"/>
      <c r="H2925" s="176" t="s">
        <v>461</v>
      </c>
      <c r="I2925" s="176"/>
      <c r="J2925" s="900" t="s">
        <v>2755</v>
      </c>
      <c r="K2925" s="157" t="s">
        <v>4279</v>
      </c>
      <c r="L2925" s="157" t="s">
        <v>461</v>
      </c>
      <c r="M2925" s="157"/>
      <c r="N2925" s="157" t="s">
        <v>3807</v>
      </c>
      <c r="O2925" s="157"/>
      <c r="P2925" s="173" t="s">
        <v>1436</v>
      </c>
      <c r="Q2925" s="157" t="s">
        <v>3947</v>
      </c>
      <c r="R2925" s="179" t="s">
        <v>6720</v>
      </c>
      <c r="S2925" s="354"/>
      <c r="T2925" s="173" t="s">
        <v>2611</v>
      </c>
      <c r="U2925" s="173"/>
      <c r="V2925" s="173"/>
      <c r="W2925" s="324" t="s">
        <v>980</v>
      </c>
      <c r="X2925" s="656" t="s">
        <v>12483</v>
      </c>
      <c r="Y2925" s="363"/>
      <c r="Z2925" s="364"/>
      <c r="AA2925" s="364"/>
      <c r="AB2925" s="32">
        <f t="shared" ca="1" si="66"/>
        <v>0.71607208411209677</v>
      </c>
      <c r="AC2925" s="812"/>
      <c r="AD2925" s="763" t="s">
        <v>16279</v>
      </c>
      <c r="AE2925" s="951"/>
      <c r="AF2925" s="921">
        <f>IF(X2925=X2924,AF2924,0)+IF(ISNUMBER(I2925),IF(I2925&lt;1,I2925,I2925*VLOOKUP(J2925,Summary!$H$2:$I$9,2)),VLOOKUP(J2925,Summary!$J$2:$K$9,2)*IF(ISNUMBER(H2925),H2925,1))</f>
        <v>0.22856481481481478</v>
      </c>
      <c r="AG2925" s="288">
        <v>2924</v>
      </c>
      <c r="AH2925" s="94"/>
      <c r="AI2925" s="94"/>
      <c r="AJ2925" s="1"/>
    </row>
    <row r="2926" spans="1:36" s="43" customFormat="1" ht="12" customHeight="1" x14ac:dyDescent="0.25">
      <c r="A2926" s="409" t="s">
        <v>4266</v>
      </c>
      <c r="B2926" s="410" t="s">
        <v>6146</v>
      </c>
      <c r="C2926" s="556">
        <v>3.06</v>
      </c>
      <c r="D2926" s="434" t="s">
        <v>1390</v>
      </c>
      <c r="E2926" s="324" t="s">
        <v>981</v>
      </c>
      <c r="F2926" s="174">
        <v>37867</v>
      </c>
      <c r="G2926" s="176"/>
      <c r="H2926" s="176" t="s">
        <v>461</v>
      </c>
      <c r="I2926" s="176"/>
      <c r="J2926" s="900" t="s">
        <v>2755</v>
      </c>
      <c r="K2926" s="157" t="s">
        <v>1391</v>
      </c>
      <c r="L2926" s="157" t="s">
        <v>461</v>
      </c>
      <c r="M2926" s="157"/>
      <c r="N2926" s="157" t="s">
        <v>3807</v>
      </c>
      <c r="O2926" s="157"/>
      <c r="P2926" s="173" t="s">
        <v>1436</v>
      </c>
      <c r="Q2926" s="157" t="s">
        <v>3947</v>
      </c>
      <c r="R2926" s="179" t="s">
        <v>6720</v>
      </c>
      <c r="S2926" s="354"/>
      <c r="T2926" s="173" t="s">
        <v>2611</v>
      </c>
      <c r="U2926" s="173"/>
      <c r="V2926" s="173"/>
      <c r="W2926" s="324" t="s">
        <v>981</v>
      </c>
      <c r="X2926" s="656" t="s">
        <v>12483</v>
      </c>
      <c r="Y2926" s="363"/>
      <c r="Z2926" s="364"/>
      <c r="AA2926" s="364"/>
      <c r="AB2926" s="32">
        <f t="shared" ca="1" si="66"/>
        <v>0.84603864419975683</v>
      </c>
      <c r="AC2926" s="812"/>
      <c r="AD2926" s="763" t="s">
        <v>16279</v>
      </c>
      <c r="AE2926" s="951"/>
      <c r="AF2926" s="921">
        <f>IF(X2926=X2925,AF2925,0)+IF(ISNUMBER(I2926),IF(I2926&lt;1,I2926,I2926*VLOOKUP(J2926,Summary!$H$2:$I$9,2)),VLOOKUP(J2926,Summary!$J$2:$K$9,2)*IF(ISNUMBER(H2926),H2926,1))</f>
        <v>0.24592592592592588</v>
      </c>
      <c r="AG2926" s="288">
        <v>2925</v>
      </c>
      <c r="AH2926" s="94"/>
      <c r="AI2926" s="94"/>
      <c r="AJ2926" s="3"/>
    </row>
    <row r="2927" spans="1:36" s="3" customFormat="1" ht="12" customHeight="1" x14ac:dyDescent="0.25">
      <c r="A2927" s="409" t="s">
        <v>4266</v>
      </c>
      <c r="B2927" s="410" t="s">
        <v>6146</v>
      </c>
      <c r="C2927" s="556">
        <v>3.07</v>
      </c>
      <c r="D2927" s="434" t="s">
        <v>1392</v>
      </c>
      <c r="E2927" s="324" t="s">
        <v>982</v>
      </c>
      <c r="F2927" s="174">
        <v>37867</v>
      </c>
      <c r="G2927" s="176"/>
      <c r="H2927" s="176" t="s">
        <v>461</v>
      </c>
      <c r="I2927" s="176"/>
      <c r="J2927" s="900" t="s">
        <v>2755</v>
      </c>
      <c r="K2927" s="157" t="s">
        <v>4996</v>
      </c>
      <c r="L2927" s="157" t="s">
        <v>461</v>
      </c>
      <c r="M2927" s="157"/>
      <c r="N2927" s="157" t="s">
        <v>3807</v>
      </c>
      <c r="O2927" s="157"/>
      <c r="P2927" s="173" t="s">
        <v>1436</v>
      </c>
      <c r="Q2927" s="157" t="s">
        <v>3947</v>
      </c>
      <c r="R2927" s="179" t="s">
        <v>6720</v>
      </c>
      <c r="S2927" s="354"/>
      <c r="T2927" s="173" t="s">
        <v>2611</v>
      </c>
      <c r="U2927" s="173"/>
      <c r="V2927" s="173"/>
      <c r="W2927" s="324" t="s">
        <v>982</v>
      </c>
      <c r="X2927" s="656" t="s">
        <v>12483</v>
      </c>
      <c r="Y2927" s="363"/>
      <c r="Z2927" s="364"/>
      <c r="AA2927" s="364"/>
      <c r="AB2927" s="32">
        <f t="shared" ca="1" si="66"/>
        <v>0.27325206955019365</v>
      </c>
      <c r="AC2927" s="812"/>
      <c r="AD2927" s="763" t="s">
        <v>16279</v>
      </c>
      <c r="AE2927" s="951"/>
      <c r="AF2927" s="921">
        <f>IF(X2927=X2926,AF2926,0)+IF(ISNUMBER(I2927),IF(I2927&lt;1,I2927,I2927*VLOOKUP(J2927,Summary!$H$2:$I$9,2)),VLOOKUP(J2927,Summary!$J$2:$K$9,2)*IF(ISNUMBER(H2927),H2927,1))</f>
        <v>0.26328703703703699</v>
      </c>
      <c r="AG2927" s="288">
        <v>2926</v>
      </c>
      <c r="AH2927" s="94"/>
      <c r="AI2927" s="94"/>
      <c r="AJ2927" s="2"/>
    </row>
    <row r="2928" spans="1:36" s="43" customFormat="1" ht="12" customHeight="1" x14ac:dyDescent="0.25">
      <c r="A2928" s="409" t="s">
        <v>4266</v>
      </c>
      <c r="B2928" s="410" t="s">
        <v>6146</v>
      </c>
      <c r="C2928" s="556">
        <v>3.08</v>
      </c>
      <c r="D2928" s="434" t="s">
        <v>1393</v>
      </c>
      <c r="E2928" s="324" t="s">
        <v>983</v>
      </c>
      <c r="F2928" s="174">
        <v>37867</v>
      </c>
      <c r="G2928" s="176"/>
      <c r="H2928" s="176" t="s">
        <v>461</v>
      </c>
      <c r="I2928" s="176"/>
      <c r="J2928" s="900" t="s">
        <v>2755</v>
      </c>
      <c r="K2928" s="157" t="s">
        <v>6235</v>
      </c>
      <c r="L2928" s="157" t="s">
        <v>461</v>
      </c>
      <c r="M2928" s="157"/>
      <c r="N2928" s="157" t="s">
        <v>3807</v>
      </c>
      <c r="O2928" s="157"/>
      <c r="P2928" s="173" t="s">
        <v>1436</v>
      </c>
      <c r="Q2928" s="157" t="s">
        <v>3947</v>
      </c>
      <c r="R2928" s="179" t="s">
        <v>6720</v>
      </c>
      <c r="S2928" s="354"/>
      <c r="T2928" s="173" t="s">
        <v>2611</v>
      </c>
      <c r="U2928" s="173"/>
      <c r="V2928" s="173"/>
      <c r="W2928" s="324" t="s">
        <v>983</v>
      </c>
      <c r="X2928" s="656" t="s">
        <v>12483</v>
      </c>
      <c r="Y2928" s="363"/>
      <c r="Z2928" s="364"/>
      <c r="AA2928" s="364"/>
      <c r="AB2928" s="32">
        <f t="shared" ca="1" si="66"/>
        <v>0.24465938603929194</v>
      </c>
      <c r="AC2928" s="812"/>
      <c r="AD2928" s="763" t="s">
        <v>16279</v>
      </c>
      <c r="AE2928" s="951"/>
      <c r="AF2928" s="921">
        <f>IF(X2928=X2927,AF2927,0)+IF(ISNUMBER(I2928),IF(I2928&lt;1,I2928,I2928*VLOOKUP(J2928,Summary!$H$2:$I$9,2)),VLOOKUP(J2928,Summary!$J$2:$K$9,2)*IF(ISNUMBER(H2928),H2928,1))</f>
        <v>0.28064814814814809</v>
      </c>
      <c r="AG2928" s="288">
        <v>2927</v>
      </c>
      <c r="AH2928" s="94"/>
      <c r="AI2928" s="94"/>
      <c r="AJ2928" s="1"/>
    </row>
    <row r="2929" spans="1:36" s="3" customFormat="1" ht="12" customHeight="1" x14ac:dyDescent="0.25">
      <c r="A2929" s="409" t="s">
        <v>4266</v>
      </c>
      <c r="B2929" s="410" t="s">
        <v>6146</v>
      </c>
      <c r="C2929" s="556">
        <v>3.09</v>
      </c>
      <c r="D2929" s="434" t="s">
        <v>1394</v>
      </c>
      <c r="E2929" s="324" t="s">
        <v>984</v>
      </c>
      <c r="F2929" s="174">
        <v>37867</v>
      </c>
      <c r="G2929" s="176"/>
      <c r="H2929" s="176" t="s">
        <v>461</v>
      </c>
      <c r="I2929" s="176"/>
      <c r="J2929" s="900" t="s">
        <v>2755</v>
      </c>
      <c r="K2929" s="157" t="s">
        <v>2047</v>
      </c>
      <c r="L2929" s="157" t="s">
        <v>461</v>
      </c>
      <c r="M2929" s="157"/>
      <c r="N2929" s="157" t="s">
        <v>3807</v>
      </c>
      <c r="O2929" s="157"/>
      <c r="P2929" s="173" t="s">
        <v>1436</v>
      </c>
      <c r="Q2929" s="157" t="s">
        <v>3947</v>
      </c>
      <c r="R2929" s="179" t="s">
        <v>6720</v>
      </c>
      <c r="S2929" s="354"/>
      <c r="T2929" s="173" t="s">
        <v>2611</v>
      </c>
      <c r="U2929" s="173"/>
      <c r="V2929" s="173"/>
      <c r="W2929" s="324" t="s">
        <v>984</v>
      </c>
      <c r="X2929" s="656" t="s">
        <v>12483</v>
      </c>
      <c r="Y2929" s="363"/>
      <c r="Z2929" s="364"/>
      <c r="AA2929" s="364"/>
      <c r="AB2929" s="32">
        <f t="shared" ca="1" si="66"/>
        <v>0.12825666566254568</v>
      </c>
      <c r="AC2929" s="812"/>
      <c r="AD2929" s="763" t="s">
        <v>16279</v>
      </c>
      <c r="AE2929" s="951"/>
      <c r="AF2929" s="921">
        <f>IF(X2929=X2928,AF2928,0)+IF(ISNUMBER(I2929),IF(I2929&lt;1,I2929,I2929*VLOOKUP(J2929,Summary!$H$2:$I$9,2)),VLOOKUP(J2929,Summary!$J$2:$K$9,2)*IF(ISNUMBER(H2929),H2929,1))</f>
        <v>0.2980092592592592</v>
      </c>
      <c r="AG2929" s="288">
        <v>2928</v>
      </c>
      <c r="AH2929" s="94"/>
      <c r="AI2929" s="94"/>
      <c r="AJ2929" s="1"/>
    </row>
    <row r="2930" spans="1:36" s="43" customFormat="1" ht="12" customHeight="1" x14ac:dyDescent="0.25">
      <c r="A2930" s="409" t="s">
        <v>4266</v>
      </c>
      <c r="B2930" s="410" t="s">
        <v>6146</v>
      </c>
      <c r="C2930" s="556">
        <v>3.1</v>
      </c>
      <c r="D2930" s="434" t="s">
        <v>1395</v>
      </c>
      <c r="E2930" s="324" t="s">
        <v>985</v>
      </c>
      <c r="F2930" s="174">
        <v>37867</v>
      </c>
      <c r="G2930" s="176"/>
      <c r="H2930" s="176" t="s">
        <v>461</v>
      </c>
      <c r="I2930" s="176"/>
      <c r="J2930" s="900" t="s">
        <v>2755</v>
      </c>
      <c r="K2930" s="157" t="s">
        <v>6833</v>
      </c>
      <c r="L2930" s="157" t="s">
        <v>461</v>
      </c>
      <c r="M2930" s="157"/>
      <c r="N2930" s="157" t="s">
        <v>3807</v>
      </c>
      <c r="O2930" s="157"/>
      <c r="P2930" s="173" t="s">
        <v>1436</v>
      </c>
      <c r="Q2930" s="157" t="s">
        <v>3947</v>
      </c>
      <c r="R2930" s="179" t="s">
        <v>6720</v>
      </c>
      <c r="S2930" s="354"/>
      <c r="T2930" s="173" t="s">
        <v>2611</v>
      </c>
      <c r="U2930" s="173"/>
      <c r="V2930" s="173"/>
      <c r="W2930" s="324" t="s">
        <v>985</v>
      </c>
      <c r="X2930" s="656" t="s">
        <v>12483</v>
      </c>
      <c r="Y2930" s="363"/>
      <c r="Z2930" s="364"/>
      <c r="AA2930" s="364"/>
      <c r="AB2930" s="32">
        <f t="shared" ca="1" si="66"/>
        <v>2.2768050016180097E-2</v>
      </c>
      <c r="AC2930" s="812"/>
      <c r="AD2930" s="763" t="s">
        <v>16279</v>
      </c>
      <c r="AE2930" s="951"/>
      <c r="AF2930" s="921">
        <f>IF(X2930=X2929,AF2929,0)+IF(ISNUMBER(I2930),IF(I2930&lt;1,I2930,I2930*VLOOKUP(J2930,Summary!$H$2:$I$9,2)),VLOOKUP(J2930,Summary!$J$2:$K$9,2)*IF(ISNUMBER(H2930),H2930,1))</f>
        <v>0.3153703703703703</v>
      </c>
      <c r="AG2930" s="288">
        <v>2929</v>
      </c>
      <c r="AH2930" s="94"/>
      <c r="AI2930" s="94"/>
      <c r="AJ2930" s="1"/>
    </row>
    <row r="2931" spans="1:36" s="43" customFormat="1" ht="12" customHeight="1" x14ac:dyDescent="0.25">
      <c r="A2931" s="409" t="s">
        <v>4266</v>
      </c>
      <c r="B2931" s="410" t="s">
        <v>6146</v>
      </c>
      <c r="C2931" s="556">
        <v>3.11</v>
      </c>
      <c r="D2931" s="434" t="s">
        <v>1396</v>
      </c>
      <c r="E2931" s="324" t="s">
        <v>986</v>
      </c>
      <c r="F2931" s="174">
        <v>37867</v>
      </c>
      <c r="G2931" s="176"/>
      <c r="H2931" s="176" t="s">
        <v>461</v>
      </c>
      <c r="I2931" s="176"/>
      <c r="J2931" s="900" t="s">
        <v>2755</v>
      </c>
      <c r="K2931" s="157" t="s">
        <v>3443</v>
      </c>
      <c r="L2931" s="157" t="s">
        <v>461</v>
      </c>
      <c r="M2931" s="157"/>
      <c r="N2931" s="157" t="s">
        <v>3807</v>
      </c>
      <c r="O2931" s="157"/>
      <c r="P2931" s="173" t="s">
        <v>1436</v>
      </c>
      <c r="Q2931" s="157" t="s">
        <v>3947</v>
      </c>
      <c r="R2931" s="179" t="s">
        <v>6720</v>
      </c>
      <c r="S2931" s="354"/>
      <c r="T2931" s="173" t="s">
        <v>2611</v>
      </c>
      <c r="U2931" s="173"/>
      <c r="V2931" s="173"/>
      <c r="W2931" s="324" t="s">
        <v>986</v>
      </c>
      <c r="X2931" s="656" t="s">
        <v>12483</v>
      </c>
      <c r="Y2931" s="363"/>
      <c r="Z2931" s="364"/>
      <c r="AA2931" s="364"/>
      <c r="AB2931" s="32">
        <f t="shared" ca="1" si="66"/>
        <v>0.56628615638470936</v>
      </c>
      <c r="AC2931" s="812"/>
      <c r="AD2931" s="763" t="s">
        <v>16279</v>
      </c>
      <c r="AE2931" s="951"/>
      <c r="AF2931" s="921">
        <f>IF(X2931=X2930,AF2930,0)+IF(ISNUMBER(I2931),IF(I2931&lt;1,I2931,I2931*VLOOKUP(J2931,Summary!$H$2:$I$9,2)),VLOOKUP(J2931,Summary!$J$2:$K$9,2)*IF(ISNUMBER(H2931),H2931,1))</f>
        <v>0.33273148148148141</v>
      </c>
      <c r="AG2931" s="288">
        <v>2930</v>
      </c>
      <c r="AH2931" s="94"/>
      <c r="AI2931" s="94"/>
      <c r="AJ2931" s="3"/>
    </row>
    <row r="2932" spans="1:36" s="43" customFormat="1" ht="12" customHeight="1" x14ac:dyDescent="0.25">
      <c r="A2932" s="409" t="s">
        <v>4266</v>
      </c>
      <c r="B2932" s="410" t="s">
        <v>6146</v>
      </c>
      <c r="C2932" s="556">
        <v>3.12</v>
      </c>
      <c r="D2932" s="434" t="s">
        <v>1397</v>
      </c>
      <c r="E2932" s="324" t="s">
        <v>987</v>
      </c>
      <c r="F2932" s="174">
        <v>37867</v>
      </c>
      <c r="G2932" s="176"/>
      <c r="H2932" s="176" t="s">
        <v>461</v>
      </c>
      <c r="I2932" s="176"/>
      <c r="J2932" s="900" t="s">
        <v>2755</v>
      </c>
      <c r="K2932" s="157" t="s">
        <v>177</v>
      </c>
      <c r="L2932" s="157" t="s">
        <v>461</v>
      </c>
      <c r="M2932" s="157"/>
      <c r="N2932" s="157" t="s">
        <v>3807</v>
      </c>
      <c r="O2932" s="157"/>
      <c r="P2932" s="173" t="s">
        <v>1436</v>
      </c>
      <c r="Q2932" s="157" t="s">
        <v>3947</v>
      </c>
      <c r="R2932" s="179" t="s">
        <v>6720</v>
      </c>
      <c r="S2932" s="354"/>
      <c r="T2932" s="173" t="s">
        <v>2611</v>
      </c>
      <c r="U2932" s="173"/>
      <c r="V2932" s="173"/>
      <c r="W2932" s="324" t="s">
        <v>987</v>
      </c>
      <c r="X2932" s="656" t="s">
        <v>12483</v>
      </c>
      <c r="Y2932" s="363"/>
      <c r="Z2932" s="364"/>
      <c r="AA2932" s="364"/>
      <c r="AB2932" s="32">
        <f t="shared" ca="1" si="66"/>
        <v>0.99007891368365997</v>
      </c>
      <c r="AC2932" s="812"/>
      <c r="AD2932" s="763" t="s">
        <v>16279</v>
      </c>
      <c r="AE2932" s="951"/>
      <c r="AF2932" s="921">
        <f>IF(X2932=X2931,AF2931,0)+IF(ISNUMBER(I2932),IF(I2932&lt;1,I2932,I2932*VLOOKUP(J2932,Summary!$H$2:$I$9,2)),VLOOKUP(J2932,Summary!$J$2:$K$9,2)*IF(ISNUMBER(H2932),H2932,1))</f>
        <v>0.35009259259259251</v>
      </c>
      <c r="AG2932" s="288">
        <v>2931</v>
      </c>
      <c r="AH2932" s="94"/>
      <c r="AI2932" s="94"/>
      <c r="AJ2932" s="22"/>
    </row>
    <row r="2933" spans="1:36" s="43" customFormat="1" ht="12" customHeight="1" x14ac:dyDescent="0.25">
      <c r="A2933" s="409" t="s">
        <v>4266</v>
      </c>
      <c r="B2933" s="410" t="s">
        <v>6146</v>
      </c>
      <c r="C2933" s="556">
        <v>3.13</v>
      </c>
      <c r="D2933" s="434" t="s">
        <v>1398</v>
      </c>
      <c r="E2933" s="324" t="s">
        <v>988</v>
      </c>
      <c r="F2933" s="174">
        <v>37867</v>
      </c>
      <c r="G2933" s="176"/>
      <c r="H2933" s="176" t="s">
        <v>461</v>
      </c>
      <c r="I2933" s="176"/>
      <c r="J2933" s="900" t="s">
        <v>2755</v>
      </c>
      <c r="K2933" s="157" t="s">
        <v>1399</v>
      </c>
      <c r="L2933" s="157" t="s">
        <v>461</v>
      </c>
      <c r="M2933" s="157"/>
      <c r="N2933" s="157" t="s">
        <v>3807</v>
      </c>
      <c r="O2933" s="157"/>
      <c r="P2933" s="173" t="s">
        <v>1436</v>
      </c>
      <c r="Q2933" s="157" t="s">
        <v>3947</v>
      </c>
      <c r="R2933" s="179" t="s">
        <v>6720</v>
      </c>
      <c r="S2933" s="354"/>
      <c r="T2933" s="173" t="s">
        <v>2611</v>
      </c>
      <c r="U2933" s="173"/>
      <c r="V2933" s="173"/>
      <c r="W2933" s="324" t="s">
        <v>988</v>
      </c>
      <c r="X2933" s="656" t="s">
        <v>12483</v>
      </c>
      <c r="Y2933" s="363"/>
      <c r="Z2933" s="364"/>
      <c r="AA2933" s="364"/>
      <c r="AB2933" s="32">
        <f t="shared" ca="1" si="66"/>
        <v>0.88190063380437977</v>
      </c>
      <c r="AC2933" s="812"/>
      <c r="AD2933" s="763" t="s">
        <v>16279</v>
      </c>
      <c r="AE2933" s="951"/>
      <c r="AF2933" s="921">
        <f>IF(X2933=X2932,AF2932,0)+IF(ISNUMBER(I2933),IF(I2933&lt;1,I2933,I2933*VLOOKUP(J2933,Summary!$H$2:$I$9,2)),VLOOKUP(J2933,Summary!$J$2:$K$9,2)*IF(ISNUMBER(H2933),H2933,1))</f>
        <v>0.36745370370370362</v>
      </c>
      <c r="AG2933" s="288">
        <v>2932</v>
      </c>
      <c r="AH2933" s="94"/>
      <c r="AI2933" s="94"/>
      <c r="AJ2933" s="1"/>
    </row>
    <row r="2934" spans="1:36" s="43" customFormat="1" ht="12" customHeight="1" x14ac:dyDescent="0.25">
      <c r="A2934" s="409" t="s">
        <v>4266</v>
      </c>
      <c r="B2934" s="410" t="s">
        <v>6146</v>
      </c>
      <c r="C2934" s="556">
        <v>3.14</v>
      </c>
      <c r="D2934" s="434" t="s">
        <v>1400</v>
      </c>
      <c r="E2934" s="324" t="s">
        <v>989</v>
      </c>
      <c r="F2934" s="174">
        <v>37867</v>
      </c>
      <c r="G2934" s="176"/>
      <c r="H2934" s="176" t="s">
        <v>461</v>
      </c>
      <c r="I2934" s="176"/>
      <c r="J2934" s="900" t="s">
        <v>2755</v>
      </c>
      <c r="K2934" s="157" t="s">
        <v>2998</v>
      </c>
      <c r="L2934" s="157" t="s">
        <v>461</v>
      </c>
      <c r="M2934" s="157"/>
      <c r="N2934" s="157" t="s">
        <v>3807</v>
      </c>
      <c r="O2934" s="157"/>
      <c r="P2934" s="173" t="s">
        <v>1436</v>
      </c>
      <c r="Q2934" s="157" t="s">
        <v>3947</v>
      </c>
      <c r="R2934" s="179" t="s">
        <v>6720</v>
      </c>
      <c r="S2934" s="354"/>
      <c r="T2934" s="173" t="s">
        <v>2611</v>
      </c>
      <c r="U2934" s="173"/>
      <c r="V2934" s="173"/>
      <c r="W2934" s="324" t="s">
        <v>989</v>
      </c>
      <c r="X2934" s="656" t="s">
        <v>12483</v>
      </c>
      <c r="Y2934" s="363"/>
      <c r="Z2934" s="364"/>
      <c r="AA2934" s="364"/>
      <c r="AB2934" s="32">
        <f t="shared" ca="1" si="66"/>
        <v>6.4633225402656036E-2</v>
      </c>
      <c r="AC2934" s="812"/>
      <c r="AD2934" s="763" t="s">
        <v>16279</v>
      </c>
      <c r="AE2934" s="951"/>
      <c r="AF2934" s="921">
        <f>IF(X2934=X2933,AF2933,0)+IF(ISNUMBER(I2934),IF(I2934&lt;1,I2934,I2934*VLOOKUP(J2934,Summary!$H$2:$I$9,2)),VLOOKUP(J2934,Summary!$J$2:$K$9,2)*IF(ISNUMBER(H2934),H2934,1))</f>
        <v>0.38481481481481472</v>
      </c>
      <c r="AG2934" s="288">
        <v>2933</v>
      </c>
      <c r="AH2934" s="94"/>
      <c r="AI2934" s="94"/>
    </row>
    <row r="2935" spans="1:36" s="43" customFormat="1" ht="12" customHeight="1" x14ac:dyDescent="0.25">
      <c r="A2935" s="409" t="s">
        <v>4266</v>
      </c>
      <c r="B2935" s="410" t="s">
        <v>6146</v>
      </c>
      <c r="C2935" s="556">
        <v>3.15</v>
      </c>
      <c r="D2935" s="434" t="s">
        <v>1401</v>
      </c>
      <c r="E2935" s="324" t="s">
        <v>990</v>
      </c>
      <c r="F2935" s="174">
        <v>37867</v>
      </c>
      <c r="G2935" s="176"/>
      <c r="H2935" s="176" t="s">
        <v>461</v>
      </c>
      <c r="I2935" s="176"/>
      <c r="J2935" s="900" t="s">
        <v>2755</v>
      </c>
      <c r="K2935" s="157" t="s">
        <v>341</v>
      </c>
      <c r="L2935" s="157" t="s">
        <v>461</v>
      </c>
      <c r="M2935" s="157"/>
      <c r="N2935" s="157" t="s">
        <v>3807</v>
      </c>
      <c r="O2935" s="157"/>
      <c r="P2935" s="173" t="s">
        <v>1436</v>
      </c>
      <c r="Q2935" s="157" t="s">
        <v>3947</v>
      </c>
      <c r="R2935" s="179" t="s">
        <v>6720</v>
      </c>
      <c r="S2935" s="354"/>
      <c r="T2935" s="173" t="s">
        <v>2611</v>
      </c>
      <c r="U2935" s="173"/>
      <c r="V2935" s="173"/>
      <c r="W2935" s="324" t="s">
        <v>990</v>
      </c>
      <c r="X2935" s="656" t="s">
        <v>12483</v>
      </c>
      <c r="Y2935" s="363"/>
      <c r="Z2935" s="364"/>
      <c r="AA2935" s="364"/>
      <c r="AB2935" s="32">
        <f t="shared" ca="1" si="66"/>
        <v>0.69992516268862826</v>
      </c>
      <c r="AC2935" s="812"/>
      <c r="AD2935" s="763" t="s">
        <v>16279</v>
      </c>
      <c r="AE2935" s="951"/>
      <c r="AF2935" s="921">
        <f>IF(X2935=X2934,AF2934,0)+IF(ISNUMBER(I2935),IF(I2935&lt;1,I2935,I2935*VLOOKUP(J2935,Summary!$H$2:$I$9,2)),VLOOKUP(J2935,Summary!$J$2:$K$9,2)*IF(ISNUMBER(H2935),H2935,1))</f>
        <v>0.40217592592592583</v>
      </c>
      <c r="AG2935" s="288">
        <v>2934</v>
      </c>
      <c r="AH2935" s="94"/>
      <c r="AI2935" s="94"/>
      <c r="AJ2935" s="3"/>
    </row>
    <row r="2936" spans="1:36" s="43" customFormat="1" ht="12" customHeight="1" x14ac:dyDescent="0.25">
      <c r="A2936" s="409" t="s">
        <v>4266</v>
      </c>
      <c r="B2936" s="410" t="s">
        <v>6146</v>
      </c>
      <c r="C2936" s="556">
        <v>3.16</v>
      </c>
      <c r="D2936" s="434" t="s">
        <v>1402</v>
      </c>
      <c r="E2936" s="324" t="s">
        <v>991</v>
      </c>
      <c r="F2936" s="174">
        <v>37867</v>
      </c>
      <c r="G2936" s="176"/>
      <c r="H2936" s="176" t="s">
        <v>461</v>
      </c>
      <c r="I2936" s="176"/>
      <c r="J2936" s="900" t="s">
        <v>2755</v>
      </c>
      <c r="K2936" s="157" t="s">
        <v>7799</v>
      </c>
      <c r="L2936" s="157" t="s">
        <v>461</v>
      </c>
      <c r="M2936" s="157"/>
      <c r="N2936" s="157" t="s">
        <v>3807</v>
      </c>
      <c r="O2936" s="157"/>
      <c r="P2936" s="173" t="s">
        <v>1436</v>
      </c>
      <c r="Q2936" s="157" t="s">
        <v>3947</v>
      </c>
      <c r="R2936" s="179" t="s">
        <v>6720</v>
      </c>
      <c r="S2936" s="354"/>
      <c r="T2936" s="173" t="s">
        <v>2611</v>
      </c>
      <c r="U2936" s="173"/>
      <c r="V2936" s="173"/>
      <c r="W2936" s="324" t="s">
        <v>991</v>
      </c>
      <c r="X2936" s="656" t="s">
        <v>12483</v>
      </c>
      <c r="Y2936" s="363"/>
      <c r="Z2936" s="364"/>
      <c r="AA2936" s="364"/>
      <c r="AB2936" s="32">
        <f t="shared" ca="1" si="66"/>
        <v>0.50258618850685022</v>
      </c>
      <c r="AC2936" s="812"/>
      <c r="AD2936" s="763" t="s">
        <v>16279</v>
      </c>
      <c r="AE2936" s="951"/>
      <c r="AF2936" s="921">
        <f>IF(X2936=X2935,AF2935,0)+IF(ISNUMBER(I2936),IF(I2936&lt;1,I2936,I2936*VLOOKUP(J2936,Summary!$H$2:$I$9,2)),VLOOKUP(J2936,Summary!$J$2:$K$9,2)*IF(ISNUMBER(H2936),H2936,1))</f>
        <v>0.41953703703703693</v>
      </c>
      <c r="AG2936" s="288">
        <v>2935</v>
      </c>
      <c r="AH2936" s="94"/>
      <c r="AI2936" s="94"/>
      <c r="AJ2936" s="3"/>
    </row>
    <row r="2937" spans="1:36" s="43" customFormat="1" ht="12" customHeight="1" x14ac:dyDescent="0.25">
      <c r="A2937" s="409" t="s">
        <v>4266</v>
      </c>
      <c r="B2937" s="410" t="s">
        <v>6146</v>
      </c>
      <c r="C2937" s="556">
        <v>3.17</v>
      </c>
      <c r="D2937" s="434" t="s">
        <v>1403</v>
      </c>
      <c r="E2937" s="324" t="s">
        <v>992</v>
      </c>
      <c r="F2937" s="174">
        <v>37867</v>
      </c>
      <c r="G2937" s="176"/>
      <c r="H2937" s="176" t="s">
        <v>461</v>
      </c>
      <c r="I2937" s="176"/>
      <c r="J2937" s="900" t="s">
        <v>2755</v>
      </c>
      <c r="K2937" s="157" t="s">
        <v>6874</v>
      </c>
      <c r="L2937" s="157" t="s">
        <v>461</v>
      </c>
      <c r="M2937" s="157"/>
      <c r="N2937" s="157" t="s">
        <v>3807</v>
      </c>
      <c r="O2937" s="157"/>
      <c r="P2937" s="173" t="s">
        <v>1436</v>
      </c>
      <c r="Q2937" s="157" t="s">
        <v>3947</v>
      </c>
      <c r="R2937" s="179" t="s">
        <v>6720</v>
      </c>
      <c r="S2937" s="354"/>
      <c r="T2937" s="173" t="s">
        <v>2611</v>
      </c>
      <c r="U2937" s="173"/>
      <c r="V2937" s="173"/>
      <c r="W2937" s="324" t="s">
        <v>992</v>
      </c>
      <c r="X2937" s="656" t="s">
        <v>12483</v>
      </c>
      <c r="Y2937" s="363"/>
      <c r="Z2937" s="364"/>
      <c r="AA2937" s="364"/>
      <c r="AB2937" s="32">
        <f t="shared" ca="1" si="66"/>
        <v>0.59251655190974817</v>
      </c>
      <c r="AC2937" s="812"/>
      <c r="AD2937" s="763" t="s">
        <v>16279</v>
      </c>
      <c r="AE2937" s="951"/>
      <c r="AF2937" s="921">
        <f>IF(X2937=X2936,AF2936,0)+IF(ISNUMBER(I2937),IF(I2937&lt;1,I2937,I2937*VLOOKUP(J2937,Summary!$H$2:$I$9,2)),VLOOKUP(J2937,Summary!$J$2:$K$9,2)*IF(ISNUMBER(H2937),H2937,1))</f>
        <v>0.43689814814814804</v>
      </c>
      <c r="AG2937" s="288">
        <v>2936</v>
      </c>
      <c r="AH2937" s="94"/>
      <c r="AI2937" s="94"/>
      <c r="AJ2937" s="22"/>
    </row>
    <row r="2938" spans="1:36" s="43" customFormat="1" ht="12" customHeight="1" x14ac:dyDescent="0.25">
      <c r="A2938" s="409" t="s">
        <v>4266</v>
      </c>
      <c r="B2938" s="410" t="s">
        <v>6146</v>
      </c>
      <c r="C2938" s="556">
        <v>3.18</v>
      </c>
      <c r="D2938" s="434" t="s">
        <v>1404</v>
      </c>
      <c r="E2938" s="324" t="s">
        <v>993</v>
      </c>
      <c r="F2938" s="174">
        <v>37867</v>
      </c>
      <c r="G2938" s="176"/>
      <c r="H2938" s="176" t="s">
        <v>461</v>
      </c>
      <c r="I2938" s="176"/>
      <c r="J2938" s="900" t="s">
        <v>2755</v>
      </c>
      <c r="K2938" s="157" t="s">
        <v>4551</v>
      </c>
      <c r="L2938" s="157" t="s">
        <v>461</v>
      </c>
      <c r="M2938" s="157"/>
      <c r="N2938" s="157" t="s">
        <v>3807</v>
      </c>
      <c r="O2938" s="157"/>
      <c r="P2938" s="173" t="s">
        <v>1436</v>
      </c>
      <c r="Q2938" s="157" t="s">
        <v>3947</v>
      </c>
      <c r="R2938" s="179" t="s">
        <v>6720</v>
      </c>
      <c r="S2938" s="354"/>
      <c r="T2938" s="173" t="s">
        <v>2611</v>
      </c>
      <c r="U2938" s="173"/>
      <c r="V2938" s="173"/>
      <c r="W2938" s="324" t="s">
        <v>993</v>
      </c>
      <c r="X2938" s="656" t="s">
        <v>12483</v>
      </c>
      <c r="Y2938" s="363"/>
      <c r="Z2938" s="364"/>
      <c r="AA2938" s="364"/>
      <c r="AB2938" s="32">
        <f t="shared" ca="1" si="66"/>
        <v>0.84286258237002387</v>
      </c>
      <c r="AC2938" s="812"/>
      <c r="AD2938" s="763" t="s">
        <v>16279</v>
      </c>
      <c r="AE2938" s="951"/>
      <c r="AF2938" s="921">
        <f>IF(X2938=X2937,AF2937,0)+IF(ISNUMBER(I2938),IF(I2938&lt;1,I2938,I2938*VLOOKUP(J2938,Summary!$H$2:$I$9,2)),VLOOKUP(J2938,Summary!$J$2:$K$9,2)*IF(ISNUMBER(H2938),H2938,1))</f>
        <v>0.45425925925925914</v>
      </c>
      <c r="AG2938" s="288">
        <v>2937</v>
      </c>
      <c r="AH2938" s="94"/>
      <c r="AI2938" s="94"/>
      <c r="AJ2938" s="3"/>
    </row>
    <row r="2939" spans="1:36" s="3" customFormat="1" ht="12" customHeight="1" x14ac:dyDescent="0.25">
      <c r="A2939" s="409" t="s">
        <v>4266</v>
      </c>
      <c r="B2939" s="410" t="s">
        <v>6146</v>
      </c>
      <c r="C2939" s="556">
        <v>3.19</v>
      </c>
      <c r="D2939" s="434" t="s">
        <v>1405</v>
      </c>
      <c r="E2939" s="324" t="s">
        <v>994</v>
      </c>
      <c r="F2939" s="174">
        <v>37867</v>
      </c>
      <c r="G2939" s="176"/>
      <c r="H2939" s="176" t="s">
        <v>461</v>
      </c>
      <c r="I2939" s="176"/>
      <c r="J2939" s="900" t="s">
        <v>2755</v>
      </c>
      <c r="K2939" s="157" t="s">
        <v>5664</v>
      </c>
      <c r="L2939" s="157" t="s">
        <v>461</v>
      </c>
      <c r="M2939" s="157"/>
      <c r="N2939" s="157" t="s">
        <v>3807</v>
      </c>
      <c r="O2939" s="157"/>
      <c r="P2939" s="173" t="s">
        <v>1436</v>
      </c>
      <c r="Q2939" s="157" t="s">
        <v>3947</v>
      </c>
      <c r="R2939" s="179" t="s">
        <v>6720</v>
      </c>
      <c r="S2939" s="354"/>
      <c r="T2939" s="173" t="s">
        <v>2611</v>
      </c>
      <c r="U2939" s="173"/>
      <c r="V2939" s="173"/>
      <c r="W2939" s="324" t="s">
        <v>994</v>
      </c>
      <c r="X2939" s="656" t="s">
        <v>12483</v>
      </c>
      <c r="Y2939" s="363"/>
      <c r="Z2939" s="364"/>
      <c r="AA2939" s="364"/>
      <c r="AB2939" s="32">
        <f t="shared" ca="1" si="66"/>
        <v>0.39029061232451856</v>
      </c>
      <c r="AC2939" s="812"/>
      <c r="AD2939" s="763" t="s">
        <v>16279</v>
      </c>
      <c r="AE2939" s="951"/>
      <c r="AF2939" s="921">
        <f>IF(X2939=X2938,AF2938,0)+IF(ISNUMBER(I2939),IF(I2939&lt;1,I2939,I2939*VLOOKUP(J2939,Summary!$H$2:$I$9,2)),VLOOKUP(J2939,Summary!$J$2:$K$9,2)*IF(ISNUMBER(H2939),H2939,1))</f>
        <v>0.47162037037037025</v>
      </c>
      <c r="AG2939" s="288">
        <v>2938</v>
      </c>
      <c r="AH2939" s="94"/>
      <c r="AI2939" s="94"/>
    </row>
    <row r="2940" spans="1:36" s="2" customFormat="1" ht="12" customHeight="1" x14ac:dyDescent="0.25">
      <c r="A2940" s="409" t="s">
        <v>4266</v>
      </c>
      <c r="B2940" s="410" t="s">
        <v>6146</v>
      </c>
      <c r="C2940" s="556">
        <v>3.2</v>
      </c>
      <c r="D2940" s="434" t="s">
        <v>1406</v>
      </c>
      <c r="E2940" s="324" t="s">
        <v>995</v>
      </c>
      <c r="F2940" s="174">
        <v>37867</v>
      </c>
      <c r="G2940" s="176"/>
      <c r="H2940" s="176" t="s">
        <v>461</v>
      </c>
      <c r="I2940" s="176"/>
      <c r="J2940" s="900" t="s">
        <v>2755</v>
      </c>
      <c r="K2940" s="157" t="s">
        <v>7800</v>
      </c>
      <c r="L2940" s="157" t="s">
        <v>461</v>
      </c>
      <c r="M2940" s="157"/>
      <c r="N2940" s="157" t="s">
        <v>3807</v>
      </c>
      <c r="O2940" s="157"/>
      <c r="P2940" s="173" t="s">
        <v>1436</v>
      </c>
      <c r="Q2940" s="157" t="s">
        <v>3947</v>
      </c>
      <c r="R2940" s="179" t="s">
        <v>6720</v>
      </c>
      <c r="S2940" s="354"/>
      <c r="T2940" s="173" t="s">
        <v>2611</v>
      </c>
      <c r="U2940" s="173"/>
      <c r="V2940" s="173"/>
      <c r="W2940" s="324" t="s">
        <v>995</v>
      </c>
      <c r="X2940" s="656" t="s">
        <v>12483</v>
      </c>
      <c r="Y2940" s="363"/>
      <c r="Z2940" s="364"/>
      <c r="AA2940" s="364"/>
      <c r="AB2940" s="32">
        <f t="shared" ca="1" si="66"/>
        <v>0.60977299163734211</v>
      </c>
      <c r="AC2940" s="812"/>
      <c r="AD2940" s="763" t="s">
        <v>16279</v>
      </c>
      <c r="AE2940" s="951"/>
      <c r="AF2940" s="921">
        <f>IF(X2940=X2939,AF2939,0)+IF(ISNUMBER(I2940),IF(I2940&lt;1,I2940,I2940*VLOOKUP(J2940,Summary!$H$2:$I$9,2)),VLOOKUP(J2940,Summary!$J$2:$K$9,2)*IF(ISNUMBER(H2940),H2940,1))</f>
        <v>0.48898148148148135</v>
      </c>
      <c r="AG2940" s="288">
        <v>2939</v>
      </c>
      <c r="AH2940" s="94"/>
      <c r="AI2940" s="94"/>
      <c r="AJ2940" s="3"/>
    </row>
    <row r="2941" spans="1:36" s="3" customFormat="1" ht="12" customHeight="1" x14ac:dyDescent="0.25">
      <c r="A2941" s="409" t="s">
        <v>4266</v>
      </c>
      <c r="B2941" s="410" t="s">
        <v>6146</v>
      </c>
      <c r="C2941" s="556">
        <v>3.21</v>
      </c>
      <c r="D2941" s="434" t="s">
        <v>1407</v>
      </c>
      <c r="E2941" s="324" t="s">
        <v>996</v>
      </c>
      <c r="F2941" s="174">
        <v>37867</v>
      </c>
      <c r="G2941" s="176"/>
      <c r="H2941" s="176" t="s">
        <v>461</v>
      </c>
      <c r="I2941" s="176"/>
      <c r="J2941" s="900" t="s">
        <v>2755</v>
      </c>
      <c r="K2941" s="157" t="s">
        <v>1932</v>
      </c>
      <c r="L2941" s="157" t="s">
        <v>461</v>
      </c>
      <c r="M2941" s="157"/>
      <c r="N2941" s="157" t="s">
        <v>3807</v>
      </c>
      <c r="O2941" s="157"/>
      <c r="P2941" s="173" t="s">
        <v>1436</v>
      </c>
      <c r="Q2941" s="157" t="s">
        <v>3947</v>
      </c>
      <c r="R2941" s="179" t="s">
        <v>6720</v>
      </c>
      <c r="S2941" s="354"/>
      <c r="T2941" s="173" t="s">
        <v>2611</v>
      </c>
      <c r="U2941" s="173"/>
      <c r="V2941" s="173"/>
      <c r="W2941" s="324" t="s">
        <v>996</v>
      </c>
      <c r="X2941" s="656" t="s">
        <v>12483</v>
      </c>
      <c r="Y2941" s="363"/>
      <c r="Z2941" s="364"/>
      <c r="AA2941" s="364"/>
      <c r="AB2941" s="32">
        <f t="shared" ca="1" si="66"/>
        <v>0.30039803733244463</v>
      </c>
      <c r="AC2941" s="812"/>
      <c r="AD2941" s="763" t="s">
        <v>16279</v>
      </c>
      <c r="AE2941" s="951"/>
      <c r="AF2941" s="921">
        <f>IF(X2941=X2940,AF2940,0)+IF(ISNUMBER(I2941),IF(I2941&lt;1,I2941,I2941*VLOOKUP(J2941,Summary!$H$2:$I$9,2)),VLOOKUP(J2941,Summary!$J$2:$K$9,2)*IF(ISNUMBER(H2941),H2941,1))</f>
        <v>0.50634259259259251</v>
      </c>
      <c r="AG2941" s="288">
        <v>2940</v>
      </c>
      <c r="AH2941" s="94"/>
      <c r="AI2941" s="94"/>
    </row>
    <row r="2942" spans="1:36" s="2" customFormat="1" ht="12" customHeight="1" x14ac:dyDescent="0.25">
      <c r="A2942" s="409" t="s">
        <v>4266</v>
      </c>
      <c r="B2942" s="410" t="s">
        <v>6146</v>
      </c>
      <c r="C2942" s="556">
        <v>3.22</v>
      </c>
      <c r="D2942" s="434" t="s">
        <v>1408</v>
      </c>
      <c r="E2942" s="324" t="s">
        <v>997</v>
      </c>
      <c r="F2942" s="174">
        <v>37867</v>
      </c>
      <c r="G2942" s="176"/>
      <c r="H2942" s="176" t="s">
        <v>461</v>
      </c>
      <c r="I2942" s="176"/>
      <c r="J2942" s="900" t="s">
        <v>2755</v>
      </c>
      <c r="K2942" s="157" t="s">
        <v>3807</v>
      </c>
      <c r="L2942" s="157" t="s">
        <v>461</v>
      </c>
      <c r="M2942" s="157"/>
      <c r="N2942" s="157" t="s">
        <v>3807</v>
      </c>
      <c r="O2942" s="157"/>
      <c r="P2942" s="173" t="s">
        <v>1436</v>
      </c>
      <c r="Q2942" s="157" t="s">
        <v>3947</v>
      </c>
      <c r="R2942" s="179" t="s">
        <v>6720</v>
      </c>
      <c r="S2942" s="354"/>
      <c r="T2942" s="173" t="s">
        <v>2611</v>
      </c>
      <c r="U2942" s="173"/>
      <c r="V2942" s="173"/>
      <c r="W2942" s="324" t="s">
        <v>997</v>
      </c>
      <c r="X2942" s="656" t="s">
        <v>12483</v>
      </c>
      <c r="Y2942" s="363"/>
      <c r="Z2942" s="364"/>
      <c r="AA2942" s="364"/>
      <c r="AB2942" s="32">
        <f t="shared" ca="1" si="66"/>
        <v>0.73732459991172861</v>
      </c>
      <c r="AC2942" s="812"/>
      <c r="AD2942" s="763" t="s">
        <v>16279</v>
      </c>
      <c r="AE2942" s="951"/>
      <c r="AF2942" s="921">
        <f>IF(X2942=X2941,AF2941,0)+IF(ISNUMBER(I2942),IF(I2942&lt;1,I2942,I2942*VLOOKUP(J2942,Summary!$H$2:$I$9,2)),VLOOKUP(J2942,Summary!$J$2:$K$9,2)*IF(ISNUMBER(H2942),H2942,1))</f>
        <v>0.52370370370370367</v>
      </c>
      <c r="AG2942" s="288">
        <v>2941</v>
      </c>
      <c r="AH2942" s="94"/>
      <c r="AI2942" s="94"/>
      <c r="AJ2942" s="3"/>
    </row>
    <row r="2943" spans="1:36" s="43" customFormat="1" ht="12" customHeight="1" x14ac:dyDescent="0.25">
      <c r="A2943" s="405" t="s">
        <v>4266</v>
      </c>
      <c r="B2943" s="406" t="s">
        <v>6146</v>
      </c>
      <c r="C2943" s="405">
        <v>4.4000000000000004</v>
      </c>
      <c r="D2943" s="407" t="s">
        <v>1425</v>
      </c>
      <c r="E2943" s="315" t="s">
        <v>1426</v>
      </c>
      <c r="F2943" s="169">
        <v>37987</v>
      </c>
      <c r="G2943" s="170"/>
      <c r="H2943" s="170">
        <v>1</v>
      </c>
      <c r="I2943" s="746">
        <f>TIME(0,105,59)</f>
        <v>7.3599537037037047E-2</v>
      </c>
      <c r="J2943" s="899" t="s">
        <v>4706</v>
      </c>
      <c r="K2943" s="167" t="s">
        <v>3807</v>
      </c>
      <c r="L2943" s="167" t="s">
        <v>7375</v>
      </c>
      <c r="M2943" s="167"/>
      <c r="N2943" s="167"/>
      <c r="O2943" s="167"/>
      <c r="P2943" s="168" t="s">
        <v>1437</v>
      </c>
      <c r="Q2943" s="167" t="s">
        <v>3947</v>
      </c>
      <c r="R2943" s="172" t="s">
        <v>3711</v>
      </c>
      <c r="S2943" s="388"/>
      <c r="T2943" s="168" t="s">
        <v>2611</v>
      </c>
      <c r="U2943" s="168"/>
      <c r="V2943" s="168"/>
      <c r="W2943" s="315" t="s">
        <v>1426</v>
      </c>
      <c r="X2943" s="644" t="s">
        <v>12483</v>
      </c>
      <c r="Y2943" s="352"/>
      <c r="Z2943" s="353"/>
      <c r="AA2943" s="353"/>
      <c r="AB2943" s="31">
        <f t="shared" ca="1" si="66"/>
        <v>0.59283230516486418</v>
      </c>
      <c r="AC2943" s="810"/>
      <c r="AD2943" s="811" t="s">
        <v>16279</v>
      </c>
      <c r="AE2943" s="940"/>
      <c r="AF2943" s="920">
        <f>IF(X2943=X2942,AF2942,0)+IF(ISNUMBER(I2943),IF(I2943&lt;1,I2943,I2943*VLOOKUP(J2943,Summary!$H$2:$I$9,2)),VLOOKUP(J2943,Summary!$J$2:$K$9,2)*IF(ISNUMBER(H2943),H2943,1))</f>
        <v>0.5973032407407407</v>
      </c>
      <c r="AG2943" s="287">
        <v>2942</v>
      </c>
      <c r="AH2943" s="94"/>
      <c r="AI2943" s="94"/>
      <c r="AJ2943" s="3"/>
    </row>
    <row r="2944" spans="1:36" s="2" customFormat="1" ht="12" customHeight="1" x14ac:dyDescent="0.25">
      <c r="A2944" s="737" t="s">
        <v>4266</v>
      </c>
      <c r="B2944" s="738" t="s">
        <v>6146</v>
      </c>
      <c r="C2944" s="739"/>
      <c r="D2944" s="407" t="s">
        <v>15346</v>
      </c>
      <c r="E2944" s="315" t="s">
        <v>15933</v>
      </c>
      <c r="F2944" s="196">
        <v>43368</v>
      </c>
      <c r="G2944" s="170"/>
      <c r="H2944" s="170" t="s">
        <v>461</v>
      </c>
      <c r="I2944" s="747">
        <f>TIME(0,60,0)</f>
        <v>4.1666666666666664E-2</v>
      </c>
      <c r="J2944" s="899" t="s">
        <v>4706</v>
      </c>
      <c r="K2944" s="167" t="s">
        <v>5664</v>
      </c>
      <c r="L2944" s="167" t="s">
        <v>179</v>
      </c>
      <c r="M2944" s="167"/>
      <c r="N2944" s="167" t="s">
        <v>1643</v>
      </c>
      <c r="O2944" s="167" t="s">
        <v>1643</v>
      </c>
      <c r="P2944" s="168" t="s">
        <v>15344</v>
      </c>
      <c r="Q2944" s="167" t="s">
        <v>3947</v>
      </c>
      <c r="R2944" s="172" t="s">
        <v>3711</v>
      </c>
      <c r="S2944" s="388"/>
      <c r="T2944" s="168" t="s">
        <v>2611</v>
      </c>
      <c r="U2944" s="168"/>
      <c r="V2944" s="168"/>
      <c r="W2944" s="315" t="s">
        <v>15933</v>
      </c>
      <c r="X2944" s="644" t="s">
        <v>12483</v>
      </c>
      <c r="Y2944" s="352" t="s">
        <v>2798</v>
      </c>
      <c r="Z2944" s="353">
        <v>999</v>
      </c>
      <c r="AA2944" s="353"/>
      <c r="AB2944" s="31">
        <f t="shared" ca="1" si="66"/>
        <v>0.12248355506974962</v>
      </c>
      <c r="AC2944" s="810"/>
      <c r="AD2944" s="811" t="s">
        <v>16279</v>
      </c>
      <c r="AE2944" s="940"/>
      <c r="AF2944" s="920">
        <f>IF(X2944=X2943,AF2943,0)+IF(ISNUMBER(I2944),IF(I2944&lt;1,I2944,I2944*VLOOKUP(J2944,Summary!$H$2:$I$9,2)),VLOOKUP(J2944,Summary!$J$2:$K$9,2)*IF(ISNUMBER(H2944),H2944,1))</f>
        <v>0.63896990740740733</v>
      </c>
      <c r="AG2944" s="287">
        <v>2943</v>
      </c>
      <c r="AH2944" s="94"/>
      <c r="AI2944" s="94"/>
    </row>
    <row r="2945" spans="1:36" s="3" customFormat="1" ht="12" customHeight="1" x14ac:dyDescent="0.25">
      <c r="A2945" s="474" t="s">
        <v>4266</v>
      </c>
      <c r="B2945" s="507" t="s">
        <v>6146</v>
      </c>
      <c r="C2945" s="474">
        <v>6</v>
      </c>
      <c r="D2945" s="417" t="s">
        <v>4264</v>
      </c>
      <c r="E2945" s="316" t="s">
        <v>4265</v>
      </c>
      <c r="F2945" s="187">
        <v>38108</v>
      </c>
      <c r="G2945" s="188"/>
      <c r="H2945" s="188" t="s">
        <v>461</v>
      </c>
      <c r="I2945" s="188">
        <v>176</v>
      </c>
      <c r="J2945" s="902" t="s">
        <v>6868</v>
      </c>
      <c r="K2945" s="162" t="s">
        <v>2311</v>
      </c>
      <c r="L2945" s="162" t="s">
        <v>461</v>
      </c>
      <c r="M2945" s="162"/>
      <c r="N2945" s="162"/>
      <c r="O2945" s="162"/>
      <c r="P2945" s="178" t="s">
        <v>4290</v>
      </c>
      <c r="Q2945" s="162" t="s">
        <v>3947</v>
      </c>
      <c r="R2945" s="189" t="s">
        <v>6721</v>
      </c>
      <c r="S2945" s="366"/>
      <c r="T2945" s="178" t="s">
        <v>2611</v>
      </c>
      <c r="U2945" s="178"/>
      <c r="V2945" s="178"/>
      <c r="W2945" s="316" t="s">
        <v>4265</v>
      </c>
      <c r="X2945" s="648" t="s">
        <v>12483</v>
      </c>
      <c r="Y2945" s="356"/>
      <c r="Z2945" s="272"/>
      <c r="AA2945" s="272"/>
      <c r="AB2945" s="34">
        <f t="shared" ca="1" si="66"/>
        <v>0.69175456687855275</v>
      </c>
      <c r="AC2945" s="814"/>
      <c r="AD2945" s="815" t="s">
        <v>16279</v>
      </c>
      <c r="AE2945" s="942"/>
      <c r="AF2945" s="923">
        <f>IF(X2945=X2944,AF2944,0)+IF(ISNUMBER(I2945),IF(I2945&lt;1,I2945,I2945*VLOOKUP(J2945,Summary!$H$2:$I$9,2)),VLOOKUP(J2945,Summary!$J$2:$K$9,2)*IF(ISNUMBER(H2945),H2945,1))</f>
        <v>0.76119212962962957</v>
      </c>
      <c r="AG2945" s="291">
        <v>2944</v>
      </c>
      <c r="AH2945" s="94"/>
      <c r="AI2945" s="94"/>
    </row>
    <row r="2946" spans="1:36" s="3" customFormat="1" ht="12" customHeight="1" x14ac:dyDescent="0.25">
      <c r="A2946" s="405" t="s">
        <v>962</v>
      </c>
      <c r="B2946" s="406" t="s">
        <v>6146</v>
      </c>
      <c r="C2946" s="405">
        <v>5.0999999999999996</v>
      </c>
      <c r="D2946" s="407" t="s">
        <v>963</v>
      </c>
      <c r="E2946" s="315" t="s">
        <v>967</v>
      </c>
      <c r="F2946" s="169">
        <v>38169</v>
      </c>
      <c r="G2946" s="170"/>
      <c r="H2946" s="170">
        <v>1</v>
      </c>
      <c r="I2946" s="746">
        <f>TIME(0,59,21)</f>
        <v>4.1215277777777774E-2</v>
      </c>
      <c r="J2946" s="899" t="s">
        <v>4706</v>
      </c>
      <c r="K2946" s="167" t="s">
        <v>4552</v>
      </c>
      <c r="L2946" s="167" t="s">
        <v>7375</v>
      </c>
      <c r="M2946" s="167"/>
      <c r="N2946" s="167"/>
      <c r="O2946" s="167"/>
      <c r="P2946" s="168" t="s">
        <v>972</v>
      </c>
      <c r="Q2946" s="167" t="s">
        <v>3947</v>
      </c>
      <c r="R2946" s="172" t="s">
        <v>3711</v>
      </c>
      <c r="S2946" s="388"/>
      <c r="T2946" s="168" t="s">
        <v>2611</v>
      </c>
      <c r="U2946" s="168"/>
      <c r="V2946" s="168"/>
      <c r="W2946" s="315" t="s">
        <v>967</v>
      </c>
      <c r="X2946" s="644" t="s">
        <v>12484</v>
      </c>
      <c r="Y2946" s="352"/>
      <c r="Z2946" s="353"/>
      <c r="AA2946" s="353"/>
      <c r="AB2946" s="31">
        <f t="shared" ref="AB2946:AB3009" ca="1" si="67">RAND()</f>
        <v>0.11346973030987051</v>
      </c>
      <c r="AC2946" s="810"/>
      <c r="AD2946" s="825" t="s">
        <v>16280</v>
      </c>
      <c r="AE2946" s="940" t="s">
        <v>16424</v>
      </c>
      <c r="AF2946" s="920">
        <f>IF(X2946=X2945,AF2945,0)+IF(ISNUMBER(I2946),IF(I2946&lt;1,I2946,I2946*VLOOKUP(J2946,Summary!$H$2:$I$9,2)),VLOOKUP(J2946,Summary!$J$2:$K$9,2)*IF(ISNUMBER(H2946),H2946,1))</f>
        <v>4.1215277777777774E-2</v>
      </c>
      <c r="AG2946" s="287">
        <v>2945</v>
      </c>
      <c r="AH2946" s="94"/>
      <c r="AI2946" s="94"/>
      <c r="AJ2946" s="2"/>
    </row>
    <row r="2947" spans="1:36" s="44" customFormat="1" ht="12" customHeight="1" x14ac:dyDescent="0.25">
      <c r="A2947" s="723" t="s">
        <v>962</v>
      </c>
      <c r="B2947" s="724" t="s">
        <v>6146</v>
      </c>
      <c r="C2947" s="725">
        <v>4.01</v>
      </c>
      <c r="D2947" s="463" t="s">
        <v>3992</v>
      </c>
      <c r="E2947" s="330" t="s">
        <v>4008</v>
      </c>
      <c r="F2947" s="191">
        <v>38169</v>
      </c>
      <c r="G2947" s="192"/>
      <c r="H2947" s="192" t="s">
        <v>461</v>
      </c>
      <c r="I2947" s="192"/>
      <c r="J2947" s="903" t="s">
        <v>2755</v>
      </c>
      <c r="K2947" s="159" t="s">
        <v>3807</v>
      </c>
      <c r="L2947" s="159" t="s">
        <v>461</v>
      </c>
      <c r="M2947" s="159" t="s">
        <v>5662</v>
      </c>
      <c r="N2947" s="159" t="s">
        <v>3807</v>
      </c>
      <c r="O2947" s="159"/>
      <c r="P2947" s="190" t="s">
        <v>3991</v>
      </c>
      <c r="Q2947" s="159" t="s">
        <v>3947</v>
      </c>
      <c r="R2947" s="221" t="s">
        <v>6720</v>
      </c>
      <c r="S2947" s="357"/>
      <c r="T2947" s="190" t="s">
        <v>2611</v>
      </c>
      <c r="U2947" s="190"/>
      <c r="V2947" s="190"/>
      <c r="W2947" s="330" t="s">
        <v>4008</v>
      </c>
      <c r="X2947" s="662" t="s">
        <v>12484</v>
      </c>
      <c r="Y2947" s="378"/>
      <c r="Z2947" s="367"/>
      <c r="AA2947" s="367"/>
      <c r="AB2947" s="37">
        <f t="shared" ca="1" si="67"/>
        <v>3.6753526609816789E-2</v>
      </c>
      <c r="AC2947" s="816"/>
      <c r="AD2947" s="817"/>
      <c r="AE2947" s="955"/>
      <c r="AF2947" s="924">
        <f>IF(X2947=X2946,AF2946,0)+IF(ISNUMBER(I2947),IF(I2947&lt;1,I2947,I2947*VLOOKUP(J2947,Summary!$H$2:$I$9,2)),VLOOKUP(J2947,Summary!$J$2:$K$9,2)*IF(ISNUMBER(H2947),H2947,1))</f>
        <v>5.8576388888888886E-2</v>
      </c>
      <c r="AG2947" s="298">
        <v>2946</v>
      </c>
      <c r="AH2947" s="94"/>
      <c r="AI2947" s="94"/>
      <c r="AJ2947" s="2"/>
    </row>
    <row r="2948" spans="1:36" s="43" customFormat="1" ht="12" customHeight="1" x14ac:dyDescent="0.25">
      <c r="A2948" s="409" t="s">
        <v>962</v>
      </c>
      <c r="B2948" s="410" t="s">
        <v>6146</v>
      </c>
      <c r="C2948" s="556">
        <v>4.0199999999999996</v>
      </c>
      <c r="D2948" s="434" t="s">
        <v>3993</v>
      </c>
      <c r="E2948" s="324" t="s">
        <v>4009</v>
      </c>
      <c r="F2948" s="174">
        <v>38169</v>
      </c>
      <c r="G2948" s="176"/>
      <c r="H2948" s="176" t="s">
        <v>461</v>
      </c>
      <c r="I2948" s="176"/>
      <c r="J2948" s="900" t="s">
        <v>2755</v>
      </c>
      <c r="K2948" s="157" t="s">
        <v>3994</v>
      </c>
      <c r="L2948" s="157" t="s">
        <v>461</v>
      </c>
      <c r="M2948" s="157"/>
      <c r="N2948" s="157" t="s">
        <v>3807</v>
      </c>
      <c r="O2948" s="157"/>
      <c r="P2948" s="173" t="s">
        <v>3991</v>
      </c>
      <c r="Q2948" s="157" t="s">
        <v>3947</v>
      </c>
      <c r="R2948" s="179" t="s">
        <v>6720</v>
      </c>
      <c r="S2948" s="354"/>
      <c r="T2948" s="173" t="s">
        <v>2611</v>
      </c>
      <c r="U2948" s="173"/>
      <c r="V2948" s="173"/>
      <c r="W2948" s="324" t="s">
        <v>4009</v>
      </c>
      <c r="X2948" s="656" t="s">
        <v>12484</v>
      </c>
      <c r="Y2948" s="363"/>
      <c r="Z2948" s="364"/>
      <c r="AA2948" s="364"/>
      <c r="AB2948" s="32">
        <f t="shared" ca="1" si="67"/>
        <v>0.60924344233119732</v>
      </c>
      <c r="AC2948" s="812"/>
      <c r="AD2948" s="763"/>
      <c r="AE2948" s="951"/>
      <c r="AF2948" s="921">
        <f>IF(X2948=X2947,AF2947,0)+IF(ISNUMBER(I2948),IF(I2948&lt;1,I2948,I2948*VLOOKUP(J2948,Summary!$H$2:$I$9,2)),VLOOKUP(J2948,Summary!$J$2:$K$9,2)*IF(ISNUMBER(H2948),H2948,1))</f>
        <v>7.5937499999999991E-2</v>
      </c>
      <c r="AG2948" s="288">
        <v>2947</v>
      </c>
      <c r="AH2948" s="94"/>
      <c r="AI2948" s="94"/>
      <c r="AJ2948" s="2"/>
    </row>
    <row r="2949" spans="1:36" s="3" customFormat="1" ht="12" customHeight="1" x14ac:dyDescent="0.25">
      <c r="A2949" s="409" t="s">
        <v>962</v>
      </c>
      <c r="B2949" s="410" t="s">
        <v>6146</v>
      </c>
      <c r="C2949" s="556">
        <v>4.03</v>
      </c>
      <c r="D2949" s="434" t="s">
        <v>3995</v>
      </c>
      <c r="E2949" s="324" t="s">
        <v>4010</v>
      </c>
      <c r="F2949" s="174">
        <v>38169</v>
      </c>
      <c r="G2949" s="176"/>
      <c r="H2949" s="176" t="s">
        <v>461</v>
      </c>
      <c r="I2949" s="176"/>
      <c r="J2949" s="900" t="s">
        <v>2755</v>
      </c>
      <c r="K2949" s="157" t="s">
        <v>3996</v>
      </c>
      <c r="L2949" s="157" t="s">
        <v>461</v>
      </c>
      <c r="M2949" s="157"/>
      <c r="N2949" s="157" t="s">
        <v>3807</v>
      </c>
      <c r="O2949" s="157"/>
      <c r="P2949" s="173" t="s">
        <v>3991</v>
      </c>
      <c r="Q2949" s="157" t="s">
        <v>3947</v>
      </c>
      <c r="R2949" s="179" t="s">
        <v>6720</v>
      </c>
      <c r="S2949" s="354"/>
      <c r="T2949" s="173" t="s">
        <v>2611</v>
      </c>
      <c r="U2949" s="173"/>
      <c r="V2949" s="173"/>
      <c r="W2949" s="324" t="s">
        <v>4010</v>
      </c>
      <c r="X2949" s="656" t="s">
        <v>12484</v>
      </c>
      <c r="Y2949" s="363"/>
      <c r="Z2949" s="364"/>
      <c r="AA2949" s="364"/>
      <c r="AB2949" s="32">
        <f t="shared" ca="1" si="67"/>
        <v>0.30686674523479063</v>
      </c>
      <c r="AC2949" s="812"/>
      <c r="AD2949" s="763"/>
      <c r="AE2949" s="951"/>
      <c r="AF2949" s="921">
        <f>IF(X2949=X2948,AF2948,0)+IF(ISNUMBER(I2949),IF(I2949&lt;1,I2949,I2949*VLOOKUP(J2949,Summary!$H$2:$I$9,2)),VLOOKUP(J2949,Summary!$J$2:$K$9,2)*IF(ISNUMBER(H2949),H2949,1))</f>
        <v>9.3298611111111096E-2</v>
      </c>
      <c r="AG2949" s="288">
        <v>2948</v>
      </c>
      <c r="AH2949" s="94"/>
      <c r="AI2949" s="94"/>
      <c r="AJ2949" s="2"/>
    </row>
    <row r="2950" spans="1:36" s="3" customFormat="1" ht="12" customHeight="1" x14ac:dyDescent="0.25">
      <c r="A2950" s="409" t="s">
        <v>962</v>
      </c>
      <c r="B2950" s="410" t="s">
        <v>6146</v>
      </c>
      <c r="C2950" s="556">
        <v>4.04</v>
      </c>
      <c r="D2950" s="434" t="s">
        <v>3997</v>
      </c>
      <c r="E2950" s="324" t="s">
        <v>4011</v>
      </c>
      <c r="F2950" s="174">
        <v>38169</v>
      </c>
      <c r="G2950" s="176"/>
      <c r="H2950" s="176" t="s">
        <v>461</v>
      </c>
      <c r="I2950" s="176"/>
      <c r="J2950" s="900" t="s">
        <v>2755</v>
      </c>
      <c r="K2950" s="157" t="s">
        <v>6353</v>
      </c>
      <c r="L2950" s="157" t="s">
        <v>461</v>
      </c>
      <c r="M2950" s="157"/>
      <c r="N2950" s="157" t="s">
        <v>3807</v>
      </c>
      <c r="O2950" s="157"/>
      <c r="P2950" s="173" t="s">
        <v>3991</v>
      </c>
      <c r="Q2950" s="157" t="s">
        <v>3947</v>
      </c>
      <c r="R2950" s="179" t="s">
        <v>6720</v>
      </c>
      <c r="S2950" s="354"/>
      <c r="T2950" s="173" t="s">
        <v>2611</v>
      </c>
      <c r="U2950" s="173"/>
      <c r="V2950" s="173"/>
      <c r="W2950" s="324" t="s">
        <v>4011</v>
      </c>
      <c r="X2950" s="656" t="s">
        <v>12484</v>
      </c>
      <c r="Y2950" s="363"/>
      <c r="Z2950" s="364"/>
      <c r="AA2950" s="364"/>
      <c r="AB2950" s="32">
        <f t="shared" ca="1" si="67"/>
        <v>0.540862071825707</v>
      </c>
      <c r="AC2950" s="812"/>
      <c r="AD2950" s="763"/>
      <c r="AE2950" s="951"/>
      <c r="AF2950" s="921">
        <f>IF(X2950=X2949,AF2949,0)+IF(ISNUMBER(I2950),IF(I2950&lt;1,I2950,I2950*VLOOKUP(J2950,Summary!$H$2:$I$9,2)),VLOOKUP(J2950,Summary!$J$2:$K$9,2)*IF(ISNUMBER(H2950),H2950,1))</f>
        <v>0.1106597222222222</v>
      </c>
      <c r="AG2950" s="288">
        <v>2949</v>
      </c>
      <c r="AH2950" s="94"/>
      <c r="AI2950" s="94"/>
      <c r="AJ2950" s="2"/>
    </row>
    <row r="2951" spans="1:36" s="3" customFormat="1" ht="12" customHeight="1" x14ac:dyDescent="0.25">
      <c r="A2951" s="409" t="s">
        <v>962</v>
      </c>
      <c r="B2951" s="410" t="s">
        <v>6146</v>
      </c>
      <c r="C2951" s="556">
        <v>4.05</v>
      </c>
      <c r="D2951" s="434" t="s">
        <v>3998</v>
      </c>
      <c r="E2951" s="324" t="s">
        <v>4012</v>
      </c>
      <c r="F2951" s="174">
        <v>38169</v>
      </c>
      <c r="G2951" s="176"/>
      <c r="H2951" s="176" t="s">
        <v>461</v>
      </c>
      <c r="I2951" s="176"/>
      <c r="J2951" s="900" t="s">
        <v>2755</v>
      </c>
      <c r="K2951" s="157" t="s">
        <v>4425</v>
      </c>
      <c r="L2951" s="157" t="s">
        <v>461</v>
      </c>
      <c r="M2951" s="157"/>
      <c r="N2951" s="157" t="s">
        <v>3807</v>
      </c>
      <c r="O2951" s="157"/>
      <c r="P2951" s="173" t="s">
        <v>3991</v>
      </c>
      <c r="Q2951" s="157" t="s">
        <v>3947</v>
      </c>
      <c r="R2951" s="179" t="s">
        <v>6720</v>
      </c>
      <c r="S2951" s="354"/>
      <c r="T2951" s="173" t="s">
        <v>2611</v>
      </c>
      <c r="U2951" s="173"/>
      <c r="V2951" s="173"/>
      <c r="W2951" s="324" t="s">
        <v>4012</v>
      </c>
      <c r="X2951" s="656" t="s">
        <v>12484</v>
      </c>
      <c r="Y2951" s="363"/>
      <c r="Z2951" s="364"/>
      <c r="AA2951" s="364"/>
      <c r="AB2951" s="32">
        <f t="shared" ca="1" si="67"/>
        <v>0.24843891177884425</v>
      </c>
      <c r="AC2951" s="812"/>
      <c r="AD2951" s="763"/>
      <c r="AE2951" s="951"/>
      <c r="AF2951" s="921">
        <f>IF(X2951=X2950,AF2950,0)+IF(ISNUMBER(I2951),IF(I2951&lt;1,I2951,I2951*VLOOKUP(J2951,Summary!$H$2:$I$9,2)),VLOOKUP(J2951,Summary!$J$2:$K$9,2)*IF(ISNUMBER(H2951),H2951,1))</f>
        <v>0.12802083333333331</v>
      </c>
      <c r="AG2951" s="288">
        <v>2950</v>
      </c>
      <c r="AH2951" s="94"/>
      <c r="AI2951" s="94"/>
      <c r="AJ2951" s="2"/>
    </row>
    <row r="2952" spans="1:36" s="3" customFormat="1" ht="12" customHeight="1" x14ac:dyDescent="0.25">
      <c r="A2952" s="409" t="s">
        <v>962</v>
      </c>
      <c r="B2952" s="410" t="s">
        <v>6146</v>
      </c>
      <c r="C2952" s="556">
        <v>4.0599999999999996</v>
      </c>
      <c r="D2952" s="434" t="s">
        <v>3999</v>
      </c>
      <c r="E2952" s="324" t="s">
        <v>4013</v>
      </c>
      <c r="F2952" s="174">
        <v>38169</v>
      </c>
      <c r="G2952" s="176"/>
      <c r="H2952" s="176" t="s">
        <v>461</v>
      </c>
      <c r="I2952" s="176"/>
      <c r="J2952" s="900" t="s">
        <v>2755</v>
      </c>
      <c r="K2952" s="157" t="s">
        <v>6833</v>
      </c>
      <c r="L2952" s="157" t="s">
        <v>461</v>
      </c>
      <c r="M2952" s="157"/>
      <c r="N2952" s="157" t="s">
        <v>3807</v>
      </c>
      <c r="O2952" s="157"/>
      <c r="P2952" s="173" t="s">
        <v>3991</v>
      </c>
      <c r="Q2952" s="157" t="s">
        <v>3947</v>
      </c>
      <c r="R2952" s="179" t="s">
        <v>6720</v>
      </c>
      <c r="S2952" s="354"/>
      <c r="T2952" s="173" t="s">
        <v>2611</v>
      </c>
      <c r="U2952" s="173"/>
      <c r="V2952" s="173"/>
      <c r="W2952" s="324" t="s">
        <v>4013</v>
      </c>
      <c r="X2952" s="656" t="s">
        <v>12484</v>
      </c>
      <c r="Y2952" s="363"/>
      <c r="Z2952" s="364"/>
      <c r="AA2952" s="364"/>
      <c r="AB2952" s="32">
        <f t="shared" ca="1" si="67"/>
        <v>0.11236042273281965</v>
      </c>
      <c r="AC2952" s="812"/>
      <c r="AD2952" s="763"/>
      <c r="AE2952" s="951"/>
      <c r="AF2952" s="921">
        <f>IF(X2952=X2951,AF2951,0)+IF(ISNUMBER(I2952),IF(I2952&lt;1,I2952,I2952*VLOOKUP(J2952,Summary!$H$2:$I$9,2)),VLOOKUP(J2952,Summary!$J$2:$K$9,2)*IF(ISNUMBER(H2952),H2952,1))</f>
        <v>0.14538194444444441</v>
      </c>
      <c r="AG2952" s="288">
        <v>2951</v>
      </c>
      <c r="AH2952" s="94"/>
      <c r="AI2952" s="94"/>
    </row>
    <row r="2953" spans="1:36" s="43" customFormat="1" ht="12" customHeight="1" x14ac:dyDescent="0.25">
      <c r="A2953" s="409" t="s">
        <v>962</v>
      </c>
      <c r="B2953" s="410" t="s">
        <v>6146</v>
      </c>
      <c r="C2953" s="556">
        <v>4.07</v>
      </c>
      <c r="D2953" s="434" t="s">
        <v>4000</v>
      </c>
      <c r="E2953" s="324" t="s">
        <v>4014</v>
      </c>
      <c r="F2953" s="174">
        <v>38169</v>
      </c>
      <c r="G2953" s="176"/>
      <c r="H2953" s="176" t="s">
        <v>461</v>
      </c>
      <c r="I2953" s="176"/>
      <c r="J2953" s="900" t="s">
        <v>2755</v>
      </c>
      <c r="K2953" s="157" t="s">
        <v>3324</v>
      </c>
      <c r="L2953" s="157" t="s">
        <v>461</v>
      </c>
      <c r="M2953" s="157"/>
      <c r="N2953" s="157" t="s">
        <v>3807</v>
      </c>
      <c r="O2953" s="157"/>
      <c r="P2953" s="173" t="s">
        <v>3991</v>
      </c>
      <c r="Q2953" s="157" t="s">
        <v>3947</v>
      </c>
      <c r="R2953" s="179" t="s">
        <v>6720</v>
      </c>
      <c r="S2953" s="354"/>
      <c r="T2953" s="173" t="s">
        <v>2611</v>
      </c>
      <c r="U2953" s="173"/>
      <c r="V2953" s="173"/>
      <c r="W2953" s="324" t="s">
        <v>4014</v>
      </c>
      <c r="X2953" s="656" t="s">
        <v>12484</v>
      </c>
      <c r="Y2953" s="363"/>
      <c r="Z2953" s="364"/>
      <c r="AA2953" s="364"/>
      <c r="AB2953" s="32">
        <f t="shared" ca="1" si="67"/>
        <v>0.53128147989139962</v>
      </c>
      <c r="AC2953" s="812"/>
      <c r="AD2953" s="763"/>
      <c r="AE2953" s="951"/>
      <c r="AF2953" s="921">
        <f>IF(X2953=X2952,AF2952,0)+IF(ISNUMBER(I2953),IF(I2953&lt;1,I2953,I2953*VLOOKUP(J2953,Summary!$H$2:$I$9,2)),VLOOKUP(J2953,Summary!$J$2:$K$9,2)*IF(ISNUMBER(H2953),H2953,1))</f>
        <v>0.16274305555555552</v>
      </c>
      <c r="AG2953" s="288">
        <v>2952</v>
      </c>
      <c r="AH2953" s="94"/>
      <c r="AI2953" s="94"/>
    </row>
    <row r="2954" spans="1:36" s="43" customFormat="1" ht="12" customHeight="1" x14ac:dyDescent="0.25">
      <c r="A2954" s="409" t="s">
        <v>962</v>
      </c>
      <c r="B2954" s="410" t="s">
        <v>6146</v>
      </c>
      <c r="C2954" s="556">
        <v>4.08</v>
      </c>
      <c r="D2954" s="434" t="s">
        <v>4001</v>
      </c>
      <c r="E2954" s="324" t="s">
        <v>4015</v>
      </c>
      <c r="F2954" s="174">
        <v>38169</v>
      </c>
      <c r="G2954" s="176"/>
      <c r="H2954" s="176" t="s">
        <v>461</v>
      </c>
      <c r="I2954" s="176"/>
      <c r="J2954" s="900" t="s">
        <v>2755</v>
      </c>
      <c r="K2954" s="157" t="s">
        <v>7097</v>
      </c>
      <c r="L2954" s="157" t="s">
        <v>461</v>
      </c>
      <c r="M2954" s="157"/>
      <c r="N2954" s="157" t="s">
        <v>3807</v>
      </c>
      <c r="O2954" s="157"/>
      <c r="P2954" s="173" t="s">
        <v>3991</v>
      </c>
      <c r="Q2954" s="157" t="s">
        <v>3947</v>
      </c>
      <c r="R2954" s="179" t="s">
        <v>6720</v>
      </c>
      <c r="S2954" s="354"/>
      <c r="T2954" s="173" t="s">
        <v>2611</v>
      </c>
      <c r="U2954" s="173"/>
      <c r="V2954" s="173"/>
      <c r="W2954" s="324" t="s">
        <v>4015</v>
      </c>
      <c r="X2954" s="656" t="s">
        <v>12484</v>
      </c>
      <c r="Y2954" s="363"/>
      <c r="Z2954" s="364"/>
      <c r="AA2954" s="364"/>
      <c r="AB2954" s="32">
        <f t="shared" ca="1" si="67"/>
        <v>1.0643258136620926E-2</v>
      </c>
      <c r="AC2954" s="812"/>
      <c r="AD2954" s="763"/>
      <c r="AE2954" s="951"/>
      <c r="AF2954" s="921">
        <f>IF(X2954=X2953,AF2953,0)+IF(ISNUMBER(I2954),IF(I2954&lt;1,I2954,I2954*VLOOKUP(J2954,Summary!$H$2:$I$9,2)),VLOOKUP(J2954,Summary!$J$2:$K$9,2)*IF(ISNUMBER(H2954),H2954,1))</f>
        <v>0.18010416666666662</v>
      </c>
      <c r="AG2954" s="288">
        <v>2953</v>
      </c>
      <c r="AH2954" s="94"/>
      <c r="AI2954" s="94"/>
    </row>
    <row r="2955" spans="1:36" s="43" customFormat="1" ht="12" customHeight="1" x14ac:dyDescent="0.25">
      <c r="A2955" s="409" t="s">
        <v>962</v>
      </c>
      <c r="B2955" s="410" t="s">
        <v>6146</v>
      </c>
      <c r="C2955" s="556">
        <v>4.09</v>
      </c>
      <c r="D2955" s="434" t="s">
        <v>4002</v>
      </c>
      <c r="E2955" s="324" t="s">
        <v>4016</v>
      </c>
      <c r="F2955" s="174">
        <v>38169</v>
      </c>
      <c r="G2955" s="176"/>
      <c r="H2955" s="176" t="s">
        <v>461</v>
      </c>
      <c r="I2955" s="176"/>
      <c r="J2955" s="900" t="s">
        <v>2755</v>
      </c>
      <c r="K2955" s="157" t="s">
        <v>1391</v>
      </c>
      <c r="L2955" s="157" t="s">
        <v>461</v>
      </c>
      <c r="M2955" s="157"/>
      <c r="N2955" s="157" t="s">
        <v>3807</v>
      </c>
      <c r="O2955" s="157"/>
      <c r="P2955" s="173" t="s">
        <v>3991</v>
      </c>
      <c r="Q2955" s="157" t="s">
        <v>3947</v>
      </c>
      <c r="R2955" s="179" t="s">
        <v>6720</v>
      </c>
      <c r="S2955" s="354"/>
      <c r="T2955" s="173" t="s">
        <v>2611</v>
      </c>
      <c r="U2955" s="173"/>
      <c r="V2955" s="173"/>
      <c r="W2955" s="324" t="s">
        <v>4016</v>
      </c>
      <c r="X2955" s="656" t="s">
        <v>12484</v>
      </c>
      <c r="Y2955" s="363"/>
      <c r="Z2955" s="364"/>
      <c r="AA2955" s="364"/>
      <c r="AB2955" s="32">
        <f t="shared" ca="1" si="67"/>
        <v>2.0500754189368364E-2</v>
      </c>
      <c r="AC2955" s="812"/>
      <c r="AD2955" s="763"/>
      <c r="AE2955" s="951"/>
      <c r="AF2955" s="921">
        <f>IF(X2955=X2954,AF2954,0)+IF(ISNUMBER(I2955),IF(I2955&lt;1,I2955,I2955*VLOOKUP(J2955,Summary!$H$2:$I$9,2)),VLOOKUP(J2955,Summary!$J$2:$K$9,2)*IF(ISNUMBER(H2955),H2955,1))</f>
        <v>0.19746527777777773</v>
      </c>
      <c r="AG2955" s="288">
        <v>2954</v>
      </c>
      <c r="AH2955" s="94"/>
      <c r="AI2955" s="94"/>
    </row>
    <row r="2956" spans="1:36" s="29" customFormat="1" ht="12" customHeight="1" x14ac:dyDescent="0.25">
      <c r="A2956" s="409" t="s">
        <v>962</v>
      </c>
      <c r="B2956" s="410" t="s">
        <v>6146</v>
      </c>
      <c r="C2956" s="556">
        <v>4.0999999999999996</v>
      </c>
      <c r="D2956" s="434" t="s">
        <v>4003</v>
      </c>
      <c r="E2956" s="324" t="s">
        <v>4017</v>
      </c>
      <c r="F2956" s="174">
        <v>38169</v>
      </c>
      <c r="G2956" s="176"/>
      <c r="H2956" s="176" t="s">
        <v>461</v>
      </c>
      <c r="I2956" s="176"/>
      <c r="J2956" s="900" t="s">
        <v>2755</v>
      </c>
      <c r="K2956" s="157" t="s">
        <v>185</v>
      </c>
      <c r="L2956" s="157" t="s">
        <v>461</v>
      </c>
      <c r="M2956" s="157"/>
      <c r="N2956" s="157" t="s">
        <v>3807</v>
      </c>
      <c r="O2956" s="157"/>
      <c r="P2956" s="173" t="s">
        <v>3991</v>
      </c>
      <c r="Q2956" s="157" t="s">
        <v>3947</v>
      </c>
      <c r="R2956" s="179" t="s">
        <v>6720</v>
      </c>
      <c r="S2956" s="354"/>
      <c r="T2956" s="173" t="s">
        <v>2611</v>
      </c>
      <c r="U2956" s="173"/>
      <c r="V2956" s="173"/>
      <c r="W2956" s="324" t="s">
        <v>4017</v>
      </c>
      <c r="X2956" s="656" t="s">
        <v>12484</v>
      </c>
      <c r="Y2956" s="363"/>
      <c r="Z2956" s="364"/>
      <c r="AA2956" s="364"/>
      <c r="AB2956" s="32">
        <f t="shared" ca="1" si="67"/>
        <v>0.80405172339746223</v>
      </c>
      <c r="AC2956" s="812"/>
      <c r="AD2956" s="763"/>
      <c r="AE2956" s="951"/>
      <c r="AF2956" s="921">
        <f>IF(X2956=X2955,AF2955,0)+IF(ISNUMBER(I2956),IF(I2956&lt;1,I2956,I2956*VLOOKUP(J2956,Summary!$H$2:$I$9,2)),VLOOKUP(J2956,Summary!$J$2:$K$9,2)*IF(ISNUMBER(H2956),H2956,1))</f>
        <v>0.21482638888888883</v>
      </c>
      <c r="AG2956" s="288">
        <v>2955</v>
      </c>
      <c r="AH2956" s="119"/>
      <c r="AI2956" s="119"/>
    </row>
    <row r="2957" spans="1:36" s="43" customFormat="1" ht="12" customHeight="1" x14ac:dyDescent="0.25">
      <c r="A2957" s="409" t="s">
        <v>962</v>
      </c>
      <c r="B2957" s="410" t="s">
        <v>6146</v>
      </c>
      <c r="C2957" s="556">
        <v>4.1100000000000003</v>
      </c>
      <c r="D2957" s="434" t="s">
        <v>4004</v>
      </c>
      <c r="E2957" s="324" t="s">
        <v>4018</v>
      </c>
      <c r="F2957" s="174">
        <v>38169</v>
      </c>
      <c r="G2957" s="176"/>
      <c r="H2957" s="176" t="s">
        <v>461</v>
      </c>
      <c r="I2957" s="176"/>
      <c r="J2957" s="900" t="s">
        <v>2755</v>
      </c>
      <c r="K2957" s="157" t="s">
        <v>7800</v>
      </c>
      <c r="L2957" s="157" t="s">
        <v>461</v>
      </c>
      <c r="M2957" s="157"/>
      <c r="N2957" s="157" t="s">
        <v>3807</v>
      </c>
      <c r="O2957" s="157"/>
      <c r="P2957" s="173" t="s">
        <v>3991</v>
      </c>
      <c r="Q2957" s="157" t="s">
        <v>3947</v>
      </c>
      <c r="R2957" s="179" t="s">
        <v>6720</v>
      </c>
      <c r="S2957" s="354"/>
      <c r="T2957" s="173" t="s">
        <v>2611</v>
      </c>
      <c r="U2957" s="173"/>
      <c r="V2957" s="173"/>
      <c r="W2957" s="324" t="s">
        <v>4018</v>
      </c>
      <c r="X2957" s="656" t="s">
        <v>12484</v>
      </c>
      <c r="Y2957" s="363"/>
      <c r="Z2957" s="364"/>
      <c r="AA2957" s="364"/>
      <c r="AB2957" s="32">
        <f t="shared" ca="1" si="67"/>
        <v>0.74642986397673738</v>
      </c>
      <c r="AC2957" s="812"/>
      <c r="AD2957" s="763"/>
      <c r="AE2957" s="951"/>
      <c r="AF2957" s="921">
        <f>IF(X2957=X2956,AF2956,0)+IF(ISNUMBER(I2957),IF(I2957&lt;1,I2957,I2957*VLOOKUP(J2957,Summary!$H$2:$I$9,2)),VLOOKUP(J2957,Summary!$J$2:$K$9,2)*IF(ISNUMBER(H2957),H2957,1))</f>
        <v>0.23218749999999994</v>
      </c>
      <c r="AG2957" s="288">
        <v>2956</v>
      </c>
      <c r="AH2957" s="94"/>
      <c r="AI2957" s="94"/>
    </row>
    <row r="2958" spans="1:36" s="2" customFormat="1" ht="12" customHeight="1" x14ac:dyDescent="0.25">
      <c r="A2958" s="409" t="s">
        <v>962</v>
      </c>
      <c r="B2958" s="410" t="s">
        <v>6146</v>
      </c>
      <c r="C2958" s="556">
        <v>4.12</v>
      </c>
      <c r="D2958" s="434" t="s">
        <v>4005</v>
      </c>
      <c r="E2958" s="324" t="s">
        <v>4019</v>
      </c>
      <c r="F2958" s="174">
        <v>38169</v>
      </c>
      <c r="G2958" s="176"/>
      <c r="H2958" s="176" t="s">
        <v>461</v>
      </c>
      <c r="I2958" s="176"/>
      <c r="J2958" s="900" t="s">
        <v>2755</v>
      </c>
      <c r="K2958" s="157" t="s">
        <v>7381</v>
      </c>
      <c r="L2958" s="157" t="s">
        <v>461</v>
      </c>
      <c r="M2958" s="157"/>
      <c r="N2958" s="157" t="s">
        <v>3807</v>
      </c>
      <c r="O2958" s="157"/>
      <c r="P2958" s="173" t="s">
        <v>3991</v>
      </c>
      <c r="Q2958" s="157" t="s">
        <v>3947</v>
      </c>
      <c r="R2958" s="179" t="s">
        <v>6720</v>
      </c>
      <c r="S2958" s="354"/>
      <c r="T2958" s="173" t="s">
        <v>2611</v>
      </c>
      <c r="U2958" s="173"/>
      <c r="V2958" s="173"/>
      <c r="W2958" s="324" t="s">
        <v>4019</v>
      </c>
      <c r="X2958" s="656" t="s">
        <v>12484</v>
      </c>
      <c r="Y2958" s="363"/>
      <c r="Z2958" s="364"/>
      <c r="AA2958" s="364"/>
      <c r="AB2958" s="32">
        <f t="shared" ca="1" si="67"/>
        <v>0.25899982836762259</v>
      </c>
      <c r="AC2958" s="812"/>
      <c r="AD2958" s="763"/>
      <c r="AE2958" s="951"/>
      <c r="AF2958" s="921">
        <f>IF(X2958=X2957,AF2957,0)+IF(ISNUMBER(I2958),IF(I2958&lt;1,I2958,I2958*VLOOKUP(J2958,Summary!$H$2:$I$9,2)),VLOOKUP(J2958,Summary!$J$2:$K$9,2)*IF(ISNUMBER(H2958),H2958,1))</f>
        <v>0.24954861111111104</v>
      </c>
      <c r="AG2958" s="288">
        <v>2957</v>
      </c>
      <c r="AH2958" s="94"/>
      <c r="AI2958" s="94"/>
      <c r="AJ2958" s="43"/>
    </row>
    <row r="2959" spans="1:36" s="43" customFormat="1" ht="12" customHeight="1" x14ac:dyDescent="0.25">
      <c r="A2959" s="409" t="s">
        <v>962</v>
      </c>
      <c r="B2959" s="410" t="s">
        <v>6146</v>
      </c>
      <c r="C2959" s="556">
        <v>4.13</v>
      </c>
      <c r="D2959" s="434" t="s">
        <v>4006</v>
      </c>
      <c r="E2959" s="324" t="s">
        <v>4020</v>
      </c>
      <c r="F2959" s="174">
        <v>38169</v>
      </c>
      <c r="G2959" s="176"/>
      <c r="H2959" s="176" t="s">
        <v>461</v>
      </c>
      <c r="I2959" s="176"/>
      <c r="J2959" s="900" t="s">
        <v>2755</v>
      </c>
      <c r="K2959" s="157" t="s">
        <v>4034</v>
      </c>
      <c r="L2959" s="157" t="s">
        <v>461</v>
      </c>
      <c r="M2959" s="157"/>
      <c r="N2959" s="157" t="s">
        <v>3807</v>
      </c>
      <c r="O2959" s="157"/>
      <c r="P2959" s="173" t="s">
        <v>3991</v>
      </c>
      <c r="Q2959" s="157" t="s">
        <v>3947</v>
      </c>
      <c r="R2959" s="179" t="s">
        <v>6720</v>
      </c>
      <c r="S2959" s="354"/>
      <c r="T2959" s="173" t="s">
        <v>2611</v>
      </c>
      <c r="U2959" s="173"/>
      <c r="V2959" s="173"/>
      <c r="W2959" s="324" t="s">
        <v>4020</v>
      </c>
      <c r="X2959" s="656" t="s">
        <v>12484</v>
      </c>
      <c r="Y2959" s="363"/>
      <c r="Z2959" s="364"/>
      <c r="AA2959" s="364"/>
      <c r="AB2959" s="32">
        <f t="shared" ca="1" si="67"/>
        <v>0.34263101828212505</v>
      </c>
      <c r="AC2959" s="812"/>
      <c r="AD2959" s="763"/>
      <c r="AE2959" s="951"/>
      <c r="AF2959" s="921">
        <f>IF(X2959=X2958,AF2958,0)+IF(ISNUMBER(I2959),IF(I2959&lt;1,I2959,I2959*VLOOKUP(J2959,Summary!$H$2:$I$9,2)),VLOOKUP(J2959,Summary!$J$2:$K$9,2)*IF(ISNUMBER(H2959),H2959,1))</f>
        <v>0.26690972222222215</v>
      </c>
      <c r="AG2959" s="288">
        <v>2958</v>
      </c>
      <c r="AH2959" s="94"/>
      <c r="AI2959" s="94"/>
    </row>
    <row r="2960" spans="1:36" s="43" customFormat="1" ht="12" customHeight="1" x14ac:dyDescent="0.25">
      <c r="A2960" s="409" t="s">
        <v>962</v>
      </c>
      <c r="B2960" s="410" t="s">
        <v>6146</v>
      </c>
      <c r="C2960" s="556">
        <v>4.1399999999999997</v>
      </c>
      <c r="D2960" s="434" t="s">
        <v>4007</v>
      </c>
      <c r="E2960" s="324" t="s">
        <v>4021</v>
      </c>
      <c r="F2960" s="174">
        <v>38169</v>
      </c>
      <c r="G2960" s="176"/>
      <c r="H2960" s="176" t="s">
        <v>461</v>
      </c>
      <c r="I2960" s="176"/>
      <c r="J2960" s="900" t="s">
        <v>2755</v>
      </c>
      <c r="K2960" s="157" t="s">
        <v>2312</v>
      </c>
      <c r="L2960" s="157" t="s">
        <v>461</v>
      </c>
      <c r="M2960" s="157"/>
      <c r="N2960" s="157" t="s">
        <v>3807</v>
      </c>
      <c r="O2960" s="157"/>
      <c r="P2960" s="173" t="s">
        <v>3991</v>
      </c>
      <c r="Q2960" s="157" t="s">
        <v>3947</v>
      </c>
      <c r="R2960" s="179" t="s">
        <v>6720</v>
      </c>
      <c r="S2960" s="354"/>
      <c r="T2960" s="173" t="s">
        <v>2611</v>
      </c>
      <c r="U2960" s="173"/>
      <c r="V2960" s="173"/>
      <c r="W2960" s="324" t="s">
        <v>4021</v>
      </c>
      <c r="X2960" s="656" t="s">
        <v>12484</v>
      </c>
      <c r="Y2960" s="363"/>
      <c r="Z2960" s="364"/>
      <c r="AA2960" s="364"/>
      <c r="AB2960" s="32">
        <f t="shared" ca="1" si="67"/>
        <v>0.93231025130039791</v>
      </c>
      <c r="AC2960" s="812"/>
      <c r="AD2960" s="763"/>
      <c r="AE2960" s="951"/>
      <c r="AF2960" s="921">
        <f>IF(X2960=X2959,AF2959,0)+IF(ISNUMBER(I2960),IF(I2960&lt;1,I2960,I2960*VLOOKUP(J2960,Summary!$H$2:$I$9,2)),VLOOKUP(J2960,Summary!$J$2:$K$9,2)*IF(ISNUMBER(H2960),H2960,1))</f>
        <v>0.28427083333333325</v>
      </c>
      <c r="AG2960" s="288">
        <v>2959</v>
      </c>
      <c r="AH2960" s="94"/>
      <c r="AI2960" s="94"/>
    </row>
    <row r="2961" spans="1:36" s="43" customFormat="1" ht="12" customHeight="1" x14ac:dyDescent="0.25">
      <c r="A2961" s="405" t="s">
        <v>962</v>
      </c>
      <c r="B2961" s="406" t="s">
        <v>6146</v>
      </c>
      <c r="C2961" s="405">
        <v>5.2</v>
      </c>
      <c r="D2961" s="407" t="s">
        <v>964</v>
      </c>
      <c r="E2961" s="315" t="s">
        <v>968</v>
      </c>
      <c r="F2961" s="169">
        <v>38200</v>
      </c>
      <c r="G2961" s="170"/>
      <c r="H2961" s="170">
        <v>1</v>
      </c>
      <c r="I2961" s="746">
        <f>TIME(0,72,42)</f>
        <v>5.0486111111111114E-2</v>
      </c>
      <c r="J2961" s="899" t="s">
        <v>4706</v>
      </c>
      <c r="K2961" s="167" t="s">
        <v>6876</v>
      </c>
      <c r="L2961" s="167" t="s">
        <v>6245</v>
      </c>
      <c r="M2961" s="167"/>
      <c r="N2961" s="167"/>
      <c r="O2961" s="167"/>
      <c r="P2961" s="168" t="s">
        <v>973</v>
      </c>
      <c r="Q2961" s="167" t="s">
        <v>3947</v>
      </c>
      <c r="R2961" s="172" t="s">
        <v>3711</v>
      </c>
      <c r="S2961" s="388"/>
      <c r="T2961" s="168" t="s">
        <v>2611</v>
      </c>
      <c r="U2961" s="168"/>
      <c r="V2961" s="168"/>
      <c r="W2961" s="315" t="s">
        <v>968</v>
      </c>
      <c r="X2961" s="644" t="s">
        <v>12484</v>
      </c>
      <c r="Y2961" s="352"/>
      <c r="Z2961" s="353"/>
      <c r="AA2961" s="353"/>
      <c r="AB2961" s="31">
        <f t="shared" ca="1" si="67"/>
        <v>0.80017845565582513</v>
      </c>
      <c r="AC2961" s="810"/>
      <c r="AD2961" s="811" t="s">
        <v>16281</v>
      </c>
      <c r="AE2961" s="940"/>
      <c r="AF2961" s="920">
        <f>IF(X2961=X2960,AF2960,0)+IF(ISNUMBER(I2961),IF(I2961&lt;1,I2961,I2961*VLOOKUP(J2961,Summary!$H$2:$I$9,2)),VLOOKUP(J2961,Summary!$J$2:$K$9,2)*IF(ISNUMBER(H2961),H2961,1))</f>
        <v>0.33475694444444437</v>
      </c>
      <c r="AG2961" s="287">
        <v>2960</v>
      </c>
      <c r="AH2961" s="94"/>
      <c r="AI2961" s="94"/>
    </row>
    <row r="2962" spans="1:36" s="3" customFormat="1" ht="12" customHeight="1" x14ac:dyDescent="0.25">
      <c r="A2962" s="405" t="s">
        <v>962</v>
      </c>
      <c r="B2962" s="406" t="s">
        <v>6146</v>
      </c>
      <c r="C2962" s="405">
        <v>5.3</v>
      </c>
      <c r="D2962" s="407" t="s">
        <v>965</v>
      </c>
      <c r="E2962" s="315" t="s">
        <v>969</v>
      </c>
      <c r="F2962" s="169">
        <v>38292</v>
      </c>
      <c r="G2962" s="170"/>
      <c r="H2962" s="170">
        <v>1</v>
      </c>
      <c r="I2962" s="746">
        <f>TIME(0,66,45)</f>
        <v>4.6354166666666669E-2</v>
      </c>
      <c r="J2962" s="899" t="s">
        <v>4706</v>
      </c>
      <c r="K2962" s="167" t="s">
        <v>6237</v>
      </c>
      <c r="L2962" s="167" t="s">
        <v>6245</v>
      </c>
      <c r="M2962" s="167"/>
      <c r="N2962" s="167"/>
      <c r="O2962" s="167"/>
      <c r="P2962" s="168" t="s">
        <v>974</v>
      </c>
      <c r="Q2962" s="167" t="s">
        <v>3947</v>
      </c>
      <c r="R2962" s="172" t="s">
        <v>3711</v>
      </c>
      <c r="S2962" s="388"/>
      <c r="T2962" s="168" t="s">
        <v>2611</v>
      </c>
      <c r="U2962" s="168"/>
      <c r="V2962" s="168"/>
      <c r="W2962" s="315" t="s">
        <v>969</v>
      </c>
      <c r="X2962" s="644" t="s">
        <v>12484</v>
      </c>
      <c r="Y2962" s="352"/>
      <c r="Z2962" s="353"/>
      <c r="AA2962" s="353"/>
      <c r="AB2962" s="31">
        <f t="shared" ca="1" si="67"/>
        <v>0.14508083052450049</v>
      </c>
      <c r="AC2962" s="810"/>
      <c r="AD2962" s="811" t="s">
        <v>16282</v>
      </c>
      <c r="AE2962" s="940"/>
      <c r="AF2962" s="920">
        <f>IF(X2962=X2961,AF2961,0)+IF(ISNUMBER(I2962),IF(I2962&lt;1,I2962,I2962*VLOOKUP(J2962,Summary!$H$2:$I$9,2)),VLOOKUP(J2962,Summary!$J$2:$K$9,2)*IF(ISNUMBER(H2962),H2962,1))</f>
        <v>0.38111111111111107</v>
      </c>
      <c r="AG2962" s="287">
        <v>2961</v>
      </c>
      <c r="AH2962" s="94"/>
      <c r="AI2962" s="94"/>
    </row>
    <row r="2963" spans="1:36" s="2" customFormat="1" ht="12" customHeight="1" x14ac:dyDescent="0.25">
      <c r="A2963" s="405" t="s">
        <v>962</v>
      </c>
      <c r="B2963" s="405" t="s">
        <v>6146</v>
      </c>
      <c r="C2963" s="405">
        <v>6</v>
      </c>
      <c r="D2963" s="407" t="s">
        <v>11457</v>
      </c>
      <c r="E2963" s="315" t="s">
        <v>971</v>
      </c>
      <c r="F2963" s="169">
        <v>38322</v>
      </c>
      <c r="G2963" s="170"/>
      <c r="H2963" s="170">
        <v>1</v>
      </c>
      <c r="I2963" s="746">
        <f>TIME(0,23,24)</f>
        <v>1.6249999999999997E-2</v>
      </c>
      <c r="J2963" s="899" t="s">
        <v>4706</v>
      </c>
      <c r="K2963" s="167" t="s">
        <v>6355</v>
      </c>
      <c r="L2963" s="167" t="s">
        <v>7375</v>
      </c>
      <c r="M2963" s="167"/>
      <c r="N2963" s="167"/>
      <c r="O2963" s="167"/>
      <c r="P2963" s="168" t="s">
        <v>461</v>
      </c>
      <c r="Q2963" s="167" t="s">
        <v>3947</v>
      </c>
      <c r="R2963" s="172" t="s">
        <v>4315</v>
      </c>
      <c r="S2963" s="388"/>
      <c r="T2963" s="168" t="s">
        <v>2611</v>
      </c>
      <c r="U2963" s="168"/>
      <c r="V2963" s="168"/>
      <c r="W2963" s="315" t="s">
        <v>971</v>
      </c>
      <c r="X2963" s="644" t="s">
        <v>12484</v>
      </c>
      <c r="Y2963" s="352" t="s">
        <v>5643</v>
      </c>
      <c r="Z2963" s="353">
        <v>536</v>
      </c>
      <c r="AA2963" s="353">
        <v>4</v>
      </c>
      <c r="AB2963" s="31">
        <f t="shared" ca="1" si="67"/>
        <v>0.96610641079520987</v>
      </c>
      <c r="AC2963" s="810"/>
      <c r="AD2963" s="811" t="s">
        <v>16282</v>
      </c>
      <c r="AE2963" s="940"/>
      <c r="AF2963" s="920">
        <f>IF(X2963=X2962,AF2962,0)+IF(ISNUMBER(I2963),IF(I2963&lt;1,I2963,I2963*VLOOKUP(J2963,Summary!$H$2:$I$9,2)),VLOOKUP(J2963,Summary!$J$2:$K$9,2)*IF(ISNUMBER(H2963),H2963,1))</f>
        <v>0.39736111111111105</v>
      </c>
      <c r="AG2963" s="287">
        <v>2962</v>
      </c>
      <c r="AH2963" s="94"/>
      <c r="AI2963" s="94"/>
    </row>
    <row r="2964" spans="1:36" s="2" customFormat="1" ht="12" customHeight="1" x14ac:dyDescent="0.25">
      <c r="A2964" s="405" t="s">
        <v>962</v>
      </c>
      <c r="B2964" s="406" t="s">
        <v>6146</v>
      </c>
      <c r="C2964" s="405">
        <v>5.4</v>
      </c>
      <c r="D2964" s="407" t="s">
        <v>966</v>
      </c>
      <c r="E2964" s="315" t="s">
        <v>970</v>
      </c>
      <c r="F2964" s="169">
        <v>38412</v>
      </c>
      <c r="G2964" s="170"/>
      <c r="H2964" s="170">
        <v>1</v>
      </c>
      <c r="I2964" s="746">
        <f>TIME(0,72,49)</f>
        <v>5.0567129629629622E-2</v>
      </c>
      <c r="J2964" s="899" t="s">
        <v>4706</v>
      </c>
      <c r="K2964" s="167" t="s">
        <v>2312</v>
      </c>
      <c r="L2964" s="167" t="s">
        <v>6231</v>
      </c>
      <c r="M2964" s="167"/>
      <c r="N2964" s="167"/>
      <c r="O2964" s="167"/>
      <c r="P2964" s="168" t="s">
        <v>975</v>
      </c>
      <c r="Q2964" s="167" t="s">
        <v>3947</v>
      </c>
      <c r="R2964" s="172" t="s">
        <v>3711</v>
      </c>
      <c r="S2964" s="388"/>
      <c r="T2964" s="168" t="s">
        <v>2611</v>
      </c>
      <c r="U2964" s="168"/>
      <c r="V2964" s="168"/>
      <c r="W2964" s="315" t="s">
        <v>970</v>
      </c>
      <c r="X2964" s="644" t="s">
        <v>12484</v>
      </c>
      <c r="Y2964" s="352"/>
      <c r="Z2964" s="353"/>
      <c r="AA2964" s="353"/>
      <c r="AB2964" s="31">
        <f t="shared" ca="1" si="67"/>
        <v>0.11913531036838276</v>
      </c>
      <c r="AC2964" s="810"/>
      <c r="AD2964" s="811" t="s">
        <v>16282</v>
      </c>
      <c r="AE2964" s="940"/>
      <c r="AF2964" s="920">
        <f>IF(X2964=X2963,AF2963,0)+IF(ISNUMBER(I2964),IF(I2964&lt;1,I2964,I2964*VLOOKUP(J2964,Summary!$H$2:$I$9,2)),VLOOKUP(J2964,Summary!$J$2:$K$9,2)*IF(ISNUMBER(H2964),H2964,1))</f>
        <v>0.44792824074074067</v>
      </c>
      <c r="AG2964" s="287">
        <v>2963</v>
      </c>
      <c r="AH2964" s="94"/>
      <c r="AI2964" s="94"/>
    </row>
    <row r="2965" spans="1:36" s="43" customFormat="1" ht="12" customHeight="1" x14ac:dyDescent="0.25">
      <c r="A2965" s="474" t="s">
        <v>962</v>
      </c>
      <c r="B2965" s="507" t="s">
        <v>6146</v>
      </c>
      <c r="C2965" s="474">
        <v>7</v>
      </c>
      <c r="D2965" s="417" t="s">
        <v>4028</v>
      </c>
      <c r="E2965" s="316" t="s">
        <v>4029</v>
      </c>
      <c r="F2965" s="195">
        <v>38506</v>
      </c>
      <c r="G2965" s="188"/>
      <c r="H2965" s="188" t="s">
        <v>461</v>
      </c>
      <c r="I2965" s="188">
        <v>179</v>
      </c>
      <c r="J2965" s="902" t="s">
        <v>6868</v>
      </c>
      <c r="K2965" s="162" t="s">
        <v>1936</v>
      </c>
      <c r="L2965" s="162" t="s">
        <v>461</v>
      </c>
      <c r="M2965" s="162"/>
      <c r="N2965" s="162"/>
      <c r="O2965" s="162"/>
      <c r="P2965" s="178" t="s">
        <v>4030</v>
      </c>
      <c r="Q2965" s="162" t="s">
        <v>3947</v>
      </c>
      <c r="R2965" s="189" t="s">
        <v>6721</v>
      </c>
      <c r="S2965" s="366"/>
      <c r="T2965" s="178" t="s">
        <v>2611</v>
      </c>
      <c r="U2965" s="178"/>
      <c r="V2965" s="178"/>
      <c r="W2965" s="316" t="s">
        <v>4029</v>
      </c>
      <c r="X2965" s="648" t="s">
        <v>12484</v>
      </c>
      <c r="Y2965" s="356"/>
      <c r="Z2965" s="272"/>
      <c r="AA2965" s="272"/>
      <c r="AB2965" s="34">
        <f t="shared" ca="1" si="67"/>
        <v>0.97820702493632317</v>
      </c>
      <c r="AC2965" s="814"/>
      <c r="AD2965" s="811" t="s">
        <v>16282</v>
      </c>
      <c r="AE2965" s="942"/>
      <c r="AF2965" s="923">
        <f>IF(X2965=X2964,AF2964,0)+IF(ISNUMBER(I2965),IF(I2965&lt;1,I2965,I2965*VLOOKUP(J2965,Summary!$H$2:$I$9,2)),VLOOKUP(J2965,Summary!$J$2:$K$9,2)*IF(ISNUMBER(H2965),H2965,1))</f>
        <v>0.57223379629629623</v>
      </c>
      <c r="AG2965" s="291">
        <v>2964</v>
      </c>
      <c r="AH2965" s="94"/>
      <c r="AI2965" s="94"/>
      <c r="AJ2965" s="3"/>
    </row>
    <row r="2966" spans="1:36" s="43" customFormat="1" ht="12" customHeight="1" x14ac:dyDescent="0.25">
      <c r="A2966" s="405" t="s">
        <v>7861</v>
      </c>
      <c r="B2966" s="406" t="s">
        <v>6146</v>
      </c>
      <c r="C2966" s="405">
        <v>6.1</v>
      </c>
      <c r="D2966" s="407" t="s">
        <v>7862</v>
      </c>
      <c r="E2966" s="315" t="s">
        <v>7867</v>
      </c>
      <c r="F2966" s="169">
        <v>38504</v>
      </c>
      <c r="G2966" s="170"/>
      <c r="H2966" s="170">
        <v>1</v>
      </c>
      <c r="I2966" s="746">
        <f>TIME(0,57,2)</f>
        <v>3.9606481481481479E-2</v>
      </c>
      <c r="J2966" s="899" t="s">
        <v>4706</v>
      </c>
      <c r="K2966" s="167" t="s">
        <v>7873</v>
      </c>
      <c r="L2966" s="167" t="s">
        <v>7375</v>
      </c>
      <c r="M2966" s="167"/>
      <c r="N2966" s="167"/>
      <c r="O2966" s="167"/>
      <c r="P2966" s="168" t="s">
        <v>7872</v>
      </c>
      <c r="Q2966" s="167" t="s">
        <v>3947</v>
      </c>
      <c r="R2966" s="172" t="s">
        <v>3711</v>
      </c>
      <c r="S2966" s="388"/>
      <c r="T2966" s="168" t="s">
        <v>2611</v>
      </c>
      <c r="U2966" s="168"/>
      <c r="V2966" s="168"/>
      <c r="W2966" s="315" t="s">
        <v>7867</v>
      </c>
      <c r="X2966" s="644" t="s">
        <v>242</v>
      </c>
      <c r="Y2966" s="352"/>
      <c r="Z2966" s="353"/>
      <c r="AA2966" s="353"/>
      <c r="AB2966" s="31">
        <f t="shared" ca="1" si="67"/>
        <v>0.66591326396504702</v>
      </c>
      <c r="AC2966" s="810"/>
      <c r="AD2966" s="811" t="s">
        <v>16283</v>
      </c>
      <c r="AE2966" s="940"/>
      <c r="AF2966" s="920">
        <f>IF(X2966=X2965,AF2965,0)+IF(ISNUMBER(I2966),IF(I2966&lt;1,I2966,I2966*VLOOKUP(J2966,Summary!$H$2:$I$9,2)),VLOOKUP(J2966,Summary!$J$2:$K$9,2)*IF(ISNUMBER(H2966),H2966,1))</f>
        <v>3.9606481481481479E-2</v>
      </c>
      <c r="AG2966" s="287">
        <v>2965</v>
      </c>
      <c r="AH2966" s="94"/>
      <c r="AI2966" s="94"/>
      <c r="AJ2966" s="2"/>
    </row>
    <row r="2967" spans="1:36" s="2" customFormat="1" ht="12" customHeight="1" x14ac:dyDescent="0.25">
      <c r="A2967" s="409" t="s">
        <v>962</v>
      </c>
      <c r="B2967" s="410" t="s">
        <v>6146</v>
      </c>
      <c r="C2967" s="556">
        <v>1.01</v>
      </c>
      <c r="D2967" s="434" t="s">
        <v>4023</v>
      </c>
      <c r="E2967" s="324" t="s">
        <v>4025</v>
      </c>
      <c r="F2967" s="174">
        <v>38322</v>
      </c>
      <c r="G2967" s="176"/>
      <c r="H2967" s="176" t="s">
        <v>461</v>
      </c>
      <c r="I2967" s="176"/>
      <c r="J2967" s="900" t="s">
        <v>2755</v>
      </c>
      <c r="K2967" s="157" t="s">
        <v>7799</v>
      </c>
      <c r="L2967" s="157" t="s">
        <v>461</v>
      </c>
      <c r="M2967" s="157"/>
      <c r="N2967" s="157"/>
      <c r="O2967" s="157"/>
      <c r="P2967" s="173" t="s">
        <v>4022</v>
      </c>
      <c r="Q2967" s="157" t="s">
        <v>3947</v>
      </c>
      <c r="R2967" s="179" t="s">
        <v>6741</v>
      </c>
      <c r="S2967" s="354"/>
      <c r="T2967" s="173" t="s">
        <v>2611</v>
      </c>
      <c r="U2967" s="173"/>
      <c r="V2967" s="173"/>
      <c r="W2967" s="324" t="s">
        <v>4025</v>
      </c>
      <c r="X2967" s="656" t="s">
        <v>242</v>
      </c>
      <c r="Y2967" s="363"/>
      <c r="Z2967" s="364"/>
      <c r="AA2967" s="364"/>
      <c r="AB2967" s="32">
        <f t="shared" ca="1" si="67"/>
        <v>0.73495590469653582</v>
      </c>
      <c r="AC2967" s="812"/>
      <c r="AD2967" s="763" t="s">
        <v>16285</v>
      </c>
      <c r="AE2967" s="951"/>
      <c r="AF2967" s="921">
        <f>IF(X2967=X2966,AF2966,0)+IF(ISNUMBER(I2967),IF(I2967&lt;1,I2967,I2967*VLOOKUP(J2967,Summary!$H$2:$I$9,2)),VLOOKUP(J2967,Summary!$J$2:$K$9,2)*IF(ISNUMBER(H2967),H2967,1))</f>
        <v>5.6967592592592591E-2</v>
      </c>
      <c r="AG2967" s="288">
        <v>2966</v>
      </c>
      <c r="AH2967" s="94"/>
      <c r="AI2967" s="94"/>
      <c r="AJ2967" s="3"/>
    </row>
    <row r="2968" spans="1:36" s="2" customFormat="1" ht="12" customHeight="1" x14ac:dyDescent="0.25">
      <c r="A2968" s="409" t="s">
        <v>962</v>
      </c>
      <c r="B2968" s="410" t="s">
        <v>6146</v>
      </c>
      <c r="C2968" s="556">
        <v>1.02</v>
      </c>
      <c r="D2968" s="434" t="s">
        <v>4024</v>
      </c>
      <c r="E2968" s="324" t="s">
        <v>4027</v>
      </c>
      <c r="F2968" s="174">
        <v>38322</v>
      </c>
      <c r="G2968" s="176"/>
      <c r="H2968" s="176" t="s">
        <v>461</v>
      </c>
      <c r="I2968" s="176"/>
      <c r="J2968" s="900" t="s">
        <v>2755</v>
      </c>
      <c r="K2968" s="157" t="s">
        <v>2911</v>
      </c>
      <c r="L2968" s="157" t="s">
        <v>461</v>
      </c>
      <c r="M2968" s="157"/>
      <c r="N2968" s="157"/>
      <c r="O2968" s="157"/>
      <c r="P2968" s="173" t="s">
        <v>4022</v>
      </c>
      <c r="Q2968" s="157" t="s">
        <v>3947</v>
      </c>
      <c r="R2968" s="179" t="s">
        <v>6741</v>
      </c>
      <c r="S2968" s="354"/>
      <c r="T2968" s="173" t="s">
        <v>2611</v>
      </c>
      <c r="U2968" s="173"/>
      <c r="V2968" s="173"/>
      <c r="W2968" s="324" t="s">
        <v>4027</v>
      </c>
      <c r="X2968" s="656" t="s">
        <v>242</v>
      </c>
      <c r="Y2968" s="363"/>
      <c r="Z2968" s="364"/>
      <c r="AA2968" s="364"/>
      <c r="AB2968" s="32">
        <f t="shared" ca="1" si="67"/>
        <v>0.92954342011563629</v>
      </c>
      <c r="AC2968" s="812"/>
      <c r="AD2968" s="763" t="s">
        <v>16285</v>
      </c>
      <c r="AE2968" s="951"/>
      <c r="AF2968" s="921">
        <f>IF(X2968=X2967,AF2967,0)+IF(ISNUMBER(I2968),IF(I2968&lt;1,I2968,I2968*VLOOKUP(J2968,Summary!$H$2:$I$9,2)),VLOOKUP(J2968,Summary!$J$2:$K$9,2)*IF(ISNUMBER(H2968),H2968,1))</f>
        <v>7.4328703703703702E-2</v>
      </c>
      <c r="AG2968" s="288">
        <v>2967</v>
      </c>
      <c r="AH2968" s="94"/>
      <c r="AI2968" s="94"/>
    </row>
    <row r="2969" spans="1:36" s="2" customFormat="1" ht="12" customHeight="1" x14ac:dyDescent="0.25">
      <c r="A2969" s="409" t="s">
        <v>962</v>
      </c>
      <c r="B2969" s="410" t="s">
        <v>6146</v>
      </c>
      <c r="C2969" s="556">
        <v>1.03</v>
      </c>
      <c r="D2969" s="434" t="s">
        <v>241</v>
      </c>
      <c r="E2969" s="324" t="s">
        <v>4026</v>
      </c>
      <c r="F2969" s="174">
        <v>38322</v>
      </c>
      <c r="G2969" s="176"/>
      <c r="H2969" s="176" t="s">
        <v>461</v>
      </c>
      <c r="I2969" s="176"/>
      <c r="J2969" s="900" t="s">
        <v>2755</v>
      </c>
      <c r="K2969" s="157" t="s">
        <v>4425</v>
      </c>
      <c r="L2969" s="157" t="s">
        <v>461</v>
      </c>
      <c r="M2969" s="157"/>
      <c r="N2969" s="157"/>
      <c r="O2969" s="157"/>
      <c r="P2969" s="173" t="s">
        <v>4022</v>
      </c>
      <c r="Q2969" s="157" t="s">
        <v>3947</v>
      </c>
      <c r="R2969" s="179" t="s">
        <v>6741</v>
      </c>
      <c r="S2969" s="354"/>
      <c r="T2969" s="173" t="s">
        <v>2611</v>
      </c>
      <c r="U2969" s="173"/>
      <c r="V2969" s="173"/>
      <c r="W2969" s="324" t="s">
        <v>4026</v>
      </c>
      <c r="X2969" s="656" t="s">
        <v>242</v>
      </c>
      <c r="Y2969" s="363"/>
      <c r="Z2969" s="364"/>
      <c r="AA2969" s="364"/>
      <c r="AB2969" s="32">
        <f t="shared" ca="1" si="67"/>
        <v>0.43970417917470161</v>
      </c>
      <c r="AC2969" s="812"/>
      <c r="AD2969" s="763" t="s">
        <v>16285</v>
      </c>
      <c r="AE2969" s="951"/>
      <c r="AF2969" s="921">
        <f>IF(X2969=X2968,AF2968,0)+IF(ISNUMBER(I2969),IF(I2969&lt;1,I2969,I2969*VLOOKUP(J2969,Summary!$H$2:$I$9,2)),VLOOKUP(J2969,Summary!$J$2:$K$9,2)*IF(ISNUMBER(H2969),H2969,1))</f>
        <v>9.1689814814814807E-2</v>
      </c>
      <c r="AG2969" s="288">
        <v>2968</v>
      </c>
      <c r="AH2969" s="94"/>
      <c r="AI2969" s="94"/>
      <c r="AJ2969" s="3"/>
    </row>
    <row r="2970" spans="1:36" s="43" customFormat="1" ht="12" customHeight="1" x14ac:dyDescent="0.25">
      <c r="A2970" s="405" t="s">
        <v>7861</v>
      </c>
      <c r="B2970" s="406" t="s">
        <v>6146</v>
      </c>
      <c r="C2970" s="405">
        <v>6.2</v>
      </c>
      <c r="D2970" s="407" t="s">
        <v>7863</v>
      </c>
      <c r="E2970" s="315" t="s">
        <v>7868</v>
      </c>
      <c r="F2970" s="169">
        <v>38534</v>
      </c>
      <c r="G2970" s="170"/>
      <c r="H2970" s="170">
        <v>1</v>
      </c>
      <c r="I2970" s="746">
        <f>TIME(0,68,26)</f>
        <v>4.7523148148148148E-2</v>
      </c>
      <c r="J2970" s="899" t="s">
        <v>4706</v>
      </c>
      <c r="K2970" s="167" t="s">
        <v>4552</v>
      </c>
      <c r="L2970" s="167" t="s">
        <v>7375</v>
      </c>
      <c r="M2970" s="167"/>
      <c r="N2970" s="167"/>
      <c r="O2970" s="167"/>
      <c r="P2970" s="168" t="s">
        <v>7874</v>
      </c>
      <c r="Q2970" s="167" t="s">
        <v>3947</v>
      </c>
      <c r="R2970" s="172" t="s">
        <v>3711</v>
      </c>
      <c r="S2970" s="388"/>
      <c r="T2970" s="168" t="s">
        <v>2611</v>
      </c>
      <c r="U2970" s="168"/>
      <c r="V2970" s="168"/>
      <c r="W2970" s="315" t="s">
        <v>7868</v>
      </c>
      <c r="X2970" s="644" t="s">
        <v>242</v>
      </c>
      <c r="Y2970" s="352"/>
      <c r="Z2970" s="353"/>
      <c r="AA2970" s="353"/>
      <c r="AB2970" s="31">
        <f t="shared" ca="1" si="67"/>
        <v>9.5514459046678768E-2</v>
      </c>
      <c r="AC2970" s="810"/>
      <c r="AD2970" s="811" t="s">
        <v>16284</v>
      </c>
      <c r="AE2970" s="940"/>
      <c r="AF2970" s="920">
        <f>IF(X2970=X2969,AF2969,0)+IF(ISNUMBER(I2970),IF(I2970&lt;1,I2970,I2970*VLOOKUP(J2970,Summary!$H$2:$I$9,2)),VLOOKUP(J2970,Summary!$J$2:$K$9,2)*IF(ISNUMBER(H2970),H2970,1))</f>
        <v>0.13921296296296296</v>
      </c>
      <c r="AG2970" s="287">
        <v>2969</v>
      </c>
      <c r="AH2970" s="94"/>
      <c r="AI2970" s="94"/>
      <c r="AJ2970" s="3"/>
    </row>
    <row r="2971" spans="1:36" s="2" customFormat="1" ht="12" customHeight="1" x14ac:dyDescent="0.25">
      <c r="A2971" s="405" t="s">
        <v>7861</v>
      </c>
      <c r="B2971" s="406" t="s">
        <v>6146</v>
      </c>
      <c r="C2971" s="405">
        <v>6.4</v>
      </c>
      <c r="D2971" s="407" t="s">
        <v>7865</v>
      </c>
      <c r="E2971" s="315" t="s">
        <v>7870</v>
      </c>
      <c r="F2971" s="169">
        <v>38749</v>
      </c>
      <c r="G2971" s="170"/>
      <c r="H2971" s="170">
        <v>1</v>
      </c>
      <c r="I2971" s="746">
        <f>TIME(0,78,0)</f>
        <v>5.4166666666666669E-2</v>
      </c>
      <c r="J2971" s="899" t="s">
        <v>4706</v>
      </c>
      <c r="K2971" s="167" t="s">
        <v>5528</v>
      </c>
      <c r="L2971" s="167" t="s">
        <v>7375</v>
      </c>
      <c r="M2971" s="167"/>
      <c r="N2971" s="167"/>
      <c r="O2971" s="167"/>
      <c r="P2971" s="168" t="s">
        <v>239</v>
      </c>
      <c r="Q2971" s="167" t="s">
        <v>3947</v>
      </c>
      <c r="R2971" s="172" t="s">
        <v>3711</v>
      </c>
      <c r="S2971" s="388"/>
      <c r="T2971" s="168" t="s">
        <v>2611</v>
      </c>
      <c r="U2971" s="168"/>
      <c r="V2971" s="168"/>
      <c r="W2971" s="315" t="s">
        <v>7870</v>
      </c>
      <c r="X2971" s="644" t="s">
        <v>242</v>
      </c>
      <c r="Y2971" s="352"/>
      <c r="Z2971" s="353"/>
      <c r="AA2971" s="353"/>
      <c r="AB2971" s="31">
        <f t="shared" ca="1" si="67"/>
        <v>0.53356094612238691</v>
      </c>
      <c r="AC2971" s="810"/>
      <c r="AD2971" s="811" t="s">
        <v>16286</v>
      </c>
      <c r="AE2971" s="940"/>
      <c r="AF2971" s="920">
        <f>IF(X2971=X2970,AF2970,0)+IF(ISNUMBER(I2971),IF(I2971&lt;1,I2971,I2971*VLOOKUP(J2971,Summary!$H$2:$I$9,2)),VLOOKUP(J2971,Summary!$J$2:$K$9,2)*IF(ISNUMBER(H2971),H2971,1))</f>
        <v>0.19337962962962962</v>
      </c>
      <c r="AG2971" s="287">
        <v>2970</v>
      </c>
      <c r="AH2971" s="94"/>
      <c r="AI2971" s="94"/>
      <c r="AJ2971" s="43"/>
    </row>
    <row r="2972" spans="1:36" s="43" customFormat="1" ht="12" customHeight="1" x14ac:dyDescent="0.25">
      <c r="A2972" s="409" t="s">
        <v>7861</v>
      </c>
      <c r="B2972" s="410" t="s">
        <v>6146</v>
      </c>
      <c r="C2972" s="556">
        <v>2</v>
      </c>
      <c r="D2972" s="434" t="s">
        <v>7205</v>
      </c>
      <c r="E2972" s="324" t="s">
        <v>242</v>
      </c>
      <c r="F2972" s="174">
        <v>38718</v>
      </c>
      <c r="G2972" s="176"/>
      <c r="H2972" s="176" t="s">
        <v>461</v>
      </c>
      <c r="I2972" s="176"/>
      <c r="J2972" s="900" t="s">
        <v>2755</v>
      </c>
      <c r="K2972" s="157" t="s">
        <v>5664</v>
      </c>
      <c r="L2972" s="157" t="s">
        <v>461</v>
      </c>
      <c r="M2972" s="157"/>
      <c r="N2972" s="157"/>
      <c r="O2972" s="157"/>
      <c r="P2972" s="173" t="s">
        <v>246</v>
      </c>
      <c r="Q2972" s="157" t="s">
        <v>3947</v>
      </c>
      <c r="R2972" s="179" t="s">
        <v>6741</v>
      </c>
      <c r="S2972" s="354"/>
      <c r="T2972" s="173" t="s">
        <v>2611</v>
      </c>
      <c r="U2972" s="173"/>
      <c r="V2972" s="173"/>
      <c r="W2972" s="324" t="s">
        <v>242</v>
      </c>
      <c r="X2972" s="656" t="s">
        <v>242</v>
      </c>
      <c r="Y2972" s="363"/>
      <c r="Z2972" s="364"/>
      <c r="AA2972" s="364"/>
      <c r="AB2972" s="32">
        <f t="shared" ca="1" si="67"/>
        <v>0.75703941622089221</v>
      </c>
      <c r="AC2972" s="812"/>
      <c r="AD2972" s="763" t="s">
        <v>16286</v>
      </c>
      <c r="AE2972" s="951"/>
      <c r="AF2972" s="921">
        <f>IF(X2972=X2971,AF2971,0)+IF(ISNUMBER(I2972),IF(I2972&lt;1,I2972,I2972*VLOOKUP(J2972,Summary!$H$2:$I$9,2)),VLOOKUP(J2972,Summary!$J$2:$K$9,2)*IF(ISNUMBER(H2972),H2972,1))</f>
        <v>0.21074074074074073</v>
      </c>
      <c r="AG2972" s="288">
        <v>2971</v>
      </c>
      <c r="AH2972" s="94"/>
      <c r="AI2972" s="94"/>
      <c r="AJ2972" s="2"/>
    </row>
    <row r="2973" spans="1:36" s="43" customFormat="1" ht="12" customHeight="1" x14ac:dyDescent="0.25">
      <c r="A2973" s="409" t="s">
        <v>7861</v>
      </c>
      <c r="B2973" s="410" t="s">
        <v>6146</v>
      </c>
      <c r="C2973" s="556">
        <v>2.0099999999999998</v>
      </c>
      <c r="D2973" s="434" t="s">
        <v>7206</v>
      </c>
      <c r="E2973" s="324" t="s">
        <v>243</v>
      </c>
      <c r="F2973" s="174">
        <v>38718</v>
      </c>
      <c r="G2973" s="176"/>
      <c r="H2973" s="176" t="s">
        <v>461</v>
      </c>
      <c r="I2973" s="176"/>
      <c r="J2973" s="900" t="s">
        <v>2755</v>
      </c>
      <c r="K2973" s="157" t="s">
        <v>5222</v>
      </c>
      <c r="L2973" s="157" t="s">
        <v>461</v>
      </c>
      <c r="M2973" s="157"/>
      <c r="N2973" s="157"/>
      <c r="O2973" s="157"/>
      <c r="P2973" s="173" t="s">
        <v>246</v>
      </c>
      <c r="Q2973" s="157" t="s">
        <v>3947</v>
      </c>
      <c r="R2973" s="179" t="s">
        <v>6741</v>
      </c>
      <c r="S2973" s="354"/>
      <c r="T2973" s="173" t="s">
        <v>2611</v>
      </c>
      <c r="U2973" s="173"/>
      <c r="V2973" s="173"/>
      <c r="W2973" s="324" t="s">
        <v>243</v>
      </c>
      <c r="X2973" s="656" t="s">
        <v>242</v>
      </c>
      <c r="Y2973" s="363"/>
      <c r="Z2973" s="364"/>
      <c r="AA2973" s="364"/>
      <c r="AB2973" s="32">
        <f t="shared" ca="1" si="67"/>
        <v>0.69630364377519005</v>
      </c>
      <c r="AC2973" s="812"/>
      <c r="AD2973" s="763" t="s">
        <v>16286</v>
      </c>
      <c r="AE2973" s="951"/>
      <c r="AF2973" s="921">
        <f>IF(X2973=X2972,AF2972,0)+IF(ISNUMBER(I2973),IF(I2973&lt;1,I2973,I2973*VLOOKUP(J2973,Summary!$H$2:$I$9,2)),VLOOKUP(J2973,Summary!$J$2:$K$9,2)*IF(ISNUMBER(H2973),H2973,1))</f>
        <v>0.22810185185185183</v>
      </c>
      <c r="AG2973" s="288">
        <v>2972</v>
      </c>
      <c r="AH2973" s="94"/>
      <c r="AI2973" s="94"/>
      <c r="AJ2973" s="2"/>
    </row>
    <row r="2974" spans="1:36" s="43" customFormat="1" ht="12" customHeight="1" x14ac:dyDescent="0.25">
      <c r="A2974" s="409" t="s">
        <v>7861</v>
      </c>
      <c r="B2974" s="410" t="s">
        <v>6146</v>
      </c>
      <c r="C2974" s="556">
        <v>2.02</v>
      </c>
      <c r="D2974" s="434" t="s">
        <v>7207</v>
      </c>
      <c r="E2974" s="324" t="s">
        <v>244</v>
      </c>
      <c r="F2974" s="174">
        <v>38718</v>
      </c>
      <c r="G2974" s="176"/>
      <c r="H2974" s="176" t="s">
        <v>461</v>
      </c>
      <c r="I2974" s="176"/>
      <c r="J2974" s="900" t="s">
        <v>2755</v>
      </c>
      <c r="K2974" s="157" t="s">
        <v>2312</v>
      </c>
      <c r="L2974" s="157" t="s">
        <v>461</v>
      </c>
      <c r="M2974" s="157"/>
      <c r="N2974" s="157"/>
      <c r="O2974" s="157"/>
      <c r="P2974" s="173" t="s">
        <v>246</v>
      </c>
      <c r="Q2974" s="157" t="s">
        <v>3947</v>
      </c>
      <c r="R2974" s="179" t="s">
        <v>6741</v>
      </c>
      <c r="S2974" s="354"/>
      <c r="T2974" s="173" t="s">
        <v>2611</v>
      </c>
      <c r="U2974" s="173"/>
      <c r="V2974" s="173"/>
      <c r="W2974" s="324" t="s">
        <v>244</v>
      </c>
      <c r="X2974" s="656" t="s">
        <v>242</v>
      </c>
      <c r="Y2974" s="363"/>
      <c r="Z2974" s="364"/>
      <c r="AA2974" s="364"/>
      <c r="AB2974" s="32">
        <f t="shared" ca="1" si="67"/>
        <v>1.5858263192867983E-2</v>
      </c>
      <c r="AC2974" s="812"/>
      <c r="AD2974" s="763" t="s">
        <v>16286</v>
      </c>
      <c r="AE2974" s="951"/>
      <c r="AF2974" s="921">
        <f>IF(X2974=X2973,AF2973,0)+IF(ISNUMBER(I2974),IF(I2974&lt;1,I2974,I2974*VLOOKUP(J2974,Summary!$H$2:$I$9,2)),VLOOKUP(J2974,Summary!$J$2:$K$9,2)*IF(ISNUMBER(H2974),H2974,1))</f>
        <v>0.24546296296296294</v>
      </c>
      <c r="AG2974" s="288">
        <v>2973</v>
      </c>
      <c r="AH2974" s="94"/>
      <c r="AI2974" s="94"/>
      <c r="AJ2974" s="2"/>
    </row>
    <row r="2975" spans="1:36" s="43" customFormat="1" ht="12" customHeight="1" x14ac:dyDescent="0.25">
      <c r="A2975" s="409" t="s">
        <v>7861</v>
      </c>
      <c r="B2975" s="410" t="s">
        <v>6146</v>
      </c>
      <c r="C2975" s="556">
        <v>2.0299999999999998</v>
      </c>
      <c r="D2975" s="434" t="s">
        <v>7204</v>
      </c>
      <c r="E2975" s="324" t="s">
        <v>245</v>
      </c>
      <c r="F2975" s="174">
        <v>38718</v>
      </c>
      <c r="G2975" s="176"/>
      <c r="H2975" s="176" t="s">
        <v>461</v>
      </c>
      <c r="I2975" s="176"/>
      <c r="J2975" s="900" t="s">
        <v>2755</v>
      </c>
      <c r="K2975" s="157" t="s">
        <v>7799</v>
      </c>
      <c r="L2975" s="157" t="s">
        <v>461</v>
      </c>
      <c r="M2975" s="157"/>
      <c r="N2975" s="157"/>
      <c r="O2975" s="157"/>
      <c r="P2975" s="173" t="s">
        <v>246</v>
      </c>
      <c r="Q2975" s="157" t="s">
        <v>3947</v>
      </c>
      <c r="R2975" s="179" t="s">
        <v>6741</v>
      </c>
      <c r="S2975" s="354"/>
      <c r="T2975" s="173" t="s">
        <v>2611</v>
      </c>
      <c r="U2975" s="173"/>
      <c r="V2975" s="173"/>
      <c r="W2975" s="324" t="s">
        <v>245</v>
      </c>
      <c r="X2975" s="656" t="s">
        <v>242</v>
      </c>
      <c r="Y2975" s="363"/>
      <c r="Z2975" s="364"/>
      <c r="AA2975" s="364"/>
      <c r="AB2975" s="32">
        <f t="shared" ca="1" si="67"/>
        <v>0.15195540367284399</v>
      </c>
      <c r="AC2975" s="812"/>
      <c r="AD2975" s="763" t="s">
        <v>16286</v>
      </c>
      <c r="AE2975" s="951"/>
      <c r="AF2975" s="921">
        <f>IF(X2975=X2974,AF2974,0)+IF(ISNUMBER(I2975),IF(I2975&lt;1,I2975,I2975*VLOOKUP(J2975,Summary!$H$2:$I$9,2)),VLOOKUP(J2975,Summary!$J$2:$K$9,2)*IF(ISNUMBER(H2975),H2975,1))</f>
        <v>0.26282407407407404</v>
      </c>
      <c r="AG2975" s="288">
        <v>2974</v>
      </c>
      <c r="AH2975" s="94"/>
      <c r="AI2975" s="94"/>
      <c r="AJ2975" s="2"/>
    </row>
    <row r="2976" spans="1:36" s="43" customFormat="1" ht="12" customHeight="1" x14ac:dyDescent="0.25">
      <c r="A2976" s="409" t="s">
        <v>7861</v>
      </c>
      <c r="B2976" s="410" t="s">
        <v>6146</v>
      </c>
      <c r="C2976" s="556">
        <v>5.01</v>
      </c>
      <c r="D2976" s="434" t="s">
        <v>3901</v>
      </c>
      <c r="E2976" s="324" t="s">
        <v>3902</v>
      </c>
      <c r="F2976" s="175">
        <v>38720</v>
      </c>
      <c r="G2976" s="176"/>
      <c r="H2976" s="176" t="s">
        <v>461</v>
      </c>
      <c r="I2976" s="176"/>
      <c r="J2976" s="900" t="s">
        <v>2755</v>
      </c>
      <c r="K2976" s="157" t="s">
        <v>5664</v>
      </c>
      <c r="L2976" s="157" t="s">
        <v>461</v>
      </c>
      <c r="M2976" s="157"/>
      <c r="N2976" s="157" t="s">
        <v>5664</v>
      </c>
      <c r="O2976" s="157"/>
      <c r="P2976" s="173" t="s">
        <v>3900</v>
      </c>
      <c r="Q2976" s="157" t="s">
        <v>3947</v>
      </c>
      <c r="R2976" s="179" t="s">
        <v>6741</v>
      </c>
      <c r="S2976" s="354"/>
      <c r="T2976" s="173" t="s">
        <v>2611</v>
      </c>
      <c r="U2976" s="173"/>
      <c r="V2976" s="173"/>
      <c r="W2976" s="324" t="s">
        <v>3902</v>
      </c>
      <c r="X2976" s="656" t="s">
        <v>242</v>
      </c>
      <c r="Y2976" s="363"/>
      <c r="Z2976" s="364"/>
      <c r="AA2976" s="364"/>
      <c r="AB2976" s="32">
        <f t="shared" ca="1" si="67"/>
        <v>0.12531518909086881</v>
      </c>
      <c r="AC2976" s="812"/>
      <c r="AD2976" s="763"/>
      <c r="AE2976" s="951"/>
      <c r="AF2976" s="921">
        <f>IF(X2976=X2975,AF2975,0)+IF(ISNUMBER(I2976),IF(I2976&lt;1,I2976,I2976*VLOOKUP(J2976,Summary!$H$2:$I$9,2)),VLOOKUP(J2976,Summary!$J$2:$K$9,2)*IF(ISNUMBER(H2976),H2976,1))</f>
        <v>0.28018518518518515</v>
      </c>
      <c r="AG2976" s="288">
        <v>2975</v>
      </c>
      <c r="AH2976" s="94"/>
      <c r="AI2976" s="94"/>
    </row>
    <row r="2977" spans="1:36" s="43" customFormat="1" ht="12" customHeight="1" x14ac:dyDescent="0.25">
      <c r="A2977" s="409" t="s">
        <v>7861</v>
      </c>
      <c r="B2977" s="410" t="s">
        <v>6146</v>
      </c>
      <c r="C2977" s="556">
        <v>5.0199999999999996</v>
      </c>
      <c r="D2977" s="434" t="s">
        <v>3903</v>
      </c>
      <c r="E2977" s="324" t="s">
        <v>3904</v>
      </c>
      <c r="F2977" s="175">
        <v>38720</v>
      </c>
      <c r="G2977" s="176"/>
      <c r="H2977" s="176" t="s">
        <v>461</v>
      </c>
      <c r="I2977" s="176"/>
      <c r="J2977" s="900" t="s">
        <v>2755</v>
      </c>
      <c r="K2977" s="157" t="s">
        <v>178</v>
      </c>
      <c r="L2977" s="157" t="s">
        <v>461</v>
      </c>
      <c r="M2977" s="157"/>
      <c r="N2977" s="157" t="s">
        <v>5664</v>
      </c>
      <c r="O2977" s="157"/>
      <c r="P2977" s="173" t="s">
        <v>3900</v>
      </c>
      <c r="Q2977" s="157" t="s">
        <v>3947</v>
      </c>
      <c r="R2977" s="179" t="s">
        <v>6741</v>
      </c>
      <c r="S2977" s="354"/>
      <c r="T2977" s="173" t="s">
        <v>2611</v>
      </c>
      <c r="U2977" s="173"/>
      <c r="V2977" s="173"/>
      <c r="W2977" s="324" t="s">
        <v>3904</v>
      </c>
      <c r="X2977" s="656" t="s">
        <v>242</v>
      </c>
      <c r="Y2977" s="363"/>
      <c r="Z2977" s="364"/>
      <c r="AA2977" s="364"/>
      <c r="AB2977" s="32">
        <f t="shared" ca="1" si="67"/>
        <v>0.47272436429122022</v>
      </c>
      <c r="AC2977" s="812"/>
      <c r="AD2977" s="763"/>
      <c r="AE2977" s="951"/>
      <c r="AF2977" s="921">
        <f>IF(X2977=X2976,AF2976,0)+IF(ISNUMBER(I2977),IF(I2977&lt;1,I2977,I2977*VLOOKUP(J2977,Summary!$H$2:$I$9,2)),VLOOKUP(J2977,Summary!$J$2:$K$9,2)*IF(ISNUMBER(H2977),H2977,1))</f>
        <v>0.29754629629629625</v>
      </c>
      <c r="AG2977" s="288">
        <v>2976</v>
      </c>
      <c r="AH2977" s="94"/>
      <c r="AI2977" s="94"/>
    </row>
    <row r="2978" spans="1:36" s="43" customFormat="1" ht="12" customHeight="1" x14ac:dyDescent="0.25">
      <c r="A2978" s="409" t="s">
        <v>7861</v>
      </c>
      <c r="B2978" s="410" t="s">
        <v>6146</v>
      </c>
      <c r="C2978" s="556">
        <v>5.03</v>
      </c>
      <c r="D2978" s="434" t="s">
        <v>3905</v>
      </c>
      <c r="E2978" s="324" t="s">
        <v>3906</v>
      </c>
      <c r="F2978" s="175">
        <v>38720</v>
      </c>
      <c r="G2978" s="176"/>
      <c r="H2978" s="176" t="s">
        <v>461</v>
      </c>
      <c r="I2978" s="176"/>
      <c r="J2978" s="900" t="s">
        <v>2755</v>
      </c>
      <c r="K2978" s="157" t="s">
        <v>4425</v>
      </c>
      <c r="L2978" s="157" t="s">
        <v>461</v>
      </c>
      <c r="M2978" s="157"/>
      <c r="N2978" s="157" t="s">
        <v>5664</v>
      </c>
      <c r="O2978" s="157"/>
      <c r="P2978" s="173" t="s">
        <v>3900</v>
      </c>
      <c r="Q2978" s="157" t="s">
        <v>3947</v>
      </c>
      <c r="R2978" s="179" t="s">
        <v>6741</v>
      </c>
      <c r="S2978" s="354"/>
      <c r="T2978" s="173" t="s">
        <v>2611</v>
      </c>
      <c r="U2978" s="173"/>
      <c r="V2978" s="173"/>
      <c r="W2978" s="324" t="s">
        <v>3906</v>
      </c>
      <c r="X2978" s="656" t="s">
        <v>242</v>
      </c>
      <c r="Y2978" s="363"/>
      <c r="Z2978" s="364"/>
      <c r="AA2978" s="364"/>
      <c r="AB2978" s="32">
        <f t="shared" ca="1" si="67"/>
        <v>0.679563240789965</v>
      </c>
      <c r="AC2978" s="812"/>
      <c r="AD2978" s="763"/>
      <c r="AE2978" s="951"/>
      <c r="AF2978" s="921">
        <f>IF(X2978=X2977,AF2977,0)+IF(ISNUMBER(I2978),IF(I2978&lt;1,I2978,I2978*VLOOKUP(J2978,Summary!$H$2:$I$9,2)),VLOOKUP(J2978,Summary!$J$2:$K$9,2)*IF(ISNUMBER(H2978),H2978,1))</f>
        <v>0.31490740740740736</v>
      </c>
      <c r="AG2978" s="288">
        <v>2977</v>
      </c>
      <c r="AH2978" s="94"/>
      <c r="AI2978" s="94"/>
    </row>
    <row r="2979" spans="1:36" s="43" customFormat="1" ht="12" customHeight="1" x14ac:dyDescent="0.25">
      <c r="A2979" s="409" t="s">
        <v>7861</v>
      </c>
      <c r="B2979" s="410" t="s">
        <v>6146</v>
      </c>
      <c r="C2979" s="556">
        <v>5.04</v>
      </c>
      <c r="D2979" s="434" t="s">
        <v>3907</v>
      </c>
      <c r="E2979" s="324" t="s">
        <v>3908</v>
      </c>
      <c r="F2979" s="175">
        <v>38720</v>
      </c>
      <c r="G2979" s="176"/>
      <c r="H2979" s="176" t="s">
        <v>461</v>
      </c>
      <c r="I2979" s="176"/>
      <c r="J2979" s="900" t="s">
        <v>2755</v>
      </c>
      <c r="K2979" s="157" t="s">
        <v>4581</v>
      </c>
      <c r="L2979" s="157" t="s">
        <v>461</v>
      </c>
      <c r="M2979" s="157"/>
      <c r="N2979" s="157" t="s">
        <v>5664</v>
      </c>
      <c r="O2979" s="157"/>
      <c r="P2979" s="173" t="s">
        <v>3900</v>
      </c>
      <c r="Q2979" s="157" t="s">
        <v>3947</v>
      </c>
      <c r="R2979" s="179" t="s">
        <v>6741</v>
      </c>
      <c r="S2979" s="354"/>
      <c r="T2979" s="173" t="s">
        <v>2611</v>
      </c>
      <c r="U2979" s="173"/>
      <c r="V2979" s="173"/>
      <c r="W2979" s="324" t="s">
        <v>3908</v>
      </c>
      <c r="X2979" s="656" t="s">
        <v>242</v>
      </c>
      <c r="Y2979" s="363"/>
      <c r="Z2979" s="364"/>
      <c r="AA2979" s="364"/>
      <c r="AB2979" s="32">
        <f t="shared" ca="1" si="67"/>
        <v>0.30509466170555943</v>
      </c>
      <c r="AC2979" s="812"/>
      <c r="AD2979" s="763"/>
      <c r="AE2979" s="951"/>
      <c r="AF2979" s="921">
        <f>IF(X2979=X2978,AF2978,0)+IF(ISNUMBER(I2979),IF(I2979&lt;1,I2979,I2979*VLOOKUP(J2979,Summary!$H$2:$I$9,2)),VLOOKUP(J2979,Summary!$J$2:$K$9,2)*IF(ISNUMBER(H2979),H2979,1))</f>
        <v>0.33226851851851846</v>
      </c>
      <c r="AG2979" s="288">
        <v>2978</v>
      </c>
      <c r="AH2979" s="94"/>
      <c r="AI2979" s="94"/>
    </row>
    <row r="2980" spans="1:36" s="44" customFormat="1" ht="12" customHeight="1" x14ac:dyDescent="0.25">
      <c r="A2980" s="723" t="s">
        <v>7861</v>
      </c>
      <c r="B2980" s="724" t="s">
        <v>6146</v>
      </c>
      <c r="C2980" s="725">
        <v>5.05</v>
      </c>
      <c r="D2980" s="463" t="s">
        <v>3909</v>
      </c>
      <c r="E2980" s="330" t="s">
        <v>3910</v>
      </c>
      <c r="F2980" s="209">
        <v>38720</v>
      </c>
      <c r="G2980" s="192"/>
      <c r="H2980" s="192" t="s">
        <v>461</v>
      </c>
      <c r="I2980" s="192"/>
      <c r="J2980" s="903" t="s">
        <v>2755</v>
      </c>
      <c r="K2980" s="159" t="s">
        <v>3250</v>
      </c>
      <c r="L2980" s="159" t="s">
        <v>461</v>
      </c>
      <c r="M2980" s="159" t="s">
        <v>5662</v>
      </c>
      <c r="N2980" s="159" t="s">
        <v>5664</v>
      </c>
      <c r="O2980" s="159"/>
      <c r="P2980" s="190" t="s">
        <v>3900</v>
      </c>
      <c r="Q2980" s="159" t="s">
        <v>3947</v>
      </c>
      <c r="R2980" s="221" t="s">
        <v>6741</v>
      </c>
      <c r="S2980" s="357"/>
      <c r="T2980" s="190" t="s">
        <v>2611</v>
      </c>
      <c r="U2980" s="190"/>
      <c r="V2980" s="190"/>
      <c r="W2980" s="330" t="s">
        <v>3910</v>
      </c>
      <c r="X2980" s="649" t="s">
        <v>242</v>
      </c>
      <c r="Y2980" s="378"/>
      <c r="Z2980" s="367"/>
      <c r="AA2980" s="367"/>
      <c r="AB2980" s="37">
        <f t="shared" ca="1" si="67"/>
        <v>0.30736137037400635</v>
      </c>
      <c r="AC2980" s="816"/>
      <c r="AD2980" s="817"/>
      <c r="AE2980" s="955"/>
      <c r="AF2980" s="924">
        <f>IF(X2980=X2979,AF2979,0)+IF(ISNUMBER(I2980),IF(I2980&lt;1,I2980,I2980*VLOOKUP(J2980,Summary!$H$2:$I$9,2)),VLOOKUP(J2980,Summary!$J$2:$K$9,2)*IF(ISNUMBER(H2980),H2980,1))</f>
        <v>0.34962962962962957</v>
      </c>
      <c r="AG2980" s="298">
        <v>2979</v>
      </c>
      <c r="AH2980" s="94"/>
      <c r="AI2980" s="94"/>
    </row>
    <row r="2981" spans="1:36" s="43" customFormat="1" ht="12" customHeight="1" x14ac:dyDescent="0.25">
      <c r="A2981" s="409" t="s">
        <v>7861</v>
      </c>
      <c r="B2981" s="410" t="s">
        <v>6146</v>
      </c>
      <c r="C2981" s="556">
        <v>5.0599999999999996</v>
      </c>
      <c r="D2981" s="434" t="s">
        <v>3911</v>
      </c>
      <c r="E2981" s="324" t="s">
        <v>3912</v>
      </c>
      <c r="F2981" s="175">
        <v>38720</v>
      </c>
      <c r="G2981" s="176"/>
      <c r="H2981" s="176" t="s">
        <v>461</v>
      </c>
      <c r="I2981" s="176"/>
      <c r="J2981" s="900" t="s">
        <v>2755</v>
      </c>
      <c r="K2981" s="157" t="s">
        <v>6353</v>
      </c>
      <c r="L2981" s="157" t="s">
        <v>461</v>
      </c>
      <c r="M2981" s="157"/>
      <c r="N2981" s="157" t="s">
        <v>5664</v>
      </c>
      <c r="O2981" s="157"/>
      <c r="P2981" s="173" t="s">
        <v>3900</v>
      </c>
      <c r="Q2981" s="157" t="s">
        <v>3947</v>
      </c>
      <c r="R2981" s="179" t="s">
        <v>6741</v>
      </c>
      <c r="S2981" s="354"/>
      <c r="T2981" s="173" t="s">
        <v>2611</v>
      </c>
      <c r="U2981" s="173"/>
      <c r="V2981" s="173"/>
      <c r="W2981" s="324" t="s">
        <v>3912</v>
      </c>
      <c r="X2981" s="656" t="s">
        <v>242</v>
      </c>
      <c r="Y2981" s="363"/>
      <c r="Z2981" s="364"/>
      <c r="AA2981" s="364"/>
      <c r="AB2981" s="32">
        <f t="shared" ca="1" si="67"/>
        <v>0.59085191569380313</v>
      </c>
      <c r="AC2981" s="812"/>
      <c r="AD2981" s="763"/>
      <c r="AE2981" s="951"/>
      <c r="AF2981" s="921">
        <f>IF(X2981=X2980,AF2980,0)+IF(ISNUMBER(I2981),IF(I2981&lt;1,I2981,I2981*VLOOKUP(J2981,Summary!$H$2:$I$9,2)),VLOOKUP(J2981,Summary!$J$2:$K$9,2)*IF(ISNUMBER(H2981),H2981,1))</f>
        <v>0.36699074074074067</v>
      </c>
      <c r="AG2981" s="288">
        <v>2980</v>
      </c>
      <c r="AH2981" s="94"/>
      <c r="AI2981" s="94"/>
    </row>
    <row r="2982" spans="1:36" s="43" customFormat="1" ht="12" customHeight="1" x14ac:dyDescent="0.25">
      <c r="A2982" s="409" t="s">
        <v>7861</v>
      </c>
      <c r="B2982" s="410" t="s">
        <v>6146</v>
      </c>
      <c r="C2982" s="556">
        <v>5.07</v>
      </c>
      <c r="D2982" s="434" t="s">
        <v>3913</v>
      </c>
      <c r="E2982" s="324" t="s">
        <v>3914</v>
      </c>
      <c r="F2982" s="175">
        <v>38720</v>
      </c>
      <c r="G2982" s="176"/>
      <c r="H2982" s="176" t="s">
        <v>461</v>
      </c>
      <c r="I2982" s="176"/>
      <c r="J2982" s="900" t="s">
        <v>2755</v>
      </c>
      <c r="K2982" s="157" t="s">
        <v>3932</v>
      </c>
      <c r="L2982" s="157" t="s">
        <v>461</v>
      </c>
      <c r="M2982" s="157"/>
      <c r="N2982" s="157" t="s">
        <v>5664</v>
      </c>
      <c r="O2982" s="157"/>
      <c r="P2982" s="173" t="s">
        <v>3900</v>
      </c>
      <c r="Q2982" s="157" t="s">
        <v>3947</v>
      </c>
      <c r="R2982" s="179" t="s">
        <v>6741</v>
      </c>
      <c r="S2982" s="354"/>
      <c r="T2982" s="173" t="s">
        <v>2611</v>
      </c>
      <c r="U2982" s="173"/>
      <c r="V2982" s="173"/>
      <c r="W2982" s="324" t="s">
        <v>3914</v>
      </c>
      <c r="X2982" s="656" t="s">
        <v>242</v>
      </c>
      <c r="Y2982" s="363"/>
      <c r="Z2982" s="364"/>
      <c r="AA2982" s="364"/>
      <c r="AB2982" s="32">
        <f t="shared" ca="1" si="67"/>
        <v>0.31666945005210267</v>
      </c>
      <c r="AC2982" s="812"/>
      <c r="AD2982" s="763"/>
      <c r="AE2982" s="951"/>
      <c r="AF2982" s="921">
        <f>IF(X2982=X2981,AF2981,0)+IF(ISNUMBER(I2982),IF(I2982&lt;1,I2982,I2982*VLOOKUP(J2982,Summary!$H$2:$I$9,2)),VLOOKUP(J2982,Summary!$J$2:$K$9,2)*IF(ISNUMBER(H2982),H2982,1))</f>
        <v>0.38435185185185178</v>
      </c>
      <c r="AG2982" s="288">
        <v>2981</v>
      </c>
      <c r="AH2982" s="94"/>
      <c r="AI2982" s="94"/>
    </row>
    <row r="2983" spans="1:36" s="43" customFormat="1" ht="12" customHeight="1" x14ac:dyDescent="0.25">
      <c r="A2983" s="409" t="s">
        <v>7861</v>
      </c>
      <c r="B2983" s="410" t="s">
        <v>6146</v>
      </c>
      <c r="C2983" s="556">
        <v>5.08</v>
      </c>
      <c r="D2983" s="434" t="s">
        <v>3915</v>
      </c>
      <c r="E2983" s="324" t="s">
        <v>3916</v>
      </c>
      <c r="F2983" s="175">
        <v>38720</v>
      </c>
      <c r="G2983" s="176"/>
      <c r="H2983" s="176" t="s">
        <v>461</v>
      </c>
      <c r="I2983" s="176"/>
      <c r="J2983" s="900" t="s">
        <v>2755</v>
      </c>
      <c r="K2983" s="157" t="s">
        <v>7097</v>
      </c>
      <c r="L2983" s="157" t="s">
        <v>461</v>
      </c>
      <c r="M2983" s="157"/>
      <c r="N2983" s="157" t="s">
        <v>5664</v>
      </c>
      <c r="O2983" s="157"/>
      <c r="P2983" s="173" t="s">
        <v>3900</v>
      </c>
      <c r="Q2983" s="157" t="s">
        <v>3947</v>
      </c>
      <c r="R2983" s="179" t="s">
        <v>6741</v>
      </c>
      <c r="S2983" s="354"/>
      <c r="T2983" s="173" t="s">
        <v>2611</v>
      </c>
      <c r="U2983" s="173"/>
      <c r="V2983" s="173"/>
      <c r="W2983" s="324" t="s">
        <v>3916</v>
      </c>
      <c r="X2983" s="656" t="s">
        <v>242</v>
      </c>
      <c r="Y2983" s="363"/>
      <c r="Z2983" s="364"/>
      <c r="AA2983" s="364"/>
      <c r="AB2983" s="32">
        <f t="shared" ca="1" si="67"/>
        <v>0.72637712384045394</v>
      </c>
      <c r="AC2983" s="812"/>
      <c r="AD2983" s="763"/>
      <c r="AE2983" s="951"/>
      <c r="AF2983" s="921">
        <f>IF(X2983=X2982,AF2982,0)+IF(ISNUMBER(I2983),IF(I2983&lt;1,I2983,I2983*VLOOKUP(J2983,Summary!$H$2:$I$9,2)),VLOOKUP(J2983,Summary!$J$2:$K$9,2)*IF(ISNUMBER(H2983),H2983,1))</f>
        <v>0.40171296296296288</v>
      </c>
      <c r="AG2983" s="288">
        <v>2982</v>
      </c>
      <c r="AH2983" s="94"/>
      <c r="AI2983" s="94"/>
    </row>
    <row r="2984" spans="1:36" s="43" customFormat="1" ht="12" customHeight="1" x14ac:dyDescent="0.25">
      <c r="A2984" s="409" t="s">
        <v>7861</v>
      </c>
      <c r="B2984" s="410" t="s">
        <v>6146</v>
      </c>
      <c r="C2984" s="556">
        <v>5.09</v>
      </c>
      <c r="D2984" s="434" t="s">
        <v>3917</v>
      </c>
      <c r="E2984" s="324" t="s">
        <v>3918</v>
      </c>
      <c r="F2984" s="175">
        <v>38720</v>
      </c>
      <c r="G2984" s="176"/>
      <c r="H2984" s="176" t="s">
        <v>461</v>
      </c>
      <c r="I2984" s="176"/>
      <c r="J2984" s="900" t="s">
        <v>2755</v>
      </c>
      <c r="K2984" s="157" t="s">
        <v>3529</v>
      </c>
      <c r="L2984" s="157" t="s">
        <v>461</v>
      </c>
      <c r="M2984" s="157"/>
      <c r="N2984" s="157" t="s">
        <v>5664</v>
      </c>
      <c r="O2984" s="157"/>
      <c r="P2984" s="173" t="s">
        <v>3900</v>
      </c>
      <c r="Q2984" s="157" t="s">
        <v>3947</v>
      </c>
      <c r="R2984" s="179" t="s">
        <v>6741</v>
      </c>
      <c r="S2984" s="354"/>
      <c r="T2984" s="173" t="s">
        <v>2611</v>
      </c>
      <c r="U2984" s="173"/>
      <c r="V2984" s="173"/>
      <c r="W2984" s="324" t="s">
        <v>3918</v>
      </c>
      <c r="X2984" s="656" t="s">
        <v>242</v>
      </c>
      <c r="Y2984" s="363"/>
      <c r="Z2984" s="364"/>
      <c r="AA2984" s="364"/>
      <c r="AB2984" s="32">
        <f t="shared" ca="1" si="67"/>
        <v>0.20150691173878987</v>
      </c>
      <c r="AC2984" s="812"/>
      <c r="AD2984" s="763"/>
      <c r="AE2984" s="951"/>
      <c r="AF2984" s="921">
        <f>IF(X2984=X2983,AF2983,0)+IF(ISNUMBER(I2984),IF(I2984&lt;1,I2984,I2984*VLOOKUP(J2984,Summary!$H$2:$I$9,2)),VLOOKUP(J2984,Summary!$J$2:$K$9,2)*IF(ISNUMBER(H2984),H2984,1))</f>
        <v>0.41907407407407399</v>
      </c>
      <c r="AG2984" s="288">
        <v>2983</v>
      </c>
      <c r="AH2984" s="94"/>
      <c r="AI2984" s="94"/>
    </row>
    <row r="2985" spans="1:36" s="43" customFormat="1" ht="12" customHeight="1" x14ac:dyDescent="0.25">
      <c r="A2985" s="409" t="s">
        <v>7861</v>
      </c>
      <c r="B2985" s="410" t="s">
        <v>6146</v>
      </c>
      <c r="C2985" s="556">
        <v>5.0999999999999996</v>
      </c>
      <c r="D2985" s="434" t="s">
        <v>3933</v>
      </c>
      <c r="E2985" s="324" t="s">
        <v>3919</v>
      </c>
      <c r="F2985" s="175">
        <v>38720</v>
      </c>
      <c r="G2985" s="176"/>
      <c r="H2985" s="176" t="s">
        <v>461</v>
      </c>
      <c r="I2985" s="176"/>
      <c r="J2985" s="900" t="s">
        <v>2755</v>
      </c>
      <c r="K2985" s="157" t="s">
        <v>610</v>
      </c>
      <c r="L2985" s="157" t="s">
        <v>461</v>
      </c>
      <c r="M2985" s="157"/>
      <c r="N2985" s="157" t="s">
        <v>5664</v>
      </c>
      <c r="O2985" s="157"/>
      <c r="P2985" s="173" t="s">
        <v>3900</v>
      </c>
      <c r="Q2985" s="157" t="s">
        <v>3947</v>
      </c>
      <c r="R2985" s="179" t="s">
        <v>6741</v>
      </c>
      <c r="S2985" s="354"/>
      <c r="T2985" s="173" t="s">
        <v>2611</v>
      </c>
      <c r="U2985" s="173"/>
      <c r="V2985" s="173"/>
      <c r="W2985" s="324" t="s">
        <v>3919</v>
      </c>
      <c r="X2985" s="656" t="s">
        <v>242</v>
      </c>
      <c r="Y2985" s="363"/>
      <c r="Z2985" s="364"/>
      <c r="AA2985" s="364"/>
      <c r="AB2985" s="32">
        <f t="shared" ca="1" si="67"/>
        <v>0.70505448541817961</v>
      </c>
      <c r="AC2985" s="812"/>
      <c r="AD2985" s="763"/>
      <c r="AE2985" s="951"/>
      <c r="AF2985" s="921">
        <f>IF(X2985=X2984,AF2984,0)+IF(ISNUMBER(I2985),IF(I2985&lt;1,I2985,I2985*VLOOKUP(J2985,Summary!$H$2:$I$9,2)),VLOOKUP(J2985,Summary!$J$2:$K$9,2)*IF(ISNUMBER(H2985),H2985,1))</f>
        <v>0.43643518518518509</v>
      </c>
      <c r="AG2985" s="288">
        <v>2984</v>
      </c>
      <c r="AH2985" s="94"/>
      <c r="AI2985" s="94"/>
    </row>
    <row r="2986" spans="1:36" s="43" customFormat="1" ht="12" customHeight="1" x14ac:dyDescent="0.25">
      <c r="A2986" s="409" t="s">
        <v>7861</v>
      </c>
      <c r="B2986" s="410" t="s">
        <v>6146</v>
      </c>
      <c r="C2986" s="556">
        <v>5.1100000000000003</v>
      </c>
      <c r="D2986" s="434" t="s">
        <v>3920</v>
      </c>
      <c r="E2986" s="324" t="s">
        <v>3921</v>
      </c>
      <c r="F2986" s="175">
        <v>38720</v>
      </c>
      <c r="G2986" s="176"/>
      <c r="H2986" s="176" t="s">
        <v>461</v>
      </c>
      <c r="I2986" s="176"/>
      <c r="J2986" s="900" t="s">
        <v>2755</v>
      </c>
      <c r="K2986" s="157" t="s">
        <v>7381</v>
      </c>
      <c r="L2986" s="157" t="s">
        <v>461</v>
      </c>
      <c r="M2986" s="157"/>
      <c r="N2986" s="157" t="s">
        <v>5664</v>
      </c>
      <c r="O2986" s="157"/>
      <c r="P2986" s="173" t="s">
        <v>3900</v>
      </c>
      <c r="Q2986" s="157" t="s">
        <v>3947</v>
      </c>
      <c r="R2986" s="179" t="s">
        <v>6741</v>
      </c>
      <c r="S2986" s="354"/>
      <c r="T2986" s="173" t="s">
        <v>2611</v>
      </c>
      <c r="U2986" s="173"/>
      <c r="V2986" s="173"/>
      <c r="W2986" s="324" t="s">
        <v>3921</v>
      </c>
      <c r="X2986" s="656" t="s">
        <v>242</v>
      </c>
      <c r="Y2986" s="363"/>
      <c r="Z2986" s="364"/>
      <c r="AA2986" s="364"/>
      <c r="AB2986" s="32">
        <f t="shared" ca="1" si="67"/>
        <v>0.51951181193558993</v>
      </c>
      <c r="AC2986" s="812"/>
      <c r="AD2986" s="763"/>
      <c r="AE2986" s="951"/>
      <c r="AF2986" s="921">
        <f>IF(X2986=X2985,AF2985,0)+IF(ISNUMBER(I2986),IF(I2986&lt;1,I2986,I2986*VLOOKUP(J2986,Summary!$H$2:$I$9,2)),VLOOKUP(J2986,Summary!$J$2:$K$9,2)*IF(ISNUMBER(H2986),H2986,1))</f>
        <v>0.4537962962962962</v>
      </c>
      <c r="AG2986" s="288">
        <v>2985</v>
      </c>
      <c r="AH2986" s="94"/>
      <c r="AI2986" s="94"/>
    </row>
    <row r="2987" spans="1:36" s="43" customFormat="1" ht="12" customHeight="1" x14ac:dyDescent="0.25">
      <c r="A2987" s="409" t="s">
        <v>7861</v>
      </c>
      <c r="B2987" s="410" t="s">
        <v>6146</v>
      </c>
      <c r="C2987" s="556">
        <v>5.12</v>
      </c>
      <c r="D2987" s="434" t="s">
        <v>3922</v>
      </c>
      <c r="E2987" s="324" t="s">
        <v>3923</v>
      </c>
      <c r="F2987" s="175">
        <v>38720</v>
      </c>
      <c r="G2987" s="176"/>
      <c r="H2987" s="176" t="s">
        <v>461</v>
      </c>
      <c r="I2987" s="176"/>
      <c r="J2987" s="900" t="s">
        <v>2755</v>
      </c>
      <c r="K2987" s="157" t="s">
        <v>7799</v>
      </c>
      <c r="L2987" s="157" t="s">
        <v>461</v>
      </c>
      <c r="M2987" s="157"/>
      <c r="N2987" s="157" t="s">
        <v>5664</v>
      </c>
      <c r="O2987" s="157"/>
      <c r="P2987" s="173" t="s">
        <v>3900</v>
      </c>
      <c r="Q2987" s="157" t="s">
        <v>3947</v>
      </c>
      <c r="R2987" s="179" t="s">
        <v>6741</v>
      </c>
      <c r="S2987" s="354"/>
      <c r="T2987" s="173" t="s">
        <v>2611</v>
      </c>
      <c r="U2987" s="173"/>
      <c r="V2987" s="173"/>
      <c r="W2987" s="324" t="s">
        <v>3923</v>
      </c>
      <c r="X2987" s="656" t="s">
        <v>242</v>
      </c>
      <c r="Y2987" s="363"/>
      <c r="Z2987" s="364"/>
      <c r="AA2987" s="364"/>
      <c r="AB2987" s="32">
        <f t="shared" ca="1" si="67"/>
        <v>0.77439465181150791</v>
      </c>
      <c r="AC2987" s="812"/>
      <c r="AD2987" s="763"/>
      <c r="AE2987" s="951"/>
      <c r="AF2987" s="921">
        <f>IF(X2987=X2986,AF2986,0)+IF(ISNUMBER(I2987),IF(I2987&lt;1,I2987,I2987*VLOOKUP(J2987,Summary!$H$2:$I$9,2)),VLOOKUP(J2987,Summary!$J$2:$K$9,2)*IF(ISNUMBER(H2987),H2987,1))</f>
        <v>0.4711574074074073</v>
      </c>
      <c r="AG2987" s="288">
        <v>2986</v>
      </c>
      <c r="AH2987" s="94"/>
      <c r="AI2987" s="94"/>
    </row>
    <row r="2988" spans="1:36" s="43" customFormat="1" ht="12" customHeight="1" x14ac:dyDescent="0.25">
      <c r="A2988" s="409" t="s">
        <v>7861</v>
      </c>
      <c r="B2988" s="410" t="s">
        <v>6146</v>
      </c>
      <c r="C2988" s="556">
        <v>5.13</v>
      </c>
      <c r="D2988" s="434" t="s">
        <v>3924</v>
      </c>
      <c r="E2988" s="324" t="s">
        <v>3925</v>
      </c>
      <c r="F2988" s="175">
        <v>38720</v>
      </c>
      <c r="G2988" s="176"/>
      <c r="H2988" s="176" t="s">
        <v>461</v>
      </c>
      <c r="I2988" s="176"/>
      <c r="J2988" s="900" t="s">
        <v>2755</v>
      </c>
      <c r="K2988" s="157" t="s">
        <v>3994</v>
      </c>
      <c r="L2988" s="157" t="s">
        <v>461</v>
      </c>
      <c r="M2988" s="157"/>
      <c r="N2988" s="157" t="s">
        <v>5664</v>
      </c>
      <c r="O2988" s="157"/>
      <c r="P2988" s="173" t="s">
        <v>3900</v>
      </c>
      <c r="Q2988" s="157" t="s">
        <v>3947</v>
      </c>
      <c r="R2988" s="179" t="s">
        <v>6741</v>
      </c>
      <c r="S2988" s="354"/>
      <c r="T2988" s="173" t="s">
        <v>2611</v>
      </c>
      <c r="U2988" s="173"/>
      <c r="V2988" s="173"/>
      <c r="W2988" s="324" t="s">
        <v>3925</v>
      </c>
      <c r="X2988" s="656" t="s">
        <v>242</v>
      </c>
      <c r="Y2988" s="363"/>
      <c r="Z2988" s="364"/>
      <c r="AA2988" s="364"/>
      <c r="AB2988" s="32">
        <f t="shared" ca="1" si="67"/>
        <v>0.24269894321260155</v>
      </c>
      <c r="AC2988" s="812"/>
      <c r="AD2988" s="763"/>
      <c r="AE2988" s="951"/>
      <c r="AF2988" s="921">
        <f>IF(X2988=X2987,AF2987,0)+IF(ISNUMBER(I2988),IF(I2988&lt;1,I2988,I2988*VLOOKUP(J2988,Summary!$H$2:$I$9,2)),VLOOKUP(J2988,Summary!$J$2:$K$9,2)*IF(ISNUMBER(H2988),H2988,1))</f>
        <v>0.48851851851851841</v>
      </c>
      <c r="AG2988" s="288">
        <v>2987</v>
      </c>
      <c r="AH2988" s="94"/>
      <c r="AI2988" s="94"/>
    </row>
    <row r="2989" spans="1:36" s="2" customFormat="1" ht="12" customHeight="1" x14ac:dyDescent="0.25">
      <c r="A2989" s="409" t="s">
        <v>7861</v>
      </c>
      <c r="B2989" s="410" t="s">
        <v>6146</v>
      </c>
      <c r="C2989" s="556">
        <v>5.14</v>
      </c>
      <c r="D2989" s="434" t="s">
        <v>3926</v>
      </c>
      <c r="E2989" s="324" t="s">
        <v>3927</v>
      </c>
      <c r="F2989" s="175">
        <v>38720</v>
      </c>
      <c r="G2989" s="176"/>
      <c r="H2989" s="176" t="s">
        <v>461</v>
      </c>
      <c r="I2989" s="176"/>
      <c r="J2989" s="900" t="s">
        <v>2755</v>
      </c>
      <c r="K2989" s="157" t="s">
        <v>6352</v>
      </c>
      <c r="L2989" s="157" t="s">
        <v>461</v>
      </c>
      <c r="M2989" s="157"/>
      <c r="N2989" s="157" t="s">
        <v>5664</v>
      </c>
      <c r="O2989" s="157"/>
      <c r="P2989" s="173" t="s">
        <v>3900</v>
      </c>
      <c r="Q2989" s="157" t="s">
        <v>3947</v>
      </c>
      <c r="R2989" s="179" t="s">
        <v>6741</v>
      </c>
      <c r="S2989" s="354"/>
      <c r="T2989" s="173" t="s">
        <v>2611</v>
      </c>
      <c r="U2989" s="173"/>
      <c r="V2989" s="173"/>
      <c r="W2989" s="324" t="s">
        <v>3927</v>
      </c>
      <c r="X2989" s="656" t="s">
        <v>242</v>
      </c>
      <c r="Y2989" s="363"/>
      <c r="Z2989" s="364"/>
      <c r="AA2989" s="364"/>
      <c r="AB2989" s="32">
        <f t="shared" ca="1" si="67"/>
        <v>0.65093576993412561</v>
      </c>
      <c r="AC2989" s="812"/>
      <c r="AD2989" s="763"/>
      <c r="AE2989" s="951"/>
      <c r="AF2989" s="921">
        <f>IF(X2989=X2988,AF2988,0)+IF(ISNUMBER(I2989),IF(I2989&lt;1,I2989,I2989*VLOOKUP(J2989,Summary!$H$2:$I$9,2)),VLOOKUP(J2989,Summary!$J$2:$K$9,2)*IF(ISNUMBER(H2989),H2989,1))</f>
        <v>0.50587962962962951</v>
      </c>
      <c r="AG2989" s="288">
        <v>2988</v>
      </c>
      <c r="AH2989" s="94"/>
      <c r="AI2989" s="94"/>
      <c r="AJ2989" s="43"/>
    </row>
    <row r="2990" spans="1:36" s="2" customFormat="1" ht="12" customHeight="1" x14ac:dyDescent="0.25">
      <c r="A2990" s="409" t="s">
        <v>7861</v>
      </c>
      <c r="B2990" s="410" t="s">
        <v>6146</v>
      </c>
      <c r="C2990" s="556">
        <v>5.15</v>
      </c>
      <c r="D2990" s="434" t="s">
        <v>3928</v>
      </c>
      <c r="E2990" s="324" t="s">
        <v>3929</v>
      </c>
      <c r="F2990" s="175">
        <v>38720</v>
      </c>
      <c r="G2990" s="176"/>
      <c r="H2990" s="176" t="s">
        <v>461</v>
      </c>
      <c r="I2990" s="176"/>
      <c r="J2990" s="900" t="s">
        <v>2755</v>
      </c>
      <c r="K2990" s="157" t="s">
        <v>6833</v>
      </c>
      <c r="L2990" s="157" t="s">
        <v>461</v>
      </c>
      <c r="M2990" s="157"/>
      <c r="N2990" s="157" t="s">
        <v>5664</v>
      </c>
      <c r="O2990" s="157"/>
      <c r="P2990" s="173" t="s">
        <v>3900</v>
      </c>
      <c r="Q2990" s="157" t="s">
        <v>3947</v>
      </c>
      <c r="R2990" s="179" t="s">
        <v>6741</v>
      </c>
      <c r="S2990" s="354"/>
      <c r="T2990" s="173" t="s">
        <v>2611</v>
      </c>
      <c r="U2990" s="173"/>
      <c r="V2990" s="173"/>
      <c r="W2990" s="324" t="s">
        <v>3929</v>
      </c>
      <c r="X2990" s="656" t="s">
        <v>242</v>
      </c>
      <c r="Y2990" s="363"/>
      <c r="Z2990" s="364"/>
      <c r="AA2990" s="364"/>
      <c r="AB2990" s="32">
        <f t="shared" ca="1" si="67"/>
        <v>0.40223052683850757</v>
      </c>
      <c r="AC2990" s="812"/>
      <c r="AD2990" s="763"/>
      <c r="AE2990" s="951"/>
      <c r="AF2990" s="921">
        <f>IF(X2990=X2989,AF2989,0)+IF(ISNUMBER(I2990),IF(I2990&lt;1,I2990,I2990*VLOOKUP(J2990,Summary!$H$2:$I$9,2)),VLOOKUP(J2990,Summary!$J$2:$K$9,2)*IF(ISNUMBER(H2990),H2990,1))</f>
        <v>0.52324074074074067</v>
      </c>
      <c r="AG2990" s="288">
        <v>2989</v>
      </c>
      <c r="AH2990" s="94"/>
      <c r="AI2990" s="94"/>
      <c r="AJ2990" s="43"/>
    </row>
    <row r="2991" spans="1:36" s="2" customFormat="1" ht="12" customHeight="1" x14ac:dyDescent="0.25">
      <c r="A2991" s="409" t="s">
        <v>7861</v>
      </c>
      <c r="B2991" s="410" t="s">
        <v>6146</v>
      </c>
      <c r="C2991" s="556">
        <v>5.16</v>
      </c>
      <c r="D2991" s="434" t="s">
        <v>3930</v>
      </c>
      <c r="E2991" s="324" t="s">
        <v>3931</v>
      </c>
      <c r="F2991" s="175">
        <v>38720</v>
      </c>
      <c r="G2991" s="176"/>
      <c r="H2991" s="176" t="s">
        <v>461</v>
      </c>
      <c r="I2991" s="176"/>
      <c r="J2991" s="900" t="s">
        <v>2755</v>
      </c>
      <c r="K2991" s="157" t="s">
        <v>5664</v>
      </c>
      <c r="L2991" s="157" t="s">
        <v>461</v>
      </c>
      <c r="M2991" s="157"/>
      <c r="N2991" s="157" t="s">
        <v>5664</v>
      </c>
      <c r="O2991" s="157"/>
      <c r="P2991" s="173" t="s">
        <v>3900</v>
      </c>
      <c r="Q2991" s="157" t="s">
        <v>3947</v>
      </c>
      <c r="R2991" s="179" t="s">
        <v>6741</v>
      </c>
      <c r="S2991" s="354"/>
      <c r="T2991" s="173" t="s">
        <v>2611</v>
      </c>
      <c r="U2991" s="173"/>
      <c r="V2991" s="173"/>
      <c r="W2991" s="324" t="s">
        <v>3931</v>
      </c>
      <c r="X2991" s="656" t="s">
        <v>242</v>
      </c>
      <c r="Y2991" s="363"/>
      <c r="Z2991" s="364"/>
      <c r="AA2991" s="364"/>
      <c r="AB2991" s="32">
        <f t="shared" ca="1" si="67"/>
        <v>0.38833972479516055</v>
      </c>
      <c r="AC2991" s="812"/>
      <c r="AD2991" s="763"/>
      <c r="AE2991" s="951"/>
      <c r="AF2991" s="921">
        <f>IF(X2991=X2990,AF2990,0)+IF(ISNUMBER(I2991),IF(I2991&lt;1,I2991,I2991*VLOOKUP(J2991,Summary!$H$2:$I$9,2)),VLOOKUP(J2991,Summary!$J$2:$K$9,2)*IF(ISNUMBER(H2991),H2991,1))</f>
        <v>0.54060185185185183</v>
      </c>
      <c r="AG2991" s="288">
        <v>2990</v>
      </c>
      <c r="AH2991" s="94"/>
      <c r="AI2991" s="94"/>
      <c r="AJ2991" s="43"/>
    </row>
    <row r="2992" spans="1:36" s="2" customFormat="1" ht="12" customHeight="1" x14ac:dyDescent="0.25">
      <c r="A2992" s="405" t="s">
        <v>7861</v>
      </c>
      <c r="B2992" s="406" t="s">
        <v>6146</v>
      </c>
      <c r="C2992" s="405">
        <v>6.3</v>
      </c>
      <c r="D2992" s="407" t="s">
        <v>7864</v>
      </c>
      <c r="E2992" s="315" t="s">
        <v>7869</v>
      </c>
      <c r="F2992" s="169">
        <v>38596</v>
      </c>
      <c r="G2992" s="170"/>
      <c r="H2992" s="170">
        <v>1</v>
      </c>
      <c r="I2992" s="746">
        <f>TIME(0,56,2)</f>
        <v>3.8912037037037037E-2</v>
      </c>
      <c r="J2992" s="899" t="s">
        <v>4706</v>
      </c>
      <c r="K2992" s="167" t="s">
        <v>5664</v>
      </c>
      <c r="L2992" s="167" t="s">
        <v>7375</v>
      </c>
      <c r="M2992" s="167"/>
      <c r="N2992" s="167"/>
      <c r="O2992" s="167"/>
      <c r="P2992" s="168" t="s">
        <v>7875</v>
      </c>
      <c r="Q2992" s="167" t="s">
        <v>3947</v>
      </c>
      <c r="R2992" s="172" t="s">
        <v>3711</v>
      </c>
      <c r="S2992" s="388"/>
      <c r="T2992" s="168" t="s">
        <v>2611</v>
      </c>
      <c r="U2992" s="168"/>
      <c r="V2992" s="168"/>
      <c r="W2992" s="315" t="s">
        <v>7869</v>
      </c>
      <c r="X2992" s="644" t="s">
        <v>242</v>
      </c>
      <c r="Y2992" s="352"/>
      <c r="Z2992" s="353"/>
      <c r="AA2992" s="353"/>
      <c r="AB2992" s="31">
        <f t="shared" ca="1" si="67"/>
        <v>2.6325530216206428E-2</v>
      </c>
      <c r="AC2992" s="810"/>
      <c r="AD2992" s="811" t="s">
        <v>16287</v>
      </c>
      <c r="AE2992" s="940"/>
      <c r="AF2992" s="920">
        <f>IF(X2992=X2991,AF2991,0)+IF(ISNUMBER(I2992),IF(I2992&lt;1,I2992,I2992*VLOOKUP(J2992,Summary!$H$2:$I$9,2)),VLOOKUP(J2992,Summary!$J$2:$K$9,2)*IF(ISNUMBER(H2992),H2992,1))</f>
        <v>0.57951388888888888</v>
      </c>
      <c r="AG2992" s="287">
        <v>2991</v>
      </c>
      <c r="AH2992" s="94"/>
      <c r="AI2992" s="94"/>
      <c r="AJ2992" s="43"/>
    </row>
    <row r="2993" spans="1:36" s="2" customFormat="1" ht="12" customHeight="1" x14ac:dyDescent="0.25">
      <c r="A2993" s="405" t="s">
        <v>7861</v>
      </c>
      <c r="B2993" s="406" t="s">
        <v>6146</v>
      </c>
      <c r="C2993" s="405">
        <v>6.5</v>
      </c>
      <c r="D2993" s="407" t="s">
        <v>7866</v>
      </c>
      <c r="E2993" s="315" t="s">
        <v>7871</v>
      </c>
      <c r="F2993" s="169">
        <v>38869</v>
      </c>
      <c r="G2993" s="170"/>
      <c r="H2993" s="170">
        <v>1</v>
      </c>
      <c r="I2993" s="746">
        <f>TIME(0,75,0)</f>
        <v>5.2083333333333336E-2</v>
      </c>
      <c r="J2993" s="899" t="s">
        <v>4706</v>
      </c>
      <c r="K2993" s="167" t="s">
        <v>4425</v>
      </c>
      <c r="L2993" s="167" t="s">
        <v>7375</v>
      </c>
      <c r="M2993" s="167"/>
      <c r="N2993" s="167"/>
      <c r="O2993" s="167"/>
      <c r="P2993" s="168" t="s">
        <v>240</v>
      </c>
      <c r="Q2993" s="167" t="s">
        <v>3947</v>
      </c>
      <c r="R2993" s="172" t="s">
        <v>3711</v>
      </c>
      <c r="S2993" s="388"/>
      <c r="T2993" s="168" t="s">
        <v>2611</v>
      </c>
      <c r="U2993" s="168"/>
      <c r="V2993" s="168"/>
      <c r="W2993" s="315" t="s">
        <v>7871</v>
      </c>
      <c r="X2993" s="644" t="s">
        <v>242</v>
      </c>
      <c r="Y2993" s="352"/>
      <c r="Z2993" s="353"/>
      <c r="AA2993" s="353"/>
      <c r="AB2993" s="31">
        <f t="shared" ca="1" si="67"/>
        <v>0.28050868122511563</v>
      </c>
      <c r="AC2993" s="810"/>
      <c r="AD2993" s="811" t="s">
        <v>16288</v>
      </c>
      <c r="AE2993" s="940"/>
      <c r="AF2993" s="920">
        <f>IF(X2993=X2992,AF2992,0)+IF(ISNUMBER(I2993),IF(I2993&lt;1,I2993,I2993*VLOOKUP(J2993,Summary!$H$2:$I$9,2)),VLOOKUP(J2993,Summary!$J$2:$K$9,2)*IF(ISNUMBER(H2993),H2993,1))</f>
        <v>0.63159722222222225</v>
      </c>
      <c r="AG2993" s="287">
        <v>2992</v>
      </c>
      <c r="AH2993" s="94"/>
      <c r="AI2993" s="94"/>
      <c r="AJ2993" s="43"/>
    </row>
    <row r="2994" spans="1:36" s="43" customFormat="1" ht="12" customHeight="1" x14ac:dyDescent="0.25">
      <c r="A2994" s="405" t="s">
        <v>7182</v>
      </c>
      <c r="B2994" s="405" t="s">
        <v>6146</v>
      </c>
      <c r="C2994" s="405">
        <v>7.1</v>
      </c>
      <c r="D2994" s="407" t="s">
        <v>7183</v>
      </c>
      <c r="E2994" s="315" t="s">
        <v>7189</v>
      </c>
      <c r="F2994" s="169">
        <v>38899</v>
      </c>
      <c r="G2994" s="170"/>
      <c r="H2994" s="170">
        <v>1</v>
      </c>
      <c r="I2994" s="746">
        <f>TIME(0,70,50)</f>
        <v>4.9189814814814818E-2</v>
      </c>
      <c r="J2994" s="899" t="s">
        <v>4706</v>
      </c>
      <c r="K2994" s="167" t="s">
        <v>2312</v>
      </c>
      <c r="L2994" s="167" t="s">
        <v>6231</v>
      </c>
      <c r="M2994" s="167"/>
      <c r="N2994" s="167"/>
      <c r="O2994" s="167" t="s">
        <v>7196</v>
      </c>
      <c r="P2994" s="168" t="s">
        <v>7195</v>
      </c>
      <c r="Q2994" s="167" t="s">
        <v>3947</v>
      </c>
      <c r="R2994" s="172" t="s">
        <v>3711</v>
      </c>
      <c r="S2994" s="388"/>
      <c r="T2994" s="168" t="s">
        <v>2611</v>
      </c>
      <c r="U2994" s="168"/>
      <c r="V2994" s="168"/>
      <c r="W2994" s="315" t="s">
        <v>7189</v>
      </c>
      <c r="X2994" s="644" t="s">
        <v>12485</v>
      </c>
      <c r="Y2994" s="352" t="s">
        <v>5398</v>
      </c>
      <c r="Z2994" s="353">
        <v>530</v>
      </c>
      <c r="AA2994" s="353">
        <v>4</v>
      </c>
      <c r="AB2994" s="31">
        <f t="shared" ca="1" si="67"/>
        <v>0.23950371287937866</v>
      </c>
      <c r="AC2994" s="810"/>
      <c r="AD2994" s="811" t="s">
        <v>16286</v>
      </c>
      <c r="AE2994" s="940"/>
      <c r="AF2994" s="920">
        <f>IF(X2994=X2993,AF2993,0)+IF(ISNUMBER(I2994),IF(I2994&lt;1,I2994,I2994*VLOOKUP(J2994,Summary!$H$2:$I$9,2)),VLOOKUP(J2994,Summary!$J$2:$K$9,2)*IF(ISNUMBER(H2994),H2994,1))</f>
        <v>4.9189814814814818E-2</v>
      </c>
      <c r="AG2994" s="287">
        <v>2993</v>
      </c>
      <c r="AH2994" s="94"/>
      <c r="AI2994" s="94"/>
    </row>
    <row r="2995" spans="1:36" s="43" customFormat="1" ht="12" customHeight="1" x14ac:dyDescent="0.25">
      <c r="A2995" s="405" t="s">
        <v>7182</v>
      </c>
      <c r="B2995" s="405" t="s">
        <v>6146</v>
      </c>
      <c r="C2995" s="405">
        <v>7.2</v>
      </c>
      <c r="D2995" s="407" t="s">
        <v>7184</v>
      </c>
      <c r="E2995" s="315" t="s">
        <v>7190</v>
      </c>
      <c r="F2995" s="169">
        <v>38930</v>
      </c>
      <c r="G2995" s="170"/>
      <c r="H2995" s="170">
        <v>1</v>
      </c>
      <c r="I2995" s="746">
        <f>TIME(0,74,16)</f>
        <v>5.1574074074074078E-2</v>
      </c>
      <c r="J2995" s="899" t="s">
        <v>4706</v>
      </c>
      <c r="K2995" s="167" t="s">
        <v>6236</v>
      </c>
      <c r="L2995" s="167" t="s">
        <v>6231</v>
      </c>
      <c r="M2995" s="167"/>
      <c r="N2995" s="167"/>
      <c r="O2995" s="167"/>
      <c r="P2995" s="168" t="s">
        <v>7197</v>
      </c>
      <c r="Q2995" s="167" t="s">
        <v>3947</v>
      </c>
      <c r="R2995" s="172" t="s">
        <v>3711</v>
      </c>
      <c r="S2995" s="388"/>
      <c r="T2995" s="168" t="s">
        <v>2611</v>
      </c>
      <c r="U2995" s="168"/>
      <c r="V2995" s="168"/>
      <c r="W2995" s="315" t="s">
        <v>7190</v>
      </c>
      <c r="X2995" s="644" t="s">
        <v>12485</v>
      </c>
      <c r="Y2995" s="352" t="s">
        <v>5398</v>
      </c>
      <c r="Z2995" s="353">
        <v>300</v>
      </c>
      <c r="AA2995" s="353">
        <v>5.5</v>
      </c>
      <c r="AB2995" s="31">
        <f t="shared" ca="1" si="67"/>
        <v>0.30911240068429191</v>
      </c>
      <c r="AC2995" s="810"/>
      <c r="AD2995" s="811" t="s">
        <v>16286</v>
      </c>
      <c r="AE2995" s="940"/>
      <c r="AF2995" s="920">
        <f>IF(X2995=X2994,AF2994,0)+IF(ISNUMBER(I2995),IF(I2995&lt;1,I2995,I2995*VLOOKUP(J2995,Summary!$H$2:$I$9,2)),VLOOKUP(J2995,Summary!$J$2:$K$9,2)*IF(ISNUMBER(H2995),H2995,1))</f>
        <v>0.1007638888888889</v>
      </c>
      <c r="AG2995" s="287">
        <v>2994</v>
      </c>
      <c r="AH2995" s="94"/>
      <c r="AI2995" s="94"/>
    </row>
    <row r="2996" spans="1:36" s="43" customFormat="1" ht="12" customHeight="1" x14ac:dyDescent="0.25">
      <c r="A2996" s="405" t="s">
        <v>7182</v>
      </c>
      <c r="B2996" s="405" t="s">
        <v>6146</v>
      </c>
      <c r="C2996" s="405">
        <v>7.3</v>
      </c>
      <c r="D2996" s="407" t="s">
        <v>7185</v>
      </c>
      <c r="E2996" s="315" t="s">
        <v>7191</v>
      </c>
      <c r="F2996" s="169">
        <v>38961</v>
      </c>
      <c r="G2996" s="170"/>
      <c r="H2996" s="170">
        <v>1</v>
      </c>
      <c r="I2996" s="746">
        <f>TIME(0,66,27)</f>
        <v>4.6145833333333337E-2</v>
      </c>
      <c r="J2996" s="899" t="s">
        <v>4706</v>
      </c>
      <c r="K2996" s="167" t="s">
        <v>7799</v>
      </c>
      <c r="L2996" s="167" t="s">
        <v>6245</v>
      </c>
      <c r="M2996" s="167"/>
      <c r="N2996" s="167"/>
      <c r="O2996" s="167" t="s">
        <v>7196</v>
      </c>
      <c r="P2996" s="168" t="s">
        <v>7198</v>
      </c>
      <c r="Q2996" s="167" t="s">
        <v>3947</v>
      </c>
      <c r="R2996" s="172" t="s">
        <v>3711</v>
      </c>
      <c r="S2996" s="388"/>
      <c r="T2996" s="168" t="s">
        <v>2611</v>
      </c>
      <c r="U2996" s="168"/>
      <c r="V2996" s="168"/>
      <c r="W2996" s="315" t="s">
        <v>7191</v>
      </c>
      <c r="X2996" s="644" t="s">
        <v>12485</v>
      </c>
      <c r="Y2996" s="352" t="s">
        <v>5398</v>
      </c>
      <c r="Z2996" s="353">
        <v>100</v>
      </c>
      <c r="AA2996" s="353">
        <v>7.5</v>
      </c>
      <c r="AB2996" s="31">
        <f t="shared" ca="1" si="67"/>
        <v>0.55412224402546084</v>
      </c>
      <c r="AC2996" s="810"/>
      <c r="AD2996" s="811" t="s">
        <v>16289</v>
      </c>
      <c r="AE2996" s="940"/>
      <c r="AF2996" s="920">
        <f>IF(X2996=X2995,AF2995,0)+IF(ISNUMBER(I2996),IF(I2996&lt;1,I2996,I2996*VLOOKUP(J2996,Summary!$H$2:$I$9,2)),VLOOKUP(J2996,Summary!$J$2:$K$9,2)*IF(ISNUMBER(H2996),H2996,1))</f>
        <v>0.14690972222222223</v>
      </c>
      <c r="AG2996" s="287">
        <v>2995</v>
      </c>
      <c r="AH2996" s="94"/>
      <c r="AI2996" s="94"/>
      <c r="AJ2996" s="2"/>
    </row>
    <row r="2997" spans="1:36" s="43" customFormat="1" ht="12" customHeight="1" x14ac:dyDescent="0.25">
      <c r="A2997" s="409" t="s">
        <v>7182</v>
      </c>
      <c r="B2997" s="410" t="s">
        <v>6146</v>
      </c>
      <c r="C2997" s="556">
        <v>6.01</v>
      </c>
      <c r="D2997" s="434" t="s">
        <v>7208</v>
      </c>
      <c r="E2997" s="324" t="s">
        <v>7209</v>
      </c>
      <c r="F2997" s="175">
        <v>38961</v>
      </c>
      <c r="G2997" s="176"/>
      <c r="H2997" s="176" t="s">
        <v>461</v>
      </c>
      <c r="I2997" s="176"/>
      <c r="J2997" s="900" t="s">
        <v>2755</v>
      </c>
      <c r="K2997" s="157" t="s">
        <v>338</v>
      </c>
      <c r="L2997" s="157" t="s">
        <v>461</v>
      </c>
      <c r="M2997" s="157"/>
      <c r="N2997" s="157" t="s">
        <v>338</v>
      </c>
      <c r="O2997" s="157"/>
      <c r="P2997" s="173" t="s">
        <v>7203</v>
      </c>
      <c r="Q2997" s="157" t="s">
        <v>3947</v>
      </c>
      <c r="R2997" s="179" t="s">
        <v>6720</v>
      </c>
      <c r="S2997" s="354"/>
      <c r="T2997" s="173" t="s">
        <v>2611</v>
      </c>
      <c r="U2997" s="173"/>
      <c r="V2997" s="173"/>
      <c r="W2997" s="324" t="s">
        <v>7209</v>
      </c>
      <c r="X2997" s="656" t="s">
        <v>12485</v>
      </c>
      <c r="Y2997" s="363"/>
      <c r="Z2997" s="364"/>
      <c r="AA2997" s="364"/>
      <c r="AB2997" s="32">
        <f t="shared" ca="1" si="67"/>
        <v>0.4338100201960331</v>
      </c>
      <c r="AC2997" s="812"/>
      <c r="AD2997" s="763"/>
      <c r="AE2997" s="951"/>
      <c r="AF2997" s="921">
        <f>IF(X2997=X2996,AF2996,0)+IF(ISNUMBER(I2997),IF(I2997&lt;1,I2997,I2997*VLOOKUP(J2997,Summary!$H$2:$I$9,2)),VLOOKUP(J2997,Summary!$J$2:$K$9,2)*IF(ISNUMBER(H2997),H2997,1))</f>
        <v>0.16427083333333334</v>
      </c>
      <c r="AG2997" s="288">
        <v>2996</v>
      </c>
      <c r="AH2997" s="94"/>
      <c r="AI2997" s="94"/>
      <c r="AJ2997" s="2"/>
    </row>
    <row r="2998" spans="1:36" s="43" customFormat="1" ht="12" customHeight="1" x14ac:dyDescent="0.25">
      <c r="A2998" s="409" t="s">
        <v>7182</v>
      </c>
      <c r="B2998" s="410" t="s">
        <v>6146</v>
      </c>
      <c r="C2998" s="556">
        <v>6.02</v>
      </c>
      <c r="D2998" s="434" t="s">
        <v>7210</v>
      </c>
      <c r="E2998" s="324" t="s">
        <v>7211</v>
      </c>
      <c r="F2998" s="175">
        <v>38961</v>
      </c>
      <c r="G2998" s="176"/>
      <c r="H2998" s="176" t="s">
        <v>461</v>
      </c>
      <c r="I2998" s="176"/>
      <c r="J2998" s="900" t="s">
        <v>2755</v>
      </c>
      <c r="K2998" s="157" t="s">
        <v>624</v>
      </c>
      <c r="L2998" s="157" t="s">
        <v>461</v>
      </c>
      <c r="M2998" s="157"/>
      <c r="N2998" s="157" t="s">
        <v>338</v>
      </c>
      <c r="O2998" s="157"/>
      <c r="P2998" s="173" t="s">
        <v>7203</v>
      </c>
      <c r="Q2998" s="157" t="s">
        <v>3947</v>
      </c>
      <c r="R2998" s="179" t="s">
        <v>6720</v>
      </c>
      <c r="S2998" s="354"/>
      <c r="T2998" s="173" t="s">
        <v>2611</v>
      </c>
      <c r="U2998" s="173"/>
      <c r="V2998" s="173"/>
      <c r="W2998" s="324" t="s">
        <v>7211</v>
      </c>
      <c r="X2998" s="656" t="s">
        <v>12485</v>
      </c>
      <c r="Y2998" s="363"/>
      <c r="Z2998" s="364"/>
      <c r="AA2998" s="364"/>
      <c r="AB2998" s="32">
        <f t="shared" ca="1" si="67"/>
        <v>0.77470481815384329</v>
      </c>
      <c r="AC2998" s="812"/>
      <c r="AD2998" s="763"/>
      <c r="AE2998" s="951"/>
      <c r="AF2998" s="921">
        <f>IF(X2998=X2997,AF2997,0)+IF(ISNUMBER(I2998),IF(I2998&lt;1,I2998,I2998*VLOOKUP(J2998,Summary!$H$2:$I$9,2)),VLOOKUP(J2998,Summary!$J$2:$K$9,2)*IF(ISNUMBER(H2998),H2998,1))</f>
        <v>0.18163194444444444</v>
      </c>
      <c r="AG2998" s="288">
        <v>2997</v>
      </c>
      <c r="AH2998" s="94"/>
      <c r="AI2998" s="94"/>
      <c r="AJ2998" s="2"/>
    </row>
    <row r="2999" spans="1:36" s="43" customFormat="1" ht="12" customHeight="1" x14ac:dyDescent="0.25">
      <c r="A2999" s="409" t="s">
        <v>7182</v>
      </c>
      <c r="B2999" s="410" t="s">
        <v>6146</v>
      </c>
      <c r="C2999" s="556">
        <v>6.03</v>
      </c>
      <c r="D2999" s="434" t="s">
        <v>7212</v>
      </c>
      <c r="E2999" s="324" t="s">
        <v>7213</v>
      </c>
      <c r="F2999" s="175">
        <v>38961</v>
      </c>
      <c r="G2999" s="176"/>
      <c r="H2999" s="176" t="s">
        <v>461</v>
      </c>
      <c r="I2999" s="176"/>
      <c r="J2999" s="900" t="s">
        <v>2755</v>
      </c>
      <c r="K2999" s="157" t="s">
        <v>3324</v>
      </c>
      <c r="L2999" s="157" t="s">
        <v>461</v>
      </c>
      <c r="M2999" s="157"/>
      <c r="N2999" s="157" t="s">
        <v>338</v>
      </c>
      <c r="O2999" s="157"/>
      <c r="P2999" s="173" t="s">
        <v>7203</v>
      </c>
      <c r="Q2999" s="157" t="s">
        <v>3947</v>
      </c>
      <c r="R2999" s="179" t="s">
        <v>6720</v>
      </c>
      <c r="S2999" s="354"/>
      <c r="T2999" s="173" t="s">
        <v>2611</v>
      </c>
      <c r="U2999" s="173"/>
      <c r="V2999" s="173"/>
      <c r="W2999" s="324" t="s">
        <v>7213</v>
      </c>
      <c r="X2999" s="656" t="s">
        <v>12485</v>
      </c>
      <c r="Y2999" s="363"/>
      <c r="Z2999" s="364"/>
      <c r="AA2999" s="364"/>
      <c r="AB2999" s="32">
        <f t="shared" ca="1" si="67"/>
        <v>0.89458274477700661</v>
      </c>
      <c r="AC2999" s="812"/>
      <c r="AD2999" s="763"/>
      <c r="AE2999" s="951"/>
      <c r="AF2999" s="921">
        <f>IF(X2999=X2998,AF2998,0)+IF(ISNUMBER(I2999),IF(I2999&lt;1,I2999,I2999*VLOOKUP(J2999,Summary!$H$2:$I$9,2)),VLOOKUP(J2999,Summary!$J$2:$K$9,2)*IF(ISNUMBER(H2999),H2999,1))</f>
        <v>0.19899305555555555</v>
      </c>
      <c r="AG2999" s="288">
        <v>2998</v>
      </c>
      <c r="AH2999" s="94"/>
      <c r="AI2999" s="94"/>
      <c r="AJ2999" s="2"/>
    </row>
    <row r="3000" spans="1:36" s="43" customFormat="1" ht="12" customHeight="1" x14ac:dyDescent="0.25">
      <c r="A3000" s="409" t="s">
        <v>7182</v>
      </c>
      <c r="B3000" s="410" t="s">
        <v>6146</v>
      </c>
      <c r="C3000" s="556">
        <v>6.04</v>
      </c>
      <c r="D3000" s="434" t="s">
        <v>7214</v>
      </c>
      <c r="E3000" s="324" t="s">
        <v>7215</v>
      </c>
      <c r="F3000" s="175">
        <v>38961</v>
      </c>
      <c r="G3000" s="176"/>
      <c r="H3000" s="176" t="s">
        <v>461</v>
      </c>
      <c r="I3000" s="176"/>
      <c r="J3000" s="900" t="s">
        <v>2755</v>
      </c>
      <c r="K3000" s="157" t="s">
        <v>3994</v>
      </c>
      <c r="L3000" s="157" t="s">
        <v>461</v>
      </c>
      <c r="M3000" s="157"/>
      <c r="N3000" s="157" t="s">
        <v>338</v>
      </c>
      <c r="O3000" s="157"/>
      <c r="P3000" s="173" t="s">
        <v>7203</v>
      </c>
      <c r="Q3000" s="157" t="s">
        <v>3947</v>
      </c>
      <c r="R3000" s="179" t="s">
        <v>6720</v>
      </c>
      <c r="S3000" s="354"/>
      <c r="T3000" s="173" t="s">
        <v>2611</v>
      </c>
      <c r="U3000" s="173"/>
      <c r="V3000" s="173"/>
      <c r="W3000" s="324" t="s">
        <v>7215</v>
      </c>
      <c r="X3000" s="656" t="s">
        <v>12485</v>
      </c>
      <c r="Y3000" s="363"/>
      <c r="Z3000" s="364"/>
      <c r="AA3000" s="364"/>
      <c r="AB3000" s="32">
        <f t="shared" ca="1" si="67"/>
        <v>0.90773859192525497</v>
      </c>
      <c r="AC3000" s="812"/>
      <c r="AD3000" s="763"/>
      <c r="AE3000" s="951"/>
      <c r="AF3000" s="921">
        <f>IF(X3000=X2999,AF2999,0)+IF(ISNUMBER(I3000),IF(I3000&lt;1,I3000,I3000*VLOOKUP(J3000,Summary!$H$2:$I$9,2)),VLOOKUP(J3000,Summary!$J$2:$K$9,2)*IF(ISNUMBER(H3000),H3000,1))</f>
        <v>0.21635416666666665</v>
      </c>
      <c r="AG3000" s="288">
        <v>2999</v>
      </c>
      <c r="AH3000" s="94"/>
      <c r="AI3000" s="94"/>
    </row>
    <row r="3001" spans="1:36" s="43" customFormat="1" ht="12" customHeight="1" x14ac:dyDescent="0.25">
      <c r="A3001" s="409" t="s">
        <v>7182</v>
      </c>
      <c r="B3001" s="410" t="s">
        <v>6146</v>
      </c>
      <c r="C3001" s="556">
        <v>6.05</v>
      </c>
      <c r="D3001" s="434" t="s">
        <v>7216</v>
      </c>
      <c r="E3001" s="324" t="s">
        <v>7217</v>
      </c>
      <c r="F3001" s="175">
        <v>38961</v>
      </c>
      <c r="G3001" s="176"/>
      <c r="H3001" s="176" t="s">
        <v>461</v>
      </c>
      <c r="I3001" s="176"/>
      <c r="J3001" s="900" t="s">
        <v>2755</v>
      </c>
      <c r="K3001" s="157" t="s">
        <v>6874</v>
      </c>
      <c r="L3001" s="157" t="s">
        <v>461</v>
      </c>
      <c r="M3001" s="157"/>
      <c r="N3001" s="157" t="s">
        <v>338</v>
      </c>
      <c r="O3001" s="157"/>
      <c r="P3001" s="173" t="s">
        <v>7203</v>
      </c>
      <c r="Q3001" s="157" t="s">
        <v>3947</v>
      </c>
      <c r="R3001" s="179" t="s">
        <v>6720</v>
      </c>
      <c r="S3001" s="354"/>
      <c r="T3001" s="173" t="s">
        <v>2611</v>
      </c>
      <c r="U3001" s="173"/>
      <c r="V3001" s="173"/>
      <c r="W3001" s="324" t="s">
        <v>7217</v>
      </c>
      <c r="X3001" s="656" t="s">
        <v>12485</v>
      </c>
      <c r="Y3001" s="363"/>
      <c r="Z3001" s="364"/>
      <c r="AA3001" s="364"/>
      <c r="AB3001" s="32">
        <f t="shared" ca="1" si="67"/>
        <v>0.94986323922991234</v>
      </c>
      <c r="AC3001" s="812"/>
      <c r="AD3001" s="763"/>
      <c r="AE3001" s="951"/>
      <c r="AF3001" s="921">
        <f>IF(X3001=X3000,AF3000,0)+IF(ISNUMBER(I3001),IF(I3001&lt;1,I3001,I3001*VLOOKUP(J3001,Summary!$H$2:$I$9,2)),VLOOKUP(J3001,Summary!$J$2:$K$9,2)*IF(ISNUMBER(H3001),H3001,1))</f>
        <v>0.23371527777777776</v>
      </c>
      <c r="AG3001" s="288">
        <v>3000</v>
      </c>
      <c r="AH3001" s="94"/>
      <c r="AI3001" s="94"/>
    </row>
    <row r="3002" spans="1:36" s="43" customFormat="1" ht="12" customHeight="1" x14ac:dyDescent="0.25">
      <c r="A3002" s="409" t="s">
        <v>7182</v>
      </c>
      <c r="B3002" s="410" t="s">
        <v>6146</v>
      </c>
      <c r="C3002" s="556">
        <v>6.06</v>
      </c>
      <c r="D3002" s="434" t="s">
        <v>7218</v>
      </c>
      <c r="E3002" s="324" t="s">
        <v>7219</v>
      </c>
      <c r="F3002" s="175">
        <v>38961</v>
      </c>
      <c r="G3002" s="176"/>
      <c r="H3002" s="176" t="s">
        <v>461</v>
      </c>
      <c r="I3002" s="176"/>
      <c r="J3002" s="900" t="s">
        <v>2755</v>
      </c>
      <c r="K3002" s="157" t="s">
        <v>178</v>
      </c>
      <c r="L3002" s="157" t="s">
        <v>461</v>
      </c>
      <c r="M3002" s="157"/>
      <c r="N3002" s="157" t="s">
        <v>338</v>
      </c>
      <c r="O3002" s="157"/>
      <c r="P3002" s="173" t="s">
        <v>7203</v>
      </c>
      <c r="Q3002" s="157" t="s">
        <v>3947</v>
      </c>
      <c r="R3002" s="179" t="s">
        <v>6720</v>
      </c>
      <c r="S3002" s="354"/>
      <c r="T3002" s="173" t="s">
        <v>2611</v>
      </c>
      <c r="U3002" s="173"/>
      <c r="V3002" s="173"/>
      <c r="W3002" s="324" t="s">
        <v>7219</v>
      </c>
      <c r="X3002" s="656" t="s">
        <v>12485</v>
      </c>
      <c r="Y3002" s="363"/>
      <c r="Z3002" s="364"/>
      <c r="AA3002" s="364"/>
      <c r="AB3002" s="32">
        <f t="shared" ca="1" si="67"/>
        <v>0.97971701296003066</v>
      </c>
      <c r="AC3002" s="812"/>
      <c r="AD3002" s="763"/>
      <c r="AE3002" s="951"/>
      <c r="AF3002" s="921">
        <f>IF(X3002=X3001,AF3001,0)+IF(ISNUMBER(I3002),IF(I3002&lt;1,I3002,I3002*VLOOKUP(J3002,Summary!$H$2:$I$9,2)),VLOOKUP(J3002,Summary!$J$2:$K$9,2)*IF(ISNUMBER(H3002),H3002,1))</f>
        <v>0.25107638888888889</v>
      </c>
      <c r="AG3002" s="288">
        <v>3001</v>
      </c>
      <c r="AH3002" s="94"/>
      <c r="AI3002" s="94"/>
    </row>
    <row r="3003" spans="1:36" s="43" customFormat="1" ht="12" customHeight="1" x14ac:dyDescent="0.25">
      <c r="A3003" s="409" t="s">
        <v>7182</v>
      </c>
      <c r="B3003" s="410" t="s">
        <v>6146</v>
      </c>
      <c r="C3003" s="556">
        <v>6.07</v>
      </c>
      <c r="D3003" s="434" t="s">
        <v>7220</v>
      </c>
      <c r="E3003" s="324" t="s">
        <v>7221</v>
      </c>
      <c r="F3003" s="175">
        <v>38961</v>
      </c>
      <c r="G3003" s="176"/>
      <c r="H3003" s="176" t="s">
        <v>461</v>
      </c>
      <c r="I3003" s="176"/>
      <c r="J3003" s="900" t="s">
        <v>2755</v>
      </c>
      <c r="K3003" s="157" t="s">
        <v>3324</v>
      </c>
      <c r="L3003" s="157" t="s">
        <v>461</v>
      </c>
      <c r="M3003" s="157"/>
      <c r="N3003" s="157" t="s">
        <v>338</v>
      </c>
      <c r="O3003" s="157"/>
      <c r="P3003" s="173" t="s">
        <v>7203</v>
      </c>
      <c r="Q3003" s="157" t="s">
        <v>3947</v>
      </c>
      <c r="R3003" s="179" t="s">
        <v>6720</v>
      </c>
      <c r="S3003" s="354"/>
      <c r="T3003" s="173" t="s">
        <v>2611</v>
      </c>
      <c r="U3003" s="173"/>
      <c r="V3003" s="173"/>
      <c r="W3003" s="324" t="s">
        <v>7221</v>
      </c>
      <c r="X3003" s="656" t="s">
        <v>12485</v>
      </c>
      <c r="Y3003" s="363"/>
      <c r="Z3003" s="364"/>
      <c r="AA3003" s="364"/>
      <c r="AB3003" s="32">
        <f t="shared" ca="1" si="67"/>
        <v>0.93225068709880343</v>
      </c>
      <c r="AC3003" s="812"/>
      <c r="AD3003" s="763"/>
      <c r="AE3003" s="951"/>
      <c r="AF3003" s="921">
        <f>IF(X3003=X3002,AF3002,0)+IF(ISNUMBER(I3003),IF(I3003&lt;1,I3003,I3003*VLOOKUP(J3003,Summary!$H$2:$I$9,2)),VLOOKUP(J3003,Summary!$J$2:$K$9,2)*IF(ISNUMBER(H3003),H3003,1))</f>
        <v>0.2684375</v>
      </c>
      <c r="AG3003" s="288">
        <v>3002</v>
      </c>
      <c r="AH3003" s="94"/>
      <c r="AI3003" s="94"/>
    </row>
    <row r="3004" spans="1:36" s="43" customFormat="1" ht="12" customHeight="1" x14ac:dyDescent="0.25">
      <c r="A3004" s="409" t="s">
        <v>7182</v>
      </c>
      <c r="B3004" s="410" t="s">
        <v>6146</v>
      </c>
      <c r="C3004" s="556">
        <v>6.08</v>
      </c>
      <c r="D3004" s="434" t="s">
        <v>7222</v>
      </c>
      <c r="E3004" s="324" t="s">
        <v>7223</v>
      </c>
      <c r="F3004" s="175">
        <v>38961</v>
      </c>
      <c r="G3004" s="176"/>
      <c r="H3004" s="176" t="s">
        <v>461</v>
      </c>
      <c r="I3004" s="176"/>
      <c r="J3004" s="900" t="s">
        <v>2755</v>
      </c>
      <c r="K3004" s="157" t="s">
        <v>342</v>
      </c>
      <c r="L3004" s="157" t="s">
        <v>461</v>
      </c>
      <c r="M3004" s="157"/>
      <c r="N3004" s="157" t="s">
        <v>338</v>
      </c>
      <c r="O3004" s="157"/>
      <c r="P3004" s="173" t="s">
        <v>7203</v>
      </c>
      <c r="Q3004" s="157" t="s">
        <v>3947</v>
      </c>
      <c r="R3004" s="179" t="s">
        <v>6720</v>
      </c>
      <c r="S3004" s="354"/>
      <c r="T3004" s="173" t="s">
        <v>2611</v>
      </c>
      <c r="U3004" s="173"/>
      <c r="V3004" s="173"/>
      <c r="W3004" s="324" t="s">
        <v>7223</v>
      </c>
      <c r="X3004" s="656" t="s">
        <v>12485</v>
      </c>
      <c r="Y3004" s="363"/>
      <c r="Z3004" s="364"/>
      <c r="AA3004" s="364"/>
      <c r="AB3004" s="32">
        <f t="shared" ca="1" si="67"/>
        <v>0.99010105825247519</v>
      </c>
      <c r="AC3004" s="812"/>
      <c r="AD3004" s="763"/>
      <c r="AE3004" s="951"/>
      <c r="AF3004" s="921">
        <f>IF(X3004=X3003,AF3003,0)+IF(ISNUMBER(I3004),IF(I3004&lt;1,I3004,I3004*VLOOKUP(J3004,Summary!$H$2:$I$9,2)),VLOOKUP(J3004,Summary!$J$2:$K$9,2)*IF(ISNUMBER(H3004),H3004,1))</f>
        <v>0.2857986111111111</v>
      </c>
      <c r="AG3004" s="288">
        <v>3003</v>
      </c>
      <c r="AH3004" s="94"/>
      <c r="AI3004" s="94"/>
    </row>
    <row r="3005" spans="1:36" s="43" customFormat="1" ht="12" customHeight="1" x14ac:dyDescent="0.25">
      <c r="A3005" s="409" t="s">
        <v>7182</v>
      </c>
      <c r="B3005" s="410" t="s">
        <v>6146</v>
      </c>
      <c r="C3005" s="556">
        <v>6.09</v>
      </c>
      <c r="D3005" s="434" t="s">
        <v>7224</v>
      </c>
      <c r="E3005" s="324" t="s">
        <v>7225</v>
      </c>
      <c r="F3005" s="175">
        <v>38961</v>
      </c>
      <c r="G3005" s="176"/>
      <c r="H3005" s="176" t="s">
        <v>461</v>
      </c>
      <c r="I3005" s="176"/>
      <c r="J3005" s="900" t="s">
        <v>2755</v>
      </c>
      <c r="K3005" s="157" t="s">
        <v>2311</v>
      </c>
      <c r="L3005" s="157" t="s">
        <v>461</v>
      </c>
      <c r="M3005" s="157"/>
      <c r="N3005" s="157" t="s">
        <v>338</v>
      </c>
      <c r="O3005" s="157"/>
      <c r="P3005" s="173" t="s">
        <v>7203</v>
      </c>
      <c r="Q3005" s="157" t="s">
        <v>3947</v>
      </c>
      <c r="R3005" s="179" t="s">
        <v>6720</v>
      </c>
      <c r="S3005" s="354"/>
      <c r="T3005" s="173" t="s">
        <v>2611</v>
      </c>
      <c r="U3005" s="173"/>
      <c r="V3005" s="173"/>
      <c r="W3005" s="324" t="s">
        <v>7225</v>
      </c>
      <c r="X3005" s="656" t="s">
        <v>12485</v>
      </c>
      <c r="Y3005" s="363"/>
      <c r="Z3005" s="364"/>
      <c r="AA3005" s="364"/>
      <c r="AB3005" s="32">
        <f t="shared" ca="1" si="67"/>
        <v>0.99116604828836241</v>
      </c>
      <c r="AC3005" s="812"/>
      <c r="AD3005" s="763"/>
      <c r="AE3005" s="951"/>
      <c r="AF3005" s="921">
        <f>IF(X3005=X3004,AF3004,0)+IF(ISNUMBER(I3005),IF(I3005&lt;1,I3005,I3005*VLOOKUP(J3005,Summary!$H$2:$I$9,2)),VLOOKUP(J3005,Summary!$J$2:$K$9,2)*IF(ISNUMBER(H3005),H3005,1))</f>
        <v>0.30315972222222221</v>
      </c>
      <c r="AG3005" s="288">
        <v>3004</v>
      </c>
      <c r="AH3005" s="94"/>
      <c r="AI3005" s="94"/>
      <c r="AJ3005" s="2"/>
    </row>
    <row r="3006" spans="1:36" s="43" customFormat="1" ht="12" customHeight="1" x14ac:dyDescent="0.25">
      <c r="A3006" s="409" t="s">
        <v>7182</v>
      </c>
      <c r="B3006" s="410" t="s">
        <v>6146</v>
      </c>
      <c r="C3006" s="556">
        <v>6.1</v>
      </c>
      <c r="D3006" s="434" t="s">
        <v>3935</v>
      </c>
      <c r="E3006" s="324" t="s">
        <v>7226</v>
      </c>
      <c r="F3006" s="175">
        <v>38961</v>
      </c>
      <c r="G3006" s="176"/>
      <c r="H3006" s="176" t="s">
        <v>461</v>
      </c>
      <c r="I3006" s="176"/>
      <c r="J3006" s="900" t="s">
        <v>2755</v>
      </c>
      <c r="K3006" s="157" t="s">
        <v>2308</v>
      </c>
      <c r="L3006" s="157" t="s">
        <v>461</v>
      </c>
      <c r="M3006" s="157"/>
      <c r="N3006" s="157" t="s">
        <v>338</v>
      </c>
      <c r="O3006" s="157"/>
      <c r="P3006" s="173" t="s">
        <v>7203</v>
      </c>
      <c r="Q3006" s="157" t="s">
        <v>3947</v>
      </c>
      <c r="R3006" s="179" t="s">
        <v>6720</v>
      </c>
      <c r="S3006" s="354"/>
      <c r="T3006" s="173" t="s">
        <v>2611</v>
      </c>
      <c r="U3006" s="173"/>
      <c r="V3006" s="173"/>
      <c r="W3006" s="324" t="s">
        <v>7226</v>
      </c>
      <c r="X3006" s="656" t="s">
        <v>12485</v>
      </c>
      <c r="Y3006" s="363"/>
      <c r="Z3006" s="364"/>
      <c r="AA3006" s="364"/>
      <c r="AB3006" s="32">
        <f t="shared" ca="1" si="67"/>
        <v>0.69758643932712949</v>
      </c>
      <c r="AC3006" s="812"/>
      <c r="AD3006" s="763"/>
      <c r="AE3006" s="951"/>
      <c r="AF3006" s="921">
        <f>IF(X3006=X3005,AF3005,0)+IF(ISNUMBER(I3006),IF(I3006&lt;1,I3006,I3006*VLOOKUP(J3006,Summary!$H$2:$I$9,2)),VLOOKUP(J3006,Summary!$J$2:$K$9,2)*IF(ISNUMBER(H3006),H3006,1))</f>
        <v>0.32052083333333331</v>
      </c>
      <c r="AG3006" s="288">
        <v>3005</v>
      </c>
      <c r="AH3006" s="94"/>
      <c r="AI3006" s="94"/>
      <c r="AJ3006" s="2"/>
    </row>
    <row r="3007" spans="1:36" s="43" customFormat="1" ht="12" customHeight="1" x14ac:dyDescent="0.25">
      <c r="A3007" s="409" t="s">
        <v>7182</v>
      </c>
      <c r="B3007" s="410" t="s">
        <v>6146</v>
      </c>
      <c r="C3007" s="556">
        <v>6.11</v>
      </c>
      <c r="D3007" s="434" t="s">
        <v>7227</v>
      </c>
      <c r="E3007" s="324" t="s">
        <v>7228</v>
      </c>
      <c r="F3007" s="175">
        <v>38961</v>
      </c>
      <c r="G3007" s="176"/>
      <c r="H3007" s="176" t="s">
        <v>461</v>
      </c>
      <c r="I3007" s="176"/>
      <c r="J3007" s="900" t="s">
        <v>2755</v>
      </c>
      <c r="K3007" s="157" t="s">
        <v>3893</v>
      </c>
      <c r="L3007" s="157" t="s">
        <v>461</v>
      </c>
      <c r="M3007" s="157"/>
      <c r="N3007" s="157" t="s">
        <v>338</v>
      </c>
      <c r="O3007" s="157"/>
      <c r="P3007" s="173" t="s">
        <v>7203</v>
      </c>
      <c r="Q3007" s="157" t="s">
        <v>3947</v>
      </c>
      <c r="R3007" s="179" t="s">
        <v>6720</v>
      </c>
      <c r="S3007" s="354"/>
      <c r="T3007" s="173" t="s">
        <v>2611</v>
      </c>
      <c r="U3007" s="173"/>
      <c r="V3007" s="173"/>
      <c r="W3007" s="324" t="s">
        <v>7228</v>
      </c>
      <c r="X3007" s="656" t="s">
        <v>12485</v>
      </c>
      <c r="Y3007" s="363"/>
      <c r="Z3007" s="364"/>
      <c r="AA3007" s="364"/>
      <c r="AB3007" s="32">
        <f t="shared" ca="1" si="67"/>
        <v>0.4315759976036444</v>
      </c>
      <c r="AC3007" s="812"/>
      <c r="AD3007" s="763"/>
      <c r="AE3007" s="951"/>
      <c r="AF3007" s="921">
        <f>IF(X3007=X3006,AF3006,0)+IF(ISNUMBER(I3007),IF(I3007&lt;1,I3007,I3007*VLOOKUP(J3007,Summary!$H$2:$I$9,2)),VLOOKUP(J3007,Summary!$J$2:$K$9,2)*IF(ISNUMBER(H3007),H3007,1))</f>
        <v>0.33788194444444442</v>
      </c>
      <c r="AG3007" s="288">
        <v>3006</v>
      </c>
      <c r="AH3007" s="94"/>
      <c r="AI3007" s="94"/>
      <c r="AJ3007" s="2"/>
    </row>
    <row r="3008" spans="1:36" s="43" customFormat="1" ht="12" customHeight="1" x14ac:dyDescent="0.25">
      <c r="A3008" s="409" t="s">
        <v>7182</v>
      </c>
      <c r="B3008" s="410" t="s">
        <v>6146</v>
      </c>
      <c r="C3008" s="556">
        <v>6.12</v>
      </c>
      <c r="D3008" s="434" t="s">
        <v>7229</v>
      </c>
      <c r="E3008" s="324" t="s">
        <v>7230</v>
      </c>
      <c r="F3008" s="175">
        <v>38961</v>
      </c>
      <c r="G3008" s="176"/>
      <c r="H3008" s="176" t="s">
        <v>461</v>
      </c>
      <c r="I3008" s="176"/>
      <c r="J3008" s="900" t="s">
        <v>2755</v>
      </c>
      <c r="K3008" s="157" t="s">
        <v>3324</v>
      </c>
      <c r="L3008" s="157" t="s">
        <v>461</v>
      </c>
      <c r="M3008" s="157"/>
      <c r="N3008" s="157" t="s">
        <v>338</v>
      </c>
      <c r="O3008" s="157"/>
      <c r="P3008" s="173" t="s">
        <v>7203</v>
      </c>
      <c r="Q3008" s="157" t="s">
        <v>3947</v>
      </c>
      <c r="R3008" s="179" t="s">
        <v>6720</v>
      </c>
      <c r="S3008" s="354"/>
      <c r="T3008" s="173" t="s">
        <v>2611</v>
      </c>
      <c r="U3008" s="173"/>
      <c r="V3008" s="173"/>
      <c r="W3008" s="324" t="s">
        <v>7230</v>
      </c>
      <c r="X3008" s="656" t="s">
        <v>12485</v>
      </c>
      <c r="Y3008" s="363"/>
      <c r="Z3008" s="364"/>
      <c r="AA3008" s="364"/>
      <c r="AB3008" s="32">
        <f t="shared" ca="1" si="67"/>
        <v>7.0988622593508244E-2</v>
      </c>
      <c r="AC3008" s="812"/>
      <c r="AD3008" s="763"/>
      <c r="AE3008" s="951"/>
      <c r="AF3008" s="921">
        <f>IF(X3008=X3007,AF3007,0)+IF(ISNUMBER(I3008),IF(I3008&lt;1,I3008,I3008*VLOOKUP(J3008,Summary!$H$2:$I$9,2)),VLOOKUP(J3008,Summary!$J$2:$K$9,2)*IF(ISNUMBER(H3008),H3008,1))</f>
        <v>0.35524305555555552</v>
      </c>
      <c r="AG3008" s="288">
        <v>3007</v>
      </c>
      <c r="AH3008" s="94"/>
      <c r="AI3008" s="94"/>
      <c r="AJ3008" s="3"/>
    </row>
    <row r="3009" spans="1:36" s="43" customFormat="1" ht="12" customHeight="1" x14ac:dyDescent="0.25">
      <c r="A3009" s="409" t="s">
        <v>7182</v>
      </c>
      <c r="B3009" s="410" t="s">
        <v>6146</v>
      </c>
      <c r="C3009" s="556">
        <v>6.13</v>
      </c>
      <c r="D3009" s="434" t="s">
        <v>7231</v>
      </c>
      <c r="E3009" s="324" t="s">
        <v>3873</v>
      </c>
      <c r="F3009" s="175">
        <v>38961</v>
      </c>
      <c r="G3009" s="176"/>
      <c r="H3009" s="176" t="s">
        <v>461</v>
      </c>
      <c r="I3009" s="176"/>
      <c r="J3009" s="900" t="s">
        <v>2755</v>
      </c>
      <c r="K3009" s="157" t="s">
        <v>6353</v>
      </c>
      <c r="L3009" s="157" t="s">
        <v>461</v>
      </c>
      <c r="M3009" s="157"/>
      <c r="N3009" s="157" t="s">
        <v>338</v>
      </c>
      <c r="O3009" s="157"/>
      <c r="P3009" s="173" t="s">
        <v>7203</v>
      </c>
      <c r="Q3009" s="157" t="s">
        <v>3947</v>
      </c>
      <c r="R3009" s="179" t="s">
        <v>6720</v>
      </c>
      <c r="S3009" s="354"/>
      <c r="T3009" s="173" t="s">
        <v>2611</v>
      </c>
      <c r="U3009" s="173"/>
      <c r="V3009" s="173"/>
      <c r="W3009" s="324" t="s">
        <v>3873</v>
      </c>
      <c r="X3009" s="656" t="s">
        <v>12485</v>
      </c>
      <c r="Y3009" s="363"/>
      <c r="Z3009" s="364"/>
      <c r="AA3009" s="364"/>
      <c r="AB3009" s="32">
        <f t="shared" ca="1" si="67"/>
        <v>0.73513982481299744</v>
      </c>
      <c r="AC3009" s="812"/>
      <c r="AD3009" s="763"/>
      <c r="AE3009" s="951"/>
      <c r="AF3009" s="921">
        <f>IF(X3009=X3008,AF3008,0)+IF(ISNUMBER(I3009),IF(I3009&lt;1,I3009,I3009*VLOOKUP(J3009,Summary!$H$2:$I$9,2)),VLOOKUP(J3009,Summary!$J$2:$K$9,2)*IF(ISNUMBER(H3009),H3009,1))</f>
        <v>0.37260416666666663</v>
      </c>
      <c r="AG3009" s="288">
        <v>3008</v>
      </c>
      <c r="AH3009" s="94"/>
      <c r="AI3009" s="94"/>
    </row>
    <row r="3010" spans="1:36" s="43" customFormat="1" ht="12" customHeight="1" x14ac:dyDescent="0.25">
      <c r="A3010" s="409" t="s">
        <v>7182</v>
      </c>
      <c r="B3010" s="410" t="s">
        <v>6146</v>
      </c>
      <c r="C3010" s="556">
        <v>6.14</v>
      </c>
      <c r="D3010" s="434" t="s">
        <v>3874</v>
      </c>
      <c r="E3010" s="324" t="s">
        <v>3875</v>
      </c>
      <c r="F3010" s="175">
        <v>38961</v>
      </c>
      <c r="G3010" s="176"/>
      <c r="H3010" s="176" t="s">
        <v>461</v>
      </c>
      <c r="I3010" s="176"/>
      <c r="J3010" s="900" t="s">
        <v>2755</v>
      </c>
      <c r="K3010" s="157" t="s">
        <v>1936</v>
      </c>
      <c r="L3010" s="157" t="s">
        <v>461</v>
      </c>
      <c r="M3010" s="157"/>
      <c r="N3010" s="157" t="s">
        <v>338</v>
      </c>
      <c r="O3010" s="157"/>
      <c r="P3010" s="173" t="s">
        <v>7203</v>
      </c>
      <c r="Q3010" s="157" t="s">
        <v>3947</v>
      </c>
      <c r="R3010" s="179" t="s">
        <v>6720</v>
      </c>
      <c r="S3010" s="354"/>
      <c r="T3010" s="173" t="s">
        <v>2611</v>
      </c>
      <c r="U3010" s="173"/>
      <c r="V3010" s="173"/>
      <c r="W3010" s="324" t="s">
        <v>3875</v>
      </c>
      <c r="X3010" s="656" t="s">
        <v>12485</v>
      </c>
      <c r="Y3010" s="363"/>
      <c r="Z3010" s="364"/>
      <c r="AA3010" s="364"/>
      <c r="AB3010" s="32">
        <f t="shared" ref="AB3010:AB3073" ca="1" si="68">RAND()</f>
        <v>0.3286117507264954</v>
      </c>
      <c r="AC3010" s="812"/>
      <c r="AD3010" s="763"/>
      <c r="AE3010" s="951"/>
      <c r="AF3010" s="921">
        <f>IF(X3010=X3009,AF3009,0)+IF(ISNUMBER(I3010),IF(I3010&lt;1,I3010,I3010*VLOOKUP(J3010,Summary!$H$2:$I$9,2)),VLOOKUP(J3010,Summary!$J$2:$K$9,2)*IF(ISNUMBER(H3010),H3010,1))</f>
        <v>0.38996527777777773</v>
      </c>
      <c r="AG3010" s="288">
        <v>3009</v>
      </c>
      <c r="AH3010" s="94"/>
      <c r="AI3010" s="94"/>
    </row>
    <row r="3011" spans="1:36" s="43" customFormat="1" ht="12" customHeight="1" x14ac:dyDescent="0.25">
      <c r="A3011" s="409" t="s">
        <v>7182</v>
      </c>
      <c r="B3011" s="410" t="s">
        <v>6146</v>
      </c>
      <c r="C3011" s="556">
        <v>6.15</v>
      </c>
      <c r="D3011" s="434" t="s">
        <v>3876</v>
      </c>
      <c r="E3011" s="324" t="s">
        <v>3877</v>
      </c>
      <c r="F3011" s="175">
        <v>38961</v>
      </c>
      <c r="G3011" s="176"/>
      <c r="H3011" s="176" t="s">
        <v>461</v>
      </c>
      <c r="I3011" s="176"/>
      <c r="J3011" s="900" t="s">
        <v>2755</v>
      </c>
      <c r="K3011" s="157" t="s">
        <v>3894</v>
      </c>
      <c r="L3011" s="157" t="s">
        <v>461</v>
      </c>
      <c r="M3011" s="157"/>
      <c r="N3011" s="157" t="s">
        <v>338</v>
      </c>
      <c r="O3011" s="157"/>
      <c r="P3011" s="173" t="s">
        <v>7203</v>
      </c>
      <c r="Q3011" s="157" t="s">
        <v>3947</v>
      </c>
      <c r="R3011" s="179" t="s">
        <v>6720</v>
      </c>
      <c r="S3011" s="354"/>
      <c r="T3011" s="173" t="s">
        <v>2611</v>
      </c>
      <c r="U3011" s="173"/>
      <c r="V3011" s="173"/>
      <c r="W3011" s="324" t="s">
        <v>3877</v>
      </c>
      <c r="X3011" s="656" t="s">
        <v>12485</v>
      </c>
      <c r="Y3011" s="363"/>
      <c r="Z3011" s="364"/>
      <c r="AA3011" s="364"/>
      <c r="AB3011" s="32">
        <f t="shared" ca="1" si="68"/>
        <v>0.1996167932420202</v>
      </c>
      <c r="AC3011" s="812"/>
      <c r="AD3011" s="763"/>
      <c r="AE3011" s="951"/>
      <c r="AF3011" s="921">
        <f>IF(X3011=X3010,AF3010,0)+IF(ISNUMBER(I3011),IF(I3011&lt;1,I3011,I3011*VLOOKUP(J3011,Summary!$H$2:$I$9,2)),VLOOKUP(J3011,Summary!$J$2:$K$9,2)*IF(ISNUMBER(H3011),H3011,1))</f>
        <v>0.40732638888888884</v>
      </c>
      <c r="AG3011" s="288">
        <v>3010</v>
      </c>
      <c r="AH3011" s="94"/>
      <c r="AI3011" s="94"/>
    </row>
    <row r="3012" spans="1:36" s="43" customFormat="1" ht="12" customHeight="1" x14ac:dyDescent="0.25">
      <c r="A3012" s="409" t="s">
        <v>7182</v>
      </c>
      <c r="B3012" s="410" t="s">
        <v>6146</v>
      </c>
      <c r="C3012" s="556">
        <v>6.16</v>
      </c>
      <c r="D3012" s="434" t="s">
        <v>3878</v>
      </c>
      <c r="E3012" s="324" t="s">
        <v>3879</v>
      </c>
      <c r="F3012" s="175">
        <v>38961</v>
      </c>
      <c r="G3012" s="176"/>
      <c r="H3012" s="176" t="s">
        <v>461</v>
      </c>
      <c r="I3012" s="176"/>
      <c r="J3012" s="900" t="s">
        <v>2755</v>
      </c>
      <c r="K3012" s="157" t="s">
        <v>3324</v>
      </c>
      <c r="L3012" s="157" t="s">
        <v>461</v>
      </c>
      <c r="M3012" s="157"/>
      <c r="N3012" s="157" t="s">
        <v>338</v>
      </c>
      <c r="O3012" s="157"/>
      <c r="P3012" s="173" t="s">
        <v>7203</v>
      </c>
      <c r="Q3012" s="157" t="s">
        <v>3947</v>
      </c>
      <c r="R3012" s="179" t="s">
        <v>6720</v>
      </c>
      <c r="S3012" s="354"/>
      <c r="T3012" s="173" t="s">
        <v>2611</v>
      </c>
      <c r="U3012" s="173"/>
      <c r="V3012" s="173"/>
      <c r="W3012" s="324" t="s">
        <v>3879</v>
      </c>
      <c r="X3012" s="656" t="s">
        <v>12485</v>
      </c>
      <c r="Y3012" s="363"/>
      <c r="Z3012" s="364"/>
      <c r="AA3012" s="364"/>
      <c r="AB3012" s="32">
        <f t="shared" ca="1" si="68"/>
        <v>0.7579959579132407</v>
      </c>
      <c r="AC3012" s="812"/>
      <c r="AD3012" s="763"/>
      <c r="AE3012" s="951"/>
      <c r="AF3012" s="921">
        <f>IF(X3012=X3011,AF3011,0)+IF(ISNUMBER(I3012),IF(I3012&lt;1,I3012,I3012*VLOOKUP(J3012,Summary!$H$2:$I$9,2)),VLOOKUP(J3012,Summary!$J$2:$K$9,2)*IF(ISNUMBER(H3012),H3012,1))</f>
        <v>0.42468749999999994</v>
      </c>
      <c r="AG3012" s="288">
        <v>3011</v>
      </c>
      <c r="AH3012" s="94"/>
      <c r="AI3012" s="94"/>
    </row>
    <row r="3013" spans="1:36" s="43" customFormat="1" ht="12" customHeight="1" x14ac:dyDescent="0.25">
      <c r="A3013" s="409" t="s">
        <v>7182</v>
      </c>
      <c r="B3013" s="410" t="s">
        <v>6146</v>
      </c>
      <c r="C3013" s="556">
        <v>6.17</v>
      </c>
      <c r="D3013" s="434" t="s">
        <v>3880</v>
      </c>
      <c r="E3013" s="324" t="s">
        <v>3881</v>
      </c>
      <c r="F3013" s="175">
        <v>38961</v>
      </c>
      <c r="G3013" s="176"/>
      <c r="H3013" s="176" t="s">
        <v>461</v>
      </c>
      <c r="I3013" s="176"/>
      <c r="J3013" s="900" t="s">
        <v>2755</v>
      </c>
      <c r="K3013" s="157" t="s">
        <v>4034</v>
      </c>
      <c r="L3013" s="157" t="s">
        <v>461</v>
      </c>
      <c r="M3013" s="157"/>
      <c r="N3013" s="157" t="s">
        <v>338</v>
      </c>
      <c r="O3013" s="157"/>
      <c r="P3013" s="173" t="s">
        <v>7203</v>
      </c>
      <c r="Q3013" s="157" t="s">
        <v>3947</v>
      </c>
      <c r="R3013" s="179" t="s">
        <v>6720</v>
      </c>
      <c r="S3013" s="354"/>
      <c r="T3013" s="173" t="s">
        <v>2611</v>
      </c>
      <c r="U3013" s="173"/>
      <c r="V3013" s="173"/>
      <c r="W3013" s="324" t="s">
        <v>3881</v>
      </c>
      <c r="X3013" s="656" t="s">
        <v>12485</v>
      </c>
      <c r="Y3013" s="363"/>
      <c r="Z3013" s="364"/>
      <c r="AA3013" s="364"/>
      <c r="AB3013" s="32">
        <f t="shared" ca="1" si="68"/>
        <v>7.8445097409826858E-2</v>
      </c>
      <c r="AC3013" s="812"/>
      <c r="AD3013" s="763"/>
      <c r="AE3013" s="951"/>
      <c r="AF3013" s="921">
        <f>IF(X3013=X3012,AF3012,0)+IF(ISNUMBER(I3013),IF(I3013&lt;1,I3013,I3013*VLOOKUP(J3013,Summary!$H$2:$I$9,2)),VLOOKUP(J3013,Summary!$J$2:$K$9,2)*IF(ISNUMBER(H3013),H3013,1))</f>
        <v>0.44204861111111104</v>
      </c>
      <c r="AG3013" s="288">
        <v>3012</v>
      </c>
      <c r="AH3013" s="94"/>
      <c r="AI3013" s="94"/>
    </row>
    <row r="3014" spans="1:36" s="43" customFormat="1" ht="12" customHeight="1" x14ac:dyDescent="0.25">
      <c r="A3014" s="409" t="s">
        <v>7182</v>
      </c>
      <c r="B3014" s="410" t="s">
        <v>6146</v>
      </c>
      <c r="C3014" s="556">
        <v>6.18</v>
      </c>
      <c r="D3014" s="434" t="s">
        <v>3882</v>
      </c>
      <c r="E3014" s="324" t="s">
        <v>3883</v>
      </c>
      <c r="F3014" s="175">
        <v>38961</v>
      </c>
      <c r="G3014" s="176"/>
      <c r="H3014" s="176" t="s">
        <v>461</v>
      </c>
      <c r="I3014" s="176"/>
      <c r="J3014" s="900" t="s">
        <v>2755</v>
      </c>
      <c r="K3014" s="157" t="s">
        <v>4738</v>
      </c>
      <c r="L3014" s="157" t="s">
        <v>461</v>
      </c>
      <c r="M3014" s="157"/>
      <c r="N3014" s="157" t="s">
        <v>338</v>
      </c>
      <c r="O3014" s="157"/>
      <c r="P3014" s="173" t="s">
        <v>7203</v>
      </c>
      <c r="Q3014" s="157" t="s">
        <v>3947</v>
      </c>
      <c r="R3014" s="179" t="s">
        <v>6720</v>
      </c>
      <c r="S3014" s="354"/>
      <c r="T3014" s="173" t="s">
        <v>2611</v>
      </c>
      <c r="U3014" s="173"/>
      <c r="V3014" s="173"/>
      <c r="W3014" s="324" t="s">
        <v>3883</v>
      </c>
      <c r="X3014" s="656" t="s">
        <v>12485</v>
      </c>
      <c r="Y3014" s="363"/>
      <c r="Z3014" s="364"/>
      <c r="AA3014" s="364"/>
      <c r="AB3014" s="32">
        <f t="shared" ca="1" si="68"/>
        <v>3.3806637883537993E-2</v>
      </c>
      <c r="AC3014" s="812"/>
      <c r="AD3014" s="763"/>
      <c r="AE3014" s="951"/>
      <c r="AF3014" s="921">
        <f>IF(X3014=X3013,AF3013,0)+IF(ISNUMBER(I3014),IF(I3014&lt;1,I3014,I3014*VLOOKUP(J3014,Summary!$H$2:$I$9,2)),VLOOKUP(J3014,Summary!$J$2:$K$9,2)*IF(ISNUMBER(H3014),H3014,1))</f>
        <v>0.45940972222222215</v>
      </c>
      <c r="AG3014" s="288">
        <v>3013</v>
      </c>
      <c r="AH3014" s="94"/>
      <c r="AI3014" s="94"/>
    </row>
    <row r="3015" spans="1:36" s="43" customFormat="1" ht="12" customHeight="1" x14ac:dyDescent="0.25">
      <c r="A3015" s="409" t="s">
        <v>7182</v>
      </c>
      <c r="B3015" s="410" t="s">
        <v>6146</v>
      </c>
      <c r="C3015" s="556">
        <v>6.19</v>
      </c>
      <c r="D3015" s="434" t="s">
        <v>3884</v>
      </c>
      <c r="E3015" s="324" t="s">
        <v>3885</v>
      </c>
      <c r="F3015" s="175">
        <v>38961</v>
      </c>
      <c r="G3015" s="176"/>
      <c r="H3015" s="176" t="s">
        <v>461</v>
      </c>
      <c r="I3015" s="176"/>
      <c r="J3015" s="900" t="s">
        <v>2755</v>
      </c>
      <c r="K3015" s="157" t="s">
        <v>6833</v>
      </c>
      <c r="L3015" s="157" t="s">
        <v>461</v>
      </c>
      <c r="M3015" s="157"/>
      <c r="N3015" s="157" t="s">
        <v>338</v>
      </c>
      <c r="O3015" s="157"/>
      <c r="P3015" s="173" t="s">
        <v>7203</v>
      </c>
      <c r="Q3015" s="157" t="s">
        <v>3947</v>
      </c>
      <c r="R3015" s="179" t="s">
        <v>6720</v>
      </c>
      <c r="S3015" s="354"/>
      <c r="T3015" s="173" t="s">
        <v>2611</v>
      </c>
      <c r="U3015" s="173"/>
      <c r="V3015" s="173"/>
      <c r="W3015" s="324" t="s">
        <v>3885</v>
      </c>
      <c r="X3015" s="656" t="s">
        <v>12485</v>
      </c>
      <c r="Y3015" s="363"/>
      <c r="Z3015" s="364"/>
      <c r="AA3015" s="364"/>
      <c r="AB3015" s="32">
        <f t="shared" ca="1" si="68"/>
        <v>0.89788109753054057</v>
      </c>
      <c r="AC3015" s="812"/>
      <c r="AD3015" s="763"/>
      <c r="AE3015" s="951"/>
      <c r="AF3015" s="921">
        <f>IF(X3015=X3014,AF3014,0)+IF(ISNUMBER(I3015),IF(I3015&lt;1,I3015,I3015*VLOOKUP(J3015,Summary!$H$2:$I$9,2)),VLOOKUP(J3015,Summary!$J$2:$K$9,2)*IF(ISNUMBER(H3015),H3015,1))</f>
        <v>0.47677083333333325</v>
      </c>
      <c r="AG3015" s="288">
        <v>3014</v>
      </c>
      <c r="AH3015" s="94"/>
      <c r="AI3015" s="94"/>
    </row>
    <row r="3016" spans="1:36" s="22" customFormat="1" ht="12" customHeight="1" x14ac:dyDescent="0.25">
      <c r="A3016" s="409" t="s">
        <v>7182</v>
      </c>
      <c r="B3016" s="410" t="s">
        <v>6146</v>
      </c>
      <c r="C3016" s="556">
        <v>6.2</v>
      </c>
      <c r="D3016" s="434" t="s">
        <v>3934</v>
      </c>
      <c r="E3016" s="324" t="s">
        <v>3886</v>
      </c>
      <c r="F3016" s="175">
        <v>38961</v>
      </c>
      <c r="G3016" s="176"/>
      <c r="H3016" s="176" t="s">
        <v>461</v>
      </c>
      <c r="I3016" s="176"/>
      <c r="J3016" s="900" t="s">
        <v>2755</v>
      </c>
      <c r="K3016" s="157" t="s">
        <v>7800</v>
      </c>
      <c r="L3016" s="157" t="s">
        <v>461</v>
      </c>
      <c r="M3016" s="157"/>
      <c r="N3016" s="157" t="s">
        <v>338</v>
      </c>
      <c r="O3016" s="157"/>
      <c r="P3016" s="173" t="s">
        <v>7203</v>
      </c>
      <c r="Q3016" s="157" t="s">
        <v>3947</v>
      </c>
      <c r="R3016" s="179" t="s">
        <v>6720</v>
      </c>
      <c r="S3016" s="354"/>
      <c r="T3016" s="173" t="s">
        <v>2611</v>
      </c>
      <c r="U3016" s="173"/>
      <c r="V3016" s="173"/>
      <c r="W3016" s="324" t="s">
        <v>3886</v>
      </c>
      <c r="X3016" s="656" t="s">
        <v>12485</v>
      </c>
      <c r="Y3016" s="363"/>
      <c r="Z3016" s="364"/>
      <c r="AA3016" s="364"/>
      <c r="AB3016" s="32">
        <f t="shared" ca="1" si="68"/>
        <v>4.7287330243698134E-2</v>
      </c>
      <c r="AC3016" s="812"/>
      <c r="AD3016" s="763"/>
      <c r="AE3016" s="951"/>
      <c r="AF3016" s="921">
        <f>IF(X3016=X3015,AF3015,0)+IF(ISNUMBER(I3016),IF(I3016&lt;1,I3016,I3016*VLOOKUP(J3016,Summary!$H$2:$I$9,2)),VLOOKUP(J3016,Summary!$J$2:$K$9,2)*IF(ISNUMBER(H3016),H3016,1))</f>
        <v>0.49413194444444436</v>
      </c>
      <c r="AG3016" s="288">
        <v>3015</v>
      </c>
      <c r="AH3016" s="94"/>
      <c r="AI3016" s="94"/>
    </row>
    <row r="3017" spans="1:36" s="43" customFormat="1" ht="12" customHeight="1" x14ac:dyDescent="0.25">
      <c r="A3017" s="409" t="s">
        <v>7182</v>
      </c>
      <c r="B3017" s="410" t="s">
        <v>6146</v>
      </c>
      <c r="C3017" s="556">
        <v>6.21</v>
      </c>
      <c r="D3017" s="434" t="s">
        <v>3887</v>
      </c>
      <c r="E3017" s="324" t="s">
        <v>3888</v>
      </c>
      <c r="F3017" s="175">
        <v>38961</v>
      </c>
      <c r="G3017" s="176"/>
      <c r="H3017" s="176" t="s">
        <v>461</v>
      </c>
      <c r="I3017" s="176"/>
      <c r="J3017" s="900" t="s">
        <v>2755</v>
      </c>
      <c r="K3017" s="157" t="s">
        <v>3324</v>
      </c>
      <c r="L3017" s="157" t="s">
        <v>461</v>
      </c>
      <c r="M3017" s="157"/>
      <c r="N3017" s="157" t="s">
        <v>338</v>
      </c>
      <c r="O3017" s="157"/>
      <c r="P3017" s="173" t="s">
        <v>7203</v>
      </c>
      <c r="Q3017" s="157" t="s">
        <v>3947</v>
      </c>
      <c r="R3017" s="179" t="s">
        <v>6720</v>
      </c>
      <c r="S3017" s="354"/>
      <c r="T3017" s="173" t="s">
        <v>2611</v>
      </c>
      <c r="U3017" s="173"/>
      <c r="V3017" s="173"/>
      <c r="W3017" s="324" t="s">
        <v>3888</v>
      </c>
      <c r="X3017" s="656" t="s">
        <v>12485</v>
      </c>
      <c r="Y3017" s="363"/>
      <c r="Z3017" s="364"/>
      <c r="AA3017" s="364"/>
      <c r="AB3017" s="32">
        <f t="shared" ca="1" si="68"/>
        <v>0.99280631984065515</v>
      </c>
      <c r="AC3017" s="812"/>
      <c r="AD3017" s="763"/>
      <c r="AE3017" s="951"/>
      <c r="AF3017" s="921">
        <f>IF(X3017=X3016,AF3016,0)+IF(ISNUMBER(I3017),IF(I3017&lt;1,I3017,I3017*VLOOKUP(J3017,Summary!$H$2:$I$9,2)),VLOOKUP(J3017,Summary!$J$2:$K$9,2)*IF(ISNUMBER(H3017),H3017,1))</f>
        <v>0.51149305555555546</v>
      </c>
      <c r="AG3017" s="288">
        <v>3016</v>
      </c>
      <c r="AH3017" s="94"/>
      <c r="AI3017" s="94"/>
    </row>
    <row r="3018" spans="1:36" s="43" customFormat="1" ht="12" customHeight="1" x14ac:dyDescent="0.25">
      <c r="A3018" s="409" t="s">
        <v>7182</v>
      </c>
      <c r="B3018" s="410" t="s">
        <v>6146</v>
      </c>
      <c r="C3018" s="556">
        <v>6.22</v>
      </c>
      <c r="D3018" s="434" t="s">
        <v>3889</v>
      </c>
      <c r="E3018" s="324" t="s">
        <v>3890</v>
      </c>
      <c r="F3018" s="175">
        <v>38961</v>
      </c>
      <c r="G3018" s="176"/>
      <c r="H3018" s="176" t="s">
        <v>461</v>
      </c>
      <c r="I3018" s="176"/>
      <c r="J3018" s="900" t="s">
        <v>2755</v>
      </c>
      <c r="K3018" s="157" t="s">
        <v>4131</v>
      </c>
      <c r="L3018" s="157" t="s">
        <v>461</v>
      </c>
      <c r="M3018" s="157"/>
      <c r="N3018" s="157" t="s">
        <v>338</v>
      </c>
      <c r="O3018" s="157"/>
      <c r="P3018" s="173" t="s">
        <v>7203</v>
      </c>
      <c r="Q3018" s="157" t="s">
        <v>3947</v>
      </c>
      <c r="R3018" s="179" t="s">
        <v>6720</v>
      </c>
      <c r="S3018" s="354"/>
      <c r="T3018" s="173" t="s">
        <v>2611</v>
      </c>
      <c r="U3018" s="173"/>
      <c r="V3018" s="173"/>
      <c r="W3018" s="324" t="s">
        <v>3890</v>
      </c>
      <c r="X3018" s="656" t="s">
        <v>12485</v>
      </c>
      <c r="Y3018" s="363"/>
      <c r="Z3018" s="364"/>
      <c r="AA3018" s="364"/>
      <c r="AB3018" s="32">
        <f t="shared" ca="1" si="68"/>
        <v>0.1530871706929775</v>
      </c>
      <c r="AC3018" s="812"/>
      <c r="AD3018" s="763"/>
      <c r="AE3018" s="951"/>
      <c r="AF3018" s="921">
        <f>IF(X3018=X3017,AF3017,0)+IF(ISNUMBER(I3018),IF(I3018&lt;1,I3018,I3018*VLOOKUP(J3018,Summary!$H$2:$I$9,2)),VLOOKUP(J3018,Summary!$J$2:$K$9,2)*IF(ISNUMBER(H3018),H3018,1))</f>
        <v>0.52885416666666663</v>
      </c>
      <c r="AG3018" s="288">
        <v>3017</v>
      </c>
      <c r="AH3018" s="94"/>
      <c r="AI3018" s="94"/>
    </row>
    <row r="3019" spans="1:36" s="43" customFormat="1" ht="12" customHeight="1" x14ac:dyDescent="0.25">
      <c r="A3019" s="409" t="s">
        <v>7182</v>
      </c>
      <c r="B3019" s="410" t="s">
        <v>6146</v>
      </c>
      <c r="C3019" s="556">
        <v>6.23</v>
      </c>
      <c r="D3019" s="434" t="s">
        <v>3891</v>
      </c>
      <c r="E3019" s="324" t="s">
        <v>3892</v>
      </c>
      <c r="F3019" s="175">
        <v>38961</v>
      </c>
      <c r="G3019" s="176"/>
      <c r="H3019" s="176" t="s">
        <v>461</v>
      </c>
      <c r="I3019" s="176"/>
      <c r="J3019" s="900" t="s">
        <v>2755</v>
      </c>
      <c r="K3019" s="157" t="s">
        <v>3895</v>
      </c>
      <c r="L3019" s="157" t="s">
        <v>461</v>
      </c>
      <c r="M3019" s="157"/>
      <c r="N3019" s="157" t="s">
        <v>338</v>
      </c>
      <c r="O3019" s="157"/>
      <c r="P3019" s="173" t="s">
        <v>7203</v>
      </c>
      <c r="Q3019" s="157" t="s">
        <v>3947</v>
      </c>
      <c r="R3019" s="179" t="s">
        <v>6720</v>
      </c>
      <c r="S3019" s="354"/>
      <c r="T3019" s="173" t="s">
        <v>2611</v>
      </c>
      <c r="U3019" s="173"/>
      <c r="V3019" s="173"/>
      <c r="W3019" s="324" t="s">
        <v>3892</v>
      </c>
      <c r="X3019" s="656" t="s">
        <v>12485</v>
      </c>
      <c r="Y3019" s="363"/>
      <c r="Z3019" s="364"/>
      <c r="AA3019" s="364"/>
      <c r="AB3019" s="32">
        <f t="shared" ca="1" si="68"/>
        <v>0.69690949115475342</v>
      </c>
      <c r="AC3019" s="812"/>
      <c r="AD3019" s="763"/>
      <c r="AE3019" s="951"/>
      <c r="AF3019" s="921">
        <f>IF(X3019=X3018,AF3018,0)+IF(ISNUMBER(I3019),IF(I3019&lt;1,I3019,I3019*VLOOKUP(J3019,Summary!$H$2:$I$9,2)),VLOOKUP(J3019,Summary!$J$2:$K$9,2)*IF(ISNUMBER(H3019),H3019,1))</f>
        <v>0.54621527777777779</v>
      </c>
      <c r="AG3019" s="288">
        <v>3018</v>
      </c>
      <c r="AH3019" s="94"/>
      <c r="AI3019" s="94"/>
    </row>
    <row r="3020" spans="1:36" s="43" customFormat="1" ht="12" customHeight="1" x14ac:dyDescent="0.25">
      <c r="A3020" s="405" t="s">
        <v>7182</v>
      </c>
      <c r="B3020" s="405" t="s">
        <v>6146</v>
      </c>
      <c r="C3020" s="405">
        <v>7.4</v>
      </c>
      <c r="D3020" s="407" t="s">
        <v>7186</v>
      </c>
      <c r="E3020" s="315" t="s">
        <v>7192</v>
      </c>
      <c r="F3020" s="169">
        <v>38991</v>
      </c>
      <c r="G3020" s="170"/>
      <c r="H3020" s="170">
        <v>1</v>
      </c>
      <c r="I3020" s="746">
        <f>TIME(0,58,33)</f>
        <v>4.0659722222222222E-2</v>
      </c>
      <c r="J3020" s="899" t="s">
        <v>4706</v>
      </c>
      <c r="K3020" s="167" t="s">
        <v>5664</v>
      </c>
      <c r="L3020" s="167" t="s">
        <v>6245</v>
      </c>
      <c r="M3020" s="167"/>
      <c r="N3020" s="167"/>
      <c r="O3020" s="167" t="s">
        <v>7200</v>
      </c>
      <c r="P3020" s="168" t="s">
        <v>7199</v>
      </c>
      <c r="Q3020" s="167" t="s">
        <v>3947</v>
      </c>
      <c r="R3020" s="172" t="s">
        <v>3711</v>
      </c>
      <c r="S3020" s="388"/>
      <c r="T3020" s="168" t="s">
        <v>2611</v>
      </c>
      <c r="U3020" s="168"/>
      <c r="V3020" s="168"/>
      <c r="W3020" s="315" t="s">
        <v>7192</v>
      </c>
      <c r="X3020" s="644" t="s">
        <v>12485</v>
      </c>
      <c r="Y3020" s="352" t="s">
        <v>5398</v>
      </c>
      <c r="Z3020" s="353">
        <v>686</v>
      </c>
      <c r="AA3020" s="353">
        <v>1.5</v>
      </c>
      <c r="AB3020" s="31">
        <f t="shared" ca="1" si="68"/>
        <v>0.26770669780351553</v>
      </c>
      <c r="AC3020" s="810"/>
      <c r="AD3020" s="811" t="s">
        <v>16290</v>
      </c>
      <c r="AE3020" s="940"/>
      <c r="AF3020" s="920">
        <f>IF(X3020=X3019,AF3019,0)+IF(ISNUMBER(I3020),IF(I3020&lt;1,I3020,I3020*VLOOKUP(J3020,Summary!$H$2:$I$9,2)),VLOOKUP(J3020,Summary!$J$2:$K$9,2)*IF(ISNUMBER(H3020),H3020,1))</f>
        <v>0.58687500000000004</v>
      </c>
      <c r="AG3020" s="287">
        <v>3019</v>
      </c>
      <c r="AH3020" s="94"/>
      <c r="AI3020" s="94"/>
    </row>
    <row r="3021" spans="1:36" s="43" customFormat="1" ht="12" customHeight="1" x14ac:dyDescent="0.25">
      <c r="A3021" s="409" t="s">
        <v>7182</v>
      </c>
      <c r="B3021" s="410" t="s">
        <v>6146</v>
      </c>
      <c r="C3021" s="556">
        <v>3.02</v>
      </c>
      <c r="D3021" s="434" t="s">
        <v>3897</v>
      </c>
      <c r="E3021" s="324" t="s">
        <v>3898</v>
      </c>
      <c r="F3021" s="175">
        <v>39023</v>
      </c>
      <c r="G3021" s="176"/>
      <c r="H3021" s="176" t="s">
        <v>461</v>
      </c>
      <c r="I3021" s="176"/>
      <c r="J3021" s="900" t="s">
        <v>2755</v>
      </c>
      <c r="K3021" s="157" t="s">
        <v>6352</v>
      </c>
      <c r="L3021" s="157" t="s">
        <v>461</v>
      </c>
      <c r="M3021" s="157"/>
      <c r="N3021" s="157"/>
      <c r="O3021" s="157"/>
      <c r="P3021" s="173" t="s">
        <v>6742</v>
      </c>
      <c r="Q3021" s="157" t="s">
        <v>3947</v>
      </c>
      <c r="R3021" s="179" t="s">
        <v>6720</v>
      </c>
      <c r="S3021" s="354"/>
      <c r="T3021" s="173" t="s">
        <v>2611</v>
      </c>
      <c r="U3021" s="173"/>
      <c r="V3021" s="173"/>
      <c r="W3021" s="324" t="s">
        <v>3898</v>
      </c>
      <c r="X3021" s="656" t="s">
        <v>12485</v>
      </c>
      <c r="Y3021" s="363"/>
      <c r="Z3021" s="364"/>
      <c r="AA3021" s="364"/>
      <c r="AB3021" s="32">
        <f t="shared" ca="1" si="68"/>
        <v>0.34723432578358859</v>
      </c>
      <c r="AC3021" s="812"/>
      <c r="AD3021" s="763" t="s">
        <v>16291</v>
      </c>
      <c r="AE3021" s="951"/>
      <c r="AF3021" s="921">
        <f>IF(X3021=X3020,AF3020,0)+IF(ISNUMBER(I3021),IF(I3021&lt;1,I3021,I3021*VLOOKUP(J3021,Summary!$H$2:$I$9,2)),VLOOKUP(J3021,Summary!$J$2:$K$9,2)*IF(ISNUMBER(H3021),H3021,1))</f>
        <v>0.6042361111111112</v>
      </c>
      <c r="AG3021" s="288">
        <v>3020</v>
      </c>
      <c r="AH3021" s="94"/>
      <c r="AI3021" s="94"/>
      <c r="AJ3021" s="2"/>
    </row>
    <row r="3022" spans="1:36" s="43" customFormat="1" ht="12" customHeight="1" x14ac:dyDescent="0.25">
      <c r="A3022" s="409" t="s">
        <v>7182</v>
      </c>
      <c r="B3022" s="410" t="s">
        <v>6146</v>
      </c>
      <c r="C3022" s="556">
        <v>3.03</v>
      </c>
      <c r="D3022" s="434" t="s">
        <v>3896</v>
      </c>
      <c r="E3022" s="324" t="s">
        <v>3899</v>
      </c>
      <c r="F3022" s="175">
        <v>39023</v>
      </c>
      <c r="G3022" s="176"/>
      <c r="H3022" s="176" t="s">
        <v>461</v>
      </c>
      <c r="I3022" s="176"/>
      <c r="J3022" s="900" t="s">
        <v>2755</v>
      </c>
      <c r="K3022" s="157" t="s">
        <v>4581</v>
      </c>
      <c r="L3022" s="157" t="s">
        <v>461</v>
      </c>
      <c r="M3022" s="157"/>
      <c r="N3022" s="157"/>
      <c r="O3022" s="157"/>
      <c r="P3022" s="173" t="s">
        <v>6742</v>
      </c>
      <c r="Q3022" s="157" t="s">
        <v>3947</v>
      </c>
      <c r="R3022" s="179" t="s">
        <v>6720</v>
      </c>
      <c r="S3022" s="354"/>
      <c r="T3022" s="173" t="s">
        <v>2611</v>
      </c>
      <c r="U3022" s="173"/>
      <c r="V3022" s="173"/>
      <c r="W3022" s="324" t="s">
        <v>3899</v>
      </c>
      <c r="X3022" s="656" t="s">
        <v>12485</v>
      </c>
      <c r="Y3022" s="363"/>
      <c r="Z3022" s="364"/>
      <c r="AA3022" s="364"/>
      <c r="AB3022" s="32">
        <f t="shared" ca="1" si="68"/>
        <v>0.64778446547432866</v>
      </c>
      <c r="AC3022" s="812"/>
      <c r="AD3022" s="763" t="s">
        <v>16291</v>
      </c>
      <c r="AE3022" s="951"/>
      <c r="AF3022" s="921">
        <f>IF(X3022=X3021,AF3021,0)+IF(ISNUMBER(I3022),IF(I3022&lt;1,I3022,I3022*VLOOKUP(J3022,Summary!$H$2:$I$9,2)),VLOOKUP(J3022,Summary!$J$2:$K$9,2)*IF(ISNUMBER(H3022),H3022,1))</f>
        <v>0.62159722222222236</v>
      </c>
      <c r="AG3022" s="288">
        <v>3021</v>
      </c>
      <c r="AH3022" s="94"/>
      <c r="AI3022" s="94"/>
      <c r="AJ3022" s="2"/>
    </row>
    <row r="3023" spans="1:36" s="26" customFormat="1" ht="12" customHeight="1" x14ac:dyDescent="0.25">
      <c r="A3023" s="478" t="s">
        <v>7182</v>
      </c>
      <c r="B3023" s="478" t="s">
        <v>6146</v>
      </c>
      <c r="C3023" s="478">
        <v>11.04</v>
      </c>
      <c r="D3023" s="192" t="s">
        <v>15808</v>
      </c>
      <c r="E3023" s="317" t="s">
        <v>15809</v>
      </c>
      <c r="F3023" s="209">
        <v>43453</v>
      </c>
      <c r="G3023" s="191"/>
      <c r="H3023" s="192" t="s">
        <v>461</v>
      </c>
      <c r="I3023" s="192"/>
      <c r="J3023" s="903" t="s">
        <v>2755</v>
      </c>
      <c r="K3023" s="194" t="s">
        <v>5664</v>
      </c>
      <c r="L3023" s="194" t="s">
        <v>461</v>
      </c>
      <c r="M3023" s="194" t="s">
        <v>5662</v>
      </c>
      <c r="N3023" s="194" t="s">
        <v>4944</v>
      </c>
      <c r="O3023" s="194" t="s">
        <v>4944</v>
      </c>
      <c r="P3023" s="190" t="s">
        <v>15800</v>
      </c>
      <c r="Q3023" s="194" t="s">
        <v>3947</v>
      </c>
      <c r="R3023" s="193" t="s">
        <v>6720</v>
      </c>
      <c r="S3023" s="357"/>
      <c r="T3023" s="190" t="s">
        <v>2611</v>
      </c>
      <c r="U3023" s="190"/>
      <c r="V3023" s="190"/>
      <c r="W3023" s="317" t="s">
        <v>15809</v>
      </c>
      <c r="X3023" s="649" t="s">
        <v>12485</v>
      </c>
      <c r="Y3023" s="357"/>
      <c r="Z3023" s="192"/>
      <c r="AA3023" s="192"/>
      <c r="AB3023" s="37">
        <f t="shared" ca="1" si="68"/>
        <v>0.78593728900154269</v>
      </c>
      <c r="AC3023" s="816"/>
      <c r="AD3023" s="817"/>
      <c r="AE3023" s="943"/>
      <c r="AF3023" s="924">
        <f>IF(X3023=X3022,AF3022,0)+IF(ISNUMBER(I3023),IF(I3023&lt;1,I3023,I3023*VLOOKUP(J3023,Summary!$H$2:$I$9,2)),VLOOKUP(J3023,Summary!$J$2:$K$9,2)*IF(ISNUMBER(H3023),H3023,1))</f>
        <v>0.63895833333333352</v>
      </c>
      <c r="AG3023" s="292">
        <v>3022</v>
      </c>
      <c r="AH3023" s="94"/>
      <c r="AI3023" s="94"/>
    </row>
    <row r="3024" spans="1:36" s="43" customFormat="1" ht="12" customHeight="1" x14ac:dyDescent="0.25">
      <c r="A3024" s="405" t="s">
        <v>7182</v>
      </c>
      <c r="B3024" s="405" t="s">
        <v>6146</v>
      </c>
      <c r="C3024" s="405">
        <v>7.5</v>
      </c>
      <c r="D3024" s="407" t="s">
        <v>7187</v>
      </c>
      <c r="E3024" s="315" t="s">
        <v>7193</v>
      </c>
      <c r="F3024" s="169">
        <v>39022</v>
      </c>
      <c r="G3024" s="170"/>
      <c r="H3024" s="170">
        <v>1</v>
      </c>
      <c r="I3024" s="746">
        <f>TIME(0,72,8)</f>
        <v>5.0092592592592598E-2</v>
      </c>
      <c r="J3024" s="899" t="s">
        <v>4706</v>
      </c>
      <c r="K3024" s="167" t="s">
        <v>179</v>
      </c>
      <c r="L3024" s="167" t="s">
        <v>6245</v>
      </c>
      <c r="M3024" s="167"/>
      <c r="N3024" s="167"/>
      <c r="O3024" s="167" t="s">
        <v>7196</v>
      </c>
      <c r="P3024" s="168" t="s">
        <v>7201</v>
      </c>
      <c r="Q3024" s="167" t="s">
        <v>3947</v>
      </c>
      <c r="R3024" s="172" t="s">
        <v>3711</v>
      </c>
      <c r="S3024" s="388"/>
      <c r="T3024" s="168" t="s">
        <v>2611</v>
      </c>
      <c r="U3024" s="168"/>
      <c r="V3024" s="168"/>
      <c r="W3024" s="315" t="s">
        <v>7193</v>
      </c>
      <c r="X3024" s="644" t="s">
        <v>12485</v>
      </c>
      <c r="Y3024" s="352" t="s">
        <v>5398</v>
      </c>
      <c r="Z3024" s="353">
        <v>542</v>
      </c>
      <c r="AA3024" s="353">
        <v>3.5</v>
      </c>
      <c r="AB3024" s="31">
        <f t="shared" ca="1" si="68"/>
        <v>0.44594898925332493</v>
      </c>
      <c r="AC3024" s="810"/>
      <c r="AD3024" s="825" t="s">
        <v>15050</v>
      </c>
      <c r="AE3024" s="940"/>
      <c r="AF3024" s="920">
        <f>IF(X3024=X3023,AF3023,0)+IF(ISNUMBER(I3024),IF(I3024&lt;1,I3024,I3024*VLOOKUP(J3024,Summary!$H$2:$I$9,2)),VLOOKUP(J3024,Summary!$J$2:$K$9,2)*IF(ISNUMBER(H3024),H3024,1))</f>
        <v>0.68905092592592609</v>
      </c>
      <c r="AG3024" s="287">
        <v>3023</v>
      </c>
      <c r="AH3024" s="94"/>
      <c r="AI3024" s="94"/>
      <c r="AJ3024" s="2"/>
    </row>
    <row r="3025" spans="1:36" s="43" customFormat="1" ht="12" customHeight="1" x14ac:dyDescent="0.25">
      <c r="A3025" s="405" t="s">
        <v>7182</v>
      </c>
      <c r="B3025" s="405" t="s">
        <v>6146</v>
      </c>
      <c r="C3025" s="405">
        <v>7.6</v>
      </c>
      <c r="D3025" s="407" t="s">
        <v>7188</v>
      </c>
      <c r="E3025" s="315" t="s">
        <v>7194</v>
      </c>
      <c r="F3025" s="169">
        <v>39022</v>
      </c>
      <c r="G3025" s="170"/>
      <c r="H3025" s="170">
        <v>1</v>
      </c>
      <c r="I3025" s="746">
        <f>TIME(0,69,51)</f>
        <v>4.8506944444444443E-2</v>
      </c>
      <c r="J3025" s="899" t="s">
        <v>4706</v>
      </c>
      <c r="K3025" s="167" t="s">
        <v>6353</v>
      </c>
      <c r="L3025" s="167" t="s">
        <v>6245</v>
      </c>
      <c r="M3025" s="167"/>
      <c r="N3025" s="167"/>
      <c r="O3025" s="167" t="s">
        <v>7200</v>
      </c>
      <c r="P3025" s="168" t="s">
        <v>7202</v>
      </c>
      <c r="Q3025" s="167" t="s">
        <v>3947</v>
      </c>
      <c r="R3025" s="172" t="s">
        <v>3711</v>
      </c>
      <c r="S3025" s="388"/>
      <c r="T3025" s="168" t="s">
        <v>2611</v>
      </c>
      <c r="U3025" s="168"/>
      <c r="V3025" s="168"/>
      <c r="W3025" s="315" t="s">
        <v>7194</v>
      </c>
      <c r="X3025" s="644" t="s">
        <v>12485</v>
      </c>
      <c r="Y3025" s="352" t="s">
        <v>5398</v>
      </c>
      <c r="Z3025" s="353">
        <v>284</v>
      </c>
      <c r="AA3025" s="353">
        <v>5.5</v>
      </c>
      <c r="AB3025" s="31">
        <f t="shared" ca="1" si="68"/>
        <v>0.18309756629136642</v>
      </c>
      <c r="AC3025" s="810"/>
      <c r="AD3025" s="811" t="s">
        <v>16292</v>
      </c>
      <c r="AE3025" s="940"/>
      <c r="AF3025" s="920">
        <f>IF(X3025=X3024,AF3024,0)+IF(ISNUMBER(I3025),IF(I3025&lt;1,I3025,I3025*VLOOKUP(J3025,Summary!$H$2:$I$9,2)),VLOOKUP(J3025,Summary!$J$2:$K$9,2)*IF(ISNUMBER(H3025),H3025,1))</f>
        <v>0.73755787037037057</v>
      </c>
      <c r="AG3025" s="287">
        <v>3024</v>
      </c>
      <c r="AH3025" s="94"/>
      <c r="AI3025" s="94"/>
      <c r="AJ3025" s="2"/>
    </row>
    <row r="3026" spans="1:36" s="43" customFormat="1" ht="12" customHeight="1" x14ac:dyDescent="0.25">
      <c r="A3026" s="405" t="s">
        <v>10364</v>
      </c>
      <c r="B3026" s="405" t="s">
        <v>6146</v>
      </c>
      <c r="C3026" s="405">
        <v>8.1</v>
      </c>
      <c r="D3026" s="407" t="s">
        <v>10365</v>
      </c>
      <c r="E3026" s="315" t="s">
        <v>10366</v>
      </c>
      <c r="F3026" s="169">
        <v>39114</v>
      </c>
      <c r="G3026" s="170"/>
      <c r="H3026" s="170">
        <v>1</v>
      </c>
      <c r="I3026" s="746">
        <f>TIME(0,77,18)</f>
        <v>5.3680555555555558E-2</v>
      </c>
      <c r="J3026" s="899" t="s">
        <v>4706</v>
      </c>
      <c r="K3026" s="167" t="s">
        <v>6236</v>
      </c>
      <c r="L3026" s="167" t="s">
        <v>6245</v>
      </c>
      <c r="M3026" s="167"/>
      <c r="N3026" s="167"/>
      <c r="O3026" s="167" t="s">
        <v>5664</v>
      </c>
      <c r="P3026" s="168" t="s">
        <v>10367</v>
      </c>
      <c r="Q3026" s="167" t="s">
        <v>3947</v>
      </c>
      <c r="R3026" s="172" t="s">
        <v>3711</v>
      </c>
      <c r="S3026" s="388"/>
      <c r="T3026" s="168" t="s">
        <v>2611</v>
      </c>
      <c r="U3026" s="168"/>
      <c r="V3026" s="168"/>
      <c r="W3026" s="315" t="s">
        <v>10366</v>
      </c>
      <c r="X3026" s="644" t="s">
        <v>12486</v>
      </c>
      <c r="Y3026" s="352" t="s">
        <v>5398</v>
      </c>
      <c r="Z3026" s="353">
        <v>404</v>
      </c>
      <c r="AA3026" s="353">
        <v>4.5</v>
      </c>
      <c r="AB3026" s="31">
        <f t="shared" ca="1" si="68"/>
        <v>8.3012543574458086E-2</v>
      </c>
      <c r="AC3026" s="810"/>
      <c r="AD3026" s="811" t="s">
        <v>16292</v>
      </c>
      <c r="AE3026" s="940"/>
      <c r="AF3026" s="920">
        <f>IF(X3026=X3025,AF3025,0)+IF(ISNUMBER(I3026),IF(I3026&lt;1,I3026,I3026*VLOOKUP(J3026,Summary!$H$2:$I$9,2)),VLOOKUP(J3026,Summary!$J$2:$K$9,2)*IF(ISNUMBER(H3026),H3026,1))</f>
        <v>5.3680555555555558E-2</v>
      </c>
      <c r="AG3026" s="287">
        <v>3025</v>
      </c>
      <c r="AH3026" s="94"/>
      <c r="AI3026" s="94"/>
      <c r="AJ3026" s="2"/>
    </row>
    <row r="3027" spans="1:36" s="43" customFormat="1" ht="12" customHeight="1" x14ac:dyDescent="0.25">
      <c r="A3027" s="405" t="s">
        <v>10364</v>
      </c>
      <c r="B3027" s="405" t="s">
        <v>6146</v>
      </c>
      <c r="C3027" s="405">
        <v>8.1999999999999993</v>
      </c>
      <c r="D3027" s="407" t="s">
        <v>10368</v>
      </c>
      <c r="E3027" s="315" t="s">
        <v>10373</v>
      </c>
      <c r="F3027" s="169">
        <v>39173</v>
      </c>
      <c r="G3027" s="170"/>
      <c r="H3027" s="170">
        <v>1</v>
      </c>
      <c r="I3027" s="746">
        <f>TIME(0,73,54)</f>
        <v>5.1319444444444445E-2</v>
      </c>
      <c r="J3027" s="899" t="s">
        <v>4706</v>
      </c>
      <c r="K3027" s="167" t="s">
        <v>338</v>
      </c>
      <c r="L3027" s="167" t="s">
        <v>6245</v>
      </c>
      <c r="M3027" s="167"/>
      <c r="N3027" s="167"/>
      <c r="O3027" s="167" t="s">
        <v>5664</v>
      </c>
      <c r="P3027" s="168" t="s">
        <v>10376</v>
      </c>
      <c r="Q3027" s="167" t="s">
        <v>3947</v>
      </c>
      <c r="R3027" s="172" t="s">
        <v>3711</v>
      </c>
      <c r="S3027" s="388"/>
      <c r="T3027" s="168" t="s">
        <v>2611</v>
      </c>
      <c r="U3027" s="168"/>
      <c r="V3027" s="168"/>
      <c r="W3027" s="315" t="s">
        <v>10373</v>
      </c>
      <c r="X3027" s="644" t="s">
        <v>12486</v>
      </c>
      <c r="Y3027" s="352" t="s">
        <v>5398</v>
      </c>
      <c r="Z3027" s="353">
        <v>362</v>
      </c>
      <c r="AA3027" s="353">
        <v>5</v>
      </c>
      <c r="AB3027" s="31">
        <f t="shared" ca="1" si="68"/>
        <v>0.94468080055326831</v>
      </c>
      <c r="AC3027" s="810"/>
      <c r="AD3027" s="811" t="s">
        <v>16293</v>
      </c>
      <c r="AE3027" s="940"/>
      <c r="AF3027" s="920">
        <f>IF(X3027=X3026,AF3026,0)+IF(ISNUMBER(I3027),IF(I3027&lt;1,I3027,I3027*VLOOKUP(J3027,Summary!$H$2:$I$9,2)),VLOOKUP(J3027,Summary!$J$2:$K$9,2)*IF(ISNUMBER(H3027),H3027,1))</f>
        <v>0.10500000000000001</v>
      </c>
      <c r="AG3027" s="287">
        <v>3026</v>
      </c>
      <c r="AH3027" s="94"/>
      <c r="AI3027" s="94"/>
      <c r="AJ3027" s="2"/>
    </row>
    <row r="3028" spans="1:36" s="43" customFormat="1" ht="12" customHeight="1" x14ac:dyDescent="0.25">
      <c r="A3028" s="405" t="s">
        <v>10364</v>
      </c>
      <c r="B3028" s="405" t="s">
        <v>6146</v>
      </c>
      <c r="C3028" s="405">
        <v>8.3000000000000007</v>
      </c>
      <c r="D3028" s="407" t="s">
        <v>10369</v>
      </c>
      <c r="E3028" s="315" t="s">
        <v>10374</v>
      </c>
      <c r="F3028" s="169">
        <v>39234</v>
      </c>
      <c r="G3028" s="170"/>
      <c r="H3028" s="170">
        <v>1</v>
      </c>
      <c r="I3028" s="747">
        <f>TIME(0,60,0)</f>
        <v>4.1666666666666664E-2</v>
      </c>
      <c r="J3028" s="899" t="s">
        <v>4706</v>
      </c>
      <c r="K3028" s="167" t="s">
        <v>6353</v>
      </c>
      <c r="L3028" s="167" t="s">
        <v>6245</v>
      </c>
      <c r="M3028" s="167"/>
      <c r="N3028" s="167"/>
      <c r="O3028" s="167" t="s">
        <v>5664</v>
      </c>
      <c r="P3028" s="168" t="s">
        <v>10380</v>
      </c>
      <c r="Q3028" s="167" t="s">
        <v>3947</v>
      </c>
      <c r="R3028" s="172" t="s">
        <v>3711</v>
      </c>
      <c r="S3028" s="388"/>
      <c r="T3028" s="168" t="s">
        <v>2611</v>
      </c>
      <c r="U3028" s="168"/>
      <c r="V3028" s="168"/>
      <c r="W3028" s="315" t="s">
        <v>10374</v>
      </c>
      <c r="X3028" s="644" t="s">
        <v>12486</v>
      </c>
      <c r="Y3028" s="352" t="s">
        <v>5398</v>
      </c>
      <c r="Z3028" s="353">
        <v>435</v>
      </c>
      <c r="AA3028" s="353">
        <v>4.5</v>
      </c>
      <c r="AB3028" s="31">
        <f t="shared" ca="1" si="68"/>
        <v>0.10526888655087796</v>
      </c>
      <c r="AC3028" s="810"/>
      <c r="AD3028" s="811" t="s">
        <v>16294</v>
      </c>
      <c r="AE3028" s="940"/>
      <c r="AF3028" s="920">
        <f>IF(X3028=X3027,AF3027,0)+IF(ISNUMBER(I3028),IF(I3028&lt;1,I3028,I3028*VLOOKUP(J3028,Summary!$H$2:$I$9,2)),VLOOKUP(J3028,Summary!$J$2:$K$9,2)*IF(ISNUMBER(H3028),H3028,1))</f>
        <v>0.14666666666666667</v>
      </c>
      <c r="AG3028" s="287">
        <v>3027</v>
      </c>
      <c r="AH3028" s="94"/>
      <c r="AI3028" s="94"/>
      <c r="AJ3028" s="2"/>
    </row>
    <row r="3029" spans="1:36" s="43" customFormat="1" ht="12" customHeight="1" x14ac:dyDescent="0.25">
      <c r="A3029" s="409" t="s">
        <v>10364</v>
      </c>
      <c r="B3029" s="410" t="s">
        <v>6146</v>
      </c>
      <c r="C3029" s="556">
        <v>4.01</v>
      </c>
      <c r="D3029" s="434" t="s">
        <v>10382</v>
      </c>
      <c r="E3029" s="324" t="s">
        <v>10385</v>
      </c>
      <c r="F3029" s="175">
        <v>39297</v>
      </c>
      <c r="G3029" s="176"/>
      <c r="H3029" s="176" t="s">
        <v>461</v>
      </c>
      <c r="I3029" s="176"/>
      <c r="J3029" s="900" t="s">
        <v>2755</v>
      </c>
      <c r="K3029" s="157" t="s">
        <v>7800</v>
      </c>
      <c r="L3029" s="157" t="s">
        <v>461</v>
      </c>
      <c r="M3029" s="157"/>
      <c r="N3029" s="157"/>
      <c r="O3029" s="157"/>
      <c r="P3029" s="173" t="s">
        <v>10381</v>
      </c>
      <c r="Q3029" s="157" t="s">
        <v>3947</v>
      </c>
      <c r="R3029" s="179" t="s">
        <v>6720</v>
      </c>
      <c r="S3029" s="354"/>
      <c r="T3029" s="173" t="s">
        <v>2611</v>
      </c>
      <c r="U3029" s="173"/>
      <c r="V3029" s="173"/>
      <c r="W3029" s="324" t="s">
        <v>10385</v>
      </c>
      <c r="X3029" s="656" t="s">
        <v>12486</v>
      </c>
      <c r="Y3029" s="363"/>
      <c r="Z3029" s="364"/>
      <c r="AA3029" s="364"/>
      <c r="AB3029" s="32">
        <f t="shared" ca="1" si="68"/>
        <v>0.13887539480329225</v>
      </c>
      <c r="AC3029" s="812"/>
      <c r="AD3029" s="763" t="s">
        <v>16294</v>
      </c>
      <c r="AE3029" s="951"/>
      <c r="AF3029" s="921">
        <f>IF(X3029=X3028,AF3028,0)+IF(ISNUMBER(I3029),IF(I3029&lt;1,I3029,I3029*VLOOKUP(J3029,Summary!$H$2:$I$9,2)),VLOOKUP(J3029,Summary!$J$2:$K$9,2)*IF(ISNUMBER(H3029),H3029,1))</f>
        <v>0.16402777777777777</v>
      </c>
      <c r="AG3029" s="288">
        <v>3028</v>
      </c>
      <c r="AH3029" s="94"/>
      <c r="AI3029" s="94"/>
      <c r="AJ3029" s="2"/>
    </row>
    <row r="3030" spans="1:36" s="43" customFormat="1" ht="12" customHeight="1" x14ac:dyDescent="0.25">
      <c r="A3030" s="409" t="s">
        <v>10364</v>
      </c>
      <c r="B3030" s="410" t="s">
        <v>6146</v>
      </c>
      <c r="C3030" s="556">
        <v>4.0199999999999996</v>
      </c>
      <c r="D3030" s="434" t="s">
        <v>10383</v>
      </c>
      <c r="E3030" s="324" t="s">
        <v>10386</v>
      </c>
      <c r="F3030" s="175">
        <v>39297</v>
      </c>
      <c r="G3030" s="176"/>
      <c r="H3030" s="176" t="s">
        <v>461</v>
      </c>
      <c r="I3030" s="176"/>
      <c r="J3030" s="900" t="s">
        <v>2755</v>
      </c>
      <c r="K3030" s="157" t="s">
        <v>6874</v>
      </c>
      <c r="L3030" s="157" t="s">
        <v>461</v>
      </c>
      <c r="M3030" s="157"/>
      <c r="N3030" s="157"/>
      <c r="O3030" s="157"/>
      <c r="P3030" s="173" t="s">
        <v>10381</v>
      </c>
      <c r="Q3030" s="157" t="s">
        <v>3947</v>
      </c>
      <c r="R3030" s="179" t="s">
        <v>6720</v>
      </c>
      <c r="S3030" s="354"/>
      <c r="T3030" s="173" t="s">
        <v>2611</v>
      </c>
      <c r="U3030" s="173"/>
      <c r="V3030" s="173"/>
      <c r="W3030" s="324" t="s">
        <v>10386</v>
      </c>
      <c r="X3030" s="656" t="s">
        <v>12486</v>
      </c>
      <c r="Y3030" s="363"/>
      <c r="Z3030" s="364"/>
      <c r="AA3030" s="364"/>
      <c r="AB3030" s="32">
        <f t="shared" ca="1" si="68"/>
        <v>0.60346345450718619</v>
      </c>
      <c r="AC3030" s="812"/>
      <c r="AD3030" s="763" t="s">
        <v>16294</v>
      </c>
      <c r="AE3030" s="951"/>
      <c r="AF3030" s="921">
        <f>IF(X3030=X3029,AF3029,0)+IF(ISNUMBER(I3030),IF(I3030&lt;1,I3030,I3030*VLOOKUP(J3030,Summary!$H$2:$I$9,2)),VLOOKUP(J3030,Summary!$J$2:$K$9,2)*IF(ISNUMBER(H3030),H3030,1))</f>
        <v>0.18138888888888888</v>
      </c>
      <c r="AG3030" s="288">
        <v>3029</v>
      </c>
      <c r="AH3030" s="94"/>
      <c r="AI3030" s="94"/>
      <c r="AJ3030" s="2"/>
    </row>
    <row r="3031" spans="1:36" s="127" customFormat="1" ht="12" customHeight="1" x14ac:dyDescent="0.25">
      <c r="A3031" s="409" t="s">
        <v>10364</v>
      </c>
      <c r="B3031" s="410" t="s">
        <v>6146</v>
      </c>
      <c r="C3031" s="556">
        <v>4.03</v>
      </c>
      <c r="D3031" s="434" t="s">
        <v>10384</v>
      </c>
      <c r="E3031" s="324" t="s">
        <v>10387</v>
      </c>
      <c r="F3031" s="175">
        <v>39297</v>
      </c>
      <c r="G3031" s="176"/>
      <c r="H3031" s="176" t="s">
        <v>461</v>
      </c>
      <c r="I3031" s="176"/>
      <c r="J3031" s="900" t="s">
        <v>2755</v>
      </c>
      <c r="K3031" s="157" t="s">
        <v>3324</v>
      </c>
      <c r="L3031" s="157" t="s">
        <v>461</v>
      </c>
      <c r="M3031" s="157"/>
      <c r="N3031" s="157"/>
      <c r="O3031" s="157"/>
      <c r="P3031" s="173" t="s">
        <v>10381</v>
      </c>
      <c r="Q3031" s="157" t="s">
        <v>3947</v>
      </c>
      <c r="R3031" s="179" t="s">
        <v>6720</v>
      </c>
      <c r="S3031" s="354"/>
      <c r="T3031" s="173" t="s">
        <v>2611</v>
      </c>
      <c r="U3031" s="173"/>
      <c r="V3031" s="173"/>
      <c r="W3031" s="324" t="s">
        <v>10387</v>
      </c>
      <c r="X3031" s="656" t="s">
        <v>12486</v>
      </c>
      <c r="Y3031" s="363"/>
      <c r="Z3031" s="364"/>
      <c r="AA3031" s="364"/>
      <c r="AB3031" s="32">
        <f t="shared" ca="1" si="68"/>
        <v>0.58042868880843346</v>
      </c>
      <c r="AC3031" s="812"/>
      <c r="AD3031" s="763" t="s">
        <v>16294</v>
      </c>
      <c r="AE3031" s="951"/>
      <c r="AF3031" s="921">
        <f>IF(X3031=X3030,AF3030,0)+IF(ISNUMBER(I3031),IF(I3031&lt;1,I3031,I3031*VLOOKUP(J3031,Summary!$H$2:$I$9,2)),VLOOKUP(J3031,Summary!$J$2:$K$9,2)*IF(ISNUMBER(H3031),H3031,1))</f>
        <v>0.19874999999999998</v>
      </c>
      <c r="AG3031" s="288">
        <v>3030</v>
      </c>
      <c r="AH3031" s="126"/>
      <c r="AI3031" s="126"/>
    </row>
    <row r="3032" spans="1:36" s="22" customFormat="1" ht="12" customHeight="1" x14ac:dyDescent="0.25">
      <c r="A3032" s="474" t="s">
        <v>10364</v>
      </c>
      <c r="B3032" s="507" t="s">
        <v>6146</v>
      </c>
      <c r="C3032" s="474">
        <v>9</v>
      </c>
      <c r="D3032" s="417" t="s">
        <v>10377</v>
      </c>
      <c r="E3032" s="316" t="s">
        <v>10378</v>
      </c>
      <c r="F3032" s="187">
        <v>39203</v>
      </c>
      <c r="G3032" s="188"/>
      <c r="H3032" s="188" t="s">
        <v>461</v>
      </c>
      <c r="I3032" s="188">
        <v>216</v>
      </c>
      <c r="J3032" s="902" t="s">
        <v>6868</v>
      </c>
      <c r="K3032" s="162" t="s">
        <v>7799</v>
      </c>
      <c r="L3032" s="162" t="s">
        <v>461</v>
      </c>
      <c r="M3032" s="162"/>
      <c r="N3032" s="162"/>
      <c r="O3032" s="162"/>
      <c r="P3032" s="178" t="s">
        <v>10379</v>
      </c>
      <c r="Q3032" s="162" t="s">
        <v>3947</v>
      </c>
      <c r="R3032" s="189" t="s">
        <v>6721</v>
      </c>
      <c r="S3032" s="366"/>
      <c r="T3032" s="178" t="s">
        <v>2611</v>
      </c>
      <c r="U3032" s="178"/>
      <c r="V3032" s="178"/>
      <c r="W3032" s="316" t="s">
        <v>10378</v>
      </c>
      <c r="X3032" s="648" t="s">
        <v>12486</v>
      </c>
      <c r="Y3032" s="356"/>
      <c r="Z3032" s="272"/>
      <c r="AA3032" s="272"/>
      <c r="AB3032" s="34">
        <f t="shared" ca="1" si="68"/>
        <v>0.74480005356629053</v>
      </c>
      <c r="AC3032" s="814"/>
      <c r="AD3032" s="815" t="s">
        <v>16295</v>
      </c>
      <c r="AE3032" s="942"/>
      <c r="AF3032" s="923">
        <f>IF(X3032=X3031,AF3031,0)+IF(ISNUMBER(I3032),IF(I3032&lt;1,I3032,I3032*VLOOKUP(J3032,Summary!$H$2:$I$9,2)),VLOOKUP(J3032,Summary!$J$2:$K$9,2)*IF(ISNUMBER(H3032),H3032,1))</f>
        <v>0.34875</v>
      </c>
      <c r="AG3032" s="291">
        <v>3031</v>
      </c>
      <c r="AH3032" s="94"/>
      <c r="AI3032" s="94"/>
    </row>
    <row r="3033" spans="1:36" s="26" customFormat="1" ht="12" customHeight="1" x14ac:dyDescent="0.25">
      <c r="A3033" s="405" t="s">
        <v>10364</v>
      </c>
      <c r="B3033" s="405" t="s">
        <v>6146</v>
      </c>
      <c r="C3033" s="405">
        <v>8.4</v>
      </c>
      <c r="D3033" s="407" t="s">
        <v>10370</v>
      </c>
      <c r="E3033" s="315" t="s">
        <v>4960</v>
      </c>
      <c r="F3033" s="169">
        <v>39326</v>
      </c>
      <c r="G3033" s="170"/>
      <c r="H3033" s="170">
        <v>1</v>
      </c>
      <c r="I3033" s="747">
        <f t="shared" ref="I3033:I3040" si="69">TIME(0,60,0)</f>
        <v>4.1666666666666664E-2</v>
      </c>
      <c r="J3033" s="899" t="s">
        <v>4706</v>
      </c>
      <c r="K3033" s="167" t="s">
        <v>7799</v>
      </c>
      <c r="L3033" s="167" t="s">
        <v>5662</v>
      </c>
      <c r="M3033" s="167"/>
      <c r="N3033" s="167"/>
      <c r="O3033" s="167" t="s">
        <v>5664</v>
      </c>
      <c r="P3033" s="168" t="s">
        <v>10388</v>
      </c>
      <c r="Q3033" s="167" t="s">
        <v>3947</v>
      </c>
      <c r="R3033" s="172" t="s">
        <v>3711</v>
      </c>
      <c r="S3033" s="388"/>
      <c r="T3033" s="168" t="s">
        <v>2611</v>
      </c>
      <c r="U3033" s="168"/>
      <c r="V3033" s="168"/>
      <c r="W3033" s="315" t="s">
        <v>4960</v>
      </c>
      <c r="X3033" s="644" t="s">
        <v>12486</v>
      </c>
      <c r="Y3033" s="352" t="s">
        <v>5398</v>
      </c>
      <c r="Z3033" s="353">
        <v>97</v>
      </c>
      <c r="AA3033" s="353">
        <v>7.5</v>
      </c>
      <c r="AB3033" s="31">
        <f t="shared" ca="1" si="68"/>
        <v>0.95605748134647794</v>
      </c>
      <c r="AC3033" s="810"/>
      <c r="AD3033" s="811" t="s">
        <v>16296</v>
      </c>
      <c r="AE3033" s="940"/>
      <c r="AF3033" s="920">
        <f>IF(X3033=X3032,AF3032,0)+IF(ISNUMBER(I3033),IF(I3033&lt;1,I3033,I3033*VLOOKUP(J3033,Summary!$H$2:$I$9,2)),VLOOKUP(J3033,Summary!$J$2:$K$9,2)*IF(ISNUMBER(H3033),H3033,1))</f>
        <v>0.39041666666666669</v>
      </c>
      <c r="AG3033" s="287">
        <v>3032</v>
      </c>
      <c r="AH3033" s="94"/>
      <c r="AI3033" s="94"/>
      <c r="AJ3033" s="2"/>
    </row>
    <row r="3034" spans="1:36" s="22" customFormat="1" ht="12" customHeight="1" x14ac:dyDescent="0.2">
      <c r="A3034" s="405" t="s">
        <v>10364</v>
      </c>
      <c r="B3034" s="405" t="s">
        <v>6146</v>
      </c>
      <c r="C3034" s="405">
        <v>8.5</v>
      </c>
      <c r="D3034" s="407" t="s">
        <v>10371</v>
      </c>
      <c r="E3034" s="315" t="s">
        <v>10375</v>
      </c>
      <c r="F3034" s="169">
        <v>39356</v>
      </c>
      <c r="G3034" s="170"/>
      <c r="H3034" s="170">
        <v>1</v>
      </c>
      <c r="I3034" s="747">
        <f t="shared" si="69"/>
        <v>4.1666666666666664E-2</v>
      </c>
      <c r="J3034" s="899" t="s">
        <v>4706</v>
      </c>
      <c r="K3034" s="167" t="s">
        <v>4425</v>
      </c>
      <c r="L3034" s="167" t="s">
        <v>7375</v>
      </c>
      <c r="M3034" s="167"/>
      <c r="N3034" s="167"/>
      <c r="O3034" s="167" t="s">
        <v>5664</v>
      </c>
      <c r="P3034" s="168" t="s">
        <v>10389</v>
      </c>
      <c r="Q3034" s="167" t="s">
        <v>3947</v>
      </c>
      <c r="R3034" s="172" t="s">
        <v>3711</v>
      </c>
      <c r="S3034" s="388"/>
      <c r="T3034" s="168" t="s">
        <v>2611</v>
      </c>
      <c r="U3034" s="168"/>
      <c r="V3034" s="168"/>
      <c r="W3034" s="315" t="s">
        <v>10375</v>
      </c>
      <c r="X3034" s="644" t="s">
        <v>12486</v>
      </c>
      <c r="Y3034" s="352" t="s">
        <v>5398</v>
      </c>
      <c r="Z3034" s="353">
        <v>222</v>
      </c>
      <c r="AA3034" s="353">
        <v>6</v>
      </c>
      <c r="AB3034" s="31">
        <f t="shared" ca="1" si="68"/>
        <v>0.38162578669432079</v>
      </c>
      <c r="AC3034" s="810"/>
      <c r="AD3034" s="811" t="s">
        <v>16295</v>
      </c>
      <c r="AE3034" s="940"/>
      <c r="AF3034" s="920">
        <f>IF(X3034=X3033,AF3033,0)+IF(ISNUMBER(I3034),IF(I3034&lt;1,I3034,I3034*VLOOKUP(J3034,Summary!$H$2:$I$9,2)),VLOOKUP(J3034,Summary!$J$2:$K$9,2)*IF(ISNUMBER(H3034),H3034,1))</f>
        <v>0.43208333333333337</v>
      </c>
      <c r="AG3034" s="287">
        <v>3033</v>
      </c>
      <c r="AH3034" s="94"/>
      <c r="AI3034" s="94"/>
    </row>
    <row r="3035" spans="1:36" s="43" customFormat="1" ht="12" customHeight="1" x14ac:dyDescent="0.25">
      <c r="A3035" s="405" t="s">
        <v>10364</v>
      </c>
      <c r="B3035" s="405" t="s">
        <v>6146</v>
      </c>
      <c r="C3035" s="405">
        <v>8.6</v>
      </c>
      <c r="D3035" s="407" t="s">
        <v>10372</v>
      </c>
      <c r="E3035" s="315" t="s">
        <v>7108</v>
      </c>
      <c r="F3035" s="169">
        <v>39448</v>
      </c>
      <c r="G3035" s="170"/>
      <c r="H3035" s="170">
        <v>1</v>
      </c>
      <c r="I3035" s="747">
        <f t="shared" si="69"/>
        <v>4.1666666666666664E-2</v>
      </c>
      <c r="J3035" s="899" t="s">
        <v>4706</v>
      </c>
      <c r="K3035" s="167" t="s">
        <v>5664</v>
      </c>
      <c r="L3035" s="167" t="s">
        <v>7375</v>
      </c>
      <c r="M3035" s="167"/>
      <c r="N3035" s="167"/>
      <c r="O3035" s="167" t="s">
        <v>5664</v>
      </c>
      <c r="P3035" s="168" t="s">
        <v>10390</v>
      </c>
      <c r="Q3035" s="167" t="s">
        <v>3947</v>
      </c>
      <c r="R3035" s="172" t="s">
        <v>3711</v>
      </c>
      <c r="S3035" s="388"/>
      <c r="T3035" s="168" t="s">
        <v>2611</v>
      </c>
      <c r="U3035" s="168"/>
      <c r="V3035" s="168"/>
      <c r="W3035" s="315" t="s">
        <v>7108</v>
      </c>
      <c r="X3035" s="644" t="s">
        <v>12486</v>
      </c>
      <c r="Y3035" s="352" t="s">
        <v>5398</v>
      </c>
      <c r="Z3035" s="353">
        <v>379</v>
      </c>
      <c r="AA3035" s="353">
        <v>5</v>
      </c>
      <c r="AB3035" s="31">
        <f t="shared" ca="1" si="68"/>
        <v>0.5928069164611538</v>
      </c>
      <c r="AC3035" s="810"/>
      <c r="AD3035" s="811" t="s">
        <v>16297</v>
      </c>
      <c r="AE3035" s="940"/>
      <c r="AF3035" s="920">
        <f>IF(X3035=X3034,AF3034,0)+IF(ISNUMBER(I3035),IF(I3035&lt;1,I3035,I3035*VLOOKUP(J3035,Summary!$H$2:$I$9,2)),VLOOKUP(J3035,Summary!$J$2:$K$9,2)*IF(ISNUMBER(H3035),H3035,1))</f>
        <v>0.47375000000000006</v>
      </c>
      <c r="AG3035" s="287">
        <v>3034</v>
      </c>
      <c r="AH3035" s="94"/>
      <c r="AI3035" s="94"/>
    </row>
    <row r="3036" spans="1:36" s="2" customFormat="1" ht="12" customHeight="1" x14ac:dyDescent="0.25">
      <c r="A3036" s="405" t="s">
        <v>10391</v>
      </c>
      <c r="B3036" s="405" t="s">
        <v>6146</v>
      </c>
      <c r="C3036" s="405">
        <v>9.1</v>
      </c>
      <c r="D3036" s="407" t="s">
        <v>10392</v>
      </c>
      <c r="E3036" s="315" t="s">
        <v>10396</v>
      </c>
      <c r="F3036" s="169">
        <v>39600</v>
      </c>
      <c r="G3036" s="170"/>
      <c r="H3036" s="170">
        <v>1</v>
      </c>
      <c r="I3036" s="747">
        <f t="shared" si="69"/>
        <v>4.1666666666666664E-2</v>
      </c>
      <c r="J3036" s="899" t="s">
        <v>4706</v>
      </c>
      <c r="K3036" s="167" t="s">
        <v>6353</v>
      </c>
      <c r="L3036" s="167" t="s">
        <v>10400</v>
      </c>
      <c r="M3036" s="167"/>
      <c r="N3036" s="167"/>
      <c r="O3036" s="167" t="s">
        <v>6353</v>
      </c>
      <c r="P3036" s="168" t="s">
        <v>10401</v>
      </c>
      <c r="Q3036" s="167" t="s">
        <v>3947</v>
      </c>
      <c r="R3036" s="172" t="s">
        <v>3711</v>
      </c>
      <c r="S3036" s="388"/>
      <c r="T3036" s="168" t="s">
        <v>2611</v>
      </c>
      <c r="U3036" s="168"/>
      <c r="V3036" s="168"/>
      <c r="W3036" s="315" t="s">
        <v>10396</v>
      </c>
      <c r="X3036" s="644" t="s">
        <v>12487</v>
      </c>
      <c r="Y3036" s="352" t="s">
        <v>5398</v>
      </c>
      <c r="Z3036" s="353">
        <v>76</v>
      </c>
      <c r="AA3036" s="353">
        <v>8</v>
      </c>
      <c r="AB3036" s="31">
        <f t="shared" ca="1" si="68"/>
        <v>0.19807878463286333</v>
      </c>
      <c r="AC3036" s="810"/>
      <c r="AD3036" s="811" t="s">
        <v>16298</v>
      </c>
      <c r="AE3036" s="940"/>
      <c r="AF3036" s="920">
        <f>IF(X3036=X3035,AF3035,0)+IF(ISNUMBER(I3036),IF(I3036&lt;1,I3036,I3036*VLOOKUP(J3036,Summary!$H$2:$I$9,2)),VLOOKUP(J3036,Summary!$J$2:$K$9,2)*IF(ISNUMBER(H3036),H3036,1))</f>
        <v>4.1666666666666664E-2</v>
      </c>
      <c r="AG3036" s="287">
        <v>3035</v>
      </c>
      <c r="AH3036" s="94"/>
      <c r="AI3036" s="94"/>
      <c r="AJ3036" s="3"/>
    </row>
    <row r="3037" spans="1:36" s="3" customFormat="1" ht="12" customHeight="1" x14ac:dyDescent="0.25">
      <c r="A3037" s="405" t="s">
        <v>10391</v>
      </c>
      <c r="B3037" s="405" t="s">
        <v>6146</v>
      </c>
      <c r="C3037" s="405">
        <v>9.1999999999999993</v>
      </c>
      <c r="D3037" s="407" t="s">
        <v>10393</v>
      </c>
      <c r="E3037" s="315" t="s">
        <v>10397</v>
      </c>
      <c r="F3037" s="169">
        <v>39630</v>
      </c>
      <c r="G3037" s="170"/>
      <c r="H3037" s="170">
        <v>1</v>
      </c>
      <c r="I3037" s="747">
        <f t="shared" si="69"/>
        <v>4.1666666666666664E-2</v>
      </c>
      <c r="J3037" s="899" t="s">
        <v>4706</v>
      </c>
      <c r="K3037" s="167" t="s">
        <v>5122</v>
      </c>
      <c r="L3037" s="167" t="s">
        <v>5662</v>
      </c>
      <c r="M3037" s="167"/>
      <c r="N3037" s="167"/>
      <c r="O3037" s="167" t="s">
        <v>6353</v>
      </c>
      <c r="P3037" s="168" t="s">
        <v>10402</v>
      </c>
      <c r="Q3037" s="167" t="s">
        <v>3947</v>
      </c>
      <c r="R3037" s="172" t="s">
        <v>3711</v>
      </c>
      <c r="S3037" s="388"/>
      <c r="T3037" s="168" t="s">
        <v>2611</v>
      </c>
      <c r="U3037" s="168"/>
      <c r="V3037" s="168"/>
      <c r="W3037" s="315" t="s">
        <v>10397</v>
      </c>
      <c r="X3037" s="644" t="s">
        <v>12487</v>
      </c>
      <c r="Y3037" s="352" t="s">
        <v>5398</v>
      </c>
      <c r="Z3037" s="353">
        <v>505</v>
      </c>
      <c r="AA3037" s="353">
        <v>4</v>
      </c>
      <c r="AB3037" s="31">
        <f t="shared" ca="1" si="68"/>
        <v>0.33791083089931018</v>
      </c>
      <c r="AC3037" s="810"/>
      <c r="AD3037" s="811" t="s">
        <v>15038</v>
      </c>
      <c r="AE3037" s="940" t="s">
        <v>12543</v>
      </c>
      <c r="AF3037" s="920">
        <f>IF(X3037=X3036,AF3036,0)+IF(ISNUMBER(I3037),IF(I3037&lt;1,I3037,I3037*VLOOKUP(J3037,Summary!$H$2:$I$9,2)),VLOOKUP(J3037,Summary!$J$2:$K$9,2)*IF(ISNUMBER(H3037),H3037,1))</f>
        <v>8.3333333333333329E-2</v>
      </c>
      <c r="AG3037" s="287">
        <v>3036</v>
      </c>
      <c r="AH3037" s="94"/>
      <c r="AI3037" s="94"/>
    </row>
    <row r="3038" spans="1:36" s="56" customFormat="1" ht="12" customHeight="1" x14ac:dyDescent="0.25">
      <c r="A3038" s="405" t="s">
        <v>10391</v>
      </c>
      <c r="B3038" s="405" t="s">
        <v>6146</v>
      </c>
      <c r="C3038" s="405">
        <v>9.3000000000000007</v>
      </c>
      <c r="D3038" s="407" t="s">
        <v>10394</v>
      </c>
      <c r="E3038" s="315" t="s">
        <v>10403</v>
      </c>
      <c r="F3038" s="169">
        <v>39661</v>
      </c>
      <c r="G3038" s="170"/>
      <c r="H3038" s="170">
        <v>1</v>
      </c>
      <c r="I3038" s="747">
        <f t="shared" si="69"/>
        <v>4.1666666666666664E-2</v>
      </c>
      <c r="J3038" s="899" t="s">
        <v>4706</v>
      </c>
      <c r="K3038" s="167" t="s">
        <v>10399</v>
      </c>
      <c r="L3038" s="167" t="s">
        <v>7757</v>
      </c>
      <c r="M3038" s="167"/>
      <c r="N3038" s="167"/>
      <c r="O3038" s="167" t="s">
        <v>6353</v>
      </c>
      <c r="P3038" s="168" t="s">
        <v>10404</v>
      </c>
      <c r="Q3038" s="167" t="s">
        <v>3947</v>
      </c>
      <c r="R3038" s="172" t="s">
        <v>3711</v>
      </c>
      <c r="S3038" s="388"/>
      <c r="T3038" s="168" t="s">
        <v>2611</v>
      </c>
      <c r="U3038" s="168"/>
      <c r="V3038" s="168"/>
      <c r="W3038" s="315" t="s">
        <v>10403</v>
      </c>
      <c r="X3038" s="644" t="s">
        <v>12487</v>
      </c>
      <c r="Y3038" s="352" t="s">
        <v>5398</v>
      </c>
      <c r="Z3038" s="353">
        <v>106</v>
      </c>
      <c r="AA3038" s="353">
        <v>7.5</v>
      </c>
      <c r="AB3038" s="31">
        <f t="shared" ca="1" si="68"/>
        <v>0.2625255296294402</v>
      </c>
      <c r="AC3038" s="810"/>
      <c r="AD3038" s="811" t="s">
        <v>16640</v>
      </c>
      <c r="AE3038" s="940"/>
      <c r="AF3038" s="920">
        <f>IF(X3038=X3037,AF3037,0)+IF(ISNUMBER(I3038),IF(I3038&lt;1,I3038,I3038*VLOOKUP(J3038,Summary!$H$2:$I$9,2)),VLOOKUP(J3038,Summary!$J$2:$K$9,2)*IF(ISNUMBER(H3038),H3038,1))</f>
        <v>0.125</v>
      </c>
      <c r="AG3038" s="287">
        <v>3037</v>
      </c>
      <c r="AH3038" s="94"/>
      <c r="AI3038" s="94"/>
    </row>
    <row r="3039" spans="1:36" s="2" customFormat="1" ht="12" customHeight="1" x14ac:dyDescent="0.25">
      <c r="A3039" s="737" t="s">
        <v>10391</v>
      </c>
      <c r="B3039" s="738" t="s">
        <v>6146</v>
      </c>
      <c r="C3039" s="739"/>
      <c r="D3039" s="407" t="s">
        <v>15347</v>
      </c>
      <c r="E3039" s="315" t="s">
        <v>15934</v>
      </c>
      <c r="F3039" s="196">
        <v>43368</v>
      </c>
      <c r="G3039" s="170"/>
      <c r="H3039" s="170" t="s">
        <v>461</v>
      </c>
      <c r="I3039" s="747">
        <f t="shared" si="69"/>
        <v>4.1666666666666664E-2</v>
      </c>
      <c r="J3039" s="899" t="s">
        <v>4706</v>
      </c>
      <c r="K3039" s="167" t="s">
        <v>6353</v>
      </c>
      <c r="L3039" s="167" t="s">
        <v>179</v>
      </c>
      <c r="M3039" s="167"/>
      <c r="N3039" s="167" t="s">
        <v>1643</v>
      </c>
      <c r="O3039" s="167" t="s">
        <v>1643</v>
      </c>
      <c r="P3039" s="168" t="s">
        <v>15348</v>
      </c>
      <c r="Q3039" s="167" t="s">
        <v>3947</v>
      </c>
      <c r="R3039" s="172" t="s">
        <v>3711</v>
      </c>
      <c r="S3039" s="388"/>
      <c r="T3039" s="168" t="s">
        <v>2611</v>
      </c>
      <c r="U3039" s="168"/>
      <c r="V3039" s="168"/>
      <c r="W3039" s="315" t="s">
        <v>15934</v>
      </c>
      <c r="X3039" s="644" t="s">
        <v>12487</v>
      </c>
      <c r="Y3039" s="352"/>
      <c r="Z3039" s="353"/>
      <c r="AA3039" s="353"/>
      <c r="AB3039" s="31">
        <f t="shared" ca="1" si="68"/>
        <v>0.75883232022163516</v>
      </c>
      <c r="AC3039" s="810"/>
      <c r="AD3039" s="811"/>
      <c r="AE3039" s="940"/>
      <c r="AF3039" s="920">
        <f>IF(X3039=X3038,AF3038,0)+IF(ISNUMBER(I3039),IF(I3039&lt;1,I3039,I3039*VLOOKUP(J3039,Summary!$H$2:$I$9,2)),VLOOKUP(J3039,Summary!$J$2:$K$9,2)*IF(ISNUMBER(H3039),H3039,1))</f>
        <v>0.16666666666666666</v>
      </c>
      <c r="AG3039" s="287">
        <v>3038</v>
      </c>
      <c r="AH3039" s="94"/>
      <c r="AI3039" s="94"/>
    </row>
    <row r="3040" spans="1:36" s="1" customFormat="1" ht="12" customHeight="1" x14ac:dyDescent="0.25">
      <c r="A3040" s="405" t="s">
        <v>10391</v>
      </c>
      <c r="B3040" s="405" t="s">
        <v>6146</v>
      </c>
      <c r="C3040" s="405">
        <v>9.4</v>
      </c>
      <c r="D3040" s="407" t="s">
        <v>10395</v>
      </c>
      <c r="E3040" s="315" t="s">
        <v>10398</v>
      </c>
      <c r="F3040" s="169">
        <v>39692</v>
      </c>
      <c r="G3040" s="170"/>
      <c r="H3040" s="170">
        <v>1</v>
      </c>
      <c r="I3040" s="747">
        <f t="shared" si="69"/>
        <v>4.1666666666666664E-2</v>
      </c>
      <c r="J3040" s="899" t="s">
        <v>4706</v>
      </c>
      <c r="K3040" s="167" t="s">
        <v>7802</v>
      </c>
      <c r="L3040" s="167" t="s">
        <v>10400</v>
      </c>
      <c r="M3040" s="167"/>
      <c r="N3040" s="167"/>
      <c r="O3040" s="167" t="s">
        <v>6353</v>
      </c>
      <c r="P3040" s="168" t="s">
        <v>10405</v>
      </c>
      <c r="Q3040" s="167" t="s">
        <v>3947</v>
      </c>
      <c r="R3040" s="172" t="s">
        <v>3711</v>
      </c>
      <c r="S3040" s="388"/>
      <c r="T3040" s="168" t="s">
        <v>2611</v>
      </c>
      <c r="U3040" s="168"/>
      <c r="V3040" s="168"/>
      <c r="W3040" s="315" t="s">
        <v>10398</v>
      </c>
      <c r="X3040" s="644" t="s">
        <v>12487</v>
      </c>
      <c r="Y3040" s="352" t="s">
        <v>5398</v>
      </c>
      <c r="Z3040" s="353">
        <v>91</v>
      </c>
      <c r="AA3040" s="353">
        <v>7.5</v>
      </c>
      <c r="AB3040" s="31">
        <f t="shared" ca="1" si="68"/>
        <v>7.0208421728132242E-2</v>
      </c>
      <c r="AC3040" s="810"/>
      <c r="AD3040" s="811" t="s">
        <v>16298</v>
      </c>
      <c r="AE3040" s="940"/>
      <c r="AF3040" s="920">
        <f>IF(X3040=X3039,AF3039,0)+IF(ISNUMBER(I3040),IF(I3040&lt;1,I3040,I3040*VLOOKUP(J3040,Summary!$H$2:$I$9,2)),VLOOKUP(J3040,Summary!$J$2:$K$9,2)*IF(ISNUMBER(H3040),H3040,1))</f>
        <v>0.20833333333333331</v>
      </c>
      <c r="AG3040" s="287">
        <v>3039</v>
      </c>
      <c r="AH3040" s="94"/>
      <c r="AI3040" s="94"/>
    </row>
    <row r="3041" spans="1:35" s="3" customFormat="1" ht="12" customHeight="1" x14ac:dyDescent="0.25">
      <c r="A3041" s="408"/>
      <c r="B3041" s="408" t="s">
        <v>6146</v>
      </c>
      <c r="C3041" s="408">
        <v>5.2</v>
      </c>
      <c r="D3041" s="176" t="s">
        <v>10406</v>
      </c>
      <c r="E3041" s="313" t="s">
        <v>10407</v>
      </c>
      <c r="F3041" s="175">
        <v>39784</v>
      </c>
      <c r="G3041" s="174"/>
      <c r="H3041" s="176" t="s">
        <v>461</v>
      </c>
      <c r="I3041" s="176"/>
      <c r="J3041" s="900" t="s">
        <v>2755</v>
      </c>
      <c r="K3041" s="164" t="s">
        <v>3787</v>
      </c>
      <c r="L3041" s="164" t="s">
        <v>461</v>
      </c>
      <c r="M3041" s="164"/>
      <c r="N3041" s="164"/>
      <c r="O3041" s="164"/>
      <c r="P3041" s="173" t="s">
        <v>6744</v>
      </c>
      <c r="Q3041" s="164" t="s">
        <v>3947</v>
      </c>
      <c r="R3041" s="177" t="s">
        <v>6741</v>
      </c>
      <c r="S3041" s="354"/>
      <c r="T3041" s="173" t="s">
        <v>2611</v>
      </c>
      <c r="U3041" s="173"/>
      <c r="V3041" s="173"/>
      <c r="W3041" s="313" t="s">
        <v>10407</v>
      </c>
      <c r="X3041" s="645" t="s">
        <v>12487</v>
      </c>
      <c r="Y3041" s="354"/>
      <c r="Z3041" s="176"/>
      <c r="AA3041" s="176"/>
      <c r="AB3041" s="32">
        <f t="shared" ca="1" si="68"/>
        <v>0.5287110598796807</v>
      </c>
      <c r="AC3041" s="812"/>
      <c r="AD3041" s="763" t="s">
        <v>16593</v>
      </c>
      <c r="AE3041" s="807" t="s">
        <v>16075</v>
      </c>
      <c r="AF3041" s="921">
        <f>IF(X3041=X3040,AF3040,0)+IF(ISNUMBER(I3041),IF(I3041&lt;1,I3041,I3041*VLOOKUP(J3041,Summary!$H$2:$I$9,2)),VLOOKUP(J3041,Summary!$J$2:$K$9,2)*IF(ISNUMBER(H3041),H3041,1))</f>
        <v>0.22569444444444442</v>
      </c>
      <c r="AG3041" s="289">
        <v>3040</v>
      </c>
      <c r="AH3041" s="94"/>
      <c r="AI3041" s="94"/>
    </row>
    <row r="3042" spans="1:35" s="3" customFormat="1" ht="12" customHeight="1" x14ac:dyDescent="0.25">
      <c r="A3042" s="405" t="s">
        <v>10410</v>
      </c>
      <c r="B3042" s="405" t="s">
        <v>6146</v>
      </c>
      <c r="C3042" s="405">
        <v>10.1</v>
      </c>
      <c r="D3042" s="407" t="s">
        <v>10412</v>
      </c>
      <c r="E3042" s="315" t="s">
        <v>10420</v>
      </c>
      <c r="F3042" s="169">
        <v>39965</v>
      </c>
      <c r="G3042" s="170"/>
      <c r="H3042" s="170">
        <v>1</v>
      </c>
      <c r="I3042" s="747">
        <f>TIME(0,60,0)</f>
        <v>4.1666666666666664E-2</v>
      </c>
      <c r="J3042" s="899" t="s">
        <v>4706</v>
      </c>
      <c r="K3042" s="167" t="s">
        <v>338</v>
      </c>
      <c r="L3042" s="167" t="s">
        <v>6231</v>
      </c>
      <c r="M3042" s="167"/>
      <c r="N3042" s="167"/>
      <c r="O3042" s="167" t="s">
        <v>6231</v>
      </c>
      <c r="P3042" s="168" t="s">
        <v>10430</v>
      </c>
      <c r="Q3042" s="167" t="s">
        <v>3947</v>
      </c>
      <c r="R3042" s="172" t="s">
        <v>3711</v>
      </c>
      <c r="S3042" s="388"/>
      <c r="T3042" s="168" t="s">
        <v>2611</v>
      </c>
      <c r="U3042" s="168"/>
      <c r="V3042" s="168"/>
      <c r="W3042" s="315" t="s">
        <v>10420</v>
      </c>
      <c r="X3042" s="644" t="s">
        <v>12487</v>
      </c>
      <c r="Y3042" s="352" t="s">
        <v>5398</v>
      </c>
      <c r="Z3042" s="353">
        <v>321</v>
      </c>
      <c r="AA3042" s="353">
        <v>5</v>
      </c>
      <c r="AB3042" s="31">
        <f t="shared" ca="1" si="68"/>
        <v>0.78110789747691078</v>
      </c>
      <c r="AC3042" s="810"/>
      <c r="AD3042" s="811" t="s">
        <v>16299</v>
      </c>
      <c r="AE3042" s="940" t="s">
        <v>15093</v>
      </c>
      <c r="AF3042" s="920">
        <f>IF(X3042=X3041,AF3041,0)+IF(ISNUMBER(I3042),IF(I3042&lt;1,I3042,I3042*VLOOKUP(J3042,Summary!$H$2:$I$9,2)),VLOOKUP(J3042,Summary!$J$2:$K$9,2)*IF(ISNUMBER(H3042),H3042,1))</f>
        <v>0.2673611111111111</v>
      </c>
      <c r="AG3042" s="287">
        <v>3041</v>
      </c>
      <c r="AH3042" s="94"/>
      <c r="AI3042" s="94"/>
    </row>
    <row r="3043" spans="1:35" s="3" customFormat="1" ht="12" customHeight="1" x14ac:dyDescent="0.25">
      <c r="A3043" s="405" t="s">
        <v>10410</v>
      </c>
      <c r="B3043" s="405" t="s">
        <v>6146</v>
      </c>
      <c r="C3043" s="405">
        <v>10.199999999999999</v>
      </c>
      <c r="D3043" s="407" t="s">
        <v>10413</v>
      </c>
      <c r="E3043" s="315" t="s">
        <v>10421</v>
      </c>
      <c r="F3043" s="169">
        <v>39995</v>
      </c>
      <c r="G3043" s="170"/>
      <c r="H3043" s="170">
        <v>1</v>
      </c>
      <c r="I3043" s="747">
        <f>TIME(0,60,0)</f>
        <v>4.1666666666666664E-2</v>
      </c>
      <c r="J3043" s="899" t="s">
        <v>4706</v>
      </c>
      <c r="K3043" s="167" t="s">
        <v>6236</v>
      </c>
      <c r="L3043" s="167" t="s">
        <v>6231</v>
      </c>
      <c r="M3043" s="167"/>
      <c r="N3043" s="167"/>
      <c r="O3043" s="167" t="s">
        <v>6231</v>
      </c>
      <c r="P3043" s="168" t="s">
        <v>10431</v>
      </c>
      <c r="Q3043" s="167" t="s">
        <v>3947</v>
      </c>
      <c r="R3043" s="172" t="s">
        <v>3711</v>
      </c>
      <c r="S3043" s="388"/>
      <c r="T3043" s="168" t="s">
        <v>2611</v>
      </c>
      <c r="U3043" s="168"/>
      <c r="V3043" s="168"/>
      <c r="W3043" s="315" t="s">
        <v>10421</v>
      </c>
      <c r="X3043" s="644" t="s">
        <v>12487</v>
      </c>
      <c r="Y3043" s="352" t="s">
        <v>5398</v>
      </c>
      <c r="Z3043" s="353">
        <v>328</v>
      </c>
      <c r="AA3043" s="353">
        <v>5</v>
      </c>
      <c r="AB3043" s="31">
        <f t="shared" ca="1" si="68"/>
        <v>0.10972967633940067</v>
      </c>
      <c r="AC3043" s="810"/>
      <c r="AD3043" s="811" t="s">
        <v>16299</v>
      </c>
      <c r="AE3043" s="940"/>
      <c r="AF3043" s="920">
        <f>IF(X3043=X3042,AF3042,0)+IF(ISNUMBER(I3043),IF(I3043&lt;1,I3043,I3043*VLOOKUP(J3043,Summary!$H$2:$I$9,2)),VLOOKUP(J3043,Summary!$J$2:$K$9,2)*IF(ISNUMBER(H3043),H3043,1))</f>
        <v>0.30902777777777779</v>
      </c>
      <c r="AG3043" s="287">
        <v>3042</v>
      </c>
      <c r="AH3043" s="94"/>
      <c r="AI3043" s="94"/>
    </row>
    <row r="3044" spans="1:35" s="3" customFormat="1" ht="12" customHeight="1" x14ac:dyDescent="0.25">
      <c r="A3044" s="405" t="s">
        <v>10410</v>
      </c>
      <c r="B3044" s="405" t="s">
        <v>6146</v>
      </c>
      <c r="C3044" s="405">
        <v>10.3</v>
      </c>
      <c r="D3044" s="407" t="s">
        <v>10414</v>
      </c>
      <c r="E3044" s="315" t="s">
        <v>10422</v>
      </c>
      <c r="F3044" s="169">
        <v>40026</v>
      </c>
      <c r="G3044" s="170"/>
      <c r="H3044" s="170">
        <v>1</v>
      </c>
      <c r="I3044" s="747">
        <f>TIME(0,60,0)</f>
        <v>4.1666666666666664E-2</v>
      </c>
      <c r="J3044" s="899" t="s">
        <v>4706</v>
      </c>
      <c r="K3044" s="167" t="s">
        <v>10428</v>
      </c>
      <c r="L3044" s="167" t="s">
        <v>6231</v>
      </c>
      <c r="M3044" s="167"/>
      <c r="N3044" s="167"/>
      <c r="O3044" s="167" t="s">
        <v>6231</v>
      </c>
      <c r="P3044" s="168" t="s">
        <v>10432</v>
      </c>
      <c r="Q3044" s="167" t="s">
        <v>3947</v>
      </c>
      <c r="R3044" s="172" t="s">
        <v>3711</v>
      </c>
      <c r="S3044" s="388"/>
      <c r="T3044" s="168" t="s">
        <v>2611</v>
      </c>
      <c r="U3044" s="168"/>
      <c r="V3044" s="168"/>
      <c r="W3044" s="315" t="s">
        <v>10422</v>
      </c>
      <c r="X3044" s="644" t="s">
        <v>12487</v>
      </c>
      <c r="Y3044" s="352" t="s">
        <v>5398</v>
      </c>
      <c r="Z3044" s="353">
        <v>426</v>
      </c>
      <c r="AA3044" s="353">
        <v>4.5</v>
      </c>
      <c r="AB3044" s="31">
        <f t="shared" ca="1" si="68"/>
        <v>0.25894800655388928</v>
      </c>
      <c r="AC3044" s="810"/>
      <c r="AD3044" s="811" t="s">
        <v>16299</v>
      </c>
      <c r="AE3044" s="940"/>
      <c r="AF3044" s="920">
        <f>IF(X3044=X3043,AF3043,0)+IF(ISNUMBER(I3044),IF(I3044&lt;1,I3044,I3044*VLOOKUP(J3044,Summary!$H$2:$I$9,2)),VLOOKUP(J3044,Summary!$J$2:$K$9,2)*IF(ISNUMBER(H3044),H3044,1))</f>
        <v>0.35069444444444448</v>
      </c>
      <c r="AG3044" s="287">
        <v>3043</v>
      </c>
      <c r="AH3044" s="94"/>
      <c r="AI3044" s="94"/>
    </row>
    <row r="3045" spans="1:35" s="1" customFormat="1" ht="12" customHeight="1" x14ac:dyDescent="0.25">
      <c r="A3045" s="405" t="s">
        <v>10410</v>
      </c>
      <c r="B3045" s="405" t="s">
        <v>6146</v>
      </c>
      <c r="C3045" s="405">
        <v>10.4</v>
      </c>
      <c r="D3045" s="407" t="s">
        <v>10415</v>
      </c>
      <c r="E3045" s="315" t="s">
        <v>10423</v>
      </c>
      <c r="F3045" s="169">
        <v>40057</v>
      </c>
      <c r="G3045" s="170"/>
      <c r="H3045" s="170">
        <v>1</v>
      </c>
      <c r="I3045" s="747">
        <f>TIME(0,60,0)</f>
        <v>4.1666666666666664E-2</v>
      </c>
      <c r="J3045" s="899" t="s">
        <v>4706</v>
      </c>
      <c r="K3045" s="167" t="s">
        <v>6353</v>
      </c>
      <c r="L3045" s="167" t="s">
        <v>6231</v>
      </c>
      <c r="M3045" s="167"/>
      <c r="N3045" s="167"/>
      <c r="O3045" s="167" t="s">
        <v>6231</v>
      </c>
      <c r="P3045" s="168" t="s">
        <v>10433</v>
      </c>
      <c r="Q3045" s="167" t="s">
        <v>3947</v>
      </c>
      <c r="R3045" s="172" t="s">
        <v>3711</v>
      </c>
      <c r="S3045" s="388"/>
      <c r="T3045" s="168" t="s">
        <v>2611</v>
      </c>
      <c r="U3045" s="168"/>
      <c r="V3045" s="168"/>
      <c r="W3045" s="315" t="s">
        <v>10423</v>
      </c>
      <c r="X3045" s="644" t="s">
        <v>12487</v>
      </c>
      <c r="Y3045" s="352" t="s">
        <v>5398</v>
      </c>
      <c r="Z3045" s="353">
        <v>134</v>
      </c>
      <c r="AA3045" s="353">
        <v>7</v>
      </c>
      <c r="AB3045" s="31">
        <f t="shared" ca="1" si="68"/>
        <v>0.64245170802193285</v>
      </c>
      <c r="AC3045" s="810"/>
      <c r="AD3045" s="811" t="s">
        <v>16715</v>
      </c>
      <c r="AE3045" s="940"/>
      <c r="AF3045" s="920">
        <f>IF(X3045=X3044,AF3044,0)+IF(ISNUMBER(I3045),IF(I3045&lt;1,I3045,I3045*VLOOKUP(J3045,Summary!$H$2:$I$9,2)),VLOOKUP(J3045,Summary!$J$2:$K$9,2)*IF(ISNUMBER(H3045),H3045,1))</f>
        <v>0.39236111111111116</v>
      </c>
      <c r="AG3045" s="287">
        <v>3044</v>
      </c>
      <c r="AH3045" s="94"/>
      <c r="AI3045" s="94"/>
    </row>
    <row r="3046" spans="1:35" s="1" customFormat="1" ht="12" customHeight="1" x14ac:dyDescent="0.25">
      <c r="A3046" s="409" t="s">
        <v>10410</v>
      </c>
      <c r="B3046" s="410" t="s">
        <v>6146</v>
      </c>
      <c r="C3046" s="556">
        <v>8.01</v>
      </c>
      <c r="D3046" s="434" t="s">
        <v>10435</v>
      </c>
      <c r="E3046" s="324" t="s">
        <v>10444</v>
      </c>
      <c r="F3046" s="175">
        <v>40148</v>
      </c>
      <c r="G3046" s="176"/>
      <c r="H3046" s="176" t="s">
        <v>461</v>
      </c>
      <c r="I3046" s="176"/>
      <c r="J3046" s="900" t="s">
        <v>2755</v>
      </c>
      <c r="K3046" s="157" t="s">
        <v>2311</v>
      </c>
      <c r="L3046" s="157" t="s">
        <v>461</v>
      </c>
      <c r="M3046" s="157"/>
      <c r="N3046" s="157" t="s">
        <v>340</v>
      </c>
      <c r="O3046" s="157"/>
      <c r="P3046" s="173" t="s">
        <v>10434</v>
      </c>
      <c r="Q3046" s="157" t="s">
        <v>3947</v>
      </c>
      <c r="R3046" s="179" t="s">
        <v>6720</v>
      </c>
      <c r="S3046" s="354"/>
      <c r="T3046" s="173" t="s">
        <v>2611</v>
      </c>
      <c r="U3046" s="173"/>
      <c r="V3046" s="173"/>
      <c r="W3046" s="324" t="s">
        <v>10444</v>
      </c>
      <c r="X3046" s="656" t="s">
        <v>12487</v>
      </c>
      <c r="Y3046" s="363"/>
      <c r="Z3046" s="364"/>
      <c r="AA3046" s="364"/>
      <c r="AB3046" s="32">
        <f t="shared" ca="1" si="68"/>
        <v>0.30701277239763647</v>
      </c>
      <c r="AC3046" s="812"/>
      <c r="AD3046" s="763"/>
      <c r="AE3046" s="951"/>
      <c r="AF3046" s="921">
        <f>IF(X3046=X3045,AF3045,0)+IF(ISNUMBER(I3046),IF(I3046&lt;1,I3046,I3046*VLOOKUP(J3046,Summary!$H$2:$I$9,2)),VLOOKUP(J3046,Summary!$J$2:$K$9,2)*IF(ISNUMBER(H3046),H3046,1))</f>
        <v>0.40972222222222227</v>
      </c>
      <c r="AG3046" s="288">
        <v>3045</v>
      </c>
      <c r="AH3046" s="94"/>
      <c r="AI3046" s="94"/>
    </row>
    <row r="3047" spans="1:35" s="1" customFormat="1" ht="12" customHeight="1" x14ac:dyDescent="0.25">
      <c r="A3047" s="409" t="s">
        <v>10410</v>
      </c>
      <c r="B3047" s="410" t="s">
        <v>6146</v>
      </c>
      <c r="C3047" s="556">
        <v>8.02</v>
      </c>
      <c r="D3047" s="434" t="s">
        <v>10436</v>
      </c>
      <c r="E3047" s="324" t="s">
        <v>10445</v>
      </c>
      <c r="F3047" s="175">
        <v>40148</v>
      </c>
      <c r="G3047" s="176"/>
      <c r="H3047" s="176" t="s">
        <v>461</v>
      </c>
      <c r="I3047" s="176"/>
      <c r="J3047" s="900" t="s">
        <v>2755</v>
      </c>
      <c r="K3047" s="157" t="s">
        <v>2994</v>
      </c>
      <c r="L3047" s="157" t="s">
        <v>461</v>
      </c>
      <c r="M3047" s="157"/>
      <c r="N3047" s="157" t="s">
        <v>340</v>
      </c>
      <c r="O3047" s="157"/>
      <c r="P3047" s="173" t="s">
        <v>10434</v>
      </c>
      <c r="Q3047" s="157" t="s">
        <v>3947</v>
      </c>
      <c r="R3047" s="179" t="s">
        <v>6720</v>
      </c>
      <c r="S3047" s="354"/>
      <c r="T3047" s="173" t="s">
        <v>2611</v>
      </c>
      <c r="U3047" s="173"/>
      <c r="V3047" s="173"/>
      <c r="W3047" s="324" t="s">
        <v>10445</v>
      </c>
      <c r="X3047" s="656" t="s">
        <v>12487</v>
      </c>
      <c r="Y3047" s="363"/>
      <c r="Z3047" s="364"/>
      <c r="AA3047" s="364"/>
      <c r="AB3047" s="32">
        <f t="shared" ca="1" si="68"/>
        <v>0.36914210039918116</v>
      </c>
      <c r="AC3047" s="812"/>
      <c r="AD3047" s="763"/>
      <c r="AE3047" s="951"/>
      <c r="AF3047" s="921">
        <f>IF(X3047=X3046,AF3046,0)+IF(ISNUMBER(I3047),IF(I3047&lt;1,I3047,I3047*VLOOKUP(J3047,Summary!$H$2:$I$9,2)),VLOOKUP(J3047,Summary!$J$2:$K$9,2)*IF(ISNUMBER(H3047),H3047,1))</f>
        <v>0.42708333333333337</v>
      </c>
      <c r="AG3047" s="288">
        <v>3046</v>
      </c>
      <c r="AH3047" s="94"/>
      <c r="AI3047" s="94"/>
    </row>
    <row r="3048" spans="1:35" s="3" customFormat="1" ht="12" customHeight="1" x14ac:dyDescent="0.25">
      <c r="A3048" s="409" t="s">
        <v>10410</v>
      </c>
      <c r="B3048" s="410" t="s">
        <v>6146</v>
      </c>
      <c r="C3048" s="556">
        <v>8.0299999999999994</v>
      </c>
      <c r="D3048" s="434" t="s">
        <v>10437</v>
      </c>
      <c r="E3048" s="324" t="s">
        <v>10446</v>
      </c>
      <c r="F3048" s="175">
        <v>40148</v>
      </c>
      <c r="G3048" s="176"/>
      <c r="H3048" s="176" t="s">
        <v>461</v>
      </c>
      <c r="I3048" s="176"/>
      <c r="J3048" s="900" t="s">
        <v>2755</v>
      </c>
      <c r="K3048" s="157" t="s">
        <v>10399</v>
      </c>
      <c r="L3048" s="157" t="s">
        <v>461</v>
      </c>
      <c r="M3048" s="157"/>
      <c r="N3048" s="157" t="s">
        <v>340</v>
      </c>
      <c r="O3048" s="157"/>
      <c r="P3048" s="173" t="s">
        <v>10434</v>
      </c>
      <c r="Q3048" s="157" t="s">
        <v>3947</v>
      </c>
      <c r="R3048" s="179" t="s">
        <v>6720</v>
      </c>
      <c r="S3048" s="354"/>
      <c r="T3048" s="173" t="s">
        <v>2611</v>
      </c>
      <c r="U3048" s="173"/>
      <c r="V3048" s="173"/>
      <c r="W3048" s="324" t="s">
        <v>10446</v>
      </c>
      <c r="X3048" s="656" t="s">
        <v>12487</v>
      </c>
      <c r="Y3048" s="363"/>
      <c r="Z3048" s="364"/>
      <c r="AA3048" s="364"/>
      <c r="AB3048" s="32">
        <f t="shared" ca="1" si="68"/>
        <v>7.3274508075385825E-2</v>
      </c>
      <c r="AC3048" s="812"/>
      <c r="AD3048" s="763"/>
      <c r="AE3048" s="951"/>
      <c r="AF3048" s="921">
        <f>IF(X3048=X3047,AF3047,0)+IF(ISNUMBER(I3048),IF(I3048&lt;1,I3048,I3048*VLOOKUP(J3048,Summary!$H$2:$I$9,2)),VLOOKUP(J3048,Summary!$J$2:$K$9,2)*IF(ISNUMBER(H3048),H3048,1))</f>
        <v>0.44444444444444448</v>
      </c>
      <c r="AG3048" s="288">
        <v>3047</v>
      </c>
      <c r="AH3048" s="94"/>
      <c r="AI3048" s="94"/>
    </row>
    <row r="3049" spans="1:35" s="3" customFormat="1" ht="12" customHeight="1" x14ac:dyDescent="0.25">
      <c r="A3049" s="409" t="s">
        <v>10410</v>
      </c>
      <c r="B3049" s="410" t="s">
        <v>6146</v>
      </c>
      <c r="C3049" s="556">
        <v>8.0399999999999991</v>
      </c>
      <c r="D3049" s="434" t="s">
        <v>10438</v>
      </c>
      <c r="E3049" s="324" t="s">
        <v>10447</v>
      </c>
      <c r="F3049" s="175">
        <v>40148</v>
      </c>
      <c r="G3049" s="176"/>
      <c r="H3049" s="176" t="s">
        <v>461</v>
      </c>
      <c r="I3049" s="176"/>
      <c r="J3049" s="900" t="s">
        <v>2755</v>
      </c>
      <c r="K3049" s="157" t="s">
        <v>6353</v>
      </c>
      <c r="L3049" s="157" t="s">
        <v>461</v>
      </c>
      <c r="M3049" s="157"/>
      <c r="N3049" s="157" t="s">
        <v>340</v>
      </c>
      <c r="O3049" s="157"/>
      <c r="P3049" s="173" t="s">
        <v>10434</v>
      </c>
      <c r="Q3049" s="157" t="s">
        <v>3947</v>
      </c>
      <c r="R3049" s="179" t="s">
        <v>6720</v>
      </c>
      <c r="S3049" s="354"/>
      <c r="T3049" s="173" t="s">
        <v>2611</v>
      </c>
      <c r="U3049" s="173"/>
      <c r="V3049" s="173"/>
      <c r="W3049" s="324" t="s">
        <v>10447</v>
      </c>
      <c r="X3049" s="656" t="s">
        <v>12487</v>
      </c>
      <c r="Y3049" s="363"/>
      <c r="Z3049" s="364"/>
      <c r="AA3049" s="364"/>
      <c r="AB3049" s="32">
        <f t="shared" ca="1" si="68"/>
        <v>0.77243043841794845</v>
      </c>
      <c r="AC3049" s="812"/>
      <c r="AD3049" s="763"/>
      <c r="AE3049" s="951"/>
      <c r="AF3049" s="921">
        <f>IF(X3049=X3048,AF3048,0)+IF(ISNUMBER(I3049),IF(I3049&lt;1,I3049,I3049*VLOOKUP(J3049,Summary!$H$2:$I$9,2)),VLOOKUP(J3049,Summary!$J$2:$K$9,2)*IF(ISNUMBER(H3049),H3049,1))</f>
        <v>0.46180555555555558</v>
      </c>
      <c r="AG3049" s="288">
        <v>3048</v>
      </c>
      <c r="AH3049" s="94"/>
      <c r="AI3049" s="94"/>
    </row>
    <row r="3050" spans="1:35" s="22" customFormat="1" ht="12" customHeight="1" x14ac:dyDescent="0.25">
      <c r="A3050" s="409" t="s">
        <v>10410</v>
      </c>
      <c r="B3050" s="410" t="s">
        <v>6146</v>
      </c>
      <c r="C3050" s="556">
        <v>8.0500000000000007</v>
      </c>
      <c r="D3050" s="434" t="s">
        <v>10439</v>
      </c>
      <c r="E3050" s="324" t="s">
        <v>10448</v>
      </c>
      <c r="F3050" s="175">
        <v>40148</v>
      </c>
      <c r="G3050" s="176"/>
      <c r="H3050" s="176" t="s">
        <v>461</v>
      </c>
      <c r="I3050" s="176"/>
      <c r="J3050" s="900" t="s">
        <v>2755</v>
      </c>
      <c r="K3050" s="157" t="s">
        <v>10453</v>
      </c>
      <c r="L3050" s="157" t="s">
        <v>461</v>
      </c>
      <c r="M3050" s="157"/>
      <c r="N3050" s="157" t="s">
        <v>340</v>
      </c>
      <c r="O3050" s="157"/>
      <c r="P3050" s="173" t="s">
        <v>10434</v>
      </c>
      <c r="Q3050" s="157" t="s">
        <v>3947</v>
      </c>
      <c r="R3050" s="179" t="s">
        <v>6720</v>
      </c>
      <c r="S3050" s="354"/>
      <c r="T3050" s="173" t="s">
        <v>2611</v>
      </c>
      <c r="U3050" s="173"/>
      <c r="V3050" s="173"/>
      <c r="W3050" s="324" t="s">
        <v>10448</v>
      </c>
      <c r="X3050" s="656" t="s">
        <v>12487</v>
      </c>
      <c r="Y3050" s="363"/>
      <c r="Z3050" s="364"/>
      <c r="AA3050" s="364"/>
      <c r="AB3050" s="32">
        <f t="shared" ca="1" si="68"/>
        <v>0.36998912311989174</v>
      </c>
      <c r="AC3050" s="812"/>
      <c r="AD3050" s="763"/>
      <c r="AE3050" s="951"/>
      <c r="AF3050" s="921">
        <f>IF(X3050=X3049,AF3049,0)+IF(ISNUMBER(I3050),IF(I3050&lt;1,I3050,I3050*VLOOKUP(J3050,Summary!$H$2:$I$9,2)),VLOOKUP(J3050,Summary!$J$2:$K$9,2)*IF(ISNUMBER(H3050),H3050,1))</f>
        <v>0.47916666666666669</v>
      </c>
      <c r="AG3050" s="288">
        <v>3049</v>
      </c>
      <c r="AH3050" s="94"/>
      <c r="AI3050" s="94"/>
    </row>
    <row r="3051" spans="1:35" s="22" customFormat="1" ht="12" customHeight="1" x14ac:dyDescent="0.25">
      <c r="A3051" s="409" t="s">
        <v>10410</v>
      </c>
      <c r="B3051" s="410" t="s">
        <v>6146</v>
      </c>
      <c r="C3051" s="556">
        <v>8.06</v>
      </c>
      <c r="D3051" s="434" t="s">
        <v>10440</v>
      </c>
      <c r="E3051" s="324" t="s">
        <v>10449</v>
      </c>
      <c r="F3051" s="175">
        <v>40148</v>
      </c>
      <c r="G3051" s="176"/>
      <c r="H3051" s="176" t="s">
        <v>461</v>
      </c>
      <c r="I3051" s="176"/>
      <c r="J3051" s="900" t="s">
        <v>2755</v>
      </c>
      <c r="K3051" s="157" t="s">
        <v>1936</v>
      </c>
      <c r="L3051" s="157" t="s">
        <v>461</v>
      </c>
      <c r="M3051" s="157"/>
      <c r="N3051" s="157" t="s">
        <v>340</v>
      </c>
      <c r="O3051" s="157"/>
      <c r="P3051" s="173" t="s">
        <v>10434</v>
      </c>
      <c r="Q3051" s="157" t="s">
        <v>3947</v>
      </c>
      <c r="R3051" s="179" t="s">
        <v>6720</v>
      </c>
      <c r="S3051" s="354"/>
      <c r="T3051" s="173" t="s">
        <v>2611</v>
      </c>
      <c r="U3051" s="173"/>
      <c r="V3051" s="173"/>
      <c r="W3051" s="324" t="s">
        <v>10449</v>
      </c>
      <c r="X3051" s="656" t="s">
        <v>12487</v>
      </c>
      <c r="Y3051" s="363"/>
      <c r="Z3051" s="364"/>
      <c r="AA3051" s="364"/>
      <c r="AB3051" s="32">
        <f t="shared" ca="1" si="68"/>
        <v>0.26280443915440332</v>
      </c>
      <c r="AC3051" s="812"/>
      <c r="AD3051" s="763"/>
      <c r="AE3051" s="951"/>
      <c r="AF3051" s="921">
        <f>IF(X3051=X3050,AF3050,0)+IF(ISNUMBER(I3051),IF(I3051&lt;1,I3051,I3051*VLOOKUP(J3051,Summary!$H$2:$I$9,2)),VLOOKUP(J3051,Summary!$J$2:$K$9,2)*IF(ISNUMBER(H3051),H3051,1))</f>
        <v>0.49652777777777779</v>
      </c>
      <c r="AG3051" s="288">
        <v>3050</v>
      </c>
      <c r="AH3051" s="94"/>
      <c r="AI3051" s="94"/>
    </row>
    <row r="3052" spans="1:35" s="3" customFormat="1" ht="12" customHeight="1" x14ac:dyDescent="0.25">
      <c r="A3052" s="409" t="s">
        <v>10410</v>
      </c>
      <c r="B3052" s="410" t="s">
        <v>6146</v>
      </c>
      <c r="C3052" s="556">
        <v>8.07</v>
      </c>
      <c r="D3052" s="434" t="s">
        <v>10441</v>
      </c>
      <c r="E3052" s="324" t="s">
        <v>10450</v>
      </c>
      <c r="F3052" s="175">
        <v>40148</v>
      </c>
      <c r="G3052" s="176"/>
      <c r="H3052" s="176" t="s">
        <v>461</v>
      </c>
      <c r="I3052" s="176"/>
      <c r="J3052" s="900" t="s">
        <v>2755</v>
      </c>
      <c r="K3052" s="157" t="s">
        <v>10454</v>
      </c>
      <c r="L3052" s="157" t="s">
        <v>461</v>
      </c>
      <c r="M3052" s="157"/>
      <c r="N3052" s="157" t="s">
        <v>340</v>
      </c>
      <c r="O3052" s="157"/>
      <c r="P3052" s="173" t="s">
        <v>10434</v>
      </c>
      <c r="Q3052" s="157" t="s">
        <v>3947</v>
      </c>
      <c r="R3052" s="179" t="s">
        <v>6720</v>
      </c>
      <c r="S3052" s="354"/>
      <c r="T3052" s="173" t="s">
        <v>2611</v>
      </c>
      <c r="U3052" s="173"/>
      <c r="V3052" s="173"/>
      <c r="W3052" s="324" t="s">
        <v>10450</v>
      </c>
      <c r="X3052" s="656" t="s">
        <v>12487</v>
      </c>
      <c r="Y3052" s="363"/>
      <c r="Z3052" s="364"/>
      <c r="AA3052" s="364"/>
      <c r="AB3052" s="32">
        <f t="shared" ca="1" si="68"/>
        <v>0.76088718959628709</v>
      </c>
      <c r="AC3052" s="812"/>
      <c r="AD3052" s="763"/>
      <c r="AE3052" s="951"/>
      <c r="AF3052" s="921">
        <f>IF(X3052=X3051,AF3051,0)+IF(ISNUMBER(I3052),IF(I3052&lt;1,I3052,I3052*VLOOKUP(J3052,Summary!$H$2:$I$9,2)),VLOOKUP(J3052,Summary!$J$2:$K$9,2)*IF(ISNUMBER(H3052),H3052,1))</f>
        <v>0.51388888888888895</v>
      </c>
      <c r="AG3052" s="288">
        <v>3051</v>
      </c>
      <c r="AH3052" s="94"/>
      <c r="AI3052" s="94"/>
    </row>
    <row r="3053" spans="1:35" s="3" customFormat="1" ht="12" customHeight="1" x14ac:dyDescent="0.25">
      <c r="A3053" s="409" t="s">
        <v>10410</v>
      </c>
      <c r="B3053" s="410" t="s">
        <v>6146</v>
      </c>
      <c r="C3053" s="556">
        <v>8.08</v>
      </c>
      <c r="D3053" s="434" t="s">
        <v>10442</v>
      </c>
      <c r="E3053" s="324" t="s">
        <v>10451</v>
      </c>
      <c r="F3053" s="175">
        <v>40148</v>
      </c>
      <c r="G3053" s="176"/>
      <c r="H3053" s="176" t="s">
        <v>461</v>
      </c>
      <c r="I3053" s="176"/>
      <c r="J3053" s="900" t="s">
        <v>2755</v>
      </c>
      <c r="K3053" s="157" t="s">
        <v>10455</v>
      </c>
      <c r="L3053" s="157" t="s">
        <v>461</v>
      </c>
      <c r="M3053" s="157"/>
      <c r="N3053" s="157" t="s">
        <v>340</v>
      </c>
      <c r="O3053" s="157"/>
      <c r="P3053" s="173" t="s">
        <v>10434</v>
      </c>
      <c r="Q3053" s="157" t="s">
        <v>3947</v>
      </c>
      <c r="R3053" s="179" t="s">
        <v>6720</v>
      </c>
      <c r="S3053" s="354"/>
      <c r="T3053" s="173" t="s">
        <v>2611</v>
      </c>
      <c r="U3053" s="173"/>
      <c r="V3053" s="173"/>
      <c r="W3053" s="324" t="s">
        <v>10451</v>
      </c>
      <c r="X3053" s="656" t="s">
        <v>12487</v>
      </c>
      <c r="Y3053" s="363"/>
      <c r="Z3053" s="364"/>
      <c r="AA3053" s="364"/>
      <c r="AB3053" s="32">
        <f t="shared" ca="1" si="68"/>
        <v>0.40315156192037516</v>
      </c>
      <c r="AC3053" s="812"/>
      <c r="AD3053" s="763"/>
      <c r="AE3053" s="951"/>
      <c r="AF3053" s="921">
        <f>IF(X3053=X3052,AF3052,0)+IF(ISNUMBER(I3053),IF(I3053&lt;1,I3053,I3053*VLOOKUP(J3053,Summary!$H$2:$I$9,2)),VLOOKUP(J3053,Summary!$J$2:$K$9,2)*IF(ISNUMBER(H3053),H3053,1))</f>
        <v>0.53125000000000011</v>
      </c>
      <c r="AG3053" s="288">
        <v>3052</v>
      </c>
      <c r="AH3053" s="94"/>
      <c r="AI3053" s="94"/>
    </row>
    <row r="3054" spans="1:35" s="3" customFormat="1" ht="12" customHeight="1" x14ac:dyDescent="0.25">
      <c r="A3054" s="409" t="s">
        <v>10410</v>
      </c>
      <c r="B3054" s="410" t="s">
        <v>6146</v>
      </c>
      <c r="C3054" s="556">
        <v>8.09</v>
      </c>
      <c r="D3054" s="434" t="s">
        <v>10443</v>
      </c>
      <c r="E3054" s="324" t="s">
        <v>10452</v>
      </c>
      <c r="F3054" s="175">
        <v>40148</v>
      </c>
      <c r="G3054" s="176"/>
      <c r="H3054" s="176" t="s">
        <v>461</v>
      </c>
      <c r="I3054" s="176"/>
      <c r="J3054" s="900" t="s">
        <v>2755</v>
      </c>
      <c r="K3054" s="157" t="s">
        <v>338</v>
      </c>
      <c r="L3054" s="157" t="s">
        <v>461</v>
      </c>
      <c r="M3054" s="157"/>
      <c r="N3054" s="157" t="s">
        <v>340</v>
      </c>
      <c r="O3054" s="157"/>
      <c r="P3054" s="173" t="s">
        <v>10434</v>
      </c>
      <c r="Q3054" s="157" t="s">
        <v>3947</v>
      </c>
      <c r="R3054" s="179" t="s">
        <v>6720</v>
      </c>
      <c r="S3054" s="354"/>
      <c r="T3054" s="173" t="s">
        <v>2611</v>
      </c>
      <c r="U3054" s="173"/>
      <c r="V3054" s="173"/>
      <c r="W3054" s="324" t="s">
        <v>10452</v>
      </c>
      <c r="X3054" s="656" t="s">
        <v>12487</v>
      </c>
      <c r="Y3054" s="363"/>
      <c r="Z3054" s="364"/>
      <c r="AA3054" s="364"/>
      <c r="AB3054" s="32">
        <f t="shared" ca="1" si="68"/>
        <v>0.31098656280703796</v>
      </c>
      <c r="AC3054" s="812"/>
      <c r="AD3054" s="763"/>
      <c r="AE3054" s="951"/>
      <c r="AF3054" s="921">
        <f>IF(X3054=X3053,AF3053,0)+IF(ISNUMBER(I3054),IF(I3054&lt;1,I3054,I3054*VLOOKUP(J3054,Summary!$H$2:$I$9,2)),VLOOKUP(J3054,Summary!$J$2:$K$9,2)*IF(ISNUMBER(H3054),H3054,1))</f>
        <v>0.54861111111111127</v>
      </c>
      <c r="AG3054" s="288">
        <v>3053</v>
      </c>
      <c r="AH3054" s="94"/>
      <c r="AI3054" s="94"/>
    </row>
    <row r="3055" spans="1:35" s="3" customFormat="1" ht="12" customHeight="1" x14ac:dyDescent="0.25">
      <c r="A3055" s="538" t="s">
        <v>11441</v>
      </c>
      <c r="B3055" s="538">
        <v>7</v>
      </c>
      <c r="C3055" s="538">
        <v>1</v>
      </c>
      <c r="D3055" s="424" t="s">
        <v>4741</v>
      </c>
      <c r="E3055" s="319" t="s">
        <v>2493</v>
      </c>
      <c r="F3055" s="198">
        <v>37084</v>
      </c>
      <c r="G3055" s="198">
        <v>37379</v>
      </c>
      <c r="H3055" s="199">
        <v>5</v>
      </c>
      <c r="I3055" s="791">
        <f>TIME(0,179,0)</f>
        <v>0.12430555555555556</v>
      </c>
      <c r="J3055" s="904" t="s">
        <v>1588</v>
      </c>
      <c r="K3055" s="200" t="s">
        <v>2494</v>
      </c>
      <c r="L3055" s="200" t="s">
        <v>2495</v>
      </c>
      <c r="M3055" s="200"/>
      <c r="N3055" s="200" t="s">
        <v>3284</v>
      </c>
      <c r="O3055" s="200" t="s">
        <v>2495</v>
      </c>
      <c r="P3055" s="197" t="s">
        <v>461</v>
      </c>
      <c r="Q3055" s="200" t="s">
        <v>3946</v>
      </c>
      <c r="R3055" s="201" t="s">
        <v>5278</v>
      </c>
      <c r="S3055" s="390" t="s">
        <v>2542</v>
      </c>
      <c r="T3055" s="197" t="s">
        <v>7820</v>
      </c>
      <c r="U3055" s="197"/>
      <c r="V3055" s="197"/>
      <c r="W3055" s="318" t="s">
        <v>10360</v>
      </c>
      <c r="X3055" s="650" t="s">
        <v>12475</v>
      </c>
      <c r="Y3055" s="358"/>
      <c r="Z3055" s="253"/>
      <c r="AA3055" s="253"/>
      <c r="AB3055" s="35">
        <f t="shared" ca="1" si="68"/>
        <v>0.22787910044074988</v>
      </c>
      <c r="AC3055" s="820"/>
      <c r="AD3055" s="821" t="s">
        <v>14581</v>
      </c>
      <c r="AE3055" s="944" t="s">
        <v>12543</v>
      </c>
      <c r="AF3055" s="925">
        <f>IF(X3055=X3054,AF3054,0)+IF(ISNUMBER(I3055),IF(I3055&lt;1,I3055,I3055*VLOOKUP(J3055,Summary!$H$2:$I$9,2)),VLOOKUP(J3055,Summary!$J$2:$K$9,2)*IF(ISNUMBER(H3055),H3055,1))</f>
        <v>0.12430555555555556</v>
      </c>
      <c r="AG3055" s="293">
        <v>3054</v>
      </c>
      <c r="AH3055" s="94"/>
      <c r="AI3055" s="94"/>
    </row>
    <row r="3056" spans="1:35" s="22" customFormat="1" ht="12" customHeight="1" x14ac:dyDescent="0.2">
      <c r="A3056" s="541" t="s">
        <v>11441</v>
      </c>
      <c r="B3056" s="541">
        <v>7</v>
      </c>
      <c r="C3056" s="545">
        <v>3.02</v>
      </c>
      <c r="D3056" s="407" t="s">
        <v>11437</v>
      </c>
      <c r="E3056" s="315" t="s">
        <v>11438</v>
      </c>
      <c r="F3056" s="169">
        <v>36557</v>
      </c>
      <c r="G3056" s="170"/>
      <c r="H3056" s="170">
        <v>1</v>
      </c>
      <c r="I3056" s="746">
        <f>TIME(0,58,51)</f>
        <v>4.0868055555555553E-2</v>
      </c>
      <c r="J3056" s="899" t="s">
        <v>4706</v>
      </c>
      <c r="K3056" s="167" t="s">
        <v>11439</v>
      </c>
      <c r="L3056" s="167" t="s">
        <v>341</v>
      </c>
      <c r="M3056" s="167"/>
      <c r="N3056" s="167"/>
      <c r="O3056" s="167" t="s">
        <v>4640</v>
      </c>
      <c r="P3056" s="168" t="s">
        <v>461</v>
      </c>
      <c r="Q3056" s="167" t="s">
        <v>603</v>
      </c>
      <c r="R3056" s="172" t="s">
        <v>5481</v>
      </c>
      <c r="S3056" s="388"/>
      <c r="T3056" s="168"/>
      <c r="U3056" s="168"/>
      <c r="V3056" s="168"/>
      <c r="W3056" s="315" t="s">
        <v>11438</v>
      </c>
      <c r="X3056" s="647" t="s">
        <v>12475</v>
      </c>
      <c r="Y3056" s="352"/>
      <c r="Z3056" s="353"/>
      <c r="AA3056" s="353"/>
      <c r="AB3056" s="31">
        <f t="shared" ca="1" si="68"/>
        <v>0.34491460037953603</v>
      </c>
      <c r="AC3056" s="810"/>
      <c r="AD3056" s="811"/>
      <c r="AE3056" s="940"/>
      <c r="AF3056" s="920">
        <f>IF(X3056=X3055,AF3055,0)+IF(ISNUMBER(I3056),IF(I3056&lt;1,I3056,I3056*VLOOKUP(J3056,Summary!$H$2:$I$9,2)),VLOOKUP(J3056,Summary!$J$2:$K$9,2)*IF(ISNUMBER(H3056),H3056,1))</f>
        <v>0.16517361111111112</v>
      </c>
      <c r="AG3056" s="287">
        <v>3055</v>
      </c>
      <c r="AH3056" s="94"/>
      <c r="AI3056" s="94"/>
    </row>
    <row r="3057" spans="1:35" s="3" customFormat="1" ht="12" customHeight="1" x14ac:dyDescent="0.25">
      <c r="A3057" s="539" t="s">
        <v>11441</v>
      </c>
      <c r="B3057" s="539">
        <v>7</v>
      </c>
      <c r="C3057" s="539">
        <v>30.18</v>
      </c>
      <c r="D3057" s="176" t="s">
        <v>5370</v>
      </c>
      <c r="E3057" s="313" t="s">
        <v>5376</v>
      </c>
      <c r="F3057" s="174">
        <v>39783</v>
      </c>
      <c r="G3057" s="174"/>
      <c r="H3057" s="176" t="s">
        <v>461</v>
      </c>
      <c r="I3057" s="176">
        <v>12</v>
      </c>
      <c r="J3057" s="900" t="s">
        <v>2755</v>
      </c>
      <c r="K3057" s="164" t="s">
        <v>1503</v>
      </c>
      <c r="L3057" s="164" t="s">
        <v>461</v>
      </c>
      <c r="M3057" s="164"/>
      <c r="N3057" s="164" t="s">
        <v>4944</v>
      </c>
      <c r="O3057" s="164"/>
      <c r="P3057" s="173" t="s">
        <v>6702</v>
      </c>
      <c r="Q3057" s="164" t="s">
        <v>3947</v>
      </c>
      <c r="R3057" s="177" t="s">
        <v>2723</v>
      </c>
      <c r="S3057" s="354"/>
      <c r="T3057" s="173"/>
      <c r="U3057" s="173"/>
      <c r="V3057" s="173"/>
      <c r="W3057" s="313" t="s">
        <v>5376</v>
      </c>
      <c r="X3057" s="645" t="s">
        <v>12475</v>
      </c>
      <c r="Y3057" s="354"/>
      <c r="Z3057" s="176"/>
      <c r="AA3057" s="176"/>
      <c r="AB3057" s="32">
        <f t="shared" ca="1" si="68"/>
        <v>0.48047484627184722</v>
      </c>
      <c r="AC3057" s="812"/>
      <c r="AD3057" s="763"/>
      <c r="AE3057" s="807"/>
      <c r="AF3057" s="921">
        <f>IF(X3057=X3056,AF3056,0)+IF(ISNUMBER(I3057),IF(I3057&lt;1,I3057,I3057*VLOOKUP(J3057,Summary!$H$2:$I$9,2)),VLOOKUP(J3057,Summary!$J$2:$K$9,2)*IF(ISNUMBER(H3057),H3057,1))</f>
        <v>0.17350694444444445</v>
      </c>
      <c r="AG3057" s="289">
        <v>3056</v>
      </c>
      <c r="AH3057" s="94"/>
      <c r="AI3057" s="94"/>
    </row>
    <row r="3058" spans="1:35" s="3" customFormat="1" ht="12" customHeight="1" x14ac:dyDescent="0.25">
      <c r="A3058" s="543" t="s">
        <v>11441</v>
      </c>
      <c r="B3058" s="543">
        <v>7</v>
      </c>
      <c r="C3058" s="549">
        <v>69</v>
      </c>
      <c r="D3058" s="185" t="s">
        <v>3394</v>
      </c>
      <c r="E3058" s="314" t="s">
        <v>2121</v>
      </c>
      <c r="F3058" s="183">
        <v>34425</v>
      </c>
      <c r="G3058" s="183"/>
      <c r="H3058" s="185">
        <v>1</v>
      </c>
      <c r="I3058" s="185">
        <v>8</v>
      </c>
      <c r="J3058" s="901" t="s">
        <v>1796</v>
      </c>
      <c r="K3058" s="163" t="s">
        <v>552</v>
      </c>
      <c r="L3058" s="163" t="s">
        <v>2866</v>
      </c>
      <c r="M3058" s="163"/>
      <c r="N3058" s="163" t="s">
        <v>7375</v>
      </c>
      <c r="O3058" s="163"/>
      <c r="P3058" s="182" t="s">
        <v>461</v>
      </c>
      <c r="Q3058" s="163" t="s">
        <v>4062</v>
      </c>
      <c r="R3058" s="186" t="s">
        <v>5266</v>
      </c>
      <c r="S3058" s="355"/>
      <c r="T3058" s="182"/>
      <c r="U3058" s="182"/>
      <c r="V3058" s="182"/>
      <c r="W3058" s="314" t="s">
        <v>2121</v>
      </c>
      <c r="X3058" s="646" t="s">
        <v>12475</v>
      </c>
      <c r="Y3058" s="355"/>
      <c r="Z3058" s="185"/>
      <c r="AA3058" s="185"/>
      <c r="AB3058" s="33">
        <f t="shared" ca="1" si="68"/>
        <v>0.96081878454065872</v>
      </c>
      <c r="AC3058" s="813"/>
      <c r="AD3058" s="211"/>
      <c r="AE3058" s="949"/>
      <c r="AF3058" s="922">
        <f>IF(X3058=X3057,AF3057,0)+IF(ISNUMBER(I3058),IF(I3058&lt;1,I3058,I3058*VLOOKUP(J3058,Summary!$H$2:$I$9,2)),VLOOKUP(J3058,Summary!$J$2:$K$9,2)*IF(ISNUMBER(H3058),H3058,1))</f>
        <v>0.17628472222222222</v>
      </c>
      <c r="AG3058" s="295">
        <v>3057</v>
      </c>
      <c r="AH3058" s="94"/>
      <c r="AI3058" s="94"/>
    </row>
    <row r="3059" spans="1:35" s="3" customFormat="1" ht="12" customHeight="1" x14ac:dyDescent="0.25">
      <c r="A3059" s="543" t="s">
        <v>11441</v>
      </c>
      <c r="B3059" s="543">
        <v>7</v>
      </c>
      <c r="C3059" s="549">
        <v>80</v>
      </c>
      <c r="D3059" s="185" t="s">
        <v>3395</v>
      </c>
      <c r="E3059" s="314" t="s">
        <v>2122</v>
      </c>
      <c r="F3059" s="183">
        <v>35186</v>
      </c>
      <c r="G3059" s="183">
        <v>35278</v>
      </c>
      <c r="H3059" s="185">
        <v>5</v>
      </c>
      <c r="I3059" s="185">
        <v>35</v>
      </c>
      <c r="J3059" s="901" t="s">
        <v>1796</v>
      </c>
      <c r="K3059" s="163" t="s">
        <v>5251</v>
      </c>
      <c r="L3059" s="163" t="s">
        <v>3396</v>
      </c>
      <c r="M3059" s="163"/>
      <c r="N3059" s="163" t="s">
        <v>2750</v>
      </c>
      <c r="O3059" s="163"/>
      <c r="P3059" s="182" t="s">
        <v>461</v>
      </c>
      <c r="Q3059" s="163" t="s">
        <v>4062</v>
      </c>
      <c r="R3059" s="186" t="s">
        <v>5266</v>
      </c>
      <c r="S3059" s="355"/>
      <c r="T3059" s="182"/>
      <c r="U3059" s="182"/>
      <c r="V3059" s="182"/>
      <c r="W3059" s="314"/>
      <c r="X3059" s="646" t="s">
        <v>12475</v>
      </c>
      <c r="Y3059" s="355"/>
      <c r="Z3059" s="185"/>
      <c r="AA3059" s="185"/>
      <c r="AB3059" s="33">
        <f t="shared" ca="1" si="68"/>
        <v>0.73624548219447794</v>
      </c>
      <c r="AC3059" s="813"/>
      <c r="AD3059" s="211" t="s">
        <v>16108</v>
      </c>
      <c r="AE3059" s="949"/>
      <c r="AF3059" s="922">
        <f>IF(X3059=X3058,AF3058,0)+IF(ISNUMBER(I3059),IF(I3059&lt;1,I3059,I3059*VLOOKUP(J3059,Summary!$H$2:$I$9,2)),VLOOKUP(J3059,Summary!$J$2:$K$9,2)*IF(ISNUMBER(H3059),H3059,1))</f>
        <v>0.18843750000000001</v>
      </c>
      <c r="AG3059" s="295">
        <v>3058</v>
      </c>
      <c r="AH3059" s="94"/>
      <c r="AI3059" s="94"/>
    </row>
    <row r="3060" spans="1:35" s="22" customFormat="1" ht="12" customHeight="1" x14ac:dyDescent="0.25">
      <c r="A3060" s="539" t="s">
        <v>11441</v>
      </c>
      <c r="B3060" s="539">
        <v>7</v>
      </c>
      <c r="C3060" s="539">
        <v>8</v>
      </c>
      <c r="D3060" s="176" t="s">
        <v>5543</v>
      </c>
      <c r="E3060" s="313" t="s">
        <v>4172</v>
      </c>
      <c r="F3060" s="175">
        <v>33513</v>
      </c>
      <c r="G3060" s="174"/>
      <c r="H3060" s="176">
        <v>1</v>
      </c>
      <c r="I3060" s="176">
        <v>1</v>
      </c>
      <c r="J3060" s="900" t="s">
        <v>2755</v>
      </c>
      <c r="K3060" s="164" t="s">
        <v>4173</v>
      </c>
      <c r="L3060" s="164"/>
      <c r="M3060" s="164"/>
      <c r="N3060" s="164" t="s">
        <v>561</v>
      </c>
      <c r="O3060" s="164"/>
      <c r="P3060" s="173" t="s">
        <v>461</v>
      </c>
      <c r="Q3060" s="164" t="s">
        <v>4062</v>
      </c>
      <c r="R3060" s="177" t="s">
        <v>4599</v>
      </c>
      <c r="S3060" s="354" t="s">
        <v>2608</v>
      </c>
      <c r="T3060" s="173" t="s">
        <v>6335</v>
      </c>
      <c r="U3060" s="173"/>
      <c r="V3060" s="173"/>
      <c r="W3060" s="313" t="s">
        <v>4172</v>
      </c>
      <c r="X3060" s="645" t="s">
        <v>12475</v>
      </c>
      <c r="Y3060" s="354"/>
      <c r="Z3060" s="176"/>
      <c r="AA3060" s="176"/>
      <c r="AB3060" s="32">
        <f t="shared" ca="1" si="68"/>
        <v>0.40215558008867991</v>
      </c>
      <c r="AC3060" s="812"/>
      <c r="AD3060" s="763"/>
      <c r="AE3060" s="807"/>
      <c r="AF3060" s="921">
        <f>IF(X3060=X3059,AF3059,0)+IF(ISNUMBER(I3060),IF(I3060&lt;1,I3060,I3060*VLOOKUP(J3060,Summary!$H$2:$I$9,2)),VLOOKUP(J3060,Summary!$J$2:$K$9,2)*IF(ISNUMBER(H3060),H3060,1))</f>
        <v>0.18913194444444445</v>
      </c>
      <c r="AG3060" s="289">
        <v>3059</v>
      </c>
      <c r="AH3060" s="94"/>
      <c r="AI3060" s="94"/>
    </row>
    <row r="3061" spans="1:35" s="22" customFormat="1" ht="12" customHeight="1" x14ac:dyDescent="0.2">
      <c r="A3061" s="541" t="s">
        <v>11441</v>
      </c>
      <c r="B3061" s="541">
        <v>7</v>
      </c>
      <c r="C3061" s="541">
        <v>3</v>
      </c>
      <c r="D3061" s="407" t="s">
        <v>7670</v>
      </c>
      <c r="E3061" s="315" t="s">
        <v>7671</v>
      </c>
      <c r="F3061" s="169">
        <v>37408</v>
      </c>
      <c r="G3061" s="170"/>
      <c r="H3061" s="170">
        <v>1</v>
      </c>
      <c r="I3061" s="746">
        <f>TIME(1,13,33)</f>
        <v>5.1076388888888886E-2</v>
      </c>
      <c r="J3061" s="899" t="s">
        <v>4706</v>
      </c>
      <c r="K3061" s="167" t="s">
        <v>4031</v>
      </c>
      <c r="L3061" s="167" t="s">
        <v>7375</v>
      </c>
      <c r="M3061" s="167"/>
      <c r="N3061" s="167"/>
      <c r="O3061" s="167" t="s">
        <v>2909</v>
      </c>
      <c r="P3061" s="168" t="s">
        <v>9130</v>
      </c>
      <c r="Q3061" s="167" t="s">
        <v>3947</v>
      </c>
      <c r="R3061" s="172" t="s">
        <v>2239</v>
      </c>
      <c r="S3061" s="388"/>
      <c r="T3061" s="168"/>
      <c r="U3061" s="168"/>
      <c r="V3061" s="168"/>
      <c r="W3061" s="315" t="s">
        <v>7671</v>
      </c>
      <c r="X3061" s="647" t="s">
        <v>12475</v>
      </c>
      <c r="Y3061" s="352" t="s">
        <v>5398</v>
      </c>
      <c r="Z3061" s="353">
        <v>632</v>
      </c>
      <c r="AA3061" s="353">
        <v>3</v>
      </c>
      <c r="AB3061" s="31">
        <f t="shared" ca="1" si="68"/>
        <v>0.22410254748120806</v>
      </c>
      <c r="AC3061" s="810"/>
      <c r="AD3061" s="811" t="s">
        <v>16169</v>
      </c>
      <c r="AE3061" s="940" t="s">
        <v>12543</v>
      </c>
      <c r="AF3061" s="920">
        <f>IF(X3061=X3060,AF3060,0)+IF(ISNUMBER(I3061),IF(I3061&lt;1,I3061,I3061*VLOOKUP(J3061,Summary!$H$2:$I$9,2)),VLOOKUP(J3061,Summary!$J$2:$K$9,2)*IF(ISNUMBER(H3061),H3061,1))</f>
        <v>0.24020833333333333</v>
      </c>
      <c r="AG3061" s="287">
        <v>3060</v>
      </c>
      <c r="AH3061" s="94"/>
      <c r="AI3061" s="94"/>
    </row>
    <row r="3062" spans="1:35" s="3" customFormat="1" ht="12" customHeight="1" x14ac:dyDescent="0.25">
      <c r="A3062" s="541" t="s">
        <v>11441</v>
      </c>
      <c r="B3062" s="541">
        <v>7</v>
      </c>
      <c r="C3062" s="541">
        <v>45.2</v>
      </c>
      <c r="D3062" s="407" t="s">
        <v>514</v>
      </c>
      <c r="E3062" s="315" t="s">
        <v>6445</v>
      </c>
      <c r="F3062" s="169">
        <v>37773</v>
      </c>
      <c r="G3062" s="170"/>
      <c r="H3062" s="170">
        <v>2</v>
      </c>
      <c r="I3062" s="746">
        <f>TIME(0,56,35)</f>
        <v>3.9293981481481485E-2</v>
      </c>
      <c r="J3062" s="899" t="s">
        <v>4706</v>
      </c>
      <c r="K3062" s="167" t="s">
        <v>5146</v>
      </c>
      <c r="L3062" s="167" t="s">
        <v>7375</v>
      </c>
      <c r="M3062" s="167"/>
      <c r="N3062" s="167"/>
      <c r="O3062" s="167" t="s">
        <v>2909</v>
      </c>
      <c r="P3062" s="168" t="s">
        <v>12958</v>
      </c>
      <c r="Q3062" s="167" t="s">
        <v>3947</v>
      </c>
      <c r="R3062" s="172" t="s">
        <v>3146</v>
      </c>
      <c r="S3062" s="388"/>
      <c r="T3062" s="168"/>
      <c r="U3062" s="168"/>
      <c r="V3062" s="168"/>
      <c r="W3062" s="312" t="s">
        <v>9178</v>
      </c>
      <c r="X3062" s="644" t="s">
        <v>12475</v>
      </c>
      <c r="Y3062" s="352" t="s">
        <v>5643</v>
      </c>
      <c r="Z3062" s="353">
        <v>372</v>
      </c>
      <c r="AA3062" s="353">
        <v>5</v>
      </c>
      <c r="AB3062" s="40">
        <f t="shared" ca="1" si="68"/>
        <v>9.6813449177291844E-2</v>
      </c>
      <c r="AC3062" s="810"/>
      <c r="AD3062" s="811" t="s">
        <v>14583</v>
      </c>
      <c r="AE3062" s="940" t="s">
        <v>12543</v>
      </c>
      <c r="AF3062" s="920">
        <f>IF(X3062=X3061,AF3061,0)+IF(ISNUMBER(I3062),IF(I3062&lt;1,I3062,I3062*VLOOKUP(J3062,Summary!$H$2:$I$9,2)),VLOOKUP(J3062,Summary!$J$2:$K$9,2)*IF(ISNUMBER(H3062),H3062,1))</f>
        <v>0.2795023148148148</v>
      </c>
      <c r="AG3062" s="287">
        <v>3061</v>
      </c>
      <c r="AH3062" s="94"/>
      <c r="AI3062" s="94"/>
    </row>
    <row r="3063" spans="1:35" s="3" customFormat="1" ht="12" customHeight="1" x14ac:dyDescent="0.25">
      <c r="A3063" s="541" t="s">
        <v>11441</v>
      </c>
      <c r="B3063" s="541">
        <v>7</v>
      </c>
      <c r="C3063" s="541">
        <v>49</v>
      </c>
      <c r="D3063" s="407" t="s">
        <v>7672</v>
      </c>
      <c r="E3063" s="315" t="s">
        <v>7673</v>
      </c>
      <c r="F3063" s="169">
        <v>37895</v>
      </c>
      <c r="G3063" s="170"/>
      <c r="H3063" s="170">
        <v>4</v>
      </c>
      <c r="I3063" s="746">
        <f>TIME(2,12,42)</f>
        <v>9.2152777777777764E-2</v>
      </c>
      <c r="J3063" s="899" t="s">
        <v>4706</v>
      </c>
      <c r="K3063" s="167" t="s">
        <v>4425</v>
      </c>
      <c r="L3063" s="167" t="s">
        <v>7375</v>
      </c>
      <c r="M3063" s="167"/>
      <c r="N3063" s="167"/>
      <c r="O3063" s="167" t="s">
        <v>2909</v>
      </c>
      <c r="P3063" s="168" t="s">
        <v>12957</v>
      </c>
      <c r="Q3063" s="167" t="s">
        <v>3947</v>
      </c>
      <c r="R3063" s="172" t="s">
        <v>3146</v>
      </c>
      <c r="S3063" s="388"/>
      <c r="T3063" s="168"/>
      <c r="U3063" s="168"/>
      <c r="V3063" s="168"/>
      <c r="W3063" s="312" t="s">
        <v>9293</v>
      </c>
      <c r="X3063" s="644" t="s">
        <v>12475</v>
      </c>
      <c r="Y3063" s="352" t="s">
        <v>5643</v>
      </c>
      <c r="Z3063" s="353">
        <v>308</v>
      </c>
      <c r="AA3063" s="353">
        <v>5.5</v>
      </c>
      <c r="AB3063" s="31">
        <f t="shared" ca="1" si="68"/>
        <v>0.53857351073582405</v>
      </c>
      <c r="AC3063" s="810"/>
      <c r="AD3063" s="811" t="s">
        <v>16328</v>
      </c>
      <c r="AE3063" s="940" t="s">
        <v>12543</v>
      </c>
      <c r="AF3063" s="920">
        <f>IF(X3063=X3062,AF3062,0)+IF(ISNUMBER(I3063),IF(I3063&lt;1,I3063,I3063*VLOOKUP(J3063,Summary!$H$2:$I$9,2)),VLOOKUP(J3063,Summary!$J$2:$K$9,2)*IF(ISNUMBER(H3063),H3063,1))</f>
        <v>0.37165509259259255</v>
      </c>
      <c r="AG3063" s="287">
        <v>3062</v>
      </c>
      <c r="AH3063" s="94"/>
      <c r="AI3063" s="94"/>
    </row>
    <row r="3064" spans="1:35" s="6" customFormat="1" ht="12" customHeight="1" x14ac:dyDescent="0.25">
      <c r="A3064" s="405" t="s">
        <v>3410</v>
      </c>
      <c r="B3064" s="405" t="s">
        <v>6153</v>
      </c>
      <c r="C3064" s="405">
        <v>1.1000000000000001</v>
      </c>
      <c r="D3064" s="407" t="s">
        <v>3411</v>
      </c>
      <c r="E3064" s="315" t="s">
        <v>3412</v>
      </c>
      <c r="F3064" s="169">
        <v>37043</v>
      </c>
      <c r="G3064" s="170"/>
      <c r="H3064" s="170">
        <v>1</v>
      </c>
      <c r="I3064" s="746">
        <f>TIME(1,12,12)</f>
        <v>5.0138888888888893E-2</v>
      </c>
      <c r="J3064" s="899" t="s">
        <v>4706</v>
      </c>
      <c r="K3064" s="167" t="s">
        <v>4549</v>
      </c>
      <c r="L3064" s="167" t="s">
        <v>4549</v>
      </c>
      <c r="M3064" s="167"/>
      <c r="N3064" s="167"/>
      <c r="O3064" s="167" t="s">
        <v>2500</v>
      </c>
      <c r="P3064" s="168" t="s">
        <v>3416</v>
      </c>
      <c r="Q3064" s="167" t="s">
        <v>3947</v>
      </c>
      <c r="R3064" s="172" t="s">
        <v>3154</v>
      </c>
      <c r="S3064" s="388"/>
      <c r="T3064" s="168"/>
      <c r="U3064" s="168"/>
      <c r="V3064" s="168"/>
      <c r="W3064" s="312" t="s">
        <v>1715</v>
      </c>
      <c r="X3064" s="644" t="s">
        <v>3154</v>
      </c>
      <c r="Y3064" s="352" t="s">
        <v>5643</v>
      </c>
      <c r="Z3064" s="353">
        <v>5999</v>
      </c>
      <c r="AA3064" s="353"/>
      <c r="AB3064" s="31">
        <f t="shared" ca="1" si="68"/>
        <v>3.1312110686561034E-2</v>
      </c>
      <c r="AC3064" s="810"/>
      <c r="AD3064" s="811" t="s">
        <v>16439</v>
      </c>
      <c r="AE3064" s="940" t="s">
        <v>15062</v>
      </c>
      <c r="AF3064" s="920">
        <f>IF(X3064=X3063,AF3063,0)+IF(ISNUMBER(I3064),IF(I3064&lt;1,I3064,I3064*VLOOKUP(J3064,Summary!$H$2:$I$9,2)),VLOOKUP(J3064,Summary!$J$2:$K$9,2)*IF(ISNUMBER(H3064),H3064,1))</f>
        <v>5.0138888888888893E-2</v>
      </c>
      <c r="AG3064" s="287">
        <v>3063</v>
      </c>
      <c r="AH3064" s="94"/>
      <c r="AI3064" s="94"/>
    </row>
    <row r="3065" spans="1:35" s="22" customFormat="1" ht="12" customHeight="1" x14ac:dyDescent="0.25">
      <c r="A3065" s="408" t="s">
        <v>3410</v>
      </c>
      <c r="B3065" s="440" t="s">
        <v>6153</v>
      </c>
      <c r="C3065" s="408">
        <v>22.01</v>
      </c>
      <c r="D3065" s="434" t="s">
        <v>1681</v>
      </c>
      <c r="E3065" s="324" t="s">
        <v>4124</v>
      </c>
      <c r="F3065" s="174">
        <v>39052</v>
      </c>
      <c r="G3065" s="174"/>
      <c r="H3065" s="176">
        <v>1</v>
      </c>
      <c r="I3065" s="176">
        <v>12</v>
      </c>
      <c r="J3065" s="900" t="s">
        <v>2755</v>
      </c>
      <c r="K3065" s="164" t="s">
        <v>4549</v>
      </c>
      <c r="L3065" s="164" t="s">
        <v>461</v>
      </c>
      <c r="M3065" s="164"/>
      <c r="N3065" s="164" t="s">
        <v>4549</v>
      </c>
      <c r="O3065" s="164"/>
      <c r="P3065" s="173" t="s">
        <v>522</v>
      </c>
      <c r="Q3065" s="164" t="s">
        <v>3947</v>
      </c>
      <c r="R3065" s="177" t="s">
        <v>2723</v>
      </c>
      <c r="S3065" s="354"/>
      <c r="T3065" s="173"/>
      <c r="U3065" s="173"/>
      <c r="V3065" s="173"/>
      <c r="W3065" s="324" t="s">
        <v>4124</v>
      </c>
      <c r="X3065" s="656" t="s">
        <v>3154</v>
      </c>
      <c r="Y3065" s="363"/>
      <c r="Z3065" s="364"/>
      <c r="AA3065" s="364"/>
      <c r="AB3065" s="32">
        <f t="shared" ca="1" si="68"/>
        <v>0.9348192424331262</v>
      </c>
      <c r="AC3065" s="812"/>
      <c r="AD3065" s="763"/>
      <c r="AE3065" s="951"/>
      <c r="AF3065" s="921">
        <f>IF(X3065=X3064,AF3064,0)+IF(ISNUMBER(I3065),IF(I3065&lt;1,I3065,I3065*VLOOKUP(J3065,Summary!$H$2:$I$9,2)),VLOOKUP(J3065,Summary!$J$2:$K$9,2)*IF(ISNUMBER(H3065),H3065,1))</f>
        <v>5.8472222222222224E-2</v>
      </c>
      <c r="AG3065" s="288">
        <v>3064</v>
      </c>
      <c r="AH3065" s="94"/>
      <c r="AI3065" s="94"/>
    </row>
    <row r="3066" spans="1:35" s="22" customFormat="1" ht="12" customHeight="1" x14ac:dyDescent="0.2">
      <c r="A3066" s="405" t="s">
        <v>3410</v>
      </c>
      <c r="B3066" s="406" t="s">
        <v>6153</v>
      </c>
      <c r="C3066" s="405">
        <v>1.2</v>
      </c>
      <c r="D3066" s="407" t="s">
        <v>3413</v>
      </c>
      <c r="E3066" s="315" t="s">
        <v>5112</v>
      </c>
      <c r="F3066" s="169">
        <v>37104</v>
      </c>
      <c r="G3066" s="170"/>
      <c r="H3066" s="170">
        <v>1</v>
      </c>
      <c r="I3066" s="746">
        <f>TIME(1,12,0)</f>
        <v>4.9999999999999996E-2</v>
      </c>
      <c r="J3066" s="899" t="s">
        <v>4706</v>
      </c>
      <c r="K3066" s="167" t="s">
        <v>4549</v>
      </c>
      <c r="L3066" s="167" t="s">
        <v>4549</v>
      </c>
      <c r="M3066" s="167"/>
      <c r="N3066" s="167"/>
      <c r="O3066" s="167" t="s">
        <v>2500</v>
      </c>
      <c r="P3066" s="168" t="s">
        <v>5113</v>
      </c>
      <c r="Q3066" s="167" t="s">
        <v>3947</v>
      </c>
      <c r="R3066" s="172" t="s">
        <v>3154</v>
      </c>
      <c r="S3066" s="388"/>
      <c r="T3066" s="168"/>
      <c r="U3066" s="168"/>
      <c r="V3066" s="168"/>
      <c r="W3066" s="312" t="s">
        <v>9630</v>
      </c>
      <c r="X3066" s="644" t="s">
        <v>3154</v>
      </c>
      <c r="Y3066" s="352" t="s">
        <v>5643</v>
      </c>
      <c r="Z3066" s="353">
        <v>5999</v>
      </c>
      <c r="AA3066" s="353"/>
      <c r="AB3066" s="31">
        <f t="shared" ca="1" si="68"/>
        <v>0.76239279874908494</v>
      </c>
      <c r="AC3066" s="810"/>
      <c r="AD3066" s="811"/>
      <c r="AE3066" s="940"/>
      <c r="AF3066" s="920">
        <f>IF(X3066=X3065,AF3065,0)+IF(ISNUMBER(I3066),IF(I3066&lt;1,I3066,I3066*VLOOKUP(J3066,Summary!$H$2:$I$9,2)),VLOOKUP(J3066,Summary!$J$2:$K$9,2)*IF(ISNUMBER(H3066),H3066,1))</f>
        <v>0.10847222222222222</v>
      </c>
      <c r="AG3066" s="287">
        <v>3065</v>
      </c>
      <c r="AH3066" s="94"/>
      <c r="AI3066" s="94"/>
    </row>
    <row r="3067" spans="1:35" s="22" customFormat="1" ht="12" customHeight="1" x14ac:dyDescent="0.2">
      <c r="A3067" s="541" t="s">
        <v>3410</v>
      </c>
      <c r="B3067" s="541">
        <v>7</v>
      </c>
      <c r="C3067" s="541">
        <v>5</v>
      </c>
      <c r="D3067" s="407" t="s">
        <v>7674</v>
      </c>
      <c r="E3067" s="315" t="s">
        <v>7675</v>
      </c>
      <c r="F3067" s="169">
        <v>39052</v>
      </c>
      <c r="G3067" s="170"/>
      <c r="H3067" s="170">
        <v>1</v>
      </c>
      <c r="I3067" s="746">
        <f>TIME(0,72,6)</f>
        <v>5.0069444444444444E-2</v>
      </c>
      <c r="J3067" s="899" t="s">
        <v>4706</v>
      </c>
      <c r="K3067" s="167" t="s">
        <v>4549</v>
      </c>
      <c r="L3067" s="167" t="s">
        <v>6231</v>
      </c>
      <c r="M3067" s="167"/>
      <c r="N3067" s="167"/>
      <c r="O3067" s="167" t="s">
        <v>2500</v>
      </c>
      <c r="P3067" s="168" t="s">
        <v>8635</v>
      </c>
      <c r="Q3067" s="167" t="s">
        <v>3947</v>
      </c>
      <c r="R3067" s="172" t="s">
        <v>576</v>
      </c>
      <c r="S3067" s="388"/>
      <c r="T3067" s="168"/>
      <c r="U3067" s="168"/>
      <c r="V3067" s="168"/>
      <c r="W3067" s="312" t="s">
        <v>7675</v>
      </c>
      <c r="X3067" s="644" t="s">
        <v>3154</v>
      </c>
      <c r="Y3067" s="352" t="s">
        <v>5398</v>
      </c>
      <c r="Z3067" s="353">
        <v>477</v>
      </c>
      <c r="AA3067" s="353">
        <v>4</v>
      </c>
      <c r="AB3067" s="31">
        <f t="shared" ca="1" si="68"/>
        <v>7.3621832312252833E-2</v>
      </c>
      <c r="AC3067" s="810"/>
      <c r="AD3067" s="811" t="s">
        <v>16439</v>
      </c>
      <c r="AE3067" s="940" t="s">
        <v>15062</v>
      </c>
      <c r="AF3067" s="920">
        <f>IF(X3067=X3066,AF3066,0)+IF(ISNUMBER(I3067),IF(I3067&lt;1,I3067,I3067*VLOOKUP(J3067,Summary!$H$2:$I$9,2)),VLOOKUP(J3067,Summary!$J$2:$K$9,2)*IF(ISNUMBER(H3067),H3067,1))</f>
        <v>0.15854166666666666</v>
      </c>
      <c r="AG3067" s="287">
        <v>3066</v>
      </c>
      <c r="AH3067" s="94"/>
      <c r="AI3067" s="94"/>
    </row>
    <row r="3068" spans="1:35" s="22" customFormat="1" ht="12" customHeight="1" x14ac:dyDescent="0.2">
      <c r="A3068" s="405" t="s">
        <v>4126</v>
      </c>
      <c r="B3068" s="406" t="s">
        <v>6153</v>
      </c>
      <c r="C3068" s="405">
        <v>4.0999999999999996</v>
      </c>
      <c r="D3068" s="407" t="s">
        <v>4127</v>
      </c>
      <c r="E3068" s="315" t="s">
        <v>433</v>
      </c>
      <c r="F3068" s="169">
        <v>39326</v>
      </c>
      <c r="G3068" s="170"/>
      <c r="H3068" s="170">
        <v>1</v>
      </c>
      <c r="I3068" s="746">
        <f>TIME(1,1,17)</f>
        <v>4.2557870370370371E-2</v>
      </c>
      <c r="J3068" s="899" t="s">
        <v>4706</v>
      </c>
      <c r="K3068" s="167" t="s">
        <v>4549</v>
      </c>
      <c r="L3068" s="167" t="s">
        <v>4549</v>
      </c>
      <c r="M3068" s="167"/>
      <c r="N3068" s="167"/>
      <c r="O3068" s="167" t="s">
        <v>4549</v>
      </c>
      <c r="P3068" s="168" t="s">
        <v>4367</v>
      </c>
      <c r="Q3068" s="167" t="s">
        <v>3947</v>
      </c>
      <c r="R3068" s="172" t="s">
        <v>3154</v>
      </c>
      <c r="S3068" s="388"/>
      <c r="T3068" s="168"/>
      <c r="U3068" s="168"/>
      <c r="V3068" s="168"/>
      <c r="W3068" s="312" t="s">
        <v>11453</v>
      </c>
      <c r="X3068" s="644" t="s">
        <v>3154</v>
      </c>
      <c r="Y3068" s="352" t="s">
        <v>5643</v>
      </c>
      <c r="Z3068" s="353">
        <v>5999</v>
      </c>
      <c r="AA3068" s="353"/>
      <c r="AB3068" s="31">
        <f t="shared" ca="1" si="68"/>
        <v>0.50799976052209261</v>
      </c>
      <c r="AC3068" s="810"/>
      <c r="AD3068" s="811" t="s">
        <v>16442</v>
      </c>
      <c r="AE3068" s="940" t="s">
        <v>15062</v>
      </c>
      <c r="AF3068" s="920">
        <f>IF(X3068=X3067,AF3067,0)+IF(ISNUMBER(I3068),IF(I3068&lt;1,I3068,I3068*VLOOKUP(J3068,Summary!$H$2:$I$9,2)),VLOOKUP(J3068,Summary!$J$2:$K$9,2)*IF(ISNUMBER(H3068),H3068,1))</f>
        <v>0.20109953703703703</v>
      </c>
      <c r="AG3068" s="287">
        <v>3067</v>
      </c>
      <c r="AH3068" s="94"/>
      <c r="AI3068" s="94"/>
    </row>
    <row r="3069" spans="1:35" s="3" customFormat="1" ht="12" customHeight="1" x14ac:dyDescent="0.25">
      <c r="A3069" s="405" t="s">
        <v>4126</v>
      </c>
      <c r="B3069" s="406" t="s">
        <v>6153</v>
      </c>
      <c r="C3069" s="405">
        <v>4.2</v>
      </c>
      <c r="D3069" s="407" t="s">
        <v>4128</v>
      </c>
      <c r="E3069" s="315" t="s">
        <v>434</v>
      </c>
      <c r="F3069" s="169">
        <v>39356</v>
      </c>
      <c r="G3069" s="170"/>
      <c r="H3069" s="170">
        <v>1</v>
      </c>
      <c r="I3069" s="746">
        <f>TIME(1,1,38)</f>
        <v>4.280092592592593E-2</v>
      </c>
      <c r="J3069" s="899" t="s">
        <v>4706</v>
      </c>
      <c r="K3069" s="167" t="s">
        <v>4549</v>
      </c>
      <c r="L3069" s="167" t="s">
        <v>4549</v>
      </c>
      <c r="M3069" s="167"/>
      <c r="N3069" s="167"/>
      <c r="O3069" s="167" t="s">
        <v>437</v>
      </c>
      <c r="P3069" s="168" t="s">
        <v>4368</v>
      </c>
      <c r="Q3069" s="167" t="s">
        <v>3947</v>
      </c>
      <c r="R3069" s="172" t="s">
        <v>3154</v>
      </c>
      <c r="S3069" s="388"/>
      <c r="T3069" s="168"/>
      <c r="U3069" s="168"/>
      <c r="V3069" s="168"/>
      <c r="W3069" s="312" t="s">
        <v>11452</v>
      </c>
      <c r="X3069" s="644" t="s">
        <v>3154</v>
      </c>
      <c r="Y3069" s="352" t="s">
        <v>5643</v>
      </c>
      <c r="Z3069" s="353">
        <v>5999</v>
      </c>
      <c r="AA3069" s="353"/>
      <c r="AB3069" s="31">
        <f t="shared" ca="1" si="68"/>
        <v>0.24852411030790822</v>
      </c>
      <c r="AC3069" s="810"/>
      <c r="AD3069" s="811" t="s">
        <v>16442</v>
      </c>
      <c r="AE3069" s="940" t="s">
        <v>15062</v>
      </c>
      <c r="AF3069" s="920">
        <f>IF(X3069=X3068,AF3068,0)+IF(ISNUMBER(I3069),IF(I3069&lt;1,I3069,I3069*VLOOKUP(J3069,Summary!$H$2:$I$9,2)),VLOOKUP(J3069,Summary!$J$2:$K$9,2)*IF(ISNUMBER(H3069),H3069,1))</f>
        <v>0.24390046296296297</v>
      </c>
      <c r="AG3069" s="287">
        <v>3068</v>
      </c>
      <c r="AH3069" s="94"/>
      <c r="AI3069" s="94"/>
    </row>
    <row r="3070" spans="1:35" s="29" customFormat="1" ht="12" customHeight="1" x14ac:dyDescent="0.25">
      <c r="A3070" s="405" t="s">
        <v>4126</v>
      </c>
      <c r="B3070" s="406" t="s">
        <v>6153</v>
      </c>
      <c r="C3070" s="405">
        <v>4.3</v>
      </c>
      <c r="D3070" s="407" t="s">
        <v>4129</v>
      </c>
      <c r="E3070" s="315" t="s">
        <v>435</v>
      </c>
      <c r="F3070" s="169">
        <v>39387</v>
      </c>
      <c r="G3070" s="170"/>
      <c r="H3070" s="170">
        <v>1</v>
      </c>
      <c r="I3070" s="746">
        <f>TIME(1,0,11)</f>
        <v>4.1793981481481481E-2</v>
      </c>
      <c r="J3070" s="899" t="s">
        <v>4706</v>
      </c>
      <c r="K3070" s="167" t="s">
        <v>4549</v>
      </c>
      <c r="L3070" s="167" t="s">
        <v>4549</v>
      </c>
      <c r="M3070" s="167"/>
      <c r="N3070" s="167"/>
      <c r="O3070" s="167" t="s">
        <v>437</v>
      </c>
      <c r="P3070" s="168" t="s">
        <v>4369</v>
      </c>
      <c r="Q3070" s="167" t="s">
        <v>3947</v>
      </c>
      <c r="R3070" s="172" t="s">
        <v>3154</v>
      </c>
      <c r="S3070" s="388"/>
      <c r="T3070" s="168"/>
      <c r="U3070" s="168"/>
      <c r="V3070" s="168"/>
      <c r="W3070" s="312" t="s">
        <v>11451</v>
      </c>
      <c r="X3070" s="644" t="s">
        <v>3154</v>
      </c>
      <c r="Y3070" s="352" t="s">
        <v>5643</v>
      </c>
      <c r="Z3070" s="353">
        <v>5999</v>
      </c>
      <c r="AA3070" s="353"/>
      <c r="AB3070" s="31">
        <f t="shared" ca="1" si="68"/>
        <v>0.61206657565099054</v>
      </c>
      <c r="AC3070" s="810"/>
      <c r="AD3070" s="811" t="s">
        <v>16442</v>
      </c>
      <c r="AE3070" s="940" t="s">
        <v>15062</v>
      </c>
      <c r="AF3070" s="920">
        <f>IF(X3070=X3069,AF3069,0)+IF(ISNUMBER(I3070),IF(I3070&lt;1,I3070,I3070*VLOOKUP(J3070,Summary!$H$2:$I$9,2)),VLOOKUP(J3070,Summary!$J$2:$K$9,2)*IF(ISNUMBER(H3070),H3070,1))</f>
        <v>0.28569444444444447</v>
      </c>
      <c r="AG3070" s="287">
        <v>3069</v>
      </c>
      <c r="AH3070" s="94"/>
      <c r="AI3070" s="94"/>
    </row>
    <row r="3071" spans="1:35" s="22" customFormat="1" ht="12" customHeight="1" x14ac:dyDescent="0.2">
      <c r="A3071" s="405" t="s">
        <v>4126</v>
      </c>
      <c r="B3071" s="406" t="s">
        <v>6153</v>
      </c>
      <c r="C3071" s="405">
        <v>4.4000000000000004</v>
      </c>
      <c r="D3071" s="407" t="s">
        <v>4130</v>
      </c>
      <c r="E3071" s="315" t="s">
        <v>436</v>
      </c>
      <c r="F3071" s="169">
        <v>39417</v>
      </c>
      <c r="G3071" s="170"/>
      <c r="H3071" s="170">
        <v>1</v>
      </c>
      <c r="I3071" s="746">
        <f>TIME(1,0,51)</f>
        <v>4.2256944444444444E-2</v>
      </c>
      <c r="J3071" s="899" t="s">
        <v>4706</v>
      </c>
      <c r="K3071" s="167" t="s">
        <v>4549</v>
      </c>
      <c r="L3071" s="167" t="s">
        <v>4549</v>
      </c>
      <c r="M3071" s="167"/>
      <c r="N3071" s="167"/>
      <c r="O3071" s="167" t="s">
        <v>437</v>
      </c>
      <c r="P3071" s="168" t="s">
        <v>770</v>
      </c>
      <c r="Q3071" s="167" t="s">
        <v>3947</v>
      </c>
      <c r="R3071" s="172" t="s">
        <v>3154</v>
      </c>
      <c r="S3071" s="388"/>
      <c r="T3071" s="168"/>
      <c r="U3071" s="168"/>
      <c r="V3071" s="168"/>
      <c r="W3071" s="312" t="s">
        <v>11450</v>
      </c>
      <c r="X3071" s="644" t="s">
        <v>3154</v>
      </c>
      <c r="Y3071" s="352" t="s">
        <v>5643</v>
      </c>
      <c r="Z3071" s="353">
        <v>5999</v>
      </c>
      <c r="AA3071" s="353"/>
      <c r="AB3071" s="31">
        <f t="shared" ca="1" si="68"/>
        <v>0.47809220448899414</v>
      </c>
      <c r="AC3071" s="810"/>
      <c r="AD3071" s="811" t="s">
        <v>16442</v>
      </c>
      <c r="AE3071" s="940" t="s">
        <v>15062</v>
      </c>
      <c r="AF3071" s="920">
        <f>IF(X3071=X3070,AF3070,0)+IF(ISNUMBER(I3071),IF(I3071&lt;1,I3071,I3071*VLOOKUP(J3071,Summary!$H$2:$I$9,2)),VLOOKUP(J3071,Summary!$J$2:$K$9,2)*IF(ISNUMBER(H3071),H3071,1))</f>
        <v>0.32795138888888892</v>
      </c>
      <c r="AG3071" s="287">
        <v>3070</v>
      </c>
      <c r="AH3071" s="94"/>
      <c r="AI3071" s="94"/>
    </row>
    <row r="3072" spans="1:35" s="1" customFormat="1" ht="12" customHeight="1" x14ac:dyDescent="0.25">
      <c r="A3072" s="408" t="s">
        <v>3410</v>
      </c>
      <c r="B3072" s="440" t="s">
        <v>6153</v>
      </c>
      <c r="C3072" s="408">
        <v>22.03</v>
      </c>
      <c r="D3072" s="434" t="s">
        <v>1680</v>
      </c>
      <c r="E3072" s="324" t="s">
        <v>4125</v>
      </c>
      <c r="F3072" s="174">
        <v>39052</v>
      </c>
      <c r="G3072" s="174"/>
      <c r="H3072" s="176">
        <v>1</v>
      </c>
      <c r="I3072" s="176">
        <v>18</v>
      </c>
      <c r="J3072" s="900" t="s">
        <v>2755</v>
      </c>
      <c r="K3072" s="164" t="s">
        <v>6247</v>
      </c>
      <c r="L3072" s="164" t="s">
        <v>461</v>
      </c>
      <c r="M3072" s="164"/>
      <c r="N3072" s="164" t="s">
        <v>4549</v>
      </c>
      <c r="O3072" s="164"/>
      <c r="P3072" s="173" t="s">
        <v>522</v>
      </c>
      <c r="Q3072" s="164" t="s">
        <v>3947</v>
      </c>
      <c r="R3072" s="177" t="s">
        <v>2723</v>
      </c>
      <c r="S3072" s="354"/>
      <c r="T3072" s="173"/>
      <c r="U3072" s="173"/>
      <c r="V3072" s="173"/>
      <c r="W3072" s="324" t="s">
        <v>4125</v>
      </c>
      <c r="X3072" s="656" t="s">
        <v>3154</v>
      </c>
      <c r="Y3072" s="363"/>
      <c r="Z3072" s="364"/>
      <c r="AA3072" s="364"/>
      <c r="AB3072" s="32">
        <f t="shared" ca="1" si="68"/>
        <v>0.6712536409604799</v>
      </c>
      <c r="AC3072" s="812"/>
      <c r="AD3072" s="763"/>
      <c r="AE3072" s="951"/>
      <c r="AF3072" s="921">
        <f>IF(X3072=X3071,AF3071,0)+IF(ISNUMBER(I3072),IF(I3072&lt;1,I3072,I3072*VLOOKUP(J3072,Summary!$H$2:$I$9,2)),VLOOKUP(J3072,Summary!$J$2:$K$9,2)*IF(ISNUMBER(H3072),H3072,1))</f>
        <v>0.34045138888888893</v>
      </c>
      <c r="AG3072" s="288">
        <v>3071</v>
      </c>
      <c r="AH3072" s="94"/>
      <c r="AI3072" s="94"/>
    </row>
    <row r="3073" spans="1:35" s="3" customFormat="1" ht="12" customHeight="1" x14ac:dyDescent="0.25">
      <c r="A3073" s="408" t="s">
        <v>3410</v>
      </c>
      <c r="B3073" s="440" t="s">
        <v>6153</v>
      </c>
      <c r="C3073" s="408">
        <v>22.05</v>
      </c>
      <c r="D3073" s="434" t="s">
        <v>1679</v>
      </c>
      <c r="E3073" s="324" t="s">
        <v>1678</v>
      </c>
      <c r="F3073" s="174">
        <v>39052</v>
      </c>
      <c r="G3073" s="174"/>
      <c r="H3073" s="176">
        <v>1</v>
      </c>
      <c r="I3073" s="176">
        <v>13</v>
      </c>
      <c r="J3073" s="900" t="s">
        <v>2755</v>
      </c>
      <c r="K3073" s="164" t="s">
        <v>6247</v>
      </c>
      <c r="L3073" s="164" t="s">
        <v>461</v>
      </c>
      <c r="M3073" s="164"/>
      <c r="N3073" s="164" t="s">
        <v>4549</v>
      </c>
      <c r="O3073" s="164"/>
      <c r="P3073" s="173" t="s">
        <v>522</v>
      </c>
      <c r="Q3073" s="164" t="s">
        <v>3947</v>
      </c>
      <c r="R3073" s="177" t="s">
        <v>2723</v>
      </c>
      <c r="S3073" s="354"/>
      <c r="T3073" s="173"/>
      <c r="U3073" s="173"/>
      <c r="V3073" s="173"/>
      <c r="W3073" s="324" t="s">
        <v>1678</v>
      </c>
      <c r="X3073" s="656" t="s">
        <v>3154</v>
      </c>
      <c r="Y3073" s="363"/>
      <c r="Z3073" s="364"/>
      <c r="AA3073" s="364"/>
      <c r="AB3073" s="32">
        <f t="shared" ca="1" si="68"/>
        <v>0.26952235203222685</v>
      </c>
      <c r="AC3073" s="812"/>
      <c r="AD3073" s="763"/>
      <c r="AE3073" s="951"/>
      <c r="AF3073" s="921">
        <f>IF(X3073=X3072,AF3072,0)+IF(ISNUMBER(I3073),IF(I3073&lt;1,I3073,I3073*VLOOKUP(J3073,Summary!$H$2:$I$9,2)),VLOOKUP(J3073,Summary!$J$2:$K$9,2)*IF(ISNUMBER(H3073),H3073,1))</f>
        <v>0.34947916666666673</v>
      </c>
      <c r="AG3073" s="288">
        <v>3072</v>
      </c>
      <c r="AH3073" s="94"/>
      <c r="AI3073" s="94"/>
    </row>
    <row r="3074" spans="1:35" s="3" customFormat="1" ht="12" customHeight="1" x14ac:dyDescent="0.25">
      <c r="A3074" s="405" t="s">
        <v>3410</v>
      </c>
      <c r="B3074" s="406" t="s">
        <v>6153</v>
      </c>
      <c r="C3074" s="405">
        <v>1.3</v>
      </c>
      <c r="D3074" s="407" t="s">
        <v>3414</v>
      </c>
      <c r="E3074" s="315" t="s">
        <v>5114</v>
      </c>
      <c r="F3074" s="196">
        <v>37193</v>
      </c>
      <c r="G3074" s="170"/>
      <c r="H3074" s="170">
        <v>1</v>
      </c>
      <c r="I3074" s="746">
        <f>TIME(1,12,56)</f>
        <v>5.0648148148148144E-2</v>
      </c>
      <c r="J3074" s="899" t="s">
        <v>4706</v>
      </c>
      <c r="K3074" s="167" t="s">
        <v>4549</v>
      </c>
      <c r="L3074" s="167" t="s">
        <v>4549</v>
      </c>
      <c r="M3074" s="167"/>
      <c r="N3074" s="167"/>
      <c r="O3074" s="167" t="s">
        <v>2500</v>
      </c>
      <c r="P3074" s="168" t="s">
        <v>5116</v>
      </c>
      <c r="Q3074" s="167" t="s">
        <v>3947</v>
      </c>
      <c r="R3074" s="172" t="s">
        <v>3154</v>
      </c>
      <c r="S3074" s="388"/>
      <c r="T3074" s="168"/>
      <c r="U3074" s="168"/>
      <c r="V3074" s="168"/>
      <c r="W3074" s="312" t="s">
        <v>9631</v>
      </c>
      <c r="X3074" s="644" t="s">
        <v>3154</v>
      </c>
      <c r="Y3074" s="352" t="s">
        <v>5643</v>
      </c>
      <c r="Z3074" s="353">
        <v>5999</v>
      </c>
      <c r="AA3074" s="353"/>
      <c r="AB3074" s="31">
        <f t="shared" ref="AB3074:AB3137" ca="1" si="70">RAND()</f>
        <v>9.4731441742222033E-2</v>
      </c>
      <c r="AC3074" s="810"/>
      <c r="AD3074" s="811" t="s">
        <v>16441</v>
      </c>
      <c r="AE3074" s="940" t="s">
        <v>15062</v>
      </c>
      <c r="AF3074" s="920">
        <f>IF(X3074=X3073,AF3073,0)+IF(ISNUMBER(I3074),IF(I3074&lt;1,I3074,I3074*VLOOKUP(J3074,Summary!$H$2:$I$9,2)),VLOOKUP(J3074,Summary!$J$2:$K$9,2)*IF(ISNUMBER(H3074),H3074,1))</f>
        <v>0.40012731481481489</v>
      </c>
      <c r="AG3074" s="287">
        <v>3073</v>
      </c>
      <c r="AH3074" s="94"/>
      <c r="AI3074" s="94"/>
    </row>
    <row r="3075" spans="1:35" s="3" customFormat="1" ht="12" customHeight="1" x14ac:dyDescent="0.25">
      <c r="A3075" s="405" t="s">
        <v>3410</v>
      </c>
      <c r="B3075" s="406" t="s">
        <v>6153</v>
      </c>
      <c r="C3075" s="405">
        <v>1.4</v>
      </c>
      <c r="D3075" s="407" t="s">
        <v>3415</v>
      </c>
      <c r="E3075" s="315" t="s">
        <v>5115</v>
      </c>
      <c r="F3075" s="169">
        <v>37257</v>
      </c>
      <c r="G3075" s="170"/>
      <c r="H3075" s="170">
        <v>1</v>
      </c>
      <c r="I3075" s="746">
        <f>TIME(1,14,0)</f>
        <v>5.1388888888888894E-2</v>
      </c>
      <c r="J3075" s="899" t="s">
        <v>4706</v>
      </c>
      <c r="K3075" s="167" t="s">
        <v>4549</v>
      </c>
      <c r="L3075" s="167" t="s">
        <v>4549</v>
      </c>
      <c r="M3075" s="167"/>
      <c r="N3075" s="167"/>
      <c r="O3075" s="167" t="s">
        <v>2500</v>
      </c>
      <c r="P3075" s="168" t="s">
        <v>5117</v>
      </c>
      <c r="Q3075" s="167" t="s">
        <v>3947</v>
      </c>
      <c r="R3075" s="172" t="s">
        <v>3154</v>
      </c>
      <c r="S3075" s="388"/>
      <c r="T3075" s="168"/>
      <c r="U3075" s="168"/>
      <c r="V3075" s="168"/>
      <c r="W3075" s="312" t="s">
        <v>9632</v>
      </c>
      <c r="X3075" s="644" t="s">
        <v>3154</v>
      </c>
      <c r="Y3075" s="352" t="s">
        <v>5643</v>
      </c>
      <c r="Z3075" s="353">
        <v>5999</v>
      </c>
      <c r="AA3075" s="353"/>
      <c r="AB3075" s="31">
        <f t="shared" ca="1" si="70"/>
        <v>0.84508326277758972</v>
      </c>
      <c r="AC3075" s="810"/>
      <c r="AD3075" s="811" t="s">
        <v>16441</v>
      </c>
      <c r="AE3075" s="940" t="s">
        <v>15062</v>
      </c>
      <c r="AF3075" s="920">
        <f>IF(X3075=X3074,AF3074,0)+IF(ISNUMBER(I3075),IF(I3075&lt;1,I3075,I3075*VLOOKUP(J3075,Summary!$H$2:$I$9,2)),VLOOKUP(J3075,Summary!$J$2:$K$9,2)*IF(ISNUMBER(H3075),H3075,1))</f>
        <v>0.45151620370370377</v>
      </c>
      <c r="AG3075" s="287">
        <v>3074</v>
      </c>
      <c r="AH3075" s="94"/>
      <c r="AI3075" s="94"/>
    </row>
    <row r="3076" spans="1:35" s="3" customFormat="1" ht="12" customHeight="1" x14ac:dyDescent="0.25">
      <c r="A3076" s="405" t="s">
        <v>5743</v>
      </c>
      <c r="B3076" s="406" t="s">
        <v>6153</v>
      </c>
      <c r="C3076" s="405">
        <v>2.1</v>
      </c>
      <c r="D3076" s="407" t="s">
        <v>1659</v>
      </c>
      <c r="E3076" s="315" t="s">
        <v>5744</v>
      </c>
      <c r="F3076" s="169">
        <v>37622</v>
      </c>
      <c r="G3076" s="170"/>
      <c r="H3076" s="170">
        <v>1</v>
      </c>
      <c r="I3076" s="746">
        <f>TIME(1,9,24)</f>
        <v>4.8194444444444449E-2</v>
      </c>
      <c r="J3076" s="899" t="s">
        <v>4706</v>
      </c>
      <c r="K3076" s="167" t="s">
        <v>4549</v>
      </c>
      <c r="L3076" s="167" t="s">
        <v>4549</v>
      </c>
      <c r="M3076" s="167"/>
      <c r="N3076" s="167"/>
      <c r="O3076" s="167" t="s">
        <v>2500</v>
      </c>
      <c r="P3076" s="168" t="s">
        <v>8641</v>
      </c>
      <c r="Q3076" s="167" t="s">
        <v>3947</v>
      </c>
      <c r="R3076" s="172" t="s">
        <v>3154</v>
      </c>
      <c r="S3076" s="388"/>
      <c r="T3076" s="168"/>
      <c r="U3076" s="168"/>
      <c r="V3076" s="168"/>
      <c r="W3076" s="312" t="s">
        <v>9519</v>
      </c>
      <c r="X3076" s="644" t="s">
        <v>3154</v>
      </c>
      <c r="Y3076" s="352" t="s">
        <v>5643</v>
      </c>
      <c r="Z3076" s="353">
        <v>5999</v>
      </c>
      <c r="AA3076" s="353"/>
      <c r="AB3076" s="31">
        <f t="shared" ca="1" si="70"/>
        <v>0.95370126060410521</v>
      </c>
      <c r="AC3076" s="810"/>
      <c r="AD3076" s="811" t="s">
        <v>16460</v>
      </c>
      <c r="AE3076" s="940" t="s">
        <v>15062</v>
      </c>
      <c r="AF3076" s="920">
        <f>IF(X3076=X3075,AF3075,0)+IF(ISNUMBER(I3076),IF(I3076&lt;1,I3076,I3076*VLOOKUP(J3076,Summary!$H$2:$I$9,2)),VLOOKUP(J3076,Summary!$J$2:$K$9,2)*IF(ISNUMBER(H3076),H3076,1))</f>
        <v>0.4997106481481482</v>
      </c>
      <c r="AG3076" s="287">
        <v>3075</v>
      </c>
      <c r="AH3076" s="94"/>
      <c r="AI3076" s="94"/>
    </row>
    <row r="3077" spans="1:35" s="22" customFormat="1" ht="12" customHeight="1" x14ac:dyDescent="0.2">
      <c r="A3077" s="405" t="s">
        <v>5743</v>
      </c>
      <c r="B3077" s="406" t="s">
        <v>6153</v>
      </c>
      <c r="C3077" s="405">
        <v>2.2000000000000002</v>
      </c>
      <c r="D3077" s="407" t="s">
        <v>1660</v>
      </c>
      <c r="E3077" s="315" t="s">
        <v>1656</v>
      </c>
      <c r="F3077" s="169">
        <v>37653</v>
      </c>
      <c r="G3077" s="170"/>
      <c r="H3077" s="170">
        <v>1</v>
      </c>
      <c r="I3077" s="746">
        <f>TIME(0,58,24)</f>
        <v>4.0555555555555553E-2</v>
      </c>
      <c r="J3077" s="899" t="s">
        <v>4706</v>
      </c>
      <c r="K3077" s="167" t="s">
        <v>4549</v>
      </c>
      <c r="L3077" s="167" t="s">
        <v>4549</v>
      </c>
      <c r="M3077" s="167"/>
      <c r="N3077" s="167"/>
      <c r="O3077" s="167" t="s">
        <v>2500</v>
      </c>
      <c r="P3077" s="168" t="s">
        <v>8642</v>
      </c>
      <c r="Q3077" s="167" t="s">
        <v>3947</v>
      </c>
      <c r="R3077" s="172" t="s">
        <v>3154</v>
      </c>
      <c r="S3077" s="388"/>
      <c r="T3077" s="168"/>
      <c r="U3077" s="168"/>
      <c r="V3077" s="168"/>
      <c r="W3077" s="312" t="s">
        <v>9520</v>
      </c>
      <c r="X3077" s="644" t="s">
        <v>3154</v>
      </c>
      <c r="Y3077" s="352" t="s">
        <v>5643</v>
      </c>
      <c r="Z3077" s="353">
        <v>5999</v>
      </c>
      <c r="AA3077" s="353"/>
      <c r="AB3077" s="31">
        <f t="shared" ca="1" si="70"/>
        <v>0.96264485898583185</v>
      </c>
      <c r="AC3077" s="810"/>
      <c r="AD3077" s="811"/>
      <c r="AE3077" s="940"/>
      <c r="AF3077" s="920">
        <f>IF(X3077=X3076,AF3076,0)+IF(ISNUMBER(I3077),IF(I3077&lt;1,I3077,I3077*VLOOKUP(J3077,Summary!$H$2:$I$9,2)),VLOOKUP(J3077,Summary!$J$2:$K$9,2)*IF(ISNUMBER(H3077),H3077,1))</f>
        <v>0.54026620370370371</v>
      </c>
      <c r="AG3077" s="287">
        <v>3076</v>
      </c>
      <c r="AH3077" s="94"/>
      <c r="AI3077" s="94"/>
    </row>
    <row r="3078" spans="1:35" s="22" customFormat="1" ht="12" customHeight="1" x14ac:dyDescent="0.2">
      <c r="A3078" s="405" t="s">
        <v>5743</v>
      </c>
      <c r="B3078" s="406" t="s">
        <v>6153</v>
      </c>
      <c r="C3078" s="405">
        <v>2.2999999999999998</v>
      </c>
      <c r="D3078" s="407" t="s">
        <v>1661</v>
      </c>
      <c r="E3078" s="315" t="s">
        <v>1657</v>
      </c>
      <c r="F3078" s="169">
        <v>37681</v>
      </c>
      <c r="G3078" s="170"/>
      <c r="H3078" s="170">
        <v>1</v>
      </c>
      <c r="I3078" s="746">
        <f>TIME(0,58,44)</f>
        <v>4.0787037037037038E-2</v>
      </c>
      <c r="J3078" s="899" t="s">
        <v>4706</v>
      </c>
      <c r="K3078" s="167" t="s">
        <v>4549</v>
      </c>
      <c r="L3078" s="167" t="s">
        <v>4549</v>
      </c>
      <c r="M3078" s="167"/>
      <c r="N3078" s="167"/>
      <c r="O3078" s="167" t="s">
        <v>2500</v>
      </c>
      <c r="P3078" s="168" t="s">
        <v>8643</v>
      </c>
      <c r="Q3078" s="167" t="s">
        <v>3947</v>
      </c>
      <c r="R3078" s="172" t="s">
        <v>3154</v>
      </c>
      <c r="S3078" s="388"/>
      <c r="T3078" s="168"/>
      <c r="U3078" s="168"/>
      <c r="V3078" s="168"/>
      <c r="W3078" s="312" t="s">
        <v>9521</v>
      </c>
      <c r="X3078" s="644" t="s">
        <v>3154</v>
      </c>
      <c r="Y3078" s="352" t="s">
        <v>5643</v>
      </c>
      <c r="Z3078" s="353">
        <v>5999</v>
      </c>
      <c r="AA3078" s="353"/>
      <c r="AB3078" s="31">
        <f t="shared" ca="1" si="70"/>
        <v>0.74094509627433203</v>
      </c>
      <c r="AC3078" s="810"/>
      <c r="AD3078" s="811"/>
      <c r="AE3078" s="940"/>
      <c r="AF3078" s="920">
        <f>IF(X3078=X3077,AF3077,0)+IF(ISNUMBER(I3078),IF(I3078&lt;1,I3078,I3078*VLOOKUP(J3078,Summary!$H$2:$I$9,2)),VLOOKUP(J3078,Summary!$J$2:$K$9,2)*IF(ISNUMBER(H3078),H3078,1))</f>
        <v>0.58105324074074072</v>
      </c>
      <c r="AG3078" s="287">
        <v>3077</v>
      </c>
      <c r="AH3078" s="94"/>
      <c r="AI3078" s="94"/>
    </row>
    <row r="3079" spans="1:35" s="3" customFormat="1" ht="12" customHeight="1" x14ac:dyDescent="0.25">
      <c r="A3079" s="405" t="s">
        <v>5743</v>
      </c>
      <c r="B3079" s="406" t="s">
        <v>6153</v>
      </c>
      <c r="C3079" s="405">
        <v>2.4</v>
      </c>
      <c r="D3079" s="407" t="s">
        <v>1662</v>
      </c>
      <c r="E3079" s="315" t="s">
        <v>1658</v>
      </c>
      <c r="F3079" s="169">
        <v>37712</v>
      </c>
      <c r="G3079" s="170"/>
      <c r="H3079" s="170">
        <v>1</v>
      </c>
      <c r="I3079" s="746">
        <f>TIME(2,19,15)</f>
        <v>9.6701388888888892E-2</v>
      </c>
      <c r="J3079" s="899" t="s">
        <v>4706</v>
      </c>
      <c r="K3079" s="167" t="s">
        <v>4549</v>
      </c>
      <c r="L3079" s="167" t="s">
        <v>4549</v>
      </c>
      <c r="M3079" s="167"/>
      <c r="N3079" s="167"/>
      <c r="O3079" s="167" t="s">
        <v>2500</v>
      </c>
      <c r="P3079" s="168" t="s">
        <v>8644</v>
      </c>
      <c r="Q3079" s="167" t="s">
        <v>3947</v>
      </c>
      <c r="R3079" s="172" t="s">
        <v>3154</v>
      </c>
      <c r="S3079" s="388"/>
      <c r="T3079" s="168"/>
      <c r="U3079" s="168"/>
      <c r="V3079" s="168"/>
      <c r="W3079" s="312" t="s">
        <v>2216</v>
      </c>
      <c r="X3079" s="644" t="s">
        <v>3154</v>
      </c>
      <c r="Y3079" s="352" t="s">
        <v>5643</v>
      </c>
      <c r="Z3079" s="353">
        <v>5999</v>
      </c>
      <c r="AA3079" s="353"/>
      <c r="AB3079" s="31">
        <f t="shared" ca="1" si="70"/>
        <v>0.49396004759243606</v>
      </c>
      <c r="AC3079" s="810"/>
      <c r="AD3079" s="811" t="s">
        <v>16459</v>
      </c>
      <c r="AE3079" s="940" t="s">
        <v>15062</v>
      </c>
      <c r="AF3079" s="920">
        <f>IF(X3079=X3078,AF3078,0)+IF(ISNUMBER(I3079),IF(I3079&lt;1,I3079,I3079*VLOOKUP(J3079,Summary!$H$2:$I$9,2)),VLOOKUP(J3079,Summary!$J$2:$K$9,2)*IF(ISNUMBER(H3079),H3079,1))</f>
        <v>0.67775462962962962</v>
      </c>
      <c r="AG3079" s="287">
        <v>3078</v>
      </c>
      <c r="AH3079" s="94"/>
      <c r="AI3079" s="94"/>
    </row>
    <row r="3080" spans="1:35" s="22" customFormat="1" ht="12" customHeight="1" x14ac:dyDescent="0.2">
      <c r="A3080" s="405" t="s">
        <v>1663</v>
      </c>
      <c r="B3080" s="406" t="s">
        <v>6153</v>
      </c>
      <c r="C3080" s="405">
        <v>3.1</v>
      </c>
      <c r="D3080" s="407" t="s">
        <v>1670</v>
      </c>
      <c r="E3080" s="315" t="s">
        <v>1664</v>
      </c>
      <c r="F3080" s="169">
        <v>38108</v>
      </c>
      <c r="G3080" s="170"/>
      <c r="H3080" s="170">
        <v>1</v>
      </c>
      <c r="I3080" s="746">
        <f>TIME(1,12,29)</f>
        <v>5.033564814814815E-2</v>
      </c>
      <c r="J3080" s="899" t="s">
        <v>4706</v>
      </c>
      <c r="K3080" s="167" t="s">
        <v>4549</v>
      </c>
      <c r="L3080" s="167" t="s">
        <v>4549</v>
      </c>
      <c r="M3080" s="167"/>
      <c r="N3080" s="167"/>
      <c r="O3080" s="167" t="s">
        <v>2500</v>
      </c>
      <c r="P3080" s="168" t="s">
        <v>8645</v>
      </c>
      <c r="Q3080" s="167" t="s">
        <v>3947</v>
      </c>
      <c r="R3080" s="172" t="s">
        <v>3154</v>
      </c>
      <c r="S3080" s="388"/>
      <c r="T3080" s="168"/>
      <c r="U3080" s="168"/>
      <c r="V3080" s="168"/>
      <c r="W3080" s="312" t="s">
        <v>1664</v>
      </c>
      <c r="X3080" s="644" t="s">
        <v>3154</v>
      </c>
      <c r="Y3080" s="352" t="s">
        <v>5643</v>
      </c>
      <c r="Z3080" s="353">
        <v>5999</v>
      </c>
      <c r="AA3080" s="353"/>
      <c r="AB3080" s="31">
        <f t="shared" ca="1" si="70"/>
        <v>0.63634147980497535</v>
      </c>
      <c r="AC3080" s="810"/>
      <c r="AD3080" s="811" t="s">
        <v>16461</v>
      </c>
      <c r="AE3080" s="940" t="s">
        <v>15062</v>
      </c>
      <c r="AF3080" s="920">
        <f>IF(X3080=X3079,AF3079,0)+IF(ISNUMBER(I3080),IF(I3080&lt;1,I3080,I3080*VLOOKUP(J3080,Summary!$H$2:$I$9,2)),VLOOKUP(J3080,Summary!$J$2:$K$9,2)*IF(ISNUMBER(H3080),H3080,1))</f>
        <v>0.72809027777777779</v>
      </c>
      <c r="AG3080" s="287">
        <v>3079</v>
      </c>
      <c r="AH3080" s="94"/>
      <c r="AI3080" s="94"/>
    </row>
    <row r="3081" spans="1:35" s="1" customFormat="1" ht="12" customHeight="1" x14ac:dyDescent="0.25">
      <c r="A3081" s="405" t="s">
        <v>1663</v>
      </c>
      <c r="B3081" s="406" t="s">
        <v>6153</v>
      </c>
      <c r="C3081" s="405">
        <v>3.2</v>
      </c>
      <c r="D3081" s="407" t="s">
        <v>1671</v>
      </c>
      <c r="E3081" s="315" t="s">
        <v>1665</v>
      </c>
      <c r="F3081" s="169">
        <v>38139</v>
      </c>
      <c r="G3081" s="170"/>
      <c r="H3081" s="170">
        <v>1</v>
      </c>
      <c r="I3081" s="746">
        <f>TIME(1,10,25)</f>
        <v>4.8900462962962965E-2</v>
      </c>
      <c r="J3081" s="899" t="s">
        <v>4706</v>
      </c>
      <c r="K3081" s="167" t="s">
        <v>4549</v>
      </c>
      <c r="L3081" s="167" t="s">
        <v>4549</v>
      </c>
      <c r="M3081" s="167"/>
      <c r="N3081" s="167"/>
      <c r="O3081" s="167" t="s">
        <v>2500</v>
      </c>
      <c r="P3081" s="168" t="s">
        <v>8646</v>
      </c>
      <c r="Q3081" s="167" t="s">
        <v>3947</v>
      </c>
      <c r="R3081" s="172" t="s">
        <v>3154</v>
      </c>
      <c r="S3081" s="388"/>
      <c r="T3081" s="168"/>
      <c r="U3081" s="168"/>
      <c r="V3081" s="168"/>
      <c r="W3081" s="312" t="s">
        <v>1665</v>
      </c>
      <c r="X3081" s="644" t="s">
        <v>3154</v>
      </c>
      <c r="Y3081" s="352" t="s">
        <v>5643</v>
      </c>
      <c r="Z3081" s="353">
        <v>5999</v>
      </c>
      <c r="AA3081" s="353"/>
      <c r="AB3081" s="31">
        <f t="shared" ca="1" si="70"/>
        <v>0.48284011575882091</v>
      </c>
      <c r="AC3081" s="810"/>
      <c r="AD3081" s="811" t="s">
        <v>16461</v>
      </c>
      <c r="AE3081" s="940" t="s">
        <v>15062</v>
      </c>
      <c r="AF3081" s="920">
        <f>IF(X3081=X3080,AF3080,0)+IF(ISNUMBER(I3081),IF(I3081&lt;1,I3081,I3081*VLOOKUP(J3081,Summary!$H$2:$I$9,2)),VLOOKUP(J3081,Summary!$J$2:$K$9,2)*IF(ISNUMBER(H3081),H3081,1))</f>
        <v>0.77699074074074082</v>
      </c>
      <c r="AG3081" s="287">
        <v>3080</v>
      </c>
      <c r="AH3081" s="94"/>
      <c r="AI3081" s="94"/>
    </row>
    <row r="3082" spans="1:35" s="22" customFormat="1" ht="12" customHeight="1" x14ac:dyDescent="0.2">
      <c r="A3082" s="405" t="s">
        <v>1663</v>
      </c>
      <c r="B3082" s="406" t="s">
        <v>6153</v>
      </c>
      <c r="C3082" s="405">
        <v>3.3</v>
      </c>
      <c r="D3082" s="407" t="s">
        <v>1672</v>
      </c>
      <c r="E3082" s="315" t="s">
        <v>1666</v>
      </c>
      <c r="F3082" s="169">
        <v>38169</v>
      </c>
      <c r="G3082" s="170"/>
      <c r="H3082" s="170">
        <v>1</v>
      </c>
      <c r="I3082" s="746">
        <f>TIME(1,13,43)</f>
        <v>5.1192129629629629E-2</v>
      </c>
      <c r="J3082" s="899" t="s">
        <v>4706</v>
      </c>
      <c r="K3082" s="167" t="s">
        <v>4549</v>
      </c>
      <c r="L3082" s="167" t="s">
        <v>4549</v>
      </c>
      <c r="M3082" s="167"/>
      <c r="N3082" s="167"/>
      <c r="O3082" s="167" t="s">
        <v>2500</v>
      </c>
      <c r="P3082" s="168" t="s">
        <v>8645</v>
      </c>
      <c r="Q3082" s="167" t="s">
        <v>3947</v>
      </c>
      <c r="R3082" s="172" t="s">
        <v>3154</v>
      </c>
      <c r="S3082" s="388"/>
      <c r="T3082" s="168"/>
      <c r="U3082" s="168"/>
      <c r="V3082" s="168"/>
      <c r="W3082" s="312" t="s">
        <v>1666</v>
      </c>
      <c r="X3082" s="644" t="s">
        <v>3154</v>
      </c>
      <c r="Y3082" s="352" t="s">
        <v>5643</v>
      </c>
      <c r="Z3082" s="353">
        <v>5999</v>
      </c>
      <c r="AA3082" s="353"/>
      <c r="AB3082" s="31">
        <f t="shared" ca="1" si="70"/>
        <v>0.48231304698649891</v>
      </c>
      <c r="AC3082" s="810"/>
      <c r="AD3082" s="811" t="s">
        <v>16461</v>
      </c>
      <c r="AE3082" s="940" t="s">
        <v>15062</v>
      </c>
      <c r="AF3082" s="920">
        <f>IF(X3082=X3081,AF3081,0)+IF(ISNUMBER(I3082),IF(I3082&lt;1,I3082,I3082*VLOOKUP(J3082,Summary!$H$2:$I$9,2)),VLOOKUP(J3082,Summary!$J$2:$K$9,2)*IF(ISNUMBER(H3082),H3082,1))</f>
        <v>0.82818287037037042</v>
      </c>
      <c r="AG3082" s="287">
        <v>3081</v>
      </c>
      <c r="AH3082" s="94"/>
      <c r="AI3082" s="94"/>
    </row>
    <row r="3083" spans="1:35" s="22" customFormat="1" ht="12" customHeight="1" x14ac:dyDescent="0.2">
      <c r="A3083" s="405" t="s">
        <v>1663</v>
      </c>
      <c r="B3083" s="406" t="s">
        <v>6153</v>
      </c>
      <c r="C3083" s="405">
        <v>3.4</v>
      </c>
      <c r="D3083" s="407" t="s">
        <v>1673</v>
      </c>
      <c r="E3083" s="315" t="s">
        <v>1667</v>
      </c>
      <c r="F3083" s="169">
        <v>38200</v>
      </c>
      <c r="G3083" s="170"/>
      <c r="H3083" s="170">
        <v>1</v>
      </c>
      <c r="I3083" s="746">
        <f>TIME(1,12,39)</f>
        <v>5.0451388888888893E-2</v>
      </c>
      <c r="J3083" s="899" t="s">
        <v>4706</v>
      </c>
      <c r="K3083" s="167" t="s">
        <v>4549</v>
      </c>
      <c r="L3083" s="167" t="s">
        <v>4549</v>
      </c>
      <c r="M3083" s="167"/>
      <c r="N3083" s="167"/>
      <c r="O3083" s="167" t="s">
        <v>2500</v>
      </c>
      <c r="P3083" s="168" t="s">
        <v>8645</v>
      </c>
      <c r="Q3083" s="167" t="s">
        <v>3947</v>
      </c>
      <c r="R3083" s="172" t="s">
        <v>3154</v>
      </c>
      <c r="S3083" s="388"/>
      <c r="T3083" s="168"/>
      <c r="U3083" s="168"/>
      <c r="V3083" s="168"/>
      <c r="W3083" s="312" t="s">
        <v>1667</v>
      </c>
      <c r="X3083" s="644" t="s">
        <v>3154</v>
      </c>
      <c r="Y3083" s="352" t="s">
        <v>5643</v>
      </c>
      <c r="Z3083" s="353">
        <v>5999</v>
      </c>
      <c r="AA3083" s="353"/>
      <c r="AB3083" s="31">
        <f t="shared" ca="1" si="70"/>
        <v>0.37450423621131657</v>
      </c>
      <c r="AC3083" s="810"/>
      <c r="AD3083" s="811" t="s">
        <v>16461</v>
      </c>
      <c r="AE3083" s="940" t="s">
        <v>15062</v>
      </c>
      <c r="AF3083" s="920">
        <f>IF(X3083=X3082,AF3082,0)+IF(ISNUMBER(I3083),IF(I3083&lt;1,I3083,I3083*VLOOKUP(J3083,Summary!$H$2:$I$9,2)),VLOOKUP(J3083,Summary!$J$2:$K$9,2)*IF(ISNUMBER(H3083),H3083,1))</f>
        <v>0.87863425925925931</v>
      </c>
      <c r="AG3083" s="287">
        <v>3082</v>
      </c>
      <c r="AH3083" s="94"/>
      <c r="AI3083" s="94"/>
    </row>
    <row r="3084" spans="1:35" s="22" customFormat="1" ht="12" customHeight="1" x14ac:dyDescent="0.2">
      <c r="A3084" s="405" t="s">
        <v>1663</v>
      </c>
      <c r="B3084" s="406" t="s">
        <v>6153</v>
      </c>
      <c r="C3084" s="405">
        <v>3.5</v>
      </c>
      <c r="D3084" s="407" t="s">
        <v>1674</v>
      </c>
      <c r="E3084" s="315" t="s">
        <v>1668</v>
      </c>
      <c r="F3084" s="169">
        <v>38261</v>
      </c>
      <c r="G3084" s="170"/>
      <c r="H3084" s="170">
        <v>1</v>
      </c>
      <c r="I3084" s="746">
        <f>TIME(1,13,31)</f>
        <v>5.1053240740740746E-2</v>
      </c>
      <c r="J3084" s="899" t="s">
        <v>4706</v>
      </c>
      <c r="K3084" s="167" t="s">
        <v>4549</v>
      </c>
      <c r="L3084" s="167" t="s">
        <v>4549</v>
      </c>
      <c r="M3084" s="167"/>
      <c r="N3084" s="167"/>
      <c r="O3084" s="167" t="s">
        <v>2500</v>
      </c>
      <c r="P3084" s="168" t="s">
        <v>8647</v>
      </c>
      <c r="Q3084" s="167" t="s">
        <v>3947</v>
      </c>
      <c r="R3084" s="172" t="s">
        <v>3154</v>
      </c>
      <c r="S3084" s="388"/>
      <c r="T3084" s="168"/>
      <c r="U3084" s="168"/>
      <c r="V3084" s="168"/>
      <c r="W3084" s="312" t="s">
        <v>1668</v>
      </c>
      <c r="X3084" s="644" t="s">
        <v>3154</v>
      </c>
      <c r="Y3084" s="352" t="s">
        <v>5643</v>
      </c>
      <c r="Z3084" s="353">
        <v>5999</v>
      </c>
      <c r="AA3084" s="353"/>
      <c r="AB3084" s="31">
        <f t="shared" ca="1" si="70"/>
        <v>0.26508548227165807</v>
      </c>
      <c r="AC3084" s="810"/>
      <c r="AD3084" s="811" t="s">
        <v>16461</v>
      </c>
      <c r="AE3084" s="940" t="s">
        <v>15062</v>
      </c>
      <c r="AF3084" s="920">
        <f>IF(X3084=X3083,AF3083,0)+IF(ISNUMBER(I3084),IF(I3084&lt;1,I3084,I3084*VLOOKUP(J3084,Summary!$H$2:$I$9,2)),VLOOKUP(J3084,Summary!$J$2:$K$9,2)*IF(ISNUMBER(H3084),H3084,1))</f>
        <v>0.9296875</v>
      </c>
      <c r="AG3084" s="287">
        <v>3083</v>
      </c>
      <c r="AH3084" s="94"/>
      <c r="AI3084" s="94"/>
    </row>
    <row r="3085" spans="1:35" s="2" customFormat="1" ht="12" customHeight="1" x14ac:dyDescent="0.25">
      <c r="A3085" s="405" t="s">
        <v>1663</v>
      </c>
      <c r="B3085" s="406" t="s">
        <v>6153</v>
      </c>
      <c r="C3085" s="405">
        <v>3.6</v>
      </c>
      <c r="D3085" s="407" t="s">
        <v>1675</v>
      </c>
      <c r="E3085" s="315" t="s">
        <v>1669</v>
      </c>
      <c r="F3085" s="169">
        <v>38261</v>
      </c>
      <c r="G3085" s="170"/>
      <c r="H3085" s="170">
        <v>1</v>
      </c>
      <c r="I3085" s="746">
        <f>TIME(1,10,32)</f>
        <v>4.898148148148148E-2</v>
      </c>
      <c r="J3085" s="899" t="s">
        <v>4706</v>
      </c>
      <c r="K3085" s="167" t="s">
        <v>4549</v>
      </c>
      <c r="L3085" s="167" t="s">
        <v>4549</v>
      </c>
      <c r="M3085" s="167"/>
      <c r="N3085" s="167"/>
      <c r="O3085" s="167" t="s">
        <v>2500</v>
      </c>
      <c r="P3085" s="168" t="s">
        <v>8648</v>
      </c>
      <c r="Q3085" s="167" t="s">
        <v>3947</v>
      </c>
      <c r="R3085" s="172" t="s">
        <v>3154</v>
      </c>
      <c r="S3085" s="388"/>
      <c r="T3085" s="168"/>
      <c r="U3085" s="168"/>
      <c r="V3085" s="168"/>
      <c r="W3085" s="312" t="s">
        <v>1669</v>
      </c>
      <c r="X3085" s="644" t="s">
        <v>3154</v>
      </c>
      <c r="Y3085" s="352" t="s">
        <v>5643</v>
      </c>
      <c r="Z3085" s="353">
        <v>5999</v>
      </c>
      <c r="AA3085" s="353"/>
      <c r="AB3085" s="31">
        <f t="shared" ca="1" si="70"/>
        <v>0.51625460128219991</v>
      </c>
      <c r="AC3085" s="810"/>
      <c r="AD3085" s="811" t="s">
        <v>16461</v>
      </c>
      <c r="AE3085" s="940" t="s">
        <v>15062</v>
      </c>
      <c r="AF3085" s="920">
        <f>IF(X3085=X3084,AF3084,0)+IF(ISNUMBER(I3085),IF(I3085&lt;1,I3085,I3085*VLOOKUP(J3085,Summary!$H$2:$I$9,2)),VLOOKUP(J3085,Summary!$J$2:$K$9,2)*IF(ISNUMBER(H3085),H3085,1))</f>
        <v>0.97866898148148151</v>
      </c>
      <c r="AG3085" s="287">
        <v>3084</v>
      </c>
      <c r="AH3085" s="94"/>
      <c r="AI3085" s="94"/>
    </row>
    <row r="3086" spans="1:35" s="1" customFormat="1" ht="12" customHeight="1" x14ac:dyDescent="0.25">
      <c r="A3086" s="408" t="s">
        <v>3410</v>
      </c>
      <c r="B3086" s="440" t="s">
        <v>6153</v>
      </c>
      <c r="C3086" s="408">
        <v>22.09</v>
      </c>
      <c r="D3086" s="434" t="s">
        <v>1677</v>
      </c>
      <c r="E3086" s="324" t="s">
        <v>1676</v>
      </c>
      <c r="F3086" s="174">
        <v>39052</v>
      </c>
      <c r="G3086" s="174"/>
      <c r="H3086" s="176">
        <v>1</v>
      </c>
      <c r="I3086" s="176">
        <v>17</v>
      </c>
      <c r="J3086" s="900" t="s">
        <v>2755</v>
      </c>
      <c r="K3086" s="164" t="s">
        <v>543</v>
      </c>
      <c r="L3086" s="164" t="s">
        <v>461</v>
      </c>
      <c r="M3086" s="164"/>
      <c r="N3086" s="164" t="s">
        <v>4549</v>
      </c>
      <c r="O3086" s="164"/>
      <c r="P3086" s="173" t="s">
        <v>522</v>
      </c>
      <c r="Q3086" s="164" t="s">
        <v>3947</v>
      </c>
      <c r="R3086" s="177" t="s">
        <v>2723</v>
      </c>
      <c r="S3086" s="354"/>
      <c r="T3086" s="173"/>
      <c r="U3086" s="173"/>
      <c r="V3086" s="173"/>
      <c r="W3086" s="324" t="s">
        <v>1676</v>
      </c>
      <c r="X3086" s="656" t="s">
        <v>3154</v>
      </c>
      <c r="Y3086" s="363"/>
      <c r="Z3086" s="364"/>
      <c r="AA3086" s="364"/>
      <c r="AB3086" s="32">
        <f t="shared" ca="1" si="70"/>
        <v>0.6266745748491781</v>
      </c>
      <c r="AC3086" s="812"/>
      <c r="AD3086" s="763"/>
      <c r="AE3086" s="951"/>
      <c r="AF3086" s="921">
        <f>IF(X3086=X3085,AF3085,0)+IF(ISNUMBER(I3086),IF(I3086&lt;1,I3086,I3086*VLOOKUP(J3086,Summary!$H$2:$I$9,2)),VLOOKUP(J3086,Summary!$J$2:$K$9,2)*IF(ISNUMBER(H3086),H3086,1))</f>
        <v>0.99047453703703703</v>
      </c>
      <c r="AG3086" s="288">
        <v>3085</v>
      </c>
      <c r="AH3086" s="94"/>
      <c r="AI3086" s="94"/>
    </row>
    <row r="3087" spans="1:35" s="2" customFormat="1" ht="12" customHeight="1" x14ac:dyDescent="0.25">
      <c r="A3087" s="408"/>
      <c r="B3087" s="408" t="s">
        <v>6153</v>
      </c>
      <c r="C3087" s="408">
        <v>7</v>
      </c>
      <c r="D3087" s="434" t="s">
        <v>398</v>
      </c>
      <c r="E3087" s="324" t="s">
        <v>399</v>
      </c>
      <c r="F3087" s="175">
        <v>38995</v>
      </c>
      <c r="G3087" s="175"/>
      <c r="H3087" s="176">
        <v>1</v>
      </c>
      <c r="I3087" s="176"/>
      <c r="J3087" s="900" t="s">
        <v>2755</v>
      </c>
      <c r="K3087" s="157" t="s">
        <v>543</v>
      </c>
      <c r="L3087" s="157"/>
      <c r="M3087" s="157"/>
      <c r="N3087" s="157"/>
      <c r="O3087" s="157"/>
      <c r="P3087" s="173" t="s">
        <v>400</v>
      </c>
      <c r="Q3087" s="157" t="s">
        <v>3954</v>
      </c>
      <c r="R3087" s="179" t="s">
        <v>3609</v>
      </c>
      <c r="S3087" s="354"/>
      <c r="T3087" s="173"/>
      <c r="U3087" s="173"/>
      <c r="V3087" s="173"/>
      <c r="W3087" s="324" t="s">
        <v>399</v>
      </c>
      <c r="X3087" s="656" t="s">
        <v>3154</v>
      </c>
      <c r="Y3087" s="363"/>
      <c r="Z3087" s="364"/>
      <c r="AA3087" s="364"/>
      <c r="AB3087" s="32">
        <f t="shared" ca="1" si="70"/>
        <v>0.9760132656488284</v>
      </c>
      <c r="AC3087" s="812"/>
      <c r="AD3087" s="763"/>
      <c r="AE3087" s="951"/>
      <c r="AF3087" s="921">
        <f>IF(X3087=X3086,AF3086,0)+IF(ISNUMBER(I3087),IF(I3087&lt;1,I3087,I3087*VLOOKUP(J3087,Summary!$H$2:$I$9,2)),VLOOKUP(J3087,Summary!$J$2:$K$9,2)*IF(ISNUMBER(H3087),H3087,1))</f>
        <v>1.0078356481481481</v>
      </c>
      <c r="AG3087" s="288">
        <v>3086</v>
      </c>
      <c r="AH3087" s="94"/>
      <c r="AI3087" s="94"/>
    </row>
    <row r="3088" spans="1:35" s="2" customFormat="1" ht="12" customHeight="1" x14ac:dyDescent="0.25">
      <c r="A3088" s="539" t="s">
        <v>11442</v>
      </c>
      <c r="B3088" s="539">
        <v>7</v>
      </c>
      <c r="C3088" s="542">
        <v>11.16</v>
      </c>
      <c r="D3088" s="176" t="s">
        <v>2474</v>
      </c>
      <c r="E3088" s="313" t="s">
        <v>584</v>
      </c>
      <c r="F3088" s="174">
        <v>38200</v>
      </c>
      <c r="G3088" s="174"/>
      <c r="H3088" s="176">
        <v>1</v>
      </c>
      <c r="I3088" s="176">
        <v>12</v>
      </c>
      <c r="J3088" s="900" t="s">
        <v>2755</v>
      </c>
      <c r="K3088" s="164" t="s">
        <v>2475</v>
      </c>
      <c r="L3088" s="164" t="s">
        <v>461</v>
      </c>
      <c r="M3088" s="164"/>
      <c r="N3088" s="164" t="s">
        <v>7375</v>
      </c>
      <c r="O3088" s="164"/>
      <c r="P3088" s="173" t="s">
        <v>2559</v>
      </c>
      <c r="Q3088" s="164" t="s">
        <v>3947</v>
      </c>
      <c r="R3088" s="177" t="s">
        <v>2723</v>
      </c>
      <c r="S3088" s="354"/>
      <c r="T3088" s="173"/>
      <c r="U3088" s="173"/>
      <c r="V3088" s="173"/>
      <c r="W3088" s="313" t="s">
        <v>584</v>
      </c>
      <c r="X3088" s="645" t="s">
        <v>12476</v>
      </c>
      <c r="Y3088" s="354"/>
      <c r="Z3088" s="176">
        <v>999</v>
      </c>
      <c r="AA3088" s="176"/>
      <c r="AB3088" s="32">
        <f t="shared" ca="1" si="70"/>
        <v>0.53257566781121257</v>
      </c>
      <c r="AC3088" s="812"/>
      <c r="AD3088" s="763"/>
      <c r="AE3088" s="807"/>
      <c r="AF3088" s="921">
        <f>IF(X3088=X3087,AF3087,0)+IF(ISNUMBER(I3088),IF(I3088&lt;1,I3088,I3088*VLOOKUP(J3088,Summary!$H$2:$I$9,2)),VLOOKUP(J3088,Summary!$J$2:$K$9,2)*IF(ISNUMBER(H3088),H3088,1))</f>
        <v>8.3333333333333332E-3</v>
      </c>
      <c r="AG3088" s="289">
        <v>3087</v>
      </c>
      <c r="AH3088" s="94"/>
      <c r="AI3088" s="94"/>
    </row>
    <row r="3089" spans="1:36" s="22" customFormat="1" ht="12" customHeight="1" x14ac:dyDescent="0.25">
      <c r="A3089" s="539" t="s">
        <v>11442</v>
      </c>
      <c r="B3089" s="539">
        <v>7</v>
      </c>
      <c r="C3089" s="542">
        <v>21.07</v>
      </c>
      <c r="D3089" s="176" t="s">
        <v>2482</v>
      </c>
      <c r="E3089" s="313" t="s">
        <v>589</v>
      </c>
      <c r="F3089" s="174">
        <v>38991</v>
      </c>
      <c r="G3089" s="174"/>
      <c r="H3089" s="176">
        <v>1</v>
      </c>
      <c r="I3089" s="176">
        <v>18</v>
      </c>
      <c r="J3089" s="900" t="s">
        <v>2755</v>
      </c>
      <c r="K3089" s="164" t="s">
        <v>941</v>
      </c>
      <c r="L3089" s="164" t="s">
        <v>461</v>
      </c>
      <c r="M3089" s="164"/>
      <c r="N3089" s="164" t="s">
        <v>5664</v>
      </c>
      <c r="O3089" s="164"/>
      <c r="P3089" s="173" t="s">
        <v>3325</v>
      </c>
      <c r="Q3089" s="164" t="s">
        <v>3947</v>
      </c>
      <c r="R3089" s="177" t="s">
        <v>2723</v>
      </c>
      <c r="S3089" s="354"/>
      <c r="T3089" s="173"/>
      <c r="U3089" s="173"/>
      <c r="V3089" s="173"/>
      <c r="W3089" s="313" t="s">
        <v>589</v>
      </c>
      <c r="X3089" s="645" t="s">
        <v>12476</v>
      </c>
      <c r="Y3089" s="354"/>
      <c r="Z3089" s="176"/>
      <c r="AA3089" s="176"/>
      <c r="AB3089" s="32">
        <f t="shared" ca="1" si="70"/>
        <v>0.52889069908605002</v>
      </c>
      <c r="AC3089" s="812"/>
      <c r="AD3089" s="763"/>
      <c r="AE3089" s="807"/>
      <c r="AF3089" s="921">
        <f>IF(X3089=X3088,AF3088,0)+IF(ISNUMBER(I3089),IF(I3089&lt;1,I3089,I3089*VLOOKUP(J3089,Summary!$H$2:$I$9,2)),VLOOKUP(J3089,Summary!$J$2:$K$9,2)*IF(ISNUMBER(H3089),H3089,1))</f>
        <v>2.0833333333333336E-2</v>
      </c>
      <c r="AG3089" s="289">
        <v>3088</v>
      </c>
      <c r="AH3089" s="94"/>
      <c r="AI3089" s="94"/>
    </row>
    <row r="3090" spans="1:36" s="27" customFormat="1" ht="12" customHeight="1" x14ac:dyDescent="0.25">
      <c r="A3090" s="541" t="s">
        <v>11442</v>
      </c>
      <c r="B3090" s="541">
        <v>7</v>
      </c>
      <c r="C3090" s="541">
        <v>96</v>
      </c>
      <c r="D3090" s="407" t="s">
        <v>7678</v>
      </c>
      <c r="E3090" s="315" t="s">
        <v>7679</v>
      </c>
      <c r="F3090" s="169">
        <v>39234</v>
      </c>
      <c r="G3090" s="170"/>
      <c r="H3090" s="170">
        <v>4</v>
      </c>
      <c r="I3090" s="746">
        <f>TIME(1,53,11)</f>
        <v>7.8599537037037037E-2</v>
      </c>
      <c r="J3090" s="899" t="s">
        <v>4706</v>
      </c>
      <c r="K3090" s="167" t="s">
        <v>941</v>
      </c>
      <c r="L3090" s="167" t="s">
        <v>6231</v>
      </c>
      <c r="M3090" s="167"/>
      <c r="N3090" s="167"/>
      <c r="O3090" s="167" t="s">
        <v>2500</v>
      </c>
      <c r="P3090" s="168" t="s">
        <v>12950</v>
      </c>
      <c r="Q3090" s="167" t="s">
        <v>3947</v>
      </c>
      <c r="R3090" s="172" t="s">
        <v>3146</v>
      </c>
      <c r="S3090" s="388"/>
      <c r="T3090" s="168"/>
      <c r="U3090" s="168"/>
      <c r="V3090" s="168"/>
      <c r="W3090" s="312" t="s">
        <v>8442</v>
      </c>
      <c r="X3090" s="644" t="s">
        <v>12476</v>
      </c>
      <c r="Y3090" s="352" t="s">
        <v>5643</v>
      </c>
      <c r="Z3090" s="353">
        <v>395</v>
      </c>
      <c r="AA3090" s="353">
        <v>5</v>
      </c>
      <c r="AB3090" s="31">
        <f t="shared" ca="1" si="70"/>
        <v>0.3198293169652392</v>
      </c>
      <c r="AC3090" s="810"/>
      <c r="AD3090" s="811" t="s">
        <v>16177</v>
      </c>
      <c r="AE3090" s="940" t="s">
        <v>3365</v>
      </c>
      <c r="AF3090" s="920">
        <f>IF(X3090=X3089,AF3089,0)+IF(ISNUMBER(I3090),IF(I3090&lt;1,I3090,I3090*VLOOKUP(J3090,Summary!$H$2:$I$9,2)),VLOOKUP(J3090,Summary!$J$2:$K$9,2)*IF(ISNUMBER(H3090),H3090,1))</f>
        <v>9.943287037037038E-2</v>
      </c>
      <c r="AG3090" s="287">
        <v>3089</v>
      </c>
      <c r="AH3090" s="94"/>
      <c r="AI3090" s="94"/>
    </row>
    <row r="3091" spans="1:36" s="22" customFormat="1" ht="12" customHeight="1" x14ac:dyDescent="0.2">
      <c r="A3091" s="541" t="s">
        <v>11442</v>
      </c>
      <c r="B3091" s="541">
        <v>7</v>
      </c>
      <c r="C3091" s="541">
        <v>98</v>
      </c>
      <c r="D3091" s="407" t="s">
        <v>7680</v>
      </c>
      <c r="E3091" s="315" t="s">
        <v>7681</v>
      </c>
      <c r="F3091" s="169">
        <v>39295</v>
      </c>
      <c r="G3091" s="170"/>
      <c r="H3091" s="170">
        <v>4</v>
      </c>
      <c r="I3091" s="746">
        <f>TIME(2,6,45)</f>
        <v>8.8020833333333326E-2</v>
      </c>
      <c r="J3091" s="899" t="s">
        <v>4706</v>
      </c>
      <c r="K3091" s="167" t="s">
        <v>4549</v>
      </c>
      <c r="L3091" s="167" t="s">
        <v>3296</v>
      </c>
      <c r="M3091" s="167"/>
      <c r="N3091" s="167"/>
      <c r="O3091" s="167" t="s">
        <v>6247</v>
      </c>
      <c r="P3091" s="168" t="s">
        <v>12951</v>
      </c>
      <c r="Q3091" s="167" t="s">
        <v>3947</v>
      </c>
      <c r="R3091" s="172" t="s">
        <v>3146</v>
      </c>
      <c r="S3091" s="388"/>
      <c r="T3091" s="168"/>
      <c r="U3091" s="168"/>
      <c r="V3091" s="168"/>
      <c r="W3091" s="312" t="s">
        <v>9522</v>
      </c>
      <c r="X3091" s="644" t="s">
        <v>12476</v>
      </c>
      <c r="Y3091" s="352" t="s">
        <v>5398</v>
      </c>
      <c r="Z3091" s="353">
        <v>298</v>
      </c>
      <c r="AA3091" s="353">
        <v>5.5</v>
      </c>
      <c r="AB3091" s="31">
        <f t="shared" ca="1" si="70"/>
        <v>0.22205506021007393</v>
      </c>
      <c r="AC3091" s="810"/>
      <c r="AD3091" s="811" t="s">
        <v>16068</v>
      </c>
      <c r="AE3091" s="940"/>
      <c r="AF3091" s="920">
        <f>IF(X3091=X3090,AF3090,0)+IF(ISNUMBER(I3091),IF(I3091&lt;1,I3091,I3091*VLOOKUP(J3091,Summary!$H$2:$I$9,2)),VLOOKUP(J3091,Summary!$J$2:$K$9,2)*IF(ISNUMBER(H3091),H3091,1))</f>
        <v>0.18745370370370371</v>
      </c>
      <c r="AG3091" s="287">
        <v>3090</v>
      </c>
      <c r="AH3091" s="94"/>
      <c r="AI3091" s="94"/>
    </row>
    <row r="3092" spans="1:36" s="3" customFormat="1" ht="12" customHeight="1" x14ac:dyDescent="0.25">
      <c r="A3092" s="539" t="s">
        <v>11442</v>
      </c>
      <c r="B3092" s="539">
        <v>7</v>
      </c>
      <c r="C3092" s="542">
        <v>27.08</v>
      </c>
      <c r="D3092" s="176" t="s">
        <v>2471</v>
      </c>
      <c r="E3092" s="313" t="s">
        <v>581</v>
      </c>
      <c r="F3092" s="174">
        <v>39569</v>
      </c>
      <c r="G3092" s="174"/>
      <c r="H3092" s="176" t="s">
        <v>461</v>
      </c>
      <c r="I3092" s="176">
        <v>22</v>
      </c>
      <c r="J3092" s="900" t="s">
        <v>2755</v>
      </c>
      <c r="K3092" s="164" t="s">
        <v>804</v>
      </c>
      <c r="L3092" s="164" t="s">
        <v>461</v>
      </c>
      <c r="M3092" s="164"/>
      <c r="N3092" s="164" t="s">
        <v>7621</v>
      </c>
      <c r="O3092" s="164"/>
      <c r="P3092" s="173" t="s">
        <v>6705</v>
      </c>
      <c r="Q3092" s="164" t="s">
        <v>3947</v>
      </c>
      <c r="R3092" s="177" t="s">
        <v>2723</v>
      </c>
      <c r="S3092" s="354"/>
      <c r="T3092" s="173"/>
      <c r="U3092" s="173"/>
      <c r="V3092" s="173"/>
      <c r="W3092" s="313" t="s">
        <v>581</v>
      </c>
      <c r="X3092" s="645" t="s">
        <v>12476</v>
      </c>
      <c r="Y3092" s="354"/>
      <c r="Z3092" s="176"/>
      <c r="AA3092" s="176"/>
      <c r="AB3092" s="32">
        <f t="shared" ca="1" si="70"/>
        <v>0.9504400647877721</v>
      </c>
      <c r="AC3092" s="812"/>
      <c r="AD3092" s="763"/>
      <c r="AE3092" s="807"/>
      <c r="AF3092" s="921">
        <f>IF(X3092=X3091,AF3091,0)+IF(ISNUMBER(I3092),IF(I3092&lt;1,I3092,I3092*VLOOKUP(J3092,Summary!$H$2:$I$9,2)),VLOOKUP(J3092,Summary!$J$2:$K$9,2)*IF(ISNUMBER(H3092),H3092,1))</f>
        <v>0.20273148148148148</v>
      </c>
      <c r="AG3092" s="289">
        <v>3091</v>
      </c>
      <c r="AH3092" s="94"/>
      <c r="AI3092" s="94"/>
    </row>
    <row r="3093" spans="1:36" s="27" customFormat="1" ht="12" customHeight="1" x14ac:dyDescent="0.25">
      <c r="A3093" s="541" t="s">
        <v>11442</v>
      </c>
      <c r="B3093" s="541">
        <v>7</v>
      </c>
      <c r="C3093" s="541">
        <v>109.1</v>
      </c>
      <c r="D3093" s="407" t="s">
        <v>7682</v>
      </c>
      <c r="E3093" s="315" t="s">
        <v>7683</v>
      </c>
      <c r="F3093" s="169">
        <v>39600</v>
      </c>
      <c r="G3093" s="170"/>
      <c r="H3093" s="170">
        <v>3</v>
      </c>
      <c r="I3093" s="746">
        <f>TIME(1,25,9)</f>
        <v>5.9131944444444445E-2</v>
      </c>
      <c r="J3093" s="899" t="s">
        <v>4706</v>
      </c>
      <c r="K3093" s="167" t="s">
        <v>2312</v>
      </c>
      <c r="L3093" s="167" t="s">
        <v>4549</v>
      </c>
      <c r="M3093" s="167"/>
      <c r="N3093" s="167"/>
      <c r="O3093" s="167"/>
      <c r="P3093" s="168" t="s">
        <v>12952</v>
      </c>
      <c r="Q3093" s="167" t="s">
        <v>3947</v>
      </c>
      <c r="R3093" s="172" t="s">
        <v>3146</v>
      </c>
      <c r="S3093" s="388"/>
      <c r="T3093" s="168"/>
      <c r="U3093" s="168"/>
      <c r="V3093" s="168"/>
      <c r="W3093" s="312" t="s">
        <v>11102</v>
      </c>
      <c r="X3093" s="644" t="s">
        <v>12476</v>
      </c>
      <c r="Y3093" s="352" t="s">
        <v>5643</v>
      </c>
      <c r="Z3093" s="353">
        <v>610</v>
      </c>
      <c r="AA3093" s="353">
        <v>3.5</v>
      </c>
      <c r="AB3093" s="31">
        <f t="shared" ca="1" si="70"/>
        <v>0.62747928560722055</v>
      </c>
      <c r="AC3093" s="810"/>
      <c r="AD3093" s="811" t="s">
        <v>16409</v>
      </c>
      <c r="AE3093" s="940" t="s">
        <v>3365</v>
      </c>
      <c r="AF3093" s="920">
        <f>IF(X3093=X3092,AF3092,0)+IF(ISNUMBER(I3093),IF(I3093&lt;1,I3093,I3093*VLOOKUP(J3093,Summary!$H$2:$I$9,2)),VLOOKUP(J3093,Summary!$J$2:$K$9,2)*IF(ISNUMBER(H3093),H3093,1))</f>
        <v>0.26186342592592593</v>
      </c>
      <c r="AG3093" s="287">
        <v>3092</v>
      </c>
      <c r="AH3093" s="94"/>
      <c r="AI3093" s="94"/>
    </row>
    <row r="3094" spans="1:36" s="2" customFormat="1" ht="12" customHeight="1" x14ac:dyDescent="0.25">
      <c r="A3094" s="541" t="s">
        <v>11442</v>
      </c>
      <c r="B3094" s="541">
        <v>7</v>
      </c>
      <c r="C3094" s="541">
        <v>109.2</v>
      </c>
      <c r="D3094" s="407" t="s">
        <v>7684</v>
      </c>
      <c r="E3094" s="315" t="s">
        <v>5264</v>
      </c>
      <c r="F3094" s="169">
        <v>39600</v>
      </c>
      <c r="G3094" s="170"/>
      <c r="H3094" s="170">
        <v>1</v>
      </c>
      <c r="I3094" s="746">
        <f>TIME(0,33,3)</f>
        <v>2.2951388888888886E-2</v>
      </c>
      <c r="J3094" s="899" t="s">
        <v>4706</v>
      </c>
      <c r="K3094" s="167" t="s">
        <v>2312</v>
      </c>
      <c r="L3094" s="167" t="s">
        <v>4549</v>
      </c>
      <c r="M3094" s="167"/>
      <c r="N3094" s="167"/>
      <c r="O3094" s="167"/>
      <c r="P3094" s="168" t="s">
        <v>12952</v>
      </c>
      <c r="Q3094" s="167" t="s">
        <v>3947</v>
      </c>
      <c r="R3094" s="172" t="s">
        <v>3146</v>
      </c>
      <c r="S3094" s="388"/>
      <c r="T3094" s="168"/>
      <c r="U3094" s="168"/>
      <c r="V3094" s="168"/>
      <c r="W3094" s="315" t="s">
        <v>5264</v>
      </c>
      <c r="X3094" s="647" t="s">
        <v>12476</v>
      </c>
      <c r="Y3094" s="352" t="s">
        <v>5643</v>
      </c>
      <c r="Z3094" s="353">
        <v>539</v>
      </c>
      <c r="AA3094" s="353">
        <v>4</v>
      </c>
      <c r="AB3094" s="31">
        <f t="shared" ca="1" si="70"/>
        <v>0.22827434489804332</v>
      </c>
      <c r="AC3094" s="810"/>
      <c r="AD3094" s="811" t="s">
        <v>16344</v>
      </c>
      <c r="AE3094" s="940" t="s">
        <v>3365</v>
      </c>
      <c r="AF3094" s="920">
        <f>IF(X3094=X3093,AF3093,0)+IF(ISNUMBER(I3094),IF(I3094&lt;1,I3094,I3094*VLOOKUP(J3094,Summary!$H$2:$I$9,2)),VLOOKUP(J3094,Summary!$J$2:$K$9,2)*IF(ISNUMBER(H3094),H3094,1))</f>
        <v>0.2848148148148148</v>
      </c>
      <c r="AG3094" s="287">
        <v>3093</v>
      </c>
      <c r="AH3094" s="94"/>
      <c r="AI3094" s="94"/>
    </row>
    <row r="3095" spans="1:36" s="2" customFormat="1" ht="12" customHeight="1" x14ac:dyDescent="0.25">
      <c r="A3095" s="539" t="s">
        <v>11442</v>
      </c>
      <c r="B3095" s="539">
        <v>7</v>
      </c>
      <c r="C3095" s="542">
        <v>28.02</v>
      </c>
      <c r="D3095" s="176" t="s">
        <v>2473</v>
      </c>
      <c r="E3095" s="313" t="s">
        <v>583</v>
      </c>
      <c r="F3095" s="174">
        <v>39630</v>
      </c>
      <c r="G3095" s="174"/>
      <c r="H3095" s="176" t="s">
        <v>461</v>
      </c>
      <c r="I3095" s="176">
        <v>16</v>
      </c>
      <c r="J3095" s="900" t="s">
        <v>2755</v>
      </c>
      <c r="K3095" s="164" t="s">
        <v>6833</v>
      </c>
      <c r="L3095" s="164" t="s">
        <v>461</v>
      </c>
      <c r="M3095" s="164"/>
      <c r="N3095" s="164" t="s">
        <v>185</v>
      </c>
      <c r="O3095" s="164"/>
      <c r="P3095" s="173" t="s">
        <v>6704</v>
      </c>
      <c r="Q3095" s="164" t="s">
        <v>3947</v>
      </c>
      <c r="R3095" s="177" t="s">
        <v>2723</v>
      </c>
      <c r="S3095" s="354"/>
      <c r="T3095" s="173"/>
      <c r="U3095" s="173"/>
      <c r="V3095" s="173"/>
      <c r="W3095" s="313" t="s">
        <v>583</v>
      </c>
      <c r="X3095" s="645" t="s">
        <v>12476</v>
      </c>
      <c r="Y3095" s="354"/>
      <c r="Z3095" s="176"/>
      <c r="AA3095" s="176"/>
      <c r="AB3095" s="32">
        <f t="shared" ca="1" si="70"/>
        <v>0.62209018453733922</v>
      </c>
      <c r="AC3095" s="812"/>
      <c r="AD3095" s="763"/>
      <c r="AE3095" s="807"/>
      <c r="AF3095" s="921">
        <f>IF(X3095=X3094,AF3094,0)+IF(ISNUMBER(I3095),IF(I3095&lt;1,I3095,I3095*VLOOKUP(J3095,Summary!$H$2:$I$9,2)),VLOOKUP(J3095,Summary!$J$2:$K$9,2)*IF(ISNUMBER(H3095),H3095,1))</f>
        <v>0.29592592592592593</v>
      </c>
      <c r="AG3095" s="289">
        <v>3094</v>
      </c>
      <c r="AH3095" s="94"/>
      <c r="AI3095" s="94"/>
    </row>
    <row r="3096" spans="1:36" s="43" customFormat="1" ht="12" customHeight="1" x14ac:dyDescent="0.25">
      <c r="A3096" s="541" t="s">
        <v>11442</v>
      </c>
      <c r="B3096" s="541">
        <v>7</v>
      </c>
      <c r="C3096" s="541">
        <v>112.1</v>
      </c>
      <c r="D3096" s="407" t="s">
        <v>5265</v>
      </c>
      <c r="E3096" s="315" t="s">
        <v>757</v>
      </c>
      <c r="F3096" s="169">
        <v>39692</v>
      </c>
      <c r="G3096" s="170"/>
      <c r="H3096" s="170">
        <v>3</v>
      </c>
      <c r="I3096" s="746">
        <f>TIME(1,31,17)</f>
        <v>6.33912037037037E-2</v>
      </c>
      <c r="J3096" s="899" t="s">
        <v>4706</v>
      </c>
      <c r="K3096" s="167" t="s">
        <v>178</v>
      </c>
      <c r="L3096" s="167" t="s">
        <v>4549</v>
      </c>
      <c r="M3096" s="167"/>
      <c r="N3096" s="167"/>
      <c r="O3096" s="167" t="s">
        <v>2500</v>
      </c>
      <c r="P3096" s="168" t="s">
        <v>12953</v>
      </c>
      <c r="Q3096" s="167" t="s">
        <v>3947</v>
      </c>
      <c r="R3096" s="172" t="s">
        <v>3146</v>
      </c>
      <c r="S3096" s="388"/>
      <c r="T3096" s="168"/>
      <c r="U3096" s="168"/>
      <c r="V3096" s="168"/>
      <c r="W3096" s="312" t="s">
        <v>9557</v>
      </c>
      <c r="X3096" s="644" t="s">
        <v>12476</v>
      </c>
      <c r="Y3096" s="352" t="s">
        <v>5398</v>
      </c>
      <c r="Z3096" s="353">
        <v>499</v>
      </c>
      <c r="AA3096" s="353">
        <v>4</v>
      </c>
      <c r="AB3096" s="31">
        <f t="shared" ca="1" si="70"/>
        <v>0.80706909028268603</v>
      </c>
      <c r="AC3096" s="810"/>
      <c r="AD3096" s="811" t="s">
        <v>16212</v>
      </c>
      <c r="AE3096" s="940" t="s">
        <v>12543</v>
      </c>
      <c r="AF3096" s="920">
        <f>IF(X3096=X3095,AF3095,0)+IF(ISNUMBER(I3096),IF(I3096&lt;1,I3096,I3096*VLOOKUP(J3096,Summary!$H$2:$I$9,2)),VLOOKUP(J3096,Summary!$J$2:$K$9,2)*IF(ISNUMBER(H3096),H3096,1))</f>
        <v>0.35931712962962964</v>
      </c>
      <c r="AG3096" s="287">
        <v>3095</v>
      </c>
      <c r="AH3096" s="94"/>
      <c r="AI3096" s="94"/>
      <c r="AJ3096" s="2"/>
    </row>
    <row r="3097" spans="1:36" s="43" customFormat="1" ht="12" customHeight="1" x14ac:dyDescent="0.25">
      <c r="A3097" s="541" t="s">
        <v>11442</v>
      </c>
      <c r="B3097" s="541">
        <v>7</v>
      </c>
      <c r="C3097" s="541">
        <v>130</v>
      </c>
      <c r="D3097" s="407" t="s">
        <v>2507</v>
      </c>
      <c r="E3097" s="315" t="s">
        <v>3399</v>
      </c>
      <c r="F3097" s="169">
        <v>40179</v>
      </c>
      <c r="G3097" s="170"/>
      <c r="H3097" s="170">
        <v>4</v>
      </c>
      <c r="I3097" s="746">
        <f>TIME(1,41,38)</f>
        <v>7.0578703703703713E-2</v>
      </c>
      <c r="J3097" s="899" t="s">
        <v>4706</v>
      </c>
      <c r="K3097" s="167" t="s">
        <v>175</v>
      </c>
      <c r="L3097" s="167" t="s">
        <v>5662</v>
      </c>
      <c r="M3097" s="167"/>
      <c r="N3097" s="167"/>
      <c r="O3097" s="167"/>
      <c r="P3097" s="168" t="s">
        <v>12954</v>
      </c>
      <c r="Q3097" s="167" t="s">
        <v>3947</v>
      </c>
      <c r="R3097" s="172" t="s">
        <v>3146</v>
      </c>
      <c r="S3097" s="388" t="s">
        <v>2154</v>
      </c>
      <c r="T3097" s="168"/>
      <c r="U3097" s="168"/>
      <c r="V3097" s="168"/>
      <c r="W3097" s="312" t="s">
        <v>9920</v>
      </c>
      <c r="X3097" s="644" t="s">
        <v>12476</v>
      </c>
      <c r="Y3097" s="352" t="s">
        <v>5643</v>
      </c>
      <c r="Z3097" s="353">
        <v>82</v>
      </c>
      <c r="AA3097" s="353">
        <v>7.5</v>
      </c>
      <c r="AB3097" s="31">
        <f t="shared" ca="1" si="70"/>
        <v>0.55482009455271597</v>
      </c>
      <c r="AC3097" s="810"/>
      <c r="AD3097" s="811" t="s">
        <v>16760</v>
      </c>
      <c r="AE3097" s="940"/>
      <c r="AF3097" s="920">
        <f>IF(X3097=X3096,AF3096,0)+IF(ISNUMBER(I3097),IF(I3097&lt;1,I3097,I3097*VLOOKUP(J3097,Summary!$H$2:$I$9,2)),VLOOKUP(J3097,Summary!$J$2:$K$9,2)*IF(ISNUMBER(H3097),H3097,1))</f>
        <v>0.42989583333333337</v>
      </c>
      <c r="AG3097" s="287">
        <v>3096</v>
      </c>
      <c r="AH3097" s="94"/>
      <c r="AI3097" s="94"/>
    </row>
    <row r="3098" spans="1:36" s="43" customFormat="1" ht="12" customHeight="1" x14ac:dyDescent="0.25">
      <c r="A3098" s="541" t="s">
        <v>11442</v>
      </c>
      <c r="B3098" s="541">
        <v>7</v>
      </c>
      <c r="C3098" s="541">
        <v>131.1</v>
      </c>
      <c r="D3098" s="407" t="s">
        <v>3400</v>
      </c>
      <c r="E3098" s="315" t="s">
        <v>3402</v>
      </c>
      <c r="F3098" s="169">
        <v>40210</v>
      </c>
      <c r="G3098" s="170"/>
      <c r="H3098" s="170">
        <v>1</v>
      </c>
      <c r="I3098" s="746">
        <f>TIME(0,32,19)</f>
        <v>2.2442129629629631E-2</v>
      </c>
      <c r="J3098" s="899" t="s">
        <v>4706</v>
      </c>
      <c r="K3098" s="167" t="s">
        <v>6352</v>
      </c>
      <c r="L3098" s="167" t="s">
        <v>6231</v>
      </c>
      <c r="M3098" s="167"/>
      <c r="N3098" s="167"/>
      <c r="O3098" s="167"/>
      <c r="P3098" s="168" t="s">
        <v>12955</v>
      </c>
      <c r="Q3098" s="167" t="s">
        <v>3947</v>
      </c>
      <c r="R3098" s="172" t="s">
        <v>3146</v>
      </c>
      <c r="S3098" s="388" t="s">
        <v>2154</v>
      </c>
      <c r="T3098" s="168"/>
      <c r="U3098" s="168"/>
      <c r="V3098" s="168"/>
      <c r="W3098" s="312" t="s">
        <v>3402</v>
      </c>
      <c r="X3098" s="644" t="s">
        <v>12476</v>
      </c>
      <c r="Y3098" s="352" t="s">
        <v>5643</v>
      </c>
      <c r="Z3098" s="353">
        <v>304</v>
      </c>
      <c r="AA3098" s="353">
        <v>5.5</v>
      </c>
      <c r="AB3098" s="31">
        <f t="shared" ca="1" si="70"/>
        <v>6.2268321314984942E-2</v>
      </c>
      <c r="AC3098" s="810"/>
      <c r="AD3098" s="811" t="s">
        <v>16777</v>
      </c>
      <c r="AE3098" s="940" t="s">
        <v>15093</v>
      </c>
      <c r="AF3098" s="920">
        <f>IF(X3098=X3097,AF3097,0)+IF(ISNUMBER(I3098),IF(I3098&lt;1,I3098,I3098*VLOOKUP(J3098,Summary!$H$2:$I$9,2)),VLOOKUP(J3098,Summary!$J$2:$K$9,2)*IF(ISNUMBER(H3098),H3098,1))</f>
        <v>0.45233796296296302</v>
      </c>
      <c r="AG3098" s="287">
        <v>3097</v>
      </c>
      <c r="AH3098" s="94"/>
      <c r="AI3098" s="94"/>
      <c r="AJ3098" s="2"/>
    </row>
    <row r="3099" spans="1:36" s="43" customFormat="1" ht="12" customHeight="1" x14ac:dyDescent="0.25">
      <c r="A3099" s="541" t="s">
        <v>11442</v>
      </c>
      <c r="B3099" s="541">
        <v>7</v>
      </c>
      <c r="C3099" s="541">
        <v>131.19999999999999</v>
      </c>
      <c r="D3099" s="407" t="s">
        <v>3401</v>
      </c>
      <c r="E3099" s="315" t="s">
        <v>3403</v>
      </c>
      <c r="F3099" s="169">
        <v>40210</v>
      </c>
      <c r="G3099" s="170"/>
      <c r="H3099" s="170">
        <v>3</v>
      </c>
      <c r="I3099" s="746">
        <f>TIME(1,26,29)</f>
        <v>6.0057870370370366E-2</v>
      </c>
      <c r="J3099" s="899" t="s">
        <v>4706</v>
      </c>
      <c r="K3099" s="167" t="s">
        <v>6352</v>
      </c>
      <c r="L3099" s="167" t="s">
        <v>6231</v>
      </c>
      <c r="M3099" s="167"/>
      <c r="N3099" s="167"/>
      <c r="O3099" s="167"/>
      <c r="P3099" s="168" t="s">
        <v>12955</v>
      </c>
      <c r="Q3099" s="167" t="s">
        <v>3947</v>
      </c>
      <c r="R3099" s="172" t="s">
        <v>3146</v>
      </c>
      <c r="S3099" s="388" t="s">
        <v>2154</v>
      </c>
      <c r="T3099" s="168"/>
      <c r="U3099" s="168"/>
      <c r="V3099" s="168"/>
      <c r="W3099" s="312" t="s">
        <v>9918</v>
      </c>
      <c r="X3099" s="644" t="s">
        <v>12476</v>
      </c>
      <c r="Y3099" s="352" t="s">
        <v>5643</v>
      </c>
      <c r="Z3099" s="353">
        <v>250</v>
      </c>
      <c r="AA3099" s="353">
        <v>5.5</v>
      </c>
      <c r="AB3099" s="31">
        <f t="shared" ca="1" si="70"/>
        <v>0.99113261229406957</v>
      </c>
      <c r="AC3099" s="810"/>
      <c r="AD3099" s="811" t="s">
        <v>16198</v>
      </c>
      <c r="AE3099" s="940" t="s">
        <v>3365</v>
      </c>
      <c r="AF3099" s="920">
        <f>IF(X3099=X3098,AF3098,0)+IF(ISNUMBER(I3099),IF(I3099&lt;1,I3099,I3099*VLOOKUP(J3099,Summary!$H$2:$I$9,2)),VLOOKUP(J3099,Summary!$J$2:$K$9,2)*IF(ISNUMBER(H3099),H3099,1))</f>
        <v>0.51239583333333338</v>
      </c>
      <c r="AG3099" s="287">
        <v>3098</v>
      </c>
      <c r="AH3099" s="94"/>
      <c r="AI3099" s="94"/>
      <c r="AJ3099" s="2"/>
    </row>
    <row r="3100" spans="1:36" s="22" customFormat="1" ht="12" customHeight="1" x14ac:dyDescent="0.2">
      <c r="A3100" s="541" t="s">
        <v>11442</v>
      </c>
      <c r="B3100" s="541">
        <v>7</v>
      </c>
      <c r="C3100" s="541">
        <v>132</v>
      </c>
      <c r="D3100" s="407" t="s">
        <v>3405</v>
      </c>
      <c r="E3100" s="315" t="s">
        <v>3404</v>
      </c>
      <c r="F3100" s="169">
        <v>40238</v>
      </c>
      <c r="G3100" s="170"/>
      <c r="H3100" s="170">
        <v>4</v>
      </c>
      <c r="I3100" s="746">
        <f>TIME(1,57,49)</f>
        <v>8.1817129629629629E-2</v>
      </c>
      <c r="J3100" s="899" t="s">
        <v>4706</v>
      </c>
      <c r="K3100" s="167" t="s">
        <v>176</v>
      </c>
      <c r="L3100" s="167" t="s">
        <v>6231</v>
      </c>
      <c r="M3100" s="167"/>
      <c r="N3100" s="167"/>
      <c r="O3100" s="167"/>
      <c r="P3100" s="168" t="s">
        <v>12956</v>
      </c>
      <c r="Q3100" s="167" t="s">
        <v>3947</v>
      </c>
      <c r="R3100" s="172" t="s">
        <v>3146</v>
      </c>
      <c r="S3100" s="388" t="s">
        <v>2154</v>
      </c>
      <c r="T3100" s="168"/>
      <c r="U3100" s="168"/>
      <c r="V3100" s="168"/>
      <c r="W3100" s="312" t="s">
        <v>9919</v>
      </c>
      <c r="X3100" s="644" t="s">
        <v>12476</v>
      </c>
      <c r="Y3100" s="352" t="s">
        <v>5643</v>
      </c>
      <c r="Z3100" s="353">
        <v>120</v>
      </c>
      <c r="AA3100" s="353">
        <v>7</v>
      </c>
      <c r="AB3100" s="31">
        <f t="shared" ca="1" si="70"/>
        <v>0.99012651143454056</v>
      </c>
      <c r="AC3100" s="810"/>
      <c r="AD3100" s="811" t="s">
        <v>16091</v>
      </c>
      <c r="AE3100" s="940" t="s">
        <v>15093</v>
      </c>
      <c r="AF3100" s="920">
        <f>IF(X3100=X3099,AF3099,0)+IF(ISNUMBER(I3100),IF(I3100&lt;1,I3100,I3100*VLOOKUP(J3100,Summary!$H$2:$I$9,2)),VLOOKUP(J3100,Summary!$J$2:$K$9,2)*IF(ISNUMBER(H3100),H3100,1))</f>
        <v>0.594212962962963</v>
      </c>
      <c r="AG3100" s="287">
        <v>3099</v>
      </c>
      <c r="AH3100" s="94"/>
      <c r="AI3100" s="94"/>
    </row>
    <row r="3101" spans="1:36" s="43" customFormat="1" ht="12" customHeight="1" x14ac:dyDescent="0.25">
      <c r="A3101" s="541" t="s">
        <v>11442</v>
      </c>
      <c r="B3101" s="541">
        <v>7</v>
      </c>
      <c r="C3101" s="541">
        <v>167</v>
      </c>
      <c r="D3101" s="407" t="s">
        <v>2003</v>
      </c>
      <c r="E3101" s="315" t="s">
        <v>2004</v>
      </c>
      <c r="F3101" s="169">
        <v>41214</v>
      </c>
      <c r="G3101" s="170"/>
      <c r="H3101" s="170">
        <v>4</v>
      </c>
      <c r="I3101" s="746">
        <f>TIME(2,12,7)</f>
        <v>9.1747685185185182E-2</v>
      </c>
      <c r="J3101" s="899" t="s">
        <v>4706</v>
      </c>
      <c r="K3101" s="167" t="s">
        <v>177</v>
      </c>
      <c r="L3101" s="167" t="s">
        <v>2313</v>
      </c>
      <c r="M3101" s="167"/>
      <c r="N3101" s="167"/>
      <c r="O3101" s="167" t="s">
        <v>2500</v>
      </c>
      <c r="P3101" s="168" t="s">
        <v>2005</v>
      </c>
      <c r="Q3101" s="167" t="s">
        <v>3947</v>
      </c>
      <c r="R3101" s="172" t="s">
        <v>3146</v>
      </c>
      <c r="S3101" s="388"/>
      <c r="T3101" s="168"/>
      <c r="U3101" s="168" t="s">
        <v>11494</v>
      </c>
      <c r="V3101" s="168"/>
      <c r="W3101" s="312"/>
      <c r="X3101" s="644" t="s">
        <v>12476</v>
      </c>
      <c r="Y3101" s="352" t="s">
        <v>5643</v>
      </c>
      <c r="Z3101" s="353">
        <v>526</v>
      </c>
      <c r="AA3101" s="353">
        <v>4</v>
      </c>
      <c r="AB3101" s="31">
        <f t="shared" ca="1" si="70"/>
        <v>0.88118102135061982</v>
      </c>
      <c r="AC3101" s="810"/>
      <c r="AD3101" s="811"/>
      <c r="AE3101" s="940"/>
      <c r="AF3101" s="920">
        <f>IF(X3101=X3100,AF3100,0)+IF(ISNUMBER(I3101),IF(I3101&lt;1,I3101,I3101*VLOOKUP(J3101,Summary!$H$2:$I$9,2)),VLOOKUP(J3101,Summary!$J$2:$K$9,2)*IF(ISNUMBER(H3101),H3101,1))</f>
        <v>0.68596064814814817</v>
      </c>
      <c r="AG3101" s="287">
        <v>3100</v>
      </c>
      <c r="AH3101" s="94"/>
      <c r="AI3101" s="94"/>
      <c r="AJ3101" s="2"/>
    </row>
    <row r="3102" spans="1:36" s="43" customFormat="1" ht="12" customHeight="1" x14ac:dyDescent="0.25">
      <c r="A3102" s="539" t="s">
        <v>11442</v>
      </c>
      <c r="B3102" s="539">
        <v>7</v>
      </c>
      <c r="C3102" s="539">
        <v>29.2</v>
      </c>
      <c r="D3102" s="176" t="s">
        <v>950</v>
      </c>
      <c r="E3102" s="313" t="s">
        <v>5349</v>
      </c>
      <c r="F3102" s="174">
        <v>39692</v>
      </c>
      <c r="G3102" s="174"/>
      <c r="H3102" s="176" t="s">
        <v>461</v>
      </c>
      <c r="I3102" s="176">
        <v>6</v>
      </c>
      <c r="J3102" s="900" t="s">
        <v>2755</v>
      </c>
      <c r="K3102" s="164" t="s">
        <v>5347</v>
      </c>
      <c r="L3102" s="164" t="s">
        <v>461</v>
      </c>
      <c r="M3102" s="164"/>
      <c r="N3102" s="164" t="s">
        <v>5664</v>
      </c>
      <c r="O3102" s="164"/>
      <c r="P3102" s="173" t="s">
        <v>6707</v>
      </c>
      <c r="Q3102" s="164" t="s">
        <v>3947</v>
      </c>
      <c r="R3102" s="177" t="s">
        <v>2723</v>
      </c>
      <c r="S3102" s="354"/>
      <c r="T3102" s="173"/>
      <c r="U3102" s="173"/>
      <c r="V3102" s="173"/>
      <c r="W3102" s="313" t="s">
        <v>5349</v>
      </c>
      <c r="X3102" s="645" t="s">
        <v>12476</v>
      </c>
      <c r="Y3102" s="354"/>
      <c r="Z3102" s="176"/>
      <c r="AA3102" s="176"/>
      <c r="AB3102" s="32">
        <f t="shared" ca="1" si="70"/>
        <v>0.92190197106926697</v>
      </c>
      <c r="AC3102" s="812"/>
      <c r="AD3102" s="763"/>
      <c r="AE3102" s="807"/>
      <c r="AF3102" s="921">
        <f>IF(X3102=X3101,AF3101,0)+IF(ISNUMBER(I3102),IF(I3102&lt;1,I3102,I3102*VLOOKUP(J3102,Summary!$H$2:$I$9,2)),VLOOKUP(J3102,Summary!$J$2:$K$9,2)*IF(ISNUMBER(H3102),H3102,1))</f>
        <v>0.69012731481481482</v>
      </c>
      <c r="AG3102" s="289">
        <v>3101</v>
      </c>
      <c r="AH3102" s="94"/>
      <c r="AI3102" s="94"/>
      <c r="AJ3102" s="2"/>
    </row>
    <row r="3103" spans="1:36" s="3" customFormat="1" ht="12" customHeight="1" x14ac:dyDescent="0.25">
      <c r="A3103" s="550" t="s">
        <v>11442</v>
      </c>
      <c r="B3103" s="550">
        <v>7</v>
      </c>
      <c r="C3103" s="550">
        <v>45</v>
      </c>
      <c r="D3103" s="417" t="s">
        <v>758</v>
      </c>
      <c r="E3103" s="316" t="s">
        <v>759</v>
      </c>
      <c r="F3103" s="187">
        <v>37104</v>
      </c>
      <c r="G3103" s="188"/>
      <c r="H3103" s="188" t="str">
        <f>IF(J3103="Book","n/a","")</f>
        <v>n/a</v>
      </c>
      <c r="I3103" s="188">
        <v>256</v>
      </c>
      <c r="J3103" s="902" t="s">
        <v>6868</v>
      </c>
      <c r="K3103" s="162" t="s">
        <v>6234</v>
      </c>
      <c r="L3103" s="162" t="str">
        <f>IF(J3103="Book","n/a","")</f>
        <v>n/a</v>
      </c>
      <c r="M3103" s="162"/>
      <c r="N3103" s="162"/>
      <c r="O3103" s="162"/>
      <c r="P3103" s="178" t="s">
        <v>8969</v>
      </c>
      <c r="Q3103" s="162" t="s">
        <v>3953</v>
      </c>
      <c r="R3103" s="189" t="s">
        <v>2717</v>
      </c>
      <c r="S3103" s="366" t="s">
        <v>53</v>
      </c>
      <c r="T3103" s="178"/>
      <c r="U3103" s="178"/>
      <c r="V3103" s="178"/>
      <c r="W3103" s="316" t="s">
        <v>759</v>
      </c>
      <c r="X3103" s="648" t="s">
        <v>12476</v>
      </c>
      <c r="Y3103" s="356"/>
      <c r="Z3103" s="272"/>
      <c r="AA3103" s="272"/>
      <c r="AB3103" s="34">
        <f t="shared" ca="1" si="70"/>
        <v>0.34263819986687571</v>
      </c>
      <c r="AC3103" s="814"/>
      <c r="AD3103" s="815" t="s">
        <v>16054</v>
      </c>
      <c r="AE3103" s="942"/>
      <c r="AF3103" s="923">
        <f>IF(X3103=X3102,AF3102,0)+IF(ISNUMBER(I3103),IF(I3103&lt;1,I3103,I3103*VLOOKUP(J3103,Summary!$H$2:$I$9,2)),VLOOKUP(J3103,Summary!$J$2:$K$9,2)*IF(ISNUMBER(H3103),H3103,1))</f>
        <v>0.86790509259259263</v>
      </c>
      <c r="AG3103" s="291">
        <v>3102</v>
      </c>
      <c r="AH3103" s="94"/>
      <c r="AI3103" s="94"/>
    </row>
    <row r="3104" spans="1:36" s="1" customFormat="1" ht="12" customHeight="1" x14ac:dyDescent="0.25">
      <c r="A3104" s="539" t="s">
        <v>11442</v>
      </c>
      <c r="B3104" s="539">
        <v>7</v>
      </c>
      <c r="C3104" s="542">
        <v>14.22</v>
      </c>
      <c r="D3104" s="176" t="s">
        <v>2481</v>
      </c>
      <c r="E3104" s="313" t="s">
        <v>588</v>
      </c>
      <c r="F3104" s="174">
        <v>38322</v>
      </c>
      <c r="G3104" s="174"/>
      <c r="H3104" s="176">
        <v>1</v>
      </c>
      <c r="I3104" s="176">
        <v>8</v>
      </c>
      <c r="J3104" s="900" t="s">
        <v>2755</v>
      </c>
      <c r="K3104" s="164" t="s">
        <v>4584</v>
      </c>
      <c r="L3104" s="164" t="s">
        <v>461</v>
      </c>
      <c r="M3104" s="164"/>
      <c r="N3104" s="164" t="s">
        <v>3807</v>
      </c>
      <c r="O3104" s="164"/>
      <c r="P3104" s="173" t="s">
        <v>6565</v>
      </c>
      <c r="Q3104" s="164" t="s">
        <v>3947</v>
      </c>
      <c r="R3104" s="179" t="s">
        <v>2723</v>
      </c>
      <c r="S3104" s="354"/>
      <c r="T3104" s="173"/>
      <c r="U3104" s="173"/>
      <c r="V3104" s="173"/>
      <c r="W3104" s="313" t="s">
        <v>588</v>
      </c>
      <c r="X3104" s="645" t="s">
        <v>12476</v>
      </c>
      <c r="Y3104" s="354"/>
      <c r="Z3104" s="176"/>
      <c r="AA3104" s="176"/>
      <c r="AB3104" s="32">
        <f t="shared" ca="1" si="70"/>
        <v>0.45846816370796917</v>
      </c>
      <c r="AC3104" s="812"/>
      <c r="AD3104" s="763"/>
      <c r="AE3104" s="807"/>
      <c r="AF3104" s="921">
        <f>IF(X3104=X3103,AF3103,0)+IF(ISNUMBER(I3104),IF(I3104&lt;1,I3104,I3104*VLOOKUP(J3104,Summary!$H$2:$I$9,2)),VLOOKUP(J3104,Summary!$J$2:$K$9,2)*IF(ISNUMBER(H3104),H3104,1))</f>
        <v>0.87346064814814817</v>
      </c>
      <c r="AG3104" s="289">
        <v>3103</v>
      </c>
      <c r="AH3104" s="94"/>
      <c r="AI3104" s="94"/>
    </row>
    <row r="3105" spans="1:36" s="1" customFormat="1" ht="12" customHeight="1" x14ac:dyDescent="0.25">
      <c r="A3105" s="541" t="s">
        <v>11442</v>
      </c>
      <c r="B3105" s="541">
        <v>7</v>
      </c>
      <c r="C3105" s="541">
        <v>0.5</v>
      </c>
      <c r="D3105" s="407" t="s">
        <v>15705</v>
      </c>
      <c r="E3105" s="315" t="s">
        <v>8127</v>
      </c>
      <c r="F3105" s="169">
        <v>41183</v>
      </c>
      <c r="G3105" s="170"/>
      <c r="H3105" s="170">
        <v>4</v>
      </c>
      <c r="I3105" s="746">
        <f>TIME(3,58,17)</f>
        <v>0.16547453703703704</v>
      </c>
      <c r="J3105" s="899" t="s">
        <v>4706</v>
      </c>
      <c r="K3105" s="167" t="s">
        <v>8128</v>
      </c>
      <c r="L3105" s="167" t="s">
        <v>4549</v>
      </c>
      <c r="M3105" s="167"/>
      <c r="N3105" s="167"/>
      <c r="O3105" s="167"/>
      <c r="P3105" s="168" t="s">
        <v>8129</v>
      </c>
      <c r="Q3105" s="167" t="s">
        <v>3947</v>
      </c>
      <c r="R3105" s="172" t="s">
        <v>7380</v>
      </c>
      <c r="S3105" s="388" t="s">
        <v>2154</v>
      </c>
      <c r="T3105" s="168" t="s">
        <v>7315</v>
      </c>
      <c r="U3105" s="168"/>
      <c r="V3105" s="168"/>
      <c r="W3105" s="312" t="s">
        <v>12568</v>
      </c>
      <c r="X3105" s="644" t="s">
        <v>12476</v>
      </c>
      <c r="Y3105" s="352" t="s">
        <v>5643</v>
      </c>
      <c r="Z3105" s="353">
        <v>109</v>
      </c>
      <c r="AA3105" s="353">
        <v>7</v>
      </c>
      <c r="AB3105" s="31">
        <f t="shared" ca="1" si="70"/>
        <v>0.56062576864959679</v>
      </c>
      <c r="AC3105" s="810"/>
      <c r="AD3105" s="811"/>
      <c r="AE3105" s="940"/>
      <c r="AF3105" s="920">
        <f>IF(X3105=X3104,AF3104,0)+IF(ISNUMBER(I3105),IF(I3105&lt;1,I3105,I3105*VLOOKUP(J3105,Summary!$H$2:$I$9,2)),VLOOKUP(J3105,Summary!$J$2:$K$9,2)*IF(ISNUMBER(H3105),H3105,1))</f>
        <v>1.0389351851851851</v>
      </c>
      <c r="AG3105" s="287">
        <v>3104</v>
      </c>
      <c r="AH3105" s="94"/>
      <c r="AI3105" s="94"/>
    </row>
    <row r="3106" spans="1:36" s="43" customFormat="1" ht="12" customHeight="1" x14ac:dyDescent="0.25">
      <c r="A3106" s="557" t="s">
        <v>10411</v>
      </c>
      <c r="B3106" s="557" t="s">
        <v>6146</v>
      </c>
      <c r="C3106" s="558">
        <v>11</v>
      </c>
      <c r="D3106" s="559" t="s">
        <v>10456</v>
      </c>
      <c r="E3106" s="560" t="s">
        <v>10457</v>
      </c>
      <c r="F3106" s="249">
        <v>40422</v>
      </c>
      <c r="G3106" s="250"/>
      <c r="H3106" s="250">
        <v>1</v>
      </c>
      <c r="I3106" s="792">
        <f>TIME(0,9,52)</f>
        <v>6.851851851851852E-3</v>
      </c>
      <c r="J3106" s="913" t="s">
        <v>1588</v>
      </c>
      <c r="K3106" s="251" t="s">
        <v>10458</v>
      </c>
      <c r="L3106" s="251" t="s">
        <v>10459</v>
      </c>
      <c r="M3106" s="251"/>
      <c r="N3106" s="251"/>
      <c r="O3106" s="251" t="s">
        <v>6231</v>
      </c>
      <c r="P3106" s="248"/>
      <c r="Q3106" s="251" t="s">
        <v>3947</v>
      </c>
      <c r="R3106" s="252" t="s">
        <v>10460</v>
      </c>
      <c r="S3106" s="398"/>
      <c r="T3106" s="248" t="s">
        <v>2611</v>
      </c>
      <c r="U3106" s="248"/>
      <c r="V3106" s="248"/>
      <c r="W3106" s="340" t="s">
        <v>10457</v>
      </c>
      <c r="X3106" s="674" t="s">
        <v>12519</v>
      </c>
      <c r="Y3106" s="379"/>
      <c r="Z3106" s="380"/>
      <c r="AA3106" s="380"/>
      <c r="AB3106" s="125">
        <f t="shared" ca="1" si="70"/>
        <v>5.1168209221365002E-2</v>
      </c>
      <c r="AC3106" s="843"/>
      <c r="AD3106" s="844" t="s">
        <v>15918</v>
      </c>
      <c r="AE3106" s="965"/>
      <c r="AF3106" s="934">
        <f>IF(X3106=X3105,AF3105,0)+IF(ISNUMBER(I3106),IF(I3106&lt;1,I3106,I3106*VLOOKUP(J3106,Summary!$H$2:$I$9,2)),VLOOKUP(J3106,Summary!$J$2:$K$9,2)*IF(ISNUMBER(H3106),H3106,1))</f>
        <v>6.851851851851852E-3</v>
      </c>
      <c r="AG3106" s="303">
        <v>3105</v>
      </c>
      <c r="AH3106" s="94"/>
      <c r="AI3106" s="94"/>
      <c r="AJ3106" s="2"/>
    </row>
    <row r="3107" spans="1:36" s="43" customFormat="1" ht="12" customHeight="1" x14ac:dyDescent="0.25">
      <c r="A3107" s="405" t="s">
        <v>10411</v>
      </c>
      <c r="B3107" s="405" t="s">
        <v>6146</v>
      </c>
      <c r="C3107" s="405">
        <v>11.1</v>
      </c>
      <c r="D3107" s="407" t="s">
        <v>10416</v>
      </c>
      <c r="E3107" s="315" t="s">
        <v>10424</v>
      </c>
      <c r="F3107" s="169">
        <v>40422</v>
      </c>
      <c r="G3107" s="170"/>
      <c r="H3107" s="170">
        <v>1</v>
      </c>
      <c r="I3107" s="747">
        <f>TIME(0,60,0)</f>
        <v>4.1666666666666664E-2</v>
      </c>
      <c r="J3107" s="899" t="s">
        <v>4706</v>
      </c>
      <c r="K3107" s="167" t="s">
        <v>6353</v>
      </c>
      <c r="L3107" s="167" t="s">
        <v>6231</v>
      </c>
      <c r="M3107" s="167"/>
      <c r="N3107" s="167"/>
      <c r="O3107" s="167" t="s">
        <v>6231</v>
      </c>
      <c r="P3107" s="168" t="s">
        <v>10461</v>
      </c>
      <c r="Q3107" s="167" t="s">
        <v>3947</v>
      </c>
      <c r="R3107" s="172" t="s">
        <v>3711</v>
      </c>
      <c r="S3107" s="388"/>
      <c r="T3107" s="168" t="s">
        <v>2611</v>
      </c>
      <c r="U3107" s="168"/>
      <c r="V3107" s="168"/>
      <c r="W3107" s="315" t="s">
        <v>10424</v>
      </c>
      <c r="X3107" s="644" t="s">
        <v>12519</v>
      </c>
      <c r="Y3107" s="352" t="s">
        <v>5398</v>
      </c>
      <c r="Z3107" s="353">
        <v>278</v>
      </c>
      <c r="AA3107" s="353">
        <v>5.5</v>
      </c>
      <c r="AB3107" s="31">
        <f t="shared" ca="1" si="70"/>
        <v>0.61241839484694549</v>
      </c>
      <c r="AC3107" s="810"/>
      <c r="AD3107" s="811" t="s">
        <v>15918</v>
      </c>
      <c r="AE3107" s="940"/>
      <c r="AF3107" s="920">
        <f>IF(X3107=X3106,AF3106,0)+IF(ISNUMBER(I3107),IF(I3107&lt;1,I3107,I3107*VLOOKUP(J3107,Summary!$H$2:$I$9,2)),VLOOKUP(J3107,Summary!$J$2:$K$9,2)*IF(ISNUMBER(H3107),H3107,1))</f>
        <v>4.8518518518518516E-2</v>
      </c>
      <c r="AG3107" s="287">
        <v>3106</v>
      </c>
      <c r="AH3107" s="94"/>
      <c r="AI3107" s="94"/>
      <c r="AJ3107" s="2"/>
    </row>
    <row r="3108" spans="1:36" s="43" customFormat="1" ht="12" customHeight="1" x14ac:dyDescent="0.25">
      <c r="A3108" s="409" t="s">
        <v>10411</v>
      </c>
      <c r="B3108" s="410" t="s">
        <v>6146</v>
      </c>
      <c r="C3108" s="556">
        <v>9.01</v>
      </c>
      <c r="D3108" s="434" t="s">
        <v>10465</v>
      </c>
      <c r="E3108" s="324" t="s">
        <v>10478</v>
      </c>
      <c r="F3108" s="175">
        <v>40441</v>
      </c>
      <c r="G3108" s="176"/>
      <c r="H3108" s="176" t="s">
        <v>461</v>
      </c>
      <c r="I3108" s="176"/>
      <c r="J3108" s="900" t="s">
        <v>2755</v>
      </c>
      <c r="K3108" s="157" t="s">
        <v>6353</v>
      </c>
      <c r="L3108" s="157" t="s">
        <v>461</v>
      </c>
      <c r="M3108" s="157"/>
      <c r="N3108" s="157" t="s">
        <v>3551</v>
      </c>
      <c r="O3108" s="157"/>
      <c r="P3108" s="173" t="s">
        <v>10434</v>
      </c>
      <c r="Q3108" s="157" t="s">
        <v>3947</v>
      </c>
      <c r="R3108" s="179" t="s">
        <v>6720</v>
      </c>
      <c r="S3108" s="354"/>
      <c r="T3108" s="173" t="s">
        <v>2611</v>
      </c>
      <c r="U3108" s="173"/>
      <c r="V3108" s="173"/>
      <c r="W3108" s="324" t="s">
        <v>10478</v>
      </c>
      <c r="X3108" s="656" t="s">
        <v>12519</v>
      </c>
      <c r="Y3108" s="363"/>
      <c r="Z3108" s="364"/>
      <c r="AA3108" s="364"/>
      <c r="AB3108" s="32">
        <f t="shared" ca="1" si="70"/>
        <v>0.35315061955762816</v>
      </c>
      <c r="AC3108" s="812"/>
      <c r="AD3108" s="763" t="s">
        <v>15918</v>
      </c>
      <c r="AE3108" s="951"/>
      <c r="AF3108" s="921">
        <f>IF(X3108=X3107,AF3107,0)+IF(ISNUMBER(I3108),IF(I3108&lt;1,I3108,I3108*VLOOKUP(J3108,Summary!$H$2:$I$9,2)),VLOOKUP(J3108,Summary!$J$2:$K$9,2)*IF(ISNUMBER(H3108),H3108,1))</f>
        <v>6.5879629629629621E-2</v>
      </c>
      <c r="AG3108" s="288">
        <v>3107</v>
      </c>
      <c r="AH3108" s="94"/>
      <c r="AI3108" s="94"/>
      <c r="AJ3108" s="2"/>
    </row>
    <row r="3109" spans="1:36" s="43" customFormat="1" ht="12" customHeight="1" x14ac:dyDescent="0.25">
      <c r="A3109" s="409" t="s">
        <v>10411</v>
      </c>
      <c r="B3109" s="410" t="s">
        <v>6146</v>
      </c>
      <c r="C3109" s="556">
        <v>9.02</v>
      </c>
      <c r="D3109" s="434" t="s">
        <v>10466</v>
      </c>
      <c r="E3109" s="324" t="s">
        <v>10479</v>
      </c>
      <c r="F3109" s="175">
        <v>40441</v>
      </c>
      <c r="G3109" s="176"/>
      <c r="H3109" s="176" t="s">
        <v>461</v>
      </c>
      <c r="I3109" s="176"/>
      <c r="J3109" s="900" t="s">
        <v>2755</v>
      </c>
      <c r="K3109" s="157" t="s">
        <v>2311</v>
      </c>
      <c r="L3109" s="157" t="s">
        <v>461</v>
      </c>
      <c r="M3109" s="157"/>
      <c r="N3109" s="157" t="s">
        <v>3551</v>
      </c>
      <c r="O3109" s="157"/>
      <c r="P3109" s="173" t="s">
        <v>10434</v>
      </c>
      <c r="Q3109" s="157" t="s">
        <v>3947</v>
      </c>
      <c r="R3109" s="179" t="s">
        <v>6720</v>
      </c>
      <c r="S3109" s="354"/>
      <c r="T3109" s="173" t="s">
        <v>2611</v>
      </c>
      <c r="U3109" s="173"/>
      <c r="V3109" s="173"/>
      <c r="W3109" s="324" t="s">
        <v>10479</v>
      </c>
      <c r="X3109" s="656" t="s">
        <v>12519</v>
      </c>
      <c r="Y3109" s="363"/>
      <c r="Z3109" s="364"/>
      <c r="AA3109" s="364"/>
      <c r="AB3109" s="32">
        <f t="shared" ca="1" si="70"/>
        <v>0.87070293107579499</v>
      </c>
      <c r="AC3109" s="812"/>
      <c r="AD3109" s="763" t="s">
        <v>15918</v>
      </c>
      <c r="AE3109" s="951"/>
      <c r="AF3109" s="921">
        <f>IF(X3109=X3108,AF3108,0)+IF(ISNUMBER(I3109),IF(I3109&lt;1,I3109,I3109*VLOOKUP(J3109,Summary!$H$2:$I$9,2)),VLOOKUP(J3109,Summary!$J$2:$K$9,2)*IF(ISNUMBER(H3109),H3109,1))</f>
        <v>8.3240740740740726E-2</v>
      </c>
      <c r="AG3109" s="288">
        <v>3108</v>
      </c>
      <c r="AH3109" s="94"/>
      <c r="AI3109" s="94"/>
      <c r="AJ3109" s="2"/>
    </row>
    <row r="3110" spans="1:36" s="43" customFormat="1" ht="12" customHeight="1" x14ac:dyDescent="0.25">
      <c r="A3110" s="409" t="s">
        <v>10411</v>
      </c>
      <c r="B3110" s="410" t="s">
        <v>6146</v>
      </c>
      <c r="C3110" s="556">
        <v>9.0299999999999994</v>
      </c>
      <c r="D3110" s="434" t="s">
        <v>10467</v>
      </c>
      <c r="E3110" s="324" t="s">
        <v>10480</v>
      </c>
      <c r="F3110" s="175">
        <v>40441</v>
      </c>
      <c r="G3110" s="176"/>
      <c r="H3110" s="176" t="s">
        <v>461</v>
      </c>
      <c r="I3110" s="176"/>
      <c r="J3110" s="900" t="s">
        <v>2755</v>
      </c>
      <c r="K3110" s="157" t="s">
        <v>7800</v>
      </c>
      <c r="L3110" s="157" t="s">
        <v>461</v>
      </c>
      <c r="M3110" s="157"/>
      <c r="N3110" s="157" t="s">
        <v>3551</v>
      </c>
      <c r="O3110" s="157"/>
      <c r="P3110" s="173" t="s">
        <v>10434</v>
      </c>
      <c r="Q3110" s="157" t="s">
        <v>3947</v>
      </c>
      <c r="R3110" s="179" t="s">
        <v>6720</v>
      </c>
      <c r="S3110" s="354"/>
      <c r="T3110" s="173" t="s">
        <v>2611</v>
      </c>
      <c r="U3110" s="173"/>
      <c r="V3110" s="173"/>
      <c r="W3110" s="324" t="s">
        <v>10480</v>
      </c>
      <c r="X3110" s="656" t="s">
        <v>12519</v>
      </c>
      <c r="Y3110" s="363"/>
      <c r="Z3110" s="364"/>
      <c r="AA3110" s="364"/>
      <c r="AB3110" s="32">
        <f t="shared" ca="1" si="70"/>
        <v>0.73604543642501208</v>
      </c>
      <c r="AC3110" s="812"/>
      <c r="AD3110" s="763" t="s">
        <v>15918</v>
      </c>
      <c r="AE3110" s="951"/>
      <c r="AF3110" s="921">
        <f>IF(X3110=X3109,AF3109,0)+IF(ISNUMBER(I3110),IF(I3110&lt;1,I3110,I3110*VLOOKUP(J3110,Summary!$H$2:$I$9,2)),VLOOKUP(J3110,Summary!$J$2:$K$9,2)*IF(ISNUMBER(H3110),H3110,1))</f>
        <v>0.10060185185185183</v>
      </c>
      <c r="AG3110" s="288">
        <v>3109</v>
      </c>
      <c r="AH3110" s="94"/>
      <c r="AI3110" s="94"/>
      <c r="AJ3110" s="2"/>
    </row>
    <row r="3111" spans="1:36" s="43" customFormat="1" ht="12" customHeight="1" x14ac:dyDescent="0.25">
      <c r="A3111" s="409" t="s">
        <v>10411</v>
      </c>
      <c r="B3111" s="410" t="s">
        <v>6146</v>
      </c>
      <c r="C3111" s="556">
        <v>9.0399999999999991</v>
      </c>
      <c r="D3111" s="434" t="s">
        <v>10468</v>
      </c>
      <c r="E3111" s="324" t="s">
        <v>10481</v>
      </c>
      <c r="F3111" s="175">
        <v>40441</v>
      </c>
      <c r="G3111" s="176"/>
      <c r="H3111" s="176" t="s">
        <v>461</v>
      </c>
      <c r="I3111" s="176"/>
      <c r="J3111" s="900" t="s">
        <v>2755</v>
      </c>
      <c r="K3111" s="157" t="s">
        <v>5664</v>
      </c>
      <c r="L3111" s="157" t="s">
        <v>461</v>
      </c>
      <c r="M3111" s="157"/>
      <c r="N3111" s="157" t="s">
        <v>3551</v>
      </c>
      <c r="O3111" s="157"/>
      <c r="P3111" s="173" t="s">
        <v>10434</v>
      </c>
      <c r="Q3111" s="157" t="s">
        <v>3947</v>
      </c>
      <c r="R3111" s="179" t="s">
        <v>6720</v>
      </c>
      <c r="S3111" s="354"/>
      <c r="T3111" s="173" t="s">
        <v>2611</v>
      </c>
      <c r="U3111" s="173"/>
      <c r="V3111" s="173"/>
      <c r="W3111" s="324" t="s">
        <v>10481</v>
      </c>
      <c r="X3111" s="656" t="s">
        <v>12519</v>
      </c>
      <c r="Y3111" s="363"/>
      <c r="Z3111" s="364"/>
      <c r="AA3111" s="364"/>
      <c r="AB3111" s="32">
        <f t="shared" ca="1" si="70"/>
        <v>0.29592341794598687</v>
      </c>
      <c r="AC3111" s="812"/>
      <c r="AD3111" s="763" t="s">
        <v>15918</v>
      </c>
      <c r="AE3111" s="951"/>
      <c r="AF3111" s="921">
        <f>IF(X3111=X3110,AF3110,0)+IF(ISNUMBER(I3111),IF(I3111&lt;1,I3111,I3111*VLOOKUP(J3111,Summary!$H$2:$I$9,2)),VLOOKUP(J3111,Summary!$J$2:$K$9,2)*IF(ISNUMBER(H3111),H3111,1))</f>
        <v>0.11796296296296294</v>
      </c>
      <c r="AG3111" s="288">
        <v>3110</v>
      </c>
      <c r="AH3111" s="94"/>
      <c r="AI3111" s="94"/>
    </row>
    <row r="3112" spans="1:36" s="43" customFormat="1" ht="12" customHeight="1" x14ac:dyDescent="0.25">
      <c r="A3112" s="409" t="s">
        <v>10411</v>
      </c>
      <c r="B3112" s="410" t="s">
        <v>6146</v>
      </c>
      <c r="C3112" s="556">
        <v>9.0500000000000007</v>
      </c>
      <c r="D3112" s="434" t="s">
        <v>10469</v>
      </c>
      <c r="E3112" s="324" t="s">
        <v>10482</v>
      </c>
      <c r="F3112" s="175">
        <v>40441</v>
      </c>
      <c r="G3112" s="176"/>
      <c r="H3112" s="176" t="s">
        <v>461</v>
      </c>
      <c r="I3112" s="176"/>
      <c r="J3112" s="900" t="s">
        <v>2755</v>
      </c>
      <c r="K3112" s="157" t="s">
        <v>1033</v>
      </c>
      <c r="L3112" s="157" t="s">
        <v>461</v>
      </c>
      <c r="M3112" s="157"/>
      <c r="N3112" s="157" t="s">
        <v>3551</v>
      </c>
      <c r="O3112" s="157"/>
      <c r="P3112" s="173" t="s">
        <v>10434</v>
      </c>
      <c r="Q3112" s="157" t="s">
        <v>3947</v>
      </c>
      <c r="R3112" s="179" t="s">
        <v>6720</v>
      </c>
      <c r="S3112" s="354"/>
      <c r="T3112" s="173" t="s">
        <v>2611</v>
      </c>
      <c r="U3112" s="173"/>
      <c r="V3112" s="173"/>
      <c r="W3112" s="324" t="s">
        <v>10482</v>
      </c>
      <c r="X3112" s="656" t="s">
        <v>12519</v>
      </c>
      <c r="Y3112" s="363"/>
      <c r="Z3112" s="364"/>
      <c r="AA3112" s="364"/>
      <c r="AB3112" s="32">
        <f t="shared" ca="1" si="70"/>
        <v>8.4935418506401406E-2</v>
      </c>
      <c r="AC3112" s="812"/>
      <c r="AD3112" s="763" t="s">
        <v>15918</v>
      </c>
      <c r="AE3112" s="951"/>
      <c r="AF3112" s="921">
        <f>IF(X3112=X3111,AF3111,0)+IF(ISNUMBER(I3112),IF(I3112&lt;1,I3112,I3112*VLOOKUP(J3112,Summary!$H$2:$I$9,2)),VLOOKUP(J3112,Summary!$J$2:$K$9,2)*IF(ISNUMBER(H3112),H3112,1))</f>
        <v>0.13532407407407404</v>
      </c>
      <c r="AG3112" s="288">
        <v>3111</v>
      </c>
      <c r="AH3112" s="94"/>
      <c r="AI3112" s="94"/>
    </row>
    <row r="3113" spans="1:36" s="43" customFormat="1" ht="12" customHeight="1" x14ac:dyDescent="0.25">
      <c r="A3113" s="409" t="s">
        <v>10411</v>
      </c>
      <c r="B3113" s="410" t="s">
        <v>6146</v>
      </c>
      <c r="C3113" s="556">
        <v>9.06</v>
      </c>
      <c r="D3113" s="434" t="s">
        <v>10470</v>
      </c>
      <c r="E3113" s="324" t="s">
        <v>10483</v>
      </c>
      <c r="F3113" s="175">
        <v>40441</v>
      </c>
      <c r="G3113" s="176"/>
      <c r="H3113" s="176" t="s">
        <v>461</v>
      </c>
      <c r="I3113" s="176"/>
      <c r="J3113" s="900" t="s">
        <v>2755</v>
      </c>
      <c r="K3113" s="157" t="s">
        <v>10491</v>
      </c>
      <c r="L3113" s="157" t="s">
        <v>461</v>
      </c>
      <c r="M3113" s="157"/>
      <c r="N3113" s="157" t="s">
        <v>3551</v>
      </c>
      <c r="O3113" s="157"/>
      <c r="P3113" s="173" t="s">
        <v>10434</v>
      </c>
      <c r="Q3113" s="157" t="s">
        <v>3947</v>
      </c>
      <c r="R3113" s="179" t="s">
        <v>6720</v>
      </c>
      <c r="S3113" s="354"/>
      <c r="T3113" s="173" t="s">
        <v>2611</v>
      </c>
      <c r="U3113" s="173"/>
      <c r="V3113" s="173"/>
      <c r="W3113" s="324" t="s">
        <v>10483</v>
      </c>
      <c r="X3113" s="656" t="s">
        <v>12519</v>
      </c>
      <c r="Y3113" s="363"/>
      <c r="Z3113" s="364"/>
      <c r="AA3113" s="364"/>
      <c r="AB3113" s="32">
        <f t="shared" ca="1" si="70"/>
        <v>6.7424885561321868E-2</v>
      </c>
      <c r="AC3113" s="812"/>
      <c r="AD3113" s="763" t="s">
        <v>15918</v>
      </c>
      <c r="AE3113" s="951"/>
      <c r="AF3113" s="921">
        <f>IF(X3113=X3112,AF3112,0)+IF(ISNUMBER(I3113),IF(I3113&lt;1,I3113,I3113*VLOOKUP(J3113,Summary!$H$2:$I$9,2)),VLOOKUP(J3113,Summary!$J$2:$K$9,2)*IF(ISNUMBER(H3113),H3113,1))</f>
        <v>0.15268518518518515</v>
      </c>
      <c r="AG3113" s="288">
        <v>3112</v>
      </c>
      <c r="AH3113" s="94"/>
      <c r="AI3113" s="94"/>
    </row>
    <row r="3114" spans="1:36" s="43" customFormat="1" ht="12" customHeight="1" x14ac:dyDescent="0.25">
      <c r="A3114" s="409" t="s">
        <v>10411</v>
      </c>
      <c r="B3114" s="410" t="s">
        <v>6146</v>
      </c>
      <c r="C3114" s="556">
        <v>9.07</v>
      </c>
      <c r="D3114" s="434" t="s">
        <v>10471</v>
      </c>
      <c r="E3114" s="324" t="s">
        <v>10484</v>
      </c>
      <c r="F3114" s="175">
        <v>40441</v>
      </c>
      <c r="G3114" s="176"/>
      <c r="H3114" s="176" t="s">
        <v>461</v>
      </c>
      <c r="I3114" s="176"/>
      <c r="J3114" s="900" t="s">
        <v>2755</v>
      </c>
      <c r="K3114" s="157" t="s">
        <v>1641</v>
      </c>
      <c r="L3114" s="157" t="s">
        <v>461</v>
      </c>
      <c r="M3114" s="157"/>
      <c r="N3114" s="157" t="s">
        <v>3551</v>
      </c>
      <c r="O3114" s="157"/>
      <c r="P3114" s="173" t="s">
        <v>10434</v>
      </c>
      <c r="Q3114" s="157" t="s">
        <v>3947</v>
      </c>
      <c r="R3114" s="179" t="s">
        <v>6720</v>
      </c>
      <c r="S3114" s="354"/>
      <c r="T3114" s="173" t="s">
        <v>2611</v>
      </c>
      <c r="U3114" s="173"/>
      <c r="V3114" s="173"/>
      <c r="W3114" s="324" t="s">
        <v>10484</v>
      </c>
      <c r="X3114" s="656" t="s">
        <v>12519</v>
      </c>
      <c r="Y3114" s="363"/>
      <c r="Z3114" s="364"/>
      <c r="AA3114" s="364"/>
      <c r="AB3114" s="32">
        <f t="shared" ca="1" si="70"/>
        <v>0.32964198448088944</v>
      </c>
      <c r="AC3114" s="812"/>
      <c r="AD3114" s="763" t="s">
        <v>15918</v>
      </c>
      <c r="AE3114" s="951"/>
      <c r="AF3114" s="921">
        <f>IF(X3114=X3113,AF3113,0)+IF(ISNUMBER(I3114),IF(I3114&lt;1,I3114,I3114*VLOOKUP(J3114,Summary!$H$2:$I$9,2)),VLOOKUP(J3114,Summary!$J$2:$K$9,2)*IF(ISNUMBER(H3114),H3114,1))</f>
        <v>0.17004629629629625</v>
      </c>
      <c r="AG3114" s="288">
        <v>3113</v>
      </c>
      <c r="AH3114" s="94"/>
      <c r="AI3114" s="94"/>
    </row>
    <row r="3115" spans="1:36" s="22" customFormat="1" ht="12" customHeight="1" x14ac:dyDescent="0.25">
      <c r="A3115" s="409" t="s">
        <v>10411</v>
      </c>
      <c r="B3115" s="410" t="s">
        <v>6146</v>
      </c>
      <c r="C3115" s="556">
        <v>9.08</v>
      </c>
      <c r="D3115" s="434" t="s">
        <v>10472</v>
      </c>
      <c r="E3115" s="324" t="s">
        <v>10485</v>
      </c>
      <c r="F3115" s="175">
        <v>40441</v>
      </c>
      <c r="G3115" s="176"/>
      <c r="H3115" s="176" t="s">
        <v>461</v>
      </c>
      <c r="I3115" s="176"/>
      <c r="J3115" s="900" t="s">
        <v>2755</v>
      </c>
      <c r="K3115" s="157" t="s">
        <v>1810</v>
      </c>
      <c r="L3115" s="157" t="s">
        <v>461</v>
      </c>
      <c r="M3115" s="157"/>
      <c r="N3115" s="157" t="s">
        <v>3551</v>
      </c>
      <c r="O3115" s="157"/>
      <c r="P3115" s="173" t="s">
        <v>10434</v>
      </c>
      <c r="Q3115" s="157" t="s">
        <v>3947</v>
      </c>
      <c r="R3115" s="179" t="s">
        <v>6720</v>
      </c>
      <c r="S3115" s="354"/>
      <c r="T3115" s="173" t="s">
        <v>2611</v>
      </c>
      <c r="U3115" s="173"/>
      <c r="V3115" s="173"/>
      <c r="W3115" s="324" t="s">
        <v>10485</v>
      </c>
      <c r="X3115" s="656" t="s">
        <v>12519</v>
      </c>
      <c r="Y3115" s="363"/>
      <c r="Z3115" s="364"/>
      <c r="AA3115" s="364"/>
      <c r="AB3115" s="32">
        <f t="shared" ca="1" si="70"/>
        <v>0.59585779407900463</v>
      </c>
      <c r="AC3115" s="812"/>
      <c r="AD3115" s="763" t="s">
        <v>15918</v>
      </c>
      <c r="AE3115" s="951"/>
      <c r="AF3115" s="921">
        <f>IF(X3115=X3114,AF3114,0)+IF(ISNUMBER(I3115),IF(I3115&lt;1,I3115,I3115*VLOOKUP(J3115,Summary!$H$2:$I$9,2)),VLOOKUP(J3115,Summary!$J$2:$K$9,2)*IF(ISNUMBER(H3115),H3115,1))</f>
        <v>0.18740740740740736</v>
      </c>
      <c r="AG3115" s="288">
        <v>3114</v>
      </c>
      <c r="AH3115" s="94"/>
      <c r="AI3115" s="94"/>
    </row>
    <row r="3116" spans="1:36" s="43" customFormat="1" ht="12" customHeight="1" x14ac:dyDescent="0.25">
      <c r="A3116" s="409" t="s">
        <v>10411</v>
      </c>
      <c r="B3116" s="410" t="s">
        <v>6146</v>
      </c>
      <c r="C3116" s="556">
        <v>9.09</v>
      </c>
      <c r="D3116" s="434" t="s">
        <v>10473</v>
      </c>
      <c r="E3116" s="324" t="s">
        <v>10486</v>
      </c>
      <c r="F3116" s="175">
        <v>40441</v>
      </c>
      <c r="G3116" s="176"/>
      <c r="H3116" s="176" t="s">
        <v>461</v>
      </c>
      <c r="I3116" s="176"/>
      <c r="J3116" s="900" t="s">
        <v>2755</v>
      </c>
      <c r="K3116" s="157" t="s">
        <v>2675</v>
      </c>
      <c r="L3116" s="157" t="s">
        <v>461</v>
      </c>
      <c r="M3116" s="157"/>
      <c r="N3116" s="157" t="s">
        <v>3551</v>
      </c>
      <c r="O3116" s="157"/>
      <c r="P3116" s="173" t="s">
        <v>10434</v>
      </c>
      <c r="Q3116" s="157" t="s">
        <v>3947</v>
      </c>
      <c r="R3116" s="179" t="s">
        <v>6720</v>
      </c>
      <c r="S3116" s="354"/>
      <c r="T3116" s="173" t="s">
        <v>2611</v>
      </c>
      <c r="U3116" s="173"/>
      <c r="V3116" s="173"/>
      <c r="W3116" s="324" t="s">
        <v>10486</v>
      </c>
      <c r="X3116" s="656" t="s">
        <v>12519</v>
      </c>
      <c r="Y3116" s="363"/>
      <c r="Z3116" s="364"/>
      <c r="AA3116" s="364"/>
      <c r="AB3116" s="32">
        <f t="shared" ca="1" si="70"/>
        <v>0.16888581114616619</v>
      </c>
      <c r="AC3116" s="812"/>
      <c r="AD3116" s="763" t="s">
        <v>15918</v>
      </c>
      <c r="AE3116" s="951"/>
      <c r="AF3116" s="921">
        <f>IF(X3116=X3115,AF3115,0)+IF(ISNUMBER(I3116),IF(I3116&lt;1,I3116,I3116*VLOOKUP(J3116,Summary!$H$2:$I$9,2)),VLOOKUP(J3116,Summary!$J$2:$K$9,2)*IF(ISNUMBER(H3116),H3116,1))</f>
        <v>0.20476851851851846</v>
      </c>
      <c r="AG3116" s="288">
        <v>3115</v>
      </c>
      <c r="AH3116" s="94"/>
      <c r="AI3116" s="94"/>
    </row>
    <row r="3117" spans="1:36" s="44" customFormat="1" ht="12" customHeight="1" x14ac:dyDescent="0.25">
      <c r="A3117" s="409" t="s">
        <v>10411</v>
      </c>
      <c r="B3117" s="410" t="s">
        <v>6146</v>
      </c>
      <c r="C3117" s="556">
        <v>9.1</v>
      </c>
      <c r="D3117" s="434" t="s">
        <v>10474</v>
      </c>
      <c r="E3117" s="324" t="s">
        <v>10487</v>
      </c>
      <c r="F3117" s="175">
        <v>40441</v>
      </c>
      <c r="G3117" s="176"/>
      <c r="H3117" s="176" t="s">
        <v>461</v>
      </c>
      <c r="I3117" s="176"/>
      <c r="J3117" s="900" t="s">
        <v>2755</v>
      </c>
      <c r="K3117" s="157" t="s">
        <v>5666</v>
      </c>
      <c r="L3117" s="157" t="s">
        <v>461</v>
      </c>
      <c r="M3117" s="157"/>
      <c r="N3117" s="157" t="s">
        <v>3551</v>
      </c>
      <c r="O3117" s="157"/>
      <c r="P3117" s="173" t="s">
        <v>10434</v>
      </c>
      <c r="Q3117" s="157" t="s">
        <v>3947</v>
      </c>
      <c r="R3117" s="179" t="s">
        <v>6720</v>
      </c>
      <c r="S3117" s="354"/>
      <c r="T3117" s="173" t="s">
        <v>2611</v>
      </c>
      <c r="U3117" s="173"/>
      <c r="V3117" s="173"/>
      <c r="W3117" s="324" t="s">
        <v>10487</v>
      </c>
      <c r="X3117" s="656" t="s">
        <v>12519</v>
      </c>
      <c r="Y3117" s="363"/>
      <c r="Z3117" s="364"/>
      <c r="AA3117" s="364"/>
      <c r="AB3117" s="32">
        <f t="shared" ca="1" si="70"/>
        <v>0.5230229130092614</v>
      </c>
      <c r="AC3117" s="812"/>
      <c r="AD3117" s="763" t="s">
        <v>15918</v>
      </c>
      <c r="AE3117" s="951"/>
      <c r="AF3117" s="921">
        <f>IF(X3117=X3116,AF3116,0)+IF(ISNUMBER(I3117),IF(I3117&lt;1,I3117,I3117*VLOOKUP(J3117,Summary!$H$2:$I$9,2)),VLOOKUP(J3117,Summary!$J$2:$K$9,2)*IF(ISNUMBER(H3117),H3117,1))</f>
        <v>0.22212962962962957</v>
      </c>
      <c r="AG3117" s="288">
        <v>3116</v>
      </c>
      <c r="AH3117" s="94"/>
      <c r="AI3117" s="94"/>
    </row>
    <row r="3118" spans="1:36" s="43" customFormat="1" ht="12" customHeight="1" x14ac:dyDescent="0.25">
      <c r="A3118" s="409" t="s">
        <v>10411</v>
      </c>
      <c r="B3118" s="410" t="s">
        <v>6146</v>
      </c>
      <c r="C3118" s="556">
        <v>9.11</v>
      </c>
      <c r="D3118" s="434" t="s">
        <v>10475</v>
      </c>
      <c r="E3118" s="324" t="s">
        <v>10488</v>
      </c>
      <c r="F3118" s="175">
        <v>40441</v>
      </c>
      <c r="G3118" s="176"/>
      <c r="H3118" s="176" t="s">
        <v>461</v>
      </c>
      <c r="I3118" s="176"/>
      <c r="J3118" s="900" t="s">
        <v>2755</v>
      </c>
      <c r="K3118" s="157" t="s">
        <v>340</v>
      </c>
      <c r="L3118" s="157" t="s">
        <v>461</v>
      </c>
      <c r="M3118" s="157"/>
      <c r="N3118" s="157" t="s">
        <v>3551</v>
      </c>
      <c r="O3118" s="157"/>
      <c r="P3118" s="173" t="s">
        <v>10434</v>
      </c>
      <c r="Q3118" s="157" t="s">
        <v>3947</v>
      </c>
      <c r="R3118" s="179" t="s">
        <v>6720</v>
      </c>
      <c r="S3118" s="354"/>
      <c r="T3118" s="173" t="s">
        <v>2611</v>
      </c>
      <c r="U3118" s="173"/>
      <c r="V3118" s="173"/>
      <c r="W3118" s="324" t="s">
        <v>10488</v>
      </c>
      <c r="X3118" s="656" t="s">
        <v>12519</v>
      </c>
      <c r="Y3118" s="363"/>
      <c r="Z3118" s="364"/>
      <c r="AA3118" s="364"/>
      <c r="AB3118" s="32">
        <f t="shared" ca="1" si="70"/>
        <v>0.65617261899822221</v>
      </c>
      <c r="AC3118" s="812"/>
      <c r="AD3118" s="763" t="s">
        <v>15918</v>
      </c>
      <c r="AE3118" s="951"/>
      <c r="AF3118" s="921">
        <f>IF(X3118=X3117,AF3117,0)+IF(ISNUMBER(I3118),IF(I3118&lt;1,I3118,I3118*VLOOKUP(J3118,Summary!$H$2:$I$9,2)),VLOOKUP(J3118,Summary!$J$2:$K$9,2)*IF(ISNUMBER(H3118),H3118,1))</f>
        <v>0.23949074074074067</v>
      </c>
      <c r="AG3118" s="288">
        <v>3117</v>
      </c>
      <c r="AH3118" s="94"/>
      <c r="AI3118" s="94"/>
    </row>
    <row r="3119" spans="1:36" s="43" customFormat="1" ht="12" customHeight="1" x14ac:dyDescent="0.25">
      <c r="A3119" s="409" t="s">
        <v>10411</v>
      </c>
      <c r="B3119" s="410" t="s">
        <v>6146</v>
      </c>
      <c r="C3119" s="556">
        <v>9.1199999999999992</v>
      </c>
      <c r="D3119" s="434" t="s">
        <v>10476</v>
      </c>
      <c r="E3119" s="324" t="s">
        <v>10489</v>
      </c>
      <c r="F3119" s="175">
        <v>40441</v>
      </c>
      <c r="G3119" s="176"/>
      <c r="H3119" s="176" t="s">
        <v>461</v>
      </c>
      <c r="I3119" s="176"/>
      <c r="J3119" s="900" t="s">
        <v>2755</v>
      </c>
      <c r="K3119" s="157" t="s">
        <v>10399</v>
      </c>
      <c r="L3119" s="157" t="s">
        <v>461</v>
      </c>
      <c r="M3119" s="157"/>
      <c r="N3119" s="157" t="s">
        <v>3551</v>
      </c>
      <c r="O3119" s="157"/>
      <c r="P3119" s="173" t="s">
        <v>10434</v>
      </c>
      <c r="Q3119" s="157" t="s">
        <v>3947</v>
      </c>
      <c r="R3119" s="179" t="s">
        <v>6720</v>
      </c>
      <c r="S3119" s="354"/>
      <c r="T3119" s="173" t="s">
        <v>2611</v>
      </c>
      <c r="U3119" s="173"/>
      <c r="V3119" s="173"/>
      <c r="W3119" s="324" t="s">
        <v>10489</v>
      </c>
      <c r="X3119" s="656" t="s">
        <v>12519</v>
      </c>
      <c r="Y3119" s="363"/>
      <c r="Z3119" s="364"/>
      <c r="AA3119" s="364"/>
      <c r="AB3119" s="32">
        <f t="shared" ca="1" si="70"/>
        <v>0.76220500648439604</v>
      </c>
      <c r="AC3119" s="812"/>
      <c r="AD3119" s="763" t="s">
        <v>15918</v>
      </c>
      <c r="AE3119" s="951"/>
      <c r="AF3119" s="921">
        <f>IF(X3119=X3118,AF3118,0)+IF(ISNUMBER(I3119),IF(I3119&lt;1,I3119,I3119*VLOOKUP(J3119,Summary!$H$2:$I$9,2)),VLOOKUP(J3119,Summary!$J$2:$K$9,2)*IF(ISNUMBER(H3119),H3119,1))</f>
        <v>0.25685185185185178</v>
      </c>
      <c r="AG3119" s="288">
        <v>3118</v>
      </c>
      <c r="AH3119" s="94"/>
      <c r="AI3119" s="94"/>
    </row>
    <row r="3120" spans="1:36" s="43" customFormat="1" ht="12" customHeight="1" x14ac:dyDescent="0.25">
      <c r="A3120" s="409" t="s">
        <v>10411</v>
      </c>
      <c r="B3120" s="410" t="s">
        <v>6146</v>
      </c>
      <c r="C3120" s="556">
        <v>9.1300000000000008</v>
      </c>
      <c r="D3120" s="434" t="s">
        <v>10477</v>
      </c>
      <c r="E3120" s="324" t="s">
        <v>10490</v>
      </c>
      <c r="F3120" s="175">
        <v>40441</v>
      </c>
      <c r="G3120" s="176"/>
      <c r="H3120" s="176" t="s">
        <v>461</v>
      </c>
      <c r="I3120" s="176"/>
      <c r="J3120" s="900" t="s">
        <v>2755</v>
      </c>
      <c r="K3120" s="157" t="s">
        <v>6874</v>
      </c>
      <c r="L3120" s="157" t="s">
        <v>461</v>
      </c>
      <c r="M3120" s="157"/>
      <c r="N3120" s="157" t="s">
        <v>3551</v>
      </c>
      <c r="O3120" s="157"/>
      <c r="P3120" s="173" t="s">
        <v>10434</v>
      </c>
      <c r="Q3120" s="157" t="s">
        <v>3947</v>
      </c>
      <c r="R3120" s="179" t="s">
        <v>6720</v>
      </c>
      <c r="S3120" s="354"/>
      <c r="T3120" s="173" t="s">
        <v>2611</v>
      </c>
      <c r="U3120" s="173"/>
      <c r="V3120" s="173"/>
      <c r="W3120" s="324" t="s">
        <v>10490</v>
      </c>
      <c r="X3120" s="656" t="s">
        <v>12519</v>
      </c>
      <c r="Y3120" s="363"/>
      <c r="Z3120" s="364"/>
      <c r="AA3120" s="364"/>
      <c r="AB3120" s="32">
        <f t="shared" ca="1" si="70"/>
        <v>0.12137332381869503</v>
      </c>
      <c r="AC3120" s="812"/>
      <c r="AD3120" s="763" t="s">
        <v>15918</v>
      </c>
      <c r="AE3120" s="951"/>
      <c r="AF3120" s="921">
        <f>IF(X3120=X3119,AF3119,0)+IF(ISNUMBER(I3120),IF(I3120&lt;1,I3120,I3120*VLOOKUP(J3120,Summary!$H$2:$I$9,2)),VLOOKUP(J3120,Summary!$J$2:$K$9,2)*IF(ISNUMBER(H3120),H3120,1))</f>
        <v>0.27421296296296288</v>
      </c>
      <c r="AG3120" s="288">
        <v>3119</v>
      </c>
      <c r="AH3120" s="94"/>
      <c r="AI3120" s="94"/>
      <c r="AJ3120" s="3"/>
    </row>
    <row r="3121" spans="1:36" s="43" customFormat="1" ht="12" customHeight="1" x14ac:dyDescent="0.25">
      <c r="A3121" s="405" t="s">
        <v>10411</v>
      </c>
      <c r="B3121" s="405" t="s">
        <v>6146</v>
      </c>
      <c r="C3121" s="405">
        <v>11.2</v>
      </c>
      <c r="D3121" s="407" t="s">
        <v>10417</v>
      </c>
      <c r="E3121" s="315" t="s">
        <v>10425</v>
      </c>
      <c r="F3121" s="169">
        <v>40452</v>
      </c>
      <c r="G3121" s="170"/>
      <c r="H3121" s="170">
        <v>1</v>
      </c>
      <c r="I3121" s="747">
        <f t="shared" ref="I3121:I3129" si="71">TIME(0,60,0)</f>
        <v>4.1666666666666664E-2</v>
      </c>
      <c r="J3121" s="899" t="s">
        <v>4706</v>
      </c>
      <c r="K3121" s="167" t="s">
        <v>6353</v>
      </c>
      <c r="L3121" s="167" t="s">
        <v>6231</v>
      </c>
      <c r="M3121" s="167"/>
      <c r="N3121" s="167"/>
      <c r="O3121" s="167" t="s">
        <v>6231</v>
      </c>
      <c r="P3121" s="168" t="s">
        <v>10462</v>
      </c>
      <c r="Q3121" s="167" t="s">
        <v>3947</v>
      </c>
      <c r="R3121" s="172" t="s">
        <v>3711</v>
      </c>
      <c r="S3121" s="388"/>
      <c r="T3121" s="168" t="s">
        <v>2611</v>
      </c>
      <c r="U3121" s="168"/>
      <c r="V3121" s="168"/>
      <c r="W3121" s="315" t="s">
        <v>10425</v>
      </c>
      <c r="X3121" s="644" t="s">
        <v>12519</v>
      </c>
      <c r="Y3121" s="352" t="s">
        <v>5398</v>
      </c>
      <c r="Z3121" s="353">
        <v>107</v>
      </c>
      <c r="AA3121" s="353">
        <v>7.5</v>
      </c>
      <c r="AB3121" s="31">
        <f t="shared" ca="1" si="70"/>
        <v>0.7645851634536186</v>
      </c>
      <c r="AC3121" s="810"/>
      <c r="AD3121" s="811" t="s">
        <v>16514</v>
      </c>
      <c r="AE3121" s="940" t="s">
        <v>16075</v>
      </c>
      <c r="AF3121" s="920">
        <f>IF(X3121=X3120,AF3120,0)+IF(ISNUMBER(I3121),IF(I3121&lt;1,I3121,I3121*VLOOKUP(J3121,Summary!$H$2:$I$9,2)),VLOOKUP(J3121,Summary!$J$2:$K$9,2)*IF(ISNUMBER(H3121),H3121,1))</f>
        <v>0.31587962962962957</v>
      </c>
      <c r="AG3121" s="287">
        <v>3120</v>
      </c>
      <c r="AH3121" s="94"/>
      <c r="AI3121" s="94"/>
    </row>
    <row r="3122" spans="1:36" s="43" customFormat="1" ht="12" customHeight="1" x14ac:dyDescent="0.25">
      <c r="A3122" s="405" t="s">
        <v>10411</v>
      </c>
      <c r="B3122" s="405" t="s">
        <v>6146</v>
      </c>
      <c r="C3122" s="405">
        <v>11.3</v>
      </c>
      <c r="D3122" s="407" t="s">
        <v>10418</v>
      </c>
      <c r="E3122" s="315" t="s">
        <v>10426</v>
      </c>
      <c r="F3122" s="169">
        <v>40483</v>
      </c>
      <c r="G3122" s="170"/>
      <c r="H3122" s="170">
        <v>1</v>
      </c>
      <c r="I3122" s="747">
        <f t="shared" si="71"/>
        <v>4.1666666666666664E-2</v>
      </c>
      <c r="J3122" s="899" t="s">
        <v>4706</v>
      </c>
      <c r="K3122" s="167" t="s">
        <v>6352</v>
      </c>
      <c r="L3122" s="167" t="s">
        <v>6231</v>
      </c>
      <c r="M3122" s="167"/>
      <c r="N3122" s="167"/>
      <c r="O3122" s="167" t="s">
        <v>6231</v>
      </c>
      <c r="P3122" s="168" t="s">
        <v>10463</v>
      </c>
      <c r="Q3122" s="167" t="s">
        <v>3947</v>
      </c>
      <c r="R3122" s="172" t="s">
        <v>3711</v>
      </c>
      <c r="S3122" s="388"/>
      <c r="T3122" s="168" t="s">
        <v>2611</v>
      </c>
      <c r="U3122" s="168"/>
      <c r="V3122" s="168"/>
      <c r="W3122" s="315" t="s">
        <v>10426</v>
      </c>
      <c r="X3122" s="644" t="s">
        <v>12519</v>
      </c>
      <c r="Y3122" s="352" t="s">
        <v>5398</v>
      </c>
      <c r="Z3122" s="353">
        <v>104</v>
      </c>
      <c r="AA3122" s="353">
        <v>7.5</v>
      </c>
      <c r="AB3122" s="31">
        <f t="shared" ca="1" si="70"/>
        <v>0.94887053901044349</v>
      </c>
      <c r="AC3122" s="810"/>
      <c r="AD3122" s="825" t="s">
        <v>15046</v>
      </c>
      <c r="AE3122" s="940" t="s">
        <v>15098</v>
      </c>
      <c r="AF3122" s="920">
        <f>IF(X3122=X3121,AF3121,0)+IF(ISNUMBER(I3122),IF(I3122&lt;1,I3122,I3122*VLOOKUP(J3122,Summary!$H$2:$I$9,2)),VLOOKUP(J3122,Summary!$J$2:$K$9,2)*IF(ISNUMBER(H3122),H3122,1))</f>
        <v>0.35754629629629625</v>
      </c>
      <c r="AG3122" s="287">
        <v>3121</v>
      </c>
      <c r="AH3122" s="94"/>
      <c r="AI3122" s="94"/>
      <c r="AJ3122" s="2"/>
    </row>
    <row r="3123" spans="1:36" s="43" customFormat="1" ht="12" customHeight="1" x14ac:dyDescent="0.25">
      <c r="A3123" s="405" t="s">
        <v>10411</v>
      </c>
      <c r="B3123" s="405" t="s">
        <v>6146</v>
      </c>
      <c r="C3123" s="405">
        <v>11.4</v>
      </c>
      <c r="D3123" s="407" t="s">
        <v>10419</v>
      </c>
      <c r="E3123" s="315" t="s">
        <v>10427</v>
      </c>
      <c r="F3123" s="169">
        <v>40513</v>
      </c>
      <c r="G3123" s="170"/>
      <c r="H3123" s="170">
        <v>1</v>
      </c>
      <c r="I3123" s="747">
        <f t="shared" si="71"/>
        <v>4.1666666666666664E-2</v>
      </c>
      <c r="J3123" s="899" t="s">
        <v>4706</v>
      </c>
      <c r="K3123" s="167" t="s">
        <v>10429</v>
      </c>
      <c r="L3123" s="167" t="s">
        <v>6231</v>
      </c>
      <c r="M3123" s="167"/>
      <c r="N3123" s="167"/>
      <c r="O3123" s="167" t="s">
        <v>6231</v>
      </c>
      <c r="P3123" s="168" t="s">
        <v>10464</v>
      </c>
      <c r="Q3123" s="167" t="s">
        <v>3947</v>
      </c>
      <c r="R3123" s="172" t="s">
        <v>3711</v>
      </c>
      <c r="S3123" s="388"/>
      <c r="T3123" s="168" t="s">
        <v>2611</v>
      </c>
      <c r="U3123" s="168"/>
      <c r="V3123" s="168"/>
      <c r="W3123" s="315" t="s">
        <v>10427</v>
      </c>
      <c r="X3123" s="644" t="s">
        <v>12519</v>
      </c>
      <c r="Y3123" s="352" t="s">
        <v>5398</v>
      </c>
      <c r="Z3123" s="353">
        <v>417</v>
      </c>
      <c r="AA3123" s="353">
        <v>4.5</v>
      </c>
      <c r="AB3123" s="31">
        <f t="shared" ca="1" si="70"/>
        <v>0.24050895293062835</v>
      </c>
      <c r="AC3123" s="810"/>
      <c r="AD3123" s="825" t="s">
        <v>15046</v>
      </c>
      <c r="AE3123" s="940" t="s">
        <v>15098</v>
      </c>
      <c r="AF3123" s="920">
        <f>IF(X3123=X3122,AF3122,0)+IF(ISNUMBER(I3123),IF(I3123&lt;1,I3123,I3123*VLOOKUP(J3123,Summary!$H$2:$I$9,2)),VLOOKUP(J3123,Summary!$J$2:$K$9,2)*IF(ISNUMBER(H3123),H3123,1))</f>
        <v>0.39921296296296294</v>
      </c>
      <c r="AG3123" s="287">
        <v>3122</v>
      </c>
      <c r="AH3123" s="94"/>
      <c r="AI3123" s="94"/>
      <c r="AJ3123" s="2"/>
    </row>
    <row r="3124" spans="1:36" s="43" customFormat="1" ht="12" customHeight="1" x14ac:dyDescent="0.25">
      <c r="A3124" s="405" t="s">
        <v>10494</v>
      </c>
      <c r="B3124" s="405" t="s">
        <v>6146</v>
      </c>
      <c r="C3124" s="405">
        <v>12.1</v>
      </c>
      <c r="D3124" s="407" t="s">
        <v>10497</v>
      </c>
      <c r="E3124" s="315" t="s">
        <v>10539</v>
      </c>
      <c r="F3124" s="169">
        <v>40787</v>
      </c>
      <c r="G3124" s="170"/>
      <c r="H3124" s="170">
        <v>1</v>
      </c>
      <c r="I3124" s="747">
        <f t="shared" si="71"/>
        <v>4.1666666666666664E-2</v>
      </c>
      <c r="J3124" s="899" t="s">
        <v>4706</v>
      </c>
      <c r="K3124" s="167" t="s">
        <v>563</v>
      </c>
      <c r="L3124" s="167" t="s">
        <v>7375</v>
      </c>
      <c r="M3124" s="167"/>
      <c r="N3124" s="167"/>
      <c r="O3124" s="167"/>
      <c r="P3124" s="168" t="s">
        <v>10496</v>
      </c>
      <c r="Q3124" s="167" t="s">
        <v>3947</v>
      </c>
      <c r="R3124" s="172" t="s">
        <v>3711</v>
      </c>
      <c r="S3124" s="388"/>
      <c r="T3124" s="168" t="s">
        <v>2611</v>
      </c>
      <c r="U3124" s="168"/>
      <c r="V3124" s="168"/>
      <c r="W3124" s="315" t="s">
        <v>12074</v>
      </c>
      <c r="X3124" s="647" t="s">
        <v>12520</v>
      </c>
      <c r="Y3124" s="352" t="s">
        <v>5643</v>
      </c>
      <c r="Z3124" s="353">
        <v>590</v>
      </c>
      <c r="AA3124" s="353">
        <v>3.5</v>
      </c>
      <c r="AB3124" s="31">
        <f t="shared" ca="1" si="70"/>
        <v>0.22167706868841985</v>
      </c>
      <c r="AC3124" s="810"/>
      <c r="AD3124" s="825" t="s">
        <v>15045</v>
      </c>
      <c r="AE3124" s="940" t="s">
        <v>15099</v>
      </c>
      <c r="AF3124" s="920">
        <f>IF(X3124=X3123,AF3123,0)+IF(ISNUMBER(I3124),IF(I3124&lt;1,I3124,I3124*VLOOKUP(J3124,Summary!$H$2:$I$9,2)),VLOOKUP(J3124,Summary!$J$2:$K$9,2)*IF(ISNUMBER(H3124),H3124,1))</f>
        <v>4.1666666666666664E-2</v>
      </c>
      <c r="AG3124" s="287">
        <v>3123</v>
      </c>
      <c r="AH3124" s="94"/>
      <c r="AI3124" s="94"/>
    </row>
    <row r="3125" spans="1:36" s="43" customFormat="1" ht="12" customHeight="1" x14ac:dyDescent="0.25">
      <c r="A3125" s="405" t="s">
        <v>10494</v>
      </c>
      <c r="B3125" s="405" t="s">
        <v>6146</v>
      </c>
      <c r="C3125" s="405">
        <v>12.2</v>
      </c>
      <c r="D3125" s="407" t="s">
        <v>10498</v>
      </c>
      <c r="E3125" s="315" t="s">
        <v>10540</v>
      </c>
      <c r="F3125" s="169">
        <v>40787</v>
      </c>
      <c r="G3125" s="170"/>
      <c r="H3125" s="170">
        <v>1</v>
      </c>
      <c r="I3125" s="747">
        <f t="shared" si="71"/>
        <v>4.1666666666666664E-2</v>
      </c>
      <c r="J3125" s="899" t="s">
        <v>4706</v>
      </c>
      <c r="K3125" s="167" t="s">
        <v>4552</v>
      </c>
      <c r="L3125" s="167" t="s">
        <v>7375</v>
      </c>
      <c r="M3125" s="167"/>
      <c r="N3125" s="167"/>
      <c r="O3125" s="167"/>
      <c r="P3125" s="168" t="s">
        <v>10496</v>
      </c>
      <c r="Q3125" s="167" t="s">
        <v>3947</v>
      </c>
      <c r="R3125" s="172" t="s">
        <v>3711</v>
      </c>
      <c r="S3125" s="388"/>
      <c r="T3125" s="168" t="s">
        <v>2611</v>
      </c>
      <c r="U3125" s="168"/>
      <c r="V3125" s="168"/>
      <c r="W3125" s="315" t="s">
        <v>12075</v>
      </c>
      <c r="X3125" s="647" t="s">
        <v>12520</v>
      </c>
      <c r="Y3125" s="352" t="s">
        <v>5643</v>
      </c>
      <c r="Z3125" s="353">
        <v>563</v>
      </c>
      <c r="AA3125" s="353">
        <v>3.5</v>
      </c>
      <c r="AB3125" s="31">
        <f t="shared" ca="1" si="70"/>
        <v>0.67982093850704362</v>
      </c>
      <c r="AC3125" s="810"/>
      <c r="AD3125" s="825" t="s">
        <v>15045</v>
      </c>
      <c r="AE3125" s="940" t="s">
        <v>15099</v>
      </c>
      <c r="AF3125" s="920">
        <f>IF(X3125=X3124,AF3124,0)+IF(ISNUMBER(I3125),IF(I3125&lt;1,I3125,I3125*VLOOKUP(J3125,Summary!$H$2:$I$9,2)),VLOOKUP(J3125,Summary!$J$2:$K$9,2)*IF(ISNUMBER(H3125),H3125,1))</f>
        <v>8.3333333333333329E-2</v>
      </c>
      <c r="AG3125" s="287">
        <v>3124</v>
      </c>
      <c r="AH3125" s="94"/>
      <c r="AI3125" s="94"/>
    </row>
    <row r="3126" spans="1:36" s="43" customFormat="1" ht="12" customHeight="1" x14ac:dyDescent="0.25">
      <c r="A3126" s="405" t="s">
        <v>10494</v>
      </c>
      <c r="B3126" s="405" t="s">
        <v>6146</v>
      </c>
      <c r="C3126" s="405">
        <v>12.3</v>
      </c>
      <c r="D3126" s="407" t="s">
        <v>10499</v>
      </c>
      <c r="E3126" s="315" t="s">
        <v>10541</v>
      </c>
      <c r="F3126" s="169">
        <v>40787</v>
      </c>
      <c r="G3126" s="170"/>
      <c r="H3126" s="170">
        <v>1</v>
      </c>
      <c r="I3126" s="747">
        <f t="shared" si="71"/>
        <v>4.1666666666666664E-2</v>
      </c>
      <c r="J3126" s="899" t="s">
        <v>4706</v>
      </c>
      <c r="K3126" s="167" t="s">
        <v>3303</v>
      </c>
      <c r="L3126" s="167" t="s">
        <v>7375</v>
      </c>
      <c r="M3126" s="167"/>
      <c r="N3126" s="167"/>
      <c r="O3126" s="167"/>
      <c r="P3126" s="168" t="s">
        <v>10496</v>
      </c>
      <c r="Q3126" s="167" t="s">
        <v>3947</v>
      </c>
      <c r="R3126" s="172" t="s">
        <v>3711</v>
      </c>
      <c r="S3126" s="388"/>
      <c r="T3126" s="168" t="s">
        <v>2611</v>
      </c>
      <c r="U3126" s="168"/>
      <c r="V3126" s="168"/>
      <c r="W3126" s="315" t="s">
        <v>12076</v>
      </c>
      <c r="X3126" s="647" t="s">
        <v>12520</v>
      </c>
      <c r="Y3126" s="352" t="s">
        <v>5643</v>
      </c>
      <c r="Z3126" s="353">
        <v>548</v>
      </c>
      <c r="AA3126" s="353">
        <v>3.5</v>
      </c>
      <c r="AB3126" s="31">
        <f t="shared" ca="1" si="70"/>
        <v>0.14362497706574084</v>
      </c>
      <c r="AC3126" s="810"/>
      <c r="AD3126" s="825" t="s">
        <v>15045</v>
      </c>
      <c r="AE3126" s="940" t="s">
        <v>15099</v>
      </c>
      <c r="AF3126" s="920">
        <f>IF(X3126=X3125,AF3125,0)+IF(ISNUMBER(I3126),IF(I3126&lt;1,I3126,I3126*VLOOKUP(J3126,Summary!$H$2:$I$9,2)),VLOOKUP(J3126,Summary!$J$2:$K$9,2)*IF(ISNUMBER(H3126),H3126,1))</f>
        <v>0.125</v>
      </c>
      <c r="AG3126" s="287">
        <v>3125</v>
      </c>
      <c r="AH3126" s="94"/>
      <c r="AI3126" s="94"/>
      <c r="AJ3126" s="2"/>
    </row>
    <row r="3127" spans="1:36" s="43" customFormat="1" ht="12" customHeight="1" x14ac:dyDescent="0.25">
      <c r="A3127" s="405" t="s">
        <v>10494</v>
      </c>
      <c r="B3127" s="405" t="s">
        <v>6146</v>
      </c>
      <c r="C3127" s="405">
        <v>12.4</v>
      </c>
      <c r="D3127" s="407" t="s">
        <v>10543</v>
      </c>
      <c r="E3127" s="315" t="s">
        <v>10542</v>
      </c>
      <c r="F3127" s="169">
        <v>40787</v>
      </c>
      <c r="G3127" s="170"/>
      <c r="H3127" s="170">
        <v>1</v>
      </c>
      <c r="I3127" s="747">
        <f t="shared" si="71"/>
        <v>4.1666666666666664E-2</v>
      </c>
      <c r="J3127" s="899" t="s">
        <v>4706</v>
      </c>
      <c r="K3127" s="167" t="s">
        <v>179</v>
      </c>
      <c r="L3127" s="167" t="s">
        <v>7375</v>
      </c>
      <c r="M3127" s="167"/>
      <c r="N3127" s="167"/>
      <c r="O3127" s="167"/>
      <c r="P3127" s="168" t="s">
        <v>10496</v>
      </c>
      <c r="Q3127" s="167" t="s">
        <v>3947</v>
      </c>
      <c r="R3127" s="172" t="s">
        <v>3711</v>
      </c>
      <c r="S3127" s="388"/>
      <c r="T3127" s="168" t="s">
        <v>2611</v>
      </c>
      <c r="U3127" s="168"/>
      <c r="V3127" s="168"/>
      <c r="W3127" s="315" t="s">
        <v>6395</v>
      </c>
      <c r="X3127" s="647" t="s">
        <v>12520</v>
      </c>
      <c r="Y3127" s="352" t="s">
        <v>5643</v>
      </c>
      <c r="Z3127" s="353">
        <v>522</v>
      </c>
      <c r="AA3127" s="353">
        <v>4</v>
      </c>
      <c r="AB3127" s="31">
        <f t="shared" ca="1" si="70"/>
        <v>0.57545755329243475</v>
      </c>
      <c r="AC3127" s="810"/>
      <c r="AD3127" s="825" t="s">
        <v>15917</v>
      </c>
      <c r="AE3127" s="940" t="s">
        <v>15099</v>
      </c>
      <c r="AF3127" s="920">
        <f>IF(X3127=X3126,AF3126,0)+IF(ISNUMBER(I3127),IF(I3127&lt;1,I3127,I3127*VLOOKUP(J3127,Summary!$H$2:$I$9,2)),VLOOKUP(J3127,Summary!$J$2:$K$9,2)*IF(ISNUMBER(H3127),H3127,1))</f>
        <v>0.16666666666666666</v>
      </c>
      <c r="AG3127" s="287">
        <v>3126</v>
      </c>
      <c r="AH3127" s="94"/>
      <c r="AI3127" s="94"/>
      <c r="AJ3127" s="3"/>
    </row>
    <row r="3128" spans="1:36" s="43" customFormat="1" ht="12" customHeight="1" x14ac:dyDescent="0.25">
      <c r="A3128" s="405" t="s">
        <v>10495</v>
      </c>
      <c r="B3128" s="405" t="s">
        <v>6146</v>
      </c>
      <c r="C3128" s="405">
        <v>13.1</v>
      </c>
      <c r="D3128" s="407" t="s">
        <v>10500</v>
      </c>
      <c r="E3128" s="315" t="s">
        <v>10537</v>
      </c>
      <c r="F3128" s="169">
        <v>40940</v>
      </c>
      <c r="G3128" s="170"/>
      <c r="H3128" s="170">
        <v>1</v>
      </c>
      <c r="I3128" s="747">
        <f t="shared" si="71"/>
        <v>4.1666666666666664E-2</v>
      </c>
      <c r="J3128" s="899" t="s">
        <v>4706</v>
      </c>
      <c r="K3128" s="167" t="s">
        <v>4147</v>
      </c>
      <c r="L3128" s="167" t="s">
        <v>7375</v>
      </c>
      <c r="M3128" s="167"/>
      <c r="N3128" s="167"/>
      <c r="O3128" s="167"/>
      <c r="P3128" s="168" t="s">
        <v>10503</v>
      </c>
      <c r="Q3128" s="167" t="s">
        <v>3947</v>
      </c>
      <c r="R3128" s="172" t="s">
        <v>3711</v>
      </c>
      <c r="S3128" s="388"/>
      <c r="T3128" s="168" t="s">
        <v>2611</v>
      </c>
      <c r="U3128" s="168"/>
      <c r="V3128" s="168"/>
      <c r="W3128" s="315" t="s">
        <v>12077</v>
      </c>
      <c r="X3128" s="647" t="s">
        <v>12522</v>
      </c>
      <c r="Y3128" s="352" t="s">
        <v>11456</v>
      </c>
      <c r="Z3128" s="353">
        <v>432</v>
      </c>
      <c r="AA3128" s="353">
        <v>4.5</v>
      </c>
      <c r="AB3128" s="31">
        <f t="shared" ca="1" si="70"/>
        <v>0.54527989269156962</v>
      </c>
      <c r="AC3128" s="810"/>
      <c r="AD3128" s="811" t="s">
        <v>15916</v>
      </c>
      <c r="AE3128" s="940"/>
      <c r="AF3128" s="920">
        <f>IF(X3128=X3127,AF3127,0)+IF(ISNUMBER(I3128),IF(I3128&lt;1,I3128,I3128*VLOOKUP(J3128,Summary!$H$2:$I$9,2)),VLOOKUP(J3128,Summary!$J$2:$K$9,2)*IF(ISNUMBER(H3128),H3128,1))</f>
        <v>4.1666666666666664E-2</v>
      </c>
      <c r="AG3128" s="287">
        <v>3127</v>
      </c>
      <c r="AH3128" s="94"/>
      <c r="AI3128" s="94"/>
    </row>
    <row r="3129" spans="1:36" s="43" customFormat="1" ht="12" customHeight="1" x14ac:dyDescent="0.25">
      <c r="A3129" s="405" t="s">
        <v>10495</v>
      </c>
      <c r="B3129" s="405" t="s">
        <v>6146</v>
      </c>
      <c r="C3129" s="405">
        <v>13.2</v>
      </c>
      <c r="D3129" s="407" t="s">
        <v>10501</v>
      </c>
      <c r="E3129" s="315" t="s">
        <v>10538</v>
      </c>
      <c r="F3129" s="169">
        <v>40940</v>
      </c>
      <c r="G3129" s="170"/>
      <c r="H3129" s="170">
        <v>1</v>
      </c>
      <c r="I3129" s="747">
        <f t="shared" si="71"/>
        <v>4.1666666666666664E-2</v>
      </c>
      <c r="J3129" s="899" t="s">
        <v>4706</v>
      </c>
      <c r="K3129" s="167" t="s">
        <v>2983</v>
      </c>
      <c r="L3129" s="167" t="s">
        <v>7375</v>
      </c>
      <c r="M3129" s="167"/>
      <c r="N3129" s="167"/>
      <c r="O3129" s="167"/>
      <c r="P3129" s="168" t="s">
        <v>10503</v>
      </c>
      <c r="Q3129" s="167" t="s">
        <v>3947</v>
      </c>
      <c r="R3129" s="172" t="s">
        <v>3711</v>
      </c>
      <c r="S3129" s="388"/>
      <c r="T3129" s="168" t="s">
        <v>2611</v>
      </c>
      <c r="U3129" s="168"/>
      <c r="V3129" s="168"/>
      <c r="W3129" s="315" t="s">
        <v>12078</v>
      </c>
      <c r="X3129" s="647" t="s">
        <v>12522</v>
      </c>
      <c r="Y3129" s="352" t="s">
        <v>11456</v>
      </c>
      <c r="Z3129" s="353">
        <v>115</v>
      </c>
      <c r="AA3129" s="353">
        <v>7</v>
      </c>
      <c r="AB3129" s="31">
        <f t="shared" ca="1" si="70"/>
        <v>0.94546401790084666</v>
      </c>
      <c r="AC3129" s="810"/>
      <c r="AD3129" s="811" t="s">
        <v>15916</v>
      </c>
      <c r="AE3129" s="940"/>
      <c r="AF3129" s="920">
        <f>IF(X3129=X3128,AF3128,0)+IF(ISNUMBER(I3129),IF(I3129&lt;1,I3129,I3129*VLOOKUP(J3129,Summary!$H$2:$I$9,2)),VLOOKUP(J3129,Summary!$J$2:$K$9,2)*IF(ISNUMBER(H3129),H3129,1))</f>
        <v>8.3333333333333329E-2</v>
      </c>
      <c r="AG3129" s="287">
        <v>3128</v>
      </c>
      <c r="AH3129" s="94"/>
      <c r="AI3129" s="94"/>
    </row>
    <row r="3130" spans="1:36" s="43" customFormat="1" ht="12" customHeight="1" x14ac:dyDescent="0.25">
      <c r="A3130" s="474" t="s">
        <v>10495</v>
      </c>
      <c r="B3130" s="507" t="s">
        <v>6146</v>
      </c>
      <c r="C3130" s="474">
        <v>11</v>
      </c>
      <c r="D3130" s="417" t="s">
        <v>10504</v>
      </c>
      <c r="E3130" s="316" t="s">
        <v>10505</v>
      </c>
      <c r="F3130" s="187">
        <v>40940</v>
      </c>
      <c r="G3130" s="188"/>
      <c r="H3130" s="188" t="s">
        <v>461</v>
      </c>
      <c r="I3130" s="188">
        <v>219</v>
      </c>
      <c r="J3130" s="902" t="s">
        <v>6868</v>
      </c>
      <c r="K3130" s="162" t="s">
        <v>2554</v>
      </c>
      <c r="L3130" s="162" t="s">
        <v>461</v>
      </c>
      <c r="M3130" s="162"/>
      <c r="N3130" s="162"/>
      <c r="O3130" s="162"/>
      <c r="P3130" s="178" t="s">
        <v>10506</v>
      </c>
      <c r="Q3130" s="162" t="s">
        <v>3947</v>
      </c>
      <c r="R3130" s="189" t="s">
        <v>6721</v>
      </c>
      <c r="S3130" s="366"/>
      <c r="T3130" s="178" t="s">
        <v>2611</v>
      </c>
      <c r="U3130" s="178"/>
      <c r="V3130" s="178"/>
      <c r="W3130" s="316" t="s">
        <v>10505</v>
      </c>
      <c r="X3130" s="648" t="s">
        <v>12522</v>
      </c>
      <c r="Y3130" s="356"/>
      <c r="Z3130" s="272"/>
      <c r="AA3130" s="272"/>
      <c r="AB3130" s="34">
        <f t="shared" ca="1" si="70"/>
        <v>0.35883604113413237</v>
      </c>
      <c r="AC3130" s="814"/>
      <c r="AD3130" s="815" t="s">
        <v>15916</v>
      </c>
      <c r="AE3130" s="942"/>
      <c r="AF3130" s="923">
        <f>IF(X3130=X3129,AF3129,0)+IF(ISNUMBER(I3130),IF(I3130&lt;1,I3130,I3130*VLOOKUP(J3130,Summary!$H$2:$I$9,2)),VLOOKUP(J3130,Summary!$J$2:$K$9,2)*IF(ISNUMBER(H3130),H3130,1))</f>
        <v>0.23541666666666666</v>
      </c>
      <c r="AG3130" s="291">
        <v>3129</v>
      </c>
      <c r="AH3130" s="94"/>
      <c r="AI3130" s="94"/>
    </row>
    <row r="3131" spans="1:36" s="2" customFormat="1" ht="12" customHeight="1" x14ac:dyDescent="0.25">
      <c r="A3131" s="737" t="s">
        <v>10495</v>
      </c>
      <c r="B3131" s="738" t="s">
        <v>6146</v>
      </c>
      <c r="C3131" s="739"/>
      <c r="D3131" s="407" t="s">
        <v>15349</v>
      </c>
      <c r="E3131" s="315" t="s">
        <v>15935</v>
      </c>
      <c r="F3131" s="196">
        <v>43368</v>
      </c>
      <c r="G3131" s="170"/>
      <c r="H3131" s="170" t="s">
        <v>461</v>
      </c>
      <c r="I3131" s="747">
        <f>TIME(0,60,0)</f>
        <v>4.1666666666666664E-2</v>
      </c>
      <c r="J3131" s="899" t="s">
        <v>4706</v>
      </c>
      <c r="K3131" s="167" t="s">
        <v>4146</v>
      </c>
      <c r="L3131" s="167" t="s">
        <v>179</v>
      </c>
      <c r="M3131" s="167"/>
      <c r="N3131" s="167" t="s">
        <v>1643</v>
      </c>
      <c r="O3131" s="167" t="s">
        <v>1643</v>
      </c>
      <c r="P3131" s="168" t="s">
        <v>15348</v>
      </c>
      <c r="Q3131" s="167" t="s">
        <v>3947</v>
      </c>
      <c r="R3131" s="172" t="s">
        <v>3711</v>
      </c>
      <c r="S3131" s="388"/>
      <c r="T3131" s="168" t="s">
        <v>2611</v>
      </c>
      <c r="U3131" s="168"/>
      <c r="V3131" s="168"/>
      <c r="W3131" s="315" t="s">
        <v>15935</v>
      </c>
      <c r="X3131" s="647" t="s">
        <v>12522</v>
      </c>
      <c r="Y3131" s="352"/>
      <c r="Z3131" s="353"/>
      <c r="AA3131" s="353"/>
      <c r="AB3131" s="31">
        <f t="shared" ca="1" si="70"/>
        <v>0.51296669417150942</v>
      </c>
      <c r="AC3131" s="810"/>
      <c r="AD3131" s="811" t="s">
        <v>15916</v>
      </c>
      <c r="AE3131" s="940"/>
      <c r="AF3131" s="920">
        <f>IF(X3131=X3130,AF3130,0)+IF(ISNUMBER(I3131),IF(I3131&lt;1,I3131,I3131*VLOOKUP(J3131,Summary!$H$2:$I$9,2)),VLOOKUP(J3131,Summary!$J$2:$K$9,2)*IF(ISNUMBER(H3131),H3131,1))</f>
        <v>0.27708333333333335</v>
      </c>
      <c r="AG3131" s="287">
        <v>3130</v>
      </c>
      <c r="AH3131" s="94"/>
      <c r="AI3131" s="94"/>
    </row>
    <row r="3132" spans="1:36" s="43" customFormat="1" ht="12" customHeight="1" x14ac:dyDescent="0.25">
      <c r="A3132" s="405" t="s">
        <v>10495</v>
      </c>
      <c r="B3132" s="405" t="s">
        <v>6146</v>
      </c>
      <c r="C3132" s="405">
        <v>13.3</v>
      </c>
      <c r="D3132" s="407" t="s">
        <v>10502</v>
      </c>
      <c r="E3132" s="315" t="s">
        <v>10536</v>
      </c>
      <c r="F3132" s="169">
        <v>40940</v>
      </c>
      <c r="G3132" s="170"/>
      <c r="H3132" s="170">
        <v>1</v>
      </c>
      <c r="I3132" s="747">
        <f>TIME(0,60,0)</f>
        <v>4.1666666666666664E-2</v>
      </c>
      <c r="J3132" s="899" t="s">
        <v>4706</v>
      </c>
      <c r="K3132" s="167" t="s">
        <v>4146</v>
      </c>
      <c r="L3132" s="167" t="s">
        <v>179</v>
      </c>
      <c r="M3132" s="167"/>
      <c r="N3132" s="167"/>
      <c r="O3132" s="167"/>
      <c r="P3132" s="168" t="s">
        <v>10503</v>
      </c>
      <c r="Q3132" s="167" t="s">
        <v>3947</v>
      </c>
      <c r="R3132" s="172" t="s">
        <v>3711</v>
      </c>
      <c r="S3132" s="388"/>
      <c r="T3132" s="168" t="s">
        <v>2611</v>
      </c>
      <c r="U3132" s="168"/>
      <c r="V3132" s="168"/>
      <c r="W3132" s="315" t="s">
        <v>12079</v>
      </c>
      <c r="X3132" s="647" t="s">
        <v>12522</v>
      </c>
      <c r="Y3132" s="352" t="s">
        <v>11456</v>
      </c>
      <c r="Z3132" s="353">
        <v>587</v>
      </c>
      <c r="AA3132" s="353">
        <v>3.5</v>
      </c>
      <c r="AB3132" s="31">
        <f t="shared" ca="1" si="70"/>
        <v>0.3619765887520332</v>
      </c>
      <c r="AC3132" s="810"/>
      <c r="AD3132" s="811" t="s">
        <v>15916</v>
      </c>
      <c r="AE3132" s="940"/>
      <c r="AF3132" s="920">
        <f>IF(X3132=X3131,AF3131,0)+IF(ISNUMBER(I3132),IF(I3132&lt;1,I3132,I3132*VLOOKUP(J3132,Summary!$H$2:$I$9,2)),VLOOKUP(J3132,Summary!$J$2:$K$9,2)*IF(ISNUMBER(H3132),H3132,1))</f>
        <v>0.31875000000000003</v>
      </c>
      <c r="AG3132" s="287">
        <v>3131</v>
      </c>
      <c r="AH3132" s="94"/>
      <c r="AI3132" s="94"/>
      <c r="AJ3132" s="3"/>
    </row>
    <row r="3133" spans="1:36" s="45" customFormat="1" ht="12" customHeight="1" x14ac:dyDescent="0.3">
      <c r="A3133" s="405" t="s">
        <v>10507</v>
      </c>
      <c r="B3133" s="405" t="s">
        <v>6146</v>
      </c>
      <c r="C3133" s="405">
        <v>14.1</v>
      </c>
      <c r="D3133" s="407" t="s">
        <v>10510</v>
      </c>
      <c r="E3133" s="315" t="s">
        <v>10530</v>
      </c>
      <c r="F3133" s="169">
        <v>41153</v>
      </c>
      <c r="G3133" s="170"/>
      <c r="H3133" s="170">
        <v>1</v>
      </c>
      <c r="I3133" s="747">
        <f>TIME(0,60,0)</f>
        <v>4.1666666666666664E-2</v>
      </c>
      <c r="J3133" s="899" t="s">
        <v>4706</v>
      </c>
      <c r="K3133" s="167" t="s">
        <v>3303</v>
      </c>
      <c r="L3133" s="167" t="s">
        <v>7375</v>
      </c>
      <c r="M3133" s="167"/>
      <c r="N3133" s="167"/>
      <c r="O3133" s="167"/>
      <c r="P3133" s="168" t="s">
        <v>10508</v>
      </c>
      <c r="Q3133" s="167" t="s">
        <v>3947</v>
      </c>
      <c r="R3133" s="172" t="s">
        <v>3711</v>
      </c>
      <c r="S3133" s="388"/>
      <c r="T3133" s="168" t="s">
        <v>2611</v>
      </c>
      <c r="U3133" s="168"/>
      <c r="V3133" s="168"/>
      <c r="W3133" s="315" t="s">
        <v>12080</v>
      </c>
      <c r="X3133" s="647" t="s">
        <v>12521</v>
      </c>
      <c r="Y3133" s="352" t="s">
        <v>11456</v>
      </c>
      <c r="Z3133" s="353">
        <v>248</v>
      </c>
      <c r="AA3133" s="353">
        <v>5.5</v>
      </c>
      <c r="AB3133" s="31">
        <f t="shared" ca="1" si="70"/>
        <v>0.12382800952781359</v>
      </c>
      <c r="AC3133" s="810"/>
      <c r="AD3133" s="811" t="s">
        <v>15916</v>
      </c>
      <c r="AE3133" s="940"/>
      <c r="AF3133" s="920">
        <f>IF(X3133=X3132,AF3132,0)+IF(ISNUMBER(I3133),IF(I3133&lt;1,I3133,I3133*VLOOKUP(J3133,Summary!$H$2:$I$9,2)),VLOOKUP(J3133,Summary!$J$2:$K$9,2)*IF(ISNUMBER(H3133),H3133,1))</f>
        <v>4.1666666666666664E-2</v>
      </c>
      <c r="AG3133" s="287">
        <v>3132</v>
      </c>
      <c r="AH3133" s="94"/>
      <c r="AI3133" s="94"/>
      <c r="AJ3133" s="8"/>
    </row>
    <row r="3134" spans="1:36" s="43" customFormat="1" ht="12" customHeight="1" x14ac:dyDescent="0.25">
      <c r="A3134" s="405" t="s">
        <v>10507</v>
      </c>
      <c r="B3134" s="405" t="s">
        <v>6146</v>
      </c>
      <c r="C3134" s="405">
        <v>14.2</v>
      </c>
      <c r="D3134" s="407" t="s">
        <v>10511</v>
      </c>
      <c r="E3134" s="315" t="s">
        <v>10531</v>
      </c>
      <c r="F3134" s="169">
        <v>41153</v>
      </c>
      <c r="G3134" s="170"/>
      <c r="H3134" s="170">
        <v>1</v>
      </c>
      <c r="I3134" s="747">
        <f>TIME(0,60,0)</f>
        <v>4.1666666666666664E-2</v>
      </c>
      <c r="J3134" s="899" t="s">
        <v>4706</v>
      </c>
      <c r="K3134" s="167" t="s">
        <v>179</v>
      </c>
      <c r="L3134" s="167" t="s">
        <v>179</v>
      </c>
      <c r="M3134" s="167"/>
      <c r="N3134" s="167"/>
      <c r="O3134" s="167"/>
      <c r="P3134" s="168" t="s">
        <v>10508</v>
      </c>
      <c r="Q3134" s="167" t="s">
        <v>3947</v>
      </c>
      <c r="R3134" s="172" t="s">
        <v>3711</v>
      </c>
      <c r="S3134" s="388"/>
      <c r="T3134" s="168" t="s">
        <v>2611</v>
      </c>
      <c r="U3134" s="168" t="s">
        <v>12185</v>
      </c>
      <c r="V3134" s="168"/>
      <c r="W3134" s="315" t="s">
        <v>12081</v>
      </c>
      <c r="X3134" s="647" t="s">
        <v>12521</v>
      </c>
      <c r="Y3134" s="352" t="s">
        <v>11456</v>
      </c>
      <c r="Z3134" s="353">
        <v>116</v>
      </c>
      <c r="AA3134" s="353">
        <v>7</v>
      </c>
      <c r="AB3134" s="31">
        <f t="shared" ca="1" si="70"/>
        <v>0.33189865323835843</v>
      </c>
      <c r="AC3134" s="810"/>
      <c r="AD3134" s="811" t="s">
        <v>15915</v>
      </c>
      <c r="AE3134" s="940"/>
      <c r="AF3134" s="920">
        <f>IF(X3134=X3133,AF3133,0)+IF(ISNUMBER(I3134),IF(I3134&lt;1,I3134,I3134*VLOOKUP(J3134,Summary!$H$2:$I$9,2)),VLOOKUP(J3134,Summary!$J$2:$K$9,2)*IF(ISNUMBER(H3134),H3134,1))</f>
        <v>8.3333333333333329E-2</v>
      </c>
      <c r="AG3134" s="287">
        <v>3133</v>
      </c>
      <c r="AH3134" s="94"/>
      <c r="AI3134" s="94"/>
    </row>
    <row r="3135" spans="1:36" s="43" customFormat="1" ht="12" customHeight="1" x14ac:dyDescent="0.25">
      <c r="A3135" s="405" t="s">
        <v>10507</v>
      </c>
      <c r="B3135" s="405" t="s">
        <v>6146</v>
      </c>
      <c r="C3135" s="405">
        <v>14.3</v>
      </c>
      <c r="D3135" s="407" t="s">
        <v>10512</v>
      </c>
      <c r="E3135" s="315" t="s">
        <v>10532</v>
      </c>
      <c r="F3135" s="169">
        <v>41153</v>
      </c>
      <c r="G3135" s="170"/>
      <c r="H3135" s="170">
        <v>1</v>
      </c>
      <c r="I3135" s="747">
        <f>TIME(0,60,0)</f>
        <v>4.1666666666666664E-2</v>
      </c>
      <c r="J3135" s="899" t="s">
        <v>4706</v>
      </c>
      <c r="K3135" s="167" t="s">
        <v>10513</v>
      </c>
      <c r="L3135" s="167" t="s">
        <v>7375</v>
      </c>
      <c r="M3135" s="167"/>
      <c r="N3135" s="167"/>
      <c r="O3135" s="167"/>
      <c r="P3135" s="168" t="s">
        <v>10508</v>
      </c>
      <c r="Q3135" s="167" t="s">
        <v>3947</v>
      </c>
      <c r="R3135" s="172" t="s">
        <v>3711</v>
      </c>
      <c r="S3135" s="388"/>
      <c r="T3135" s="168" t="s">
        <v>2611</v>
      </c>
      <c r="U3135" s="168"/>
      <c r="V3135" s="168"/>
      <c r="W3135" s="315" t="s">
        <v>12082</v>
      </c>
      <c r="X3135" s="647" t="s">
        <v>12521</v>
      </c>
      <c r="Y3135" s="352" t="s">
        <v>11456</v>
      </c>
      <c r="Z3135" s="353">
        <v>68</v>
      </c>
      <c r="AA3135" s="353">
        <v>8</v>
      </c>
      <c r="AB3135" s="31">
        <f t="shared" ca="1" si="70"/>
        <v>0.49142645923072426</v>
      </c>
      <c r="AC3135" s="810"/>
      <c r="AD3135" s="811" t="s">
        <v>15915</v>
      </c>
      <c r="AE3135" s="940"/>
      <c r="AF3135" s="920">
        <f>IF(X3135=X3134,AF3134,0)+IF(ISNUMBER(I3135),IF(I3135&lt;1,I3135,I3135*VLOOKUP(J3135,Summary!$H$2:$I$9,2)),VLOOKUP(J3135,Summary!$J$2:$K$9,2)*IF(ISNUMBER(H3135),H3135,1))</f>
        <v>0.125</v>
      </c>
      <c r="AG3135" s="287">
        <v>3134</v>
      </c>
      <c r="AH3135" s="94"/>
      <c r="AI3135" s="94"/>
    </row>
    <row r="3136" spans="1:36" s="43" customFormat="1" ht="12" customHeight="1" x14ac:dyDescent="0.25">
      <c r="A3136" s="474" t="s">
        <v>10507</v>
      </c>
      <c r="B3136" s="507" t="s">
        <v>6146</v>
      </c>
      <c r="C3136" s="474">
        <v>12</v>
      </c>
      <c r="D3136" s="417" t="s">
        <v>10547</v>
      </c>
      <c r="E3136" s="316" t="s">
        <v>10548</v>
      </c>
      <c r="F3136" s="195">
        <v>41180</v>
      </c>
      <c r="G3136" s="188"/>
      <c r="H3136" s="188" t="s">
        <v>461</v>
      </c>
      <c r="I3136" s="188">
        <v>219</v>
      </c>
      <c r="J3136" s="902" t="s">
        <v>6868</v>
      </c>
      <c r="K3136" s="162" t="s">
        <v>4944</v>
      </c>
      <c r="L3136" s="162" t="s">
        <v>461</v>
      </c>
      <c r="M3136" s="162"/>
      <c r="N3136" s="162"/>
      <c r="O3136" s="162"/>
      <c r="P3136" s="178" t="s">
        <v>10549</v>
      </c>
      <c r="Q3136" s="162" t="s">
        <v>3947</v>
      </c>
      <c r="R3136" s="189" t="s">
        <v>6721</v>
      </c>
      <c r="S3136" s="366"/>
      <c r="T3136" s="178" t="s">
        <v>2611</v>
      </c>
      <c r="U3136" s="178"/>
      <c r="V3136" s="178"/>
      <c r="W3136" s="316" t="s">
        <v>10548</v>
      </c>
      <c r="X3136" s="648" t="s">
        <v>12521</v>
      </c>
      <c r="Y3136" s="356"/>
      <c r="Z3136" s="272"/>
      <c r="AA3136" s="272"/>
      <c r="AB3136" s="34">
        <f t="shared" ca="1" si="70"/>
        <v>0.86173663376428267</v>
      </c>
      <c r="AC3136" s="814"/>
      <c r="AD3136" s="815" t="s">
        <v>15915</v>
      </c>
      <c r="AE3136" s="942"/>
      <c r="AF3136" s="923">
        <f>IF(X3136=X3135,AF3135,0)+IF(ISNUMBER(I3136),IF(I3136&lt;1,I3136,I3136*VLOOKUP(J3136,Summary!$H$2:$I$9,2)),VLOOKUP(J3136,Summary!$J$2:$K$9,2)*IF(ISNUMBER(H3136),H3136,1))</f>
        <v>0.27708333333333335</v>
      </c>
      <c r="AG3136" s="291">
        <v>3135</v>
      </c>
      <c r="AH3136" s="94"/>
      <c r="AI3136" s="94"/>
    </row>
    <row r="3137" spans="1:36" s="26" customFormat="1" ht="12" customHeight="1" x14ac:dyDescent="0.25">
      <c r="A3137" s="478" t="s">
        <v>10507</v>
      </c>
      <c r="B3137" s="478" t="s">
        <v>6146</v>
      </c>
      <c r="C3137" s="478">
        <v>11.05</v>
      </c>
      <c r="D3137" s="192" t="s">
        <v>15810</v>
      </c>
      <c r="E3137" s="317" t="s">
        <v>15811</v>
      </c>
      <c r="F3137" s="209">
        <v>43453</v>
      </c>
      <c r="G3137" s="191"/>
      <c r="H3137" s="192" t="s">
        <v>461</v>
      </c>
      <c r="I3137" s="192"/>
      <c r="J3137" s="903" t="s">
        <v>2755</v>
      </c>
      <c r="K3137" s="194" t="s">
        <v>15812</v>
      </c>
      <c r="L3137" s="194" t="s">
        <v>461</v>
      </c>
      <c r="M3137" s="194" t="s">
        <v>5662</v>
      </c>
      <c r="N3137" s="194" t="s">
        <v>4944</v>
      </c>
      <c r="O3137" s="194" t="s">
        <v>4944</v>
      </c>
      <c r="P3137" s="190" t="s">
        <v>15800</v>
      </c>
      <c r="Q3137" s="194" t="s">
        <v>3947</v>
      </c>
      <c r="R3137" s="193" t="s">
        <v>6720</v>
      </c>
      <c r="S3137" s="357"/>
      <c r="T3137" s="190" t="s">
        <v>2611</v>
      </c>
      <c r="U3137" s="190"/>
      <c r="V3137" s="190"/>
      <c r="W3137" s="317" t="s">
        <v>15811</v>
      </c>
      <c r="X3137" s="649" t="s">
        <v>12521</v>
      </c>
      <c r="Y3137" s="357"/>
      <c r="Z3137" s="192"/>
      <c r="AA3137" s="192"/>
      <c r="AB3137" s="37">
        <f t="shared" ca="1" si="70"/>
        <v>0.52466265800909162</v>
      </c>
      <c r="AC3137" s="816"/>
      <c r="AD3137" s="817"/>
      <c r="AE3137" s="943"/>
      <c r="AF3137" s="924">
        <f>IF(X3137=X3136,AF3136,0)+IF(ISNUMBER(I3137),IF(I3137&lt;1,I3137,I3137*VLOOKUP(J3137,Summary!$H$2:$I$9,2)),VLOOKUP(J3137,Summary!$J$2:$K$9,2)*IF(ISNUMBER(H3137),H3137,1))</f>
        <v>0.29444444444444445</v>
      </c>
      <c r="AG3137" s="292">
        <v>3136</v>
      </c>
      <c r="AH3137" s="94"/>
      <c r="AI3137" s="94"/>
    </row>
    <row r="3138" spans="1:36" s="43" customFormat="1" ht="12" customHeight="1" x14ac:dyDescent="0.25">
      <c r="A3138" s="541" t="s">
        <v>10507</v>
      </c>
      <c r="B3138" s="541" t="s">
        <v>6146</v>
      </c>
      <c r="C3138" s="541"/>
      <c r="D3138" s="407" t="s">
        <v>10553</v>
      </c>
      <c r="E3138" s="312" t="s">
        <v>10554</v>
      </c>
      <c r="F3138" s="169">
        <v>41214</v>
      </c>
      <c r="G3138" s="170"/>
      <c r="H3138" s="170"/>
      <c r="I3138" s="746">
        <f>TIME(0,100,0)</f>
        <v>6.9444444444444448E-2</v>
      </c>
      <c r="J3138" s="899" t="s">
        <v>4706</v>
      </c>
      <c r="K3138" s="167" t="s">
        <v>10555</v>
      </c>
      <c r="L3138" s="167" t="s">
        <v>10556</v>
      </c>
      <c r="M3138" s="167"/>
      <c r="N3138" s="167"/>
      <c r="O3138" s="167"/>
      <c r="P3138" s="168"/>
      <c r="Q3138" s="167" t="s">
        <v>3947</v>
      </c>
      <c r="R3138" s="172" t="s">
        <v>3711</v>
      </c>
      <c r="S3138" s="388"/>
      <c r="T3138" s="168" t="s">
        <v>2611</v>
      </c>
      <c r="U3138" s="168"/>
      <c r="V3138" s="168"/>
      <c r="W3138" s="312" t="s">
        <v>10554</v>
      </c>
      <c r="X3138" s="644" t="s">
        <v>12521</v>
      </c>
      <c r="Y3138" s="352"/>
      <c r="Z3138" s="353"/>
      <c r="AA3138" s="353"/>
      <c r="AB3138" s="31">
        <f t="shared" ref="AB3138:AB3201" ca="1" si="72">RAND()</f>
        <v>6.6726143303563745E-4</v>
      </c>
      <c r="AC3138" s="810"/>
      <c r="AD3138" s="811"/>
      <c r="AE3138" s="940"/>
      <c r="AF3138" s="920">
        <f>IF(X3138=X3137,AF3137,0)+IF(ISNUMBER(I3138),IF(I3138&lt;1,I3138,I3138*VLOOKUP(J3138,Summary!$H$2:$I$9,2)),VLOOKUP(J3138,Summary!$J$2:$K$9,2)*IF(ISNUMBER(H3138),H3138,1))</f>
        <v>0.36388888888888893</v>
      </c>
      <c r="AG3138" s="287">
        <v>3137</v>
      </c>
      <c r="AH3138" s="94"/>
      <c r="AI3138" s="94"/>
    </row>
    <row r="3139" spans="1:36" s="22" customFormat="1" ht="12" customHeight="1" x14ac:dyDescent="0.2">
      <c r="A3139" s="405" t="s">
        <v>10509</v>
      </c>
      <c r="B3139" s="405" t="s">
        <v>6146</v>
      </c>
      <c r="C3139" s="405">
        <v>15.1</v>
      </c>
      <c r="D3139" s="407" t="s">
        <v>10516</v>
      </c>
      <c r="E3139" s="315" t="s">
        <v>10533</v>
      </c>
      <c r="F3139" s="169">
        <v>41365</v>
      </c>
      <c r="G3139" s="170"/>
      <c r="H3139" s="170">
        <v>1</v>
      </c>
      <c r="I3139" s="747">
        <f>TIME(0,60,0)</f>
        <v>4.1666666666666664E-2</v>
      </c>
      <c r="J3139" s="899" t="s">
        <v>4706</v>
      </c>
      <c r="K3139" s="167" t="s">
        <v>4944</v>
      </c>
      <c r="L3139" s="167" t="s">
        <v>7375</v>
      </c>
      <c r="M3139" s="167"/>
      <c r="N3139" s="167"/>
      <c r="O3139" s="167"/>
      <c r="P3139" s="168" t="s">
        <v>10514</v>
      </c>
      <c r="Q3139" s="167" t="s">
        <v>3947</v>
      </c>
      <c r="R3139" s="172" t="s">
        <v>3711</v>
      </c>
      <c r="S3139" s="388"/>
      <c r="T3139" s="168" t="s">
        <v>2611</v>
      </c>
      <c r="U3139" s="168"/>
      <c r="V3139" s="168"/>
      <c r="W3139" s="315" t="s">
        <v>12083</v>
      </c>
      <c r="X3139" s="647" t="s">
        <v>12523</v>
      </c>
      <c r="Y3139" s="352" t="s">
        <v>11456</v>
      </c>
      <c r="Z3139" s="353">
        <v>512</v>
      </c>
      <c r="AA3139" s="353">
        <v>4</v>
      </c>
      <c r="AB3139" s="31">
        <f t="shared" ca="1" si="72"/>
        <v>0.97894334122000859</v>
      </c>
      <c r="AC3139" s="810"/>
      <c r="AD3139" s="811" t="s">
        <v>15914</v>
      </c>
      <c r="AE3139" s="940"/>
      <c r="AF3139" s="920">
        <f>IF(X3139=X3138,AF3138,0)+IF(ISNUMBER(I3139),IF(I3139&lt;1,I3139,I3139*VLOOKUP(J3139,Summary!$H$2:$I$9,2)),VLOOKUP(J3139,Summary!$J$2:$K$9,2)*IF(ISNUMBER(H3139),H3139,1))</f>
        <v>4.1666666666666664E-2</v>
      </c>
      <c r="AG3139" s="287">
        <v>3138</v>
      </c>
      <c r="AH3139" s="94"/>
      <c r="AI3139" s="94"/>
    </row>
    <row r="3140" spans="1:36" s="43" customFormat="1" ht="12" customHeight="1" x14ac:dyDescent="0.25">
      <c r="A3140" s="474" t="s">
        <v>10509</v>
      </c>
      <c r="B3140" s="507" t="s">
        <v>6146</v>
      </c>
      <c r="C3140" s="474">
        <v>13</v>
      </c>
      <c r="D3140" s="417" t="s">
        <v>10550</v>
      </c>
      <c r="E3140" s="316" t="s">
        <v>10551</v>
      </c>
      <c r="F3140" s="195">
        <v>41388</v>
      </c>
      <c r="G3140" s="188"/>
      <c r="H3140" s="188" t="s">
        <v>461</v>
      </c>
      <c r="I3140" s="188">
        <v>244</v>
      </c>
      <c r="J3140" s="902" t="s">
        <v>6868</v>
      </c>
      <c r="K3140" s="162" t="s">
        <v>6877</v>
      </c>
      <c r="L3140" s="162" t="s">
        <v>461</v>
      </c>
      <c r="M3140" s="162"/>
      <c r="N3140" s="162"/>
      <c r="O3140" s="162"/>
      <c r="P3140" s="178" t="s">
        <v>10552</v>
      </c>
      <c r="Q3140" s="162" t="s">
        <v>3947</v>
      </c>
      <c r="R3140" s="189" t="s">
        <v>6721</v>
      </c>
      <c r="S3140" s="366"/>
      <c r="T3140" s="178" t="s">
        <v>2611</v>
      </c>
      <c r="U3140" s="178"/>
      <c r="V3140" s="178"/>
      <c r="W3140" s="316" t="s">
        <v>10551</v>
      </c>
      <c r="X3140" s="648" t="s">
        <v>12523</v>
      </c>
      <c r="Y3140" s="356"/>
      <c r="Z3140" s="272"/>
      <c r="AA3140" s="272"/>
      <c r="AB3140" s="34">
        <f t="shared" ca="1" si="72"/>
        <v>0.52343700213024014</v>
      </c>
      <c r="AC3140" s="814"/>
      <c r="AD3140" s="815" t="s">
        <v>15914</v>
      </c>
      <c r="AE3140" s="942"/>
      <c r="AF3140" s="923">
        <f>IF(X3140=X3139,AF3139,0)+IF(ISNUMBER(I3140),IF(I3140&lt;1,I3140,I3140*VLOOKUP(J3140,Summary!$H$2:$I$9,2)),VLOOKUP(J3140,Summary!$J$2:$K$9,2)*IF(ISNUMBER(H3140),H3140,1))</f>
        <v>0.21111111111111111</v>
      </c>
      <c r="AG3140" s="291">
        <v>3139</v>
      </c>
      <c r="AH3140" s="94"/>
      <c r="AI3140" s="94"/>
    </row>
    <row r="3141" spans="1:36" s="3" customFormat="1" ht="12" customHeight="1" x14ac:dyDescent="0.25">
      <c r="A3141" s="405" t="s">
        <v>10509</v>
      </c>
      <c r="B3141" s="405" t="s">
        <v>6146</v>
      </c>
      <c r="C3141" s="405">
        <v>15.2</v>
      </c>
      <c r="D3141" s="407" t="s">
        <v>10517</v>
      </c>
      <c r="E3141" s="315" t="s">
        <v>10534</v>
      </c>
      <c r="F3141" s="169">
        <v>41365</v>
      </c>
      <c r="G3141" s="170"/>
      <c r="H3141" s="170">
        <v>1</v>
      </c>
      <c r="I3141" s="747">
        <f t="shared" ref="I3141:I3147" si="73">TIME(0,60,0)</f>
        <v>4.1666666666666664E-2</v>
      </c>
      <c r="J3141" s="899" t="s">
        <v>4706</v>
      </c>
      <c r="K3141" s="167" t="s">
        <v>10519</v>
      </c>
      <c r="L3141" s="167" t="s">
        <v>179</v>
      </c>
      <c r="M3141" s="167"/>
      <c r="N3141" s="167"/>
      <c r="O3141" s="167"/>
      <c r="P3141" s="168" t="s">
        <v>10514</v>
      </c>
      <c r="Q3141" s="167" t="s">
        <v>3947</v>
      </c>
      <c r="R3141" s="172" t="s">
        <v>3711</v>
      </c>
      <c r="S3141" s="388"/>
      <c r="T3141" s="168" t="s">
        <v>2611</v>
      </c>
      <c r="U3141" s="168"/>
      <c r="V3141" s="168"/>
      <c r="W3141" s="315" t="s">
        <v>12084</v>
      </c>
      <c r="X3141" s="647" t="s">
        <v>12523</v>
      </c>
      <c r="Y3141" s="352" t="s">
        <v>11456</v>
      </c>
      <c r="Z3141" s="353">
        <v>664</v>
      </c>
      <c r="AA3141" s="353">
        <v>2.5</v>
      </c>
      <c r="AB3141" s="31">
        <f t="shared" ca="1" si="72"/>
        <v>0.16555998006767059</v>
      </c>
      <c r="AC3141" s="810"/>
      <c r="AD3141" s="811" t="s">
        <v>15919</v>
      </c>
      <c r="AE3141" s="940"/>
      <c r="AF3141" s="920">
        <f>IF(X3141=X3140,AF3140,0)+IF(ISNUMBER(I3141),IF(I3141&lt;1,I3141,I3141*VLOOKUP(J3141,Summary!$H$2:$I$9,2)),VLOOKUP(J3141,Summary!$J$2:$K$9,2)*IF(ISNUMBER(H3141),H3141,1))</f>
        <v>0.25277777777777777</v>
      </c>
      <c r="AG3141" s="287">
        <v>3140</v>
      </c>
      <c r="AH3141" s="94"/>
      <c r="AI3141" s="94"/>
      <c r="AJ3141" s="1"/>
    </row>
    <row r="3142" spans="1:36" s="43" customFormat="1" ht="12" customHeight="1" x14ac:dyDescent="0.25">
      <c r="A3142" s="405" t="s">
        <v>10509</v>
      </c>
      <c r="B3142" s="405" t="s">
        <v>6146</v>
      </c>
      <c r="C3142" s="405">
        <v>15.3</v>
      </c>
      <c r="D3142" s="407" t="s">
        <v>10518</v>
      </c>
      <c r="E3142" s="315" t="s">
        <v>10535</v>
      </c>
      <c r="F3142" s="169">
        <v>41365</v>
      </c>
      <c r="G3142" s="170"/>
      <c r="H3142" s="170">
        <v>1</v>
      </c>
      <c r="I3142" s="747">
        <f t="shared" si="73"/>
        <v>4.1666666666666664E-2</v>
      </c>
      <c r="J3142" s="899" t="s">
        <v>4706</v>
      </c>
      <c r="K3142" s="167" t="s">
        <v>7375</v>
      </c>
      <c r="L3142" s="167" t="s">
        <v>7375</v>
      </c>
      <c r="M3142" s="167"/>
      <c r="N3142" s="167"/>
      <c r="O3142" s="167"/>
      <c r="P3142" s="168" t="s">
        <v>10514</v>
      </c>
      <c r="Q3142" s="167" t="s">
        <v>3947</v>
      </c>
      <c r="R3142" s="172" t="s">
        <v>3711</v>
      </c>
      <c r="S3142" s="388"/>
      <c r="T3142" s="168" t="s">
        <v>2611</v>
      </c>
      <c r="U3142" s="168"/>
      <c r="V3142" s="168"/>
      <c r="W3142" s="315" t="s">
        <v>12085</v>
      </c>
      <c r="X3142" s="647" t="s">
        <v>12523</v>
      </c>
      <c r="Y3142" s="352" t="s">
        <v>11456</v>
      </c>
      <c r="Z3142" s="353">
        <v>519</v>
      </c>
      <c r="AA3142" s="353">
        <v>4</v>
      </c>
      <c r="AB3142" s="31">
        <f t="shared" ca="1" si="72"/>
        <v>0.29845145148417895</v>
      </c>
      <c r="AC3142" s="810"/>
      <c r="AD3142" s="811" t="s">
        <v>15914</v>
      </c>
      <c r="AE3142" s="940"/>
      <c r="AF3142" s="920">
        <f>IF(X3142=X3141,AF3141,0)+IF(ISNUMBER(I3142),IF(I3142&lt;1,I3142,I3142*VLOOKUP(J3142,Summary!$H$2:$I$9,2)),VLOOKUP(J3142,Summary!$J$2:$K$9,2)*IF(ISNUMBER(H3142),H3142,1))</f>
        <v>0.29444444444444445</v>
      </c>
      <c r="AG3142" s="287">
        <v>3141</v>
      </c>
      <c r="AH3142" s="94"/>
      <c r="AI3142" s="94"/>
    </row>
    <row r="3143" spans="1:36" s="43" customFormat="1" ht="12" customHeight="1" x14ac:dyDescent="0.25">
      <c r="A3143" s="405" t="s">
        <v>10515</v>
      </c>
      <c r="B3143" s="405" t="s">
        <v>6146</v>
      </c>
      <c r="C3143" s="405">
        <v>16.100000000000001</v>
      </c>
      <c r="D3143" s="407" t="s">
        <v>10520</v>
      </c>
      <c r="E3143" s="315" t="s">
        <v>10525</v>
      </c>
      <c r="F3143" s="169">
        <v>41609</v>
      </c>
      <c r="G3143" s="170"/>
      <c r="H3143" s="170">
        <v>1</v>
      </c>
      <c r="I3143" s="747">
        <f t="shared" si="73"/>
        <v>4.1666666666666664E-2</v>
      </c>
      <c r="J3143" s="899" t="s">
        <v>4706</v>
      </c>
      <c r="K3143" s="167" t="s">
        <v>10544</v>
      </c>
      <c r="L3143" s="167" t="s">
        <v>10545</v>
      </c>
      <c r="M3143" s="167"/>
      <c r="N3143" s="167"/>
      <c r="O3143" s="167"/>
      <c r="P3143" s="168" t="s">
        <v>10546</v>
      </c>
      <c r="Q3143" s="167" t="s">
        <v>3947</v>
      </c>
      <c r="R3143" s="172" t="s">
        <v>3711</v>
      </c>
      <c r="S3143" s="388"/>
      <c r="T3143" s="168" t="s">
        <v>2611</v>
      </c>
      <c r="U3143" s="168"/>
      <c r="V3143" s="168"/>
      <c r="W3143" s="315" t="s">
        <v>12086</v>
      </c>
      <c r="X3143" s="647" t="s">
        <v>12524</v>
      </c>
      <c r="Y3143" s="352" t="s">
        <v>11456</v>
      </c>
      <c r="Z3143" s="353">
        <v>280</v>
      </c>
      <c r="AA3143" s="353">
        <v>5.5</v>
      </c>
      <c r="AB3143" s="31">
        <f t="shared" ca="1" si="72"/>
        <v>0.69154370412337685</v>
      </c>
      <c r="AC3143" s="810"/>
      <c r="AD3143" s="811"/>
      <c r="AE3143" s="940"/>
      <c r="AF3143" s="920">
        <f>IF(X3143=X3142,AF3142,0)+IF(ISNUMBER(I3143),IF(I3143&lt;1,I3143,I3143*VLOOKUP(J3143,Summary!$H$2:$I$9,2)),VLOOKUP(J3143,Summary!$J$2:$K$9,2)*IF(ISNUMBER(H3143),H3143,1))</f>
        <v>4.1666666666666664E-2</v>
      </c>
      <c r="AG3143" s="287">
        <v>3142</v>
      </c>
      <c r="AH3143" s="94"/>
      <c r="AI3143" s="94"/>
    </row>
    <row r="3144" spans="1:36" s="43" customFormat="1" ht="12" customHeight="1" x14ac:dyDescent="0.25">
      <c r="A3144" s="405" t="s">
        <v>10515</v>
      </c>
      <c r="B3144" s="405" t="s">
        <v>6146</v>
      </c>
      <c r="C3144" s="405">
        <v>16.2</v>
      </c>
      <c r="D3144" s="407" t="s">
        <v>10521</v>
      </c>
      <c r="E3144" s="315" t="s">
        <v>10526</v>
      </c>
      <c r="F3144" s="169">
        <v>41609</v>
      </c>
      <c r="G3144" s="170"/>
      <c r="H3144" s="170">
        <v>1</v>
      </c>
      <c r="I3144" s="747">
        <f t="shared" si="73"/>
        <v>4.1666666666666664E-2</v>
      </c>
      <c r="J3144" s="899" t="s">
        <v>4706</v>
      </c>
      <c r="K3144" s="167" t="s">
        <v>6235</v>
      </c>
      <c r="L3144" s="167" t="s">
        <v>10545</v>
      </c>
      <c r="M3144" s="167"/>
      <c r="N3144" s="167"/>
      <c r="O3144" s="167"/>
      <c r="P3144" s="168" t="s">
        <v>10546</v>
      </c>
      <c r="Q3144" s="167" t="s">
        <v>3947</v>
      </c>
      <c r="R3144" s="172" t="s">
        <v>3711</v>
      </c>
      <c r="S3144" s="388"/>
      <c r="T3144" s="168" t="s">
        <v>2611</v>
      </c>
      <c r="U3144" s="168"/>
      <c r="V3144" s="168"/>
      <c r="W3144" s="315" t="s">
        <v>12087</v>
      </c>
      <c r="X3144" s="647" t="s">
        <v>12524</v>
      </c>
      <c r="Y3144" s="352" t="s">
        <v>11456</v>
      </c>
      <c r="Z3144" s="353">
        <v>677</v>
      </c>
      <c r="AA3144" s="353">
        <v>2</v>
      </c>
      <c r="AB3144" s="31">
        <f t="shared" ca="1" si="72"/>
        <v>0.22996502743249458</v>
      </c>
      <c r="AC3144" s="810"/>
      <c r="AD3144" s="811"/>
      <c r="AE3144" s="940"/>
      <c r="AF3144" s="920">
        <f>IF(X3144=X3143,AF3143,0)+IF(ISNUMBER(I3144),IF(I3144&lt;1,I3144,I3144*VLOOKUP(J3144,Summary!$H$2:$I$9,2)),VLOOKUP(J3144,Summary!$J$2:$K$9,2)*IF(ISNUMBER(H3144),H3144,1))</f>
        <v>8.3333333333333329E-2</v>
      </c>
      <c r="AG3144" s="287">
        <v>3143</v>
      </c>
      <c r="AH3144" s="94"/>
      <c r="AI3144" s="94"/>
      <c r="AJ3144" s="3"/>
    </row>
    <row r="3145" spans="1:36" s="22" customFormat="1" ht="12" customHeight="1" x14ac:dyDescent="0.2">
      <c r="A3145" s="405" t="s">
        <v>10515</v>
      </c>
      <c r="B3145" s="405" t="s">
        <v>6146</v>
      </c>
      <c r="C3145" s="405">
        <v>16.3</v>
      </c>
      <c r="D3145" s="407" t="s">
        <v>10522</v>
      </c>
      <c r="E3145" s="315" t="s">
        <v>10527</v>
      </c>
      <c r="F3145" s="169">
        <v>41609</v>
      </c>
      <c r="G3145" s="170"/>
      <c r="H3145" s="170">
        <v>1</v>
      </c>
      <c r="I3145" s="747">
        <f t="shared" si="73"/>
        <v>4.1666666666666664E-2</v>
      </c>
      <c r="J3145" s="899" t="s">
        <v>4706</v>
      </c>
      <c r="K3145" s="167" t="s">
        <v>4146</v>
      </c>
      <c r="L3145" s="167" t="s">
        <v>10545</v>
      </c>
      <c r="M3145" s="167"/>
      <c r="N3145" s="167"/>
      <c r="O3145" s="167"/>
      <c r="P3145" s="168" t="s">
        <v>10546</v>
      </c>
      <c r="Q3145" s="167" t="s">
        <v>3947</v>
      </c>
      <c r="R3145" s="172" t="s">
        <v>3711</v>
      </c>
      <c r="S3145" s="388"/>
      <c r="T3145" s="168" t="s">
        <v>2611</v>
      </c>
      <c r="U3145" s="168"/>
      <c r="V3145" s="168"/>
      <c r="W3145" s="315" t="s">
        <v>12088</v>
      </c>
      <c r="X3145" s="647" t="s">
        <v>12524</v>
      </c>
      <c r="Y3145" s="352" t="s">
        <v>11456</v>
      </c>
      <c r="Z3145" s="353">
        <v>663</v>
      </c>
      <c r="AA3145" s="353">
        <v>2.5</v>
      </c>
      <c r="AB3145" s="31">
        <f t="shared" ca="1" si="72"/>
        <v>0.57803487276452925</v>
      </c>
      <c r="AC3145" s="810"/>
      <c r="AD3145" s="811"/>
      <c r="AE3145" s="940"/>
      <c r="AF3145" s="920">
        <f>IF(X3145=X3144,AF3144,0)+IF(ISNUMBER(I3145),IF(I3145&lt;1,I3145,I3145*VLOOKUP(J3145,Summary!$H$2:$I$9,2)),VLOOKUP(J3145,Summary!$J$2:$K$9,2)*IF(ISNUMBER(H3145),H3145,1))</f>
        <v>0.125</v>
      </c>
      <c r="AG3145" s="287">
        <v>3144</v>
      </c>
      <c r="AH3145" s="94"/>
      <c r="AI3145" s="94"/>
    </row>
    <row r="3146" spans="1:36" s="29" customFormat="1" ht="12" customHeight="1" x14ac:dyDescent="0.25">
      <c r="A3146" s="405" t="s">
        <v>10515</v>
      </c>
      <c r="B3146" s="405" t="s">
        <v>6146</v>
      </c>
      <c r="C3146" s="405">
        <v>16.399999999999999</v>
      </c>
      <c r="D3146" s="407" t="s">
        <v>10523</v>
      </c>
      <c r="E3146" s="315" t="s">
        <v>10528</v>
      </c>
      <c r="F3146" s="169">
        <v>41609</v>
      </c>
      <c r="G3146" s="170"/>
      <c r="H3146" s="170">
        <v>1</v>
      </c>
      <c r="I3146" s="747">
        <f t="shared" si="73"/>
        <v>4.1666666666666664E-2</v>
      </c>
      <c r="J3146" s="899" t="s">
        <v>4706</v>
      </c>
      <c r="K3146" s="167" t="s">
        <v>1643</v>
      </c>
      <c r="L3146" s="167" t="s">
        <v>10545</v>
      </c>
      <c r="M3146" s="167"/>
      <c r="N3146" s="167"/>
      <c r="O3146" s="167"/>
      <c r="P3146" s="168" t="s">
        <v>10546</v>
      </c>
      <c r="Q3146" s="167" t="s">
        <v>3947</v>
      </c>
      <c r="R3146" s="172" t="s">
        <v>3711</v>
      </c>
      <c r="S3146" s="388"/>
      <c r="T3146" s="168" t="s">
        <v>2611</v>
      </c>
      <c r="U3146" s="168"/>
      <c r="V3146" s="168"/>
      <c r="W3146" s="315" t="s">
        <v>12089</v>
      </c>
      <c r="X3146" s="647" t="s">
        <v>12524</v>
      </c>
      <c r="Y3146" s="352" t="s">
        <v>11456</v>
      </c>
      <c r="Z3146" s="353">
        <v>22</v>
      </c>
      <c r="AA3146" s="353">
        <v>9.5</v>
      </c>
      <c r="AB3146" s="31">
        <f t="shared" ca="1" si="72"/>
        <v>0.8418504003082985</v>
      </c>
      <c r="AC3146" s="810"/>
      <c r="AD3146" s="811"/>
      <c r="AE3146" s="940"/>
      <c r="AF3146" s="920">
        <f>IF(X3146=X3145,AF3145,0)+IF(ISNUMBER(I3146),IF(I3146&lt;1,I3146,I3146*VLOOKUP(J3146,Summary!$H$2:$I$9,2)),VLOOKUP(J3146,Summary!$J$2:$K$9,2)*IF(ISNUMBER(H3146),H3146,1))</f>
        <v>0.16666666666666666</v>
      </c>
      <c r="AG3146" s="287">
        <v>3145</v>
      </c>
      <c r="AH3146" s="94"/>
      <c r="AI3146" s="94"/>
    </row>
    <row r="3147" spans="1:36" s="22" customFormat="1" ht="12" customHeight="1" x14ac:dyDescent="0.2">
      <c r="A3147" s="405" t="s">
        <v>10515</v>
      </c>
      <c r="B3147" s="405" t="s">
        <v>6146</v>
      </c>
      <c r="C3147" s="405">
        <v>16.5</v>
      </c>
      <c r="D3147" s="407" t="s">
        <v>10524</v>
      </c>
      <c r="E3147" s="315" t="s">
        <v>10529</v>
      </c>
      <c r="F3147" s="169">
        <v>41609</v>
      </c>
      <c r="G3147" s="170"/>
      <c r="H3147" s="170">
        <v>1</v>
      </c>
      <c r="I3147" s="747">
        <f t="shared" si="73"/>
        <v>4.1666666666666664E-2</v>
      </c>
      <c r="J3147" s="899" t="s">
        <v>4706</v>
      </c>
      <c r="K3147" s="167" t="s">
        <v>10545</v>
      </c>
      <c r="L3147" s="167" t="s">
        <v>10545</v>
      </c>
      <c r="M3147" s="167"/>
      <c r="N3147" s="167"/>
      <c r="O3147" s="167"/>
      <c r="P3147" s="168" t="s">
        <v>10546</v>
      </c>
      <c r="Q3147" s="167" t="s">
        <v>3947</v>
      </c>
      <c r="R3147" s="172" t="s">
        <v>3711</v>
      </c>
      <c r="S3147" s="388"/>
      <c r="T3147" s="168" t="s">
        <v>2611</v>
      </c>
      <c r="U3147" s="168"/>
      <c r="V3147" s="168"/>
      <c r="W3147" s="315" t="s">
        <v>12090</v>
      </c>
      <c r="X3147" s="647" t="s">
        <v>12524</v>
      </c>
      <c r="Y3147" s="352" t="s">
        <v>11456</v>
      </c>
      <c r="Z3147" s="353">
        <v>11</v>
      </c>
      <c r="AA3147" s="353">
        <v>9.5</v>
      </c>
      <c r="AB3147" s="31">
        <f t="shared" ca="1" si="72"/>
        <v>0.36153337881664072</v>
      </c>
      <c r="AC3147" s="810"/>
      <c r="AD3147" s="811"/>
      <c r="AE3147" s="940"/>
      <c r="AF3147" s="920">
        <f>IF(X3147=X3146,AF3146,0)+IF(ISNUMBER(I3147),IF(I3147&lt;1,I3147,I3147*VLOOKUP(J3147,Summary!$H$2:$I$9,2)),VLOOKUP(J3147,Summary!$J$2:$K$9,2)*IF(ISNUMBER(H3147),H3147,1))</f>
        <v>0.20833333333333331</v>
      </c>
      <c r="AG3147" s="287">
        <v>3146</v>
      </c>
      <c r="AH3147" s="94"/>
      <c r="AI3147" s="94"/>
    </row>
    <row r="3148" spans="1:36" s="22" customFormat="1" ht="12" customHeight="1" x14ac:dyDescent="0.25">
      <c r="A3148" s="474" t="s">
        <v>10515</v>
      </c>
      <c r="B3148" s="507" t="s">
        <v>6146</v>
      </c>
      <c r="C3148" s="474">
        <v>14</v>
      </c>
      <c r="D3148" s="417" t="s">
        <v>10557</v>
      </c>
      <c r="E3148" s="316" t="s">
        <v>10558</v>
      </c>
      <c r="F3148" s="195">
        <v>41711</v>
      </c>
      <c r="G3148" s="188"/>
      <c r="H3148" s="188" t="s">
        <v>461</v>
      </c>
      <c r="I3148" s="188">
        <v>244</v>
      </c>
      <c r="J3148" s="902" t="s">
        <v>6868</v>
      </c>
      <c r="K3148" s="162" t="s">
        <v>7375</v>
      </c>
      <c r="L3148" s="162" t="s">
        <v>461</v>
      </c>
      <c r="M3148" s="162"/>
      <c r="N3148" s="162"/>
      <c r="O3148" s="162"/>
      <c r="P3148" s="178" t="s">
        <v>10559</v>
      </c>
      <c r="Q3148" s="162" t="s">
        <v>3947</v>
      </c>
      <c r="R3148" s="189" t="s">
        <v>6721</v>
      </c>
      <c r="S3148" s="366"/>
      <c r="T3148" s="178" t="s">
        <v>2611</v>
      </c>
      <c r="U3148" s="178"/>
      <c r="V3148" s="178"/>
      <c r="W3148" s="316" t="s">
        <v>10558</v>
      </c>
      <c r="X3148" s="648" t="s">
        <v>12524</v>
      </c>
      <c r="Y3148" s="356"/>
      <c r="Z3148" s="272"/>
      <c r="AA3148" s="272"/>
      <c r="AB3148" s="34">
        <f t="shared" ca="1" si="72"/>
        <v>0.72461071324947013</v>
      </c>
      <c r="AC3148" s="814"/>
      <c r="AD3148" s="815"/>
      <c r="AE3148" s="942"/>
      <c r="AF3148" s="923">
        <f>IF(X3148=X3147,AF3147,0)+IF(ISNUMBER(I3148),IF(I3148&lt;1,I3148,I3148*VLOOKUP(J3148,Summary!$H$2:$I$9,2)),VLOOKUP(J3148,Summary!$J$2:$K$9,2)*IF(ISNUMBER(H3148),H3148,1))</f>
        <v>0.37777777777777777</v>
      </c>
      <c r="AG3148" s="291">
        <v>3147</v>
      </c>
      <c r="AH3148" s="94"/>
      <c r="AI3148" s="94"/>
    </row>
    <row r="3149" spans="1:36" s="43" customFormat="1" ht="12" customHeight="1" x14ac:dyDescent="0.25">
      <c r="A3149" s="405" t="s">
        <v>11501</v>
      </c>
      <c r="B3149" s="405" t="s">
        <v>29</v>
      </c>
      <c r="C3149" s="405">
        <v>0</v>
      </c>
      <c r="D3149" s="407" t="s">
        <v>11502</v>
      </c>
      <c r="E3149" s="315" t="s">
        <v>11503</v>
      </c>
      <c r="F3149" s="169">
        <v>41306</v>
      </c>
      <c r="G3149" s="170"/>
      <c r="H3149" s="170">
        <v>1</v>
      </c>
      <c r="I3149" s="747">
        <f t="shared" ref="I3149:I3159" si="74">TIME(0,60,0)</f>
        <v>4.1666666666666664E-2</v>
      </c>
      <c r="J3149" s="899" t="s">
        <v>4706</v>
      </c>
      <c r="K3149" s="167" t="s">
        <v>177</v>
      </c>
      <c r="L3149" s="167" t="s">
        <v>2313</v>
      </c>
      <c r="M3149" s="167"/>
      <c r="N3149" s="167"/>
      <c r="O3149" s="167" t="s">
        <v>11504</v>
      </c>
      <c r="P3149" s="168" t="s">
        <v>11505</v>
      </c>
      <c r="Q3149" s="167" t="s">
        <v>3947</v>
      </c>
      <c r="R3149" s="172" t="s">
        <v>11494</v>
      </c>
      <c r="S3149" s="388"/>
      <c r="T3149" s="168"/>
      <c r="U3149" s="168" t="s">
        <v>11494</v>
      </c>
      <c r="V3149" s="168"/>
      <c r="W3149" s="312" t="s">
        <v>11503</v>
      </c>
      <c r="X3149" s="644" t="s">
        <v>12479</v>
      </c>
      <c r="Y3149" s="352" t="s">
        <v>11456</v>
      </c>
      <c r="Z3149" s="353">
        <v>316</v>
      </c>
      <c r="AA3149" s="353">
        <v>5.5</v>
      </c>
      <c r="AB3149" s="31">
        <f t="shared" ca="1" si="72"/>
        <v>0.61920058656041443</v>
      </c>
      <c r="AC3149" s="810"/>
      <c r="AD3149" s="811"/>
      <c r="AE3149" s="940"/>
      <c r="AF3149" s="920">
        <f>IF(X3149=X3148,AF3148,0)+IF(ISNUMBER(I3149),IF(I3149&lt;1,I3149,I3149*VLOOKUP(J3149,Summary!$H$2:$I$9,2)),VLOOKUP(J3149,Summary!$J$2:$K$9,2)*IF(ISNUMBER(H3149),H3149,1))</f>
        <v>4.1666666666666664E-2</v>
      </c>
      <c r="AG3149" s="287">
        <v>3148</v>
      </c>
      <c r="AH3149" s="94"/>
      <c r="AI3149" s="94"/>
    </row>
    <row r="3150" spans="1:36" s="43" customFormat="1" ht="12" customHeight="1" x14ac:dyDescent="0.25">
      <c r="A3150" s="405" t="s">
        <v>11501</v>
      </c>
      <c r="B3150" s="405" t="s">
        <v>29</v>
      </c>
      <c r="C3150" s="405">
        <v>1.1000000000000001</v>
      </c>
      <c r="D3150" s="407" t="s">
        <v>11509</v>
      </c>
      <c r="E3150" s="315" t="s">
        <v>11512</v>
      </c>
      <c r="F3150" s="169">
        <v>41671</v>
      </c>
      <c r="G3150" s="170"/>
      <c r="H3150" s="170">
        <v>1</v>
      </c>
      <c r="I3150" s="747">
        <f t="shared" si="74"/>
        <v>4.1666666666666664E-2</v>
      </c>
      <c r="J3150" s="899" t="s">
        <v>4706</v>
      </c>
      <c r="K3150" s="167" t="s">
        <v>563</v>
      </c>
      <c r="L3150" s="167" t="s">
        <v>2313</v>
      </c>
      <c r="M3150" s="167"/>
      <c r="N3150" s="167"/>
      <c r="O3150" s="167" t="s">
        <v>11504</v>
      </c>
      <c r="P3150" s="168" t="s">
        <v>11506</v>
      </c>
      <c r="Q3150" s="167" t="s">
        <v>3947</v>
      </c>
      <c r="R3150" s="172" t="s">
        <v>11494</v>
      </c>
      <c r="S3150" s="388"/>
      <c r="T3150" s="168"/>
      <c r="U3150" s="168" t="s">
        <v>11494</v>
      </c>
      <c r="V3150" s="168"/>
      <c r="W3150" s="312" t="s">
        <v>11512</v>
      </c>
      <c r="X3150" s="644" t="s">
        <v>12479</v>
      </c>
      <c r="Y3150" s="352" t="s">
        <v>11456</v>
      </c>
      <c r="Z3150" s="353">
        <v>625</v>
      </c>
      <c r="AA3150" s="353">
        <v>3</v>
      </c>
      <c r="AB3150" s="31">
        <f t="shared" ca="1" si="72"/>
        <v>0.33157908578947637</v>
      </c>
      <c r="AC3150" s="810"/>
      <c r="AD3150" s="811"/>
      <c r="AE3150" s="940"/>
      <c r="AF3150" s="920">
        <f>IF(X3150=X3149,AF3149,0)+IF(ISNUMBER(I3150),IF(I3150&lt;1,I3150,I3150*VLOOKUP(J3150,Summary!$H$2:$I$9,2)),VLOOKUP(J3150,Summary!$J$2:$K$9,2)*IF(ISNUMBER(H3150),H3150,1))</f>
        <v>8.3333333333333329E-2</v>
      </c>
      <c r="AG3150" s="287">
        <v>3149</v>
      </c>
      <c r="AH3150" s="94"/>
      <c r="AI3150" s="94"/>
      <c r="AJ3150" s="2"/>
    </row>
    <row r="3151" spans="1:36" s="43" customFormat="1" ht="12" customHeight="1" x14ac:dyDescent="0.25">
      <c r="A3151" s="405" t="s">
        <v>11501</v>
      </c>
      <c r="B3151" s="405" t="s">
        <v>29</v>
      </c>
      <c r="C3151" s="405">
        <v>1.2</v>
      </c>
      <c r="D3151" s="407" t="s">
        <v>11510</v>
      </c>
      <c r="E3151" s="315" t="s">
        <v>11513</v>
      </c>
      <c r="F3151" s="169">
        <v>41671</v>
      </c>
      <c r="G3151" s="170"/>
      <c r="H3151" s="170">
        <v>1</v>
      </c>
      <c r="I3151" s="747">
        <f t="shared" si="74"/>
        <v>4.1666666666666664E-2</v>
      </c>
      <c r="J3151" s="899" t="s">
        <v>4706</v>
      </c>
      <c r="K3151" s="167" t="s">
        <v>3284</v>
      </c>
      <c r="L3151" s="167" t="s">
        <v>2313</v>
      </c>
      <c r="M3151" s="167"/>
      <c r="N3151" s="167"/>
      <c r="O3151" s="167" t="s">
        <v>11504</v>
      </c>
      <c r="P3151" s="168" t="s">
        <v>11506</v>
      </c>
      <c r="Q3151" s="167" t="s">
        <v>3947</v>
      </c>
      <c r="R3151" s="172" t="s">
        <v>11494</v>
      </c>
      <c r="S3151" s="388"/>
      <c r="T3151" s="168"/>
      <c r="U3151" s="168" t="s">
        <v>11494</v>
      </c>
      <c r="V3151" s="168"/>
      <c r="W3151" s="312" t="s">
        <v>11513</v>
      </c>
      <c r="X3151" s="644" t="s">
        <v>12479</v>
      </c>
      <c r="Y3151" s="352" t="s">
        <v>11456</v>
      </c>
      <c r="Z3151" s="353">
        <v>638</v>
      </c>
      <c r="AA3151" s="353">
        <v>3</v>
      </c>
      <c r="AB3151" s="31">
        <f t="shared" ca="1" si="72"/>
        <v>0.83669123897606656</v>
      </c>
      <c r="AC3151" s="810"/>
      <c r="AD3151" s="811"/>
      <c r="AE3151" s="940"/>
      <c r="AF3151" s="920">
        <f>IF(X3151=X3150,AF3150,0)+IF(ISNUMBER(I3151),IF(I3151&lt;1,I3151,I3151*VLOOKUP(J3151,Summary!$H$2:$I$9,2)),VLOOKUP(J3151,Summary!$J$2:$K$9,2)*IF(ISNUMBER(H3151),H3151,1))</f>
        <v>0.125</v>
      </c>
      <c r="AG3151" s="287">
        <v>3150</v>
      </c>
      <c r="AH3151" s="94"/>
      <c r="AI3151" s="94"/>
      <c r="AJ3151" s="2"/>
    </row>
    <row r="3152" spans="1:36" s="43" customFormat="1" ht="12" customHeight="1" x14ac:dyDescent="0.25">
      <c r="A3152" s="405" t="s">
        <v>11501</v>
      </c>
      <c r="B3152" s="405" t="s">
        <v>29</v>
      </c>
      <c r="C3152" s="405">
        <v>1.3</v>
      </c>
      <c r="D3152" s="407" t="s">
        <v>11511</v>
      </c>
      <c r="E3152" s="315" t="s">
        <v>9935</v>
      </c>
      <c r="F3152" s="169">
        <v>41671</v>
      </c>
      <c r="G3152" s="170"/>
      <c r="H3152" s="170">
        <v>1</v>
      </c>
      <c r="I3152" s="747">
        <f t="shared" si="74"/>
        <v>4.1666666666666664E-2</v>
      </c>
      <c r="J3152" s="899" t="s">
        <v>4706</v>
      </c>
      <c r="K3152" s="167" t="s">
        <v>177</v>
      </c>
      <c r="L3152" s="167" t="s">
        <v>2313</v>
      </c>
      <c r="M3152" s="167"/>
      <c r="N3152" s="167"/>
      <c r="O3152" s="167" t="s">
        <v>11504</v>
      </c>
      <c r="P3152" s="168" t="s">
        <v>11506</v>
      </c>
      <c r="Q3152" s="167" t="s">
        <v>3947</v>
      </c>
      <c r="R3152" s="172" t="s">
        <v>11494</v>
      </c>
      <c r="S3152" s="388"/>
      <c r="T3152" s="168"/>
      <c r="U3152" s="168" t="s">
        <v>11494</v>
      </c>
      <c r="V3152" s="168"/>
      <c r="W3152" s="312" t="s">
        <v>9935</v>
      </c>
      <c r="X3152" s="644" t="s">
        <v>12479</v>
      </c>
      <c r="Y3152" s="352" t="s">
        <v>11456</v>
      </c>
      <c r="Z3152" s="353">
        <v>551</v>
      </c>
      <c r="AA3152" s="353">
        <v>3.5</v>
      </c>
      <c r="AB3152" s="31">
        <f t="shared" ca="1" si="72"/>
        <v>0.61614941208231166</v>
      </c>
      <c r="AC3152" s="810"/>
      <c r="AD3152" s="811"/>
      <c r="AE3152" s="940"/>
      <c r="AF3152" s="920">
        <f>IF(X3152=X3151,AF3151,0)+IF(ISNUMBER(I3152),IF(I3152&lt;1,I3152,I3152*VLOOKUP(J3152,Summary!$H$2:$I$9,2)),VLOOKUP(J3152,Summary!$J$2:$K$9,2)*IF(ISNUMBER(H3152),H3152,1))</f>
        <v>0.16666666666666666</v>
      </c>
      <c r="AG3152" s="287">
        <v>3151</v>
      </c>
      <c r="AH3152" s="94"/>
      <c r="AI3152" s="94"/>
      <c r="AJ3152" s="2"/>
    </row>
    <row r="3153" spans="1:36" s="43" customFormat="1" ht="12" customHeight="1" x14ac:dyDescent="0.25">
      <c r="A3153" s="405" t="s">
        <v>11507</v>
      </c>
      <c r="B3153" s="405" t="s">
        <v>29</v>
      </c>
      <c r="C3153" s="405">
        <v>2.1</v>
      </c>
      <c r="D3153" s="407" t="s">
        <v>11508</v>
      </c>
      <c r="E3153" s="315" t="s">
        <v>11519</v>
      </c>
      <c r="F3153" s="169">
        <v>42036</v>
      </c>
      <c r="G3153" s="170"/>
      <c r="H3153" s="170">
        <v>1</v>
      </c>
      <c r="I3153" s="747">
        <f t="shared" si="74"/>
        <v>4.1666666666666664E-2</v>
      </c>
      <c r="J3153" s="899" t="s">
        <v>4706</v>
      </c>
      <c r="K3153" s="167" t="s">
        <v>1643</v>
      </c>
      <c r="L3153" s="167" t="s">
        <v>6231</v>
      </c>
      <c r="M3153" s="167"/>
      <c r="N3153" s="167"/>
      <c r="O3153" s="167" t="s">
        <v>11504</v>
      </c>
      <c r="P3153" s="168" t="s">
        <v>11514</v>
      </c>
      <c r="Q3153" s="167" t="s">
        <v>3947</v>
      </c>
      <c r="R3153" s="172" t="s">
        <v>11494</v>
      </c>
      <c r="S3153" s="388"/>
      <c r="T3153" s="168"/>
      <c r="U3153" s="168" t="s">
        <v>11494</v>
      </c>
      <c r="V3153" s="168"/>
      <c r="W3153" s="312" t="s">
        <v>11519</v>
      </c>
      <c r="X3153" s="644" t="s">
        <v>12479</v>
      </c>
      <c r="Y3153" s="352" t="s">
        <v>11456</v>
      </c>
      <c r="Z3153" s="353">
        <v>320</v>
      </c>
      <c r="AA3153" s="353">
        <v>5</v>
      </c>
      <c r="AB3153" s="31">
        <f t="shared" ca="1" si="72"/>
        <v>0.62179833651313643</v>
      </c>
      <c r="AC3153" s="810"/>
      <c r="AD3153" s="811"/>
      <c r="AE3153" s="940"/>
      <c r="AF3153" s="920">
        <f>IF(X3153=X3152,AF3152,0)+IF(ISNUMBER(I3153),IF(I3153&lt;1,I3153,I3153*VLOOKUP(J3153,Summary!$H$2:$I$9,2)),VLOOKUP(J3153,Summary!$J$2:$K$9,2)*IF(ISNUMBER(H3153),H3153,1))</f>
        <v>0.20833333333333331</v>
      </c>
      <c r="AG3153" s="287">
        <v>3152</v>
      </c>
      <c r="AH3153" s="94"/>
      <c r="AI3153" s="94"/>
      <c r="AJ3153" s="2"/>
    </row>
    <row r="3154" spans="1:36" s="43" customFormat="1" ht="12" customHeight="1" x14ac:dyDescent="0.25">
      <c r="A3154" s="405" t="s">
        <v>11507</v>
      </c>
      <c r="B3154" s="405" t="s">
        <v>29</v>
      </c>
      <c r="C3154" s="405">
        <v>2.2000000000000002</v>
      </c>
      <c r="D3154" s="407" t="s">
        <v>11517</v>
      </c>
      <c r="E3154" s="315" t="s">
        <v>347</v>
      </c>
      <c r="F3154" s="169">
        <v>42036</v>
      </c>
      <c r="G3154" s="170"/>
      <c r="H3154" s="170">
        <v>1</v>
      </c>
      <c r="I3154" s="747">
        <f t="shared" si="74"/>
        <v>4.1666666666666664E-2</v>
      </c>
      <c r="J3154" s="899" t="s">
        <v>4706</v>
      </c>
      <c r="K3154" s="167" t="s">
        <v>2479</v>
      </c>
      <c r="L3154" s="167" t="s">
        <v>6231</v>
      </c>
      <c r="M3154" s="167"/>
      <c r="N3154" s="167"/>
      <c r="O3154" s="167" t="s">
        <v>11504</v>
      </c>
      <c r="P3154" s="168" t="s">
        <v>11514</v>
      </c>
      <c r="Q3154" s="167" t="s">
        <v>3947</v>
      </c>
      <c r="R3154" s="172" t="s">
        <v>11494</v>
      </c>
      <c r="S3154" s="388"/>
      <c r="T3154" s="168"/>
      <c r="U3154" s="168" t="s">
        <v>11494</v>
      </c>
      <c r="V3154" s="168"/>
      <c r="W3154" s="312" t="s">
        <v>347</v>
      </c>
      <c r="X3154" s="644" t="s">
        <v>12479</v>
      </c>
      <c r="Y3154" s="352" t="s">
        <v>11456</v>
      </c>
      <c r="Z3154" s="353">
        <v>649</v>
      </c>
      <c r="AA3154" s="353">
        <v>3</v>
      </c>
      <c r="AB3154" s="31">
        <f t="shared" ca="1" si="72"/>
        <v>0.54512769281216078</v>
      </c>
      <c r="AC3154" s="810"/>
      <c r="AD3154" s="811"/>
      <c r="AE3154" s="940"/>
      <c r="AF3154" s="920">
        <f>IF(X3154=X3153,AF3153,0)+IF(ISNUMBER(I3154),IF(I3154&lt;1,I3154,I3154*VLOOKUP(J3154,Summary!$H$2:$I$9,2)),VLOOKUP(J3154,Summary!$J$2:$K$9,2)*IF(ISNUMBER(H3154),H3154,1))</f>
        <v>0.24999999999999997</v>
      </c>
      <c r="AG3154" s="287">
        <v>3153</v>
      </c>
      <c r="AH3154" s="94"/>
      <c r="AI3154" s="94"/>
      <c r="AJ3154" s="2"/>
    </row>
    <row r="3155" spans="1:36" s="43" customFormat="1" ht="12" customHeight="1" x14ac:dyDescent="0.25">
      <c r="A3155" s="405" t="s">
        <v>11507</v>
      </c>
      <c r="B3155" s="405" t="s">
        <v>29</v>
      </c>
      <c r="C3155" s="405">
        <v>2.2999999999999998</v>
      </c>
      <c r="D3155" s="407" t="s">
        <v>11515</v>
      </c>
      <c r="E3155" s="315" t="s">
        <v>11518</v>
      </c>
      <c r="F3155" s="169">
        <v>42036</v>
      </c>
      <c r="G3155" s="170"/>
      <c r="H3155" s="170">
        <v>1</v>
      </c>
      <c r="I3155" s="747">
        <f t="shared" si="74"/>
        <v>4.1666666666666664E-2</v>
      </c>
      <c r="J3155" s="899" t="s">
        <v>4706</v>
      </c>
      <c r="K3155" s="167" t="s">
        <v>177</v>
      </c>
      <c r="L3155" s="167" t="s">
        <v>6231</v>
      </c>
      <c r="M3155" s="167"/>
      <c r="N3155" s="167"/>
      <c r="O3155" s="167" t="s">
        <v>11504</v>
      </c>
      <c r="P3155" s="168" t="s">
        <v>11514</v>
      </c>
      <c r="Q3155" s="167" t="s">
        <v>3947</v>
      </c>
      <c r="R3155" s="172" t="s">
        <v>11494</v>
      </c>
      <c r="S3155" s="388"/>
      <c r="T3155" s="168"/>
      <c r="U3155" s="168" t="s">
        <v>11494</v>
      </c>
      <c r="V3155" s="168"/>
      <c r="W3155" s="312" t="s">
        <v>11518</v>
      </c>
      <c r="X3155" s="644" t="s">
        <v>12479</v>
      </c>
      <c r="Y3155" s="352" t="s">
        <v>11456</v>
      </c>
      <c r="Z3155" s="353">
        <v>399</v>
      </c>
      <c r="AA3155" s="353">
        <v>5</v>
      </c>
      <c r="AB3155" s="31">
        <f t="shared" ca="1" si="72"/>
        <v>0.4420643430499972</v>
      </c>
      <c r="AC3155" s="810"/>
      <c r="AD3155" s="811"/>
      <c r="AE3155" s="940"/>
      <c r="AF3155" s="920">
        <f>IF(X3155=X3154,AF3154,0)+IF(ISNUMBER(I3155),IF(I3155&lt;1,I3155,I3155*VLOOKUP(J3155,Summary!$H$2:$I$9,2)),VLOOKUP(J3155,Summary!$J$2:$K$9,2)*IF(ISNUMBER(H3155),H3155,1))</f>
        <v>0.29166666666666663</v>
      </c>
      <c r="AG3155" s="287">
        <v>3154</v>
      </c>
      <c r="AH3155" s="94"/>
      <c r="AI3155" s="94"/>
      <c r="AJ3155" s="2"/>
    </row>
    <row r="3156" spans="1:36" s="43" customFormat="1" ht="12" customHeight="1" x14ac:dyDescent="0.25">
      <c r="A3156" s="541" t="s">
        <v>11443</v>
      </c>
      <c r="B3156" s="541">
        <v>7</v>
      </c>
      <c r="C3156" s="541">
        <v>1.1000000000000001</v>
      </c>
      <c r="D3156" s="407" t="s">
        <v>8536</v>
      </c>
      <c r="E3156" s="315" t="s">
        <v>8535</v>
      </c>
      <c r="F3156" s="196">
        <v>41803</v>
      </c>
      <c r="G3156" s="170"/>
      <c r="H3156" s="170">
        <v>1</v>
      </c>
      <c r="I3156" s="747">
        <f t="shared" si="74"/>
        <v>4.1666666666666664E-2</v>
      </c>
      <c r="J3156" s="899" t="s">
        <v>4706</v>
      </c>
      <c r="K3156" s="167" t="s">
        <v>3284</v>
      </c>
      <c r="L3156" s="167" t="s">
        <v>179</v>
      </c>
      <c r="M3156" s="167"/>
      <c r="N3156" s="167"/>
      <c r="O3156" s="167"/>
      <c r="P3156" s="168" t="s">
        <v>8531</v>
      </c>
      <c r="Q3156" s="167" t="s">
        <v>3947</v>
      </c>
      <c r="R3156" s="172" t="s">
        <v>9691</v>
      </c>
      <c r="S3156" s="388" t="s">
        <v>2542</v>
      </c>
      <c r="T3156" s="168" t="s">
        <v>2611</v>
      </c>
      <c r="U3156" s="168"/>
      <c r="V3156" s="168"/>
      <c r="W3156" s="312" t="s">
        <v>8535</v>
      </c>
      <c r="X3156" s="644" t="s">
        <v>12479</v>
      </c>
      <c r="Y3156" s="352" t="s">
        <v>5643</v>
      </c>
      <c r="Z3156" s="353">
        <v>56</v>
      </c>
      <c r="AA3156" s="353">
        <v>8</v>
      </c>
      <c r="AB3156" s="31">
        <f t="shared" ca="1" si="72"/>
        <v>0.22302431034488057</v>
      </c>
      <c r="AC3156" s="810"/>
      <c r="AD3156" s="811"/>
      <c r="AE3156" s="940"/>
      <c r="AF3156" s="920">
        <f>IF(X3156=X3155,AF3155,0)+IF(ISNUMBER(I3156),IF(I3156&lt;1,I3156,I3156*VLOOKUP(J3156,Summary!$H$2:$I$9,2)),VLOOKUP(J3156,Summary!$J$2:$K$9,2)*IF(ISNUMBER(H3156),H3156,1))</f>
        <v>0.33333333333333331</v>
      </c>
      <c r="AG3156" s="287">
        <v>3155</v>
      </c>
      <c r="AH3156" s="94"/>
      <c r="AI3156" s="94"/>
      <c r="AJ3156" s="2"/>
    </row>
    <row r="3157" spans="1:36" s="22" customFormat="1" ht="12" customHeight="1" x14ac:dyDescent="0.2">
      <c r="A3157" s="405" t="s">
        <v>11443</v>
      </c>
      <c r="B3157" s="406" t="s">
        <v>6146</v>
      </c>
      <c r="C3157" s="405">
        <v>1.2</v>
      </c>
      <c r="D3157" s="407" t="s">
        <v>8537</v>
      </c>
      <c r="E3157" s="315" t="s">
        <v>8534</v>
      </c>
      <c r="F3157" s="196">
        <v>41803</v>
      </c>
      <c r="G3157" s="170"/>
      <c r="H3157" s="170">
        <v>1</v>
      </c>
      <c r="I3157" s="747">
        <f t="shared" si="74"/>
        <v>4.1666666666666664E-2</v>
      </c>
      <c r="J3157" s="899" t="s">
        <v>4706</v>
      </c>
      <c r="K3157" s="167" t="s">
        <v>7797</v>
      </c>
      <c r="L3157" s="167" t="s">
        <v>179</v>
      </c>
      <c r="M3157" s="167"/>
      <c r="N3157" s="167"/>
      <c r="O3157" s="167"/>
      <c r="P3157" s="168" t="s">
        <v>8531</v>
      </c>
      <c r="Q3157" s="167" t="s">
        <v>3947</v>
      </c>
      <c r="R3157" s="172" t="s">
        <v>9691</v>
      </c>
      <c r="S3157" s="388"/>
      <c r="T3157" s="168" t="s">
        <v>2611</v>
      </c>
      <c r="U3157" s="168"/>
      <c r="V3157" s="168"/>
      <c r="W3157" s="312" t="s">
        <v>8534</v>
      </c>
      <c r="X3157" s="644" t="s">
        <v>12479</v>
      </c>
      <c r="Y3157" s="352" t="s">
        <v>5643</v>
      </c>
      <c r="Z3157" s="353">
        <v>290</v>
      </c>
      <c r="AA3157" s="353">
        <v>5.5</v>
      </c>
      <c r="AB3157" s="31">
        <f t="shared" ca="1" si="72"/>
        <v>4.4423393664707156E-2</v>
      </c>
      <c r="AC3157" s="810"/>
      <c r="AD3157" s="811"/>
      <c r="AE3157" s="940"/>
      <c r="AF3157" s="920">
        <f>IF(X3157=X3156,AF3156,0)+IF(ISNUMBER(I3157),IF(I3157&lt;1,I3157,I3157*VLOOKUP(J3157,Summary!$H$2:$I$9,2)),VLOOKUP(J3157,Summary!$J$2:$K$9,2)*IF(ISNUMBER(H3157),H3157,1))</f>
        <v>0.375</v>
      </c>
      <c r="AG3157" s="287">
        <v>3156</v>
      </c>
      <c r="AH3157" s="94"/>
      <c r="AI3157" s="94"/>
    </row>
    <row r="3158" spans="1:36" s="22" customFormat="1" ht="12" customHeight="1" x14ac:dyDescent="0.2">
      <c r="A3158" s="405" t="s">
        <v>11443</v>
      </c>
      <c r="B3158" s="406" t="s">
        <v>6146</v>
      </c>
      <c r="C3158" s="405">
        <v>1.3</v>
      </c>
      <c r="D3158" s="407" t="s">
        <v>8538</v>
      </c>
      <c r="E3158" s="315" t="s">
        <v>8533</v>
      </c>
      <c r="F3158" s="196">
        <v>41803</v>
      </c>
      <c r="G3158" s="170"/>
      <c r="H3158" s="170">
        <v>1</v>
      </c>
      <c r="I3158" s="747">
        <f t="shared" si="74"/>
        <v>4.1666666666666664E-2</v>
      </c>
      <c r="J3158" s="899" t="s">
        <v>4706</v>
      </c>
      <c r="K3158" s="167" t="s">
        <v>1826</v>
      </c>
      <c r="L3158" s="167" t="s">
        <v>179</v>
      </c>
      <c r="M3158" s="167"/>
      <c r="N3158" s="167"/>
      <c r="O3158" s="167"/>
      <c r="P3158" s="168" t="s">
        <v>8531</v>
      </c>
      <c r="Q3158" s="167" t="s">
        <v>3947</v>
      </c>
      <c r="R3158" s="172" t="s">
        <v>9691</v>
      </c>
      <c r="S3158" s="388" t="s">
        <v>2542</v>
      </c>
      <c r="T3158" s="168" t="s">
        <v>2611</v>
      </c>
      <c r="U3158" s="168"/>
      <c r="V3158" s="168"/>
      <c r="W3158" s="312" t="s">
        <v>8533</v>
      </c>
      <c r="X3158" s="644" t="s">
        <v>12479</v>
      </c>
      <c r="Y3158" s="352" t="s">
        <v>5643</v>
      </c>
      <c r="Z3158" s="353">
        <v>294</v>
      </c>
      <c r="AA3158" s="353">
        <v>5.5</v>
      </c>
      <c r="AB3158" s="31">
        <f t="shared" ca="1" si="72"/>
        <v>0.35093297650332478</v>
      </c>
      <c r="AC3158" s="810"/>
      <c r="AD3158" s="811"/>
      <c r="AE3158" s="940"/>
      <c r="AF3158" s="920">
        <f>IF(X3158=X3157,AF3157,0)+IF(ISNUMBER(I3158),IF(I3158&lt;1,I3158,I3158*VLOOKUP(J3158,Summary!$H$2:$I$9,2)),VLOOKUP(J3158,Summary!$J$2:$K$9,2)*IF(ISNUMBER(H3158),H3158,1))</f>
        <v>0.41666666666666669</v>
      </c>
      <c r="AG3158" s="287">
        <v>3157</v>
      </c>
      <c r="AH3158" s="94"/>
      <c r="AI3158" s="94"/>
    </row>
    <row r="3159" spans="1:36" s="22" customFormat="1" ht="12" customHeight="1" x14ac:dyDescent="0.2">
      <c r="A3159" s="541" t="s">
        <v>11443</v>
      </c>
      <c r="B3159" s="541">
        <v>7</v>
      </c>
      <c r="C3159" s="541">
        <v>1.4</v>
      </c>
      <c r="D3159" s="407" t="s">
        <v>8539</v>
      </c>
      <c r="E3159" s="315" t="s">
        <v>8532</v>
      </c>
      <c r="F3159" s="196">
        <v>41803</v>
      </c>
      <c r="G3159" s="170"/>
      <c r="H3159" s="170">
        <v>1</v>
      </c>
      <c r="I3159" s="747">
        <f t="shared" si="74"/>
        <v>4.1666666666666664E-2</v>
      </c>
      <c r="J3159" s="899" t="s">
        <v>4706</v>
      </c>
      <c r="K3159" s="167" t="s">
        <v>1643</v>
      </c>
      <c r="L3159" s="167" t="s">
        <v>179</v>
      </c>
      <c r="M3159" s="167"/>
      <c r="N3159" s="167"/>
      <c r="O3159" s="167"/>
      <c r="P3159" s="168" t="s">
        <v>8531</v>
      </c>
      <c r="Q3159" s="167" t="s">
        <v>3947</v>
      </c>
      <c r="R3159" s="172" t="s">
        <v>9691</v>
      </c>
      <c r="S3159" s="388" t="s">
        <v>2542</v>
      </c>
      <c r="T3159" s="168" t="s">
        <v>2611</v>
      </c>
      <c r="U3159" s="168"/>
      <c r="V3159" s="168"/>
      <c r="W3159" s="312" t="s">
        <v>8532</v>
      </c>
      <c r="X3159" s="644" t="s">
        <v>12479</v>
      </c>
      <c r="Y3159" s="352" t="s">
        <v>5643</v>
      </c>
      <c r="Z3159" s="353">
        <v>90</v>
      </c>
      <c r="AA3159" s="353">
        <v>7.5</v>
      </c>
      <c r="AB3159" s="31">
        <f t="shared" ca="1" si="72"/>
        <v>0.62642673644062741</v>
      </c>
      <c r="AC3159" s="810"/>
      <c r="AD3159" s="811"/>
      <c r="AE3159" s="940"/>
      <c r="AF3159" s="920">
        <f>IF(X3159=X3158,AF3158,0)+IF(ISNUMBER(I3159),IF(I3159&lt;1,I3159,I3159*VLOOKUP(J3159,Summary!$H$2:$I$9,2)),VLOOKUP(J3159,Summary!$J$2:$K$9,2)*IF(ISNUMBER(H3159),H3159,1))</f>
        <v>0.45833333333333337</v>
      </c>
      <c r="AG3159" s="287">
        <v>3158</v>
      </c>
      <c r="AH3159" s="94"/>
      <c r="AI3159" s="94"/>
    </row>
    <row r="3160" spans="1:36" s="1" customFormat="1" ht="12" customHeight="1" x14ac:dyDescent="0.25">
      <c r="A3160" s="405" t="s">
        <v>11522</v>
      </c>
      <c r="B3160" s="405" t="s">
        <v>29</v>
      </c>
      <c r="C3160" s="405">
        <v>5</v>
      </c>
      <c r="D3160" s="407" t="s">
        <v>11523</v>
      </c>
      <c r="E3160" s="315" t="s">
        <v>11524</v>
      </c>
      <c r="F3160" s="169">
        <v>42125</v>
      </c>
      <c r="G3160" s="170"/>
      <c r="H3160" s="170">
        <v>1</v>
      </c>
      <c r="I3160" s="746">
        <f>TIME(0,29,15)</f>
        <v>2.0312500000000001E-2</v>
      </c>
      <c r="J3160" s="899" t="s">
        <v>4706</v>
      </c>
      <c r="K3160" s="167" t="s">
        <v>4146</v>
      </c>
      <c r="L3160" s="167" t="s">
        <v>179</v>
      </c>
      <c r="M3160" s="167"/>
      <c r="N3160" s="167"/>
      <c r="O3160" s="167"/>
      <c r="P3160" s="168" t="s">
        <v>11521</v>
      </c>
      <c r="Q3160" s="167" t="s">
        <v>3947</v>
      </c>
      <c r="R3160" s="172" t="s">
        <v>11533</v>
      </c>
      <c r="S3160" s="388"/>
      <c r="T3160" s="168" t="s">
        <v>2611</v>
      </c>
      <c r="U3160" s="168" t="s">
        <v>11494</v>
      </c>
      <c r="V3160" s="168"/>
      <c r="W3160" s="312" t="s">
        <v>11524</v>
      </c>
      <c r="X3160" s="644" t="s">
        <v>12479</v>
      </c>
      <c r="Y3160" s="352" t="s">
        <v>5643</v>
      </c>
      <c r="Z3160" s="353">
        <v>327</v>
      </c>
      <c r="AA3160" s="353">
        <v>5</v>
      </c>
      <c r="AB3160" s="31">
        <f t="shared" ca="1" si="72"/>
        <v>0.29205411738131659</v>
      </c>
      <c r="AC3160" s="810"/>
      <c r="AD3160" s="811"/>
      <c r="AE3160" s="940"/>
      <c r="AF3160" s="920">
        <f>IF(X3160=X3159,AF3159,0)+IF(ISNUMBER(I3160),IF(I3160&lt;1,I3160,I3160*VLOOKUP(J3160,Summary!$H$2:$I$9,2)),VLOOKUP(J3160,Summary!$J$2:$K$9,2)*IF(ISNUMBER(H3160),H3160,1))</f>
        <v>0.47864583333333338</v>
      </c>
      <c r="AG3160" s="287">
        <v>3159</v>
      </c>
      <c r="AH3160" s="94"/>
      <c r="AI3160" s="94"/>
    </row>
    <row r="3161" spans="1:36" s="57" customFormat="1" ht="12" customHeight="1" x14ac:dyDescent="0.25">
      <c r="A3161" s="405" t="s">
        <v>11522</v>
      </c>
      <c r="B3161" s="405" t="s">
        <v>6146</v>
      </c>
      <c r="C3161" s="405">
        <v>6</v>
      </c>
      <c r="D3161" s="407" t="s">
        <v>11534</v>
      </c>
      <c r="E3161" s="315" t="s">
        <v>11532</v>
      </c>
      <c r="F3161" s="169">
        <v>42125</v>
      </c>
      <c r="G3161" s="170"/>
      <c r="H3161" s="170">
        <v>1</v>
      </c>
      <c r="I3161" s="746">
        <f>TIME(0,34,45)</f>
        <v>2.4131944444444445E-2</v>
      </c>
      <c r="J3161" s="899" t="s">
        <v>4706</v>
      </c>
      <c r="K3161" s="167" t="s">
        <v>4146</v>
      </c>
      <c r="L3161" s="167" t="s">
        <v>179</v>
      </c>
      <c r="M3161" s="167"/>
      <c r="N3161" s="167"/>
      <c r="O3161" s="167"/>
      <c r="P3161" s="168" t="s">
        <v>11521</v>
      </c>
      <c r="Q3161" s="167" t="s">
        <v>3947</v>
      </c>
      <c r="R3161" s="172" t="s">
        <v>11533</v>
      </c>
      <c r="S3161" s="388"/>
      <c r="T3161" s="168" t="s">
        <v>2611</v>
      </c>
      <c r="U3161" s="168" t="s">
        <v>11494</v>
      </c>
      <c r="V3161" s="168"/>
      <c r="W3161" s="312" t="s">
        <v>11532</v>
      </c>
      <c r="X3161" s="644" t="s">
        <v>12479</v>
      </c>
      <c r="Y3161" s="352" t="s">
        <v>5643</v>
      </c>
      <c r="Z3161" s="353">
        <v>575</v>
      </c>
      <c r="AA3161" s="353">
        <v>3.5</v>
      </c>
      <c r="AB3161" s="31">
        <f t="shared" ca="1" si="72"/>
        <v>0.13557525982187379</v>
      </c>
      <c r="AC3161" s="810"/>
      <c r="AD3161" s="811"/>
      <c r="AE3161" s="940"/>
      <c r="AF3161" s="920">
        <f>IF(X3161=X3160,AF3160,0)+IF(ISNUMBER(I3161),IF(I3161&lt;1,I3161,I3161*VLOOKUP(J3161,Summary!$H$2:$I$9,2)),VLOOKUP(J3161,Summary!$J$2:$K$9,2)*IF(ISNUMBER(H3161),H3161,1))</f>
        <v>0.50277777777777788</v>
      </c>
      <c r="AG3161" s="287">
        <v>3160</v>
      </c>
      <c r="AH3161" s="94"/>
      <c r="AI3161" s="94"/>
    </row>
    <row r="3162" spans="1:36" s="60" customFormat="1" ht="12" customHeight="1" x14ac:dyDescent="0.2">
      <c r="A3162" s="405" t="s">
        <v>11525</v>
      </c>
      <c r="B3162" s="405" t="s">
        <v>29</v>
      </c>
      <c r="C3162" s="405">
        <v>3.1</v>
      </c>
      <c r="D3162" s="407" t="s">
        <v>11516</v>
      </c>
      <c r="E3162" s="315" t="s">
        <v>11528</v>
      </c>
      <c r="F3162" s="169">
        <v>42401</v>
      </c>
      <c r="G3162" s="170"/>
      <c r="H3162" s="170">
        <v>1</v>
      </c>
      <c r="I3162" s="747">
        <f>TIME(0,60,0)</f>
        <v>4.1666666666666664E-2</v>
      </c>
      <c r="J3162" s="899" t="s">
        <v>4706</v>
      </c>
      <c r="K3162" s="167" t="s">
        <v>3424</v>
      </c>
      <c r="L3162" s="167" t="s">
        <v>179</v>
      </c>
      <c r="M3162" s="167"/>
      <c r="N3162" s="167"/>
      <c r="O3162" s="167" t="s">
        <v>11531</v>
      </c>
      <c r="P3162" s="168" t="s">
        <v>11520</v>
      </c>
      <c r="Q3162" s="167" t="s">
        <v>3947</v>
      </c>
      <c r="R3162" s="172" t="s">
        <v>11494</v>
      </c>
      <c r="S3162" s="388"/>
      <c r="T3162" s="168"/>
      <c r="U3162" s="168" t="s">
        <v>11494</v>
      </c>
      <c r="V3162" s="168"/>
      <c r="W3162" s="312" t="s">
        <v>11528</v>
      </c>
      <c r="X3162" s="644" t="s">
        <v>12479</v>
      </c>
      <c r="Y3162" s="352"/>
      <c r="Z3162" s="353"/>
      <c r="AA3162" s="353"/>
      <c r="AB3162" s="31">
        <f t="shared" ca="1" si="72"/>
        <v>0.63131304531749455</v>
      </c>
      <c r="AC3162" s="810"/>
      <c r="AD3162" s="811"/>
      <c r="AE3162" s="940"/>
      <c r="AF3162" s="920">
        <f>IF(X3162=X3161,AF3161,0)+IF(ISNUMBER(I3162),IF(I3162&lt;1,I3162,I3162*VLOOKUP(J3162,Summary!$H$2:$I$9,2)),VLOOKUP(J3162,Summary!$J$2:$K$9,2)*IF(ISNUMBER(H3162),H3162,1))</f>
        <v>0.54444444444444451</v>
      </c>
      <c r="AG3162" s="287">
        <v>3161</v>
      </c>
      <c r="AH3162" s="94"/>
      <c r="AI3162" s="94"/>
    </row>
    <row r="3163" spans="1:36" s="43" customFormat="1" ht="12" customHeight="1" x14ac:dyDescent="0.25">
      <c r="A3163" s="405" t="s">
        <v>11525</v>
      </c>
      <c r="B3163" s="405" t="s">
        <v>29</v>
      </c>
      <c r="C3163" s="405">
        <v>3.2</v>
      </c>
      <c r="D3163" s="407" t="s">
        <v>11526</v>
      </c>
      <c r="E3163" s="315" t="s">
        <v>11530</v>
      </c>
      <c r="F3163" s="169">
        <v>42401</v>
      </c>
      <c r="G3163" s="170"/>
      <c r="H3163" s="170">
        <v>1</v>
      </c>
      <c r="I3163" s="747">
        <f>TIME(0,60,0)</f>
        <v>4.1666666666666664E-2</v>
      </c>
      <c r="J3163" s="899" t="s">
        <v>4706</v>
      </c>
      <c r="K3163" s="167" t="s">
        <v>1826</v>
      </c>
      <c r="L3163" s="167" t="s">
        <v>179</v>
      </c>
      <c r="M3163" s="167"/>
      <c r="N3163" s="167"/>
      <c r="O3163" s="167" t="s">
        <v>11531</v>
      </c>
      <c r="P3163" s="168" t="s">
        <v>11520</v>
      </c>
      <c r="Q3163" s="167" t="s">
        <v>3947</v>
      </c>
      <c r="R3163" s="172" t="s">
        <v>11494</v>
      </c>
      <c r="S3163" s="388"/>
      <c r="T3163" s="168"/>
      <c r="U3163" s="168" t="s">
        <v>11494</v>
      </c>
      <c r="V3163" s="168"/>
      <c r="W3163" s="312" t="s">
        <v>11530</v>
      </c>
      <c r="X3163" s="644" t="s">
        <v>12479</v>
      </c>
      <c r="Y3163" s="352"/>
      <c r="Z3163" s="353"/>
      <c r="AA3163" s="353"/>
      <c r="AB3163" s="31">
        <f t="shared" ca="1" si="72"/>
        <v>0.61714223762441811</v>
      </c>
      <c r="AC3163" s="810"/>
      <c r="AD3163" s="811"/>
      <c r="AE3163" s="940"/>
      <c r="AF3163" s="920">
        <f>IF(X3163=X3162,AF3162,0)+IF(ISNUMBER(I3163),IF(I3163&lt;1,I3163,I3163*VLOOKUP(J3163,Summary!$H$2:$I$9,2)),VLOOKUP(J3163,Summary!$J$2:$K$9,2)*IF(ISNUMBER(H3163),H3163,1))</f>
        <v>0.58611111111111114</v>
      </c>
      <c r="AG3163" s="287">
        <v>3162</v>
      </c>
      <c r="AH3163" s="94"/>
      <c r="AI3163" s="94"/>
    </row>
    <row r="3164" spans="1:36" s="22" customFormat="1" ht="12" customHeight="1" x14ac:dyDescent="0.2">
      <c r="A3164" s="405" t="s">
        <v>11525</v>
      </c>
      <c r="B3164" s="405" t="s">
        <v>29</v>
      </c>
      <c r="C3164" s="405">
        <v>3.3</v>
      </c>
      <c r="D3164" s="407" t="s">
        <v>11527</v>
      </c>
      <c r="E3164" s="315" t="s">
        <v>11529</v>
      </c>
      <c r="F3164" s="169">
        <v>42401</v>
      </c>
      <c r="G3164" s="170"/>
      <c r="H3164" s="170">
        <v>1</v>
      </c>
      <c r="I3164" s="747">
        <f>TIME(0,60,0)</f>
        <v>4.1666666666666664E-2</v>
      </c>
      <c r="J3164" s="899" t="s">
        <v>4706</v>
      </c>
      <c r="K3164" s="167" t="s">
        <v>176</v>
      </c>
      <c r="L3164" s="167" t="s">
        <v>179</v>
      </c>
      <c r="M3164" s="167"/>
      <c r="N3164" s="167"/>
      <c r="O3164" s="167" t="s">
        <v>11531</v>
      </c>
      <c r="P3164" s="168" t="s">
        <v>11520</v>
      </c>
      <c r="Q3164" s="167" t="s">
        <v>3947</v>
      </c>
      <c r="R3164" s="172" t="s">
        <v>11494</v>
      </c>
      <c r="S3164" s="388"/>
      <c r="T3164" s="168"/>
      <c r="U3164" s="168" t="s">
        <v>11494</v>
      </c>
      <c r="V3164" s="168"/>
      <c r="W3164" s="312" t="s">
        <v>11529</v>
      </c>
      <c r="X3164" s="644" t="s">
        <v>12479</v>
      </c>
      <c r="Y3164" s="352"/>
      <c r="Z3164" s="353"/>
      <c r="AA3164" s="353"/>
      <c r="AB3164" s="31">
        <f t="shared" ca="1" si="72"/>
        <v>0.48226679244019699</v>
      </c>
      <c r="AC3164" s="810"/>
      <c r="AD3164" s="811"/>
      <c r="AE3164" s="940"/>
      <c r="AF3164" s="920">
        <f>IF(X3164=X3163,AF3163,0)+IF(ISNUMBER(I3164),IF(I3164&lt;1,I3164,I3164*VLOOKUP(J3164,Summary!$H$2:$I$9,2)),VLOOKUP(J3164,Summary!$J$2:$K$9,2)*IF(ISNUMBER(H3164),H3164,1))</f>
        <v>0.62777777777777777</v>
      </c>
      <c r="AG3164" s="287">
        <v>3163</v>
      </c>
      <c r="AH3164" s="94"/>
      <c r="AI3164" s="94"/>
    </row>
    <row r="3165" spans="1:36" s="57" customFormat="1" ht="12" customHeight="1" x14ac:dyDescent="0.25">
      <c r="A3165" s="405" t="s">
        <v>12891</v>
      </c>
      <c r="B3165" s="405" t="s">
        <v>29</v>
      </c>
      <c r="C3165" s="405">
        <v>4</v>
      </c>
      <c r="D3165" s="407" t="s">
        <v>12891</v>
      </c>
      <c r="E3165" s="315" t="s">
        <v>7413</v>
      </c>
      <c r="F3165" s="169">
        <v>43132</v>
      </c>
      <c r="G3165" s="170"/>
      <c r="H3165" s="170">
        <v>3</v>
      </c>
      <c r="I3165" s="747">
        <f>TIME(0,60,0)</f>
        <v>4.1666666666666664E-2</v>
      </c>
      <c r="J3165" s="899" t="s">
        <v>4706</v>
      </c>
      <c r="K3165" s="167" t="s">
        <v>1826</v>
      </c>
      <c r="L3165" s="167" t="s">
        <v>179</v>
      </c>
      <c r="M3165" s="167"/>
      <c r="N3165" s="167"/>
      <c r="O3165" s="167" t="s">
        <v>3295</v>
      </c>
      <c r="P3165" s="168" t="s">
        <v>12892</v>
      </c>
      <c r="Q3165" s="167" t="s">
        <v>3947</v>
      </c>
      <c r="R3165" s="172" t="s">
        <v>11494</v>
      </c>
      <c r="S3165" s="388"/>
      <c r="T3165" s="168"/>
      <c r="U3165" s="168" t="s">
        <v>11494</v>
      </c>
      <c r="V3165" s="168"/>
      <c r="W3165" s="312"/>
      <c r="X3165" s="644" t="s">
        <v>12479</v>
      </c>
      <c r="Y3165" s="352"/>
      <c r="Z3165" s="353"/>
      <c r="AA3165" s="353"/>
      <c r="AB3165" s="31">
        <f t="shared" ca="1" si="72"/>
        <v>6.0744097972356581E-2</v>
      </c>
      <c r="AC3165" s="810"/>
      <c r="AD3165" s="811"/>
      <c r="AE3165" s="940"/>
      <c r="AF3165" s="920">
        <f>IF(X3165=X3164,AF3164,0)+IF(ISNUMBER(I3165),IF(I3165&lt;1,I3165,I3165*VLOOKUP(J3165,Summary!$H$2:$I$9,2)),VLOOKUP(J3165,Summary!$J$2:$K$9,2)*IF(ISNUMBER(H3165),H3165,1))</f>
        <v>0.6694444444444444</v>
      </c>
      <c r="AG3165" s="287">
        <v>3164</v>
      </c>
      <c r="AH3165" s="94"/>
      <c r="AI3165" s="94"/>
    </row>
    <row r="3166" spans="1:36" s="22" customFormat="1" ht="12" customHeight="1" x14ac:dyDescent="0.25">
      <c r="A3166" s="557" t="s">
        <v>11443</v>
      </c>
      <c r="B3166" s="557" t="s">
        <v>6146</v>
      </c>
      <c r="C3166" s="558"/>
      <c r="D3166" s="559"/>
      <c r="E3166" s="560" t="s">
        <v>13378</v>
      </c>
      <c r="F3166" s="249">
        <v>42166</v>
      </c>
      <c r="G3166" s="250"/>
      <c r="H3166" s="250">
        <v>1</v>
      </c>
      <c r="I3166" s="792">
        <f>TIME(0,1,23)</f>
        <v>9.6064814814814808E-4</v>
      </c>
      <c r="J3166" s="913" t="s">
        <v>1588</v>
      </c>
      <c r="K3166" s="251" t="s">
        <v>1826</v>
      </c>
      <c r="L3166" s="251" t="s">
        <v>13379</v>
      </c>
      <c r="M3166" s="251"/>
      <c r="N3166" s="251"/>
      <c r="O3166" s="251"/>
      <c r="P3166" s="248"/>
      <c r="Q3166" s="251" t="s">
        <v>3947</v>
      </c>
      <c r="R3166" s="252" t="s">
        <v>10460</v>
      </c>
      <c r="S3166" s="398"/>
      <c r="T3166" s="248" t="s">
        <v>2611</v>
      </c>
      <c r="U3166" s="248"/>
      <c r="V3166" s="248"/>
      <c r="W3166" s="560" t="s">
        <v>13378</v>
      </c>
      <c r="X3166" s="675" t="s">
        <v>12525</v>
      </c>
      <c r="Y3166" s="379"/>
      <c r="Z3166" s="380"/>
      <c r="AA3166" s="380"/>
      <c r="AB3166" s="125">
        <f t="shared" ca="1" si="72"/>
        <v>0.15286943235747719</v>
      </c>
      <c r="AC3166" s="843"/>
      <c r="AD3166" s="844"/>
      <c r="AE3166" s="965"/>
      <c r="AF3166" s="934">
        <f>IF(X3166=X3165,AF3165,0)+IF(ISNUMBER(I3166),IF(I3166&lt;1,I3166,I3166*VLOOKUP(J3166,Summary!$H$2:$I$9,2)),VLOOKUP(J3166,Summary!$J$2:$K$9,2)*IF(ISNUMBER(H3166),H3166,1))</f>
        <v>9.6064814814814808E-4</v>
      </c>
      <c r="AG3166" s="303">
        <v>3165</v>
      </c>
      <c r="AH3166" s="94"/>
      <c r="AI3166" s="94"/>
    </row>
    <row r="3167" spans="1:36" s="43" customFormat="1" ht="12" customHeight="1" x14ac:dyDescent="0.25">
      <c r="A3167" s="541" t="s">
        <v>11443</v>
      </c>
      <c r="B3167" s="541">
        <v>7</v>
      </c>
      <c r="C3167" s="541">
        <v>2.1</v>
      </c>
      <c r="D3167" s="407" t="s">
        <v>10562</v>
      </c>
      <c r="E3167" s="315" t="s">
        <v>10563</v>
      </c>
      <c r="F3167" s="196">
        <v>42167</v>
      </c>
      <c r="G3167" s="170"/>
      <c r="H3167" s="170">
        <v>1</v>
      </c>
      <c r="I3167" s="747">
        <f>TIME(0,60,0)</f>
        <v>4.1666666666666664E-2</v>
      </c>
      <c r="J3167" s="899" t="s">
        <v>4706</v>
      </c>
      <c r="K3167" s="167" t="s">
        <v>1826</v>
      </c>
      <c r="L3167" s="167" t="s">
        <v>179</v>
      </c>
      <c r="M3167" s="167"/>
      <c r="N3167" s="167"/>
      <c r="O3167" s="167"/>
      <c r="P3167" s="168" t="s">
        <v>10564</v>
      </c>
      <c r="Q3167" s="167" t="s">
        <v>3947</v>
      </c>
      <c r="R3167" s="172" t="s">
        <v>9691</v>
      </c>
      <c r="S3167" s="388" t="s">
        <v>2542</v>
      </c>
      <c r="T3167" s="168" t="s">
        <v>2611</v>
      </c>
      <c r="U3167" s="168"/>
      <c r="V3167" s="168"/>
      <c r="W3167" s="315" t="s">
        <v>10563</v>
      </c>
      <c r="X3167" s="647" t="s">
        <v>12525</v>
      </c>
      <c r="Y3167" s="352" t="s">
        <v>5643</v>
      </c>
      <c r="Z3167" s="353">
        <v>682</v>
      </c>
      <c r="AA3167" s="353">
        <v>2</v>
      </c>
      <c r="AB3167" s="31">
        <f t="shared" ca="1" si="72"/>
        <v>0.51624163874104134</v>
      </c>
      <c r="AC3167" s="810"/>
      <c r="AD3167" s="811"/>
      <c r="AE3167" s="940"/>
      <c r="AF3167" s="920">
        <f>IF(X3167=X3166,AF3166,0)+IF(ISNUMBER(I3167),IF(I3167&lt;1,I3167,I3167*VLOOKUP(J3167,Summary!$H$2:$I$9,2)),VLOOKUP(J3167,Summary!$J$2:$K$9,2)*IF(ISNUMBER(H3167),H3167,1))</f>
        <v>4.2627314814814812E-2</v>
      </c>
      <c r="AG3167" s="287">
        <v>3166</v>
      </c>
      <c r="AH3167" s="94"/>
      <c r="AI3167" s="94"/>
      <c r="AJ3167" s="2"/>
    </row>
    <row r="3168" spans="1:36" s="22" customFormat="1" ht="12" customHeight="1" x14ac:dyDescent="0.2">
      <c r="A3168" s="541" t="s">
        <v>11443</v>
      </c>
      <c r="B3168" s="541">
        <v>7</v>
      </c>
      <c r="C3168" s="541">
        <v>2.2000000000000002</v>
      </c>
      <c r="D3168" s="407" t="s">
        <v>10565</v>
      </c>
      <c r="E3168" s="315" t="s">
        <v>10568</v>
      </c>
      <c r="F3168" s="196">
        <v>42167</v>
      </c>
      <c r="G3168" s="170"/>
      <c r="H3168" s="170">
        <v>1</v>
      </c>
      <c r="I3168" s="747">
        <f>TIME(0,60,0)</f>
        <v>4.1666666666666664E-2</v>
      </c>
      <c r="J3168" s="899" t="s">
        <v>4706</v>
      </c>
      <c r="K3168" s="167" t="s">
        <v>543</v>
      </c>
      <c r="L3168" s="167" t="s">
        <v>179</v>
      </c>
      <c r="M3168" s="167"/>
      <c r="N3168" s="167"/>
      <c r="O3168" s="167"/>
      <c r="P3168" s="168" t="s">
        <v>10564</v>
      </c>
      <c r="Q3168" s="167" t="s">
        <v>3947</v>
      </c>
      <c r="R3168" s="172" t="s">
        <v>9691</v>
      </c>
      <c r="S3168" s="388" t="s">
        <v>2542</v>
      </c>
      <c r="T3168" s="168" t="s">
        <v>2611</v>
      </c>
      <c r="U3168" s="168"/>
      <c r="V3168" s="168"/>
      <c r="W3168" s="315" t="s">
        <v>10568</v>
      </c>
      <c r="X3168" s="647" t="s">
        <v>12525</v>
      </c>
      <c r="Y3168" s="352" t="s">
        <v>5643</v>
      </c>
      <c r="Z3168" s="353">
        <v>391</v>
      </c>
      <c r="AA3168" s="353">
        <v>5</v>
      </c>
      <c r="AB3168" s="31">
        <f t="shared" ca="1" si="72"/>
        <v>0.1305190694754218</v>
      </c>
      <c r="AC3168" s="810"/>
      <c r="AD3168" s="811"/>
      <c r="AE3168" s="940"/>
      <c r="AF3168" s="920">
        <f>IF(X3168=X3167,AF3167,0)+IF(ISNUMBER(I3168),IF(I3168&lt;1,I3168,I3168*VLOOKUP(J3168,Summary!$H$2:$I$9,2)),VLOOKUP(J3168,Summary!$J$2:$K$9,2)*IF(ISNUMBER(H3168),H3168,1))</f>
        <v>8.4293981481481484E-2</v>
      </c>
      <c r="AG3168" s="287">
        <v>3167</v>
      </c>
      <c r="AH3168" s="94"/>
      <c r="AI3168" s="94"/>
    </row>
    <row r="3169" spans="1:35" s="2" customFormat="1" ht="12" customHeight="1" x14ac:dyDescent="0.25">
      <c r="A3169" s="541" t="s">
        <v>11443</v>
      </c>
      <c r="B3169" s="541">
        <v>7</v>
      </c>
      <c r="C3169" s="541">
        <v>2.2999999999999998</v>
      </c>
      <c r="D3169" s="407" t="s">
        <v>10566</v>
      </c>
      <c r="E3169" s="315" t="s">
        <v>10569</v>
      </c>
      <c r="F3169" s="196">
        <v>42167</v>
      </c>
      <c r="G3169" s="170"/>
      <c r="H3169" s="170">
        <v>1</v>
      </c>
      <c r="I3169" s="747">
        <f>TIME(0,60,0)</f>
        <v>4.1666666666666664E-2</v>
      </c>
      <c r="J3169" s="899" t="s">
        <v>4706</v>
      </c>
      <c r="K3169" s="167" t="s">
        <v>1643</v>
      </c>
      <c r="L3169" s="167" t="s">
        <v>179</v>
      </c>
      <c r="M3169" s="167"/>
      <c r="N3169" s="167"/>
      <c r="O3169" s="167"/>
      <c r="P3169" s="168" t="s">
        <v>10564</v>
      </c>
      <c r="Q3169" s="167" t="s">
        <v>3947</v>
      </c>
      <c r="R3169" s="172" t="s">
        <v>9691</v>
      </c>
      <c r="S3169" s="388" t="s">
        <v>2542</v>
      </c>
      <c r="T3169" s="168" t="s">
        <v>2611</v>
      </c>
      <c r="U3169" s="168"/>
      <c r="V3169" s="168"/>
      <c r="W3169" s="315" t="s">
        <v>10569</v>
      </c>
      <c r="X3169" s="647" t="s">
        <v>12525</v>
      </c>
      <c r="Y3169" s="352" t="s">
        <v>5643</v>
      </c>
      <c r="Z3169" s="353">
        <v>576</v>
      </c>
      <c r="AA3169" s="353">
        <v>3.5</v>
      </c>
      <c r="AB3169" s="31">
        <f t="shared" ca="1" si="72"/>
        <v>0.77641293296526892</v>
      </c>
      <c r="AC3169" s="810"/>
      <c r="AD3169" s="811"/>
      <c r="AE3169" s="940"/>
      <c r="AF3169" s="920">
        <f>IF(X3169=X3168,AF3168,0)+IF(ISNUMBER(I3169),IF(I3169&lt;1,I3169,I3169*VLOOKUP(J3169,Summary!$H$2:$I$9,2)),VLOOKUP(J3169,Summary!$J$2:$K$9,2)*IF(ISNUMBER(H3169),H3169,1))</f>
        <v>0.12596064814814814</v>
      </c>
      <c r="AG3169" s="287">
        <v>3168</v>
      </c>
      <c r="AH3169" s="94"/>
      <c r="AI3169" s="94"/>
    </row>
    <row r="3170" spans="1:35" s="1" customFormat="1" ht="12" customHeight="1" x14ac:dyDescent="0.25">
      <c r="A3170" s="541" t="s">
        <v>11443</v>
      </c>
      <c r="B3170" s="541">
        <v>7</v>
      </c>
      <c r="C3170" s="541">
        <v>2.4</v>
      </c>
      <c r="D3170" s="407" t="s">
        <v>10567</v>
      </c>
      <c r="E3170" s="315" t="s">
        <v>10570</v>
      </c>
      <c r="F3170" s="196">
        <v>42167</v>
      </c>
      <c r="G3170" s="170"/>
      <c r="H3170" s="170">
        <v>1</v>
      </c>
      <c r="I3170" s="747">
        <f>TIME(0,60,0)</f>
        <v>4.1666666666666664E-2</v>
      </c>
      <c r="J3170" s="899" t="s">
        <v>4706</v>
      </c>
      <c r="K3170" s="167" t="s">
        <v>7797</v>
      </c>
      <c r="L3170" s="167" t="s">
        <v>179</v>
      </c>
      <c r="M3170" s="167"/>
      <c r="N3170" s="167"/>
      <c r="O3170" s="167"/>
      <c r="P3170" s="168" t="s">
        <v>10564</v>
      </c>
      <c r="Q3170" s="167" t="s">
        <v>3947</v>
      </c>
      <c r="R3170" s="172" t="s">
        <v>9691</v>
      </c>
      <c r="S3170" s="388" t="s">
        <v>2542</v>
      </c>
      <c r="T3170" s="168" t="s">
        <v>2611</v>
      </c>
      <c r="U3170" s="168"/>
      <c r="V3170" s="168"/>
      <c r="W3170" s="315" t="s">
        <v>10570</v>
      </c>
      <c r="X3170" s="647" t="s">
        <v>12525</v>
      </c>
      <c r="Y3170" s="352" t="s">
        <v>5643</v>
      </c>
      <c r="Z3170" s="353">
        <v>611</v>
      </c>
      <c r="AA3170" s="353">
        <v>3.5</v>
      </c>
      <c r="AB3170" s="31">
        <f t="shared" ca="1" si="72"/>
        <v>0.58037126251679594</v>
      </c>
      <c r="AC3170" s="810"/>
      <c r="AD3170" s="811"/>
      <c r="AE3170" s="940"/>
      <c r="AF3170" s="920">
        <f>IF(X3170=X3169,AF3169,0)+IF(ISNUMBER(I3170),IF(I3170&lt;1,I3170,I3170*VLOOKUP(J3170,Summary!$H$2:$I$9,2)),VLOOKUP(J3170,Summary!$J$2:$K$9,2)*IF(ISNUMBER(H3170),H3170,1))</f>
        <v>0.1676273148148148</v>
      </c>
      <c r="AG3170" s="287">
        <v>3169</v>
      </c>
      <c r="AH3170" s="94"/>
      <c r="AI3170" s="94"/>
    </row>
    <row r="3171" spans="1:35" s="1" customFormat="1" ht="12" customHeight="1" x14ac:dyDescent="0.25">
      <c r="A3171" s="541" t="s">
        <v>11443</v>
      </c>
      <c r="B3171" s="541">
        <v>7</v>
      </c>
      <c r="C3171" s="541">
        <v>1.2</v>
      </c>
      <c r="D3171" s="407" t="s">
        <v>16959</v>
      </c>
      <c r="E3171" s="315" t="s">
        <v>16958</v>
      </c>
      <c r="F3171" s="196">
        <v>43532</v>
      </c>
      <c r="G3171" s="170"/>
      <c r="H3171" s="170">
        <v>1</v>
      </c>
      <c r="I3171" s="747">
        <f>TIME(0,60,0)</f>
        <v>4.1666666666666664E-2</v>
      </c>
      <c r="J3171" s="899" t="s">
        <v>4706</v>
      </c>
      <c r="K3171" s="167" t="s">
        <v>5960</v>
      </c>
      <c r="L3171" s="167" t="s">
        <v>12662</v>
      </c>
      <c r="M3171" s="167"/>
      <c r="N3171" s="167" t="s">
        <v>6452</v>
      </c>
      <c r="O3171" s="167" t="s">
        <v>16961</v>
      </c>
      <c r="P3171" s="168" t="s">
        <v>16962</v>
      </c>
      <c r="Q3171" s="167" t="s">
        <v>3947</v>
      </c>
      <c r="R3171" s="172" t="s">
        <v>16960</v>
      </c>
      <c r="S3171" s="388" t="s">
        <v>2542</v>
      </c>
      <c r="T3171" s="168" t="s">
        <v>2611</v>
      </c>
      <c r="U3171" s="168"/>
      <c r="V3171" s="168"/>
      <c r="W3171" s="315" t="s">
        <v>16958</v>
      </c>
      <c r="X3171" s="647" t="s">
        <v>12525</v>
      </c>
      <c r="Y3171" s="352"/>
      <c r="Z3171" s="353"/>
      <c r="AA3171" s="353"/>
      <c r="AB3171" s="31">
        <f t="shared" ca="1" si="72"/>
        <v>0.57970051382458077</v>
      </c>
      <c r="AC3171" s="810"/>
      <c r="AD3171" s="811"/>
      <c r="AE3171" s="940"/>
      <c r="AF3171" s="920">
        <f>IF(X3171=X3170,AF3170,0)+IF(ISNUMBER(I3171),IF(I3171&lt;1,I3171,I3171*VLOOKUP(J3171,Summary!$H$2:$I$9,2)),VLOOKUP(J3171,Summary!$J$2:$K$9,2)*IF(ISNUMBER(H3171),H3171,1))</f>
        <v>0.20929398148148146</v>
      </c>
      <c r="AG3171" s="287">
        <v>3170</v>
      </c>
      <c r="AH3171" s="94"/>
      <c r="AI3171" s="94"/>
    </row>
    <row r="3172" spans="1:35" s="22" customFormat="1" ht="12" customHeight="1" x14ac:dyDescent="0.25">
      <c r="A3172" s="539" t="s">
        <v>11443</v>
      </c>
      <c r="B3172" s="539">
        <v>7</v>
      </c>
      <c r="C3172" s="539">
        <v>29.24</v>
      </c>
      <c r="D3172" s="176" t="s">
        <v>7448</v>
      </c>
      <c r="E3172" s="313" t="s">
        <v>5356</v>
      </c>
      <c r="F3172" s="174">
        <v>39692</v>
      </c>
      <c r="G3172" s="174"/>
      <c r="H3172" s="176" t="s">
        <v>461</v>
      </c>
      <c r="I3172" s="176">
        <v>6</v>
      </c>
      <c r="J3172" s="900" t="s">
        <v>2755</v>
      </c>
      <c r="K3172" s="164" t="s">
        <v>5357</v>
      </c>
      <c r="L3172" s="164" t="s">
        <v>461</v>
      </c>
      <c r="M3172" s="164"/>
      <c r="N3172" s="164" t="s">
        <v>5664</v>
      </c>
      <c r="O3172" s="164"/>
      <c r="P3172" s="173" t="s">
        <v>6707</v>
      </c>
      <c r="Q3172" s="164" t="s">
        <v>3947</v>
      </c>
      <c r="R3172" s="177" t="s">
        <v>2723</v>
      </c>
      <c r="S3172" s="354"/>
      <c r="T3172" s="173"/>
      <c r="U3172" s="173"/>
      <c r="V3172" s="173"/>
      <c r="W3172" s="313" t="s">
        <v>5356</v>
      </c>
      <c r="X3172" s="645" t="s">
        <v>12477</v>
      </c>
      <c r="Y3172" s="354"/>
      <c r="Z3172" s="176"/>
      <c r="AA3172" s="176"/>
      <c r="AB3172" s="32">
        <f t="shared" ca="1" si="72"/>
        <v>0.92637117937558455</v>
      </c>
      <c r="AC3172" s="812"/>
      <c r="AD3172" s="763"/>
      <c r="AE3172" s="807"/>
      <c r="AF3172" s="921">
        <f>IF(X3172=X3171,AF3171,0)+IF(ISNUMBER(I3172),IF(I3172&lt;1,I3172,I3172*VLOOKUP(J3172,Summary!$H$2:$I$9,2)),VLOOKUP(J3172,Summary!$J$2:$K$9,2)*IF(ISNUMBER(H3172),H3172,1))</f>
        <v>4.1666666666666666E-3</v>
      </c>
      <c r="AG3172" s="289">
        <v>3171</v>
      </c>
      <c r="AH3172" s="94"/>
      <c r="AI3172" s="94"/>
    </row>
    <row r="3173" spans="1:35" s="22" customFormat="1" ht="12" customHeight="1" x14ac:dyDescent="0.25">
      <c r="A3173" s="546" t="s">
        <v>11443</v>
      </c>
      <c r="B3173" s="546">
        <v>7</v>
      </c>
      <c r="C3173" s="548">
        <v>0.33</v>
      </c>
      <c r="D3173" s="192" t="s">
        <v>13144</v>
      </c>
      <c r="E3173" s="317" t="s">
        <v>12912</v>
      </c>
      <c r="F3173" s="209">
        <v>43087</v>
      </c>
      <c r="G3173" s="209"/>
      <c r="H3173" s="192" t="s">
        <v>461</v>
      </c>
      <c r="I3173" s="753"/>
      <c r="J3173" s="903" t="s">
        <v>2755</v>
      </c>
      <c r="K3173" s="194" t="s">
        <v>12721</v>
      </c>
      <c r="L3173" s="194" t="s">
        <v>3365</v>
      </c>
      <c r="M3173" s="194" t="s">
        <v>9290</v>
      </c>
      <c r="N3173" s="194"/>
      <c r="O3173" s="194"/>
      <c r="P3173" s="190" t="s">
        <v>461</v>
      </c>
      <c r="Q3173" s="194" t="s">
        <v>3947</v>
      </c>
      <c r="R3173" s="193" t="s">
        <v>2722</v>
      </c>
      <c r="S3173" s="357"/>
      <c r="T3173" s="190"/>
      <c r="U3173" s="190"/>
      <c r="V3173" s="190"/>
      <c r="W3173" s="317" t="s">
        <v>12912</v>
      </c>
      <c r="X3173" s="649" t="s">
        <v>12477</v>
      </c>
      <c r="Y3173" s="357"/>
      <c r="Z3173" s="192"/>
      <c r="AA3173" s="192"/>
      <c r="AB3173" s="37">
        <f t="shared" ca="1" si="72"/>
        <v>0.21875905762912506</v>
      </c>
      <c r="AC3173" s="816"/>
      <c r="AD3173" s="817"/>
      <c r="AE3173" s="943"/>
      <c r="AF3173" s="924">
        <f>IF(X3173=X3172,AF3172,0)+IF(ISNUMBER(I3173),IF(I3173&lt;1,I3173,I3173*VLOOKUP(J3173,Summary!$H$2:$I$9,2)),VLOOKUP(J3173,Summary!$J$2:$K$9,2)*IF(ISNUMBER(H3173),H3173,1))</f>
        <v>2.1527777777777778E-2</v>
      </c>
      <c r="AG3173" s="292">
        <v>3172</v>
      </c>
      <c r="AH3173" s="94"/>
      <c r="AI3173" s="94"/>
    </row>
    <row r="3174" spans="1:35" s="2" customFormat="1" ht="12" customHeight="1" x14ac:dyDescent="0.25">
      <c r="A3174" s="541" t="s">
        <v>11443</v>
      </c>
      <c r="B3174" s="541">
        <v>7</v>
      </c>
      <c r="C3174" s="541">
        <v>175</v>
      </c>
      <c r="D3174" s="407"/>
      <c r="E3174" s="315" t="s">
        <v>8130</v>
      </c>
      <c r="F3174" s="169">
        <v>41456</v>
      </c>
      <c r="G3174" s="170"/>
      <c r="H3174" s="170">
        <v>4</v>
      </c>
      <c r="I3174" s="747">
        <f>TIME(0,120,0)</f>
        <v>8.3333333333333329E-2</v>
      </c>
      <c r="J3174" s="899" t="s">
        <v>4706</v>
      </c>
      <c r="K3174" s="167" t="s">
        <v>8131</v>
      </c>
      <c r="L3174" s="167" t="s">
        <v>2313</v>
      </c>
      <c r="M3174" s="167"/>
      <c r="N3174" s="167"/>
      <c r="O3174" s="167"/>
      <c r="P3174" s="168" t="s">
        <v>8132</v>
      </c>
      <c r="Q3174" s="167" t="s">
        <v>3947</v>
      </c>
      <c r="R3174" s="172" t="s">
        <v>3146</v>
      </c>
      <c r="S3174" s="388" t="s">
        <v>2154</v>
      </c>
      <c r="T3174" s="168"/>
      <c r="U3174" s="168" t="s">
        <v>8133</v>
      </c>
      <c r="V3174" s="168"/>
      <c r="W3174" s="312"/>
      <c r="X3174" s="644" t="s">
        <v>12477</v>
      </c>
      <c r="Y3174" s="352"/>
      <c r="Z3174" s="353"/>
      <c r="AA3174" s="353"/>
      <c r="AB3174" s="31">
        <f t="shared" ca="1" si="72"/>
        <v>5.6507398690781252E-2</v>
      </c>
      <c r="AC3174" s="810"/>
      <c r="AD3174" s="811"/>
      <c r="AE3174" s="940"/>
      <c r="AF3174" s="920">
        <f>IF(X3174=X3173,AF3173,0)+IF(ISNUMBER(I3174),IF(I3174&lt;1,I3174,I3174*VLOOKUP(J3174,Summary!$H$2:$I$9,2)),VLOOKUP(J3174,Summary!$J$2:$K$9,2)*IF(ISNUMBER(H3174),H3174,1))</f>
        <v>0.1048611111111111</v>
      </c>
      <c r="AG3174" s="287">
        <v>3173</v>
      </c>
      <c r="AH3174" s="94"/>
      <c r="AI3174" s="94"/>
    </row>
    <row r="3175" spans="1:35" s="1" customFormat="1" ht="12" customHeight="1" x14ac:dyDescent="0.25">
      <c r="A3175" s="541" t="s">
        <v>11443</v>
      </c>
      <c r="B3175" s="541">
        <v>7</v>
      </c>
      <c r="C3175" s="541">
        <v>176</v>
      </c>
      <c r="D3175" s="407"/>
      <c r="E3175" s="315" t="s">
        <v>8134</v>
      </c>
      <c r="F3175" s="169">
        <v>41487</v>
      </c>
      <c r="G3175" s="170"/>
      <c r="H3175" s="170">
        <v>4</v>
      </c>
      <c r="I3175" s="747">
        <f>TIME(0,120,0)</f>
        <v>8.3333333333333329E-2</v>
      </c>
      <c r="J3175" s="899" t="s">
        <v>4706</v>
      </c>
      <c r="K3175" s="167" t="s">
        <v>6452</v>
      </c>
      <c r="L3175" s="167" t="s">
        <v>2313</v>
      </c>
      <c r="M3175" s="167"/>
      <c r="N3175" s="167"/>
      <c r="O3175" s="167"/>
      <c r="P3175" s="168" t="s">
        <v>8135</v>
      </c>
      <c r="Q3175" s="167" t="s">
        <v>3947</v>
      </c>
      <c r="R3175" s="172" t="s">
        <v>3146</v>
      </c>
      <c r="S3175" s="388" t="s">
        <v>2154</v>
      </c>
      <c r="T3175" s="168"/>
      <c r="U3175" s="168" t="s">
        <v>8133</v>
      </c>
      <c r="V3175" s="168"/>
      <c r="W3175" s="312"/>
      <c r="X3175" s="644" t="s">
        <v>12477</v>
      </c>
      <c r="Y3175" s="352"/>
      <c r="Z3175" s="353"/>
      <c r="AA3175" s="353"/>
      <c r="AB3175" s="31">
        <f t="shared" ca="1" si="72"/>
        <v>0.65296388347324252</v>
      </c>
      <c r="AC3175" s="810"/>
      <c r="AD3175" s="811"/>
      <c r="AE3175" s="940"/>
      <c r="AF3175" s="920">
        <f>IF(X3175=X3174,AF3174,0)+IF(ISNUMBER(I3175),IF(I3175&lt;1,I3175,I3175*VLOOKUP(J3175,Summary!$H$2:$I$9,2)),VLOOKUP(J3175,Summary!$J$2:$K$9,2)*IF(ISNUMBER(H3175),H3175,1))</f>
        <v>0.18819444444444444</v>
      </c>
      <c r="AG3175" s="287">
        <v>3174</v>
      </c>
      <c r="AH3175" s="94"/>
      <c r="AI3175" s="94"/>
    </row>
    <row r="3176" spans="1:35" s="22" customFormat="1" ht="12" customHeight="1" x14ac:dyDescent="0.2">
      <c r="A3176" s="541" t="s">
        <v>11443</v>
      </c>
      <c r="B3176" s="541">
        <v>7</v>
      </c>
      <c r="C3176" s="541">
        <v>177</v>
      </c>
      <c r="D3176" s="407"/>
      <c r="E3176" s="315" t="s">
        <v>8136</v>
      </c>
      <c r="F3176" s="169">
        <v>41518</v>
      </c>
      <c r="G3176" s="170"/>
      <c r="H3176" s="170">
        <v>4</v>
      </c>
      <c r="I3176" s="747">
        <f>TIME(0,120,0)</f>
        <v>8.3333333333333329E-2</v>
      </c>
      <c r="J3176" s="899" t="s">
        <v>4706</v>
      </c>
      <c r="K3176" s="167" t="s">
        <v>7374</v>
      </c>
      <c r="L3176" s="167" t="s">
        <v>2313</v>
      </c>
      <c r="M3176" s="167"/>
      <c r="N3176" s="167"/>
      <c r="O3176" s="167"/>
      <c r="P3176" s="168" t="s">
        <v>8137</v>
      </c>
      <c r="Q3176" s="167" t="s">
        <v>3947</v>
      </c>
      <c r="R3176" s="172" t="s">
        <v>3146</v>
      </c>
      <c r="S3176" s="388" t="s">
        <v>2154</v>
      </c>
      <c r="T3176" s="168"/>
      <c r="U3176" s="168" t="s">
        <v>8133</v>
      </c>
      <c r="V3176" s="168"/>
      <c r="W3176" s="312"/>
      <c r="X3176" s="644" t="s">
        <v>12477</v>
      </c>
      <c r="Y3176" s="352"/>
      <c r="Z3176" s="353"/>
      <c r="AA3176" s="353"/>
      <c r="AB3176" s="31">
        <f t="shared" ca="1" si="72"/>
        <v>0.45059648372594752</v>
      </c>
      <c r="AC3176" s="810"/>
      <c r="AD3176" s="811"/>
      <c r="AE3176" s="940"/>
      <c r="AF3176" s="920">
        <f>IF(X3176=X3175,AF3175,0)+IF(ISNUMBER(I3176),IF(I3176&lt;1,I3176,I3176*VLOOKUP(J3176,Summary!$H$2:$I$9,2)),VLOOKUP(J3176,Summary!$J$2:$K$9,2)*IF(ISNUMBER(H3176),H3176,1))</f>
        <v>0.27152777777777776</v>
      </c>
      <c r="AG3176" s="287">
        <v>3175</v>
      </c>
      <c r="AH3176" s="94"/>
      <c r="AI3176" s="94"/>
    </row>
    <row r="3177" spans="1:35" s="22" customFormat="1" ht="12" customHeight="1" x14ac:dyDescent="0.2">
      <c r="A3177" s="541" t="s">
        <v>11443</v>
      </c>
      <c r="B3177" s="541">
        <v>7</v>
      </c>
      <c r="C3177" s="541">
        <v>213</v>
      </c>
      <c r="D3177" s="407"/>
      <c r="E3177" s="315" t="s">
        <v>10271</v>
      </c>
      <c r="F3177" s="196">
        <v>42534</v>
      </c>
      <c r="G3177" s="170"/>
      <c r="H3177" s="170">
        <v>4</v>
      </c>
      <c r="I3177" s="746">
        <f>TIME(2,17,49)</f>
        <v>9.5706018518518524E-2</v>
      </c>
      <c r="J3177" s="899" t="s">
        <v>4706</v>
      </c>
      <c r="K3177" s="167" t="s">
        <v>5666</v>
      </c>
      <c r="L3177" s="167" t="s">
        <v>10304</v>
      </c>
      <c r="M3177" s="167"/>
      <c r="N3177" s="167"/>
      <c r="O3177" s="167"/>
      <c r="P3177" s="168" t="s">
        <v>10311</v>
      </c>
      <c r="Q3177" s="167" t="s">
        <v>3947</v>
      </c>
      <c r="R3177" s="172" t="s">
        <v>3146</v>
      </c>
      <c r="S3177" s="388"/>
      <c r="T3177" s="168"/>
      <c r="U3177" s="168"/>
      <c r="V3177" s="168"/>
      <c r="W3177" s="312" t="s">
        <v>12070</v>
      </c>
      <c r="X3177" s="644" t="s">
        <v>12477</v>
      </c>
      <c r="Y3177" s="352" t="s">
        <v>5643</v>
      </c>
      <c r="Z3177" s="353">
        <v>350</v>
      </c>
      <c r="AA3177" s="353">
        <v>5</v>
      </c>
      <c r="AB3177" s="31">
        <f t="shared" ca="1" si="72"/>
        <v>0.22741943482669025</v>
      </c>
      <c r="AC3177" s="810"/>
      <c r="AD3177" s="811"/>
      <c r="AE3177" s="940"/>
      <c r="AF3177" s="920">
        <f>IF(X3177=X3176,AF3176,0)+IF(ISNUMBER(I3177),IF(I3177&lt;1,I3177,I3177*VLOOKUP(J3177,Summary!$H$2:$I$9,2)),VLOOKUP(J3177,Summary!$J$2:$K$9,2)*IF(ISNUMBER(H3177),H3177,1))</f>
        <v>0.36723379629629627</v>
      </c>
      <c r="AG3177" s="287">
        <v>3176</v>
      </c>
      <c r="AH3177" s="94"/>
      <c r="AI3177" s="94"/>
    </row>
    <row r="3178" spans="1:35" s="27" customFormat="1" ht="12" customHeight="1" x14ac:dyDescent="0.25">
      <c r="A3178" s="541" t="s">
        <v>11443</v>
      </c>
      <c r="B3178" s="541">
        <v>7</v>
      </c>
      <c r="C3178" s="541">
        <v>244</v>
      </c>
      <c r="D3178" s="407"/>
      <c r="E3178" s="315" t="s">
        <v>15489</v>
      </c>
      <c r="F3178" s="196">
        <v>43417</v>
      </c>
      <c r="G3178" s="170"/>
      <c r="H3178" s="170">
        <v>4</v>
      </c>
      <c r="I3178" s="747">
        <f>TIME(0,120,0)</f>
        <v>8.3333333333333329E-2</v>
      </c>
      <c r="J3178" s="899" t="s">
        <v>4706</v>
      </c>
      <c r="K3178" s="167" t="s">
        <v>176</v>
      </c>
      <c r="L3178" s="167" t="s">
        <v>10304</v>
      </c>
      <c r="M3178" s="167"/>
      <c r="N3178" s="167" t="s">
        <v>7374</v>
      </c>
      <c r="O3178" s="167" t="s">
        <v>4549</v>
      </c>
      <c r="P3178" s="168" t="s">
        <v>15490</v>
      </c>
      <c r="Q3178" s="167" t="s">
        <v>3947</v>
      </c>
      <c r="R3178" s="172" t="s">
        <v>3146</v>
      </c>
      <c r="S3178" s="388" t="s">
        <v>2154</v>
      </c>
      <c r="T3178" s="168"/>
      <c r="U3178" s="168"/>
      <c r="V3178" s="168"/>
      <c r="W3178" s="312"/>
      <c r="X3178" s="644" t="s">
        <v>12477</v>
      </c>
      <c r="Y3178" s="352"/>
      <c r="Z3178" s="353"/>
      <c r="AA3178" s="353"/>
      <c r="AB3178" s="31">
        <f t="shared" ca="1" si="72"/>
        <v>0.96302689906293693</v>
      </c>
      <c r="AC3178" s="810"/>
      <c r="AD3178" s="811"/>
      <c r="AE3178" s="940"/>
      <c r="AF3178" s="920">
        <f>IF(X3178=X3177,AF3177,0)+IF(ISNUMBER(I3178),IF(I3178&lt;1,I3178,I3178*VLOOKUP(J3178,Summary!$H$2:$I$9,2)),VLOOKUP(J3178,Summary!$J$2:$K$9,2)*IF(ISNUMBER(H3178),H3178,1))</f>
        <v>0.45056712962962958</v>
      </c>
      <c r="AG3178" s="287">
        <v>3177</v>
      </c>
      <c r="AH3178" s="94"/>
      <c r="AI3178" s="94"/>
    </row>
    <row r="3179" spans="1:35" s="22" customFormat="1" ht="12" customHeight="1" x14ac:dyDescent="0.2">
      <c r="A3179" s="541" t="s">
        <v>11443</v>
      </c>
      <c r="B3179" s="541">
        <v>7</v>
      </c>
      <c r="C3179" s="541">
        <v>112.2</v>
      </c>
      <c r="D3179" s="407" t="s">
        <v>760</v>
      </c>
      <c r="E3179" s="315" t="s">
        <v>761</v>
      </c>
      <c r="F3179" s="169">
        <v>39692</v>
      </c>
      <c r="G3179" s="170"/>
      <c r="H3179" s="170">
        <v>1</v>
      </c>
      <c r="I3179" s="746">
        <f>TIME(0,24,41)</f>
        <v>1.7141203703703704E-2</v>
      </c>
      <c r="J3179" s="899" t="s">
        <v>4706</v>
      </c>
      <c r="K3179" s="167" t="s">
        <v>178</v>
      </c>
      <c r="L3179" s="167" t="s">
        <v>4549</v>
      </c>
      <c r="M3179" s="167"/>
      <c r="N3179" s="167"/>
      <c r="O3179" s="167" t="s">
        <v>2500</v>
      </c>
      <c r="P3179" s="168" t="s">
        <v>12953</v>
      </c>
      <c r="Q3179" s="167" t="s">
        <v>3947</v>
      </c>
      <c r="R3179" s="172" t="s">
        <v>3146</v>
      </c>
      <c r="S3179" s="388"/>
      <c r="T3179" s="168"/>
      <c r="U3179" s="168"/>
      <c r="V3179" s="168"/>
      <c r="W3179" s="312" t="s">
        <v>761</v>
      </c>
      <c r="X3179" s="644" t="s">
        <v>12477</v>
      </c>
      <c r="Y3179" s="352" t="s">
        <v>5398</v>
      </c>
      <c r="Z3179" s="353">
        <v>211</v>
      </c>
      <c r="AA3179" s="353">
        <v>6</v>
      </c>
      <c r="AB3179" s="31">
        <f t="shared" ca="1" si="72"/>
        <v>0.85595793372046203</v>
      </c>
      <c r="AC3179" s="810"/>
      <c r="AD3179" s="811" t="s">
        <v>16214</v>
      </c>
      <c r="AE3179" s="940" t="s">
        <v>12543</v>
      </c>
      <c r="AF3179" s="920">
        <f>IF(X3179=X3178,AF3178,0)+IF(ISNUMBER(I3179),IF(I3179&lt;1,I3179,I3179*VLOOKUP(J3179,Summary!$H$2:$I$9,2)),VLOOKUP(J3179,Summary!$J$2:$K$9,2)*IF(ISNUMBER(H3179),H3179,1))</f>
        <v>0.46770833333333328</v>
      </c>
      <c r="AG3179" s="287">
        <v>3178</v>
      </c>
      <c r="AH3179" s="94"/>
      <c r="AI3179" s="94"/>
    </row>
    <row r="3180" spans="1:35" s="22" customFormat="1" ht="12" customHeight="1" x14ac:dyDescent="0.25">
      <c r="A3180" s="550" t="s">
        <v>11443</v>
      </c>
      <c r="B3180" s="550">
        <v>7</v>
      </c>
      <c r="C3180" s="550">
        <v>13</v>
      </c>
      <c r="D3180" s="417" t="s">
        <v>762</v>
      </c>
      <c r="E3180" s="316" t="s">
        <v>763</v>
      </c>
      <c r="F3180" s="187">
        <v>37956</v>
      </c>
      <c r="G3180" s="188"/>
      <c r="H3180" s="188" t="str">
        <f>IF(J3180="Book","n/a","")</f>
        <v>n/a</v>
      </c>
      <c r="I3180" s="188">
        <v>120</v>
      </c>
      <c r="J3180" s="902" t="s">
        <v>6868</v>
      </c>
      <c r="K3180" s="162" t="s">
        <v>2499</v>
      </c>
      <c r="L3180" s="162" t="str">
        <f>IF(J3180="Book","n/a","")</f>
        <v>n/a</v>
      </c>
      <c r="M3180" s="162"/>
      <c r="N3180" s="162"/>
      <c r="O3180" s="162"/>
      <c r="P3180" s="178" t="s">
        <v>8868</v>
      </c>
      <c r="Q3180" s="162" t="s">
        <v>6055</v>
      </c>
      <c r="R3180" s="189" t="s">
        <v>2718</v>
      </c>
      <c r="S3180" s="366" t="s">
        <v>7318</v>
      </c>
      <c r="T3180" s="178"/>
      <c r="U3180" s="178"/>
      <c r="V3180" s="178"/>
      <c r="W3180" s="316" t="s">
        <v>763</v>
      </c>
      <c r="X3180" s="648" t="s">
        <v>12477</v>
      </c>
      <c r="Y3180" s="356"/>
      <c r="Z3180" s="272"/>
      <c r="AA3180" s="272"/>
      <c r="AB3180" s="34">
        <f t="shared" ca="1" si="72"/>
        <v>0.18216596874138125</v>
      </c>
      <c r="AC3180" s="814"/>
      <c r="AD3180" s="815" t="s">
        <v>16312</v>
      </c>
      <c r="AE3180" s="942" t="s">
        <v>12543</v>
      </c>
      <c r="AF3180" s="923">
        <f>IF(X3180=X3179,AF3179,0)+IF(ISNUMBER(I3180),IF(I3180&lt;1,I3180,I3180*VLOOKUP(J3180,Summary!$H$2:$I$9,2)),VLOOKUP(J3180,Summary!$J$2:$K$9,2)*IF(ISNUMBER(H3180),H3180,1))</f>
        <v>0.55104166666666665</v>
      </c>
      <c r="AG3180" s="291">
        <v>3179</v>
      </c>
      <c r="AH3180" s="94"/>
      <c r="AI3180" s="94"/>
    </row>
    <row r="3181" spans="1:35" s="22" customFormat="1" ht="12" customHeight="1" x14ac:dyDescent="0.25">
      <c r="A3181" s="539" t="s">
        <v>11443</v>
      </c>
      <c r="B3181" s="539">
        <v>7</v>
      </c>
      <c r="C3181" s="542">
        <v>8.1</v>
      </c>
      <c r="D3181" s="176" t="s">
        <v>2478</v>
      </c>
      <c r="E3181" s="313" t="s">
        <v>586</v>
      </c>
      <c r="F3181" s="174">
        <v>37956</v>
      </c>
      <c r="G3181" s="174"/>
      <c r="H3181" s="176">
        <v>1</v>
      </c>
      <c r="I3181" s="176">
        <v>10</v>
      </c>
      <c r="J3181" s="900" t="s">
        <v>2755</v>
      </c>
      <c r="K3181" s="164" t="s">
        <v>2479</v>
      </c>
      <c r="L3181" s="164" t="s">
        <v>461</v>
      </c>
      <c r="M3181" s="164"/>
      <c r="N3181" s="164" t="s">
        <v>4996</v>
      </c>
      <c r="O3181" s="164"/>
      <c r="P3181" s="173" t="s">
        <v>2555</v>
      </c>
      <c r="Q3181" s="164" t="s">
        <v>3947</v>
      </c>
      <c r="R3181" s="177" t="s">
        <v>2723</v>
      </c>
      <c r="S3181" s="354"/>
      <c r="T3181" s="173"/>
      <c r="U3181" s="173"/>
      <c r="V3181" s="173"/>
      <c r="W3181" s="313" t="s">
        <v>586</v>
      </c>
      <c r="X3181" s="645" t="s">
        <v>12477</v>
      </c>
      <c r="Y3181" s="354"/>
      <c r="Z3181" s="176"/>
      <c r="AA3181" s="176"/>
      <c r="AB3181" s="32">
        <f t="shared" ca="1" si="72"/>
        <v>0.38896886063056668</v>
      </c>
      <c r="AC3181" s="812"/>
      <c r="AD3181" s="763"/>
      <c r="AE3181" s="807"/>
      <c r="AF3181" s="921">
        <f>IF(X3181=X3180,AF3180,0)+IF(ISNUMBER(I3181),IF(I3181&lt;1,I3181,I3181*VLOOKUP(J3181,Summary!$H$2:$I$9,2)),VLOOKUP(J3181,Summary!$J$2:$K$9,2)*IF(ISNUMBER(H3181),H3181,1))</f>
        <v>0.55798611111111107</v>
      </c>
      <c r="AG3181" s="289">
        <v>3180</v>
      </c>
      <c r="AH3181" s="94"/>
      <c r="AI3181" s="94"/>
    </row>
    <row r="3182" spans="1:35" s="1" customFormat="1" ht="12" customHeight="1" x14ac:dyDescent="0.25">
      <c r="A3182" s="539" t="s">
        <v>11443</v>
      </c>
      <c r="B3182" s="539">
        <v>7</v>
      </c>
      <c r="C3182" s="542">
        <v>13.02</v>
      </c>
      <c r="D3182" s="176" t="s">
        <v>2480</v>
      </c>
      <c r="E3182" s="313" t="s">
        <v>587</v>
      </c>
      <c r="F3182" s="174">
        <v>38261</v>
      </c>
      <c r="G3182" s="174"/>
      <c r="H3182" s="176">
        <v>1</v>
      </c>
      <c r="I3182" s="176">
        <v>12</v>
      </c>
      <c r="J3182" s="900" t="s">
        <v>2755</v>
      </c>
      <c r="K3182" s="164" t="s">
        <v>1951</v>
      </c>
      <c r="L3182" s="164" t="s">
        <v>461</v>
      </c>
      <c r="M3182" s="164"/>
      <c r="N3182" s="164" t="s">
        <v>4996</v>
      </c>
      <c r="O3182" s="164"/>
      <c r="P3182" s="173" t="s">
        <v>1945</v>
      </c>
      <c r="Q3182" s="164" t="s">
        <v>3947</v>
      </c>
      <c r="R3182" s="177" t="s">
        <v>2723</v>
      </c>
      <c r="S3182" s="354"/>
      <c r="T3182" s="173"/>
      <c r="U3182" s="173"/>
      <c r="V3182" s="173"/>
      <c r="W3182" s="313" t="s">
        <v>587</v>
      </c>
      <c r="X3182" s="645" t="s">
        <v>12477</v>
      </c>
      <c r="Y3182" s="354"/>
      <c r="Z3182" s="176"/>
      <c r="AA3182" s="176"/>
      <c r="AB3182" s="32">
        <f t="shared" ca="1" si="72"/>
        <v>0.76375721099121352</v>
      </c>
      <c r="AC3182" s="812"/>
      <c r="AD3182" s="763"/>
      <c r="AE3182" s="807"/>
      <c r="AF3182" s="921">
        <f>IF(X3182=X3181,AF3181,0)+IF(ISNUMBER(I3182),IF(I3182&lt;1,I3182,I3182*VLOOKUP(J3182,Summary!$H$2:$I$9,2)),VLOOKUP(J3182,Summary!$J$2:$K$9,2)*IF(ISNUMBER(H3182),H3182,1))</f>
        <v>0.56631944444444438</v>
      </c>
      <c r="AG3182" s="289">
        <v>3181</v>
      </c>
      <c r="AH3182" s="94"/>
      <c r="AI3182" s="94"/>
    </row>
    <row r="3183" spans="1:35" s="1" customFormat="1" ht="12" customHeight="1" x14ac:dyDescent="0.25">
      <c r="A3183" s="546" t="s">
        <v>11443</v>
      </c>
      <c r="B3183" s="546">
        <v>7</v>
      </c>
      <c r="C3183" s="548">
        <v>26.17</v>
      </c>
      <c r="D3183" s="192" t="s">
        <v>2484</v>
      </c>
      <c r="E3183" s="317" t="s">
        <v>4122</v>
      </c>
      <c r="F3183" s="191">
        <v>39508</v>
      </c>
      <c r="G3183" s="191"/>
      <c r="H3183" s="192">
        <v>1</v>
      </c>
      <c r="I3183" s="753">
        <f>TIME(0,39,48)</f>
        <v>2.763888888888889E-2</v>
      </c>
      <c r="J3183" s="903" t="s">
        <v>2755</v>
      </c>
      <c r="K3183" s="194" t="s">
        <v>5146</v>
      </c>
      <c r="L3183" s="194" t="s">
        <v>461</v>
      </c>
      <c r="M3183" s="194" t="s">
        <v>13151</v>
      </c>
      <c r="N3183" s="194" t="s">
        <v>7381</v>
      </c>
      <c r="O3183" s="194"/>
      <c r="P3183" s="190" t="s">
        <v>6706</v>
      </c>
      <c r="Q3183" s="194" t="s">
        <v>3947</v>
      </c>
      <c r="R3183" s="193" t="s">
        <v>2723</v>
      </c>
      <c r="S3183" s="357"/>
      <c r="T3183" s="190"/>
      <c r="U3183" s="190"/>
      <c r="V3183" s="190"/>
      <c r="W3183" s="317" t="s">
        <v>4122</v>
      </c>
      <c r="X3183" s="649" t="s">
        <v>12477</v>
      </c>
      <c r="Y3183" s="357" t="s">
        <v>5643</v>
      </c>
      <c r="Z3183" s="192">
        <v>999</v>
      </c>
      <c r="AA3183" s="192"/>
      <c r="AB3183" s="37">
        <f t="shared" ca="1" si="72"/>
        <v>0.99120791307696321</v>
      </c>
      <c r="AC3183" s="816"/>
      <c r="AD3183" s="817"/>
      <c r="AE3183" s="943"/>
      <c r="AF3183" s="924">
        <f>IF(X3183=X3182,AF3182,0)+IF(ISNUMBER(I3183),IF(I3183&lt;1,I3183,I3183*VLOOKUP(J3183,Summary!$H$2:$I$9,2)),VLOOKUP(J3183,Summary!$J$2:$K$9,2)*IF(ISNUMBER(H3183),H3183,1))</f>
        <v>0.59395833333333325</v>
      </c>
      <c r="AG3183" s="292">
        <v>3182</v>
      </c>
      <c r="AH3183" s="94"/>
      <c r="AI3183" s="94"/>
    </row>
    <row r="3184" spans="1:35" s="1" customFormat="1" ht="12" customHeight="1" x14ac:dyDescent="0.25">
      <c r="A3184" s="539" t="s">
        <v>11443</v>
      </c>
      <c r="B3184" s="539">
        <v>7</v>
      </c>
      <c r="C3184" s="542">
        <v>5.12</v>
      </c>
      <c r="D3184" s="176" t="s">
        <v>2485</v>
      </c>
      <c r="E3184" s="313" t="s">
        <v>4123</v>
      </c>
      <c r="F3184" s="174">
        <v>37681</v>
      </c>
      <c r="G3184" s="174"/>
      <c r="H3184" s="176">
        <v>1</v>
      </c>
      <c r="I3184" s="176">
        <v>10</v>
      </c>
      <c r="J3184" s="900" t="s">
        <v>2755</v>
      </c>
      <c r="K3184" s="164" t="s">
        <v>2486</v>
      </c>
      <c r="L3184" s="164" t="s">
        <v>461</v>
      </c>
      <c r="M3184" s="164"/>
      <c r="N3184" s="164" t="s">
        <v>4552</v>
      </c>
      <c r="O3184" s="164"/>
      <c r="P3184" s="173" t="s">
        <v>6556</v>
      </c>
      <c r="Q3184" s="164" t="s">
        <v>3947</v>
      </c>
      <c r="R3184" s="177" t="s">
        <v>2723</v>
      </c>
      <c r="S3184" s="354" t="s">
        <v>3063</v>
      </c>
      <c r="T3184" s="173">
        <v>8</v>
      </c>
      <c r="U3184" s="173"/>
      <c r="V3184" s="173"/>
      <c r="W3184" s="313" t="s">
        <v>4123</v>
      </c>
      <c r="X3184" s="645" t="s">
        <v>12477</v>
      </c>
      <c r="Y3184" s="354"/>
      <c r="Z3184" s="176"/>
      <c r="AA3184" s="176"/>
      <c r="AB3184" s="32">
        <f t="shared" ca="1" si="72"/>
        <v>0.71471567274761838</v>
      </c>
      <c r="AC3184" s="812"/>
      <c r="AD3184" s="763"/>
      <c r="AE3184" s="807"/>
      <c r="AF3184" s="921">
        <f>IF(X3184=X3183,AF3183,0)+IF(ISNUMBER(I3184),IF(I3184&lt;1,I3184,I3184*VLOOKUP(J3184,Summary!$H$2:$I$9,2)),VLOOKUP(J3184,Summary!$J$2:$K$9,2)*IF(ISNUMBER(H3184),H3184,1))</f>
        <v>0.60090277777777767</v>
      </c>
      <c r="AG3184" s="289">
        <v>3183</v>
      </c>
      <c r="AH3184" s="94"/>
      <c r="AI3184" s="94"/>
    </row>
    <row r="3185" spans="1:35" s="57" customFormat="1" ht="12" customHeight="1" x14ac:dyDescent="0.25">
      <c r="A3185" s="539" t="s">
        <v>11443</v>
      </c>
      <c r="B3185" s="539">
        <v>7</v>
      </c>
      <c r="C3185" s="539">
        <v>2</v>
      </c>
      <c r="D3185" s="176" t="s">
        <v>9821</v>
      </c>
      <c r="E3185" s="313" t="s">
        <v>9822</v>
      </c>
      <c r="F3185" s="175">
        <v>41802</v>
      </c>
      <c r="G3185" s="174"/>
      <c r="H3185" s="176">
        <v>1</v>
      </c>
      <c r="I3185" s="176">
        <v>1</v>
      </c>
      <c r="J3185" s="900" t="s">
        <v>2755</v>
      </c>
      <c r="K3185" s="164" t="s">
        <v>9281</v>
      </c>
      <c r="L3185" s="164" t="s">
        <v>461</v>
      </c>
      <c r="M3185" s="164"/>
      <c r="N3185" s="164" t="s">
        <v>543</v>
      </c>
      <c r="O3185" s="164"/>
      <c r="P3185" s="173" t="s">
        <v>9278</v>
      </c>
      <c r="Q3185" s="164" t="s">
        <v>3953</v>
      </c>
      <c r="R3185" s="177" t="s">
        <v>9279</v>
      </c>
      <c r="S3185" s="354"/>
      <c r="T3185" s="173"/>
      <c r="U3185" s="173"/>
      <c r="V3185" s="173"/>
      <c r="W3185" s="313" t="s">
        <v>9822</v>
      </c>
      <c r="X3185" s="645" t="s">
        <v>12477</v>
      </c>
      <c r="Y3185" s="354" t="s">
        <v>6868</v>
      </c>
      <c r="Z3185" s="176"/>
      <c r="AA3185" s="176"/>
      <c r="AB3185" s="32">
        <f t="shared" ca="1" si="72"/>
        <v>0.46254404460765886</v>
      </c>
      <c r="AC3185" s="812"/>
      <c r="AD3185" s="763"/>
      <c r="AE3185" s="807"/>
      <c r="AF3185" s="921">
        <f>IF(X3185=X3184,AF3184,0)+IF(ISNUMBER(I3185),IF(I3185&lt;1,I3185,I3185*VLOOKUP(J3185,Summary!$H$2:$I$9,2)),VLOOKUP(J3185,Summary!$J$2:$K$9,2)*IF(ISNUMBER(H3185),H3185,1))</f>
        <v>0.60159722222222212</v>
      </c>
      <c r="AG3185" s="289">
        <v>3184</v>
      </c>
      <c r="AH3185" s="94"/>
      <c r="AI3185" s="94"/>
    </row>
    <row r="3186" spans="1:35" s="22" customFormat="1" ht="12" customHeight="1" x14ac:dyDescent="0.25">
      <c r="A3186" s="539" t="s">
        <v>11443</v>
      </c>
      <c r="B3186" s="539">
        <v>7</v>
      </c>
      <c r="C3186" s="539">
        <v>27</v>
      </c>
      <c r="D3186" s="176" t="s">
        <v>877</v>
      </c>
      <c r="E3186" s="313" t="s">
        <v>849</v>
      </c>
      <c r="F3186" s="174">
        <v>36100</v>
      </c>
      <c r="G3186" s="175"/>
      <c r="H3186" s="176" t="s">
        <v>461</v>
      </c>
      <c r="I3186" s="176"/>
      <c r="J3186" s="900" t="s">
        <v>2755</v>
      </c>
      <c r="K3186" s="164" t="s">
        <v>907</v>
      </c>
      <c r="L3186" s="870"/>
      <c r="M3186" s="164"/>
      <c r="N3186" s="164" t="s">
        <v>819</v>
      </c>
      <c r="O3186" s="164"/>
      <c r="P3186" s="178" t="s">
        <v>461</v>
      </c>
      <c r="Q3186" s="164" t="s">
        <v>820</v>
      </c>
      <c r="R3186" s="177" t="s">
        <v>895</v>
      </c>
      <c r="S3186" s="354"/>
      <c r="T3186" s="173"/>
      <c r="U3186" s="173"/>
      <c r="V3186" s="173"/>
      <c r="W3186" s="313" t="s">
        <v>849</v>
      </c>
      <c r="X3186" s="645" t="s">
        <v>12477</v>
      </c>
      <c r="Y3186" s="354"/>
      <c r="Z3186" s="176"/>
      <c r="AA3186" s="176"/>
      <c r="AB3186" s="32">
        <f t="shared" ca="1" si="72"/>
        <v>0.73025759775871568</v>
      </c>
      <c r="AC3186" s="812"/>
      <c r="AD3186" s="763"/>
      <c r="AE3186" s="807"/>
      <c r="AF3186" s="921">
        <f>IF(X3186=X3185,AF3185,0)+IF(ISNUMBER(I3186),IF(I3186&lt;1,I3186,I3186*VLOOKUP(J3186,Summary!$H$2:$I$9,2)),VLOOKUP(J3186,Summary!$J$2:$K$9,2)*IF(ISNUMBER(H3186),H3186,1))</f>
        <v>0.61895833333333328</v>
      </c>
      <c r="AG3186" s="289">
        <v>3185</v>
      </c>
      <c r="AH3186" s="94"/>
      <c r="AI3186" s="94"/>
    </row>
    <row r="3187" spans="1:35" s="3" customFormat="1" ht="12" customHeight="1" x14ac:dyDescent="0.25">
      <c r="A3187" s="539" t="s">
        <v>11443</v>
      </c>
      <c r="B3187" s="539">
        <v>7</v>
      </c>
      <c r="C3187" s="539">
        <v>30.17</v>
      </c>
      <c r="D3187" s="176" t="s">
        <v>5369</v>
      </c>
      <c r="E3187" s="313" t="s">
        <v>613</v>
      </c>
      <c r="F3187" s="174">
        <v>39783</v>
      </c>
      <c r="G3187" s="174"/>
      <c r="H3187" s="176" t="s">
        <v>461</v>
      </c>
      <c r="I3187" s="176">
        <v>18</v>
      </c>
      <c r="J3187" s="900" t="s">
        <v>2755</v>
      </c>
      <c r="K3187" s="164" t="s">
        <v>2939</v>
      </c>
      <c r="L3187" s="164" t="s">
        <v>461</v>
      </c>
      <c r="M3187" s="164"/>
      <c r="N3187" s="164" t="s">
        <v>4944</v>
      </c>
      <c r="O3187" s="164"/>
      <c r="P3187" s="173" t="s">
        <v>6702</v>
      </c>
      <c r="Q3187" s="164" t="s">
        <v>3947</v>
      </c>
      <c r="R3187" s="177" t="s">
        <v>2723</v>
      </c>
      <c r="S3187" s="354"/>
      <c r="T3187" s="173"/>
      <c r="U3187" s="173"/>
      <c r="V3187" s="173"/>
      <c r="W3187" s="313" t="s">
        <v>613</v>
      </c>
      <c r="X3187" s="645" t="s">
        <v>12477</v>
      </c>
      <c r="Y3187" s="354"/>
      <c r="Z3187" s="176"/>
      <c r="AA3187" s="176"/>
      <c r="AB3187" s="32">
        <f t="shared" ca="1" si="72"/>
        <v>0.93603031499978795</v>
      </c>
      <c r="AC3187" s="812"/>
      <c r="AD3187" s="763"/>
      <c r="AE3187" s="807"/>
      <c r="AF3187" s="921">
        <f>IF(X3187=X3186,AF3186,0)+IF(ISNUMBER(I3187),IF(I3187&lt;1,I3187,I3187*VLOOKUP(J3187,Summary!$H$2:$I$9,2)),VLOOKUP(J3187,Summary!$J$2:$K$9,2)*IF(ISNUMBER(H3187),H3187,1))</f>
        <v>0.63145833333333323</v>
      </c>
      <c r="AG3187" s="289">
        <v>3186</v>
      </c>
      <c r="AH3187" s="94"/>
      <c r="AI3187" s="94"/>
    </row>
    <row r="3188" spans="1:35" s="22" customFormat="1" ht="12" customHeight="1" x14ac:dyDescent="0.25">
      <c r="A3188" s="539" t="s">
        <v>11443</v>
      </c>
      <c r="B3188" s="539">
        <v>7</v>
      </c>
      <c r="C3188" s="542">
        <v>6.14</v>
      </c>
      <c r="D3188" s="176" t="s">
        <v>4777</v>
      </c>
      <c r="E3188" s="313" t="s">
        <v>3537</v>
      </c>
      <c r="F3188" s="174">
        <v>37773</v>
      </c>
      <c r="G3188" s="174"/>
      <c r="H3188" s="176">
        <v>1</v>
      </c>
      <c r="I3188" s="176">
        <v>2</v>
      </c>
      <c r="J3188" s="900" t="s">
        <v>2755</v>
      </c>
      <c r="K3188" s="164" t="s">
        <v>3538</v>
      </c>
      <c r="L3188" s="164" t="s">
        <v>461</v>
      </c>
      <c r="M3188" s="164"/>
      <c r="N3188" s="164" t="s">
        <v>4996</v>
      </c>
      <c r="O3188" s="164"/>
      <c r="P3188" s="173" t="s">
        <v>4997</v>
      </c>
      <c r="Q3188" s="164" t="s">
        <v>3947</v>
      </c>
      <c r="R3188" s="179" t="s">
        <v>2723</v>
      </c>
      <c r="S3188" s="354"/>
      <c r="T3188" s="173"/>
      <c r="U3188" s="173"/>
      <c r="V3188" s="173"/>
      <c r="W3188" s="313" t="s">
        <v>3537</v>
      </c>
      <c r="X3188" s="645" t="s">
        <v>12477</v>
      </c>
      <c r="Y3188" s="354"/>
      <c r="Z3188" s="176">
        <v>999</v>
      </c>
      <c r="AA3188" s="176"/>
      <c r="AB3188" s="32">
        <f t="shared" ca="1" si="72"/>
        <v>0.22657052801289423</v>
      </c>
      <c r="AC3188" s="812"/>
      <c r="AD3188" s="763"/>
      <c r="AE3188" s="807"/>
      <c r="AF3188" s="921">
        <f>IF(X3188=X3187,AF3187,0)+IF(ISNUMBER(I3188),IF(I3188&lt;1,I3188,I3188*VLOOKUP(J3188,Summary!$H$2:$I$9,2)),VLOOKUP(J3188,Summary!$J$2:$K$9,2)*IF(ISNUMBER(H3188),H3188,1))</f>
        <v>0.63284722222222212</v>
      </c>
      <c r="AG3188" s="289">
        <v>3187</v>
      </c>
      <c r="AH3188" s="94"/>
      <c r="AI3188" s="94"/>
    </row>
    <row r="3189" spans="1:35" s="29" customFormat="1" ht="12" customHeight="1" x14ac:dyDescent="0.25">
      <c r="A3189" s="538" t="s">
        <v>11443</v>
      </c>
      <c r="B3189" s="538">
        <v>7</v>
      </c>
      <c r="C3189" s="538"/>
      <c r="D3189" s="619"/>
      <c r="E3189" s="345" t="s">
        <v>15649</v>
      </c>
      <c r="F3189" s="219">
        <v>35769</v>
      </c>
      <c r="G3189" s="219"/>
      <c r="H3189" s="210" t="s">
        <v>461</v>
      </c>
      <c r="I3189" s="210"/>
      <c r="J3189" s="908" t="s">
        <v>3346</v>
      </c>
      <c r="K3189" s="166" t="s">
        <v>1088</v>
      </c>
      <c r="L3189" s="166"/>
      <c r="M3189" s="166"/>
      <c r="N3189" s="166"/>
      <c r="O3189" s="166"/>
      <c r="P3189" s="267" t="s">
        <v>461</v>
      </c>
      <c r="Q3189" s="166" t="s">
        <v>15650</v>
      </c>
      <c r="R3189" s="268" t="s">
        <v>15637</v>
      </c>
      <c r="S3189" s="386"/>
      <c r="T3189" s="267" t="s">
        <v>2597</v>
      </c>
      <c r="U3189" s="267"/>
      <c r="V3189" s="803" t="s">
        <v>3392</v>
      </c>
      <c r="W3189" s="345" t="s">
        <v>15649</v>
      </c>
      <c r="X3189" s="680" t="s">
        <v>12477</v>
      </c>
      <c r="Y3189" s="384"/>
      <c r="Z3189" s="385"/>
      <c r="AA3189" s="385"/>
      <c r="AB3189" s="41">
        <f t="shared" ca="1" si="72"/>
        <v>0.11808885048904394</v>
      </c>
      <c r="AC3189" s="832"/>
      <c r="AD3189" s="833"/>
      <c r="AE3189" s="956"/>
      <c r="AF3189" s="929">
        <f>IF(X3189=X3188,AF3188,0)+IF(ISNUMBER(I3189),IF(I3189&lt;1,I3189,I3189*VLOOKUP(J3189,Summary!$H$2:$I$9,2)),VLOOKUP(J3189,Summary!$J$2:$K$9,2)*IF(ISNUMBER(H3189),H3189,1))</f>
        <v>0.67451388888888875</v>
      </c>
      <c r="AG3189" s="307">
        <v>3188</v>
      </c>
      <c r="AH3189" s="94"/>
      <c r="AI3189" s="94"/>
    </row>
    <row r="3190" spans="1:35" s="1" customFormat="1" ht="12" customHeight="1" x14ac:dyDescent="0.25">
      <c r="A3190" s="465"/>
      <c r="B3190" s="465" t="s">
        <v>4885</v>
      </c>
      <c r="C3190" s="465">
        <v>2</v>
      </c>
      <c r="D3190" s="407" t="s">
        <v>5552</v>
      </c>
      <c r="E3190" s="315" t="s">
        <v>5553</v>
      </c>
      <c r="F3190" s="169">
        <v>37773</v>
      </c>
      <c r="G3190" s="170"/>
      <c r="H3190" s="170">
        <v>1</v>
      </c>
      <c r="I3190" s="746">
        <f>TIME(0,73,54)</f>
        <v>5.1319444444444445E-2</v>
      </c>
      <c r="J3190" s="899" t="s">
        <v>4706</v>
      </c>
      <c r="K3190" s="167" t="s">
        <v>6352</v>
      </c>
      <c r="L3190" s="167" t="s">
        <v>7375</v>
      </c>
      <c r="M3190" s="167"/>
      <c r="N3190" s="167"/>
      <c r="O3190" s="167"/>
      <c r="P3190" s="168" t="s">
        <v>8876</v>
      </c>
      <c r="Q3190" s="167" t="s">
        <v>3947</v>
      </c>
      <c r="R3190" s="172" t="s">
        <v>3145</v>
      </c>
      <c r="S3190" s="388"/>
      <c r="T3190" s="168" t="s">
        <v>2597</v>
      </c>
      <c r="U3190" s="168"/>
      <c r="V3190" s="168"/>
      <c r="W3190" s="315" t="s">
        <v>5553</v>
      </c>
      <c r="X3190" s="647" t="s">
        <v>12478</v>
      </c>
      <c r="Y3190" s="352" t="s">
        <v>5643</v>
      </c>
      <c r="Z3190" s="353">
        <v>565</v>
      </c>
      <c r="AA3190" s="353">
        <v>3.5</v>
      </c>
      <c r="AB3190" s="31">
        <f t="shared" ca="1" si="72"/>
        <v>2.8730564901493505E-2</v>
      </c>
      <c r="AC3190" s="810"/>
      <c r="AD3190" s="811"/>
      <c r="AE3190" s="940"/>
      <c r="AF3190" s="920">
        <f>IF(X3190=X3189,AF3189,0)+IF(ISNUMBER(I3190),IF(I3190&lt;1,I3190,I3190*VLOOKUP(J3190,Summary!$H$2:$I$9,2)),VLOOKUP(J3190,Summary!$J$2:$K$9,2)*IF(ISNUMBER(H3190),H3190,1))</f>
        <v>5.1319444444444445E-2</v>
      </c>
      <c r="AG3190" s="287">
        <v>3189</v>
      </c>
      <c r="AH3190" s="94"/>
      <c r="AI3190" s="94"/>
    </row>
    <row r="3191" spans="1:35" s="1" customFormat="1" ht="12" customHeight="1" x14ac:dyDescent="0.25">
      <c r="A3191" s="465"/>
      <c r="B3191" s="465" t="s">
        <v>4885</v>
      </c>
      <c r="C3191" s="465">
        <v>8</v>
      </c>
      <c r="D3191" s="407" t="s">
        <v>5554</v>
      </c>
      <c r="E3191" s="315" t="s">
        <v>5555</v>
      </c>
      <c r="F3191" s="169">
        <v>39783</v>
      </c>
      <c r="G3191" s="170"/>
      <c r="H3191" s="170">
        <v>2</v>
      </c>
      <c r="I3191" s="746">
        <f>TIME(0,142,39)</f>
        <v>9.9062499999999998E-2</v>
      </c>
      <c r="J3191" s="899" t="s">
        <v>4706</v>
      </c>
      <c r="K3191" s="167" t="s">
        <v>6353</v>
      </c>
      <c r="L3191" s="167" t="s">
        <v>6354</v>
      </c>
      <c r="M3191" s="167"/>
      <c r="N3191" s="167"/>
      <c r="O3191" s="167"/>
      <c r="P3191" s="168" t="s">
        <v>8882</v>
      </c>
      <c r="Q3191" s="167" t="s">
        <v>3947</v>
      </c>
      <c r="R3191" s="172" t="s">
        <v>3145</v>
      </c>
      <c r="S3191" s="388"/>
      <c r="T3191" s="168" t="s">
        <v>2597</v>
      </c>
      <c r="U3191" s="168"/>
      <c r="V3191" s="168"/>
      <c r="W3191" s="315" t="s">
        <v>12092</v>
      </c>
      <c r="X3191" s="647" t="s">
        <v>12478</v>
      </c>
      <c r="Y3191" s="352" t="s">
        <v>5643</v>
      </c>
      <c r="Z3191" s="353">
        <v>573</v>
      </c>
      <c r="AA3191" s="353">
        <v>3.5</v>
      </c>
      <c r="AB3191" s="31">
        <f t="shared" ca="1" si="72"/>
        <v>0.98992347088643073</v>
      </c>
      <c r="AC3191" s="810"/>
      <c r="AD3191" s="811"/>
      <c r="AE3191" s="940"/>
      <c r="AF3191" s="920">
        <f>IF(X3191=X3190,AF3190,0)+IF(ISNUMBER(I3191),IF(I3191&lt;1,I3191,I3191*VLOOKUP(J3191,Summary!$H$2:$I$9,2)),VLOOKUP(J3191,Summary!$J$2:$K$9,2)*IF(ISNUMBER(H3191),H3191,1))</f>
        <v>0.15038194444444444</v>
      </c>
      <c r="AG3191" s="287">
        <v>3190</v>
      </c>
      <c r="AH3191" s="94"/>
      <c r="AI3191" s="94"/>
    </row>
    <row r="3192" spans="1:35" s="1" customFormat="1" ht="12" customHeight="1" x14ac:dyDescent="0.25">
      <c r="A3192" s="465"/>
      <c r="B3192" s="465" t="s">
        <v>4885</v>
      </c>
      <c r="C3192" s="465">
        <v>3.1</v>
      </c>
      <c r="D3192" s="407" t="s">
        <v>10572</v>
      </c>
      <c r="E3192" s="315" t="s">
        <v>10576</v>
      </c>
      <c r="F3192" s="196">
        <v>42607</v>
      </c>
      <c r="G3192" s="170"/>
      <c r="H3192" s="170">
        <v>1</v>
      </c>
      <c r="I3192" s="747">
        <f>TIME(0,60,0)</f>
        <v>4.1666666666666664E-2</v>
      </c>
      <c r="J3192" s="899" t="s">
        <v>4706</v>
      </c>
      <c r="K3192" s="167" t="s">
        <v>1643</v>
      </c>
      <c r="L3192" s="167" t="s">
        <v>179</v>
      </c>
      <c r="M3192" s="167"/>
      <c r="N3192" s="167"/>
      <c r="O3192" s="167"/>
      <c r="P3192" s="168" t="s">
        <v>10571</v>
      </c>
      <c r="Q3192" s="167" t="s">
        <v>3947</v>
      </c>
      <c r="R3192" s="172" t="s">
        <v>9691</v>
      </c>
      <c r="S3192" s="388"/>
      <c r="T3192" s="168" t="s">
        <v>2611</v>
      </c>
      <c r="U3192" s="168"/>
      <c r="V3192" s="168"/>
      <c r="W3192" s="315" t="s">
        <v>10576</v>
      </c>
      <c r="X3192" s="647" t="s">
        <v>12478</v>
      </c>
      <c r="Y3192" s="352" t="s">
        <v>5643</v>
      </c>
      <c r="Z3192" s="353">
        <v>503</v>
      </c>
      <c r="AA3192" s="353">
        <v>4</v>
      </c>
      <c r="AB3192" s="31">
        <f t="shared" ca="1" si="72"/>
        <v>0.14349955035658524</v>
      </c>
      <c r="AC3192" s="810"/>
      <c r="AD3192" s="811"/>
      <c r="AE3192" s="940"/>
      <c r="AF3192" s="920">
        <f>IF(X3192=X3191,AF3191,0)+IF(ISNUMBER(I3192),IF(I3192&lt;1,I3192,I3192*VLOOKUP(J3192,Summary!$H$2:$I$9,2)),VLOOKUP(J3192,Summary!$J$2:$K$9,2)*IF(ISNUMBER(H3192),H3192,1))</f>
        <v>0.1920486111111111</v>
      </c>
      <c r="AG3192" s="287">
        <v>3191</v>
      </c>
      <c r="AH3192" s="94"/>
      <c r="AI3192" s="94"/>
    </row>
    <row r="3193" spans="1:35" s="1" customFormat="1" ht="12" customHeight="1" x14ac:dyDescent="0.25">
      <c r="A3193" s="465"/>
      <c r="B3193" s="465" t="s">
        <v>4885</v>
      </c>
      <c r="C3193" s="465">
        <v>3.2</v>
      </c>
      <c r="D3193" s="407" t="s">
        <v>10573</v>
      </c>
      <c r="E3193" s="315" t="s">
        <v>10577</v>
      </c>
      <c r="F3193" s="196">
        <v>42607</v>
      </c>
      <c r="G3193" s="170"/>
      <c r="H3193" s="170">
        <v>1</v>
      </c>
      <c r="I3193" s="747">
        <f>TIME(0,60,0)</f>
        <v>4.1666666666666664E-2</v>
      </c>
      <c r="J3193" s="899" t="s">
        <v>4706</v>
      </c>
      <c r="K3193" s="167" t="s">
        <v>1826</v>
      </c>
      <c r="L3193" s="167" t="s">
        <v>179</v>
      </c>
      <c r="M3193" s="167"/>
      <c r="N3193" s="167"/>
      <c r="O3193" s="167"/>
      <c r="P3193" s="168" t="s">
        <v>10571</v>
      </c>
      <c r="Q3193" s="167" t="s">
        <v>3947</v>
      </c>
      <c r="R3193" s="172" t="s">
        <v>9691</v>
      </c>
      <c r="S3193" s="388"/>
      <c r="T3193" s="168" t="s">
        <v>2611</v>
      </c>
      <c r="U3193" s="168"/>
      <c r="V3193" s="168"/>
      <c r="W3193" s="315" t="s">
        <v>10577</v>
      </c>
      <c r="X3193" s="647" t="s">
        <v>12478</v>
      </c>
      <c r="Y3193" s="352" t="s">
        <v>5643</v>
      </c>
      <c r="Z3193" s="353">
        <v>61</v>
      </c>
      <c r="AA3193" s="353">
        <v>8</v>
      </c>
      <c r="AB3193" s="31">
        <f t="shared" ca="1" si="72"/>
        <v>0.80818633355932246</v>
      </c>
      <c r="AC3193" s="810"/>
      <c r="AD3193" s="811"/>
      <c r="AE3193" s="940"/>
      <c r="AF3193" s="920">
        <f>IF(X3193=X3192,AF3192,0)+IF(ISNUMBER(I3193),IF(I3193&lt;1,I3193,I3193*VLOOKUP(J3193,Summary!$H$2:$I$9,2)),VLOOKUP(J3193,Summary!$J$2:$K$9,2)*IF(ISNUMBER(H3193),H3193,1))</f>
        <v>0.23371527777777776</v>
      </c>
      <c r="AG3193" s="287">
        <v>3192</v>
      </c>
      <c r="AH3193" s="94"/>
      <c r="AI3193" s="94"/>
    </row>
    <row r="3194" spans="1:35" s="3" customFormat="1" ht="12" customHeight="1" x14ac:dyDescent="0.25">
      <c r="A3194" s="465"/>
      <c r="B3194" s="465" t="s">
        <v>4885</v>
      </c>
      <c r="C3194" s="465">
        <v>3.3</v>
      </c>
      <c r="D3194" s="407" t="s">
        <v>10574</v>
      </c>
      <c r="E3194" s="315" t="s">
        <v>10578</v>
      </c>
      <c r="F3194" s="196">
        <v>42607</v>
      </c>
      <c r="G3194" s="170"/>
      <c r="H3194" s="170">
        <v>1</v>
      </c>
      <c r="I3194" s="747">
        <f>TIME(0,60,0)</f>
        <v>4.1666666666666664E-2</v>
      </c>
      <c r="J3194" s="899" t="s">
        <v>4706</v>
      </c>
      <c r="K3194" s="167" t="s">
        <v>7797</v>
      </c>
      <c r="L3194" s="167" t="s">
        <v>179</v>
      </c>
      <c r="M3194" s="167"/>
      <c r="N3194" s="167"/>
      <c r="O3194" s="167"/>
      <c r="P3194" s="168" t="s">
        <v>10571</v>
      </c>
      <c r="Q3194" s="167" t="s">
        <v>3947</v>
      </c>
      <c r="R3194" s="172" t="s">
        <v>9691</v>
      </c>
      <c r="S3194" s="388"/>
      <c r="T3194" s="168" t="s">
        <v>2611</v>
      </c>
      <c r="U3194" s="168"/>
      <c r="V3194" s="168"/>
      <c r="W3194" s="315" t="s">
        <v>10578</v>
      </c>
      <c r="X3194" s="647" t="s">
        <v>12478</v>
      </c>
      <c r="Y3194" s="352" t="s">
        <v>5643</v>
      </c>
      <c r="Z3194" s="353">
        <v>197</v>
      </c>
      <c r="AA3194" s="353">
        <v>6</v>
      </c>
      <c r="AB3194" s="31">
        <f t="shared" ca="1" si="72"/>
        <v>4.2356837091518162E-2</v>
      </c>
      <c r="AC3194" s="810"/>
      <c r="AD3194" s="811"/>
      <c r="AE3194" s="940"/>
      <c r="AF3194" s="920">
        <f>IF(X3194=X3193,AF3193,0)+IF(ISNUMBER(I3194),IF(I3194&lt;1,I3194,I3194*VLOOKUP(J3194,Summary!$H$2:$I$9,2)),VLOOKUP(J3194,Summary!$J$2:$K$9,2)*IF(ISNUMBER(H3194),H3194,1))</f>
        <v>0.27538194444444442</v>
      </c>
      <c r="AG3194" s="287">
        <v>3193</v>
      </c>
      <c r="AH3194" s="94"/>
      <c r="AI3194" s="94"/>
    </row>
    <row r="3195" spans="1:35" s="22" customFormat="1" ht="12" customHeight="1" x14ac:dyDescent="0.2">
      <c r="A3195" s="465"/>
      <c r="B3195" s="465" t="s">
        <v>4885</v>
      </c>
      <c r="C3195" s="465">
        <v>3.4</v>
      </c>
      <c r="D3195" s="407" t="s">
        <v>10575</v>
      </c>
      <c r="E3195" s="315" t="s">
        <v>10579</v>
      </c>
      <c r="F3195" s="196">
        <v>42607</v>
      </c>
      <c r="G3195" s="170"/>
      <c r="H3195" s="170">
        <v>1</v>
      </c>
      <c r="I3195" s="747">
        <f>TIME(0,60,0)</f>
        <v>4.1666666666666664E-2</v>
      </c>
      <c r="J3195" s="899" t="s">
        <v>4706</v>
      </c>
      <c r="K3195" s="167" t="s">
        <v>10580</v>
      </c>
      <c r="L3195" s="167" t="s">
        <v>179</v>
      </c>
      <c r="M3195" s="167"/>
      <c r="N3195" s="167"/>
      <c r="O3195" s="167"/>
      <c r="P3195" s="168" t="s">
        <v>10571</v>
      </c>
      <c r="Q3195" s="167" t="s">
        <v>3947</v>
      </c>
      <c r="R3195" s="172" t="s">
        <v>9691</v>
      </c>
      <c r="S3195" s="388"/>
      <c r="T3195" s="168" t="s">
        <v>2611</v>
      </c>
      <c r="U3195" s="168"/>
      <c r="V3195" s="168"/>
      <c r="W3195" s="315" t="s">
        <v>10579</v>
      </c>
      <c r="X3195" s="647" t="s">
        <v>12478</v>
      </c>
      <c r="Y3195" s="352" t="s">
        <v>5643</v>
      </c>
      <c r="Z3195" s="353">
        <v>65</v>
      </c>
      <c r="AA3195" s="353">
        <v>8</v>
      </c>
      <c r="AB3195" s="31">
        <f t="shared" ca="1" si="72"/>
        <v>0.16232206751011269</v>
      </c>
      <c r="AC3195" s="810"/>
      <c r="AD3195" s="811"/>
      <c r="AE3195" s="940"/>
      <c r="AF3195" s="920">
        <f>IF(X3195=X3194,AF3194,0)+IF(ISNUMBER(I3195),IF(I3195&lt;1,I3195,I3195*VLOOKUP(J3195,Summary!$H$2:$I$9,2)),VLOOKUP(J3195,Summary!$J$2:$K$9,2)*IF(ISNUMBER(H3195),H3195,1))</f>
        <v>0.3170486111111111</v>
      </c>
      <c r="AG3195" s="287">
        <v>3194</v>
      </c>
      <c r="AH3195" s="94"/>
      <c r="AI3195" s="94"/>
    </row>
    <row r="3196" spans="1:35" s="1" customFormat="1" ht="12" customHeight="1" x14ac:dyDescent="0.25">
      <c r="A3196" s="409"/>
      <c r="B3196" s="410" t="s">
        <v>6146</v>
      </c>
      <c r="C3196" s="556">
        <v>10.01</v>
      </c>
      <c r="D3196" s="434" t="s">
        <v>13357</v>
      </c>
      <c r="E3196" s="324" t="s">
        <v>13368</v>
      </c>
      <c r="F3196" s="175">
        <v>42998</v>
      </c>
      <c r="G3196" s="176"/>
      <c r="H3196" s="176" t="s">
        <v>461</v>
      </c>
      <c r="I3196" s="176"/>
      <c r="J3196" s="900" t="s">
        <v>2755</v>
      </c>
      <c r="K3196" s="157" t="s">
        <v>4944</v>
      </c>
      <c r="L3196" s="157" t="s">
        <v>461</v>
      </c>
      <c r="M3196" s="157"/>
      <c r="N3196" s="157" t="s">
        <v>4944</v>
      </c>
      <c r="O3196" s="157"/>
      <c r="P3196" s="173" t="s">
        <v>13356</v>
      </c>
      <c r="Q3196" s="157" t="s">
        <v>3947</v>
      </c>
      <c r="R3196" s="179" t="s">
        <v>6720</v>
      </c>
      <c r="S3196" s="354"/>
      <c r="T3196" s="173" t="s">
        <v>2611</v>
      </c>
      <c r="U3196" s="173"/>
      <c r="V3196" s="173"/>
      <c r="W3196" s="324" t="s">
        <v>13368</v>
      </c>
      <c r="X3196" s="656" t="s">
        <v>12478</v>
      </c>
      <c r="Y3196" s="363"/>
      <c r="Z3196" s="364"/>
      <c r="AA3196" s="364"/>
      <c r="AB3196" s="32">
        <f t="shared" ca="1" si="72"/>
        <v>0.94634434511194809</v>
      </c>
      <c r="AC3196" s="812"/>
      <c r="AD3196" s="763"/>
      <c r="AE3196" s="951"/>
      <c r="AF3196" s="921">
        <f>IF(X3196=X3195,AF3195,0)+IF(ISNUMBER(I3196),IF(I3196&lt;1,I3196,I3196*VLOOKUP(J3196,Summary!$H$2:$I$9,2)),VLOOKUP(J3196,Summary!$J$2:$K$9,2)*IF(ISNUMBER(H3196),H3196,1))</f>
        <v>0.33440972222222221</v>
      </c>
      <c r="AG3196" s="288">
        <v>3195</v>
      </c>
      <c r="AH3196" s="94"/>
      <c r="AI3196" s="94"/>
    </row>
    <row r="3197" spans="1:35" s="1" customFormat="1" ht="12" customHeight="1" x14ac:dyDescent="0.25">
      <c r="A3197" s="409"/>
      <c r="B3197" s="410" t="s">
        <v>6146</v>
      </c>
      <c r="C3197" s="556">
        <v>10.02</v>
      </c>
      <c r="D3197" s="434" t="s">
        <v>13358</v>
      </c>
      <c r="E3197" s="324" t="s">
        <v>13369</v>
      </c>
      <c r="F3197" s="175">
        <v>42998</v>
      </c>
      <c r="G3197" s="176"/>
      <c r="H3197" s="176" t="s">
        <v>461</v>
      </c>
      <c r="I3197" s="176"/>
      <c r="J3197" s="900" t="s">
        <v>2755</v>
      </c>
      <c r="K3197" s="157" t="s">
        <v>13364</v>
      </c>
      <c r="L3197" s="157" t="s">
        <v>461</v>
      </c>
      <c r="M3197" s="157"/>
      <c r="N3197" s="157" t="s">
        <v>4944</v>
      </c>
      <c r="O3197" s="157"/>
      <c r="P3197" s="173" t="s">
        <v>13356</v>
      </c>
      <c r="Q3197" s="157" t="s">
        <v>3947</v>
      </c>
      <c r="R3197" s="179" t="s">
        <v>6720</v>
      </c>
      <c r="S3197" s="354"/>
      <c r="T3197" s="173" t="s">
        <v>2611</v>
      </c>
      <c r="U3197" s="173"/>
      <c r="V3197" s="173"/>
      <c r="W3197" s="324" t="s">
        <v>13369</v>
      </c>
      <c r="X3197" s="656" t="s">
        <v>12478</v>
      </c>
      <c r="Y3197" s="363"/>
      <c r="Z3197" s="364"/>
      <c r="AA3197" s="364"/>
      <c r="AB3197" s="32">
        <f t="shared" ca="1" si="72"/>
        <v>0.62777907805202604</v>
      </c>
      <c r="AC3197" s="812"/>
      <c r="AD3197" s="763"/>
      <c r="AE3197" s="951"/>
      <c r="AF3197" s="921">
        <f>IF(X3197=X3196,AF3196,0)+IF(ISNUMBER(I3197),IF(I3197&lt;1,I3197,I3197*VLOOKUP(J3197,Summary!$H$2:$I$9,2)),VLOOKUP(J3197,Summary!$J$2:$K$9,2)*IF(ISNUMBER(H3197),H3197,1))</f>
        <v>0.35177083333333331</v>
      </c>
      <c r="AG3197" s="288">
        <v>3196</v>
      </c>
      <c r="AH3197" s="94"/>
      <c r="AI3197" s="94"/>
    </row>
    <row r="3198" spans="1:35" s="22" customFormat="1" ht="12" customHeight="1" x14ac:dyDescent="0.25">
      <c r="A3198" s="409"/>
      <c r="B3198" s="410" t="s">
        <v>6146</v>
      </c>
      <c r="C3198" s="556">
        <v>10.029999999999999</v>
      </c>
      <c r="D3198" s="434" t="s">
        <v>13359</v>
      </c>
      <c r="E3198" s="324" t="s">
        <v>13370</v>
      </c>
      <c r="F3198" s="175">
        <v>42998</v>
      </c>
      <c r="G3198" s="176"/>
      <c r="H3198" s="176" t="s">
        <v>461</v>
      </c>
      <c r="I3198" s="176"/>
      <c r="J3198" s="900" t="s">
        <v>2755</v>
      </c>
      <c r="K3198" s="157" t="s">
        <v>13365</v>
      </c>
      <c r="L3198" s="157" t="s">
        <v>461</v>
      </c>
      <c r="M3198" s="157"/>
      <c r="N3198" s="157" t="s">
        <v>4944</v>
      </c>
      <c r="O3198" s="157"/>
      <c r="P3198" s="173" t="s">
        <v>13356</v>
      </c>
      <c r="Q3198" s="157" t="s">
        <v>3947</v>
      </c>
      <c r="R3198" s="179" t="s">
        <v>6720</v>
      </c>
      <c r="S3198" s="354"/>
      <c r="T3198" s="173" t="s">
        <v>2611</v>
      </c>
      <c r="U3198" s="173"/>
      <c r="V3198" s="173"/>
      <c r="W3198" s="324" t="s">
        <v>13370</v>
      </c>
      <c r="X3198" s="656" t="s">
        <v>12478</v>
      </c>
      <c r="Y3198" s="363"/>
      <c r="Z3198" s="364"/>
      <c r="AA3198" s="364"/>
      <c r="AB3198" s="32">
        <f t="shared" ca="1" si="72"/>
        <v>0.38450111509148932</v>
      </c>
      <c r="AC3198" s="812"/>
      <c r="AD3198" s="763"/>
      <c r="AE3198" s="951"/>
      <c r="AF3198" s="921">
        <f>IF(X3198=X3197,AF3197,0)+IF(ISNUMBER(I3198),IF(I3198&lt;1,I3198,I3198*VLOOKUP(J3198,Summary!$H$2:$I$9,2)),VLOOKUP(J3198,Summary!$J$2:$K$9,2)*IF(ISNUMBER(H3198),H3198,1))</f>
        <v>0.36913194444444442</v>
      </c>
      <c r="AG3198" s="288">
        <v>3197</v>
      </c>
      <c r="AH3198" s="94"/>
      <c r="AI3198" s="94"/>
    </row>
    <row r="3199" spans="1:35" s="1" customFormat="1" ht="12" customHeight="1" x14ac:dyDescent="0.25">
      <c r="A3199" s="409"/>
      <c r="B3199" s="410" t="s">
        <v>6146</v>
      </c>
      <c r="C3199" s="556">
        <v>10.039999999999999</v>
      </c>
      <c r="D3199" s="434" t="s">
        <v>13360</v>
      </c>
      <c r="E3199" s="324" t="s">
        <v>13371</v>
      </c>
      <c r="F3199" s="175">
        <v>42998</v>
      </c>
      <c r="G3199" s="176"/>
      <c r="H3199" s="176" t="s">
        <v>461</v>
      </c>
      <c r="I3199" s="176"/>
      <c r="J3199" s="900" t="s">
        <v>2755</v>
      </c>
      <c r="K3199" s="157" t="s">
        <v>2554</v>
      </c>
      <c r="L3199" s="157" t="s">
        <v>461</v>
      </c>
      <c r="M3199" s="157"/>
      <c r="N3199" s="157" t="s">
        <v>4944</v>
      </c>
      <c r="O3199" s="157"/>
      <c r="P3199" s="173" t="s">
        <v>13356</v>
      </c>
      <c r="Q3199" s="157" t="s">
        <v>3947</v>
      </c>
      <c r="R3199" s="179" t="s">
        <v>6720</v>
      </c>
      <c r="S3199" s="354"/>
      <c r="T3199" s="173" t="s">
        <v>2611</v>
      </c>
      <c r="U3199" s="173"/>
      <c r="V3199" s="173"/>
      <c r="W3199" s="324" t="s">
        <v>13371</v>
      </c>
      <c r="X3199" s="656" t="s">
        <v>12478</v>
      </c>
      <c r="Y3199" s="363"/>
      <c r="Z3199" s="364"/>
      <c r="AA3199" s="364"/>
      <c r="AB3199" s="32">
        <f t="shared" ca="1" si="72"/>
        <v>0.62694837672023729</v>
      </c>
      <c r="AC3199" s="812"/>
      <c r="AD3199" s="763"/>
      <c r="AE3199" s="951"/>
      <c r="AF3199" s="921">
        <f>IF(X3199=X3198,AF3198,0)+IF(ISNUMBER(I3199),IF(I3199&lt;1,I3199,I3199*VLOOKUP(J3199,Summary!$H$2:$I$9,2)),VLOOKUP(J3199,Summary!$J$2:$K$9,2)*IF(ISNUMBER(H3199),H3199,1))</f>
        <v>0.38649305555555552</v>
      </c>
      <c r="AG3199" s="288">
        <v>3198</v>
      </c>
      <c r="AH3199" s="94"/>
      <c r="AI3199" s="94"/>
    </row>
    <row r="3200" spans="1:35" s="1" customFormat="1" ht="12" customHeight="1" x14ac:dyDescent="0.25">
      <c r="A3200" s="409"/>
      <c r="B3200" s="410" t="s">
        <v>6146</v>
      </c>
      <c r="C3200" s="556">
        <v>10.050000000000001</v>
      </c>
      <c r="D3200" s="434" t="s">
        <v>13361</v>
      </c>
      <c r="E3200" s="324" t="s">
        <v>13372</v>
      </c>
      <c r="F3200" s="175">
        <v>42998</v>
      </c>
      <c r="G3200" s="176"/>
      <c r="H3200" s="176" t="s">
        <v>461</v>
      </c>
      <c r="I3200" s="176"/>
      <c r="J3200" s="900" t="s">
        <v>2755</v>
      </c>
      <c r="K3200" s="157" t="s">
        <v>13366</v>
      </c>
      <c r="L3200" s="157" t="s">
        <v>461</v>
      </c>
      <c r="M3200" s="157"/>
      <c r="N3200" s="157" t="s">
        <v>4944</v>
      </c>
      <c r="O3200" s="157"/>
      <c r="P3200" s="173" t="s">
        <v>13356</v>
      </c>
      <c r="Q3200" s="157" t="s">
        <v>3947</v>
      </c>
      <c r="R3200" s="179" t="s">
        <v>6720</v>
      </c>
      <c r="S3200" s="354"/>
      <c r="T3200" s="173" t="s">
        <v>2611</v>
      </c>
      <c r="U3200" s="173"/>
      <c r="V3200" s="173"/>
      <c r="W3200" s="324" t="s">
        <v>13372</v>
      </c>
      <c r="X3200" s="656" t="s">
        <v>12478</v>
      </c>
      <c r="Y3200" s="363"/>
      <c r="Z3200" s="364"/>
      <c r="AA3200" s="364"/>
      <c r="AB3200" s="32">
        <f t="shared" ca="1" si="72"/>
        <v>8.8858298058233753E-2</v>
      </c>
      <c r="AC3200" s="812"/>
      <c r="AD3200" s="763"/>
      <c r="AE3200" s="951"/>
      <c r="AF3200" s="921">
        <f>IF(X3200=X3199,AF3199,0)+IF(ISNUMBER(I3200),IF(I3200&lt;1,I3200,I3200*VLOOKUP(J3200,Summary!$H$2:$I$9,2)),VLOOKUP(J3200,Summary!$J$2:$K$9,2)*IF(ISNUMBER(H3200),H3200,1))</f>
        <v>0.40385416666666663</v>
      </c>
      <c r="AG3200" s="288">
        <v>3199</v>
      </c>
      <c r="AH3200" s="94"/>
      <c r="AI3200" s="94"/>
    </row>
    <row r="3201" spans="1:36" s="22" customFormat="1" ht="12" customHeight="1" x14ac:dyDescent="0.25">
      <c r="A3201" s="409"/>
      <c r="B3201" s="410" t="s">
        <v>6146</v>
      </c>
      <c r="C3201" s="556">
        <v>10.06</v>
      </c>
      <c r="D3201" s="434" t="s">
        <v>13362</v>
      </c>
      <c r="E3201" s="324" t="s">
        <v>13373</v>
      </c>
      <c r="F3201" s="175">
        <v>42998</v>
      </c>
      <c r="G3201" s="176"/>
      <c r="H3201" s="176" t="s">
        <v>461</v>
      </c>
      <c r="I3201" s="176"/>
      <c r="J3201" s="900" t="s">
        <v>2755</v>
      </c>
      <c r="K3201" s="157" t="s">
        <v>13367</v>
      </c>
      <c r="L3201" s="157" t="s">
        <v>461</v>
      </c>
      <c r="M3201" s="157"/>
      <c r="N3201" s="157" t="s">
        <v>4944</v>
      </c>
      <c r="O3201" s="157"/>
      <c r="P3201" s="173" t="s">
        <v>13356</v>
      </c>
      <c r="Q3201" s="157" t="s">
        <v>3947</v>
      </c>
      <c r="R3201" s="179" t="s">
        <v>6720</v>
      </c>
      <c r="S3201" s="354"/>
      <c r="T3201" s="173" t="s">
        <v>2611</v>
      </c>
      <c r="U3201" s="173"/>
      <c r="V3201" s="173"/>
      <c r="W3201" s="324" t="s">
        <v>13373</v>
      </c>
      <c r="X3201" s="656" t="s">
        <v>12478</v>
      </c>
      <c r="Y3201" s="363"/>
      <c r="Z3201" s="364"/>
      <c r="AA3201" s="364"/>
      <c r="AB3201" s="32">
        <f t="shared" ca="1" si="72"/>
        <v>0.6816201648669592</v>
      </c>
      <c r="AC3201" s="812"/>
      <c r="AD3201" s="763"/>
      <c r="AE3201" s="951"/>
      <c r="AF3201" s="921">
        <f>IF(X3201=X3200,AF3200,0)+IF(ISNUMBER(I3201),IF(I3201&lt;1,I3201,I3201*VLOOKUP(J3201,Summary!$H$2:$I$9,2)),VLOOKUP(J3201,Summary!$J$2:$K$9,2)*IF(ISNUMBER(H3201),H3201,1))</f>
        <v>0.42121527777777773</v>
      </c>
      <c r="AG3201" s="288">
        <v>3200</v>
      </c>
      <c r="AH3201" s="94"/>
      <c r="AI3201" s="94"/>
    </row>
    <row r="3202" spans="1:36" s="2" customFormat="1" ht="12" customHeight="1" x14ac:dyDescent="0.25">
      <c r="A3202" s="409"/>
      <c r="B3202" s="410" t="s">
        <v>6146</v>
      </c>
      <c r="C3202" s="556">
        <v>10.07</v>
      </c>
      <c r="D3202" s="434" t="s">
        <v>13363</v>
      </c>
      <c r="E3202" s="324" t="s">
        <v>13374</v>
      </c>
      <c r="F3202" s="175">
        <v>42998</v>
      </c>
      <c r="G3202" s="176"/>
      <c r="H3202" s="176" t="s">
        <v>461</v>
      </c>
      <c r="I3202" s="176"/>
      <c r="J3202" s="900" t="s">
        <v>2755</v>
      </c>
      <c r="K3202" s="157" t="s">
        <v>4944</v>
      </c>
      <c r="L3202" s="157" t="s">
        <v>461</v>
      </c>
      <c r="M3202" s="157"/>
      <c r="N3202" s="157" t="s">
        <v>4944</v>
      </c>
      <c r="O3202" s="157"/>
      <c r="P3202" s="173" t="s">
        <v>13356</v>
      </c>
      <c r="Q3202" s="157" t="s">
        <v>3947</v>
      </c>
      <c r="R3202" s="179" t="s">
        <v>6720</v>
      </c>
      <c r="S3202" s="354"/>
      <c r="T3202" s="173" t="s">
        <v>2611</v>
      </c>
      <c r="U3202" s="173"/>
      <c r="V3202" s="173"/>
      <c r="W3202" s="324" t="s">
        <v>13374</v>
      </c>
      <c r="X3202" s="656" t="s">
        <v>12478</v>
      </c>
      <c r="Y3202" s="363"/>
      <c r="Z3202" s="364"/>
      <c r="AA3202" s="364"/>
      <c r="AB3202" s="32">
        <f t="shared" ref="AB3202:AB3265" ca="1" si="75">RAND()</f>
        <v>0.69305247272232973</v>
      </c>
      <c r="AC3202" s="812"/>
      <c r="AD3202" s="763"/>
      <c r="AE3202" s="951"/>
      <c r="AF3202" s="921">
        <f>IF(X3202=X3201,AF3201,0)+IF(ISNUMBER(I3202),IF(I3202&lt;1,I3202,I3202*VLOOKUP(J3202,Summary!$H$2:$I$9,2)),VLOOKUP(J3202,Summary!$J$2:$K$9,2)*IF(ISNUMBER(H3202),H3202,1))</f>
        <v>0.43857638888888884</v>
      </c>
      <c r="AG3202" s="288">
        <v>3201</v>
      </c>
      <c r="AH3202" s="94"/>
      <c r="AI3202" s="94"/>
    </row>
    <row r="3203" spans="1:36" s="22" customFormat="1" ht="12" customHeight="1" x14ac:dyDescent="0.25">
      <c r="A3203" s="478"/>
      <c r="B3203" s="478" t="s">
        <v>6146</v>
      </c>
      <c r="C3203" s="478">
        <v>11.06</v>
      </c>
      <c r="D3203" s="192" t="s">
        <v>15813</v>
      </c>
      <c r="E3203" s="317" t="s">
        <v>15814</v>
      </c>
      <c r="F3203" s="209">
        <v>43453</v>
      </c>
      <c r="G3203" s="191"/>
      <c r="H3203" s="192" t="s">
        <v>461</v>
      </c>
      <c r="I3203" s="192"/>
      <c r="J3203" s="903" t="s">
        <v>2755</v>
      </c>
      <c r="K3203" s="194" t="s">
        <v>13366</v>
      </c>
      <c r="L3203" s="194" t="s">
        <v>461</v>
      </c>
      <c r="M3203" s="194" t="s">
        <v>5662</v>
      </c>
      <c r="N3203" s="194" t="s">
        <v>4944</v>
      </c>
      <c r="O3203" s="194" t="s">
        <v>4944</v>
      </c>
      <c r="P3203" s="190" t="s">
        <v>15800</v>
      </c>
      <c r="Q3203" s="194" t="s">
        <v>3947</v>
      </c>
      <c r="R3203" s="193" t="s">
        <v>6720</v>
      </c>
      <c r="S3203" s="357"/>
      <c r="T3203" s="190" t="s">
        <v>2611</v>
      </c>
      <c r="U3203" s="190"/>
      <c r="V3203" s="190"/>
      <c r="W3203" s="317" t="s">
        <v>15814</v>
      </c>
      <c r="X3203" s="649" t="s">
        <v>12478</v>
      </c>
      <c r="Y3203" s="357"/>
      <c r="Z3203" s="192"/>
      <c r="AA3203" s="192"/>
      <c r="AB3203" s="37">
        <f t="shared" ca="1" si="75"/>
        <v>0.6684652899145791</v>
      </c>
      <c r="AC3203" s="816"/>
      <c r="AD3203" s="817"/>
      <c r="AE3203" s="943"/>
      <c r="AF3203" s="924">
        <f>IF(X3203=X3202,AF3202,0)+IF(ISNUMBER(I3203),IF(I3203&lt;1,I3203,I3203*VLOOKUP(J3203,Summary!$H$2:$I$9,2)),VLOOKUP(J3203,Summary!$J$2:$K$9,2)*IF(ISNUMBER(H3203),H3203,1))</f>
        <v>0.45593749999999994</v>
      </c>
      <c r="AG3203" s="292">
        <v>3202</v>
      </c>
      <c r="AH3203" s="94"/>
      <c r="AI3203" s="94"/>
    </row>
    <row r="3204" spans="1:36" s="22" customFormat="1" ht="12" customHeight="1" x14ac:dyDescent="0.25">
      <c r="A3204" s="478"/>
      <c r="B3204" s="478" t="s">
        <v>6146</v>
      </c>
      <c r="C3204" s="478">
        <v>11.07</v>
      </c>
      <c r="D3204" s="192" t="s">
        <v>15815</v>
      </c>
      <c r="E3204" s="317" t="s">
        <v>15816</v>
      </c>
      <c r="F3204" s="209">
        <v>43453</v>
      </c>
      <c r="G3204" s="191"/>
      <c r="H3204" s="192" t="s">
        <v>461</v>
      </c>
      <c r="I3204" s="192"/>
      <c r="J3204" s="903" t="s">
        <v>2755</v>
      </c>
      <c r="K3204" s="194" t="s">
        <v>1643</v>
      </c>
      <c r="L3204" s="194" t="s">
        <v>461</v>
      </c>
      <c r="M3204" s="194" t="s">
        <v>5662</v>
      </c>
      <c r="N3204" s="194" t="s">
        <v>4944</v>
      </c>
      <c r="O3204" s="194" t="s">
        <v>4944</v>
      </c>
      <c r="P3204" s="190" t="s">
        <v>15800</v>
      </c>
      <c r="Q3204" s="194" t="s">
        <v>3947</v>
      </c>
      <c r="R3204" s="193" t="s">
        <v>6720</v>
      </c>
      <c r="S3204" s="357"/>
      <c r="T3204" s="190" t="s">
        <v>2611</v>
      </c>
      <c r="U3204" s="190"/>
      <c r="V3204" s="190"/>
      <c r="W3204" s="317" t="s">
        <v>15816</v>
      </c>
      <c r="X3204" s="649" t="s">
        <v>12478</v>
      </c>
      <c r="Y3204" s="357"/>
      <c r="Z3204" s="192"/>
      <c r="AA3204" s="192"/>
      <c r="AB3204" s="37">
        <f t="shared" ca="1" si="75"/>
        <v>0.12458265439908967</v>
      </c>
      <c r="AC3204" s="816"/>
      <c r="AD3204" s="817"/>
      <c r="AE3204" s="943"/>
      <c r="AF3204" s="924">
        <f>IF(X3204=X3203,AF3203,0)+IF(ISNUMBER(I3204),IF(I3204&lt;1,I3204,I3204*VLOOKUP(J3204,Summary!$H$2:$I$9,2)),VLOOKUP(J3204,Summary!$J$2:$K$9,2)*IF(ISNUMBER(H3204),H3204,1))</f>
        <v>0.47329861111111104</v>
      </c>
      <c r="AG3204" s="292">
        <v>3203</v>
      </c>
      <c r="AH3204" s="94"/>
      <c r="AI3204" s="94"/>
    </row>
    <row r="3205" spans="1:36" s="22" customFormat="1" ht="12" customHeight="1" x14ac:dyDescent="0.2">
      <c r="A3205" s="465"/>
      <c r="B3205" s="465" t="s">
        <v>4885</v>
      </c>
      <c r="C3205" s="465">
        <v>4.0999999999999996</v>
      </c>
      <c r="D3205" s="407" t="s">
        <v>12410</v>
      </c>
      <c r="E3205" s="315" t="s">
        <v>12414</v>
      </c>
      <c r="F3205" s="196">
        <v>42998</v>
      </c>
      <c r="G3205" s="170"/>
      <c r="H3205" s="170">
        <v>1</v>
      </c>
      <c r="I3205" s="747">
        <f>TIME(0,60,0)</f>
        <v>4.1666666666666664E-2</v>
      </c>
      <c r="J3205" s="899" t="s">
        <v>4706</v>
      </c>
      <c r="K3205" s="167" t="s">
        <v>1826</v>
      </c>
      <c r="L3205" s="167" t="s">
        <v>179</v>
      </c>
      <c r="M3205" s="167"/>
      <c r="N3205" s="167"/>
      <c r="O3205" s="167"/>
      <c r="P3205" s="168" t="s">
        <v>12415</v>
      </c>
      <c r="Q3205" s="167" t="s">
        <v>3947</v>
      </c>
      <c r="R3205" s="172" t="s">
        <v>9691</v>
      </c>
      <c r="S3205" s="388"/>
      <c r="T3205" s="168" t="s">
        <v>2611</v>
      </c>
      <c r="U3205" s="168"/>
      <c r="V3205" s="168"/>
      <c r="W3205" s="315" t="s">
        <v>12414</v>
      </c>
      <c r="X3205" s="647" t="s">
        <v>12478</v>
      </c>
      <c r="Y3205" s="352" t="s">
        <v>5643</v>
      </c>
      <c r="Z3205" s="353">
        <v>597</v>
      </c>
      <c r="AA3205" s="353">
        <v>3.5</v>
      </c>
      <c r="AB3205" s="31">
        <f t="shared" ca="1" si="75"/>
        <v>0.98695034484947486</v>
      </c>
      <c r="AC3205" s="810"/>
      <c r="AD3205" s="811"/>
      <c r="AE3205" s="940"/>
      <c r="AF3205" s="920">
        <f>IF(X3205=X3204,AF3204,0)+IF(ISNUMBER(I3205),IF(I3205&lt;1,I3205,I3205*VLOOKUP(J3205,Summary!$H$2:$I$9,2)),VLOOKUP(J3205,Summary!$J$2:$K$9,2)*IF(ISNUMBER(H3205),H3205,1))</f>
        <v>0.51496527777777767</v>
      </c>
      <c r="AG3205" s="287">
        <v>3204</v>
      </c>
      <c r="AH3205" s="94"/>
      <c r="AI3205" s="94"/>
    </row>
    <row r="3206" spans="1:36" s="26" customFormat="1" ht="12" customHeight="1" x14ac:dyDescent="0.2">
      <c r="A3206" s="465"/>
      <c r="B3206" s="465" t="s">
        <v>4885</v>
      </c>
      <c r="C3206" s="465">
        <v>4.2</v>
      </c>
      <c r="D3206" s="407" t="s">
        <v>12411</v>
      </c>
      <c r="E3206" s="315" t="s">
        <v>12416</v>
      </c>
      <c r="F3206" s="196">
        <v>42998</v>
      </c>
      <c r="G3206" s="170"/>
      <c r="H3206" s="170">
        <v>1</v>
      </c>
      <c r="I3206" s="747">
        <f>TIME(0,60,0)</f>
        <v>4.1666666666666664E-2</v>
      </c>
      <c r="J3206" s="899" t="s">
        <v>4706</v>
      </c>
      <c r="K3206" s="167" t="s">
        <v>1643</v>
      </c>
      <c r="L3206" s="167" t="s">
        <v>179</v>
      </c>
      <c r="M3206" s="167"/>
      <c r="N3206" s="167"/>
      <c r="O3206" s="167"/>
      <c r="P3206" s="168" t="s">
        <v>12415</v>
      </c>
      <c r="Q3206" s="167" t="s">
        <v>3947</v>
      </c>
      <c r="R3206" s="172" t="s">
        <v>9691</v>
      </c>
      <c r="S3206" s="388"/>
      <c r="T3206" s="168" t="s">
        <v>2611</v>
      </c>
      <c r="U3206" s="168"/>
      <c r="V3206" s="168"/>
      <c r="W3206" s="315" t="s">
        <v>12416</v>
      </c>
      <c r="X3206" s="647" t="s">
        <v>12478</v>
      </c>
      <c r="Y3206" s="352" t="s">
        <v>5643</v>
      </c>
      <c r="Z3206" s="353">
        <v>122</v>
      </c>
      <c r="AA3206" s="353">
        <v>7</v>
      </c>
      <c r="AB3206" s="31">
        <f t="shared" ca="1" si="75"/>
        <v>0.37840685844806943</v>
      </c>
      <c r="AC3206" s="810"/>
      <c r="AD3206" s="811"/>
      <c r="AE3206" s="940"/>
      <c r="AF3206" s="920">
        <f>IF(X3206=X3205,AF3205,0)+IF(ISNUMBER(I3206),IF(I3206&lt;1,I3206,I3206*VLOOKUP(J3206,Summary!$H$2:$I$9,2)),VLOOKUP(J3206,Summary!$J$2:$K$9,2)*IF(ISNUMBER(H3206),H3206,1))</f>
        <v>0.5566319444444443</v>
      </c>
      <c r="AG3206" s="287">
        <v>3205</v>
      </c>
      <c r="AH3206" s="94"/>
      <c r="AI3206" s="94"/>
    </row>
    <row r="3207" spans="1:36" s="26" customFormat="1" ht="12" customHeight="1" x14ac:dyDescent="0.2">
      <c r="A3207" s="465"/>
      <c r="B3207" s="465" t="s">
        <v>4885</v>
      </c>
      <c r="C3207" s="465">
        <v>4.3</v>
      </c>
      <c r="D3207" s="407" t="s">
        <v>12412</v>
      </c>
      <c r="E3207" s="315" t="s">
        <v>12417</v>
      </c>
      <c r="F3207" s="196">
        <v>42998</v>
      </c>
      <c r="G3207" s="170"/>
      <c r="H3207" s="170">
        <v>1</v>
      </c>
      <c r="I3207" s="747">
        <f>TIME(0,60,0)</f>
        <v>4.1666666666666664E-2</v>
      </c>
      <c r="J3207" s="899" t="s">
        <v>4706</v>
      </c>
      <c r="K3207" s="167" t="s">
        <v>1826</v>
      </c>
      <c r="L3207" s="167" t="s">
        <v>179</v>
      </c>
      <c r="M3207" s="167"/>
      <c r="N3207" s="167"/>
      <c r="O3207" s="167"/>
      <c r="P3207" s="168" t="s">
        <v>12415</v>
      </c>
      <c r="Q3207" s="167" t="s">
        <v>3947</v>
      </c>
      <c r="R3207" s="172" t="s">
        <v>9691</v>
      </c>
      <c r="S3207" s="388"/>
      <c r="T3207" s="168" t="s">
        <v>2611</v>
      </c>
      <c r="U3207" s="168"/>
      <c r="V3207" s="168"/>
      <c r="W3207" s="315" t="s">
        <v>12417</v>
      </c>
      <c r="X3207" s="647" t="s">
        <v>12478</v>
      </c>
      <c r="Y3207" s="352" t="s">
        <v>5643</v>
      </c>
      <c r="Z3207" s="353">
        <v>92</v>
      </c>
      <c r="AA3207" s="353">
        <v>7.5</v>
      </c>
      <c r="AB3207" s="31">
        <f t="shared" ca="1" si="75"/>
        <v>0.1929109741362639</v>
      </c>
      <c r="AC3207" s="810"/>
      <c r="AD3207" s="811"/>
      <c r="AE3207" s="940"/>
      <c r="AF3207" s="920">
        <f>IF(X3207=X3206,AF3206,0)+IF(ISNUMBER(I3207),IF(I3207&lt;1,I3207,I3207*VLOOKUP(J3207,Summary!$H$2:$I$9,2)),VLOOKUP(J3207,Summary!$J$2:$K$9,2)*IF(ISNUMBER(H3207),H3207,1))</f>
        <v>0.59829861111111093</v>
      </c>
      <c r="AG3207" s="287">
        <v>3206</v>
      </c>
      <c r="AH3207" s="94"/>
      <c r="AI3207" s="94"/>
    </row>
    <row r="3208" spans="1:36" s="22" customFormat="1" ht="12" customHeight="1" x14ac:dyDescent="0.2">
      <c r="A3208" s="465"/>
      <c r="B3208" s="465" t="s">
        <v>4885</v>
      </c>
      <c r="C3208" s="465">
        <v>4.4000000000000004</v>
      </c>
      <c r="D3208" s="407" t="s">
        <v>12413</v>
      </c>
      <c r="E3208" s="315" t="s">
        <v>12418</v>
      </c>
      <c r="F3208" s="196">
        <v>42998</v>
      </c>
      <c r="G3208" s="170"/>
      <c r="H3208" s="170">
        <v>1</v>
      </c>
      <c r="I3208" s="747">
        <f>TIME(0,60,0)</f>
        <v>4.1666666666666664E-2</v>
      </c>
      <c r="J3208" s="899" t="s">
        <v>4706</v>
      </c>
      <c r="K3208" s="167" t="s">
        <v>1643</v>
      </c>
      <c r="L3208" s="167" t="s">
        <v>179</v>
      </c>
      <c r="M3208" s="167"/>
      <c r="N3208" s="167"/>
      <c r="O3208" s="167"/>
      <c r="P3208" s="168" t="s">
        <v>12415</v>
      </c>
      <c r="Q3208" s="167" t="s">
        <v>3947</v>
      </c>
      <c r="R3208" s="172" t="s">
        <v>9691</v>
      </c>
      <c r="S3208" s="388"/>
      <c r="T3208" s="168" t="s">
        <v>2611</v>
      </c>
      <c r="U3208" s="168"/>
      <c r="V3208" s="168"/>
      <c r="W3208" s="315" t="s">
        <v>12418</v>
      </c>
      <c r="X3208" s="647" t="s">
        <v>12478</v>
      </c>
      <c r="Y3208" s="352" t="s">
        <v>5643</v>
      </c>
      <c r="Z3208" s="353">
        <v>269</v>
      </c>
      <c r="AA3208" s="353">
        <v>5.5</v>
      </c>
      <c r="AB3208" s="31">
        <f t="shared" ca="1" si="75"/>
        <v>0.6787909511090946</v>
      </c>
      <c r="AC3208" s="810"/>
      <c r="AD3208" s="811"/>
      <c r="AE3208" s="940"/>
      <c r="AF3208" s="920">
        <f>IF(X3208=X3207,AF3207,0)+IF(ISNUMBER(I3208),IF(I3208&lt;1,I3208,I3208*VLOOKUP(J3208,Summary!$H$2:$I$9,2)),VLOOKUP(J3208,Summary!$J$2:$K$9,2)*IF(ISNUMBER(H3208),H3208,1))</f>
        <v>0.63996527777777756</v>
      </c>
      <c r="AG3208" s="287">
        <v>3207</v>
      </c>
      <c r="AH3208" s="94"/>
      <c r="AI3208" s="94"/>
    </row>
    <row r="3209" spans="1:36" s="22" customFormat="1" ht="12" customHeight="1" x14ac:dyDescent="0.2">
      <c r="A3209" s="465"/>
      <c r="B3209" s="465" t="s">
        <v>4885</v>
      </c>
      <c r="C3209" s="465"/>
      <c r="D3209" s="407" t="s">
        <v>15350</v>
      </c>
      <c r="E3209" s="315" t="s">
        <v>15930</v>
      </c>
      <c r="F3209" s="196">
        <v>43368</v>
      </c>
      <c r="G3209" s="170"/>
      <c r="H3209" s="170" t="s">
        <v>461</v>
      </c>
      <c r="I3209" s="747">
        <f>TIME(0,60,0)</f>
        <v>4.1666666666666664E-2</v>
      </c>
      <c r="J3209" s="899" t="s">
        <v>4706</v>
      </c>
      <c r="K3209" s="167" t="s">
        <v>7797</v>
      </c>
      <c r="L3209" s="167" t="s">
        <v>179</v>
      </c>
      <c r="M3209" s="167"/>
      <c r="N3209" s="167" t="s">
        <v>1643</v>
      </c>
      <c r="O3209" s="167" t="s">
        <v>1643</v>
      </c>
      <c r="P3209" s="168" t="s">
        <v>15348</v>
      </c>
      <c r="Q3209" s="167" t="s">
        <v>3947</v>
      </c>
      <c r="R3209" s="172" t="s">
        <v>3711</v>
      </c>
      <c r="S3209" s="388"/>
      <c r="T3209" s="168" t="s">
        <v>2611</v>
      </c>
      <c r="U3209" s="168"/>
      <c r="V3209" s="168"/>
      <c r="W3209" s="315" t="s">
        <v>15930</v>
      </c>
      <c r="X3209" s="647" t="s">
        <v>12478</v>
      </c>
      <c r="Y3209" s="352"/>
      <c r="Z3209" s="353"/>
      <c r="AA3209" s="353"/>
      <c r="AB3209" s="31">
        <f t="shared" ca="1" si="75"/>
        <v>0.51758937589326737</v>
      </c>
      <c r="AC3209" s="810"/>
      <c r="AD3209" s="811"/>
      <c r="AE3209" s="940"/>
      <c r="AF3209" s="920">
        <f>IF(X3209=X3208,AF3208,0)+IF(ISNUMBER(I3209),IF(I3209&lt;1,I3209,I3209*VLOOKUP(J3209,Summary!$H$2:$I$9,2)),VLOOKUP(J3209,Summary!$J$2:$K$9,2)*IF(ISNUMBER(H3209),H3209,1))</f>
        <v>0.68163194444444419</v>
      </c>
      <c r="AG3209" s="287">
        <v>3208</v>
      </c>
      <c r="AH3209" s="94"/>
      <c r="AI3209" s="94"/>
    </row>
    <row r="3210" spans="1:36" s="22" customFormat="1" ht="12" customHeight="1" x14ac:dyDescent="0.25">
      <c r="A3210" s="408" t="s">
        <v>14261</v>
      </c>
      <c r="B3210" s="478" t="s">
        <v>6146</v>
      </c>
      <c r="C3210" s="478">
        <v>11.08</v>
      </c>
      <c r="D3210" s="192" t="s">
        <v>15817</v>
      </c>
      <c r="E3210" s="317" t="s">
        <v>15818</v>
      </c>
      <c r="F3210" s="209">
        <v>43453</v>
      </c>
      <c r="G3210" s="191"/>
      <c r="H3210" s="192" t="s">
        <v>461</v>
      </c>
      <c r="I3210" s="192"/>
      <c r="J3210" s="903" t="s">
        <v>2755</v>
      </c>
      <c r="K3210" s="194" t="s">
        <v>4551</v>
      </c>
      <c r="L3210" s="194" t="s">
        <v>461</v>
      </c>
      <c r="M3210" s="194" t="s">
        <v>5662</v>
      </c>
      <c r="N3210" s="194" t="s">
        <v>4944</v>
      </c>
      <c r="O3210" s="194" t="s">
        <v>4944</v>
      </c>
      <c r="P3210" s="190" t="s">
        <v>15800</v>
      </c>
      <c r="Q3210" s="194" t="s">
        <v>3947</v>
      </c>
      <c r="R3210" s="193" t="s">
        <v>6720</v>
      </c>
      <c r="S3210" s="357"/>
      <c r="T3210" s="190" t="s">
        <v>2611</v>
      </c>
      <c r="U3210" s="190"/>
      <c r="V3210" s="190"/>
      <c r="W3210" s="317" t="s">
        <v>15818</v>
      </c>
      <c r="X3210" s="649" t="s">
        <v>12527</v>
      </c>
      <c r="Y3210" s="357"/>
      <c r="Z3210" s="192"/>
      <c r="AA3210" s="192"/>
      <c r="AB3210" s="37">
        <f t="shared" ca="1" si="75"/>
        <v>0.63209385143648278</v>
      </c>
      <c r="AC3210" s="816"/>
      <c r="AD3210" s="817"/>
      <c r="AE3210" s="943"/>
      <c r="AF3210" s="924">
        <f>IF(X3210=X3209,AF3209,0)+IF(ISNUMBER(I3210),IF(I3210&lt;1,I3210,I3210*VLOOKUP(J3210,Summary!$H$2:$I$9,2)),VLOOKUP(J3210,Summary!$J$2:$K$9,2)*IF(ISNUMBER(H3210),H3210,1))</f>
        <v>1.7361111111111112E-2</v>
      </c>
      <c r="AG3210" s="292">
        <v>3209</v>
      </c>
      <c r="AH3210" s="94"/>
      <c r="AI3210" s="94"/>
    </row>
    <row r="3211" spans="1:36" s="22" customFormat="1" ht="12" customHeight="1" x14ac:dyDescent="0.25">
      <c r="A3211" s="408" t="s">
        <v>14261</v>
      </c>
      <c r="B3211" s="408" t="s">
        <v>6146</v>
      </c>
      <c r="C3211" s="408">
        <v>5.3</v>
      </c>
      <c r="D3211" s="176" t="s">
        <v>10408</v>
      </c>
      <c r="E3211" s="313" t="s">
        <v>10409</v>
      </c>
      <c r="F3211" s="175">
        <v>39784</v>
      </c>
      <c r="G3211" s="174"/>
      <c r="H3211" s="176" t="s">
        <v>461</v>
      </c>
      <c r="I3211" s="176"/>
      <c r="J3211" s="900" t="s">
        <v>2755</v>
      </c>
      <c r="K3211" s="157" t="s">
        <v>3324</v>
      </c>
      <c r="L3211" s="164" t="s">
        <v>461</v>
      </c>
      <c r="M3211" s="164"/>
      <c r="N3211" s="164"/>
      <c r="O3211" s="164"/>
      <c r="P3211" s="173" t="s">
        <v>6744</v>
      </c>
      <c r="Q3211" s="164" t="s">
        <v>3947</v>
      </c>
      <c r="R3211" s="177" t="s">
        <v>6741</v>
      </c>
      <c r="S3211" s="354"/>
      <c r="T3211" s="173" t="s">
        <v>2611</v>
      </c>
      <c r="U3211" s="173"/>
      <c r="V3211" s="173"/>
      <c r="W3211" s="313" t="s">
        <v>10409</v>
      </c>
      <c r="X3211" s="645" t="s">
        <v>12527</v>
      </c>
      <c r="Y3211" s="354"/>
      <c r="Z3211" s="176"/>
      <c r="AA3211" s="176"/>
      <c r="AB3211" s="32">
        <f t="shared" ca="1" si="75"/>
        <v>0.66458309692091366</v>
      </c>
      <c r="AC3211" s="812"/>
      <c r="AD3211" s="763" t="s">
        <v>16428</v>
      </c>
      <c r="AE3211" s="807"/>
      <c r="AF3211" s="921">
        <f>IF(X3211=X3210,AF3210,0)+IF(ISNUMBER(I3211),IF(I3211&lt;1,I3211,I3211*VLOOKUP(J3211,Summary!$H$2:$I$9,2)),VLOOKUP(J3211,Summary!$J$2:$K$9,2)*IF(ISNUMBER(H3211),H3211,1))</f>
        <v>3.4722222222222224E-2</v>
      </c>
      <c r="AG3211" s="289">
        <v>3210</v>
      </c>
      <c r="AH3211" s="94"/>
      <c r="AI3211" s="94"/>
    </row>
    <row r="3212" spans="1:36" s="2" customFormat="1" ht="12" customHeight="1" x14ac:dyDescent="0.25">
      <c r="A3212" s="422"/>
      <c r="B3212" s="422" t="s">
        <v>2650</v>
      </c>
      <c r="C3212" s="422">
        <v>29.23</v>
      </c>
      <c r="D3212" s="176" t="s">
        <v>953</v>
      </c>
      <c r="E3212" s="313" t="s">
        <v>5353</v>
      </c>
      <c r="F3212" s="174">
        <v>39692</v>
      </c>
      <c r="G3212" s="174"/>
      <c r="H3212" s="176" t="s">
        <v>461</v>
      </c>
      <c r="I3212" s="176">
        <v>8</v>
      </c>
      <c r="J3212" s="900" t="s">
        <v>2755</v>
      </c>
      <c r="K3212" s="164" t="s">
        <v>5354</v>
      </c>
      <c r="L3212" s="164" t="s">
        <v>461</v>
      </c>
      <c r="M3212" s="164"/>
      <c r="N3212" s="164" t="s">
        <v>5664</v>
      </c>
      <c r="O3212" s="164"/>
      <c r="P3212" s="173" t="s">
        <v>6707</v>
      </c>
      <c r="Q3212" s="164" t="s">
        <v>3947</v>
      </c>
      <c r="R3212" s="177" t="s">
        <v>2723</v>
      </c>
      <c r="S3212" s="354"/>
      <c r="T3212" s="173"/>
      <c r="U3212" s="173"/>
      <c r="V3212" s="173"/>
      <c r="W3212" s="313" t="s">
        <v>5353</v>
      </c>
      <c r="X3212" s="645" t="s">
        <v>12527</v>
      </c>
      <c r="Y3212" s="354"/>
      <c r="Z3212" s="176"/>
      <c r="AA3212" s="176"/>
      <c r="AB3212" s="32">
        <f t="shared" ca="1" si="75"/>
        <v>0.67753000825932297</v>
      </c>
      <c r="AC3212" s="812"/>
      <c r="AD3212" s="763"/>
      <c r="AE3212" s="807"/>
      <c r="AF3212" s="921">
        <f>IF(X3212=X3211,AF3211,0)+IF(ISNUMBER(I3212),IF(I3212&lt;1,I3212,I3212*VLOOKUP(J3212,Summary!$H$2:$I$9,2)),VLOOKUP(J3212,Summary!$J$2:$K$9,2)*IF(ISNUMBER(H3212),H3212,1))</f>
        <v>4.027777777777778E-2</v>
      </c>
      <c r="AG3212" s="289">
        <v>3211</v>
      </c>
      <c r="AH3212" s="94"/>
      <c r="AI3212" s="94"/>
    </row>
    <row r="3213" spans="1:36" s="26" customFormat="1" ht="12" customHeight="1" x14ac:dyDescent="0.2">
      <c r="A3213" s="405"/>
      <c r="B3213" s="406" t="s">
        <v>2650</v>
      </c>
      <c r="C3213" s="405"/>
      <c r="D3213" s="407"/>
      <c r="E3213" s="315" t="s">
        <v>14982</v>
      </c>
      <c r="F3213" s="196">
        <v>40600</v>
      </c>
      <c r="G3213" s="196">
        <v>41411</v>
      </c>
      <c r="H3213" s="170">
        <v>6</v>
      </c>
      <c r="I3213" s="746">
        <f>TIME(3,42,0)</f>
        <v>0.15416666666666667</v>
      </c>
      <c r="J3213" s="899" t="s">
        <v>4706</v>
      </c>
      <c r="K3213" s="167" t="s">
        <v>14983</v>
      </c>
      <c r="L3213" s="167"/>
      <c r="M3213" s="167"/>
      <c r="N3213" s="167"/>
      <c r="O3213" s="167"/>
      <c r="P3213" s="168"/>
      <c r="Q3213" s="167" t="s">
        <v>14984</v>
      </c>
      <c r="R3213" s="172" t="s">
        <v>14192</v>
      </c>
      <c r="S3213" s="388"/>
      <c r="T3213" s="168"/>
      <c r="U3213" s="168"/>
      <c r="V3213" s="168"/>
      <c r="W3213" s="312" t="s">
        <v>14985</v>
      </c>
      <c r="X3213" s="647" t="s">
        <v>12527</v>
      </c>
      <c r="Y3213" s="352"/>
      <c r="Z3213" s="353"/>
      <c r="AA3213" s="353"/>
      <c r="AB3213" s="31">
        <f t="shared" ca="1" si="75"/>
        <v>0.55912413969765251</v>
      </c>
      <c r="AC3213" s="810"/>
      <c r="AD3213" s="811"/>
      <c r="AE3213" s="940"/>
      <c r="AF3213" s="920">
        <f>IF(X3213=X3212,AF3212,0)+IF(ISNUMBER(I3213),IF(I3213&lt;1,I3213,I3213*VLOOKUP(J3213,Summary!$H$2:$I$9,2)),VLOOKUP(J3213,Summary!$J$2:$K$9,2)*IF(ISNUMBER(H3213),H3213,1))</f>
        <v>0.19444444444444445</v>
      </c>
      <c r="AG3213" s="287">
        <v>3212</v>
      </c>
      <c r="AH3213" s="94"/>
      <c r="AI3213" s="94"/>
    </row>
    <row r="3214" spans="1:36" s="43" customFormat="1" ht="12" customHeight="1" x14ac:dyDescent="0.25">
      <c r="A3214" s="561"/>
      <c r="B3214" s="561" t="s">
        <v>3365</v>
      </c>
      <c r="C3214" s="561">
        <v>13.07</v>
      </c>
      <c r="D3214" s="176" t="s">
        <v>2807</v>
      </c>
      <c r="E3214" s="313" t="s">
        <v>2808</v>
      </c>
      <c r="F3214" s="174">
        <v>38261</v>
      </c>
      <c r="G3214" s="174"/>
      <c r="H3214" s="176">
        <v>1</v>
      </c>
      <c r="I3214" s="176">
        <v>16</v>
      </c>
      <c r="J3214" s="900" t="s">
        <v>2755</v>
      </c>
      <c r="K3214" s="164" t="s">
        <v>2554</v>
      </c>
      <c r="L3214" s="164" t="s">
        <v>461</v>
      </c>
      <c r="M3214" s="164"/>
      <c r="N3214" s="164" t="s">
        <v>4996</v>
      </c>
      <c r="O3214" s="164"/>
      <c r="P3214" s="173" t="s">
        <v>1945</v>
      </c>
      <c r="Q3214" s="164" t="s">
        <v>3947</v>
      </c>
      <c r="R3214" s="177" t="s">
        <v>2723</v>
      </c>
      <c r="S3214" s="354"/>
      <c r="T3214" s="173"/>
      <c r="U3214" s="173"/>
      <c r="V3214" s="173"/>
      <c r="W3214" s="313" t="s">
        <v>2808</v>
      </c>
      <c r="X3214" s="645" t="s">
        <v>12527</v>
      </c>
      <c r="Y3214" s="354"/>
      <c r="Z3214" s="176"/>
      <c r="AA3214" s="176"/>
      <c r="AB3214" s="32">
        <f t="shared" ca="1" si="75"/>
        <v>0.17293197128674542</v>
      </c>
      <c r="AC3214" s="812"/>
      <c r="AD3214" s="763"/>
      <c r="AE3214" s="807"/>
      <c r="AF3214" s="921">
        <f>IF(X3214=X3213,AF3213,0)+IF(ISNUMBER(I3214),IF(I3214&lt;1,I3214,I3214*VLOOKUP(J3214,Summary!$H$2:$I$9,2)),VLOOKUP(J3214,Summary!$J$2:$K$9,2)*IF(ISNUMBER(H3214),H3214,1))</f>
        <v>0.20555555555555555</v>
      </c>
      <c r="AG3214" s="289">
        <v>3213</v>
      </c>
      <c r="AH3214" s="94"/>
      <c r="AI3214" s="94"/>
    </row>
    <row r="3215" spans="1:36" s="29" customFormat="1" ht="12" customHeight="1" x14ac:dyDescent="0.25">
      <c r="A3215" s="562"/>
      <c r="B3215" s="563" t="s">
        <v>3365</v>
      </c>
      <c r="C3215" s="563">
        <v>3</v>
      </c>
      <c r="D3215" s="407" t="s">
        <v>3368</v>
      </c>
      <c r="E3215" s="315" t="s">
        <v>3369</v>
      </c>
      <c r="F3215" s="169">
        <v>37803</v>
      </c>
      <c r="G3215" s="170"/>
      <c r="H3215" s="170">
        <v>1</v>
      </c>
      <c r="I3215" s="746">
        <f>TIME(0,65,0)</f>
        <v>4.5138888888888888E-2</v>
      </c>
      <c r="J3215" s="899" t="s">
        <v>4706</v>
      </c>
      <c r="K3215" s="167" t="s">
        <v>1746</v>
      </c>
      <c r="L3215" s="167" t="s">
        <v>6354</v>
      </c>
      <c r="M3215" s="167"/>
      <c r="N3215" s="167"/>
      <c r="O3215" s="167"/>
      <c r="P3215" s="168" t="s">
        <v>8877</v>
      </c>
      <c r="Q3215" s="167" t="s">
        <v>3947</v>
      </c>
      <c r="R3215" s="172" t="s">
        <v>3145</v>
      </c>
      <c r="S3215" s="388"/>
      <c r="T3215" s="168"/>
      <c r="U3215" s="168"/>
      <c r="V3215" s="168"/>
      <c r="W3215" s="315" t="s">
        <v>3369</v>
      </c>
      <c r="X3215" s="647" t="s">
        <v>12527</v>
      </c>
      <c r="Y3215" s="352"/>
      <c r="Z3215" s="353">
        <v>299</v>
      </c>
      <c r="AA3215" s="353">
        <v>5.5</v>
      </c>
      <c r="AB3215" s="31">
        <f t="shared" ca="1" si="75"/>
        <v>0.769073353693702</v>
      </c>
      <c r="AC3215" s="810"/>
      <c r="AD3215" s="811"/>
      <c r="AE3215" s="940"/>
      <c r="AF3215" s="920">
        <f>IF(X3215=X3214,AF3214,0)+IF(ISNUMBER(I3215),IF(I3215&lt;1,I3215,I3215*VLOOKUP(J3215,Summary!$H$2:$I$9,2)),VLOOKUP(J3215,Summary!$J$2:$K$9,2)*IF(ISNUMBER(H3215),H3215,1))</f>
        <v>0.25069444444444444</v>
      </c>
      <c r="AG3215" s="287">
        <v>3214</v>
      </c>
      <c r="AH3215" s="94"/>
      <c r="AI3215" s="94"/>
      <c r="AJ3215" s="3"/>
    </row>
    <row r="3216" spans="1:36" s="58" customFormat="1" ht="12" customHeight="1" x14ac:dyDescent="0.25">
      <c r="A3216" s="422"/>
      <c r="B3216" s="422" t="s">
        <v>2650</v>
      </c>
      <c r="C3216" s="422">
        <v>3.21</v>
      </c>
      <c r="D3216" s="434" t="s">
        <v>4402</v>
      </c>
      <c r="E3216" s="324" t="s">
        <v>4403</v>
      </c>
      <c r="F3216" s="174">
        <v>36586</v>
      </c>
      <c r="G3216" s="175"/>
      <c r="H3216" s="176">
        <v>1</v>
      </c>
      <c r="I3216" s="176">
        <v>1</v>
      </c>
      <c r="J3216" s="900" t="s">
        <v>2755</v>
      </c>
      <c r="K3216" s="157" t="s">
        <v>4406</v>
      </c>
      <c r="L3216" s="157" t="s">
        <v>461</v>
      </c>
      <c r="M3216" s="157"/>
      <c r="N3216" s="164" t="s">
        <v>4992</v>
      </c>
      <c r="O3216" s="157"/>
      <c r="P3216" s="173" t="s">
        <v>4993</v>
      </c>
      <c r="Q3216" s="157" t="s">
        <v>3953</v>
      </c>
      <c r="R3216" s="179" t="s">
        <v>2723</v>
      </c>
      <c r="S3216" s="354"/>
      <c r="T3216" s="173"/>
      <c r="U3216" s="173"/>
      <c r="V3216" s="173"/>
      <c r="W3216" s="324" t="s">
        <v>4403</v>
      </c>
      <c r="X3216" s="656" t="s">
        <v>12527</v>
      </c>
      <c r="Y3216" s="354" t="s">
        <v>6868</v>
      </c>
      <c r="Z3216" s="869">
        <v>999</v>
      </c>
      <c r="AA3216" s="889"/>
      <c r="AB3216" s="32">
        <f t="shared" ca="1" si="75"/>
        <v>0.36283886060576287</v>
      </c>
      <c r="AC3216" s="812"/>
      <c r="AD3216" s="763"/>
      <c r="AE3216" s="951"/>
      <c r="AF3216" s="921">
        <f>IF(X3216=X3215,AF3215,0)+IF(ISNUMBER(I3216),IF(I3216&lt;1,I3216,I3216*VLOOKUP(J3216,Summary!$H$2:$I$9,2)),VLOOKUP(J3216,Summary!$J$2:$K$9,2)*IF(ISNUMBER(H3216),H3216,1))</f>
        <v>0.25138888888888888</v>
      </c>
      <c r="AG3216" s="288">
        <v>3215</v>
      </c>
      <c r="AH3216" s="94"/>
      <c r="AI3216" s="94"/>
      <c r="AJ3216" s="3"/>
    </row>
    <row r="3217" spans="1:36" s="22" customFormat="1" ht="12" customHeight="1" x14ac:dyDescent="0.25">
      <c r="A3217" s="564"/>
      <c r="B3217" s="564" t="s">
        <v>7551</v>
      </c>
      <c r="C3217" s="564">
        <v>17</v>
      </c>
      <c r="D3217" s="417" t="s">
        <v>7552</v>
      </c>
      <c r="E3217" s="316" t="s">
        <v>7553</v>
      </c>
      <c r="F3217" s="195">
        <v>36121</v>
      </c>
      <c r="G3217" s="188"/>
      <c r="H3217" s="188" t="str">
        <f>IF(J3217="Book","n/a","")</f>
        <v>n/a</v>
      </c>
      <c r="I3217" s="188">
        <v>280</v>
      </c>
      <c r="J3217" s="902" t="s">
        <v>6868</v>
      </c>
      <c r="K3217" s="162" t="s">
        <v>2311</v>
      </c>
      <c r="L3217" s="162" t="str">
        <f>IF(J3217="Book","n/a","")</f>
        <v>n/a</v>
      </c>
      <c r="M3217" s="162"/>
      <c r="N3217" s="162"/>
      <c r="O3217" s="162"/>
      <c r="P3217" s="178" t="s">
        <v>8942</v>
      </c>
      <c r="Q3217" s="162" t="s">
        <v>3953</v>
      </c>
      <c r="R3217" s="189" t="s">
        <v>2717</v>
      </c>
      <c r="S3217" s="366"/>
      <c r="T3217" s="178"/>
      <c r="U3217" s="178"/>
      <c r="V3217" s="178"/>
      <c r="W3217" s="316" t="s">
        <v>7553</v>
      </c>
      <c r="X3217" s="648" t="s">
        <v>12527</v>
      </c>
      <c r="Y3217" s="356"/>
      <c r="Z3217" s="272"/>
      <c r="AA3217" s="272"/>
      <c r="AB3217" s="34">
        <f t="shared" ca="1" si="75"/>
        <v>0.73803693909496404</v>
      </c>
      <c r="AC3217" s="814"/>
      <c r="AD3217" s="815"/>
      <c r="AE3217" s="942"/>
      <c r="AF3217" s="923">
        <f>IF(X3217=X3216,AF3216,0)+IF(ISNUMBER(I3217),IF(I3217&lt;1,I3217,I3217*VLOOKUP(J3217,Summary!$H$2:$I$9,2)),VLOOKUP(J3217,Summary!$J$2:$K$9,2)*IF(ISNUMBER(H3217),H3217,1))</f>
        <v>0.4458333333333333</v>
      </c>
      <c r="AG3217" s="291">
        <v>3216</v>
      </c>
      <c r="AH3217" s="94"/>
      <c r="AI3217" s="94"/>
    </row>
    <row r="3218" spans="1:36" s="27" customFormat="1" ht="12" customHeight="1" x14ac:dyDescent="0.25">
      <c r="A3218" s="561"/>
      <c r="B3218" s="561" t="s">
        <v>3365</v>
      </c>
      <c r="C3218" s="561">
        <v>33</v>
      </c>
      <c r="D3218" s="176" t="s">
        <v>883</v>
      </c>
      <c r="E3218" s="313" t="s">
        <v>855</v>
      </c>
      <c r="F3218" s="174">
        <v>36100</v>
      </c>
      <c r="G3218" s="175"/>
      <c r="H3218" s="176" t="s">
        <v>461</v>
      </c>
      <c r="I3218" s="176"/>
      <c r="J3218" s="900" t="s">
        <v>2755</v>
      </c>
      <c r="K3218" s="164" t="s">
        <v>910</v>
      </c>
      <c r="L3218" s="164"/>
      <c r="M3218" s="164"/>
      <c r="N3218" s="164" t="s">
        <v>819</v>
      </c>
      <c r="O3218" s="164"/>
      <c r="P3218" s="178" t="s">
        <v>461</v>
      </c>
      <c r="Q3218" s="164" t="s">
        <v>820</v>
      </c>
      <c r="R3218" s="177" t="s">
        <v>895</v>
      </c>
      <c r="S3218" s="354"/>
      <c r="T3218" s="173"/>
      <c r="U3218" s="173"/>
      <c r="V3218" s="173"/>
      <c r="W3218" s="313" t="s">
        <v>855</v>
      </c>
      <c r="X3218" s="645" t="s">
        <v>12527</v>
      </c>
      <c r="Y3218" s="354"/>
      <c r="Z3218" s="176"/>
      <c r="AA3218" s="176"/>
      <c r="AB3218" s="32">
        <f t="shared" ca="1" si="75"/>
        <v>0.94621436017691152</v>
      </c>
      <c r="AC3218" s="812"/>
      <c r="AD3218" s="763"/>
      <c r="AE3218" s="807"/>
      <c r="AF3218" s="921">
        <f>IF(X3218=X3217,AF3217,0)+IF(ISNUMBER(I3218),IF(I3218&lt;1,I3218,I3218*VLOOKUP(J3218,Summary!$H$2:$I$9,2)),VLOOKUP(J3218,Summary!$J$2:$K$9,2)*IF(ISNUMBER(H3218),H3218,1))</f>
        <v>0.46319444444444441</v>
      </c>
      <c r="AG3218" s="289">
        <v>3217</v>
      </c>
      <c r="AH3218" s="119"/>
      <c r="AI3218" s="119"/>
      <c r="AJ3218" s="11"/>
    </row>
    <row r="3219" spans="1:36" s="22" customFormat="1" ht="12" customHeight="1" x14ac:dyDescent="0.25">
      <c r="A3219" s="561"/>
      <c r="B3219" s="561" t="s">
        <v>3365</v>
      </c>
      <c r="C3219" s="561">
        <v>34</v>
      </c>
      <c r="D3219" s="176" t="s">
        <v>884</v>
      </c>
      <c r="E3219" s="313" t="s">
        <v>856</v>
      </c>
      <c r="F3219" s="174">
        <v>36100</v>
      </c>
      <c r="G3219" s="175"/>
      <c r="H3219" s="176" t="s">
        <v>461</v>
      </c>
      <c r="I3219" s="176"/>
      <c r="J3219" s="900" t="s">
        <v>2755</v>
      </c>
      <c r="K3219" s="164" t="s">
        <v>911</v>
      </c>
      <c r="L3219" s="164"/>
      <c r="M3219" s="164"/>
      <c r="N3219" s="164" t="s">
        <v>819</v>
      </c>
      <c r="O3219" s="164"/>
      <c r="P3219" s="178" t="s">
        <v>461</v>
      </c>
      <c r="Q3219" s="164" t="s">
        <v>820</v>
      </c>
      <c r="R3219" s="177" t="s">
        <v>895</v>
      </c>
      <c r="S3219" s="354"/>
      <c r="T3219" s="173"/>
      <c r="U3219" s="173"/>
      <c r="V3219" s="173"/>
      <c r="W3219" s="313" t="s">
        <v>856</v>
      </c>
      <c r="X3219" s="645" t="s">
        <v>12527</v>
      </c>
      <c r="Y3219" s="354"/>
      <c r="Z3219" s="176"/>
      <c r="AA3219" s="176"/>
      <c r="AB3219" s="32">
        <f t="shared" ca="1" si="75"/>
        <v>0.56721860846061856</v>
      </c>
      <c r="AC3219" s="812"/>
      <c r="AD3219" s="837"/>
      <c r="AE3219" s="807"/>
      <c r="AF3219" s="921">
        <f>IF(X3219=X3218,AF3218,0)+IF(ISNUMBER(I3219),IF(I3219&lt;1,I3219,I3219*VLOOKUP(J3219,Summary!$H$2:$I$9,2)),VLOOKUP(J3219,Summary!$J$2:$K$9,2)*IF(ISNUMBER(H3219),H3219,1))</f>
        <v>0.48055555555555551</v>
      </c>
      <c r="AG3219" s="289">
        <v>3218</v>
      </c>
      <c r="AH3219" s="94"/>
      <c r="AI3219" s="94"/>
    </row>
    <row r="3220" spans="1:36" s="29" customFormat="1" ht="12" customHeight="1" x14ac:dyDescent="0.25">
      <c r="A3220" s="561"/>
      <c r="B3220" s="561" t="s">
        <v>3365</v>
      </c>
      <c r="C3220" s="561">
        <v>35</v>
      </c>
      <c r="D3220" s="176" t="s">
        <v>885</v>
      </c>
      <c r="E3220" s="313" t="s">
        <v>857</v>
      </c>
      <c r="F3220" s="174">
        <v>36100</v>
      </c>
      <c r="G3220" s="175"/>
      <c r="H3220" s="176" t="s">
        <v>461</v>
      </c>
      <c r="I3220" s="176"/>
      <c r="J3220" s="900" t="s">
        <v>2755</v>
      </c>
      <c r="K3220" s="164" t="s">
        <v>912</v>
      </c>
      <c r="L3220" s="164"/>
      <c r="M3220" s="164"/>
      <c r="N3220" s="164" t="s">
        <v>819</v>
      </c>
      <c r="O3220" s="164"/>
      <c r="P3220" s="178" t="s">
        <v>461</v>
      </c>
      <c r="Q3220" s="164" t="s">
        <v>820</v>
      </c>
      <c r="R3220" s="177" t="s">
        <v>895</v>
      </c>
      <c r="S3220" s="354"/>
      <c r="T3220" s="173"/>
      <c r="U3220" s="173"/>
      <c r="V3220" s="173"/>
      <c r="W3220" s="313" t="s">
        <v>857</v>
      </c>
      <c r="X3220" s="645" t="s">
        <v>12527</v>
      </c>
      <c r="Y3220" s="354"/>
      <c r="Z3220" s="176"/>
      <c r="AA3220" s="176"/>
      <c r="AB3220" s="32">
        <f t="shared" ca="1" si="75"/>
        <v>0.95136966561295666</v>
      </c>
      <c r="AC3220" s="812"/>
      <c r="AD3220" s="763"/>
      <c r="AE3220" s="807"/>
      <c r="AF3220" s="921">
        <f>IF(X3220=X3219,AF3219,0)+IF(ISNUMBER(I3220),IF(I3220&lt;1,I3220,I3220*VLOOKUP(J3220,Summary!$H$2:$I$9,2)),VLOOKUP(J3220,Summary!$J$2:$K$9,2)*IF(ISNUMBER(H3220),H3220,1))</f>
        <v>0.49791666666666662</v>
      </c>
      <c r="AG3220" s="289">
        <v>3219</v>
      </c>
      <c r="AH3220" s="94"/>
      <c r="AI3220" s="94"/>
      <c r="AJ3220" s="3"/>
    </row>
    <row r="3221" spans="1:36" s="22" customFormat="1" ht="12" customHeight="1" x14ac:dyDescent="0.25">
      <c r="A3221" s="561"/>
      <c r="B3221" s="561" t="s">
        <v>3365</v>
      </c>
      <c r="C3221" s="561">
        <v>12.11</v>
      </c>
      <c r="D3221" s="176" t="s">
        <v>2805</v>
      </c>
      <c r="E3221" s="313" t="s">
        <v>2806</v>
      </c>
      <c r="F3221" s="174">
        <v>38261</v>
      </c>
      <c r="G3221" s="174"/>
      <c r="H3221" s="176">
        <v>1</v>
      </c>
      <c r="I3221" s="176">
        <v>11</v>
      </c>
      <c r="J3221" s="900" t="s">
        <v>2755</v>
      </c>
      <c r="K3221" s="164" t="s">
        <v>176</v>
      </c>
      <c r="L3221" s="164" t="s">
        <v>461</v>
      </c>
      <c r="M3221" s="164"/>
      <c r="N3221" s="164" t="s">
        <v>7381</v>
      </c>
      <c r="O3221" s="164"/>
      <c r="P3221" s="173" t="s">
        <v>2756</v>
      </c>
      <c r="Q3221" s="164" t="s">
        <v>3947</v>
      </c>
      <c r="R3221" s="177" t="s">
        <v>2723</v>
      </c>
      <c r="S3221" s="354"/>
      <c r="T3221" s="173"/>
      <c r="U3221" s="173"/>
      <c r="V3221" s="173"/>
      <c r="W3221" s="313" t="s">
        <v>2806</v>
      </c>
      <c r="X3221" s="645" t="s">
        <v>12527</v>
      </c>
      <c r="Y3221" s="354"/>
      <c r="Z3221" s="176"/>
      <c r="AA3221" s="176"/>
      <c r="AB3221" s="32">
        <f t="shared" ca="1" si="75"/>
        <v>7.9887828982354581E-2</v>
      </c>
      <c r="AC3221" s="812"/>
      <c r="AD3221" s="763"/>
      <c r="AE3221" s="807"/>
      <c r="AF3221" s="921">
        <f>IF(X3221=X3220,AF3220,0)+IF(ISNUMBER(I3221),IF(I3221&lt;1,I3221,I3221*VLOOKUP(J3221,Summary!$H$2:$I$9,2)),VLOOKUP(J3221,Summary!$J$2:$K$9,2)*IF(ISNUMBER(H3221),H3221,1))</f>
        <v>0.50555555555555554</v>
      </c>
      <c r="AG3221" s="289">
        <v>3220</v>
      </c>
      <c r="AH3221" s="94"/>
      <c r="AI3221" s="94"/>
      <c r="AJ3221" s="3"/>
    </row>
    <row r="3222" spans="1:36" s="22" customFormat="1" ht="12" customHeight="1" x14ac:dyDescent="0.25">
      <c r="A3222" s="561"/>
      <c r="B3222" s="561" t="s">
        <v>3365</v>
      </c>
      <c r="C3222" s="561">
        <v>10</v>
      </c>
      <c r="D3222" s="176" t="s">
        <v>9817</v>
      </c>
      <c r="E3222" s="313" t="s">
        <v>9818</v>
      </c>
      <c r="F3222" s="175">
        <v>41802</v>
      </c>
      <c r="G3222" s="174"/>
      <c r="H3222" s="176">
        <v>1</v>
      </c>
      <c r="I3222" s="176">
        <v>2</v>
      </c>
      <c r="J3222" s="900" t="s">
        <v>2755</v>
      </c>
      <c r="K3222" s="164" t="s">
        <v>9281</v>
      </c>
      <c r="L3222" s="164" t="s">
        <v>461</v>
      </c>
      <c r="M3222" s="164"/>
      <c r="N3222" s="164" t="s">
        <v>543</v>
      </c>
      <c r="O3222" s="164"/>
      <c r="P3222" s="173" t="s">
        <v>9278</v>
      </c>
      <c r="Q3222" s="164" t="s">
        <v>3953</v>
      </c>
      <c r="R3222" s="177" t="s">
        <v>9279</v>
      </c>
      <c r="S3222" s="354"/>
      <c r="T3222" s="173"/>
      <c r="U3222" s="173"/>
      <c r="V3222" s="173"/>
      <c r="W3222" s="313" t="s">
        <v>9818</v>
      </c>
      <c r="X3222" s="645" t="s">
        <v>12527</v>
      </c>
      <c r="Y3222" s="354" t="s">
        <v>6868</v>
      </c>
      <c r="Z3222" s="176"/>
      <c r="AA3222" s="176"/>
      <c r="AB3222" s="32">
        <f t="shared" ca="1" si="75"/>
        <v>0.22590878751134857</v>
      </c>
      <c r="AC3222" s="812"/>
      <c r="AD3222" s="763"/>
      <c r="AE3222" s="807"/>
      <c r="AF3222" s="921">
        <f>IF(X3222=X3221,AF3221,0)+IF(ISNUMBER(I3222),IF(I3222&lt;1,I3222,I3222*VLOOKUP(J3222,Summary!$H$2:$I$9,2)),VLOOKUP(J3222,Summary!$J$2:$K$9,2)*IF(ISNUMBER(H3222),H3222,1))</f>
        <v>0.50694444444444442</v>
      </c>
      <c r="AG3222" s="289">
        <v>3221</v>
      </c>
      <c r="AH3222" s="94"/>
      <c r="AI3222" s="94"/>
    </row>
    <row r="3223" spans="1:36" s="22" customFormat="1" ht="12" customHeight="1" x14ac:dyDescent="0.25">
      <c r="A3223" s="561"/>
      <c r="B3223" s="561" t="s">
        <v>3365</v>
      </c>
      <c r="C3223" s="561">
        <v>2.16</v>
      </c>
      <c r="D3223" s="434" t="s">
        <v>4190</v>
      </c>
      <c r="E3223" s="324" t="s">
        <v>4188</v>
      </c>
      <c r="F3223" s="174">
        <v>36220</v>
      </c>
      <c r="G3223" s="174"/>
      <c r="H3223" s="176">
        <v>1</v>
      </c>
      <c r="I3223" s="176">
        <v>26</v>
      </c>
      <c r="J3223" s="900" t="s">
        <v>2755</v>
      </c>
      <c r="K3223" s="164" t="s">
        <v>4551</v>
      </c>
      <c r="L3223" s="164" t="s">
        <v>461</v>
      </c>
      <c r="M3223" s="164"/>
      <c r="N3223" s="164" t="s">
        <v>6237</v>
      </c>
      <c r="O3223" s="164"/>
      <c r="P3223" s="173" t="s">
        <v>6561</v>
      </c>
      <c r="Q3223" s="164" t="s">
        <v>3953</v>
      </c>
      <c r="R3223" s="177" t="s">
        <v>2723</v>
      </c>
      <c r="S3223" s="354"/>
      <c r="T3223" s="173"/>
      <c r="U3223" s="173"/>
      <c r="V3223" s="173"/>
      <c r="W3223" s="324" t="s">
        <v>4188</v>
      </c>
      <c r="X3223" s="656" t="s">
        <v>12527</v>
      </c>
      <c r="Y3223" s="354" t="s">
        <v>6868</v>
      </c>
      <c r="Z3223" s="176">
        <v>999</v>
      </c>
      <c r="AA3223" s="364"/>
      <c r="AB3223" s="32">
        <f t="shared" ca="1" si="75"/>
        <v>0.48706597016156761</v>
      </c>
      <c r="AC3223" s="812"/>
      <c r="AD3223" s="763"/>
      <c r="AE3223" s="807"/>
      <c r="AF3223" s="921">
        <f>IF(X3223=X3222,AF3222,0)+IF(ISNUMBER(I3223),IF(I3223&lt;1,I3223,I3223*VLOOKUP(J3223,Summary!$H$2:$I$9,2)),VLOOKUP(J3223,Summary!$J$2:$K$9,2)*IF(ISNUMBER(H3223),H3223,1))</f>
        <v>0.52500000000000002</v>
      </c>
      <c r="AG3223" s="288">
        <v>3222</v>
      </c>
      <c r="AH3223" s="94"/>
      <c r="AI3223" s="94"/>
    </row>
    <row r="3224" spans="1:36" s="22" customFormat="1" ht="12" customHeight="1" x14ac:dyDescent="0.25">
      <c r="A3224" s="561"/>
      <c r="B3224" s="561" t="s">
        <v>3365</v>
      </c>
      <c r="C3224" s="561">
        <v>3.08</v>
      </c>
      <c r="D3224" s="434" t="s">
        <v>4191</v>
      </c>
      <c r="E3224" s="324" t="s">
        <v>4189</v>
      </c>
      <c r="F3224" s="174">
        <v>36586</v>
      </c>
      <c r="G3224" s="174"/>
      <c r="H3224" s="176">
        <v>1</v>
      </c>
      <c r="I3224" s="176">
        <v>25</v>
      </c>
      <c r="J3224" s="900" t="s">
        <v>2755</v>
      </c>
      <c r="K3224" s="164" t="s">
        <v>4551</v>
      </c>
      <c r="L3224" s="164" t="s">
        <v>461</v>
      </c>
      <c r="M3224" s="164"/>
      <c r="N3224" s="164" t="s">
        <v>4992</v>
      </c>
      <c r="O3224" s="164"/>
      <c r="P3224" s="173" t="s">
        <v>4993</v>
      </c>
      <c r="Q3224" s="164" t="s">
        <v>3953</v>
      </c>
      <c r="R3224" s="177" t="s">
        <v>2723</v>
      </c>
      <c r="S3224" s="354"/>
      <c r="T3224" s="173"/>
      <c r="U3224" s="173"/>
      <c r="V3224" s="173"/>
      <c r="W3224" s="324" t="s">
        <v>4189</v>
      </c>
      <c r="X3224" s="656" t="s">
        <v>12527</v>
      </c>
      <c r="Y3224" s="354" t="s">
        <v>6868</v>
      </c>
      <c r="Z3224" s="176">
        <v>999</v>
      </c>
      <c r="AA3224" s="364"/>
      <c r="AB3224" s="32">
        <f t="shared" ca="1" si="75"/>
        <v>0.37950596127770908</v>
      </c>
      <c r="AC3224" s="812"/>
      <c r="AD3224" s="763"/>
      <c r="AE3224" s="807"/>
      <c r="AF3224" s="921">
        <f>IF(X3224=X3223,AF3223,0)+IF(ISNUMBER(I3224),IF(I3224&lt;1,I3224,I3224*VLOOKUP(J3224,Summary!$H$2:$I$9,2)),VLOOKUP(J3224,Summary!$J$2:$K$9,2)*IF(ISNUMBER(H3224),H3224,1))</f>
        <v>0.54236111111111118</v>
      </c>
      <c r="AG3224" s="288">
        <v>3223</v>
      </c>
      <c r="AH3224" s="94"/>
      <c r="AI3224" s="94"/>
    </row>
    <row r="3225" spans="1:36" s="22" customFormat="1" ht="12" customHeight="1" x14ac:dyDescent="0.25">
      <c r="A3225" s="561"/>
      <c r="B3225" s="561" t="s">
        <v>3365</v>
      </c>
      <c r="C3225" s="561">
        <v>8.15</v>
      </c>
      <c r="D3225" s="176" t="s">
        <v>2295</v>
      </c>
      <c r="E3225" s="313" t="s">
        <v>2296</v>
      </c>
      <c r="F3225" s="174">
        <v>37956</v>
      </c>
      <c r="G3225" s="174"/>
      <c r="H3225" s="176">
        <v>1</v>
      </c>
      <c r="I3225" s="176">
        <v>9</v>
      </c>
      <c r="J3225" s="900" t="s">
        <v>2755</v>
      </c>
      <c r="K3225" s="164" t="s">
        <v>4551</v>
      </c>
      <c r="L3225" s="164" t="s">
        <v>461</v>
      </c>
      <c r="M3225" s="164"/>
      <c r="N3225" s="164" t="s">
        <v>4996</v>
      </c>
      <c r="O3225" s="164"/>
      <c r="P3225" s="173" t="s">
        <v>2555</v>
      </c>
      <c r="Q3225" s="164" t="s">
        <v>3947</v>
      </c>
      <c r="R3225" s="177" t="s">
        <v>2723</v>
      </c>
      <c r="S3225" s="354">
        <v>2</v>
      </c>
      <c r="T3225" s="173">
        <v>5</v>
      </c>
      <c r="U3225" s="164">
        <v>8</v>
      </c>
      <c r="V3225" s="173"/>
      <c r="W3225" s="313" t="s">
        <v>2296</v>
      </c>
      <c r="X3225" s="645" t="s">
        <v>12527</v>
      </c>
      <c r="Y3225" s="354"/>
      <c r="Z3225" s="176"/>
      <c r="AA3225" s="176"/>
      <c r="AB3225" s="32">
        <f t="shared" ca="1" si="75"/>
        <v>0.86481780254037688</v>
      </c>
      <c r="AC3225" s="812"/>
      <c r="AD3225" s="763"/>
      <c r="AE3225" s="807"/>
      <c r="AF3225" s="921">
        <f>IF(X3225=X3224,AF3224,0)+IF(ISNUMBER(I3225),IF(I3225&lt;1,I3225,I3225*VLOOKUP(J3225,Summary!$H$2:$I$9,2)),VLOOKUP(J3225,Summary!$J$2:$K$9,2)*IF(ISNUMBER(H3225),H3225,1))</f>
        <v>0.54861111111111116</v>
      </c>
      <c r="AG3225" s="289">
        <v>3224</v>
      </c>
      <c r="AH3225" s="94"/>
      <c r="AI3225" s="94"/>
    </row>
    <row r="3226" spans="1:36" s="27" customFormat="1" ht="12" customHeight="1" x14ac:dyDescent="0.25">
      <c r="A3226" s="564" t="s">
        <v>11222</v>
      </c>
      <c r="B3226" s="564" t="s">
        <v>3365</v>
      </c>
      <c r="C3226" s="564">
        <v>9</v>
      </c>
      <c r="D3226" s="417" t="s">
        <v>3366</v>
      </c>
      <c r="E3226" s="316" t="s">
        <v>3367</v>
      </c>
      <c r="F3226" s="187">
        <v>37803</v>
      </c>
      <c r="G3226" s="188"/>
      <c r="H3226" s="188" t="str">
        <f>IF(J3226="Book","n/a","")</f>
        <v>n/a</v>
      </c>
      <c r="I3226" s="188">
        <v>121</v>
      </c>
      <c r="J3226" s="902" t="s">
        <v>6868</v>
      </c>
      <c r="K3226" s="162" t="s">
        <v>6236</v>
      </c>
      <c r="L3226" s="162" t="str">
        <f>IF(J3226="Book","n/a","")</f>
        <v>n/a</v>
      </c>
      <c r="M3226" s="162"/>
      <c r="N3226" s="162"/>
      <c r="O3226" s="162"/>
      <c r="P3226" s="178" t="s">
        <v>8864</v>
      </c>
      <c r="Q3226" s="162" t="s">
        <v>6055</v>
      </c>
      <c r="R3226" s="189" t="s">
        <v>11252</v>
      </c>
      <c r="S3226" s="366"/>
      <c r="T3226" s="178"/>
      <c r="U3226" s="178"/>
      <c r="V3226" s="178"/>
      <c r="W3226" s="316" t="s">
        <v>3367</v>
      </c>
      <c r="X3226" s="648" t="s">
        <v>12467</v>
      </c>
      <c r="Y3226" s="356"/>
      <c r="Z3226" s="272"/>
      <c r="AA3226" s="272"/>
      <c r="AB3226" s="34">
        <f t="shared" ca="1" si="75"/>
        <v>0.2377418555970543</v>
      </c>
      <c r="AC3226" s="814"/>
      <c r="AD3226" s="815" t="s">
        <v>16748</v>
      </c>
      <c r="AE3226" s="942"/>
      <c r="AF3226" s="923">
        <f>IF(X3226=X3225,AF3225,0)+IF(ISNUMBER(I3226),IF(I3226&lt;1,I3226,I3226*VLOOKUP(J3226,Summary!$H$2:$I$9,2)),VLOOKUP(J3226,Summary!$J$2:$K$9,2)*IF(ISNUMBER(H3226),H3226,1))</f>
        <v>8.4027777777777785E-2</v>
      </c>
      <c r="AG3226" s="291">
        <v>3225</v>
      </c>
      <c r="AH3226" s="119"/>
      <c r="AI3226" s="119"/>
    </row>
    <row r="3227" spans="1:36" s="22" customFormat="1" ht="12" customHeight="1" x14ac:dyDescent="0.25">
      <c r="A3227" s="474" t="s">
        <v>11222</v>
      </c>
      <c r="B3227" s="507" t="s">
        <v>2650</v>
      </c>
      <c r="C3227" s="474">
        <v>1</v>
      </c>
      <c r="D3227" s="417" t="s">
        <v>11223</v>
      </c>
      <c r="E3227" s="316" t="s">
        <v>11224</v>
      </c>
      <c r="F3227" s="187">
        <v>37926</v>
      </c>
      <c r="G3227" s="195"/>
      <c r="H3227" s="188" t="s">
        <v>461</v>
      </c>
      <c r="I3227" s="188">
        <v>82</v>
      </c>
      <c r="J3227" s="902" t="s">
        <v>6868</v>
      </c>
      <c r="K3227" s="162" t="s">
        <v>2311</v>
      </c>
      <c r="L3227" s="162" t="s">
        <v>461</v>
      </c>
      <c r="M3227" s="162"/>
      <c r="N3227" s="162"/>
      <c r="O3227" s="162"/>
      <c r="P3227" s="178" t="s">
        <v>11225</v>
      </c>
      <c r="Q3227" s="162" t="s">
        <v>6055</v>
      </c>
      <c r="R3227" s="189" t="s">
        <v>11252</v>
      </c>
      <c r="S3227" s="366"/>
      <c r="T3227" s="178"/>
      <c r="U3227" s="178"/>
      <c r="V3227" s="178"/>
      <c r="W3227" s="316" t="s">
        <v>11224</v>
      </c>
      <c r="X3227" s="648" t="s">
        <v>12467</v>
      </c>
      <c r="Y3227" s="356"/>
      <c r="Z3227" s="272"/>
      <c r="AA3227" s="272"/>
      <c r="AB3227" s="34">
        <f t="shared" ca="1" si="75"/>
        <v>0.58649175795762121</v>
      </c>
      <c r="AC3227" s="814"/>
      <c r="AD3227" s="815" t="s">
        <v>16749</v>
      </c>
      <c r="AE3227" s="942" t="s">
        <v>16664</v>
      </c>
      <c r="AF3227" s="923">
        <f>IF(X3227=X3226,AF3226,0)+IF(ISNUMBER(I3227),IF(I3227&lt;1,I3227,I3227*VLOOKUP(J3227,Summary!$H$2:$I$9,2)),VLOOKUP(J3227,Summary!$J$2:$K$9,2)*IF(ISNUMBER(H3227),H3227,1))</f>
        <v>0.14097222222222222</v>
      </c>
      <c r="AG3227" s="291">
        <v>3226</v>
      </c>
      <c r="AH3227" s="94"/>
      <c r="AI3227" s="94"/>
    </row>
    <row r="3228" spans="1:36" s="27" customFormat="1" ht="12" customHeight="1" x14ac:dyDescent="0.25">
      <c r="A3228" s="474" t="s">
        <v>11222</v>
      </c>
      <c r="B3228" s="507" t="s">
        <v>2650</v>
      </c>
      <c r="C3228" s="474">
        <v>2</v>
      </c>
      <c r="D3228" s="417" t="s">
        <v>11226</v>
      </c>
      <c r="E3228" s="316" t="s">
        <v>11236</v>
      </c>
      <c r="F3228" s="187">
        <v>38047</v>
      </c>
      <c r="G3228" s="195"/>
      <c r="H3228" s="188" t="s">
        <v>461</v>
      </c>
      <c r="I3228" s="188">
        <v>107</v>
      </c>
      <c r="J3228" s="902" t="s">
        <v>6868</v>
      </c>
      <c r="K3228" s="162" t="s">
        <v>11245</v>
      </c>
      <c r="L3228" s="162" t="s">
        <v>461</v>
      </c>
      <c r="M3228" s="162"/>
      <c r="N3228" s="162"/>
      <c r="O3228" s="162"/>
      <c r="P3228" s="178" t="s">
        <v>11261</v>
      </c>
      <c r="Q3228" s="162" t="s">
        <v>6055</v>
      </c>
      <c r="R3228" s="189" t="s">
        <v>11252</v>
      </c>
      <c r="S3228" s="366"/>
      <c r="T3228" s="178"/>
      <c r="U3228" s="178"/>
      <c r="V3228" s="178"/>
      <c r="W3228" s="316" t="s">
        <v>11236</v>
      </c>
      <c r="X3228" s="648" t="s">
        <v>12467</v>
      </c>
      <c r="Y3228" s="356"/>
      <c r="Z3228" s="272"/>
      <c r="AA3228" s="272"/>
      <c r="AB3228" s="34">
        <f t="shared" ca="1" si="75"/>
        <v>0.83162860049676968</v>
      </c>
      <c r="AC3228" s="814"/>
      <c r="AD3228" s="815" t="s">
        <v>15086</v>
      </c>
      <c r="AE3228" s="942" t="s">
        <v>15093</v>
      </c>
      <c r="AF3228" s="923">
        <f>IF(X3228=X3227,AF3227,0)+IF(ISNUMBER(I3228),IF(I3228&lt;1,I3228,I3228*VLOOKUP(J3228,Summary!$H$2:$I$9,2)),VLOOKUP(J3228,Summary!$J$2:$K$9,2)*IF(ISNUMBER(H3228),H3228,1))</f>
        <v>0.21527777777777779</v>
      </c>
      <c r="AG3228" s="291">
        <v>3227</v>
      </c>
      <c r="AH3228" s="119"/>
      <c r="AI3228" s="119"/>
    </row>
    <row r="3229" spans="1:36" s="43" customFormat="1" ht="12" customHeight="1" x14ac:dyDescent="0.25">
      <c r="A3229" s="474" t="s">
        <v>11222</v>
      </c>
      <c r="B3229" s="507" t="s">
        <v>2650</v>
      </c>
      <c r="C3229" s="474">
        <v>3</v>
      </c>
      <c r="D3229" s="417" t="s">
        <v>11227</v>
      </c>
      <c r="E3229" s="316" t="s">
        <v>11237</v>
      </c>
      <c r="F3229" s="187">
        <v>38139</v>
      </c>
      <c r="G3229" s="195"/>
      <c r="H3229" s="188" t="s">
        <v>461</v>
      </c>
      <c r="I3229" s="188">
        <v>96</v>
      </c>
      <c r="J3229" s="902" t="s">
        <v>6868</v>
      </c>
      <c r="K3229" s="162" t="s">
        <v>11246</v>
      </c>
      <c r="L3229" s="162" t="s">
        <v>461</v>
      </c>
      <c r="M3229" s="162"/>
      <c r="N3229" s="162"/>
      <c r="O3229" s="162"/>
      <c r="P3229" s="178" t="s">
        <v>11253</v>
      </c>
      <c r="Q3229" s="162" t="s">
        <v>6055</v>
      </c>
      <c r="R3229" s="189" t="s">
        <v>11252</v>
      </c>
      <c r="S3229" s="366"/>
      <c r="T3229" s="178"/>
      <c r="U3229" s="178"/>
      <c r="V3229" s="178"/>
      <c r="W3229" s="316" t="s">
        <v>11237</v>
      </c>
      <c r="X3229" s="648" t="s">
        <v>12467</v>
      </c>
      <c r="Y3229" s="356"/>
      <c r="Z3229" s="272"/>
      <c r="AA3229" s="272"/>
      <c r="AB3229" s="34">
        <f t="shared" ca="1" si="75"/>
        <v>0.7456179524881702</v>
      </c>
      <c r="AC3229" s="814"/>
      <c r="AD3229" s="815">
        <v>1805</v>
      </c>
      <c r="AE3229" s="942"/>
      <c r="AF3229" s="923">
        <f>IF(X3229=X3228,AF3228,0)+IF(ISNUMBER(I3229),IF(I3229&lt;1,I3229,I3229*VLOOKUP(J3229,Summary!$H$2:$I$9,2)),VLOOKUP(J3229,Summary!$J$2:$K$9,2)*IF(ISNUMBER(H3229),H3229,1))</f>
        <v>0.28194444444444444</v>
      </c>
      <c r="AG3229" s="291">
        <v>3228</v>
      </c>
      <c r="AH3229" s="94"/>
      <c r="AI3229" s="94"/>
      <c r="AJ3229" s="3"/>
    </row>
    <row r="3230" spans="1:36" s="29" customFormat="1" ht="12" customHeight="1" x14ac:dyDescent="0.25">
      <c r="A3230" s="474" t="s">
        <v>11222</v>
      </c>
      <c r="B3230" s="507" t="s">
        <v>2650</v>
      </c>
      <c r="C3230" s="474">
        <v>4</v>
      </c>
      <c r="D3230" s="417" t="s">
        <v>11228</v>
      </c>
      <c r="E3230" s="316" t="s">
        <v>11238</v>
      </c>
      <c r="F3230" s="187">
        <v>38261</v>
      </c>
      <c r="G3230" s="195"/>
      <c r="H3230" s="188" t="s">
        <v>461</v>
      </c>
      <c r="I3230" s="188">
        <v>112</v>
      </c>
      <c r="J3230" s="902" t="s">
        <v>6868</v>
      </c>
      <c r="K3230" s="162" t="s">
        <v>11247</v>
      </c>
      <c r="L3230" s="162" t="s">
        <v>461</v>
      </c>
      <c r="M3230" s="162"/>
      <c r="N3230" s="162"/>
      <c r="O3230" s="162"/>
      <c r="P3230" s="178" t="s">
        <v>11254</v>
      </c>
      <c r="Q3230" s="162" t="s">
        <v>6055</v>
      </c>
      <c r="R3230" s="189" t="s">
        <v>11252</v>
      </c>
      <c r="S3230" s="366"/>
      <c r="T3230" s="178"/>
      <c r="U3230" s="178"/>
      <c r="V3230" s="178"/>
      <c r="W3230" s="316" t="s">
        <v>11238</v>
      </c>
      <c r="X3230" s="648" t="s">
        <v>12467</v>
      </c>
      <c r="Y3230" s="356"/>
      <c r="Z3230" s="272"/>
      <c r="AA3230" s="272"/>
      <c r="AB3230" s="34">
        <f t="shared" ca="1" si="75"/>
        <v>0.48707180327032551</v>
      </c>
      <c r="AC3230" s="814"/>
      <c r="AD3230" s="815" t="s">
        <v>16083</v>
      </c>
      <c r="AE3230" s="942" t="s">
        <v>12543</v>
      </c>
      <c r="AF3230" s="923">
        <f>IF(X3230=X3229,AF3229,0)+IF(ISNUMBER(I3230),IF(I3230&lt;1,I3230,I3230*VLOOKUP(J3230,Summary!$H$2:$I$9,2)),VLOOKUP(J3230,Summary!$J$2:$K$9,2)*IF(ISNUMBER(H3230),H3230,1))</f>
        <v>0.35972222222222222</v>
      </c>
      <c r="AG3230" s="291">
        <v>3229</v>
      </c>
      <c r="AH3230" s="94"/>
      <c r="AI3230" s="94"/>
      <c r="AJ3230" s="3"/>
    </row>
    <row r="3231" spans="1:36" s="29" customFormat="1" ht="12" customHeight="1" x14ac:dyDescent="0.25">
      <c r="A3231" s="474" t="s">
        <v>11222</v>
      </c>
      <c r="B3231" s="507" t="s">
        <v>2650</v>
      </c>
      <c r="C3231" s="474">
        <v>5</v>
      </c>
      <c r="D3231" s="417" t="s">
        <v>11229</v>
      </c>
      <c r="E3231" s="316" t="s">
        <v>11239</v>
      </c>
      <c r="F3231" s="187">
        <v>38322</v>
      </c>
      <c r="G3231" s="195"/>
      <c r="H3231" s="188" t="s">
        <v>461</v>
      </c>
      <c r="I3231" s="188">
        <v>120</v>
      </c>
      <c r="J3231" s="902" t="s">
        <v>6868</v>
      </c>
      <c r="K3231" s="162" t="s">
        <v>2310</v>
      </c>
      <c r="L3231" s="162" t="s">
        <v>461</v>
      </c>
      <c r="M3231" s="162"/>
      <c r="N3231" s="162"/>
      <c r="O3231" s="162"/>
      <c r="P3231" s="178" t="s">
        <v>11255</v>
      </c>
      <c r="Q3231" s="162" t="s">
        <v>6055</v>
      </c>
      <c r="R3231" s="189" t="s">
        <v>11252</v>
      </c>
      <c r="S3231" s="366"/>
      <c r="T3231" s="178"/>
      <c r="U3231" s="178"/>
      <c r="V3231" s="178"/>
      <c r="W3231" s="316" t="s">
        <v>11239</v>
      </c>
      <c r="X3231" s="648" t="s">
        <v>12467</v>
      </c>
      <c r="Y3231" s="356"/>
      <c r="Z3231" s="272"/>
      <c r="AA3231" s="272"/>
      <c r="AB3231" s="34">
        <f t="shared" ca="1" si="75"/>
        <v>0.76952574714212907</v>
      </c>
      <c r="AC3231" s="814"/>
      <c r="AD3231" s="815" t="s">
        <v>16688</v>
      </c>
      <c r="AE3231" s="942"/>
      <c r="AF3231" s="923">
        <f>IF(X3231=X3230,AF3230,0)+IF(ISNUMBER(I3231),IF(I3231&lt;1,I3231,I3231*VLOOKUP(J3231,Summary!$H$2:$I$9,2)),VLOOKUP(J3231,Summary!$J$2:$K$9,2)*IF(ISNUMBER(H3231),H3231,1))</f>
        <v>0.44305555555555554</v>
      </c>
      <c r="AG3231" s="291">
        <v>3230</v>
      </c>
      <c r="AH3231" s="94"/>
      <c r="AI3231" s="94"/>
      <c r="AJ3231" s="3"/>
    </row>
    <row r="3232" spans="1:36" s="3" customFormat="1" ht="12" customHeight="1" x14ac:dyDescent="0.25">
      <c r="A3232" s="474" t="s">
        <v>11222</v>
      </c>
      <c r="B3232" s="507" t="s">
        <v>2650</v>
      </c>
      <c r="C3232" s="474">
        <v>6</v>
      </c>
      <c r="D3232" s="417" t="s">
        <v>11230</v>
      </c>
      <c r="E3232" s="316" t="s">
        <v>1871</v>
      </c>
      <c r="F3232" s="187">
        <v>38443</v>
      </c>
      <c r="G3232" s="195"/>
      <c r="H3232" s="188" t="s">
        <v>461</v>
      </c>
      <c r="I3232" s="188">
        <v>150</v>
      </c>
      <c r="J3232" s="902" t="s">
        <v>6868</v>
      </c>
      <c r="K3232" s="162" t="s">
        <v>145</v>
      </c>
      <c r="L3232" s="162" t="s">
        <v>461</v>
      </c>
      <c r="M3232" s="162"/>
      <c r="N3232" s="162"/>
      <c r="O3232" s="162"/>
      <c r="P3232" s="178" t="s">
        <v>11256</v>
      </c>
      <c r="Q3232" s="162" t="s">
        <v>6055</v>
      </c>
      <c r="R3232" s="189" t="s">
        <v>11252</v>
      </c>
      <c r="S3232" s="366"/>
      <c r="T3232" s="178"/>
      <c r="U3232" s="178"/>
      <c r="V3232" s="178"/>
      <c r="W3232" s="316" t="s">
        <v>1871</v>
      </c>
      <c r="X3232" s="648" t="s">
        <v>12467</v>
      </c>
      <c r="Y3232" s="356"/>
      <c r="Z3232" s="272"/>
      <c r="AA3232" s="272"/>
      <c r="AB3232" s="34">
        <f t="shared" ca="1" si="75"/>
        <v>0.61195479405469855</v>
      </c>
      <c r="AC3232" s="814"/>
      <c r="AD3232" s="815" t="s">
        <v>15088</v>
      </c>
      <c r="AE3232" s="942" t="s">
        <v>15093</v>
      </c>
      <c r="AF3232" s="923">
        <f>IF(X3232=X3231,AF3231,0)+IF(ISNUMBER(I3232),IF(I3232&lt;1,I3232,I3232*VLOOKUP(J3232,Summary!$H$2:$I$9,2)),VLOOKUP(J3232,Summary!$J$2:$K$9,2)*IF(ISNUMBER(H3232),H3232,1))</f>
        <v>0.54722222222222217</v>
      </c>
      <c r="AG3232" s="291">
        <v>3231</v>
      </c>
      <c r="AH3232" s="94"/>
      <c r="AI3232" s="94"/>
    </row>
    <row r="3233" spans="1:36" s="29" customFormat="1" ht="12" customHeight="1" x14ac:dyDescent="0.25">
      <c r="A3233" s="474" t="s">
        <v>11222</v>
      </c>
      <c r="B3233" s="507" t="s">
        <v>2650</v>
      </c>
      <c r="C3233" s="474">
        <v>7</v>
      </c>
      <c r="D3233" s="417" t="s">
        <v>11231</v>
      </c>
      <c r="E3233" s="316" t="s">
        <v>11240</v>
      </c>
      <c r="F3233" s="187">
        <v>38534</v>
      </c>
      <c r="G3233" s="195"/>
      <c r="H3233" s="188" t="s">
        <v>461</v>
      </c>
      <c r="I3233" s="188">
        <v>142</v>
      </c>
      <c r="J3233" s="902" t="s">
        <v>6868</v>
      </c>
      <c r="K3233" s="162" t="s">
        <v>3324</v>
      </c>
      <c r="L3233" s="162" t="s">
        <v>461</v>
      </c>
      <c r="M3233" s="162"/>
      <c r="N3233" s="162"/>
      <c r="O3233" s="162"/>
      <c r="P3233" s="178" t="s">
        <v>11257</v>
      </c>
      <c r="Q3233" s="162" t="s">
        <v>6055</v>
      </c>
      <c r="R3233" s="189" t="s">
        <v>11252</v>
      </c>
      <c r="S3233" s="366"/>
      <c r="T3233" s="178"/>
      <c r="U3233" s="178"/>
      <c r="V3233" s="178"/>
      <c r="W3233" s="316" t="s">
        <v>11240</v>
      </c>
      <c r="X3233" s="648" t="s">
        <v>12467</v>
      </c>
      <c r="Y3233" s="356"/>
      <c r="Z3233" s="272"/>
      <c r="AA3233" s="272"/>
      <c r="AB3233" s="34">
        <f t="shared" ca="1" si="75"/>
        <v>0.93037348821164667</v>
      </c>
      <c r="AC3233" s="814"/>
      <c r="AD3233" s="815" t="s">
        <v>16750</v>
      </c>
      <c r="AE3233" s="942"/>
      <c r="AF3233" s="923">
        <f>IF(X3233=X3232,AF3232,0)+IF(ISNUMBER(I3233),IF(I3233&lt;1,I3233,I3233*VLOOKUP(J3233,Summary!$H$2:$I$9,2)),VLOOKUP(J3233,Summary!$J$2:$K$9,2)*IF(ISNUMBER(H3233),H3233,1))</f>
        <v>0.64583333333333326</v>
      </c>
      <c r="AG3233" s="291">
        <v>3232</v>
      </c>
      <c r="AH3233" s="94"/>
      <c r="AI3233" s="94"/>
      <c r="AJ3233" s="3"/>
    </row>
    <row r="3234" spans="1:36" s="2" customFormat="1" ht="12" customHeight="1" x14ac:dyDescent="0.25">
      <c r="A3234" s="474" t="s">
        <v>11222</v>
      </c>
      <c r="B3234" s="507" t="s">
        <v>2650</v>
      </c>
      <c r="C3234" s="474">
        <v>8</v>
      </c>
      <c r="D3234" s="417" t="s">
        <v>11232</v>
      </c>
      <c r="E3234" s="316" t="s">
        <v>11241</v>
      </c>
      <c r="F3234" s="187">
        <v>38718</v>
      </c>
      <c r="G3234" s="195"/>
      <c r="H3234" s="188" t="s">
        <v>461</v>
      </c>
      <c r="I3234" s="188">
        <v>112</v>
      </c>
      <c r="J3234" s="902" t="s">
        <v>6868</v>
      </c>
      <c r="K3234" s="162" t="s">
        <v>6240</v>
      </c>
      <c r="L3234" s="162" t="s">
        <v>461</v>
      </c>
      <c r="M3234" s="162"/>
      <c r="N3234" s="162"/>
      <c r="O3234" s="162"/>
      <c r="P3234" s="178" t="s">
        <v>11258</v>
      </c>
      <c r="Q3234" s="162" t="s">
        <v>6055</v>
      </c>
      <c r="R3234" s="189" t="s">
        <v>11252</v>
      </c>
      <c r="S3234" s="366"/>
      <c r="T3234" s="178"/>
      <c r="U3234" s="178"/>
      <c r="V3234" s="178"/>
      <c r="W3234" s="316" t="s">
        <v>11241</v>
      </c>
      <c r="X3234" s="648" t="s">
        <v>12467</v>
      </c>
      <c r="Y3234" s="356"/>
      <c r="Z3234" s="272"/>
      <c r="AA3234" s="272"/>
      <c r="AB3234" s="34">
        <f t="shared" ca="1" si="75"/>
        <v>0.31851639699907552</v>
      </c>
      <c r="AC3234" s="814"/>
      <c r="AD3234" s="815" t="s">
        <v>15073</v>
      </c>
      <c r="AE3234" s="942"/>
      <c r="AF3234" s="923">
        <f>IF(X3234=X3233,AF3233,0)+IF(ISNUMBER(I3234),IF(I3234&lt;1,I3234,I3234*VLOOKUP(J3234,Summary!$H$2:$I$9,2)),VLOOKUP(J3234,Summary!$J$2:$K$9,2)*IF(ISNUMBER(H3234),H3234,1))</f>
        <v>0.72361111111111098</v>
      </c>
      <c r="AG3234" s="291">
        <v>3233</v>
      </c>
      <c r="AH3234" s="94"/>
      <c r="AI3234" s="94"/>
      <c r="AJ3234" s="3"/>
    </row>
    <row r="3235" spans="1:36" s="6" customFormat="1" ht="12" customHeight="1" x14ac:dyDescent="0.25">
      <c r="A3235" s="474" t="s">
        <v>11222</v>
      </c>
      <c r="B3235" s="507" t="s">
        <v>2650</v>
      </c>
      <c r="C3235" s="474">
        <v>9</v>
      </c>
      <c r="D3235" s="417" t="s">
        <v>11233</v>
      </c>
      <c r="E3235" s="316" t="s">
        <v>11242</v>
      </c>
      <c r="F3235" s="187">
        <v>38869</v>
      </c>
      <c r="G3235" s="195"/>
      <c r="H3235" s="188" t="s">
        <v>461</v>
      </c>
      <c r="I3235" s="188">
        <v>120</v>
      </c>
      <c r="J3235" s="902" t="s">
        <v>6868</v>
      </c>
      <c r="K3235" s="162" t="s">
        <v>4131</v>
      </c>
      <c r="L3235" s="162" t="s">
        <v>461</v>
      </c>
      <c r="M3235" s="162"/>
      <c r="N3235" s="162"/>
      <c r="O3235" s="162"/>
      <c r="P3235" s="178" t="s">
        <v>11259</v>
      </c>
      <c r="Q3235" s="162" t="s">
        <v>6055</v>
      </c>
      <c r="R3235" s="189" t="s">
        <v>11252</v>
      </c>
      <c r="S3235" s="366"/>
      <c r="T3235" s="178"/>
      <c r="U3235" s="178"/>
      <c r="V3235" s="178"/>
      <c r="W3235" s="316" t="s">
        <v>11242</v>
      </c>
      <c r="X3235" s="648" t="s">
        <v>12467</v>
      </c>
      <c r="Y3235" s="356"/>
      <c r="Z3235" s="272"/>
      <c r="AA3235" s="272"/>
      <c r="AB3235" s="34">
        <f t="shared" ca="1" si="75"/>
        <v>5.563219746350534E-2</v>
      </c>
      <c r="AC3235" s="814"/>
      <c r="AD3235" s="815" t="s">
        <v>16754</v>
      </c>
      <c r="AE3235" s="942"/>
      <c r="AF3235" s="923">
        <f>IF(X3235=X3234,AF3234,0)+IF(ISNUMBER(I3235),IF(I3235&lt;1,I3235,I3235*VLOOKUP(J3235,Summary!$H$2:$I$9,2)),VLOOKUP(J3235,Summary!$J$2:$K$9,2)*IF(ISNUMBER(H3235),H3235,1))</f>
        <v>0.80694444444444435</v>
      </c>
      <c r="AG3235" s="291">
        <v>3234</v>
      </c>
      <c r="AH3235" s="94"/>
      <c r="AI3235" s="94"/>
    </row>
    <row r="3236" spans="1:36" s="2" customFormat="1" ht="12" customHeight="1" x14ac:dyDescent="0.25">
      <c r="A3236" s="474" t="s">
        <v>11222</v>
      </c>
      <c r="B3236" s="507" t="s">
        <v>2650</v>
      </c>
      <c r="C3236" s="474">
        <v>10</v>
      </c>
      <c r="D3236" s="417" t="s">
        <v>11234</v>
      </c>
      <c r="E3236" s="316" t="s">
        <v>11243</v>
      </c>
      <c r="F3236" s="187">
        <v>38930</v>
      </c>
      <c r="G3236" s="195"/>
      <c r="H3236" s="188" t="s">
        <v>461</v>
      </c>
      <c r="I3236" s="188">
        <v>120</v>
      </c>
      <c r="J3236" s="902" t="s">
        <v>6868</v>
      </c>
      <c r="K3236" s="162" t="s">
        <v>11248</v>
      </c>
      <c r="L3236" s="162" t="s">
        <v>461</v>
      </c>
      <c r="M3236" s="162"/>
      <c r="N3236" s="162"/>
      <c r="O3236" s="162"/>
      <c r="P3236" s="178" t="s">
        <v>11260</v>
      </c>
      <c r="Q3236" s="162" t="s">
        <v>6055</v>
      </c>
      <c r="R3236" s="189" t="s">
        <v>11252</v>
      </c>
      <c r="S3236" s="366"/>
      <c r="T3236" s="178"/>
      <c r="U3236" s="178"/>
      <c r="V3236" s="178"/>
      <c r="W3236" s="316" t="s">
        <v>11243</v>
      </c>
      <c r="X3236" s="648" t="s">
        <v>12467</v>
      </c>
      <c r="Y3236" s="356"/>
      <c r="Z3236" s="272"/>
      <c r="AA3236" s="272"/>
      <c r="AB3236" s="34">
        <f t="shared" ca="1" si="75"/>
        <v>0.14523166153153289</v>
      </c>
      <c r="AC3236" s="814"/>
      <c r="AD3236" s="815" t="s">
        <v>16751</v>
      </c>
      <c r="AE3236" s="942" t="s">
        <v>16752</v>
      </c>
      <c r="AF3236" s="923">
        <f>IF(X3236=X3235,AF3235,0)+IF(ISNUMBER(I3236),IF(I3236&lt;1,I3236,I3236*VLOOKUP(J3236,Summary!$H$2:$I$9,2)),VLOOKUP(J3236,Summary!$J$2:$K$9,2)*IF(ISNUMBER(H3236),H3236,1))</f>
        <v>0.89027777777777772</v>
      </c>
      <c r="AG3236" s="291">
        <v>3235</v>
      </c>
      <c r="AH3236" s="94"/>
      <c r="AI3236" s="94"/>
      <c r="AJ3236" s="3"/>
    </row>
    <row r="3237" spans="1:36" s="2" customFormat="1" ht="12" customHeight="1" x14ac:dyDescent="0.25">
      <c r="A3237" s="474" t="s">
        <v>11222</v>
      </c>
      <c r="B3237" s="507" t="s">
        <v>2650</v>
      </c>
      <c r="C3237" s="474">
        <v>11</v>
      </c>
      <c r="D3237" s="417" t="s">
        <v>11235</v>
      </c>
      <c r="E3237" s="316" t="s">
        <v>11244</v>
      </c>
      <c r="F3237" s="187">
        <v>39295</v>
      </c>
      <c r="G3237" s="195"/>
      <c r="H3237" s="188" t="s">
        <v>461</v>
      </c>
      <c r="I3237" s="188">
        <v>151</v>
      </c>
      <c r="J3237" s="902" t="s">
        <v>6868</v>
      </c>
      <c r="K3237" s="162" t="s">
        <v>11249</v>
      </c>
      <c r="L3237" s="162" t="s">
        <v>461</v>
      </c>
      <c r="M3237" s="162"/>
      <c r="N3237" s="162"/>
      <c r="O3237" s="162"/>
      <c r="P3237" s="178" t="s">
        <v>11262</v>
      </c>
      <c r="Q3237" s="162" t="s">
        <v>6055</v>
      </c>
      <c r="R3237" s="189" t="s">
        <v>11252</v>
      </c>
      <c r="S3237" s="366"/>
      <c r="T3237" s="178"/>
      <c r="U3237" s="178"/>
      <c r="V3237" s="178"/>
      <c r="W3237" s="316" t="s">
        <v>11244</v>
      </c>
      <c r="X3237" s="648" t="s">
        <v>12467</v>
      </c>
      <c r="Y3237" s="356"/>
      <c r="Z3237" s="272"/>
      <c r="AA3237" s="272"/>
      <c r="AB3237" s="34">
        <f t="shared" ca="1" si="75"/>
        <v>0.82124531359152197</v>
      </c>
      <c r="AC3237" s="814"/>
      <c r="AD3237" s="815" t="s">
        <v>16755</v>
      </c>
      <c r="AE3237" s="950" t="s">
        <v>16259</v>
      </c>
      <c r="AF3237" s="923">
        <f>IF(X3237=X3236,AF3236,0)+IF(ISNUMBER(I3237),IF(I3237&lt;1,I3237,I3237*VLOOKUP(J3237,Summary!$H$2:$I$9,2)),VLOOKUP(J3237,Summary!$J$2:$K$9,2)*IF(ISNUMBER(H3237),H3237,1))</f>
        <v>0.9951388888888888</v>
      </c>
      <c r="AG3237" s="291">
        <v>3236</v>
      </c>
      <c r="AH3237" s="94"/>
      <c r="AI3237" s="94"/>
      <c r="AJ3237" s="3"/>
    </row>
    <row r="3238" spans="1:36" s="2" customFormat="1" ht="12" customHeight="1" x14ac:dyDescent="0.25">
      <c r="A3238" s="411"/>
      <c r="B3238" s="411" t="s">
        <v>2650</v>
      </c>
      <c r="C3238" s="411">
        <v>2</v>
      </c>
      <c r="D3238" s="185" t="s">
        <v>9926</v>
      </c>
      <c r="E3238" s="314" t="s">
        <v>9927</v>
      </c>
      <c r="F3238" s="223">
        <v>29173</v>
      </c>
      <c r="G3238" s="223">
        <v>29187</v>
      </c>
      <c r="H3238" s="185">
        <v>3</v>
      </c>
      <c r="I3238" s="185">
        <v>12</v>
      </c>
      <c r="J3238" s="901" t="s">
        <v>1796</v>
      </c>
      <c r="K3238" s="163" t="s">
        <v>6031</v>
      </c>
      <c r="L3238" s="163" t="s">
        <v>2431</v>
      </c>
      <c r="M3238" s="163"/>
      <c r="N3238" s="163" t="s">
        <v>6026</v>
      </c>
      <c r="O3238" s="163"/>
      <c r="P3238" s="182" t="s">
        <v>461</v>
      </c>
      <c r="Q3238" s="163" t="s">
        <v>4062</v>
      </c>
      <c r="R3238" s="186" t="s">
        <v>9922</v>
      </c>
      <c r="S3238" s="355"/>
      <c r="T3238" s="182"/>
      <c r="U3238" s="182" t="s">
        <v>5921</v>
      </c>
      <c r="V3238" s="182"/>
      <c r="W3238" s="314"/>
      <c r="X3238" s="646" t="s">
        <v>12528</v>
      </c>
      <c r="Y3238" s="355"/>
      <c r="Z3238" s="158"/>
      <c r="AA3238" s="185"/>
      <c r="AB3238" s="33">
        <f t="shared" ca="1" si="75"/>
        <v>0.4871878895282441</v>
      </c>
      <c r="AC3238" s="813"/>
      <c r="AD3238" s="211" t="s">
        <v>16210</v>
      </c>
      <c r="AE3238" s="941" t="s">
        <v>3365</v>
      </c>
      <c r="AF3238" s="922">
        <f>IF(X3238=X3237,AF3237,0)+IF(ISNUMBER(I3238),IF(I3238&lt;1,I3238,I3238*VLOOKUP(J3238,Summary!$H$2:$I$9,2)),VLOOKUP(J3238,Summary!$J$2:$K$9,2)*IF(ISNUMBER(H3238),H3238,1))</f>
        <v>4.1666666666666666E-3</v>
      </c>
      <c r="AG3238" s="290">
        <v>3237</v>
      </c>
      <c r="AH3238" s="94"/>
      <c r="AI3238" s="94"/>
      <c r="AJ3238" s="3"/>
    </row>
    <row r="3239" spans="1:36" s="22" customFormat="1" ht="12" customHeight="1" x14ac:dyDescent="0.25">
      <c r="A3239" s="411"/>
      <c r="B3239" s="411" t="s">
        <v>2650</v>
      </c>
      <c r="C3239" s="411">
        <v>10</v>
      </c>
      <c r="D3239" s="185" t="s">
        <v>9942</v>
      </c>
      <c r="E3239" s="314" t="s">
        <v>1334</v>
      </c>
      <c r="F3239" s="223">
        <v>29299</v>
      </c>
      <c r="G3239" s="223">
        <v>29306</v>
      </c>
      <c r="H3239" s="185">
        <v>2</v>
      </c>
      <c r="I3239" s="185">
        <v>8</v>
      </c>
      <c r="J3239" s="901" t="s">
        <v>1796</v>
      </c>
      <c r="K3239" s="163" t="s">
        <v>6031</v>
      </c>
      <c r="L3239" s="163" t="s">
        <v>2431</v>
      </c>
      <c r="M3239" s="163" t="s">
        <v>6043</v>
      </c>
      <c r="N3239" s="163" t="s">
        <v>6026</v>
      </c>
      <c r="O3239" s="163"/>
      <c r="P3239" s="182" t="s">
        <v>461</v>
      </c>
      <c r="Q3239" s="163" t="s">
        <v>4062</v>
      </c>
      <c r="R3239" s="186" t="s">
        <v>9922</v>
      </c>
      <c r="S3239" s="355"/>
      <c r="T3239" s="182"/>
      <c r="U3239" s="182" t="s">
        <v>5921</v>
      </c>
      <c r="V3239" s="182"/>
      <c r="W3239" s="314"/>
      <c r="X3239" s="646" t="s">
        <v>12528</v>
      </c>
      <c r="Y3239" s="355"/>
      <c r="Z3239" s="158"/>
      <c r="AA3239" s="185"/>
      <c r="AB3239" s="33">
        <f t="shared" ca="1" si="75"/>
        <v>0.1462122674527867</v>
      </c>
      <c r="AC3239" s="813"/>
      <c r="AD3239" s="211" t="s">
        <v>16366</v>
      </c>
      <c r="AE3239" s="941" t="s">
        <v>3365</v>
      </c>
      <c r="AF3239" s="922">
        <f>IF(X3239=X3238,AF3238,0)+IF(ISNUMBER(I3239),IF(I3239&lt;1,I3239,I3239*VLOOKUP(J3239,Summary!$H$2:$I$9,2)),VLOOKUP(J3239,Summary!$J$2:$K$9,2)*IF(ISNUMBER(H3239),H3239,1))</f>
        <v>6.9444444444444441E-3</v>
      </c>
      <c r="AG3239" s="290">
        <v>3238</v>
      </c>
      <c r="AH3239" s="94"/>
      <c r="AI3239" s="94"/>
      <c r="AJ3239" s="3"/>
    </row>
    <row r="3240" spans="1:36" s="3" customFormat="1" ht="12" customHeight="1" x14ac:dyDescent="0.25">
      <c r="A3240" s="405"/>
      <c r="B3240" s="406" t="s">
        <v>2650</v>
      </c>
      <c r="C3240" s="405">
        <v>1.1000000000000001</v>
      </c>
      <c r="D3240" s="407" t="s">
        <v>16218</v>
      </c>
      <c r="E3240" s="315" t="s">
        <v>16222</v>
      </c>
      <c r="F3240" s="169">
        <v>38596</v>
      </c>
      <c r="G3240" s="170"/>
      <c r="H3240" s="170">
        <v>1</v>
      </c>
      <c r="I3240" s="747">
        <f t="shared" ref="I3240:I3247" si="76">TIME(0,60,0)</f>
        <v>4.1666666666666664E-2</v>
      </c>
      <c r="J3240" s="899" t="s">
        <v>4706</v>
      </c>
      <c r="K3240" s="167" t="s">
        <v>4549</v>
      </c>
      <c r="L3240" s="167" t="s">
        <v>4549</v>
      </c>
      <c r="M3240" s="167"/>
      <c r="N3240" s="167"/>
      <c r="O3240" s="167"/>
      <c r="P3240" s="168" t="s">
        <v>16217</v>
      </c>
      <c r="Q3240" s="167" t="s">
        <v>3947</v>
      </c>
      <c r="R3240" s="172" t="s">
        <v>16215</v>
      </c>
      <c r="S3240" s="388"/>
      <c r="T3240" s="168"/>
      <c r="U3240" s="168"/>
      <c r="V3240" s="168"/>
      <c r="W3240" s="315" t="s">
        <v>16222</v>
      </c>
      <c r="X3240" s="644" t="s">
        <v>12528</v>
      </c>
      <c r="Y3240" s="352"/>
      <c r="Z3240" s="353"/>
      <c r="AA3240" s="353"/>
      <c r="AB3240" s="31">
        <f t="shared" ca="1" si="75"/>
        <v>0.95349363325139924</v>
      </c>
      <c r="AC3240" s="810"/>
      <c r="AD3240" s="811" t="s">
        <v>16237</v>
      </c>
      <c r="AE3240" s="940" t="s">
        <v>12543</v>
      </c>
      <c r="AF3240" s="920">
        <f>IF(X3240=X3239,AF3239,0)+IF(ISNUMBER(I3240),IF(I3240&lt;1,I3240,I3240*VLOOKUP(J3240,Summary!$H$2:$I$9,2)),VLOOKUP(J3240,Summary!$J$2:$K$9,2)*IF(ISNUMBER(H3240),H3240,1))</f>
        <v>4.8611111111111105E-2</v>
      </c>
      <c r="AG3240" s="287">
        <v>3239</v>
      </c>
      <c r="AH3240" s="94"/>
      <c r="AI3240" s="94"/>
      <c r="AJ3240" s="22"/>
    </row>
    <row r="3241" spans="1:36" s="3" customFormat="1" ht="12" customHeight="1" x14ac:dyDescent="0.25">
      <c r="A3241" s="405"/>
      <c r="B3241" s="406" t="s">
        <v>2650</v>
      </c>
      <c r="C3241" s="405">
        <v>1.2</v>
      </c>
      <c r="D3241" s="407" t="s">
        <v>16219</v>
      </c>
      <c r="E3241" s="315" t="s">
        <v>16223</v>
      </c>
      <c r="F3241" s="169">
        <v>38626</v>
      </c>
      <c r="G3241" s="170"/>
      <c r="H3241" s="170">
        <v>1</v>
      </c>
      <c r="I3241" s="747">
        <f t="shared" si="76"/>
        <v>4.1666666666666664E-2</v>
      </c>
      <c r="J3241" s="899" t="s">
        <v>4706</v>
      </c>
      <c r="K3241" s="167" t="s">
        <v>4549</v>
      </c>
      <c r="L3241" s="167" t="s">
        <v>4549</v>
      </c>
      <c r="M3241" s="167"/>
      <c r="N3241" s="167"/>
      <c r="O3241" s="167"/>
      <c r="P3241" s="168" t="s">
        <v>16224</v>
      </c>
      <c r="Q3241" s="167" t="s">
        <v>3947</v>
      </c>
      <c r="R3241" s="172" t="s">
        <v>16215</v>
      </c>
      <c r="S3241" s="388"/>
      <c r="T3241" s="168"/>
      <c r="U3241" s="168"/>
      <c r="V3241" s="168"/>
      <c r="W3241" s="315" t="s">
        <v>16223</v>
      </c>
      <c r="X3241" s="644" t="s">
        <v>12528</v>
      </c>
      <c r="Y3241" s="352"/>
      <c r="Z3241" s="353"/>
      <c r="AA3241" s="353"/>
      <c r="AB3241" s="31">
        <f t="shared" ca="1" si="75"/>
        <v>0.12921128422822725</v>
      </c>
      <c r="AC3241" s="810"/>
      <c r="AD3241" s="811" t="s">
        <v>16237</v>
      </c>
      <c r="AE3241" s="940" t="s">
        <v>12543</v>
      </c>
      <c r="AF3241" s="920">
        <f>IF(X3241=X3240,AF3240,0)+IF(ISNUMBER(I3241),IF(I3241&lt;1,I3241,I3241*VLOOKUP(J3241,Summary!$H$2:$I$9,2)),VLOOKUP(J3241,Summary!$J$2:$K$9,2)*IF(ISNUMBER(H3241),H3241,1))</f>
        <v>9.0277777777777762E-2</v>
      </c>
      <c r="AG3241" s="287">
        <v>3240</v>
      </c>
      <c r="AH3241" s="94"/>
      <c r="AI3241" s="94"/>
      <c r="AJ3241" s="22"/>
    </row>
    <row r="3242" spans="1:36" s="3" customFormat="1" ht="12" customHeight="1" x14ac:dyDescent="0.25">
      <c r="A3242" s="405"/>
      <c r="B3242" s="406" t="s">
        <v>2650</v>
      </c>
      <c r="C3242" s="405">
        <v>1.3</v>
      </c>
      <c r="D3242" s="407" t="s">
        <v>16220</v>
      </c>
      <c r="E3242" s="315" t="s">
        <v>10964</v>
      </c>
      <c r="F3242" s="169">
        <v>38687</v>
      </c>
      <c r="G3242" s="170"/>
      <c r="H3242" s="170">
        <v>1</v>
      </c>
      <c r="I3242" s="747">
        <f t="shared" si="76"/>
        <v>4.1666666666666664E-2</v>
      </c>
      <c r="J3242" s="899" t="s">
        <v>4706</v>
      </c>
      <c r="K3242" s="167" t="s">
        <v>4549</v>
      </c>
      <c r="L3242" s="167" t="s">
        <v>4549</v>
      </c>
      <c r="M3242" s="167"/>
      <c r="N3242" s="167"/>
      <c r="O3242" s="167"/>
      <c r="P3242" s="168" t="s">
        <v>16225</v>
      </c>
      <c r="Q3242" s="167" t="s">
        <v>3947</v>
      </c>
      <c r="R3242" s="172" t="s">
        <v>16215</v>
      </c>
      <c r="S3242" s="388"/>
      <c r="T3242" s="168"/>
      <c r="U3242" s="168"/>
      <c r="V3242" s="168"/>
      <c r="W3242" s="315" t="s">
        <v>10964</v>
      </c>
      <c r="X3242" s="644" t="s">
        <v>12528</v>
      </c>
      <c r="Y3242" s="352"/>
      <c r="Z3242" s="353"/>
      <c r="AA3242" s="353"/>
      <c r="AB3242" s="31">
        <f t="shared" ca="1" si="75"/>
        <v>0.10518907168932057</v>
      </c>
      <c r="AC3242" s="810"/>
      <c r="AD3242" s="811" t="s">
        <v>16237</v>
      </c>
      <c r="AE3242" s="940" t="s">
        <v>12543</v>
      </c>
      <c r="AF3242" s="920">
        <f>IF(X3242=X3241,AF3241,0)+IF(ISNUMBER(I3242),IF(I3242&lt;1,I3242,I3242*VLOOKUP(J3242,Summary!$H$2:$I$9,2)),VLOOKUP(J3242,Summary!$J$2:$K$9,2)*IF(ISNUMBER(H3242),H3242,1))</f>
        <v>0.13194444444444442</v>
      </c>
      <c r="AG3242" s="287">
        <v>3241</v>
      </c>
      <c r="AH3242" s="94"/>
      <c r="AI3242" s="94"/>
      <c r="AJ3242" s="22"/>
    </row>
    <row r="3243" spans="1:36" s="3" customFormat="1" ht="12" customHeight="1" x14ac:dyDescent="0.25">
      <c r="A3243" s="405"/>
      <c r="B3243" s="406" t="s">
        <v>2650</v>
      </c>
      <c r="C3243" s="405">
        <v>1.4</v>
      </c>
      <c r="D3243" s="407" t="s">
        <v>16221</v>
      </c>
      <c r="E3243" s="315" t="s">
        <v>16227</v>
      </c>
      <c r="F3243" s="169">
        <v>38749</v>
      </c>
      <c r="G3243" s="170"/>
      <c r="H3243" s="170">
        <v>1</v>
      </c>
      <c r="I3243" s="747">
        <f t="shared" si="76"/>
        <v>4.1666666666666664E-2</v>
      </c>
      <c r="J3243" s="899" t="s">
        <v>4706</v>
      </c>
      <c r="K3243" s="167" t="s">
        <v>4549</v>
      </c>
      <c r="L3243" s="167" t="s">
        <v>4549</v>
      </c>
      <c r="M3243" s="167"/>
      <c r="N3243" s="167"/>
      <c r="O3243" s="167"/>
      <c r="P3243" s="168" t="s">
        <v>16226</v>
      </c>
      <c r="Q3243" s="167" t="s">
        <v>3947</v>
      </c>
      <c r="R3243" s="172" t="s">
        <v>16215</v>
      </c>
      <c r="S3243" s="388"/>
      <c r="T3243" s="168"/>
      <c r="U3243" s="168"/>
      <c r="V3243" s="168"/>
      <c r="W3243" s="315" t="s">
        <v>16227</v>
      </c>
      <c r="X3243" s="644" t="s">
        <v>12528</v>
      </c>
      <c r="Y3243" s="352"/>
      <c r="Z3243" s="353"/>
      <c r="AA3243" s="353"/>
      <c r="AB3243" s="31">
        <f t="shared" ca="1" si="75"/>
        <v>0.25938887433936098</v>
      </c>
      <c r="AC3243" s="810"/>
      <c r="AD3243" s="811" t="s">
        <v>16237</v>
      </c>
      <c r="AE3243" s="940" t="s">
        <v>12543</v>
      </c>
      <c r="AF3243" s="920">
        <f>IF(X3243=X3242,AF3242,0)+IF(ISNUMBER(I3243),IF(I3243&lt;1,I3243,I3243*VLOOKUP(J3243,Summary!$H$2:$I$9,2)),VLOOKUP(J3243,Summary!$J$2:$K$9,2)*IF(ISNUMBER(H3243),H3243,1))</f>
        <v>0.17361111111111108</v>
      </c>
      <c r="AG3243" s="287">
        <v>3242</v>
      </c>
      <c r="AH3243" s="94"/>
      <c r="AI3243" s="94"/>
      <c r="AJ3243" s="22"/>
    </row>
    <row r="3244" spans="1:36" s="3" customFormat="1" ht="12" customHeight="1" x14ac:dyDescent="0.25">
      <c r="A3244" s="405"/>
      <c r="B3244" s="406" t="s">
        <v>2650</v>
      </c>
      <c r="C3244" s="405">
        <v>2.1</v>
      </c>
      <c r="D3244" s="407" t="s">
        <v>16229</v>
      </c>
      <c r="E3244" s="315" t="s">
        <v>16233</v>
      </c>
      <c r="F3244" s="169">
        <v>40148</v>
      </c>
      <c r="G3244" s="170"/>
      <c r="H3244" s="170">
        <v>1</v>
      </c>
      <c r="I3244" s="747">
        <f t="shared" si="76"/>
        <v>4.1666666666666664E-2</v>
      </c>
      <c r="J3244" s="899" t="s">
        <v>4706</v>
      </c>
      <c r="K3244" s="167" t="s">
        <v>178</v>
      </c>
      <c r="L3244" s="167" t="s">
        <v>4549</v>
      </c>
      <c r="M3244" s="167"/>
      <c r="N3244" s="167"/>
      <c r="O3244" s="167"/>
      <c r="P3244" s="168" t="s">
        <v>16228</v>
      </c>
      <c r="Q3244" s="167" t="s">
        <v>3947</v>
      </c>
      <c r="R3244" s="172" t="s">
        <v>16215</v>
      </c>
      <c r="S3244" s="388"/>
      <c r="T3244" s="168"/>
      <c r="U3244" s="168"/>
      <c r="V3244" s="168"/>
      <c r="W3244" s="315" t="s">
        <v>16233</v>
      </c>
      <c r="X3244" s="644" t="s">
        <v>12528</v>
      </c>
      <c r="Y3244" s="352"/>
      <c r="Z3244" s="353"/>
      <c r="AA3244" s="353"/>
      <c r="AB3244" s="31">
        <f t="shared" ca="1" si="75"/>
        <v>0.86429534907766059</v>
      </c>
      <c r="AC3244" s="810"/>
      <c r="AD3244" s="811" t="s">
        <v>16238</v>
      </c>
      <c r="AE3244" s="940" t="s">
        <v>12543</v>
      </c>
      <c r="AF3244" s="920">
        <f>IF(X3244=X3243,AF3243,0)+IF(ISNUMBER(I3244),IF(I3244&lt;1,I3244,I3244*VLOOKUP(J3244,Summary!$H$2:$I$9,2)),VLOOKUP(J3244,Summary!$J$2:$K$9,2)*IF(ISNUMBER(H3244),H3244,1))</f>
        <v>0.21527777777777773</v>
      </c>
      <c r="AG3244" s="287">
        <v>3243</v>
      </c>
      <c r="AH3244" s="94"/>
      <c r="AI3244" s="94"/>
      <c r="AJ3244" s="22"/>
    </row>
    <row r="3245" spans="1:36" s="3" customFormat="1" ht="12" customHeight="1" x14ac:dyDescent="0.25">
      <c r="A3245" s="405"/>
      <c r="B3245" s="406" t="s">
        <v>2650</v>
      </c>
      <c r="C3245" s="405">
        <v>2.2000000000000002</v>
      </c>
      <c r="D3245" s="407" t="s">
        <v>16230</v>
      </c>
      <c r="E3245" s="315" t="s">
        <v>16234</v>
      </c>
      <c r="F3245" s="169">
        <v>40148</v>
      </c>
      <c r="G3245" s="170"/>
      <c r="H3245" s="170">
        <v>1</v>
      </c>
      <c r="I3245" s="747">
        <f t="shared" si="76"/>
        <v>4.1666666666666664E-2</v>
      </c>
      <c r="J3245" s="899" t="s">
        <v>4706</v>
      </c>
      <c r="K3245" s="167" t="s">
        <v>178</v>
      </c>
      <c r="L3245" s="167" t="s">
        <v>4549</v>
      </c>
      <c r="M3245" s="167"/>
      <c r="N3245" s="167"/>
      <c r="O3245" s="167"/>
      <c r="P3245" s="168" t="s">
        <v>16228</v>
      </c>
      <c r="Q3245" s="167" t="s">
        <v>3947</v>
      </c>
      <c r="R3245" s="172" t="s">
        <v>16215</v>
      </c>
      <c r="S3245" s="388"/>
      <c r="T3245" s="168"/>
      <c r="U3245" s="168"/>
      <c r="V3245" s="168"/>
      <c r="W3245" s="315" t="s">
        <v>16234</v>
      </c>
      <c r="X3245" s="644" t="s">
        <v>12528</v>
      </c>
      <c r="Y3245" s="352"/>
      <c r="Z3245" s="353"/>
      <c r="AA3245" s="353"/>
      <c r="AB3245" s="31">
        <f t="shared" ca="1" si="75"/>
        <v>0.51225279045773631</v>
      </c>
      <c r="AC3245" s="810"/>
      <c r="AD3245" s="811" t="s">
        <v>16238</v>
      </c>
      <c r="AE3245" s="940" t="s">
        <v>12543</v>
      </c>
      <c r="AF3245" s="920">
        <f>IF(X3245=X3244,AF3244,0)+IF(ISNUMBER(I3245),IF(I3245&lt;1,I3245,I3245*VLOOKUP(J3245,Summary!$H$2:$I$9,2)),VLOOKUP(J3245,Summary!$J$2:$K$9,2)*IF(ISNUMBER(H3245),H3245,1))</f>
        <v>0.25694444444444442</v>
      </c>
      <c r="AG3245" s="287">
        <v>3244</v>
      </c>
      <c r="AH3245" s="94"/>
      <c r="AI3245" s="94"/>
      <c r="AJ3245" s="22"/>
    </row>
    <row r="3246" spans="1:36" s="3" customFormat="1" ht="12" customHeight="1" x14ac:dyDescent="0.25">
      <c r="A3246" s="405"/>
      <c r="B3246" s="406" t="s">
        <v>2650</v>
      </c>
      <c r="C3246" s="405">
        <v>2.2999999999999998</v>
      </c>
      <c r="D3246" s="407" t="s">
        <v>16231</v>
      </c>
      <c r="E3246" s="315" t="s">
        <v>16235</v>
      </c>
      <c r="F3246" s="169">
        <v>40148</v>
      </c>
      <c r="G3246" s="170"/>
      <c r="H3246" s="170">
        <v>1</v>
      </c>
      <c r="I3246" s="747">
        <f t="shared" si="76"/>
        <v>4.1666666666666664E-2</v>
      </c>
      <c r="J3246" s="899" t="s">
        <v>4706</v>
      </c>
      <c r="K3246" s="167" t="s">
        <v>178</v>
      </c>
      <c r="L3246" s="167" t="s">
        <v>4549</v>
      </c>
      <c r="M3246" s="167"/>
      <c r="N3246" s="167"/>
      <c r="O3246" s="167"/>
      <c r="P3246" s="168" t="s">
        <v>16228</v>
      </c>
      <c r="Q3246" s="167" t="s">
        <v>3947</v>
      </c>
      <c r="R3246" s="172" t="s">
        <v>16215</v>
      </c>
      <c r="S3246" s="388"/>
      <c r="T3246" s="168"/>
      <c r="U3246" s="168"/>
      <c r="V3246" s="168"/>
      <c r="W3246" s="315" t="s">
        <v>16235</v>
      </c>
      <c r="X3246" s="644" t="s">
        <v>12528</v>
      </c>
      <c r="Y3246" s="352"/>
      <c r="Z3246" s="353"/>
      <c r="AA3246" s="353"/>
      <c r="AB3246" s="31">
        <f t="shared" ca="1" si="75"/>
        <v>0.53387051466542745</v>
      </c>
      <c r="AC3246" s="810"/>
      <c r="AD3246" s="811" t="s">
        <v>16238</v>
      </c>
      <c r="AE3246" s="940" t="s">
        <v>12543</v>
      </c>
      <c r="AF3246" s="920">
        <f>IF(X3246=X3245,AF3245,0)+IF(ISNUMBER(I3246),IF(I3246&lt;1,I3246,I3246*VLOOKUP(J3246,Summary!$H$2:$I$9,2)),VLOOKUP(J3246,Summary!$J$2:$K$9,2)*IF(ISNUMBER(H3246),H3246,1))</f>
        <v>0.2986111111111111</v>
      </c>
      <c r="AG3246" s="287">
        <v>3245</v>
      </c>
      <c r="AH3246" s="94"/>
      <c r="AI3246" s="94"/>
      <c r="AJ3246" s="22"/>
    </row>
    <row r="3247" spans="1:36" s="3" customFormat="1" ht="12" customHeight="1" x14ac:dyDescent="0.25">
      <c r="A3247" s="405"/>
      <c r="B3247" s="406" t="s">
        <v>2650</v>
      </c>
      <c r="C3247" s="405">
        <v>2.4</v>
      </c>
      <c r="D3247" s="407" t="s">
        <v>16232</v>
      </c>
      <c r="E3247" s="315" t="s">
        <v>16236</v>
      </c>
      <c r="F3247" s="169">
        <v>40148</v>
      </c>
      <c r="G3247" s="170"/>
      <c r="H3247" s="170">
        <v>1</v>
      </c>
      <c r="I3247" s="747">
        <f t="shared" si="76"/>
        <v>4.1666666666666664E-2</v>
      </c>
      <c r="J3247" s="899" t="s">
        <v>4706</v>
      </c>
      <c r="K3247" s="167" t="s">
        <v>178</v>
      </c>
      <c r="L3247" s="167" t="s">
        <v>4549</v>
      </c>
      <c r="M3247" s="167"/>
      <c r="N3247" s="167"/>
      <c r="O3247" s="167"/>
      <c r="P3247" s="168" t="s">
        <v>16228</v>
      </c>
      <c r="Q3247" s="167" t="s">
        <v>3947</v>
      </c>
      <c r="R3247" s="172" t="s">
        <v>16215</v>
      </c>
      <c r="S3247" s="388"/>
      <c r="T3247" s="168"/>
      <c r="U3247" s="168"/>
      <c r="V3247" s="168"/>
      <c r="W3247" s="315" t="s">
        <v>16236</v>
      </c>
      <c r="X3247" s="644" t="s">
        <v>12528</v>
      </c>
      <c r="Y3247" s="352"/>
      <c r="Z3247" s="353"/>
      <c r="AA3247" s="353"/>
      <c r="AB3247" s="31">
        <f t="shared" ca="1" si="75"/>
        <v>0.35787578818262644</v>
      </c>
      <c r="AC3247" s="810"/>
      <c r="AD3247" s="811" t="s">
        <v>16238</v>
      </c>
      <c r="AE3247" s="940" t="s">
        <v>12543</v>
      </c>
      <c r="AF3247" s="920">
        <f>IF(X3247=X3246,AF3246,0)+IF(ISNUMBER(I3247),IF(I3247&lt;1,I3247,I3247*VLOOKUP(J3247,Summary!$H$2:$I$9,2)),VLOOKUP(J3247,Summary!$J$2:$K$9,2)*IF(ISNUMBER(H3247),H3247,1))</f>
        <v>0.34027777777777779</v>
      </c>
      <c r="AG3247" s="287">
        <v>3246</v>
      </c>
      <c r="AH3247" s="94"/>
      <c r="AI3247" s="94"/>
      <c r="AJ3247" s="22"/>
    </row>
    <row r="3248" spans="1:36" s="3" customFormat="1" ht="12" customHeight="1" x14ac:dyDescent="0.25">
      <c r="A3248" s="553"/>
      <c r="B3248" s="554" t="s">
        <v>2650</v>
      </c>
      <c r="C3248" s="553"/>
      <c r="D3248" s="424"/>
      <c r="E3248" s="319" t="s">
        <v>7876</v>
      </c>
      <c r="F3248" s="198">
        <v>38060</v>
      </c>
      <c r="G3248" s="198"/>
      <c r="H3248" s="199">
        <v>1</v>
      </c>
      <c r="I3248" s="791">
        <f>TIME(0,52,43)</f>
        <v>3.6608796296296299E-2</v>
      </c>
      <c r="J3248" s="904" t="s">
        <v>1588</v>
      </c>
      <c r="K3248" s="200" t="s">
        <v>7378</v>
      </c>
      <c r="L3248" s="200" t="s">
        <v>6259</v>
      </c>
      <c r="M3248" s="200"/>
      <c r="N3248" s="200"/>
      <c r="O3248" s="200" t="s">
        <v>6259</v>
      </c>
      <c r="P3248" s="197" t="s">
        <v>461</v>
      </c>
      <c r="Q3248" s="200" t="s">
        <v>602</v>
      </c>
      <c r="R3248" s="201"/>
      <c r="S3248" s="390"/>
      <c r="T3248" s="197"/>
      <c r="U3248" s="197"/>
      <c r="V3248" s="197"/>
      <c r="W3248" s="319" t="s">
        <v>7876</v>
      </c>
      <c r="X3248" s="650" t="s">
        <v>12528</v>
      </c>
      <c r="Y3248" s="358"/>
      <c r="Z3248" s="253"/>
      <c r="AA3248" s="253"/>
      <c r="AB3248" s="35">
        <f t="shared" ca="1" si="75"/>
        <v>4.5060134657038953E-2</v>
      </c>
      <c r="AC3248" s="820"/>
      <c r="AD3248" s="821" t="s">
        <v>15850</v>
      </c>
      <c r="AE3248" s="944"/>
      <c r="AF3248" s="925">
        <f>IF(X3248=X3247,AF3247,0)+IF(ISNUMBER(I3248),IF(I3248&lt;1,I3248,I3248*VLOOKUP(J3248,Summary!$H$2:$I$9,2)),VLOOKUP(J3248,Summary!$J$2:$K$9,2)*IF(ISNUMBER(H3248),H3248,1))</f>
        <v>0.37688657407407411</v>
      </c>
      <c r="AG3248" s="293">
        <v>3247</v>
      </c>
      <c r="AH3248" s="94"/>
      <c r="AI3248" s="94"/>
      <c r="AJ3248" s="22"/>
    </row>
    <row r="3249" spans="1:36" s="3" customFormat="1" ht="12" customHeight="1" x14ac:dyDescent="0.25">
      <c r="A3249" s="553"/>
      <c r="B3249" s="554" t="s">
        <v>2650</v>
      </c>
      <c r="C3249" s="553">
        <v>1</v>
      </c>
      <c r="D3249" s="424"/>
      <c r="E3249" s="319" t="s">
        <v>1188</v>
      </c>
      <c r="F3249" s="253">
        <v>1997</v>
      </c>
      <c r="G3249" s="199"/>
      <c r="H3249" s="199">
        <v>1</v>
      </c>
      <c r="I3249" s="791">
        <f>TIME(0,57,0)</f>
        <v>3.9583333333333331E-2</v>
      </c>
      <c r="J3249" s="904" t="s">
        <v>1588</v>
      </c>
      <c r="K3249" s="200" t="s">
        <v>4549</v>
      </c>
      <c r="L3249" s="200" t="s">
        <v>4549</v>
      </c>
      <c r="M3249" s="200"/>
      <c r="N3249" s="200"/>
      <c r="O3249" s="200" t="s">
        <v>4640</v>
      </c>
      <c r="P3249" s="197" t="s">
        <v>461</v>
      </c>
      <c r="Q3249" s="200" t="s">
        <v>603</v>
      </c>
      <c r="R3249" s="201" t="s">
        <v>5482</v>
      </c>
      <c r="S3249" s="390"/>
      <c r="T3249" s="197"/>
      <c r="U3249" s="197"/>
      <c r="V3249" s="197"/>
      <c r="W3249" s="318"/>
      <c r="X3249" s="650" t="s">
        <v>12528</v>
      </c>
      <c r="Y3249" s="358"/>
      <c r="Z3249" s="253"/>
      <c r="AA3249" s="253"/>
      <c r="AB3249" s="35">
        <f t="shared" ca="1" si="75"/>
        <v>0.54922017277539559</v>
      </c>
      <c r="AC3249" s="820"/>
      <c r="AD3249" s="821" t="s">
        <v>16057</v>
      </c>
      <c r="AE3249" s="944"/>
      <c r="AF3249" s="925">
        <f>IF(X3249=X3248,AF3248,0)+IF(ISNUMBER(I3249),IF(I3249&lt;1,I3249,I3249*VLOOKUP(J3249,Summary!$H$2:$I$9,2)),VLOOKUP(J3249,Summary!$J$2:$K$9,2)*IF(ISNUMBER(H3249),H3249,1))</f>
        <v>0.41646990740740741</v>
      </c>
      <c r="AG3249" s="293">
        <v>3248</v>
      </c>
      <c r="AH3249" s="94"/>
      <c r="AI3249" s="94"/>
      <c r="AJ3249" s="22"/>
    </row>
    <row r="3250" spans="1:36" s="3" customFormat="1" ht="12" customHeight="1" x14ac:dyDescent="0.25">
      <c r="A3250" s="553"/>
      <c r="B3250" s="554" t="s">
        <v>2650</v>
      </c>
      <c r="C3250" s="553">
        <v>2</v>
      </c>
      <c r="D3250" s="424"/>
      <c r="E3250" s="319" t="s">
        <v>1189</v>
      </c>
      <c r="F3250" s="253">
        <v>1998</v>
      </c>
      <c r="G3250" s="199"/>
      <c r="H3250" s="199">
        <v>1</v>
      </c>
      <c r="I3250" s="791">
        <f>TIME(0,57,0)</f>
        <v>3.9583333333333331E-2</v>
      </c>
      <c r="J3250" s="904" t="s">
        <v>1588</v>
      </c>
      <c r="K3250" s="200" t="s">
        <v>4549</v>
      </c>
      <c r="L3250" s="200" t="s">
        <v>4549</v>
      </c>
      <c r="M3250" s="200"/>
      <c r="N3250" s="200"/>
      <c r="O3250" s="200" t="s">
        <v>4640</v>
      </c>
      <c r="P3250" s="197" t="s">
        <v>461</v>
      </c>
      <c r="Q3250" s="200" t="s">
        <v>603</v>
      </c>
      <c r="R3250" s="201" t="s">
        <v>5482</v>
      </c>
      <c r="S3250" s="390"/>
      <c r="T3250" s="197"/>
      <c r="U3250" s="197"/>
      <c r="V3250" s="197"/>
      <c r="W3250" s="319"/>
      <c r="X3250" s="651" t="s">
        <v>12528</v>
      </c>
      <c r="Y3250" s="358"/>
      <c r="Z3250" s="253"/>
      <c r="AA3250" s="253"/>
      <c r="AB3250" s="35">
        <f t="shared" ca="1" si="75"/>
        <v>0.31755996130276853</v>
      </c>
      <c r="AC3250" s="820"/>
      <c r="AD3250" s="821" t="s">
        <v>16061</v>
      </c>
      <c r="AE3250" s="944"/>
      <c r="AF3250" s="925">
        <f>IF(X3250=X3249,AF3249,0)+IF(ISNUMBER(I3250),IF(I3250&lt;1,I3250,I3250*VLOOKUP(J3250,Summary!$H$2:$I$9,2)),VLOOKUP(J3250,Summary!$J$2:$K$9,2)*IF(ISNUMBER(H3250),H3250,1))</f>
        <v>0.45605324074074072</v>
      </c>
      <c r="AG3250" s="293">
        <v>3249</v>
      </c>
      <c r="AH3250" s="94"/>
      <c r="AI3250" s="94"/>
      <c r="AJ3250" s="22"/>
    </row>
    <row r="3251" spans="1:36" s="3" customFormat="1" ht="12" customHeight="1" x14ac:dyDescent="0.25">
      <c r="A3251" s="553"/>
      <c r="B3251" s="554" t="s">
        <v>2650</v>
      </c>
      <c r="C3251" s="553">
        <v>3</v>
      </c>
      <c r="D3251" s="424"/>
      <c r="E3251" s="319" t="s">
        <v>1190</v>
      </c>
      <c r="F3251" s="253">
        <v>1999</v>
      </c>
      <c r="G3251" s="199"/>
      <c r="H3251" s="199">
        <v>1</v>
      </c>
      <c r="I3251" s="791">
        <f>TIME(0,55,0)</f>
        <v>3.8194444444444441E-2</v>
      </c>
      <c r="J3251" s="904" t="s">
        <v>1588</v>
      </c>
      <c r="K3251" s="200" t="s">
        <v>4549</v>
      </c>
      <c r="L3251" s="200" t="s">
        <v>4549</v>
      </c>
      <c r="M3251" s="200"/>
      <c r="N3251" s="200"/>
      <c r="O3251" s="200" t="s">
        <v>4640</v>
      </c>
      <c r="P3251" s="197" t="s">
        <v>461</v>
      </c>
      <c r="Q3251" s="200" t="s">
        <v>603</v>
      </c>
      <c r="R3251" s="201" t="s">
        <v>5482</v>
      </c>
      <c r="S3251" s="390"/>
      <c r="T3251" s="197"/>
      <c r="U3251" s="197"/>
      <c r="V3251" s="197"/>
      <c r="W3251" s="319"/>
      <c r="X3251" s="651" t="s">
        <v>12528</v>
      </c>
      <c r="Y3251" s="358"/>
      <c r="Z3251" s="253"/>
      <c r="AA3251" s="253"/>
      <c r="AB3251" s="35">
        <f t="shared" ca="1" si="75"/>
        <v>0.22504639345089716</v>
      </c>
      <c r="AC3251" s="820"/>
      <c r="AD3251" s="821" t="s">
        <v>16061</v>
      </c>
      <c r="AE3251" s="944"/>
      <c r="AF3251" s="925">
        <f>IF(X3251=X3250,AF3250,0)+IF(ISNUMBER(I3251),IF(I3251&lt;1,I3251,I3251*VLOOKUP(J3251,Summary!$H$2:$I$9,2)),VLOOKUP(J3251,Summary!$J$2:$K$9,2)*IF(ISNUMBER(H3251),H3251,1))</f>
        <v>0.49424768518518514</v>
      </c>
      <c r="AG3251" s="293">
        <v>3250</v>
      </c>
      <c r="AH3251" s="94"/>
      <c r="AI3251" s="94"/>
      <c r="AJ3251" s="22"/>
    </row>
    <row r="3252" spans="1:36" s="3" customFormat="1" ht="12" customHeight="1" x14ac:dyDescent="0.25">
      <c r="A3252" s="405"/>
      <c r="B3252" s="406" t="s">
        <v>2650</v>
      </c>
      <c r="C3252" s="405">
        <v>2.08</v>
      </c>
      <c r="D3252" s="407" t="s">
        <v>5472</v>
      </c>
      <c r="E3252" s="315" t="s">
        <v>1193</v>
      </c>
      <c r="F3252" s="254">
        <v>36312</v>
      </c>
      <c r="G3252" s="170"/>
      <c r="H3252" s="170"/>
      <c r="I3252" s="747">
        <f t="shared" ref="I3252:I3262" si="77">TIME(0,60,0)</f>
        <v>4.1666666666666664E-2</v>
      </c>
      <c r="J3252" s="899" t="s">
        <v>4706</v>
      </c>
      <c r="K3252" s="167" t="s">
        <v>1194</v>
      </c>
      <c r="L3252" s="167" t="s">
        <v>4549</v>
      </c>
      <c r="M3252" s="167"/>
      <c r="N3252" s="167"/>
      <c r="O3252" s="167" t="s">
        <v>4640</v>
      </c>
      <c r="P3252" s="168" t="s">
        <v>461</v>
      </c>
      <c r="Q3252" s="167" t="s">
        <v>603</v>
      </c>
      <c r="R3252" s="172" t="s">
        <v>5481</v>
      </c>
      <c r="S3252" s="388"/>
      <c r="T3252" s="168"/>
      <c r="U3252" s="168"/>
      <c r="V3252" s="168"/>
      <c r="W3252" s="312"/>
      <c r="X3252" s="644" t="s">
        <v>12528</v>
      </c>
      <c r="Y3252" s="352"/>
      <c r="Z3252" s="353"/>
      <c r="AA3252" s="353"/>
      <c r="AB3252" s="31">
        <f t="shared" ca="1" si="75"/>
        <v>0.2329684477691113</v>
      </c>
      <c r="AC3252" s="810"/>
      <c r="AD3252" s="811" t="s">
        <v>16061</v>
      </c>
      <c r="AE3252" s="940"/>
      <c r="AF3252" s="920">
        <f>IF(X3252=X3251,AF3251,0)+IF(ISNUMBER(I3252),IF(I3252&lt;1,I3252,I3252*VLOOKUP(J3252,Summary!$H$2:$I$9,2)),VLOOKUP(J3252,Summary!$J$2:$K$9,2)*IF(ISNUMBER(H3252),H3252,1))</f>
        <v>0.53591435185185177</v>
      </c>
      <c r="AG3252" s="287">
        <v>3251</v>
      </c>
      <c r="AH3252" s="94"/>
      <c r="AI3252" s="94"/>
      <c r="AJ3252" s="22"/>
    </row>
    <row r="3253" spans="1:36" s="3" customFormat="1" ht="12" customHeight="1" x14ac:dyDescent="0.25">
      <c r="A3253" s="405"/>
      <c r="B3253" s="406" t="s">
        <v>2650</v>
      </c>
      <c r="C3253" s="565">
        <v>2.1</v>
      </c>
      <c r="D3253" s="407" t="s">
        <v>5471</v>
      </c>
      <c r="E3253" s="315" t="s">
        <v>1195</v>
      </c>
      <c r="F3253" s="169">
        <v>36434</v>
      </c>
      <c r="G3253" s="170"/>
      <c r="H3253" s="170"/>
      <c r="I3253" s="747">
        <f t="shared" si="77"/>
        <v>4.1666666666666664E-2</v>
      </c>
      <c r="J3253" s="899" t="s">
        <v>4706</v>
      </c>
      <c r="K3253" s="167" t="s">
        <v>341</v>
      </c>
      <c r="L3253" s="167" t="s">
        <v>1196</v>
      </c>
      <c r="M3253" s="167"/>
      <c r="N3253" s="167"/>
      <c r="O3253" s="167" t="s">
        <v>4640</v>
      </c>
      <c r="P3253" s="168" t="s">
        <v>461</v>
      </c>
      <c r="Q3253" s="167" t="s">
        <v>603</v>
      </c>
      <c r="R3253" s="172" t="s">
        <v>5481</v>
      </c>
      <c r="S3253" s="388"/>
      <c r="T3253" s="168"/>
      <c r="U3253" s="168"/>
      <c r="V3253" s="168"/>
      <c r="W3253" s="312"/>
      <c r="X3253" s="644" t="s">
        <v>12528</v>
      </c>
      <c r="Y3253" s="352"/>
      <c r="Z3253" s="353"/>
      <c r="AA3253" s="353"/>
      <c r="AB3253" s="31">
        <f t="shared" ca="1" si="75"/>
        <v>0.39570512179733475</v>
      </c>
      <c r="AC3253" s="810"/>
      <c r="AD3253" s="811" t="s">
        <v>16367</v>
      </c>
      <c r="AE3253" s="940" t="s">
        <v>12543</v>
      </c>
      <c r="AF3253" s="920">
        <f>IF(X3253=X3252,AF3252,0)+IF(ISNUMBER(I3253),IF(I3253&lt;1,I3253,I3253*VLOOKUP(J3253,Summary!$H$2:$I$9,2)),VLOOKUP(J3253,Summary!$J$2:$K$9,2)*IF(ISNUMBER(H3253),H3253,1))</f>
        <v>0.5775810185185184</v>
      </c>
      <c r="AG3253" s="287">
        <v>3252</v>
      </c>
      <c r="AH3253" s="94"/>
      <c r="AI3253" s="94"/>
      <c r="AJ3253" s="22"/>
    </row>
    <row r="3254" spans="1:36" s="3" customFormat="1" ht="12" customHeight="1" x14ac:dyDescent="0.25">
      <c r="A3254" s="405"/>
      <c r="B3254" s="406" t="s">
        <v>2650</v>
      </c>
      <c r="C3254" s="405">
        <v>2.11</v>
      </c>
      <c r="D3254" s="407" t="s">
        <v>5474</v>
      </c>
      <c r="E3254" s="315" t="s">
        <v>274</v>
      </c>
      <c r="F3254" s="169">
        <v>36434</v>
      </c>
      <c r="G3254" s="170"/>
      <c r="H3254" s="170"/>
      <c r="I3254" s="747">
        <f t="shared" si="77"/>
        <v>4.1666666666666664E-2</v>
      </c>
      <c r="J3254" s="899" t="s">
        <v>4706</v>
      </c>
      <c r="K3254" s="167" t="s">
        <v>2311</v>
      </c>
      <c r="L3254" s="167" t="s">
        <v>341</v>
      </c>
      <c r="M3254" s="167"/>
      <c r="N3254" s="167"/>
      <c r="O3254" s="167" t="s">
        <v>4640</v>
      </c>
      <c r="P3254" s="168" t="s">
        <v>461</v>
      </c>
      <c r="Q3254" s="167" t="s">
        <v>603</v>
      </c>
      <c r="R3254" s="172" t="s">
        <v>5481</v>
      </c>
      <c r="S3254" s="388"/>
      <c r="T3254" s="168"/>
      <c r="U3254" s="168"/>
      <c r="V3254" s="168"/>
      <c r="W3254" s="312"/>
      <c r="X3254" s="644" t="s">
        <v>12528</v>
      </c>
      <c r="Y3254" s="352"/>
      <c r="Z3254" s="353"/>
      <c r="AA3254" s="353"/>
      <c r="AB3254" s="31">
        <f t="shared" ca="1" si="75"/>
        <v>0.13142442071194349</v>
      </c>
      <c r="AC3254" s="810"/>
      <c r="AD3254" s="811" t="s">
        <v>16061</v>
      </c>
      <c r="AE3254" s="940"/>
      <c r="AF3254" s="920">
        <f>IF(X3254=X3253,AF3253,0)+IF(ISNUMBER(I3254),IF(I3254&lt;1,I3254,I3254*VLOOKUP(J3254,Summary!$H$2:$I$9,2)),VLOOKUP(J3254,Summary!$J$2:$K$9,2)*IF(ISNUMBER(H3254),H3254,1))</f>
        <v>0.61924768518518503</v>
      </c>
      <c r="AG3254" s="287">
        <v>3253</v>
      </c>
      <c r="AH3254" s="94"/>
      <c r="AI3254" s="94"/>
      <c r="AJ3254" s="22"/>
    </row>
    <row r="3255" spans="1:36" s="3" customFormat="1" ht="12" customHeight="1" x14ac:dyDescent="0.25">
      <c r="A3255" s="405"/>
      <c r="B3255" s="406" t="s">
        <v>2650</v>
      </c>
      <c r="C3255" s="405">
        <v>2.12</v>
      </c>
      <c r="D3255" s="407" t="s">
        <v>5468</v>
      </c>
      <c r="E3255" s="315" t="s">
        <v>267</v>
      </c>
      <c r="F3255" s="254">
        <v>36161</v>
      </c>
      <c r="G3255" s="170"/>
      <c r="H3255" s="170"/>
      <c r="I3255" s="747">
        <f t="shared" si="77"/>
        <v>4.1666666666666664E-2</v>
      </c>
      <c r="J3255" s="899" t="s">
        <v>4706</v>
      </c>
      <c r="K3255" s="167" t="s">
        <v>268</v>
      </c>
      <c r="L3255" s="167" t="s">
        <v>1196</v>
      </c>
      <c r="M3255" s="167"/>
      <c r="N3255" s="167"/>
      <c r="O3255" s="167" t="s">
        <v>4640</v>
      </c>
      <c r="P3255" s="168" t="s">
        <v>461</v>
      </c>
      <c r="Q3255" s="167" t="s">
        <v>603</v>
      </c>
      <c r="R3255" s="172" t="s">
        <v>5481</v>
      </c>
      <c r="S3255" s="388"/>
      <c r="T3255" s="168"/>
      <c r="U3255" s="168"/>
      <c r="V3255" s="168"/>
      <c r="W3255" s="312"/>
      <c r="X3255" s="644" t="s">
        <v>12528</v>
      </c>
      <c r="Y3255" s="352"/>
      <c r="Z3255" s="353"/>
      <c r="AA3255" s="353"/>
      <c r="AB3255" s="31">
        <f t="shared" ca="1" si="75"/>
        <v>0.28702797349056197</v>
      </c>
      <c r="AC3255" s="810"/>
      <c r="AD3255" s="811" t="s">
        <v>16326</v>
      </c>
      <c r="AE3255" s="940" t="s">
        <v>12543</v>
      </c>
      <c r="AF3255" s="920">
        <f>IF(X3255=X3254,AF3254,0)+IF(ISNUMBER(I3255),IF(I3255&lt;1,I3255,I3255*VLOOKUP(J3255,Summary!$H$2:$I$9,2)),VLOOKUP(J3255,Summary!$J$2:$K$9,2)*IF(ISNUMBER(H3255),H3255,1))</f>
        <v>0.66091435185185166</v>
      </c>
      <c r="AG3255" s="287">
        <v>3254</v>
      </c>
      <c r="AH3255" s="94"/>
      <c r="AI3255" s="94"/>
      <c r="AJ3255" s="22"/>
    </row>
    <row r="3256" spans="1:36" s="3" customFormat="1" ht="12" customHeight="1" x14ac:dyDescent="0.25">
      <c r="A3256" s="405"/>
      <c r="B3256" s="406" t="s">
        <v>2650</v>
      </c>
      <c r="C3256" s="405">
        <v>3.03</v>
      </c>
      <c r="D3256" s="407" t="s">
        <v>5470</v>
      </c>
      <c r="E3256" s="315" t="s">
        <v>269</v>
      </c>
      <c r="F3256" s="254">
        <v>36526</v>
      </c>
      <c r="G3256" s="170"/>
      <c r="H3256" s="170"/>
      <c r="I3256" s="747">
        <f t="shared" si="77"/>
        <v>4.1666666666666664E-2</v>
      </c>
      <c r="J3256" s="899" t="s">
        <v>4706</v>
      </c>
      <c r="K3256" s="167" t="s">
        <v>270</v>
      </c>
      <c r="L3256" s="167" t="s">
        <v>4640</v>
      </c>
      <c r="M3256" s="167"/>
      <c r="N3256" s="167"/>
      <c r="O3256" s="167" t="s">
        <v>4640</v>
      </c>
      <c r="P3256" s="168" t="s">
        <v>461</v>
      </c>
      <c r="Q3256" s="167" t="s">
        <v>603</v>
      </c>
      <c r="R3256" s="172" t="s">
        <v>5481</v>
      </c>
      <c r="S3256" s="388"/>
      <c r="T3256" s="168"/>
      <c r="U3256" s="168"/>
      <c r="V3256" s="168"/>
      <c r="W3256" s="312"/>
      <c r="X3256" s="644" t="s">
        <v>12528</v>
      </c>
      <c r="Y3256" s="352"/>
      <c r="Z3256" s="353"/>
      <c r="AA3256" s="353"/>
      <c r="AB3256" s="31">
        <f t="shared" ca="1" si="75"/>
        <v>0.8016427043896619</v>
      </c>
      <c r="AC3256" s="810"/>
      <c r="AD3256" s="811" t="s">
        <v>15834</v>
      </c>
      <c r="AE3256" s="940" t="s">
        <v>12543</v>
      </c>
      <c r="AF3256" s="920">
        <f>IF(X3256=X3255,AF3255,0)+IF(ISNUMBER(I3256),IF(I3256&lt;1,I3256,I3256*VLOOKUP(J3256,Summary!$H$2:$I$9,2)),VLOOKUP(J3256,Summary!$J$2:$K$9,2)*IF(ISNUMBER(H3256),H3256,1))</f>
        <v>0.70258101851851829</v>
      </c>
      <c r="AG3256" s="287">
        <v>3255</v>
      </c>
      <c r="AH3256" s="94"/>
      <c r="AI3256" s="94"/>
      <c r="AJ3256" s="22"/>
    </row>
    <row r="3257" spans="1:36" s="3" customFormat="1" ht="12" customHeight="1" x14ac:dyDescent="0.25">
      <c r="A3257" s="405"/>
      <c r="B3257" s="406" t="s">
        <v>2650</v>
      </c>
      <c r="C3257" s="405">
        <v>3.06</v>
      </c>
      <c r="D3257" s="407" t="s">
        <v>5487</v>
      </c>
      <c r="E3257" s="315" t="s">
        <v>1042</v>
      </c>
      <c r="F3257" s="169">
        <v>36739</v>
      </c>
      <c r="G3257" s="170"/>
      <c r="H3257" s="170"/>
      <c r="I3257" s="747">
        <f t="shared" si="77"/>
        <v>4.1666666666666664E-2</v>
      </c>
      <c r="J3257" s="899" t="s">
        <v>4706</v>
      </c>
      <c r="K3257" s="167" t="s">
        <v>2311</v>
      </c>
      <c r="L3257" s="167" t="s">
        <v>341</v>
      </c>
      <c r="M3257" s="167"/>
      <c r="N3257" s="167"/>
      <c r="O3257" s="167" t="s">
        <v>4640</v>
      </c>
      <c r="P3257" s="168" t="s">
        <v>461</v>
      </c>
      <c r="Q3257" s="167" t="s">
        <v>603</v>
      </c>
      <c r="R3257" s="172" t="s">
        <v>5481</v>
      </c>
      <c r="S3257" s="388"/>
      <c r="T3257" s="168"/>
      <c r="U3257" s="168"/>
      <c r="V3257" s="168"/>
      <c r="W3257" s="312"/>
      <c r="X3257" s="644" t="s">
        <v>12528</v>
      </c>
      <c r="Y3257" s="352"/>
      <c r="Z3257" s="353"/>
      <c r="AA3257" s="353"/>
      <c r="AB3257" s="31">
        <f t="shared" ca="1" si="75"/>
        <v>1.7429111636998562E-2</v>
      </c>
      <c r="AC3257" s="810"/>
      <c r="AD3257" s="811" t="s">
        <v>16149</v>
      </c>
      <c r="AE3257" s="940" t="s">
        <v>3365</v>
      </c>
      <c r="AF3257" s="920">
        <f>IF(X3257=X3256,AF3256,0)+IF(ISNUMBER(I3257),IF(I3257&lt;1,I3257,I3257*VLOOKUP(J3257,Summary!$H$2:$I$9,2)),VLOOKUP(J3257,Summary!$J$2:$K$9,2)*IF(ISNUMBER(H3257),H3257,1))</f>
        <v>0.74424768518518492</v>
      </c>
      <c r="AG3257" s="287">
        <v>3256</v>
      </c>
      <c r="AH3257" s="94"/>
      <c r="AI3257" s="94"/>
      <c r="AJ3257" s="22"/>
    </row>
    <row r="3258" spans="1:36" s="3" customFormat="1" ht="12" customHeight="1" x14ac:dyDescent="0.25">
      <c r="A3258" s="405"/>
      <c r="B3258" s="406" t="s">
        <v>2650</v>
      </c>
      <c r="C3258" s="405">
        <v>3.07</v>
      </c>
      <c r="D3258" s="407" t="s">
        <v>5469</v>
      </c>
      <c r="E3258" s="315" t="s">
        <v>271</v>
      </c>
      <c r="F3258" s="169">
        <v>36770</v>
      </c>
      <c r="G3258" s="170"/>
      <c r="H3258" s="170"/>
      <c r="I3258" s="747">
        <f t="shared" si="77"/>
        <v>4.1666666666666664E-2</v>
      </c>
      <c r="J3258" s="899" t="s">
        <v>4706</v>
      </c>
      <c r="K3258" s="167" t="s">
        <v>272</v>
      </c>
      <c r="L3258" s="167" t="s">
        <v>273</v>
      </c>
      <c r="M3258" s="167"/>
      <c r="N3258" s="167"/>
      <c r="O3258" s="167" t="s">
        <v>4640</v>
      </c>
      <c r="P3258" s="168" t="s">
        <v>461</v>
      </c>
      <c r="Q3258" s="167" t="s">
        <v>603</v>
      </c>
      <c r="R3258" s="172" t="s">
        <v>5481</v>
      </c>
      <c r="S3258" s="388"/>
      <c r="T3258" s="168"/>
      <c r="U3258" s="168"/>
      <c r="V3258" s="168"/>
      <c r="W3258" s="312"/>
      <c r="X3258" s="644" t="s">
        <v>12528</v>
      </c>
      <c r="Y3258" s="352"/>
      <c r="Z3258" s="353"/>
      <c r="AA3258" s="353"/>
      <c r="AB3258" s="31">
        <f t="shared" ca="1" si="75"/>
        <v>0.78390036232323701</v>
      </c>
      <c r="AC3258" s="810"/>
      <c r="AD3258" s="811" t="s">
        <v>16385</v>
      </c>
      <c r="AE3258" s="940" t="s">
        <v>12543</v>
      </c>
      <c r="AF3258" s="920">
        <f>IF(X3258=X3257,AF3257,0)+IF(ISNUMBER(I3258),IF(I3258&lt;1,I3258,I3258*VLOOKUP(J3258,Summary!$H$2:$I$9,2)),VLOOKUP(J3258,Summary!$J$2:$K$9,2)*IF(ISNUMBER(H3258),H3258,1))</f>
        <v>0.78591435185185154</v>
      </c>
      <c r="AG3258" s="287">
        <v>3257</v>
      </c>
      <c r="AH3258" s="94"/>
      <c r="AI3258" s="94"/>
      <c r="AJ3258" s="22"/>
    </row>
    <row r="3259" spans="1:36" s="3" customFormat="1" ht="12" customHeight="1" x14ac:dyDescent="0.25">
      <c r="A3259" s="405"/>
      <c r="B3259" s="406" t="s">
        <v>2650</v>
      </c>
      <c r="C3259" s="405">
        <v>3.09</v>
      </c>
      <c r="D3259" s="407" t="s">
        <v>5486</v>
      </c>
      <c r="E3259" s="315" t="s">
        <v>16481</v>
      </c>
      <c r="F3259" s="169">
        <v>36923</v>
      </c>
      <c r="G3259" s="170"/>
      <c r="H3259" s="170"/>
      <c r="I3259" s="747">
        <f t="shared" si="77"/>
        <v>4.1666666666666664E-2</v>
      </c>
      <c r="J3259" s="899" t="s">
        <v>4706</v>
      </c>
      <c r="K3259" s="167" t="s">
        <v>341</v>
      </c>
      <c r="L3259" s="167" t="s">
        <v>341</v>
      </c>
      <c r="M3259" s="167"/>
      <c r="N3259" s="167"/>
      <c r="O3259" s="167" t="s">
        <v>4640</v>
      </c>
      <c r="P3259" s="168" t="s">
        <v>461</v>
      </c>
      <c r="Q3259" s="167" t="s">
        <v>603</v>
      </c>
      <c r="R3259" s="172" t="s">
        <v>5481</v>
      </c>
      <c r="S3259" s="388"/>
      <c r="T3259" s="168"/>
      <c r="U3259" s="168"/>
      <c r="V3259" s="168"/>
      <c r="W3259" s="312"/>
      <c r="X3259" s="644" t="s">
        <v>12528</v>
      </c>
      <c r="Y3259" s="352"/>
      <c r="Z3259" s="353"/>
      <c r="AA3259" s="353"/>
      <c r="AB3259" s="31">
        <f t="shared" ca="1" si="75"/>
        <v>0.46201124676431216</v>
      </c>
      <c r="AC3259" s="810"/>
      <c r="AD3259" s="811" t="s">
        <v>16482</v>
      </c>
      <c r="AE3259" s="940" t="s">
        <v>15062</v>
      </c>
      <c r="AF3259" s="920">
        <f>IF(X3259=X3258,AF3258,0)+IF(ISNUMBER(I3259),IF(I3259&lt;1,I3259,I3259*VLOOKUP(J3259,Summary!$H$2:$I$9,2)),VLOOKUP(J3259,Summary!$J$2:$K$9,2)*IF(ISNUMBER(H3259),H3259,1))</f>
        <v>0.82758101851851817</v>
      </c>
      <c r="AG3259" s="287">
        <v>3258</v>
      </c>
      <c r="AH3259" s="94"/>
      <c r="AI3259" s="94"/>
      <c r="AJ3259" s="22"/>
    </row>
    <row r="3260" spans="1:36" s="3" customFormat="1" ht="12" customHeight="1" x14ac:dyDescent="0.25">
      <c r="A3260" s="405"/>
      <c r="B3260" s="406" t="s">
        <v>2650</v>
      </c>
      <c r="C3260" s="405">
        <v>4.01</v>
      </c>
      <c r="D3260" s="407" t="s">
        <v>5473</v>
      </c>
      <c r="E3260" s="315" t="s">
        <v>1197</v>
      </c>
      <c r="F3260" s="169">
        <v>37073</v>
      </c>
      <c r="G3260" s="170"/>
      <c r="H3260" s="170"/>
      <c r="I3260" s="747">
        <f t="shared" si="77"/>
        <v>4.1666666666666664E-2</v>
      </c>
      <c r="J3260" s="899" t="s">
        <v>4706</v>
      </c>
      <c r="K3260" s="167" t="s">
        <v>1198</v>
      </c>
      <c r="L3260" s="167" t="s">
        <v>1199</v>
      </c>
      <c r="M3260" s="167"/>
      <c r="N3260" s="167"/>
      <c r="O3260" s="167" t="s">
        <v>4640</v>
      </c>
      <c r="P3260" s="168" t="s">
        <v>461</v>
      </c>
      <c r="Q3260" s="167" t="s">
        <v>603</v>
      </c>
      <c r="R3260" s="172" t="s">
        <v>5481</v>
      </c>
      <c r="S3260" s="388"/>
      <c r="T3260" s="168"/>
      <c r="U3260" s="168"/>
      <c r="V3260" s="168"/>
      <c r="W3260" s="312"/>
      <c r="X3260" s="644" t="s">
        <v>12528</v>
      </c>
      <c r="Y3260" s="352"/>
      <c r="Z3260" s="353"/>
      <c r="AA3260" s="353"/>
      <c r="AB3260" s="31">
        <f t="shared" ca="1" si="75"/>
        <v>0.34577553875897404</v>
      </c>
      <c r="AC3260" s="810"/>
      <c r="AD3260" s="811" t="s">
        <v>14896</v>
      </c>
      <c r="AE3260" s="940" t="s">
        <v>12543</v>
      </c>
      <c r="AF3260" s="920">
        <f>IF(X3260=X3259,AF3259,0)+IF(ISNUMBER(I3260),IF(I3260&lt;1,I3260,I3260*VLOOKUP(J3260,Summary!$H$2:$I$9,2)),VLOOKUP(J3260,Summary!$J$2:$K$9,2)*IF(ISNUMBER(H3260),H3260,1))</f>
        <v>0.8692476851851848</v>
      </c>
      <c r="AG3260" s="287">
        <v>3259</v>
      </c>
      <c r="AH3260" s="94"/>
      <c r="AI3260" s="94"/>
      <c r="AJ3260" s="22"/>
    </row>
    <row r="3261" spans="1:36" s="3" customFormat="1" ht="12" customHeight="1" x14ac:dyDescent="0.25">
      <c r="A3261" s="405"/>
      <c r="B3261" s="406" t="s">
        <v>2650</v>
      </c>
      <c r="C3261" s="405">
        <v>4.04</v>
      </c>
      <c r="D3261" s="407" t="s">
        <v>5475</v>
      </c>
      <c r="E3261" s="315" t="s">
        <v>275</v>
      </c>
      <c r="F3261" s="169">
        <v>37316</v>
      </c>
      <c r="G3261" s="170"/>
      <c r="H3261" s="170"/>
      <c r="I3261" s="747">
        <f t="shared" si="77"/>
        <v>4.1666666666666664E-2</v>
      </c>
      <c r="J3261" s="899" t="s">
        <v>4706</v>
      </c>
      <c r="K3261" s="167" t="s">
        <v>276</v>
      </c>
      <c r="L3261" s="167" t="s">
        <v>7757</v>
      </c>
      <c r="M3261" s="167"/>
      <c r="N3261" s="167"/>
      <c r="O3261" s="167" t="s">
        <v>4640</v>
      </c>
      <c r="P3261" s="168" t="s">
        <v>461</v>
      </c>
      <c r="Q3261" s="167" t="s">
        <v>603</v>
      </c>
      <c r="R3261" s="172" t="s">
        <v>5481</v>
      </c>
      <c r="S3261" s="388"/>
      <c r="T3261" s="168"/>
      <c r="U3261" s="168"/>
      <c r="V3261" s="168"/>
      <c r="W3261" s="312"/>
      <c r="X3261" s="644" t="s">
        <v>12528</v>
      </c>
      <c r="Y3261" s="352"/>
      <c r="Z3261" s="353"/>
      <c r="AA3261" s="353"/>
      <c r="AB3261" s="31">
        <f t="shared" ca="1" si="75"/>
        <v>0.41446276814864169</v>
      </c>
      <c r="AC3261" s="810"/>
      <c r="AD3261" s="811" t="s">
        <v>15077</v>
      </c>
      <c r="AE3261" s="940" t="s">
        <v>12543</v>
      </c>
      <c r="AF3261" s="920">
        <f>IF(X3261=X3260,AF3260,0)+IF(ISNUMBER(I3261),IF(I3261&lt;1,I3261,I3261*VLOOKUP(J3261,Summary!$H$2:$I$9,2)),VLOOKUP(J3261,Summary!$J$2:$K$9,2)*IF(ISNUMBER(H3261),H3261,1))</f>
        <v>0.91091435185185143</v>
      </c>
      <c r="AG3261" s="287">
        <v>3260</v>
      </c>
      <c r="AH3261" s="94"/>
      <c r="AI3261" s="94"/>
      <c r="AJ3261" s="22"/>
    </row>
    <row r="3262" spans="1:36" s="3" customFormat="1" ht="12" customHeight="1" x14ac:dyDescent="0.25">
      <c r="A3262" s="405"/>
      <c r="B3262" s="406" t="s">
        <v>2650</v>
      </c>
      <c r="C3262" s="405">
        <v>4.05</v>
      </c>
      <c r="D3262" s="407" t="s">
        <v>5476</v>
      </c>
      <c r="E3262" s="315" t="s">
        <v>5478</v>
      </c>
      <c r="F3262" s="169">
        <v>37500</v>
      </c>
      <c r="G3262" s="170"/>
      <c r="H3262" s="170"/>
      <c r="I3262" s="747">
        <f t="shared" si="77"/>
        <v>4.1666666666666664E-2</v>
      </c>
      <c r="J3262" s="899" t="s">
        <v>4706</v>
      </c>
      <c r="K3262" s="167" t="s">
        <v>5477</v>
      </c>
      <c r="L3262" s="167" t="s">
        <v>7757</v>
      </c>
      <c r="M3262" s="167"/>
      <c r="N3262" s="167"/>
      <c r="O3262" s="167" t="s">
        <v>4640</v>
      </c>
      <c r="P3262" s="168" t="s">
        <v>461</v>
      </c>
      <c r="Q3262" s="167" t="s">
        <v>603</v>
      </c>
      <c r="R3262" s="172" t="s">
        <v>5481</v>
      </c>
      <c r="S3262" s="388"/>
      <c r="T3262" s="168"/>
      <c r="U3262" s="168"/>
      <c r="V3262" s="168"/>
      <c r="W3262" s="312"/>
      <c r="X3262" s="644" t="s">
        <v>12528</v>
      </c>
      <c r="Y3262" s="352"/>
      <c r="Z3262" s="353"/>
      <c r="AA3262" s="353"/>
      <c r="AB3262" s="31">
        <f t="shared" ca="1" si="75"/>
        <v>0.52849271724749236</v>
      </c>
      <c r="AC3262" s="810"/>
      <c r="AD3262" s="811" t="s">
        <v>15830</v>
      </c>
      <c r="AE3262" s="940" t="s">
        <v>12543</v>
      </c>
      <c r="AF3262" s="920">
        <f>IF(X3262=X3261,AF3261,0)+IF(ISNUMBER(I3262),IF(I3262&lt;1,I3262,I3262*VLOOKUP(J3262,Summary!$H$2:$I$9,2)),VLOOKUP(J3262,Summary!$J$2:$K$9,2)*IF(ISNUMBER(H3262),H3262,1))</f>
        <v>0.95258101851851806</v>
      </c>
      <c r="AG3262" s="287">
        <v>3261</v>
      </c>
      <c r="AH3262" s="94"/>
      <c r="AI3262" s="94"/>
      <c r="AJ3262" s="22"/>
    </row>
    <row r="3263" spans="1:36" s="3" customFormat="1" ht="12" customHeight="1" x14ac:dyDescent="0.25">
      <c r="A3263" s="553"/>
      <c r="B3263" s="554" t="s">
        <v>2650</v>
      </c>
      <c r="C3263" s="553">
        <v>0</v>
      </c>
      <c r="D3263" s="424" t="s">
        <v>4428</v>
      </c>
      <c r="E3263" s="319" t="s">
        <v>1191</v>
      </c>
      <c r="F3263" s="246">
        <v>39600</v>
      </c>
      <c r="G3263" s="199"/>
      <c r="H3263" s="199">
        <v>1</v>
      </c>
      <c r="I3263" s="791">
        <f>TIME(0,58,0)</f>
        <v>4.027777777777778E-2</v>
      </c>
      <c r="J3263" s="904" t="s">
        <v>1588</v>
      </c>
      <c r="K3263" s="200" t="s">
        <v>1192</v>
      </c>
      <c r="L3263" s="200" t="s">
        <v>4640</v>
      </c>
      <c r="M3263" s="200"/>
      <c r="N3263" s="200"/>
      <c r="O3263" s="200" t="s">
        <v>4640</v>
      </c>
      <c r="P3263" s="197" t="s">
        <v>461</v>
      </c>
      <c r="Q3263" s="200" t="s">
        <v>603</v>
      </c>
      <c r="R3263" s="201" t="s">
        <v>5482</v>
      </c>
      <c r="S3263" s="390"/>
      <c r="T3263" s="197"/>
      <c r="U3263" s="197"/>
      <c r="V3263" s="197"/>
      <c r="W3263" s="318"/>
      <c r="X3263" s="650" t="s">
        <v>12528</v>
      </c>
      <c r="Y3263" s="358"/>
      <c r="Z3263" s="253"/>
      <c r="AA3263" s="253"/>
      <c r="AB3263" s="35">
        <f t="shared" ca="1" si="75"/>
        <v>0.76274460266983313</v>
      </c>
      <c r="AC3263" s="820"/>
      <c r="AD3263" s="821" t="s">
        <v>15848</v>
      </c>
      <c r="AE3263" s="944" t="s">
        <v>12543</v>
      </c>
      <c r="AF3263" s="925">
        <f>IF(X3263=X3262,AF3262,0)+IF(ISNUMBER(I3263),IF(I3263&lt;1,I3263,I3263*VLOOKUP(J3263,Summary!$H$2:$I$9,2)),VLOOKUP(J3263,Summary!$J$2:$K$9,2)*IF(ISNUMBER(H3263),H3263,1))</f>
        <v>0.99285879629629581</v>
      </c>
      <c r="AG3263" s="293">
        <v>3262</v>
      </c>
      <c r="AH3263" s="94"/>
      <c r="AI3263" s="94"/>
      <c r="AJ3263" s="22"/>
    </row>
    <row r="3264" spans="1:36" s="3" customFormat="1" ht="12" customHeight="1" x14ac:dyDescent="0.25">
      <c r="A3264" s="566" t="s">
        <v>11135</v>
      </c>
      <c r="B3264" s="566" t="s">
        <v>33</v>
      </c>
      <c r="C3264" s="566">
        <v>1</v>
      </c>
      <c r="D3264" s="407" t="s">
        <v>11136</v>
      </c>
      <c r="E3264" s="315" t="s">
        <v>11137</v>
      </c>
      <c r="F3264" s="169">
        <v>31017</v>
      </c>
      <c r="G3264" s="170"/>
      <c r="H3264" s="170">
        <v>2</v>
      </c>
      <c r="I3264" s="746">
        <f>TIME(0,41,0)</f>
        <v>2.8472222222222222E-2</v>
      </c>
      <c r="J3264" s="899" t="s">
        <v>4706</v>
      </c>
      <c r="K3264" s="167" t="s">
        <v>7375</v>
      </c>
      <c r="L3264" s="167" t="s">
        <v>7375</v>
      </c>
      <c r="M3264" s="167"/>
      <c r="N3264" s="167"/>
      <c r="O3264" s="167" t="s">
        <v>4640</v>
      </c>
      <c r="P3264" s="168" t="s">
        <v>461</v>
      </c>
      <c r="Q3264" s="167" t="s">
        <v>11138</v>
      </c>
      <c r="R3264" s="172" t="s">
        <v>11139</v>
      </c>
      <c r="S3264" s="388" t="s">
        <v>11140</v>
      </c>
      <c r="T3264" s="168" t="s">
        <v>11141</v>
      </c>
      <c r="U3264" s="168"/>
      <c r="V3264" s="168"/>
      <c r="W3264" s="315"/>
      <c r="X3264" s="647" t="s">
        <v>852</v>
      </c>
      <c r="Y3264" s="352" t="s">
        <v>5643</v>
      </c>
      <c r="Z3264" s="353"/>
      <c r="AA3264" s="353"/>
      <c r="AB3264" s="31">
        <f t="shared" ca="1" si="75"/>
        <v>0.70301654332764507</v>
      </c>
      <c r="AC3264" s="810"/>
      <c r="AD3264" s="811"/>
      <c r="AE3264" s="940"/>
      <c r="AF3264" s="920">
        <f>IF(X3264=X3263,AF3263,0)+IF(ISNUMBER(I3264),IF(I3264&lt;1,I3264,I3264*VLOOKUP(J3264,Summary!$H$2:$I$9,2)),VLOOKUP(J3264,Summary!$J$2:$K$9,2)*IF(ISNUMBER(H3264),H3264,1))</f>
        <v>2.8472222222222222E-2</v>
      </c>
      <c r="AG3264" s="287">
        <v>3263</v>
      </c>
      <c r="AH3264" s="94"/>
      <c r="AI3264" s="94"/>
      <c r="AJ3264" s="22"/>
    </row>
    <row r="3265" spans="1:36" s="3" customFormat="1" ht="12" customHeight="1" x14ac:dyDescent="0.25">
      <c r="A3265" s="567" t="s">
        <v>11142</v>
      </c>
      <c r="B3265" s="567" t="s">
        <v>37</v>
      </c>
      <c r="C3265" s="567">
        <v>2</v>
      </c>
      <c r="D3265" s="407" t="s">
        <v>11179</v>
      </c>
      <c r="E3265" s="315" t="s">
        <v>11146</v>
      </c>
      <c r="F3265" s="254">
        <v>31048</v>
      </c>
      <c r="G3265" s="170"/>
      <c r="H3265" s="170">
        <v>2</v>
      </c>
      <c r="I3265" s="746">
        <f>TIME(0,80,0)</f>
        <v>5.5555555555555552E-2</v>
      </c>
      <c r="J3265" s="899" t="s">
        <v>4706</v>
      </c>
      <c r="K3265" s="167" t="s">
        <v>4549</v>
      </c>
      <c r="L3265" s="167" t="s">
        <v>11174</v>
      </c>
      <c r="M3265" s="167"/>
      <c r="N3265" s="167"/>
      <c r="O3265" s="167" t="s">
        <v>4640</v>
      </c>
      <c r="P3265" s="168" t="s">
        <v>461</v>
      </c>
      <c r="Q3265" s="167" t="s">
        <v>11138</v>
      </c>
      <c r="R3265" s="172" t="s">
        <v>11139</v>
      </c>
      <c r="S3265" s="388" t="s">
        <v>11140</v>
      </c>
      <c r="T3265" s="168" t="s">
        <v>11141</v>
      </c>
      <c r="U3265" s="168"/>
      <c r="V3265" s="168"/>
      <c r="W3265" s="315"/>
      <c r="X3265" s="647" t="s">
        <v>852</v>
      </c>
      <c r="Y3265" s="352" t="s">
        <v>5643</v>
      </c>
      <c r="Z3265" s="353"/>
      <c r="AA3265" s="353"/>
      <c r="AB3265" s="31">
        <f t="shared" ca="1" si="75"/>
        <v>0.4436377209633644</v>
      </c>
      <c r="AC3265" s="810"/>
      <c r="AD3265" s="811"/>
      <c r="AE3265" s="940"/>
      <c r="AF3265" s="920">
        <f>IF(X3265=X3264,AF3264,0)+IF(ISNUMBER(I3265),IF(I3265&lt;1,I3265,I3265*VLOOKUP(J3265,Summary!$H$2:$I$9,2)),VLOOKUP(J3265,Summary!$J$2:$K$9,2)*IF(ISNUMBER(H3265),H3265,1))</f>
        <v>8.4027777777777771E-2</v>
      </c>
      <c r="AG3265" s="287">
        <v>3264</v>
      </c>
      <c r="AH3265" s="94"/>
      <c r="AI3265" s="94"/>
      <c r="AJ3265" s="22"/>
    </row>
    <row r="3266" spans="1:36" s="3" customFormat="1" ht="12" customHeight="1" x14ac:dyDescent="0.25">
      <c r="A3266" s="567" t="s">
        <v>11142</v>
      </c>
      <c r="B3266" s="567" t="s">
        <v>37</v>
      </c>
      <c r="C3266" s="567">
        <v>3</v>
      </c>
      <c r="D3266" s="407" t="s">
        <v>11180</v>
      </c>
      <c r="E3266" s="315" t="s">
        <v>11147</v>
      </c>
      <c r="F3266" s="254">
        <v>31048</v>
      </c>
      <c r="G3266" s="170"/>
      <c r="H3266" s="170">
        <v>2</v>
      </c>
      <c r="I3266" s="746">
        <f>TIME(0,40,0)</f>
        <v>2.7777777777777776E-2</v>
      </c>
      <c r="J3266" s="899" t="s">
        <v>4706</v>
      </c>
      <c r="K3266" s="167" t="s">
        <v>11170</v>
      </c>
      <c r="L3266" s="167" t="s">
        <v>11175</v>
      </c>
      <c r="M3266" s="167"/>
      <c r="N3266" s="167"/>
      <c r="O3266" s="167" t="s">
        <v>4640</v>
      </c>
      <c r="P3266" s="168" t="s">
        <v>461</v>
      </c>
      <c r="Q3266" s="167" t="s">
        <v>11138</v>
      </c>
      <c r="R3266" s="172" t="s">
        <v>11139</v>
      </c>
      <c r="S3266" s="388" t="s">
        <v>11140</v>
      </c>
      <c r="T3266" s="168" t="s">
        <v>11141</v>
      </c>
      <c r="U3266" s="168"/>
      <c r="V3266" s="168"/>
      <c r="W3266" s="315"/>
      <c r="X3266" s="647" t="s">
        <v>852</v>
      </c>
      <c r="Y3266" s="352" t="s">
        <v>5643</v>
      </c>
      <c r="Z3266" s="353"/>
      <c r="AA3266" s="353"/>
      <c r="AB3266" s="31">
        <f t="shared" ref="AB3266:AB3329" ca="1" si="78">RAND()</f>
        <v>0.47145367628437829</v>
      </c>
      <c r="AC3266" s="810"/>
      <c r="AD3266" s="811"/>
      <c r="AE3266" s="940"/>
      <c r="AF3266" s="920">
        <f>IF(X3266=X3265,AF3265,0)+IF(ISNUMBER(I3266),IF(I3266&lt;1,I3266,I3266*VLOOKUP(J3266,Summary!$H$2:$I$9,2)),VLOOKUP(J3266,Summary!$J$2:$K$9,2)*IF(ISNUMBER(H3266),H3266,1))</f>
        <v>0.11180555555555555</v>
      </c>
      <c r="AG3266" s="287">
        <v>3265</v>
      </c>
      <c r="AH3266" s="94"/>
      <c r="AI3266" s="94"/>
      <c r="AJ3266" s="22"/>
    </row>
    <row r="3267" spans="1:36" s="3" customFormat="1" ht="12" customHeight="1" x14ac:dyDescent="0.25">
      <c r="A3267" s="567" t="s">
        <v>11142</v>
      </c>
      <c r="B3267" s="567" t="s">
        <v>37</v>
      </c>
      <c r="C3267" s="567">
        <v>4</v>
      </c>
      <c r="D3267" s="407" t="s">
        <v>11181</v>
      </c>
      <c r="E3267" s="315" t="s">
        <v>11148</v>
      </c>
      <c r="F3267" s="254">
        <v>31048</v>
      </c>
      <c r="G3267" s="170"/>
      <c r="H3267" s="170">
        <v>2</v>
      </c>
      <c r="I3267" s="746">
        <f>TIME(0,38,0)</f>
        <v>2.6388888888888889E-2</v>
      </c>
      <c r="J3267" s="899" t="s">
        <v>4706</v>
      </c>
      <c r="K3267" s="167" t="s">
        <v>4549</v>
      </c>
      <c r="L3267" s="167" t="s">
        <v>11176</v>
      </c>
      <c r="M3267" s="167"/>
      <c r="N3267" s="167"/>
      <c r="O3267" s="167" t="s">
        <v>4640</v>
      </c>
      <c r="P3267" s="168" t="s">
        <v>461</v>
      </c>
      <c r="Q3267" s="167" t="s">
        <v>11138</v>
      </c>
      <c r="R3267" s="172" t="s">
        <v>11139</v>
      </c>
      <c r="S3267" s="388" t="s">
        <v>11140</v>
      </c>
      <c r="T3267" s="168"/>
      <c r="U3267" s="168"/>
      <c r="V3267" s="168"/>
      <c r="W3267" s="315"/>
      <c r="X3267" s="647" t="s">
        <v>852</v>
      </c>
      <c r="Y3267" s="352" t="s">
        <v>5643</v>
      </c>
      <c r="Z3267" s="353"/>
      <c r="AA3267" s="353"/>
      <c r="AB3267" s="31">
        <f t="shared" ca="1" si="78"/>
        <v>0.50901713056025555</v>
      </c>
      <c r="AC3267" s="810"/>
      <c r="AD3267" s="811"/>
      <c r="AE3267" s="940"/>
      <c r="AF3267" s="920">
        <f>IF(X3267=X3266,AF3266,0)+IF(ISNUMBER(I3267),IF(I3267&lt;1,I3267,I3267*VLOOKUP(J3267,Summary!$H$2:$I$9,2)),VLOOKUP(J3267,Summary!$J$2:$K$9,2)*IF(ISNUMBER(H3267),H3267,1))</f>
        <v>0.13819444444444443</v>
      </c>
      <c r="AG3267" s="287">
        <v>3266</v>
      </c>
      <c r="AH3267" s="94"/>
      <c r="AI3267" s="94"/>
      <c r="AJ3267" s="22"/>
    </row>
    <row r="3268" spans="1:36" s="3" customFormat="1" ht="12" customHeight="1" x14ac:dyDescent="0.25">
      <c r="A3268" s="567" t="s">
        <v>11142</v>
      </c>
      <c r="B3268" s="567" t="s">
        <v>37</v>
      </c>
      <c r="C3268" s="567">
        <v>5</v>
      </c>
      <c r="D3268" s="407" t="s">
        <v>11182</v>
      </c>
      <c r="E3268" s="315" t="s">
        <v>11149</v>
      </c>
      <c r="F3268" s="254">
        <v>31048</v>
      </c>
      <c r="G3268" s="170"/>
      <c r="H3268" s="170">
        <v>2</v>
      </c>
      <c r="I3268" s="746">
        <f>TIME(0,60,0)</f>
        <v>4.1666666666666664E-2</v>
      </c>
      <c r="J3268" s="899" t="s">
        <v>4706</v>
      </c>
      <c r="K3268" s="167" t="s">
        <v>11173</v>
      </c>
      <c r="L3268" s="167" t="s">
        <v>11177</v>
      </c>
      <c r="M3268" s="167"/>
      <c r="N3268" s="167"/>
      <c r="O3268" s="167" t="s">
        <v>4640</v>
      </c>
      <c r="P3268" s="168" t="s">
        <v>461</v>
      </c>
      <c r="Q3268" s="167" t="s">
        <v>11138</v>
      </c>
      <c r="R3268" s="172" t="s">
        <v>11139</v>
      </c>
      <c r="S3268" s="388" t="s">
        <v>11140</v>
      </c>
      <c r="T3268" s="168"/>
      <c r="U3268" s="168"/>
      <c r="V3268" s="168"/>
      <c r="W3268" s="315"/>
      <c r="X3268" s="647" t="s">
        <v>852</v>
      </c>
      <c r="Y3268" s="352" t="s">
        <v>5643</v>
      </c>
      <c r="Z3268" s="353"/>
      <c r="AA3268" s="353"/>
      <c r="AB3268" s="31">
        <f t="shared" ca="1" si="78"/>
        <v>2.0341219323696258E-2</v>
      </c>
      <c r="AC3268" s="810"/>
      <c r="AD3268" s="811"/>
      <c r="AE3268" s="940"/>
      <c r="AF3268" s="920">
        <f>IF(X3268=X3267,AF3267,0)+IF(ISNUMBER(I3268),IF(I3268&lt;1,I3268,I3268*VLOOKUP(J3268,Summary!$H$2:$I$9,2)),VLOOKUP(J3268,Summary!$J$2:$K$9,2)*IF(ISNUMBER(H3268),H3268,1))</f>
        <v>0.17986111111111108</v>
      </c>
      <c r="AG3268" s="287">
        <v>3267</v>
      </c>
      <c r="AH3268" s="94"/>
      <c r="AI3268" s="94"/>
      <c r="AJ3268" s="22"/>
    </row>
    <row r="3269" spans="1:36" s="3" customFormat="1" ht="12" customHeight="1" x14ac:dyDescent="0.25">
      <c r="A3269" s="567" t="s">
        <v>11142</v>
      </c>
      <c r="B3269" s="567" t="s">
        <v>37</v>
      </c>
      <c r="C3269" s="567">
        <v>6</v>
      </c>
      <c r="D3269" s="407" t="s">
        <v>11183</v>
      </c>
      <c r="E3269" s="315" t="s">
        <v>11150</v>
      </c>
      <c r="F3269" s="254">
        <v>31048</v>
      </c>
      <c r="G3269" s="170"/>
      <c r="H3269" s="170">
        <v>2</v>
      </c>
      <c r="I3269" s="746">
        <f>TIME(0,50,0)</f>
        <v>3.4722222222222224E-2</v>
      </c>
      <c r="J3269" s="899" t="s">
        <v>4706</v>
      </c>
      <c r="K3269" s="167" t="s">
        <v>11171</v>
      </c>
      <c r="L3269" s="167" t="s">
        <v>11178</v>
      </c>
      <c r="M3269" s="167"/>
      <c r="N3269" s="167"/>
      <c r="O3269" s="167" t="s">
        <v>4640</v>
      </c>
      <c r="P3269" s="168" t="s">
        <v>461</v>
      </c>
      <c r="Q3269" s="167" t="s">
        <v>11138</v>
      </c>
      <c r="R3269" s="172" t="s">
        <v>11139</v>
      </c>
      <c r="S3269" s="388" t="s">
        <v>11140</v>
      </c>
      <c r="T3269" s="168"/>
      <c r="U3269" s="168"/>
      <c r="V3269" s="168"/>
      <c r="W3269" s="315"/>
      <c r="X3269" s="647" t="s">
        <v>852</v>
      </c>
      <c r="Y3269" s="352" t="s">
        <v>5643</v>
      </c>
      <c r="Z3269" s="353"/>
      <c r="AA3269" s="353"/>
      <c r="AB3269" s="31">
        <f t="shared" ca="1" si="78"/>
        <v>7.5978612498718401E-2</v>
      </c>
      <c r="AC3269" s="810"/>
      <c r="AD3269" s="811"/>
      <c r="AE3269" s="940"/>
      <c r="AF3269" s="920">
        <f>IF(X3269=X3268,AF3268,0)+IF(ISNUMBER(I3269),IF(I3269&lt;1,I3269,I3269*VLOOKUP(J3269,Summary!$H$2:$I$9,2)),VLOOKUP(J3269,Summary!$J$2:$K$9,2)*IF(ISNUMBER(H3269),H3269,1))</f>
        <v>0.21458333333333329</v>
      </c>
      <c r="AG3269" s="287">
        <v>3268</v>
      </c>
      <c r="AH3269" s="94"/>
      <c r="AI3269" s="94"/>
      <c r="AJ3269" s="22"/>
    </row>
    <row r="3270" spans="1:36" s="3" customFormat="1" ht="12" customHeight="1" x14ac:dyDescent="0.25">
      <c r="A3270" s="567" t="s">
        <v>11143</v>
      </c>
      <c r="B3270" s="567" t="s">
        <v>37</v>
      </c>
      <c r="C3270" s="567">
        <v>7</v>
      </c>
      <c r="D3270" s="407" t="s">
        <v>11184</v>
      </c>
      <c r="E3270" s="315" t="s">
        <v>11151</v>
      </c>
      <c r="F3270" s="254">
        <v>31413</v>
      </c>
      <c r="G3270" s="170"/>
      <c r="H3270" s="170">
        <v>2</v>
      </c>
      <c r="I3270" s="746">
        <f>TIME(0,89,0)</f>
        <v>6.1805555555555558E-2</v>
      </c>
      <c r="J3270" s="899" t="s">
        <v>4706</v>
      </c>
      <c r="K3270" s="167" t="s">
        <v>7375</v>
      </c>
      <c r="L3270" s="167" t="s">
        <v>7375</v>
      </c>
      <c r="M3270" s="167"/>
      <c r="N3270" s="167"/>
      <c r="O3270" s="167" t="s">
        <v>4640</v>
      </c>
      <c r="P3270" s="168" t="s">
        <v>461</v>
      </c>
      <c r="Q3270" s="167" t="s">
        <v>11138</v>
      </c>
      <c r="R3270" s="172" t="s">
        <v>11139</v>
      </c>
      <c r="S3270" s="388" t="s">
        <v>11140</v>
      </c>
      <c r="T3270" s="168"/>
      <c r="U3270" s="168" t="s">
        <v>11168</v>
      </c>
      <c r="V3270" s="168"/>
      <c r="W3270" s="315"/>
      <c r="X3270" s="647" t="s">
        <v>11168</v>
      </c>
      <c r="Y3270" s="352" t="s">
        <v>5643</v>
      </c>
      <c r="Z3270" s="353"/>
      <c r="AA3270" s="353"/>
      <c r="AB3270" s="31">
        <f t="shared" ca="1" si="78"/>
        <v>0.8195471090917914</v>
      </c>
      <c r="AC3270" s="810"/>
      <c r="AD3270" s="811"/>
      <c r="AE3270" s="940"/>
      <c r="AF3270" s="920">
        <f>IF(X3270=X3269,AF3269,0)+IF(ISNUMBER(I3270),IF(I3270&lt;1,I3270,I3270*VLOOKUP(J3270,Summary!$H$2:$I$9,2)),VLOOKUP(J3270,Summary!$J$2:$K$9,2)*IF(ISNUMBER(H3270),H3270,1))</f>
        <v>6.1805555555555558E-2</v>
      </c>
      <c r="AG3270" s="287">
        <v>3269</v>
      </c>
      <c r="AH3270" s="94"/>
      <c r="AI3270" s="94"/>
      <c r="AJ3270" s="22"/>
    </row>
    <row r="3271" spans="1:36" s="3" customFormat="1" ht="12" customHeight="1" x14ac:dyDescent="0.25">
      <c r="A3271" s="567" t="s">
        <v>11143</v>
      </c>
      <c r="B3271" s="567" t="s">
        <v>37</v>
      </c>
      <c r="C3271" s="567">
        <v>8</v>
      </c>
      <c r="D3271" s="407" t="s">
        <v>11185</v>
      </c>
      <c r="E3271" s="315" t="s">
        <v>7883</v>
      </c>
      <c r="F3271" s="254">
        <v>31413</v>
      </c>
      <c r="G3271" s="170"/>
      <c r="H3271" s="170">
        <v>3</v>
      </c>
      <c r="I3271" s="746">
        <f>TIME(0,96,0)</f>
        <v>6.6666666666666666E-2</v>
      </c>
      <c r="J3271" s="899" t="s">
        <v>4706</v>
      </c>
      <c r="K3271" s="167" t="s">
        <v>4549</v>
      </c>
      <c r="L3271" s="167" t="s">
        <v>4549</v>
      </c>
      <c r="M3271" s="167"/>
      <c r="N3271" s="167"/>
      <c r="O3271" s="167" t="s">
        <v>4640</v>
      </c>
      <c r="P3271" s="168" t="s">
        <v>461</v>
      </c>
      <c r="Q3271" s="167" t="s">
        <v>11138</v>
      </c>
      <c r="R3271" s="172" t="s">
        <v>11139</v>
      </c>
      <c r="S3271" s="388" t="s">
        <v>11140</v>
      </c>
      <c r="T3271" s="168"/>
      <c r="U3271" s="168" t="s">
        <v>11168</v>
      </c>
      <c r="V3271" s="168"/>
      <c r="W3271" s="315"/>
      <c r="X3271" s="647" t="s">
        <v>11168</v>
      </c>
      <c r="Y3271" s="352" t="s">
        <v>5643</v>
      </c>
      <c r="Z3271" s="353"/>
      <c r="AA3271" s="353"/>
      <c r="AB3271" s="897">
        <f t="shared" ca="1" si="78"/>
        <v>0.27020233803144522</v>
      </c>
      <c r="AC3271" s="810"/>
      <c r="AD3271" s="811"/>
      <c r="AE3271" s="940"/>
      <c r="AF3271" s="920">
        <f>IF(X3271=X3270,AF3270,0)+IF(ISNUMBER(I3271),IF(I3271&lt;1,I3271,I3271*VLOOKUP(J3271,Summary!$H$2:$I$9,2)),VLOOKUP(J3271,Summary!$J$2:$K$9,2)*IF(ISNUMBER(H3271),H3271,1))</f>
        <v>0.12847222222222221</v>
      </c>
      <c r="AG3271" s="287">
        <v>3270</v>
      </c>
      <c r="AH3271" s="94"/>
      <c r="AI3271" s="94"/>
      <c r="AJ3271" s="22"/>
    </row>
    <row r="3272" spans="1:36" s="3" customFormat="1" ht="12" customHeight="1" x14ac:dyDescent="0.25">
      <c r="A3272" s="567" t="s">
        <v>11143</v>
      </c>
      <c r="B3272" s="567" t="s">
        <v>37</v>
      </c>
      <c r="C3272" s="567">
        <v>9</v>
      </c>
      <c r="D3272" s="407" t="s">
        <v>11186</v>
      </c>
      <c r="E3272" s="315" t="s">
        <v>11152</v>
      </c>
      <c r="F3272" s="254">
        <v>31413</v>
      </c>
      <c r="G3272" s="170"/>
      <c r="H3272" s="170">
        <v>2</v>
      </c>
      <c r="I3272" s="746">
        <f>TIME(0,66,0)</f>
        <v>4.5833333333333337E-2</v>
      </c>
      <c r="J3272" s="899" t="s">
        <v>4706</v>
      </c>
      <c r="K3272" s="167" t="s">
        <v>4549</v>
      </c>
      <c r="L3272" s="167" t="s">
        <v>4549</v>
      </c>
      <c r="M3272" s="167"/>
      <c r="N3272" s="167"/>
      <c r="O3272" s="167" t="s">
        <v>4640</v>
      </c>
      <c r="P3272" s="168" t="s">
        <v>461</v>
      </c>
      <c r="Q3272" s="167" t="s">
        <v>11138</v>
      </c>
      <c r="R3272" s="172" t="s">
        <v>11139</v>
      </c>
      <c r="S3272" s="388"/>
      <c r="T3272" s="168"/>
      <c r="U3272" s="168" t="s">
        <v>11168</v>
      </c>
      <c r="V3272" s="168"/>
      <c r="W3272" s="315"/>
      <c r="X3272" s="647" t="s">
        <v>11168</v>
      </c>
      <c r="Y3272" s="352" t="s">
        <v>5643</v>
      </c>
      <c r="Z3272" s="353"/>
      <c r="AA3272" s="353"/>
      <c r="AB3272" s="31">
        <f t="shared" ca="1" si="78"/>
        <v>0.82053043013054827</v>
      </c>
      <c r="AC3272" s="810"/>
      <c r="AD3272" s="811"/>
      <c r="AE3272" s="940"/>
      <c r="AF3272" s="920">
        <f>IF(X3272=X3271,AF3271,0)+IF(ISNUMBER(I3272),IF(I3272&lt;1,I3272,I3272*VLOOKUP(J3272,Summary!$H$2:$I$9,2)),VLOOKUP(J3272,Summary!$J$2:$K$9,2)*IF(ISNUMBER(H3272),H3272,1))</f>
        <v>0.17430555555555555</v>
      </c>
      <c r="AG3272" s="287">
        <v>3271</v>
      </c>
      <c r="AH3272" s="94"/>
      <c r="AI3272" s="94"/>
      <c r="AJ3272" s="22"/>
    </row>
    <row r="3273" spans="1:36" s="3" customFormat="1" ht="12" customHeight="1" x14ac:dyDescent="0.25">
      <c r="A3273" s="567" t="s">
        <v>11143</v>
      </c>
      <c r="B3273" s="567" t="s">
        <v>37</v>
      </c>
      <c r="C3273" s="567">
        <v>10</v>
      </c>
      <c r="D3273" s="407" t="s">
        <v>11187</v>
      </c>
      <c r="E3273" s="315" t="s">
        <v>11153</v>
      </c>
      <c r="F3273" s="254">
        <v>31413</v>
      </c>
      <c r="G3273" s="170"/>
      <c r="H3273" s="170">
        <v>1</v>
      </c>
      <c r="I3273" s="746">
        <f>TIME(0,23,0)</f>
        <v>1.5972222222222224E-2</v>
      </c>
      <c r="J3273" s="899" t="s">
        <v>4706</v>
      </c>
      <c r="K3273" s="167" t="s">
        <v>4549</v>
      </c>
      <c r="L3273" s="167" t="s">
        <v>4549</v>
      </c>
      <c r="M3273" s="167"/>
      <c r="N3273" s="167"/>
      <c r="O3273" s="167" t="s">
        <v>4640</v>
      </c>
      <c r="P3273" s="168" t="s">
        <v>461</v>
      </c>
      <c r="Q3273" s="167" t="s">
        <v>11138</v>
      </c>
      <c r="R3273" s="172" t="s">
        <v>11139</v>
      </c>
      <c r="S3273" s="388"/>
      <c r="T3273" s="168"/>
      <c r="U3273" s="168" t="s">
        <v>11168</v>
      </c>
      <c r="V3273" s="168"/>
      <c r="W3273" s="315"/>
      <c r="X3273" s="647" t="s">
        <v>11168</v>
      </c>
      <c r="Y3273" s="352" t="s">
        <v>5643</v>
      </c>
      <c r="Z3273" s="353"/>
      <c r="AA3273" s="353"/>
      <c r="AB3273" s="31">
        <f t="shared" ca="1" si="78"/>
        <v>0.75670374900979032</v>
      </c>
      <c r="AC3273" s="810"/>
      <c r="AD3273" s="811"/>
      <c r="AE3273" s="940"/>
      <c r="AF3273" s="920">
        <f>IF(X3273=X3272,AF3272,0)+IF(ISNUMBER(I3273),IF(I3273&lt;1,I3273,I3273*VLOOKUP(J3273,Summary!$H$2:$I$9,2)),VLOOKUP(J3273,Summary!$J$2:$K$9,2)*IF(ISNUMBER(H3273),H3273,1))</f>
        <v>0.19027777777777777</v>
      </c>
      <c r="AG3273" s="287">
        <v>3272</v>
      </c>
      <c r="AH3273" s="94"/>
      <c r="AI3273" s="94"/>
      <c r="AJ3273" s="22"/>
    </row>
    <row r="3274" spans="1:36" s="43" customFormat="1" ht="12" customHeight="1" x14ac:dyDescent="0.25">
      <c r="A3274" s="567" t="s">
        <v>11143</v>
      </c>
      <c r="B3274" s="567" t="s">
        <v>37</v>
      </c>
      <c r="C3274" s="567">
        <v>11</v>
      </c>
      <c r="D3274" s="407" t="s">
        <v>11188</v>
      </c>
      <c r="E3274" s="315" t="s">
        <v>11154</v>
      </c>
      <c r="F3274" s="254">
        <v>31413</v>
      </c>
      <c r="G3274" s="170"/>
      <c r="H3274" s="170">
        <v>2</v>
      </c>
      <c r="I3274" s="746">
        <f>TIME(0,51,0)</f>
        <v>3.5416666666666666E-2</v>
      </c>
      <c r="J3274" s="899" t="s">
        <v>4706</v>
      </c>
      <c r="K3274" s="167" t="s">
        <v>11172</v>
      </c>
      <c r="L3274" s="167" t="s">
        <v>11207</v>
      </c>
      <c r="M3274" s="167"/>
      <c r="N3274" s="167"/>
      <c r="O3274" s="167" t="s">
        <v>4640</v>
      </c>
      <c r="P3274" s="168" t="s">
        <v>461</v>
      </c>
      <c r="Q3274" s="167" t="s">
        <v>11138</v>
      </c>
      <c r="R3274" s="172" t="s">
        <v>11139</v>
      </c>
      <c r="S3274" s="388"/>
      <c r="T3274" s="168"/>
      <c r="U3274" s="168" t="s">
        <v>11168</v>
      </c>
      <c r="V3274" s="168"/>
      <c r="W3274" s="315"/>
      <c r="X3274" s="647" t="s">
        <v>11168</v>
      </c>
      <c r="Y3274" s="352" t="s">
        <v>5643</v>
      </c>
      <c r="Z3274" s="353"/>
      <c r="AA3274" s="353"/>
      <c r="AB3274" s="31">
        <f t="shared" ca="1" si="78"/>
        <v>0.74066456814442139</v>
      </c>
      <c r="AC3274" s="810"/>
      <c r="AD3274" s="811"/>
      <c r="AE3274" s="940"/>
      <c r="AF3274" s="920">
        <f>IF(X3274=X3273,AF3273,0)+IF(ISNUMBER(I3274),IF(I3274&lt;1,I3274,I3274*VLOOKUP(J3274,Summary!$H$2:$I$9,2)),VLOOKUP(J3274,Summary!$J$2:$K$9,2)*IF(ISNUMBER(H3274),H3274,1))</f>
        <v>0.22569444444444442</v>
      </c>
      <c r="AG3274" s="287">
        <v>3273</v>
      </c>
      <c r="AH3274" s="94"/>
      <c r="AI3274" s="94"/>
    </row>
    <row r="3275" spans="1:36" s="43" customFormat="1" ht="12" customHeight="1" x14ac:dyDescent="0.25">
      <c r="A3275" s="567" t="s">
        <v>11143</v>
      </c>
      <c r="B3275" s="567" t="s">
        <v>37</v>
      </c>
      <c r="C3275" s="567">
        <v>12</v>
      </c>
      <c r="D3275" s="407" t="s">
        <v>11189</v>
      </c>
      <c r="E3275" s="315" t="s">
        <v>3021</v>
      </c>
      <c r="F3275" s="254">
        <v>31413</v>
      </c>
      <c r="G3275" s="170"/>
      <c r="H3275" s="170">
        <v>2</v>
      </c>
      <c r="I3275" s="746">
        <f>TIME(0,62,0)</f>
        <v>4.3055555555555562E-2</v>
      </c>
      <c r="J3275" s="899" t="s">
        <v>4706</v>
      </c>
      <c r="K3275" s="167" t="s">
        <v>11173</v>
      </c>
      <c r="L3275" s="167" t="s">
        <v>11177</v>
      </c>
      <c r="M3275" s="167"/>
      <c r="N3275" s="167"/>
      <c r="O3275" s="167" t="s">
        <v>4640</v>
      </c>
      <c r="P3275" s="168" t="s">
        <v>461</v>
      </c>
      <c r="Q3275" s="167" t="s">
        <v>11138</v>
      </c>
      <c r="R3275" s="172" t="s">
        <v>11139</v>
      </c>
      <c r="S3275" s="388"/>
      <c r="T3275" s="168"/>
      <c r="U3275" s="168" t="s">
        <v>11168</v>
      </c>
      <c r="V3275" s="168"/>
      <c r="W3275" s="315"/>
      <c r="X3275" s="647" t="s">
        <v>11168</v>
      </c>
      <c r="Y3275" s="352" t="s">
        <v>5643</v>
      </c>
      <c r="Z3275" s="353"/>
      <c r="AA3275" s="353"/>
      <c r="AB3275" s="31">
        <f t="shared" ca="1" si="78"/>
        <v>0.87077704175330961</v>
      </c>
      <c r="AC3275" s="810"/>
      <c r="AD3275" s="811"/>
      <c r="AE3275" s="940"/>
      <c r="AF3275" s="920">
        <f>IF(X3275=X3274,AF3274,0)+IF(ISNUMBER(I3275),IF(I3275&lt;1,I3275,I3275*VLOOKUP(J3275,Summary!$H$2:$I$9,2)),VLOOKUP(J3275,Summary!$J$2:$K$9,2)*IF(ISNUMBER(H3275),H3275,1))</f>
        <v>0.26874999999999999</v>
      </c>
      <c r="AG3275" s="287">
        <v>3274</v>
      </c>
      <c r="AH3275" s="94"/>
      <c r="AI3275" s="94"/>
    </row>
    <row r="3276" spans="1:36" s="43" customFormat="1" ht="12" customHeight="1" x14ac:dyDescent="0.25">
      <c r="A3276" s="567" t="s">
        <v>11143</v>
      </c>
      <c r="B3276" s="567" t="s">
        <v>37</v>
      </c>
      <c r="C3276" s="567">
        <v>13</v>
      </c>
      <c r="D3276" s="407" t="s">
        <v>11190</v>
      </c>
      <c r="E3276" s="315" t="s">
        <v>11155</v>
      </c>
      <c r="F3276" s="254">
        <v>31413</v>
      </c>
      <c r="G3276" s="170"/>
      <c r="H3276" s="170">
        <v>4</v>
      </c>
      <c r="I3276" s="746">
        <f>TIME(0,126,0)</f>
        <v>8.7500000000000008E-2</v>
      </c>
      <c r="J3276" s="899" t="s">
        <v>4706</v>
      </c>
      <c r="K3276" s="167" t="s">
        <v>1932</v>
      </c>
      <c r="L3276" s="167" t="s">
        <v>1932</v>
      </c>
      <c r="M3276" s="167"/>
      <c r="N3276" s="167"/>
      <c r="O3276" s="167" t="s">
        <v>4640</v>
      </c>
      <c r="P3276" s="168" t="s">
        <v>461</v>
      </c>
      <c r="Q3276" s="167" t="s">
        <v>11138</v>
      </c>
      <c r="R3276" s="172" t="s">
        <v>11139</v>
      </c>
      <c r="S3276" s="388"/>
      <c r="T3276" s="168"/>
      <c r="U3276" s="168" t="s">
        <v>11168</v>
      </c>
      <c r="V3276" s="168"/>
      <c r="W3276" s="315"/>
      <c r="X3276" s="647" t="s">
        <v>11168</v>
      </c>
      <c r="Y3276" s="352" t="s">
        <v>5643</v>
      </c>
      <c r="Z3276" s="353"/>
      <c r="AA3276" s="353"/>
      <c r="AB3276" s="31">
        <f t="shared" ca="1" si="78"/>
        <v>0.93971896002555144</v>
      </c>
      <c r="AC3276" s="810"/>
      <c r="AD3276" s="811"/>
      <c r="AE3276" s="940"/>
      <c r="AF3276" s="920">
        <f>IF(X3276=X3275,AF3275,0)+IF(ISNUMBER(I3276),IF(I3276&lt;1,I3276,I3276*VLOOKUP(J3276,Summary!$H$2:$I$9,2)),VLOOKUP(J3276,Summary!$J$2:$K$9,2)*IF(ISNUMBER(H3276),H3276,1))</f>
        <v>0.35625000000000001</v>
      </c>
      <c r="AG3276" s="287">
        <v>3275</v>
      </c>
      <c r="AH3276" s="94"/>
      <c r="AI3276" s="94"/>
    </row>
    <row r="3277" spans="1:36" s="43" customFormat="1" ht="12" customHeight="1" x14ac:dyDescent="0.25">
      <c r="A3277" s="567" t="s">
        <v>11144</v>
      </c>
      <c r="B3277" s="567" t="s">
        <v>37</v>
      </c>
      <c r="C3277" s="567">
        <v>14</v>
      </c>
      <c r="D3277" s="407" t="s">
        <v>11191</v>
      </c>
      <c r="E3277" s="315" t="s">
        <v>11156</v>
      </c>
      <c r="F3277" s="254">
        <v>31413</v>
      </c>
      <c r="G3277" s="170"/>
      <c r="H3277" s="170">
        <v>2</v>
      </c>
      <c r="I3277" s="746">
        <f>TIME(0,54,0)</f>
        <v>3.7499999999999999E-2</v>
      </c>
      <c r="J3277" s="899" t="s">
        <v>4706</v>
      </c>
      <c r="K3277" s="167" t="s">
        <v>1932</v>
      </c>
      <c r="L3277" s="167" t="s">
        <v>1932</v>
      </c>
      <c r="M3277" s="167"/>
      <c r="N3277" s="167"/>
      <c r="O3277" s="167" t="s">
        <v>4640</v>
      </c>
      <c r="P3277" s="168" t="s">
        <v>461</v>
      </c>
      <c r="Q3277" s="167" t="s">
        <v>11138</v>
      </c>
      <c r="R3277" s="172" t="s">
        <v>11139</v>
      </c>
      <c r="S3277" s="388"/>
      <c r="T3277" s="168"/>
      <c r="U3277" s="168" t="s">
        <v>11168</v>
      </c>
      <c r="V3277" s="168"/>
      <c r="W3277" s="315"/>
      <c r="X3277" s="647" t="s">
        <v>11169</v>
      </c>
      <c r="Y3277" s="352" t="s">
        <v>5643</v>
      </c>
      <c r="Z3277" s="353"/>
      <c r="AA3277" s="353"/>
      <c r="AB3277" s="31">
        <f t="shared" ca="1" si="78"/>
        <v>0.62730917514692064</v>
      </c>
      <c r="AC3277" s="810"/>
      <c r="AD3277" s="811"/>
      <c r="AE3277" s="940"/>
      <c r="AF3277" s="920">
        <f>IF(X3277=X3276,AF3276,0)+IF(ISNUMBER(I3277),IF(I3277&lt;1,I3277,I3277*VLOOKUP(J3277,Summary!$H$2:$I$9,2)),VLOOKUP(J3277,Summary!$J$2:$K$9,2)*IF(ISNUMBER(H3277),H3277,1))</f>
        <v>3.7499999999999999E-2</v>
      </c>
      <c r="AG3277" s="287">
        <v>3276</v>
      </c>
      <c r="AH3277" s="94"/>
      <c r="AI3277" s="94"/>
    </row>
    <row r="3278" spans="1:36" s="43" customFormat="1" ht="12" customHeight="1" x14ac:dyDescent="0.25">
      <c r="A3278" s="567" t="s">
        <v>11144</v>
      </c>
      <c r="B3278" s="567" t="s">
        <v>37</v>
      </c>
      <c r="C3278" s="567">
        <v>15</v>
      </c>
      <c r="D3278" s="407" t="s">
        <v>11192</v>
      </c>
      <c r="E3278" s="315" t="s">
        <v>11157</v>
      </c>
      <c r="F3278" s="254">
        <v>31413</v>
      </c>
      <c r="G3278" s="170"/>
      <c r="H3278" s="170">
        <v>2</v>
      </c>
      <c r="I3278" s="746">
        <f>TIME(0,71,0)</f>
        <v>4.9305555555555554E-2</v>
      </c>
      <c r="J3278" s="899" t="s">
        <v>4706</v>
      </c>
      <c r="K3278" s="167" t="s">
        <v>4549</v>
      </c>
      <c r="L3278" s="167" t="s">
        <v>4549</v>
      </c>
      <c r="M3278" s="167"/>
      <c r="N3278" s="167"/>
      <c r="O3278" s="167" t="s">
        <v>4640</v>
      </c>
      <c r="P3278" s="168" t="s">
        <v>461</v>
      </c>
      <c r="Q3278" s="167" t="s">
        <v>11138</v>
      </c>
      <c r="R3278" s="172" t="s">
        <v>11139</v>
      </c>
      <c r="S3278" s="388"/>
      <c r="T3278" s="168"/>
      <c r="U3278" s="168" t="s">
        <v>11168</v>
      </c>
      <c r="V3278" s="168" t="s">
        <v>11169</v>
      </c>
      <c r="W3278" s="315"/>
      <c r="X3278" s="647" t="s">
        <v>11169</v>
      </c>
      <c r="Y3278" s="352" t="s">
        <v>5643</v>
      </c>
      <c r="Z3278" s="353"/>
      <c r="AA3278" s="353"/>
      <c r="AB3278" s="31">
        <f t="shared" ca="1" si="78"/>
        <v>0.31354457859682983</v>
      </c>
      <c r="AC3278" s="810"/>
      <c r="AD3278" s="811"/>
      <c r="AE3278" s="940"/>
      <c r="AF3278" s="920">
        <f>IF(X3278=X3277,AF3277,0)+IF(ISNUMBER(I3278),IF(I3278&lt;1,I3278,I3278*VLOOKUP(J3278,Summary!$H$2:$I$9,2)),VLOOKUP(J3278,Summary!$J$2:$K$9,2)*IF(ISNUMBER(H3278),H3278,1))</f>
        <v>8.6805555555555552E-2</v>
      </c>
      <c r="AG3278" s="287">
        <v>3277</v>
      </c>
      <c r="AH3278" s="94"/>
      <c r="AI3278" s="94"/>
    </row>
    <row r="3279" spans="1:36" s="43" customFormat="1" ht="12" customHeight="1" x14ac:dyDescent="0.25">
      <c r="A3279" s="567" t="s">
        <v>11144</v>
      </c>
      <c r="B3279" s="567" t="s">
        <v>37</v>
      </c>
      <c r="C3279" s="567">
        <v>16</v>
      </c>
      <c r="D3279" s="407" t="s">
        <v>11193</v>
      </c>
      <c r="E3279" s="315" t="s">
        <v>11158</v>
      </c>
      <c r="F3279" s="254">
        <v>31413</v>
      </c>
      <c r="G3279" s="170"/>
      <c r="H3279" s="170">
        <v>2</v>
      </c>
      <c r="I3279" s="746">
        <f>TIME(0,88,0)</f>
        <v>6.1111111111111109E-2</v>
      </c>
      <c r="J3279" s="899" t="s">
        <v>4706</v>
      </c>
      <c r="K3279" s="167" t="s">
        <v>11173</v>
      </c>
      <c r="L3279" s="167" t="s">
        <v>11208</v>
      </c>
      <c r="M3279" s="167"/>
      <c r="N3279" s="167"/>
      <c r="O3279" s="167" t="s">
        <v>4640</v>
      </c>
      <c r="P3279" s="168" t="s">
        <v>461</v>
      </c>
      <c r="Q3279" s="167" t="s">
        <v>11138</v>
      </c>
      <c r="R3279" s="172" t="s">
        <v>11139</v>
      </c>
      <c r="S3279" s="388"/>
      <c r="T3279" s="168"/>
      <c r="U3279" s="168" t="s">
        <v>11168</v>
      </c>
      <c r="V3279" s="168" t="s">
        <v>11169</v>
      </c>
      <c r="W3279" s="315"/>
      <c r="X3279" s="647" t="s">
        <v>11169</v>
      </c>
      <c r="Y3279" s="352" t="s">
        <v>5643</v>
      </c>
      <c r="Z3279" s="353"/>
      <c r="AA3279" s="353"/>
      <c r="AB3279" s="31">
        <f t="shared" ca="1" si="78"/>
        <v>0.34454486151212615</v>
      </c>
      <c r="AC3279" s="810"/>
      <c r="AD3279" s="811"/>
      <c r="AE3279" s="940"/>
      <c r="AF3279" s="920">
        <f>IF(X3279=X3278,AF3278,0)+IF(ISNUMBER(I3279),IF(I3279&lt;1,I3279,I3279*VLOOKUP(J3279,Summary!$H$2:$I$9,2)),VLOOKUP(J3279,Summary!$J$2:$K$9,2)*IF(ISNUMBER(H3279),H3279,1))</f>
        <v>0.14791666666666667</v>
      </c>
      <c r="AG3279" s="287">
        <v>3278</v>
      </c>
      <c r="AH3279" s="94"/>
      <c r="AI3279" s="94"/>
    </row>
    <row r="3280" spans="1:36" s="43" customFormat="1" ht="12" customHeight="1" x14ac:dyDescent="0.25">
      <c r="A3280" s="567" t="s">
        <v>11144</v>
      </c>
      <c r="B3280" s="567" t="s">
        <v>37</v>
      </c>
      <c r="C3280" s="567">
        <v>17</v>
      </c>
      <c r="D3280" s="407" t="s">
        <v>11194</v>
      </c>
      <c r="E3280" s="315" t="s">
        <v>11159</v>
      </c>
      <c r="F3280" s="254">
        <v>31413</v>
      </c>
      <c r="G3280" s="170"/>
      <c r="H3280" s="170">
        <v>3</v>
      </c>
      <c r="I3280" s="746">
        <f>TIME(0,55,0)</f>
        <v>3.8194444444444441E-2</v>
      </c>
      <c r="J3280" s="899" t="s">
        <v>4706</v>
      </c>
      <c r="K3280" s="167" t="s">
        <v>7757</v>
      </c>
      <c r="L3280" s="167" t="s">
        <v>11209</v>
      </c>
      <c r="M3280" s="167"/>
      <c r="N3280" s="167"/>
      <c r="O3280" s="167" t="s">
        <v>4640</v>
      </c>
      <c r="P3280" s="168" t="s">
        <v>461</v>
      </c>
      <c r="Q3280" s="167" t="s">
        <v>11138</v>
      </c>
      <c r="R3280" s="172" t="s">
        <v>11139</v>
      </c>
      <c r="S3280" s="388"/>
      <c r="T3280" s="168"/>
      <c r="U3280" s="168" t="s">
        <v>11168</v>
      </c>
      <c r="V3280" s="168" t="s">
        <v>11169</v>
      </c>
      <c r="W3280" s="315"/>
      <c r="X3280" s="647" t="s">
        <v>11169</v>
      </c>
      <c r="Y3280" s="352" t="s">
        <v>5643</v>
      </c>
      <c r="Z3280" s="353"/>
      <c r="AA3280" s="353"/>
      <c r="AB3280" s="31">
        <f t="shared" ca="1" si="78"/>
        <v>0.88332760540003896</v>
      </c>
      <c r="AC3280" s="810"/>
      <c r="AD3280" s="811"/>
      <c r="AE3280" s="940"/>
      <c r="AF3280" s="920">
        <f>IF(X3280=X3279,AF3279,0)+IF(ISNUMBER(I3280),IF(I3280&lt;1,I3280,I3280*VLOOKUP(J3280,Summary!$H$2:$I$9,2)),VLOOKUP(J3280,Summary!$J$2:$K$9,2)*IF(ISNUMBER(H3280),H3280,1))</f>
        <v>0.18611111111111112</v>
      </c>
      <c r="AG3280" s="287">
        <v>3279</v>
      </c>
      <c r="AH3280" s="94"/>
      <c r="AI3280" s="94"/>
    </row>
    <row r="3281" spans="1:36" s="43" customFormat="1" ht="12" customHeight="1" x14ac:dyDescent="0.25">
      <c r="A3281" s="567" t="s">
        <v>11144</v>
      </c>
      <c r="B3281" s="567" t="s">
        <v>37</v>
      </c>
      <c r="C3281" s="567">
        <v>18</v>
      </c>
      <c r="D3281" s="407" t="s">
        <v>11195</v>
      </c>
      <c r="E3281" s="315" t="s">
        <v>3017</v>
      </c>
      <c r="F3281" s="254">
        <v>31413</v>
      </c>
      <c r="G3281" s="170"/>
      <c r="H3281" s="170">
        <v>1</v>
      </c>
      <c r="I3281" s="746">
        <f>TIME(0,90,0)</f>
        <v>6.25E-2</v>
      </c>
      <c r="J3281" s="899" t="s">
        <v>4706</v>
      </c>
      <c r="K3281" s="167" t="s">
        <v>4549</v>
      </c>
      <c r="L3281" s="167" t="s">
        <v>273</v>
      </c>
      <c r="M3281" s="167"/>
      <c r="N3281" s="167"/>
      <c r="O3281" s="167" t="s">
        <v>4640</v>
      </c>
      <c r="P3281" s="168" t="s">
        <v>461</v>
      </c>
      <c r="Q3281" s="167" t="s">
        <v>11138</v>
      </c>
      <c r="R3281" s="172" t="s">
        <v>11139</v>
      </c>
      <c r="S3281" s="388"/>
      <c r="T3281" s="168"/>
      <c r="U3281" s="168" t="s">
        <v>11168</v>
      </c>
      <c r="V3281" s="168" t="s">
        <v>11169</v>
      </c>
      <c r="W3281" s="315"/>
      <c r="X3281" s="647" t="s">
        <v>11169</v>
      </c>
      <c r="Y3281" s="352" t="s">
        <v>5643</v>
      </c>
      <c r="Z3281" s="353"/>
      <c r="AA3281" s="353"/>
      <c r="AB3281" s="31">
        <f t="shared" ca="1" si="78"/>
        <v>0.52639611979547818</v>
      </c>
      <c r="AC3281" s="810"/>
      <c r="AD3281" s="811"/>
      <c r="AE3281" s="940"/>
      <c r="AF3281" s="920">
        <f>IF(X3281=X3280,AF3280,0)+IF(ISNUMBER(I3281),IF(I3281&lt;1,I3281,I3281*VLOOKUP(J3281,Summary!$H$2:$I$9,2)),VLOOKUP(J3281,Summary!$J$2:$K$9,2)*IF(ISNUMBER(H3281),H3281,1))</f>
        <v>0.24861111111111112</v>
      </c>
      <c r="AG3281" s="287">
        <v>3280</v>
      </c>
      <c r="AH3281" s="94"/>
      <c r="AI3281" s="94"/>
    </row>
    <row r="3282" spans="1:36" s="43" customFormat="1" ht="12" customHeight="1" x14ac:dyDescent="0.25">
      <c r="A3282" s="567" t="s">
        <v>11144</v>
      </c>
      <c r="B3282" s="567" t="s">
        <v>37</v>
      </c>
      <c r="C3282" s="567">
        <v>19</v>
      </c>
      <c r="D3282" s="407" t="s">
        <v>11196</v>
      </c>
      <c r="E3282" s="315" t="s">
        <v>11160</v>
      </c>
      <c r="F3282" s="254">
        <v>31413</v>
      </c>
      <c r="G3282" s="170"/>
      <c r="H3282" s="170">
        <v>1</v>
      </c>
      <c r="I3282" s="746">
        <f>TIME(0,66,0)</f>
        <v>4.5833333333333337E-2</v>
      </c>
      <c r="J3282" s="899" t="s">
        <v>4706</v>
      </c>
      <c r="K3282" s="167" t="s">
        <v>1932</v>
      </c>
      <c r="L3282" s="167" t="s">
        <v>11177</v>
      </c>
      <c r="M3282" s="167"/>
      <c r="N3282" s="167"/>
      <c r="O3282" s="167" t="s">
        <v>4640</v>
      </c>
      <c r="P3282" s="168" t="s">
        <v>461</v>
      </c>
      <c r="Q3282" s="167" t="s">
        <v>11138</v>
      </c>
      <c r="R3282" s="172" t="s">
        <v>11139</v>
      </c>
      <c r="S3282" s="388"/>
      <c r="T3282" s="168"/>
      <c r="U3282" s="168" t="s">
        <v>11168</v>
      </c>
      <c r="V3282" s="168" t="s">
        <v>11169</v>
      </c>
      <c r="W3282" s="315"/>
      <c r="X3282" s="647" t="s">
        <v>11169</v>
      </c>
      <c r="Y3282" s="352" t="s">
        <v>5643</v>
      </c>
      <c r="Z3282" s="353"/>
      <c r="AA3282" s="353"/>
      <c r="AB3282" s="31">
        <f t="shared" ca="1" si="78"/>
        <v>0.68078130899621025</v>
      </c>
      <c r="AC3282" s="810"/>
      <c r="AD3282" s="811"/>
      <c r="AE3282" s="940"/>
      <c r="AF3282" s="920">
        <f>IF(X3282=X3281,AF3281,0)+IF(ISNUMBER(I3282),IF(I3282&lt;1,I3282,I3282*VLOOKUP(J3282,Summary!$H$2:$I$9,2)),VLOOKUP(J3282,Summary!$J$2:$K$9,2)*IF(ISNUMBER(H3282),H3282,1))</f>
        <v>0.29444444444444445</v>
      </c>
      <c r="AG3282" s="287">
        <v>3281</v>
      </c>
      <c r="AH3282" s="94"/>
      <c r="AI3282" s="94"/>
    </row>
    <row r="3283" spans="1:36" s="43" customFormat="1" ht="12" customHeight="1" x14ac:dyDescent="0.25">
      <c r="A3283" s="567" t="s">
        <v>11144</v>
      </c>
      <c r="B3283" s="567" t="s">
        <v>37</v>
      </c>
      <c r="C3283" s="567">
        <v>20</v>
      </c>
      <c r="D3283" s="407" t="s">
        <v>11197</v>
      </c>
      <c r="E3283" s="315" t="s">
        <v>11161</v>
      </c>
      <c r="F3283" s="254">
        <v>31413</v>
      </c>
      <c r="G3283" s="170"/>
      <c r="H3283" s="170">
        <v>1</v>
      </c>
      <c r="I3283" s="746">
        <f>TIME(0,135,0)</f>
        <v>9.375E-2</v>
      </c>
      <c r="J3283" s="899" t="s">
        <v>4706</v>
      </c>
      <c r="K3283" s="167" t="s">
        <v>11173</v>
      </c>
      <c r="L3283" s="167" t="s">
        <v>4640</v>
      </c>
      <c r="M3283" s="167"/>
      <c r="N3283" s="167"/>
      <c r="O3283" s="167" t="s">
        <v>4640</v>
      </c>
      <c r="P3283" s="168" t="s">
        <v>461</v>
      </c>
      <c r="Q3283" s="167" t="s">
        <v>11138</v>
      </c>
      <c r="R3283" s="172" t="s">
        <v>11139</v>
      </c>
      <c r="S3283" s="388"/>
      <c r="T3283" s="168"/>
      <c r="U3283" s="168" t="s">
        <v>11168</v>
      </c>
      <c r="V3283" s="168" t="s">
        <v>11169</v>
      </c>
      <c r="W3283" s="315"/>
      <c r="X3283" s="647" t="s">
        <v>11169</v>
      </c>
      <c r="Y3283" s="352" t="s">
        <v>5643</v>
      </c>
      <c r="Z3283" s="353"/>
      <c r="AA3283" s="353"/>
      <c r="AB3283" s="31">
        <f t="shared" ca="1" si="78"/>
        <v>0.50845719973058323</v>
      </c>
      <c r="AC3283" s="810"/>
      <c r="AD3283" s="811"/>
      <c r="AE3283" s="940"/>
      <c r="AF3283" s="920">
        <f>IF(X3283=X3282,AF3282,0)+IF(ISNUMBER(I3283),IF(I3283&lt;1,I3283,I3283*VLOOKUP(J3283,Summary!$H$2:$I$9,2)),VLOOKUP(J3283,Summary!$J$2:$K$9,2)*IF(ISNUMBER(H3283),H3283,1))</f>
        <v>0.38819444444444445</v>
      </c>
      <c r="AG3283" s="287">
        <v>3282</v>
      </c>
      <c r="AH3283" s="94"/>
      <c r="AI3283" s="94"/>
    </row>
    <row r="3284" spans="1:36" s="43" customFormat="1" ht="12" customHeight="1" x14ac:dyDescent="0.25">
      <c r="A3284" s="567" t="s">
        <v>11145</v>
      </c>
      <c r="B3284" s="567" t="s">
        <v>37</v>
      </c>
      <c r="C3284" s="567">
        <v>21</v>
      </c>
      <c r="D3284" s="407" t="s">
        <v>11198</v>
      </c>
      <c r="E3284" s="315" t="s">
        <v>1360</v>
      </c>
      <c r="F3284" s="254">
        <v>32509</v>
      </c>
      <c r="G3284" s="170"/>
      <c r="H3284" s="170">
        <v>2</v>
      </c>
      <c r="I3284" s="746">
        <f>TIME(0,87,0)</f>
        <v>6.0416666666666667E-2</v>
      </c>
      <c r="J3284" s="899" t="s">
        <v>4706</v>
      </c>
      <c r="K3284" s="167" t="s">
        <v>7375</v>
      </c>
      <c r="L3284" s="167" t="s">
        <v>4549</v>
      </c>
      <c r="M3284" s="167"/>
      <c r="N3284" s="167"/>
      <c r="O3284" s="167" t="s">
        <v>4640</v>
      </c>
      <c r="P3284" s="168" t="s">
        <v>461</v>
      </c>
      <c r="Q3284" s="167" t="s">
        <v>11138</v>
      </c>
      <c r="R3284" s="172" t="s">
        <v>11139</v>
      </c>
      <c r="S3284" s="388"/>
      <c r="T3284" s="168"/>
      <c r="U3284" s="168" t="s">
        <v>11168</v>
      </c>
      <c r="V3284" s="168" t="s">
        <v>11169</v>
      </c>
      <c r="W3284" s="315"/>
      <c r="X3284" s="647" t="s">
        <v>12480</v>
      </c>
      <c r="Y3284" s="352" t="s">
        <v>5643</v>
      </c>
      <c r="Z3284" s="353"/>
      <c r="AA3284" s="353"/>
      <c r="AB3284" s="31">
        <f t="shared" ca="1" si="78"/>
        <v>0.32570761145877092</v>
      </c>
      <c r="AC3284" s="810"/>
      <c r="AD3284" s="811"/>
      <c r="AE3284" s="940"/>
      <c r="AF3284" s="920">
        <f>IF(X3284=X3283,AF3283,0)+IF(ISNUMBER(I3284),IF(I3284&lt;1,I3284,I3284*VLOOKUP(J3284,Summary!$H$2:$I$9,2)),VLOOKUP(J3284,Summary!$J$2:$K$9,2)*IF(ISNUMBER(H3284),H3284,1))</f>
        <v>6.0416666666666667E-2</v>
      </c>
      <c r="AG3284" s="287">
        <v>3283</v>
      </c>
      <c r="AH3284" s="94"/>
      <c r="AI3284" s="94"/>
    </row>
    <row r="3285" spans="1:36" s="43" customFormat="1" ht="12" customHeight="1" x14ac:dyDescent="0.25">
      <c r="A3285" s="567" t="s">
        <v>11145</v>
      </c>
      <c r="B3285" s="567" t="s">
        <v>37</v>
      </c>
      <c r="C3285" s="567">
        <v>22</v>
      </c>
      <c r="D3285" s="407" t="s">
        <v>11199</v>
      </c>
      <c r="E3285" s="315" t="s">
        <v>78</v>
      </c>
      <c r="F3285" s="254">
        <v>32509</v>
      </c>
      <c r="G3285" s="170"/>
      <c r="H3285" s="170">
        <v>2</v>
      </c>
      <c r="I3285" s="746">
        <f>TIME(0,82,0)</f>
        <v>5.6944444444444443E-2</v>
      </c>
      <c r="J3285" s="899" t="s">
        <v>4706</v>
      </c>
      <c r="K3285" s="167" t="s">
        <v>175</v>
      </c>
      <c r="L3285" s="167" t="s">
        <v>11209</v>
      </c>
      <c r="M3285" s="167"/>
      <c r="N3285" s="167"/>
      <c r="O3285" s="167" t="s">
        <v>4640</v>
      </c>
      <c r="P3285" s="168" t="s">
        <v>461</v>
      </c>
      <c r="Q3285" s="167" t="s">
        <v>11138</v>
      </c>
      <c r="R3285" s="172" t="s">
        <v>11139</v>
      </c>
      <c r="S3285" s="388"/>
      <c r="T3285" s="168"/>
      <c r="U3285" s="168" t="s">
        <v>11168</v>
      </c>
      <c r="V3285" s="168" t="s">
        <v>11169</v>
      </c>
      <c r="W3285" s="315"/>
      <c r="X3285" s="647" t="s">
        <v>12480</v>
      </c>
      <c r="Y3285" s="352" t="s">
        <v>5643</v>
      </c>
      <c r="Z3285" s="353"/>
      <c r="AA3285" s="353"/>
      <c r="AB3285" s="31">
        <f t="shared" ca="1" si="78"/>
        <v>0.17681982120743733</v>
      </c>
      <c r="AC3285" s="810"/>
      <c r="AD3285" s="811"/>
      <c r="AE3285" s="940"/>
      <c r="AF3285" s="920">
        <f>IF(X3285=X3284,AF3284,0)+IF(ISNUMBER(I3285),IF(I3285&lt;1,I3285,I3285*VLOOKUP(J3285,Summary!$H$2:$I$9,2)),VLOOKUP(J3285,Summary!$J$2:$K$9,2)*IF(ISNUMBER(H3285),H3285,1))</f>
        <v>0.11736111111111111</v>
      </c>
      <c r="AG3285" s="287">
        <v>3284</v>
      </c>
      <c r="AH3285" s="94"/>
      <c r="AI3285" s="94"/>
    </row>
    <row r="3286" spans="1:36" s="43" customFormat="1" ht="12" customHeight="1" x14ac:dyDescent="0.25">
      <c r="A3286" s="567" t="s">
        <v>11145</v>
      </c>
      <c r="B3286" s="567" t="s">
        <v>37</v>
      </c>
      <c r="C3286" s="567">
        <v>23</v>
      </c>
      <c r="D3286" s="407" t="s">
        <v>11200</v>
      </c>
      <c r="E3286" s="315" t="s">
        <v>5491</v>
      </c>
      <c r="F3286" s="254">
        <v>32509</v>
      </c>
      <c r="G3286" s="170"/>
      <c r="H3286" s="170">
        <v>2</v>
      </c>
      <c r="I3286" s="746">
        <f>TIME(0,85,0)</f>
        <v>5.9027777777777783E-2</v>
      </c>
      <c r="J3286" s="899" t="s">
        <v>4706</v>
      </c>
      <c r="K3286" s="167" t="s">
        <v>7757</v>
      </c>
      <c r="L3286" s="167" t="s">
        <v>11209</v>
      </c>
      <c r="M3286" s="167"/>
      <c r="N3286" s="167"/>
      <c r="O3286" s="167" t="s">
        <v>4640</v>
      </c>
      <c r="P3286" s="168" t="s">
        <v>461</v>
      </c>
      <c r="Q3286" s="167" t="s">
        <v>11138</v>
      </c>
      <c r="R3286" s="172" t="s">
        <v>11139</v>
      </c>
      <c r="S3286" s="388"/>
      <c r="T3286" s="168"/>
      <c r="U3286" s="168" t="s">
        <v>11168</v>
      </c>
      <c r="V3286" s="168" t="s">
        <v>11169</v>
      </c>
      <c r="W3286" s="315"/>
      <c r="X3286" s="647" t="s">
        <v>12480</v>
      </c>
      <c r="Y3286" s="352" t="s">
        <v>5643</v>
      </c>
      <c r="Z3286" s="353"/>
      <c r="AA3286" s="353"/>
      <c r="AB3286" s="31">
        <f t="shared" ca="1" si="78"/>
        <v>0.69224122267140731</v>
      </c>
      <c r="AC3286" s="810"/>
      <c r="AD3286" s="811"/>
      <c r="AE3286" s="940"/>
      <c r="AF3286" s="920">
        <f>IF(X3286=X3285,AF3285,0)+IF(ISNUMBER(I3286),IF(I3286&lt;1,I3286,I3286*VLOOKUP(J3286,Summary!$H$2:$I$9,2)),VLOOKUP(J3286,Summary!$J$2:$K$9,2)*IF(ISNUMBER(H3286),H3286,1))</f>
        <v>0.1763888888888889</v>
      </c>
      <c r="AG3286" s="287">
        <v>3285</v>
      </c>
      <c r="AH3286" s="94"/>
      <c r="AI3286" s="94"/>
    </row>
    <row r="3287" spans="1:36" s="43" customFormat="1" ht="12" customHeight="1" x14ac:dyDescent="0.25">
      <c r="A3287" s="567" t="s">
        <v>11145</v>
      </c>
      <c r="B3287" s="567" t="s">
        <v>37</v>
      </c>
      <c r="C3287" s="567">
        <v>24</v>
      </c>
      <c r="D3287" s="407" t="s">
        <v>11201</v>
      </c>
      <c r="E3287" s="315" t="s">
        <v>11162</v>
      </c>
      <c r="F3287" s="254">
        <v>32509</v>
      </c>
      <c r="G3287" s="170"/>
      <c r="H3287" s="170">
        <v>4</v>
      </c>
      <c r="I3287" s="746">
        <f>TIME(0,149,0)</f>
        <v>0.10347222222222223</v>
      </c>
      <c r="J3287" s="899" t="s">
        <v>4706</v>
      </c>
      <c r="K3287" s="167" t="s">
        <v>4549</v>
      </c>
      <c r="L3287" s="167" t="s">
        <v>4549</v>
      </c>
      <c r="M3287" s="167"/>
      <c r="N3287" s="167"/>
      <c r="O3287" s="167" t="s">
        <v>4640</v>
      </c>
      <c r="P3287" s="168" t="s">
        <v>461</v>
      </c>
      <c r="Q3287" s="167" t="s">
        <v>11138</v>
      </c>
      <c r="R3287" s="172" t="s">
        <v>11139</v>
      </c>
      <c r="S3287" s="388"/>
      <c r="T3287" s="168"/>
      <c r="U3287" s="168" t="s">
        <v>11168</v>
      </c>
      <c r="V3287" s="168" t="s">
        <v>11169</v>
      </c>
      <c r="W3287" s="315"/>
      <c r="X3287" s="647" t="s">
        <v>12480</v>
      </c>
      <c r="Y3287" s="352" t="s">
        <v>5643</v>
      </c>
      <c r="Z3287" s="353"/>
      <c r="AA3287" s="353"/>
      <c r="AB3287" s="31">
        <f t="shared" ca="1" si="78"/>
        <v>0.64618465392393831</v>
      </c>
      <c r="AC3287" s="810"/>
      <c r="AD3287" s="811"/>
      <c r="AE3287" s="940"/>
      <c r="AF3287" s="920">
        <f>IF(X3287=X3286,AF3286,0)+IF(ISNUMBER(I3287),IF(I3287&lt;1,I3287,I3287*VLOOKUP(J3287,Summary!$H$2:$I$9,2)),VLOOKUP(J3287,Summary!$J$2:$K$9,2)*IF(ISNUMBER(H3287),H3287,1))</f>
        <v>0.27986111111111112</v>
      </c>
      <c r="AG3287" s="287">
        <v>3286</v>
      </c>
      <c r="AH3287" s="94"/>
      <c r="AI3287" s="94"/>
    </row>
    <row r="3288" spans="1:36" s="2" customFormat="1" ht="12" customHeight="1" x14ac:dyDescent="0.25">
      <c r="A3288" s="567" t="s">
        <v>11145</v>
      </c>
      <c r="B3288" s="567" t="s">
        <v>37</v>
      </c>
      <c r="C3288" s="567">
        <v>25</v>
      </c>
      <c r="D3288" s="407" t="s">
        <v>11202</v>
      </c>
      <c r="E3288" s="315" t="s">
        <v>11163</v>
      </c>
      <c r="F3288" s="254">
        <v>32509</v>
      </c>
      <c r="G3288" s="170"/>
      <c r="H3288" s="170">
        <v>4</v>
      </c>
      <c r="I3288" s="746">
        <f>TIME(0,106,0)</f>
        <v>7.3611111111111113E-2</v>
      </c>
      <c r="J3288" s="899" t="s">
        <v>4706</v>
      </c>
      <c r="K3288" s="167" t="s">
        <v>1932</v>
      </c>
      <c r="L3288" s="167" t="s">
        <v>6231</v>
      </c>
      <c r="M3288" s="167"/>
      <c r="N3288" s="167"/>
      <c r="O3288" s="167" t="s">
        <v>4640</v>
      </c>
      <c r="P3288" s="168" t="s">
        <v>461</v>
      </c>
      <c r="Q3288" s="167" t="s">
        <v>11138</v>
      </c>
      <c r="R3288" s="172" t="s">
        <v>11139</v>
      </c>
      <c r="S3288" s="388"/>
      <c r="T3288" s="168"/>
      <c r="U3288" s="168" t="s">
        <v>11168</v>
      </c>
      <c r="V3288" s="168" t="s">
        <v>11169</v>
      </c>
      <c r="W3288" s="315"/>
      <c r="X3288" s="647" t="s">
        <v>12480</v>
      </c>
      <c r="Y3288" s="352" t="s">
        <v>5643</v>
      </c>
      <c r="Z3288" s="353"/>
      <c r="AA3288" s="353"/>
      <c r="AB3288" s="31">
        <f t="shared" ca="1" si="78"/>
        <v>0.52682436157861412</v>
      </c>
      <c r="AC3288" s="810"/>
      <c r="AD3288" s="811"/>
      <c r="AE3288" s="940"/>
      <c r="AF3288" s="920">
        <f>IF(X3288=X3287,AF3287,0)+IF(ISNUMBER(I3288),IF(I3288&lt;1,I3288,I3288*VLOOKUP(J3288,Summary!$H$2:$I$9,2)),VLOOKUP(J3288,Summary!$J$2:$K$9,2)*IF(ISNUMBER(H3288),H3288,1))</f>
        <v>0.35347222222222224</v>
      </c>
      <c r="AG3288" s="287">
        <v>3287</v>
      </c>
      <c r="AH3288" s="94"/>
      <c r="AI3288" s="94"/>
      <c r="AJ3288" s="43"/>
    </row>
    <row r="3289" spans="1:36" s="43" customFormat="1" ht="12" customHeight="1" x14ac:dyDescent="0.25">
      <c r="A3289" s="567" t="s">
        <v>11145</v>
      </c>
      <c r="B3289" s="567" t="s">
        <v>37</v>
      </c>
      <c r="C3289" s="567">
        <v>26</v>
      </c>
      <c r="D3289" s="407" t="s">
        <v>11203</v>
      </c>
      <c r="E3289" s="315" t="s">
        <v>11164</v>
      </c>
      <c r="F3289" s="254">
        <v>32509</v>
      </c>
      <c r="G3289" s="170"/>
      <c r="H3289" s="170">
        <v>1</v>
      </c>
      <c r="I3289" s="746">
        <f>TIME(0,29,0)</f>
        <v>2.013888888888889E-2</v>
      </c>
      <c r="J3289" s="899" t="s">
        <v>4706</v>
      </c>
      <c r="K3289" s="167" t="s">
        <v>7375</v>
      </c>
      <c r="L3289" s="167" t="s">
        <v>6231</v>
      </c>
      <c r="M3289" s="167"/>
      <c r="N3289" s="167"/>
      <c r="O3289" s="167" t="s">
        <v>4640</v>
      </c>
      <c r="P3289" s="168" t="s">
        <v>461</v>
      </c>
      <c r="Q3289" s="167" t="s">
        <v>11138</v>
      </c>
      <c r="R3289" s="172" t="s">
        <v>11139</v>
      </c>
      <c r="S3289" s="388"/>
      <c r="T3289" s="168"/>
      <c r="U3289" s="168" t="s">
        <v>11168</v>
      </c>
      <c r="V3289" s="168" t="s">
        <v>11169</v>
      </c>
      <c r="W3289" s="315"/>
      <c r="X3289" s="647" t="s">
        <v>12480</v>
      </c>
      <c r="Y3289" s="352" t="s">
        <v>5643</v>
      </c>
      <c r="Z3289" s="353"/>
      <c r="AA3289" s="353"/>
      <c r="AB3289" s="31">
        <f t="shared" ca="1" si="78"/>
        <v>0.35768881643432626</v>
      </c>
      <c r="AC3289" s="810"/>
      <c r="AD3289" s="811"/>
      <c r="AE3289" s="940"/>
      <c r="AF3289" s="920">
        <f>IF(X3289=X3288,AF3288,0)+IF(ISNUMBER(I3289),IF(I3289&lt;1,I3289,I3289*VLOOKUP(J3289,Summary!$H$2:$I$9,2)),VLOOKUP(J3289,Summary!$J$2:$K$9,2)*IF(ISNUMBER(H3289),H3289,1))</f>
        <v>0.37361111111111112</v>
      </c>
      <c r="AG3289" s="287">
        <v>3288</v>
      </c>
      <c r="AH3289" s="94"/>
      <c r="AI3289" s="94"/>
    </row>
    <row r="3290" spans="1:36" s="43" customFormat="1" ht="12" customHeight="1" x14ac:dyDescent="0.25">
      <c r="A3290" s="567" t="s">
        <v>11145</v>
      </c>
      <c r="B3290" s="567" t="s">
        <v>37</v>
      </c>
      <c r="C3290" s="567">
        <v>27</v>
      </c>
      <c r="D3290" s="407" t="s">
        <v>11204</v>
      </c>
      <c r="E3290" s="315" t="s">
        <v>11165</v>
      </c>
      <c r="F3290" s="254">
        <v>32509</v>
      </c>
      <c r="G3290" s="170"/>
      <c r="H3290" s="170">
        <v>4</v>
      </c>
      <c r="I3290" s="746">
        <f>TIME(0,141,0)</f>
        <v>9.7916666666666666E-2</v>
      </c>
      <c r="J3290" s="899" t="s">
        <v>4706</v>
      </c>
      <c r="K3290" s="167" t="s">
        <v>4549</v>
      </c>
      <c r="L3290" s="167" t="s">
        <v>4549</v>
      </c>
      <c r="M3290" s="167"/>
      <c r="N3290" s="167"/>
      <c r="O3290" s="167" t="s">
        <v>4640</v>
      </c>
      <c r="P3290" s="168" t="s">
        <v>461</v>
      </c>
      <c r="Q3290" s="167" t="s">
        <v>11138</v>
      </c>
      <c r="R3290" s="172" t="s">
        <v>11139</v>
      </c>
      <c r="S3290" s="388"/>
      <c r="T3290" s="168"/>
      <c r="U3290" s="168" t="s">
        <v>11168</v>
      </c>
      <c r="V3290" s="168" t="s">
        <v>11169</v>
      </c>
      <c r="W3290" s="315"/>
      <c r="X3290" s="647" t="s">
        <v>12480</v>
      </c>
      <c r="Y3290" s="352" t="s">
        <v>5643</v>
      </c>
      <c r="Z3290" s="353"/>
      <c r="AA3290" s="353"/>
      <c r="AB3290" s="31">
        <f t="shared" ca="1" si="78"/>
        <v>0.75958097875580954</v>
      </c>
      <c r="AC3290" s="810"/>
      <c r="AD3290" s="811"/>
      <c r="AE3290" s="940"/>
      <c r="AF3290" s="920">
        <f>IF(X3290=X3289,AF3289,0)+IF(ISNUMBER(I3290),IF(I3290&lt;1,I3290,I3290*VLOOKUP(J3290,Summary!$H$2:$I$9,2)),VLOOKUP(J3290,Summary!$J$2:$K$9,2)*IF(ISNUMBER(H3290),H3290,1))</f>
        <v>0.47152777777777777</v>
      </c>
      <c r="AG3290" s="287">
        <v>3289</v>
      </c>
      <c r="AH3290" s="94"/>
      <c r="AI3290" s="94"/>
    </row>
    <row r="3291" spans="1:36" s="2" customFormat="1" ht="12" customHeight="1" x14ac:dyDescent="0.25">
      <c r="A3291" s="567" t="s">
        <v>11145</v>
      </c>
      <c r="B3291" s="567" t="s">
        <v>37</v>
      </c>
      <c r="C3291" s="567">
        <v>28</v>
      </c>
      <c r="D3291" s="407" t="s">
        <v>11205</v>
      </c>
      <c r="E3291" s="315" t="s">
        <v>11166</v>
      </c>
      <c r="F3291" s="254">
        <v>32509</v>
      </c>
      <c r="G3291" s="170"/>
      <c r="H3291" s="170">
        <v>2</v>
      </c>
      <c r="I3291" s="746">
        <f>TIME(0,89,0)</f>
        <v>6.1805555555555558E-2</v>
      </c>
      <c r="J3291" s="899" t="s">
        <v>4706</v>
      </c>
      <c r="K3291" s="167" t="s">
        <v>1876</v>
      </c>
      <c r="L3291" s="167" t="s">
        <v>7375</v>
      </c>
      <c r="M3291" s="167"/>
      <c r="N3291" s="167"/>
      <c r="O3291" s="167" t="s">
        <v>4640</v>
      </c>
      <c r="P3291" s="168" t="s">
        <v>461</v>
      </c>
      <c r="Q3291" s="167" t="s">
        <v>11138</v>
      </c>
      <c r="R3291" s="172" t="s">
        <v>11139</v>
      </c>
      <c r="S3291" s="388"/>
      <c r="T3291" s="168"/>
      <c r="U3291" s="168" t="s">
        <v>11168</v>
      </c>
      <c r="V3291" s="168" t="s">
        <v>11169</v>
      </c>
      <c r="W3291" s="315"/>
      <c r="X3291" s="647" t="s">
        <v>12480</v>
      </c>
      <c r="Y3291" s="352" t="s">
        <v>5643</v>
      </c>
      <c r="Z3291" s="353"/>
      <c r="AA3291" s="353"/>
      <c r="AB3291" s="31">
        <f t="shared" ca="1" si="78"/>
        <v>0.48048643969659166</v>
      </c>
      <c r="AC3291" s="810"/>
      <c r="AD3291" s="811"/>
      <c r="AE3291" s="940"/>
      <c r="AF3291" s="920">
        <f>IF(X3291=X3290,AF3290,0)+IF(ISNUMBER(I3291),IF(I3291&lt;1,I3291,I3291*VLOOKUP(J3291,Summary!$H$2:$I$9,2)),VLOOKUP(J3291,Summary!$J$2:$K$9,2)*IF(ISNUMBER(H3291),H3291,1))</f>
        <v>0.53333333333333333</v>
      </c>
      <c r="AG3291" s="287">
        <v>3290</v>
      </c>
      <c r="AH3291" s="94"/>
      <c r="AI3291" s="94"/>
      <c r="AJ3291" s="43"/>
    </row>
    <row r="3292" spans="1:36" s="22" customFormat="1" ht="12" customHeight="1" x14ac:dyDescent="0.25">
      <c r="A3292" s="567" t="s">
        <v>11145</v>
      </c>
      <c r="B3292" s="567" t="s">
        <v>37</v>
      </c>
      <c r="C3292" s="567">
        <v>29</v>
      </c>
      <c r="D3292" s="407" t="s">
        <v>11206</v>
      </c>
      <c r="E3292" s="315" t="s">
        <v>11167</v>
      </c>
      <c r="F3292" s="254">
        <v>32509</v>
      </c>
      <c r="G3292" s="170"/>
      <c r="H3292" s="170">
        <v>2</v>
      </c>
      <c r="I3292" s="746">
        <f>TIME(0,89,0)</f>
        <v>6.1805555555555558E-2</v>
      </c>
      <c r="J3292" s="899" t="s">
        <v>4706</v>
      </c>
      <c r="K3292" s="167" t="s">
        <v>4549</v>
      </c>
      <c r="L3292" s="167" t="s">
        <v>7375</v>
      </c>
      <c r="M3292" s="167"/>
      <c r="N3292" s="167"/>
      <c r="O3292" s="167" t="s">
        <v>4640</v>
      </c>
      <c r="P3292" s="168" t="s">
        <v>461</v>
      </c>
      <c r="Q3292" s="167" t="s">
        <v>11138</v>
      </c>
      <c r="R3292" s="172" t="s">
        <v>11139</v>
      </c>
      <c r="S3292" s="388"/>
      <c r="T3292" s="168"/>
      <c r="U3292" s="168" t="s">
        <v>11168</v>
      </c>
      <c r="V3292" s="168" t="s">
        <v>11169</v>
      </c>
      <c r="W3292" s="315"/>
      <c r="X3292" s="647" t="s">
        <v>12480</v>
      </c>
      <c r="Y3292" s="352" t="s">
        <v>5643</v>
      </c>
      <c r="Z3292" s="353"/>
      <c r="AA3292" s="353"/>
      <c r="AB3292" s="31">
        <f t="shared" ca="1" si="78"/>
        <v>0.15819083974620773</v>
      </c>
      <c r="AC3292" s="810"/>
      <c r="AD3292" s="811"/>
      <c r="AE3292" s="940"/>
      <c r="AF3292" s="920">
        <f>IF(X3292=X3291,AF3291,0)+IF(ISNUMBER(I3292),IF(I3292&lt;1,I3292,I3292*VLOOKUP(J3292,Summary!$H$2:$I$9,2)),VLOOKUP(J3292,Summary!$J$2:$K$9,2)*IF(ISNUMBER(H3292),H3292,1))</f>
        <v>0.59513888888888888</v>
      </c>
      <c r="AG3292" s="287">
        <v>3291</v>
      </c>
      <c r="AH3292" s="94"/>
      <c r="AI3292" s="94"/>
      <c r="AJ3292" s="43"/>
    </row>
    <row r="3293" spans="1:36" s="27" customFormat="1" ht="12" customHeight="1" x14ac:dyDescent="0.25">
      <c r="A3293" s="566"/>
      <c r="B3293" s="566" t="s">
        <v>15986</v>
      </c>
      <c r="C3293" s="566">
        <v>2</v>
      </c>
      <c r="D3293" s="407" t="s">
        <v>7819</v>
      </c>
      <c r="E3293" s="315" t="s">
        <v>3627</v>
      </c>
      <c r="F3293" s="169">
        <v>39722</v>
      </c>
      <c r="G3293" s="170"/>
      <c r="H3293" s="170">
        <v>2</v>
      </c>
      <c r="I3293" s="746">
        <f>TIME(1,20,40)</f>
        <v>5.6018518518518523E-2</v>
      </c>
      <c r="J3293" s="899" t="s">
        <v>4706</v>
      </c>
      <c r="K3293" s="167" t="s">
        <v>1088</v>
      </c>
      <c r="L3293" s="167" t="s">
        <v>6231</v>
      </c>
      <c r="M3293" s="162"/>
      <c r="N3293" s="167"/>
      <c r="O3293" s="167" t="s">
        <v>3628</v>
      </c>
      <c r="P3293" s="168" t="s">
        <v>5602</v>
      </c>
      <c r="Q3293" s="167" t="s">
        <v>3947</v>
      </c>
      <c r="R3293" s="172" t="s">
        <v>3152</v>
      </c>
      <c r="S3293" s="388" t="s">
        <v>3629</v>
      </c>
      <c r="T3293" s="168" t="s">
        <v>3082</v>
      </c>
      <c r="U3293" s="168"/>
      <c r="V3293" s="168"/>
      <c r="W3293" s="312" t="s">
        <v>15982</v>
      </c>
      <c r="X3293" s="644" t="s">
        <v>12480</v>
      </c>
      <c r="Y3293" s="352" t="s">
        <v>5643</v>
      </c>
      <c r="Z3293" s="353"/>
      <c r="AA3293" s="353"/>
      <c r="AB3293" s="31">
        <f t="shared" ca="1" si="78"/>
        <v>0.98920158188474028</v>
      </c>
      <c r="AC3293" s="810"/>
      <c r="AD3293" s="811"/>
      <c r="AE3293" s="940"/>
      <c r="AF3293" s="920">
        <f>IF(X3293=X3292,AF3292,0)+IF(ISNUMBER(I3293),IF(I3293&lt;1,I3293,I3293*VLOOKUP(J3293,Summary!$H$2:$I$9,2)),VLOOKUP(J3293,Summary!$J$2:$K$9,2)*IF(ISNUMBER(H3293),H3293,1))</f>
        <v>0.65115740740740735</v>
      </c>
      <c r="AG3293" s="287">
        <v>3292</v>
      </c>
      <c r="AH3293" s="119"/>
      <c r="AI3293" s="119"/>
    </row>
    <row r="3294" spans="1:36" s="22" customFormat="1" ht="12" customHeight="1" x14ac:dyDescent="0.25">
      <c r="A3294" s="478"/>
      <c r="B3294" s="478" t="s">
        <v>2650</v>
      </c>
      <c r="C3294" s="478">
        <v>7</v>
      </c>
      <c r="D3294" s="192" t="s">
        <v>13423</v>
      </c>
      <c r="E3294" s="317" t="s">
        <v>13424</v>
      </c>
      <c r="F3294" s="209">
        <v>42278</v>
      </c>
      <c r="G3294" s="209"/>
      <c r="H3294" s="192">
        <v>1</v>
      </c>
      <c r="I3294" s="192"/>
      <c r="J3294" s="903" t="s">
        <v>2755</v>
      </c>
      <c r="K3294" s="194" t="s">
        <v>543</v>
      </c>
      <c r="L3294" s="194" t="s">
        <v>13401</v>
      </c>
      <c r="M3294" s="194" t="s">
        <v>498</v>
      </c>
      <c r="N3294" s="194"/>
      <c r="O3294" s="194"/>
      <c r="P3294" s="190" t="s">
        <v>13331</v>
      </c>
      <c r="Q3294" s="194" t="s">
        <v>3953</v>
      </c>
      <c r="R3294" s="193" t="s">
        <v>11447</v>
      </c>
      <c r="S3294" s="357"/>
      <c r="T3294" s="190"/>
      <c r="U3294" s="190"/>
      <c r="V3294" s="190"/>
      <c r="W3294" s="317" t="s">
        <v>13424</v>
      </c>
      <c r="X3294" s="649" t="s">
        <v>12480</v>
      </c>
      <c r="Y3294" s="357"/>
      <c r="Z3294" s="192"/>
      <c r="AA3294" s="192"/>
      <c r="AB3294" s="37">
        <f t="shared" ca="1" si="78"/>
        <v>0.62994540283218392</v>
      </c>
      <c r="AC3294" s="816"/>
      <c r="AD3294" s="817"/>
      <c r="AE3294" s="943"/>
      <c r="AF3294" s="924">
        <f>IF(X3294=X3293,AF3293,0)+IF(ISNUMBER(I3294),IF(I3294&lt;1,I3294,I3294*VLOOKUP(J3294,Summary!$H$2:$I$9,2)),VLOOKUP(J3294,Summary!$J$2:$K$9,2)*IF(ISNUMBER(H3294),H3294,1))</f>
        <v>0.66851851851851851</v>
      </c>
      <c r="AG3294" s="292">
        <v>3293</v>
      </c>
      <c r="AH3294" s="94"/>
      <c r="AI3294" s="94"/>
    </row>
    <row r="3295" spans="1:36" s="3" customFormat="1" ht="12" customHeight="1" x14ac:dyDescent="0.25">
      <c r="A3295" s="568" t="s">
        <v>1568</v>
      </c>
      <c r="B3295" s="568">
        <v>8</v>
      </c>
      <c r="C3295" s="568">
        <v>156</v>
      </c>
      <c r="D3295" s="424" t="s">
        <v>766</v>
      </c>
      <c r="E3295" s="319" t="s">
        <v>767</v>
      </c>
      <c r="F3295" s="198">
        <v>35197</v>
      </c>
      <c r="G3295" s="198"/>
      <c r="H3295" s="199">
        <v>1</v>
      </c>
      <c r="I3295" s="791">
        <f>TIME(0,84,39)</f>
        <v>5.8784722222222224E-2</v>
      </c>
      <c r="J3295" s="904" t="s">
        <v>1588</v>
      </c>
      <c r="K3295" s="200" t="s">
        <v>2316</v>
      </c>
      <c r="L3295" s="200" t="s">
        <v>2317</v>
      </c>
      <c r="M3295" s="200"/>
      <c r="N3295" s="200"/>
      <c r="O3295" s="200" t="s">
        <v>3859</v>
      </c>
      <c r="P3295" s="197" t="s">
        <v>461</v>
      </c>
      <c r="Q3295" s="200" t="s">
        <v>3946</v>
      </c>
      <c r="R3295" s="201" t="s">
        <v>5280</v>
      </c>
      <c r="S3295" s="390" t="s">
        <v>7319</v>
      </c>
      <c r="T3295" s="197"/>
      <c r="U3295" s="197"/>
      <c r="V3295" s="197"/>
      <c r="W3295" s="318" t="s">
        <v>8754</v>
      </c>
      <c r="X3295" s="650" t="s">
        <v>12452</v>
      </c>
      <c r="Y3295" s="358" t="s">
        <v>6141</v>
      </c>
      <c r="Z3295" s="253">
        <v>112</v>
      </c>
      <c r="AA3295" s="253">
        <v>6.5</v>
      </c>
      <c r="AB3295" s="35">
        <f t="shared" ca="1" si="78"/>
        <v>0.27127452176547673</v>
      </c>
      <c r="AC3295" s="820"/>
      <c r="AD3295" s="821" t="s">
        <v>16066</v>
      </c>
      <c r="AE3295" s="944"/>
      <c r="AF3295" s="925">
        <f>IF(X3295=X3294,AF3294,0)+IF(ISNUMBER(I3295),IF(I3295&lt;1,I3295,I3295*VLOOKUP(J3295,Summary!$H$2:$I$9,2)),VLOOKUP(J3295,Summary!$J$2:$K$9,2)*IF(ISNUMBER(H3295),H3295,1))</f>
        <v>5.8784722222222224E-2</v>
      </c>
      <c r="AG3295" s="293">
        <v>3294</v>
      </c>
      <c r="AH3295" s="94"/>
      <c r="AI3295" s="94"/>
    </row>
    <row r="3296" spans="1:36" s="2" customFormat="1" ht="12" customHeight="1" x14ac:dyDescent="0.25">
      <c r="A3296" s="405" t="s">
        <v>1568</v>
      </c>
      <c r="B3296" s="406" t="s">
        <v>2650</v>
      </c>
      <c r="C3296" s="405">
        <v>5.3</v>
      </c>
      <c r="D3296" s="407" t="s">
        <v>15788</v>
      </c>
      <c r="E3296" s="336" t="s">
        <v>15789</v>
      </c>
      <c r="F3296" s="196">
        <v>43487</v>
      </c>
      <c r="G3296" s="169"/>
      <c r="H3296" s="170">
        <v>1</v>
      </c>
      <c r="I3296" s="747">
        <f>TIME(0,60,0)</f>
        <v>4.1666666666666664E-2</v>
      </c>
      <c r="J3296" s="899" t="s">
        <v>4706</v>
      </c>
      <c r="K3296" s="167" t="s">
        <v>6353</v>
      </c>
      <c r="L3296" s="167" t="s">
        <v>2313</v>
      </c>
      <c r="M3296" s="167"/>
      <c r="N3296" s="167" t="s">
        <v>6452</v>
      </c>
      <c r="O3296" s="167" t="s">
        <v>3295</v>
      </c>
      <c r="P3296" s="168" t="s">
        <v>15785</v>
      </c>
      <c r="Q3296" s="167" t="s">
        <v>3947</v>
      </c>
      <c r="R3296" s="172" t="s">
        <v>10102</v>
      </c>
      <c r="S3296" s="388"/>
      <c r="T3296" s="168"/>
      <c r="U3296" s="168" t="s">
        <v>7344</v>
      </c>
      <c r="V3296" s="168"/>
      <c r="W3296" s="336" t="s">
        <v>15789</v>
      </c>
      <c r="X3296" s="644" t="s">
        <v>12452</v>
      </c>
      <c r="Y3296" s="352"/>
      <c r="Z3296" s="353"/>
      <c r="AA3296" s="353"/>
      <c r="AB3296" s="31">
        <f t="shared" ca="1" si="78"/>
        <v>0.84694241130934766</v>
      </c>
      <c r="AC3296" s="810"/>
      <c r="AD3296" s="811"/>
      <c r="AE3296" s="945"/>
      <c r="AF3296" s="920">
        <f>IF(X3296=X3295,AF3295,0)+IF(ISNUMBER(I3296),IF(I3296&lt;1,I3296,I3296*VLOOKUP(J3296,Summary!$H$2:$I$9,2)),VLOOKUP(J3296,Summary!$J$2:$K$9,2)*IF(ISNUMBER(H3296),H3296,1))</f>
        <v>0.10045138888888888</v>
      </c>
      <c r="AG3296" s="287">
        <v>3295</v>
      </c>
      <c r="AH3296" s="94"/>
      <c r="AI3296" s="94"/>
      <c r="AJ3296" s="43"/>
    </row>
    <row r="3297" spans="1:36" s="29" customFormat="1" ht="12" customHeight="1" x14ac:dyDescent="0.25">
      <c r="A3297" s="569" t="s">
        <v>1568</v>
      </c>
      <c r="B3297" s="569">
        <v>8</v>
      </c>
      <c r="C3297" s="569">
        <v>1</v>
      </c>
      <c r="D3297" s="417" t="s">
        <v>3860</v>
      </c>
      <c r="E3297" s="316" t="s">
        <v>3861</v>
      </c>
      <c r="F3297" s="187">
        <v>35582</v>
      </c>
      <c r="G3297" s="188"/>
      <c r="H3297" s="188" t="str">
        <f>IF(J3297="Book","n/a","")</f>
        <v>n/a</v>
      </c>
      <c r="I3297" s="188">
        <v>280</v>
      </c>
      <c r="J3297" s="902" t="s">
        <v>6868</v>
      </c>
      <c r="K3297" s="162" t="s">
        <v>1088</v>
      </c>
      <c r="L3297" s="162" t="str">
        <f>IF(J3297="Book","n/a","")</f>
        <v>n/a</v>
      </c>
      <c r="M3297" s="162"/>
      <c r="N3297" s="162"/>
      <c r="O3297" s="162"/>
      <c r="P3297" s="178" t="s">
        <v>9058</v>
      </c>
      <c r="Q3297" s="162" t="s">
        <v>3953</v>
      </c>
      <c r="R3297" s="189" t="s">
        <v>2714</v>
      </c>
      <c r="S3297" s="366" t="s">
        <v>7321</v>
      </c>
      <c r="T3297" s="178"/>
      <c r="U3297" s="178"/>
      <c r="V3297" s="178"/>
      <c r="W3297" s="316" t="s">
        <v>3861</v>
      </c>
      <c r="X3297" s="648" t="s">
        <v>12452</v>
      </c>
      <c r="Y3297" s="356"/>
      <c r="Z3297" s="272">
        <v>228</v>
      </c>
      <c r="AA3297" s="272">
        <v>2</v>
      </c>
      <c r="AB3297" s="34">
        <f t="shared" ca="1" si="78"/>
        <v>0.72148516535958196</v>
      </c>
      <c r="AC3297" s="814"/>
      <c r="AD3297" s="815" t="s">
        <v>16056</v>
      </c>
      <c r="AE3297" s="942"/>
      <c r="AF3297" s="923">
        <f>IF(X3297=X3296,AF3296,0)+IF(ISNUMBER(I3297),IF(I3297&lt;1,I3297,I3297*VLOOKUP(J3297,Summary!$H$2:$I$9,2)),VLOOKUP(J3297,Summary!$J$2:$K$9,2)*IF(ISNUMBER(H3297),H3297,1))</f>
        <v>0.29489583333333336</v>
      </c>
      <c r="AG3297" s="291">
        <v>3296</v>
      </c>
      <c r="AH3297" s="94"/>
      <c r="AI3297" s="94"/>
    </row>
    <row r="3298" spans="1:36" s="2" customFormat="1" ht="12" customHeight="1" x14ac:dyDescent="0.25">
      <c r="A3298" s="570" t="s">
        <v>1568</v>
      </c>
      <c r="B3298" s="570">
        <v>8</v>
      </c>
      <c r="C3298" s="570"/>
      <c r="D3298" s="463" t="s">
        <v>1684</v>
      </c>
      <c r="E3298" s="330" t="s">
        <v>1685</v>
      </c>
      <c r="F3298" s="191">
        <v>36069</v>
      </c>
      <c r="G3298" s="192"/>
      <c r="H3298" s="192">
        <v>1</v>
      </c>
      <c r="I3298" s="753">
        <f>TIME(0,36,0)</f>
        <v>2.4999999999999998E-2</v>
      </c>
      <c r="J3298" s="903" t="s">
        <v>4706</v>
      </c>
      <c r="K3298" s="159" t="s">
        <v>4551</v>
      </c>
      <c r="L3298" s="159" t="s">
        <v>3365</v>
      </c>
      <c r="M3298" s="159" t="s">
        <v>4933</v>
      </c>
      <c r="N3298" s="159"/>
      <c r="O3298" s="159"/>
      <c r="P3298" s="190" t="s">
        <v>4934</v>
      </c>
      <c r="Q3298" s="159" t="s">
        <v>3953</v>
      </c>
      <c r="R3298" s="221" t="s">
        <v>4932</v>
      </c>
      <c r="S3298" s="357" t="s">
        <v>7321</v>
      </c>
      <c r="T3298" s="190"/>
      <c r="U3298" s="190"/>
      <c r="V3298" s="190"/>
      <c r="W3298" s="330" t="s">
        <v>1685</v>
      </c>
      <c r="X3298" s="662" t="s">
        <v>12452</v>
      </c>
      <c r="Y3298" s="378"/>
      <c r="Z3298" s="367"/>
      <c r="AA3298" s="367"/>
      <c r="AB3298" s="37">
        <f t="shared" ca="1" si="78"/>
        <v>0.11181916266521541</v>
      </c>
      <c r="AC3298" s="816"/>
      <c r="AD3298" s="817"/>
      <c r="AE3298" s="955"/>
      <c r="AF3298" s="924">
        <f>IF(X3298=X3297,AF3297,0)+IF(ISNUMBER(I3298),IF(I3298&lt;1,I3298,I3298*VLOOKUP(J3298,Summary!$H$2:$I$9,2)),VLOOKUP(J3298,Summary!$J$2:$K$9,2)*IF(ISNUMBER(H3298),H3298,1))</f>
        <v>0.31989583333333338</v>
      </c>
      <c r="AG3298" s="298">
        <v>3297</v>
      </c>
      <c r="AH3298" s="94"/>
      <c r="AI3298" s="94"/>
      <c r="AJ3298" s="3"/>
    </row>
    <row r="3299" spans="1:36" s="2" customFormat="1" ht="12" customHeight="1" x14ac:dyDescent="0.25">
      <c r="A3299" s="570" t="s">
        <v>1568</v>
      </c>
      <c r="B3299" s="570">
        <v>8</v>
      </c>
      <c r="C3299" s="570">
        <v>1.01</v>
      </c>
      <c r="D3299" s="463" t="s">
        <v>4922</v>
      </c>
      <c r="E3299" s="330" t="s">
        <v>3817</v>
      </c>
      <c r="F3299" s="191">
        <v>35855</v>
      </c>
      <c r="G3299" s="191"/>
      <c r="H3299" s="192">
        <v>1</v>
      </c>
      <c r="I3299" s="753">
        <f>TIME(0,19,38)</f>
        <v>1.3634259259259257E-2</v>
      </c>
      <c r="J3299" s="903" t="s">
        <v>2755</v>
      </c>
      <c r="K3299" s="194" t="s">
        <v>6874</v>
      </c>
      <c r="L3299" s="194" t="s">
        <v>461</v>
      </c>
      <c r="M3299" s="194"/>
      <c r="N3299" s="194" t="s">
        <v>6237</v>
      </c>
      <c r="O3299" s="194"/>
      <c r="P3299" s="190" t="s">
        <v>5042</v>
      </c>
      <c r="Q3299" s="194" t="s">
        <v>3953</v>
      </c>
      <c r="R3299" s="221" t="s">
        <v>2723</v>
      </c>
      <c r="S3299" s="357"/>
      <c r="T3299" s="190"/>
      <c r="U3299" s="190"/>
      <c r="V3299" s="190"/>
      <c r="W3299" s="330" t="s">
        <v>3817</v>
      </c>
      <c r="X3299" s="662" t="s">
        <v>12452</v>
      </c>
      <c r="Y3299" s="357" t="s">
        <v>6868</v>
      </c>
      <c r="Z3299" s="192">
        <v>999</v>
      </c>
      <c r="AA3299" s="367"/>
      <c r="AB3299" s="37">
        <f t="shared" ca="1" si="78"/>
        <v>0.80142453449129936</v>
      </c>
      <c r="AC3299" s="816"/>
      <c r="AD3299" s="817"/>
      <c r="AE3299" s="955"/>
      <c r="AF3299" s="924">
        <f>IF(X3299=X3298,AF3298,0)+IF(ISNUMBER(I3299),IF(I3299&lt;1,I3299,I3299*VLOOKUP(J3299,Summary!$H$2:$I$9,2)),VLOOKUP(J3299,Summary!$J$2:$K$9,2)*IF(ISNUMBER(H3299),H3299,1))</f>
        <v>0.33353009259259264</v>
      </c>
      <c r="AG3299" s="298">
        <v>3298</v>
      </c>
      <c r="AH3299" s="94"/>
      <c r="AI3299" s="94"/>
      <c r="AJ3299" s="3"/>
    </row>
    <row r="3300" spans="1:36" s="22" customFormat="1" ht="12" customHeight="1" x14ac:dyDescent="0.25">
      <c r="A3300" s="571" t="s">
        <v>1568</v>
      </c>
      <c r="B3300" s="571">
        <v>8</v>
      </c>
      <c r="C3300" s="571">
        <v>21.04</v>
      </c>
      <c r="D3300" s="434" t="s">
        <v>769</v>
      </c>
      <c r="E3300" s="324" t="s">
        <v>7465</v>
      </c>
      <c r="F3300" s="174">
        <v>38991</v>
      </c>
      <c r="G3300" s="174"/>
      <c r="H3300" s="176">
        <v>1</v>
      </c>
      <c r="I3300" s="176">
        <v>16</v>
      </c>
      <c r="J3300" s="900" t="s">
        <v>2755</v>
      </c>
      <c r="K3300" s="164" t="s">
        <v>6352</v>
      </c>
      <c r="L3300" s="164" t="s">
        <v>461</v>
      </c>
      <c r="M3300" s="164"/>
      <c r="N3300" s="164" t="s">
        <v>5664</v>
      </c>
      <c r="O3300" s="164"/>
      <c r="P3300" s="173" t="s">
        <v>3325</v>
      </c>
      <c r="Q3300" s="164" t="s">
        <v>3947</v>
      </c>
      <c r="R3300" s="179" t="s">
        <v>2723</v>
      </c>
      <c r="S3300" s="354"/>
      <c r="T3300" s="173"/>
      <c r="U3300" s="173"/>
      <c r="V3300" s="173"/>
      <c r="W3300" s="324" t="s">
        <v>7465</v>
      </c>
      <c r="X3300" s="656" t="s">
        <v>12452</v>
      </c>
      <c r="Y3300" s="363"/>
      <c r="Z3300" s="364"/>
      <c r="AA3300" s="364"/>
      <c r="AB3300" s="32">
        <f t="shared" ca="1" si="78"/>
        <v>0.92952512586347147</v>
      </c>
      <c r="AC3300" s="812"/>
      <c r="AD3300" s="763"/>
      <c r="AE3300" s="951"/>
      <c r="AF3300" s="921">
        <f>IF(X3300=X3299,AF3299,0)+IF(ISNUMBER(I3300),IF(I3300&lt;1,I3300,I3300*VLOOKUP(J3300,Summary!$H$2:$I$9,2)),VLOOKUP(J3300,Summary!$J$2:$K$9,2)*IF(ISNUMBER(H3300),H3300,1))</f>
        <v>0.34464120370370377</v>
      </c>
      <c r="AG3300" s="288">
        <v>3299</v>
      </c>
      <c r="AH3300" s="94"/>
      <c r="AI3300" s="94"/>
    </row>
    <row r="3301" spans="1:36" s="22" customFormat="1" ht="12" customHeight="1" x14ac:dyDescent="0.25">
      <c r="A3301" s="571" t="s">
        <v>1568</v>
      </c>
      <c r="B3301" s="571">
        <v>8</v>
      </c>
      <c r="C3301" s="571">
        <v>2.0099999999999998</v>
      </c>
      <c r="D3301" s="434" t="s">
        <v>6437</v>
      </c>
      <c r="E3301" s="324" t="s">
        <v>3818</v>
      </c>
      <c r="F3301" s="174">
        <v>36220</v>
      </c>
      <c r="G3301" s="174"/>
      <c r="H3301" s="176">
        <v>1</v>
      </c>
      <c r="I3301" s="176">
        <v>8</v>
      </c>
      <c r="J3301" s="900" t="s">
        <v>2755</v>
      </c>
      <c r="K3301" s="164" t="s">
        <v>1951</v>
      </c>
      <c r="L3301" s="164" t="s">
        <v>461</v>
      </c>
      <c r="M3301" s="164"/>
      <c r="N3301" s="164" t="s">
        <v>6237</v>
      </c>
      <c r="O3301" s="164"/>
      <c r="P3301" s="173" t="s">
        <v>6561</v>
      </c>
      <c r="Q3301" s="164" t="s">
        <v>3953</v>
      </c>
      <c r="R3301" s="179" t="s">
        <v>2723</v>
      </c>
      <c r="S3301" s="354"/>
      <c r="T3301" s="173"/>
      <c r="U3301" s="173"/>
      <c r="V3301" s="173"/>
      <c r="W3301" s="324" t="s">
        <v>3818</v>
      </c>
      <c r="X3301" s="656" t="s">
        <v>12452</v>
      </c>
      <c r="Y3301" s="354" t="s">
        <v>6868</v>
      </c>
      <c r="Z3301" s="176">
        <v>999</v>
      </c>
      <c r="AA3301" s="364"/>
      <c r="AB3301" s="32">
        <f t="shared" ca="1" si="78"/>
        <v>0.66266803385635287</v>
      </c>
      <c r="AC3301" s="812"/>
      <c r="AD3301" s="763"/>
      <c r="AE3301" s="951"/>
      <c r="AF3301" s="921">
        <f>IF(X3301=X3300,AF3300,0)+IF(ISNUMBER(I3301),IF(I3301&lt;1,I3301,I3301*VLOOKUP(J3301,Summary!$H$2:$I$9,2)),VLOOKUP(J3301,Summary!$J$2:$K$9,2)*IF(ISNUMBER(H3301),H3301,1))</f>
        <v>0.3501967592592593</v>
      </c>
      <c r="AG3301" s="288">
        <v>3300</v>
      </c>
      <c r="AH3301" s="94"/>
      <c r="AI3301" s="94"/>
    </row>
    <row r="3302" spans="1:36" s="2" customFormat="1" ht="12" customHeight="1" x14ac:dyDescent="0.25">
      <c r="A3302" s="571" t="s">
        <v>1568</v>
      </c>
      <c r="B3302" s="571">
        <v>8</v>
      </c>
      <c r="C3302" s="571">
        <v>27.02</v>
      </c>
      <c r="D3302" s="434" t="s">
        <v>2487</v>
      </c>
      <c r="E3302" s="324" t="s">
        <v>1682</v>
      </c>
      <c r="F3302" s="174">
        <v>39569</v>
      </c>
      <c r="G3302" s="174"/>
      <c r="H3302" s="176" t="s">
        <v>461</v>
      </c>
      <c r="I3302" s="176">
        <v>22</v>
      </c>
      <c r="J3302" s="900" t="s">
        <v>2755</v>
      </c>
      <c r="K3302" s="164" t="s">
        <v>2488</v>
      </c>
      <c r="L3302" s="164" t="s">
        <v>461</v>
      </c>
      <c r="M3302" s="164"/>
      <c r="N3302" s="164" t="s">
        <v>7621</v>
      </c>
      <c r="O3302" s="164"/>
      <c r="P3302" s="173" t="s">
        <v>6705</v>
      </c>
      <c r="Q3302" s="164" t="s">
        <v>3947</v>
      </c>
      <c r="R3302" s="179" t="s">
        <v>2723</v>
      </c>
      <c r="S3302" s="354"/>
      <c r="T3302" s="173"/>
      <c r="U3302" s="173"/>
      <c r="V3302" s="173"/>
      <c r="W3302" s="324" t="s">
        <v>1682</v>
      </c>
      <c r="X3302" s="656" t="s">
        <v>12452</v>
      </c>
      <c r="Y3302" s="363"/>
      <c r="Z3302" s="364"/>
      <c r="AA3302" s="364"/>
      <c r="AB3302" s="32">
        <f t="shared" ca="1" si="78"/>
        <v>0.80033461417140628</v>
      </c>
      <c r="AC3302" s="812"/>
      <c r="AD3302" s="763"/>
      <c r="AE3302" s="951"/>
      <c r="AF3302" s="921">
        <f>IF(X3302=X3301,AF3301,0)+IF(ISNUMBER(I3302),IF(I3302&lt;1,I3302,I3302*VLOOKUP(J3302,Summary!$H$2:$I$9,2)),VLOOKUP(J3302,Summary!$J$2:$K$9,2)*IF(ISNUMBER(H3302),H3302,1))</f>
        <v>0.36547453703703708</v>
      </c>
      <c r="AG3302" s="288">
        <v>3301</v>
      </c>
      <c r="AH3302" s="94"/>
      <c r="AI3302" s="94"/>
      <c r="AJ3302" s="22"/>
    </row>
    <row r="3303" spans="1:36" s="22" customFormat="1" ht="12" customHeight="1" x14ac:dyDescent="0.25">
      <c r="A3303" s="569" t="s">
        <v>1568</v>
      </c>
      <c r="B3303" s="569">
        <v>8</v>
      </c>
      <c r="C3303" s="569">
        <v>61</v>
      </c>
      <c r="D3303" s="417" t="s">
        <v>3862</v>
      </c>
      <c r="E3303" s="316" t="s">
        <v>3863</v>
      </c>
      <c r="F3303" s="195">
        <v>35538</v>
      </c>
      <c r="G3303" s="188"/>
      <c r="H3303" s="188" t="str">
        <f>IF(J3303="Book","n/a","")</f>
        <v>n/a</v>
      </c>
      <c r="I3303" s="188">
        <v>298</v>
      </c>
      <c r="J3303" s="902" t="s">
        <v>6868</v>
      </c>
      <c r="K3303" s="162" t="s">
        <v>2311</v>
      </c>
      <c r="L3303" s="162" t="str">
        <f>IF(J3303="Book","n/a","")</f>
        <v>n/a</v>
      </c>
      <c r="M3303" s="162"/>
      <c r="N3303" s="162"/>
      <c r="O3303" s="162"/>
      <c r="P3303" s="178" t="s">
        <v>8823</v>
      </c>
      <c r="Q3303" s="162" t="s">
        <v>601</v>
      </c>
      <c r="R3303" s="189" t="s">
        <v>2716</v>
      </c>
      <c r="S3303" s="366" t="s">
        <v>2597</v>
      </c>
      <c r="T3303" s="178" t="s">
        <v>2611</v>
      </c>
      <c r="U3303" s="178"/>
      <c r="V3303" s="178"/>
      <c r="W3303" s="316" t="s">
        <v>3863</v>
      </c>
      <c r="X3303" s="648" t="s">
        <v>12452</v>
      </c>
      <c r="Y3303" s="356" t="s">
        <v>4707</v>
      </c>
      <c r="Z3303" s="272">
        <v>175</v>
      </c>
      <c r="AA3303" s="272">
        <v>4</v>
      </c>
      <c r="AB3303" s="34">
        <f t="shared" ca="1" si="78"/>
        <v>5.6935451752821886E-2</v>
      </c>
      <c r="AC3303" s="814"/>
      <c r="AD3303" s="815" t="s">
        <v>16264</v>
      </c>
      <c r="AE3303" s="942"/>
      <c r="AF3303" s="923">
        <f>IF(X3303=X3302,AF3302,0)+IF(ISNUMBER(I3303),IF(I3303&lt;1,I3303,I3303*VLOOKUP(J3303,Summary!$H$2:$I$9,2)),VLOOKUP(J3303,Summary!$J$2:$K$9,2)*IF(ISNUMBER(H3303),H3303,1))</f>
        <v>0.57241898148148151</v>
      </c>
      <c r="AG3303" s="291">
        <v>3302</v>
      </c>
      <c r="AH3303" s="94"/>
      <c r="AI3303" s="94"/>
      <c r="AJ3303" s="6"/>
    </row>
    <row r="3304" spans="1:36" s="22" customFormat="1" ht="12" customHeight="1" x14ac:dyDescent="0.25">
      <c r="A3304" s="571" t="s">
        <v>1568</v>
      </c>
      <c r="B3304" s="571">
        <v>8</v>
      </c>
      <c r="C3304" s="571">
        <v>29</v>
      </c>
      <c r="D3304" s="176" t="s">
        <v>879</v>
      </c>
      <c r="E3304" s="313" t="s">
        <v>851</v>
      </c>
      <c r="F3304" s="174">
        <v>36100</v>
      </c>
      <c r="G3304" s="175"/>
      <c r="H3304" s="176" t="s">
        <v>461</v>
      </c>
      <c r="I3304" s="176"/>
      <c r="J3304" s="900" t="s">
        <v>2755</v>
      </c>
      <c r="K3304" s="164" t="s">
        <v>2311</v>
      </c>
      <c r="L3304" s="164"/>
      <c r="M3304" s="164"/>
      <c r="N3304" s="164" t="s">
        <v>819</v>
      </c>
      <c r="O3304" s="164"/>
      <c r="P3304" s="178" t="s">
        <v>461</v>
      </c>
      <c r="Q3304" s="164" t="s">
        <v>820</v>
      </c>
      <c r="R3304" s="177" t="s">
        <v>895</v>
      </c>
      <c r="S3304" s="354"/>
      <c r="T3304" s="173" t="s">
        <v>2611</v>
      </c>
      <c r="U3304" s="173"/>
      <c r="V3304" s="173"/>
      <c r="W3304" s="313" t="s">
        <v>851</v>
      </c>
      <c r="X3304" s="645" t="s">
        <v>12452</v>
      </c>
      <c r="Y3304" s="354"/>
      <c r="Z3304" s="176"/>
      <c r="AA3304" s="176"/>
      <c r="AB3304" s="32">
        <f t="shared" ca="1" si="78"/>
        <v>2.3760602754584692E-2</v>
      </c>
      <c r="AC3304" s="812"/>
      <c r="AD3304" s="763"/>
      <c r="AE3304" s="807"/>
      <c r="AF3304" s="921">
        <f>IF(X3304=X3303,AF3303,0)+IF(ISNUMBER(I3304),IF(I3304&lt;1,I3304,I3304*VLOOKUP(J3304,Summary!$H$2:$I$9,2)),VLOOKUP(J3304,Summary!$J$2:$K$9,2)*IF(ISNUMBER(H3304),H3304,1))</f>
        <v>0.58978009259259268</v>
      </c>
      <c r="AG3304" s="289">
        <v>3303</v>
      </c>
      <c r="AH3304" s="94"/>
      <c r="AI3304" s="94"/>
      <c r="AJ3304" s="2"/>
    </row>
    <row r="3305" spans="1:36" s="1" customFormat="1" ht="12" customHeight="1" x14ac:dyDescent="0.25">
      <c r="A3305" s="571" t="s">
        <v>1568</v>
      </c>
      <c r="B3305" s="571">
        <v>8</v>
      </c>
      <c r="C3305" s="571">
        <v>13.03</v>
      </c>
      <c r="D3305" s="434" t="s">
        <v>6440</v>
      </c>
      <c r="E3305" s="324" t="s">
        <v>7468</v>
      </c>
      <c r="F3305" s="174">
        <v>38261</v>
      </c>
      <c r="G3305" s="174"/>
      <c r="H3305" s="176">
        <v>1</v>
      </c>
      <c r="I3305" s="176">
        <v>30</v>
      </c>
      <c r="J3305" s="900" t="s">
        <v>2755</v>
      </c>
      <c r="K3305" s="164" t="s">
        <v>2477</v>
      </c>
      <c r="L3305" s="164" t="s">
        <v>461</v>
      </c>
      <c r="M3305" s="164"/>
      <c r="N3305" s="164" t="s">
        <v>4996</v>
      </c>
      <c r="O3305" s="164"/>
      <c r="P3305" s="173" t="s">
        <v>1945</v>
      </c>
      <c r="Q3305" s="164" t="s">
        <v>3947</v>
      </c>
      <c r="R3305" s="179" t="s">
        <v>2723</v>
      </c>
      <c r="S3305" s="354"/>
      <c r="T3305" s="173"/>
      <c r="U3305" s="173"/>
      <c r="V3305" s="173"/>
      <c r="W3305" s="324" t="s">
        <v>7468</v>
      </c>
      <c r="X3305" s="656" t="s">
        <v>12452</v>
      </c>
      <c r="Y3305" s="363"/>
      <c r="Z3305" s="364"/>
      <c r="AA3305" s="364"/>
      <c r="AB3305" s="32">
        <f t="shared" ca="1" si="78"/>
        <v>0.73625649939949778</v>
      </c>
      <c r="AC3305" s="812"/>
      <c r="AD3305" s="763"/>
      <c r="AE3305" s="951"/>
      <c r="AF3305" s="921">
        <f>IF(X3305=X3304,AF3304,0)+IF(ISNUMBER(I3305),IF(I3305&lt;1,I3305,I3305*VLOOKUP(J3305,Summary!$H$2:$I$9,2)),VLOOKUP(J3305,Summary!$J$2:$K$9,2)*IF(ISNUMBER(H3305),H3305,1))</f>
        <v>0.61061342592592605</v>
      </c>
      <c r="AG3305" s="288">
        <v>3304</v>
      </c>
      <c r="AH3305" s="94"/>
      <c r="AI3305" s="94"/>
      <c r="AJ3305" s="43"/>
    </row>
    <row r="3306" spans="1:36" s="1" customFormat="1" ht="12" customHeight="1" x14ac:dyDescent="0.25">
      <c r="A3306" s="571" t="s">
        <v>1568</v>
      </c>
      <c r="B3306" s="571">
        <v>8</v>
      </c>
      <c r="C3306" s="571">
        <v>13.14</v>
      </c>
      <c r="D3306" s="434" t="s">
        <v>6441</v>
      </c>
      <c r="E3306" s="324" t="s">
        <v>7469</v>
      </c>
      <c r="F3306" s="174">
        <v>38261</v>
      </c>
      <c r="G3306" s="174"/>
      <c r="H3306" s="176">
        <v>1</v>
      </c>
      <c r="I3306" s="176">
        <v>12</v>
      </c>
      <c r="J3306" s="900" t="s">
        <v>2755</v>
      </c>
      <c r="K3306" s="164" t="s">
        <v>4996</v>
      </c>
      <c r="L3306" s="164" t="s">
        <v>461</v>
      </c>
      <c r="M3306" s="164"/>
      <c r="N3306" s="164" t="s">
        <v>4996</v>
      </c>
      <c r="O3306" s="164"/>
      <c r="P3306" s="173" t="s">
        <v>1945</v>
      </c>
      <c r="Q3306" s="164" t="s">
        <v>3947</v>
      </c>
      <c r="R3306" s="179" t="s">
        <v>2723</v>
      </c>
      <c r="S3306" s="354"/>
      <c r="T3306" s="173"/>
      <c r="U3306" s="173"/>
      <c r="V3306" s="173"/>
      <c r="W3306" s="324" t="s">
        <v>7469</v>
      </c>
      <c r="X3306" s="656" t="s">
        <v>12452</v>
      </c>
      <c r="Y3306" s="363"/>
      <c r="Z3306" s="364"/>
      <c r="AA3306" s="364"/>
      <c r="AB3306" s="32">
        <f t="shared" ca="1" si="78"/>
        <v>0.28926835759879888</v>
      </c>
      <c r="AC3306" s="812"/>
      <c r="AD3306" s="763"/>
      <c r="AE3306" s="951"/>
      <c r="AF3306" s="921">
        <f>IF(X3306=X3305,AF3305,0)+IF(ISNUMBER(I3306),IF(I3306&lt;1,I3306,I3306*VLOOKUP(J3306,Summary!$H$2:$I$9,2)),VLOOKUP(J3306,Summary!$J$2:$K$9,2)*IF(ISNUMBER(H3306),H3306,1))</f>
        <v>0.61894675925925935</v>
      </c>
      <c r="AG3306" s="288">
        <v>3305</v>
      </c>
      <c r="AH3306" s="94"/>
      <c r="AI3306" s="94"/>
      <c r="AJ3306" s="22"/>
    </row>
    <row r="3307" spans="1:36" s="29" customFormat="1" ht="12" customHeight="1" x14ac:dyDescent="0.25">
      <c r="A3307" s="571" t="s">
        <v>1568</v>
      </c>
      <c r="B3307" s="571">
        <v>8</v>
      </c>
      <c r="C3307" s="571">
        <v>14.28</v>
      </c>
      <c r="D3307" s="434" t="s">
        <v>6442</v>
      </c>
      <c r="E3307" s="324" t="s">
        <v>7470</v>
      </c>
      <c r="F3307" s="174">
        <v>38322</v>
      </c>
      <c r="G3307" s="174"/>
      <c r="H3307" s="176">
        <v>1</v>
      </c>
      <c r="I3307" s="176">
        <v>10</v>
      </c>
      <c r="J3307" s="900" t="s">
        <v>2755</v>
      </c>
      <c r="K3307" s="164" t="s">
        <v>5146</v>
      </c>
      <c r="L3307" s="164" t="s">
        <v>461</v>
      </c>
      <c r="M3307" s="164"/>
      <c r="N3307" s="164" t="s">
        <v>3807</v>
      </c>
      <c r="O3307" s="164"/>
      <c r="P3307" s="173" t="s">
        <v>6565</v>
      </c>
      <c r="Q3307" s="164" t="s">
        <v>3947</v>
      </c>
      <c r="R3307" s="179" t="s">
        <v>2723</v>
      </c>
      <c r="S3307" s="354"/>
      <c r="T3307" s="173" t="s">
        <v>2611</v>
      </c>
      <c r="U3307" s="173"/>
      <c r="V3307" s="173"/>
      <c r="W3307" s="324" t="s">
        <v>7470</v>
      </c>
      <c r="X3307" s="656" t="s">
        <v>12452</v>
      </c>
      <c r="Y3307" s="363"/>
      <c r="Z3307" s="364"/>
      <c r="AA3307" s="364"/>
      <c r="AB3307" s="32">
        <f t="shared" ca="1" si="78"/>
        <v>0.79769957690984583</v>
      </c>
      <c r="AC3307" s="812"/>
      <c r="AD3307" s="763"/>
      <c r="AE3307" s="951"/>
      <c r="AF3307" s="921">
        <f>IF(X3307=X3306,AF3306,0)+IF(ISNUMBER(I3307),IF(I3307&lt;1,I3307,I3307*VLOOKUP(J3307,Summary!$H$2:$I$9,2)),VLOOKUP(J3307,Summary!$J$2:$K$9,2)*IF(ISNUMBER(H3307),H3307,1))</f>
        <v>0.62589120370370377</v>
      </c>
      <c r="AG3307" s="288">
        <v>3306</v>
      </c>
      <c r="AH3307" s="94"/>
      <c r="AI3307" s="94"/>
      <c r="AJ3307" s="3"/>
    </row>
    <row r="3308" spans="1:36" s="22" customFormat="1" ht="12" customHeight="1" x14ac:dyDescent="0.25">
      <c r="A3308" s="571" t="s">
        <v>1568</v>
      </c>
      <c r="B3308" s="571">
        <v>8</v>
      </c>
      <c r="C3308" s="571">
        <v>18.21</v>
      </c>
      <c r="D3308" s="434" t="s">
        <v>6443</v>
      </c>
      <c r="E3308" s="324" t="s">
        <v>7471</v>
      </c>
      <c r="F3308" s="174">
        <v>38687</v>
      </c>
      <c r="G3308" s="174"/>
      <c r="H3308" s="176">
        <v>1</v>
      </c>
      <c r="I3308" s="176">
        <v>16</v>
      </c>
      <c r="J3308" s="900" t="s">
        <v>2755</v>
      </c>
      <c r="K3308" s="164" t="s">
        <v>6353</v>
      </c>
      <c r="L3308" s="164" t="s">
        <v>461</v>
      </c>
      <c r="M3308" s="164"/>
      <c r="N3308" s="164" t="s">
        <v>5664</v>
      </c>
      <c r="O3308" s="164"/>
      <c r="P3308" s="173" t="s">
        <v>5000</v>
      </c>
      <c r="Q3308" s="164" t="s">
        <v>3947</v>
      </c>
      <c r="R3308" s="179" t="s">
        <v>2723</v>
      </c>
      <c r="S3308" s="354"/>
      <c r="T3308" s="173"/>
      <c r="U3308" s="173"/>
      <c r="V3308" s="173"/>
      <c r="W3308" s="324" t="s">
        <v>7471</v>
      </c>
      <c r="X3308" s="656" t="s">
        <v>12452</v>
      </c>
      <c r="Y3308" s="363"/>
      <c r="Z3308" s="364"/>
      <c r="AA3308" s="364"/>
      <c r="AB3308" s="32">
        <f t="shared" ca="1" si="78"/>
        <v>0.14258219609983791</v>
      </c>
      <c r="AC3308" s="812"/>
      <c r="AD3308" s="763"/>
      <c r="AE3308" s="951"/>
      <c r="AF3308" s="921">
        <f>IF(X3308=X3307,AF3307,0)+IF(ISNUMBER(I3308),IF(I3308&lt;1,I3308,I3308*VLOOKUP(J3308,Summary!$H$2:$I$9,2)),VLOOKUP(J3308,Summary!$J$2:$K$9,2)*IF(ISNUMBER(H3308),H3308,1))</f>
        <v>0.63700231481481484</v>
      </c>
      <c r="AG3308" s="288">
        <v>3307</v>
      </c>
      <c r="AH3308" s="94"/>
      <c r="AI3308" s="94"/>
    </row>
    <row r="3309" spans="1:36" s="22" customFormat="1" ht="12" customHeight="1" x14ac:dyDescent="0.2">
      <c r="A3309" s="572" t="s">
        <v>1568</v>
      </c>
      <c r="B3309" s="572">
        <v>8</v>
      </c>
      <c r="C3309" s="572">
        <v>1</v>
      </c>
      <c r="D3309" s="428" t="s">
        <v>4924</v>
      </c>
      <c r="E3309" s="325" t="s">
        <v>16167</v>
      </c>
      <c r="F3309" s="184">
        <v>35217</v>
      </c>
      <c r="G3309" s="184">
        <v>35280</v>
      </c>
      <c r="H3309" s="185">
        <v>10</v>
      </c>
      <c r="I3309" s="185">
        <v>10</v>
      </c>
      <c r="J3309" s="901" t="s">
        <v>1796</v>
      </c>
      <c r="K3309" s="158" t="s">
        <v>7375</v>
      </c>
      <c r="L3309" s="158" t="s">
        <v>7928</v>
      </c>
      <c r="M3309" s="158" t="s">
        <v>254</v>
      </c>
      <c r="N3309" s="158"/>
      <c r="O3309" s="158"/>
      <c r="P3309" s="182" t="s">
        <v>461</v>
      </c>
      <c r="Q3309" s="158" t="s">
        <v>4929</v>
      </c>
      <c r="R3309" s="207" t="s">
        <v>12737</v>
      </c>
      <c r="S3309" s="355"/>
      <c r="T3309" s="182" t="s">
        <v>4930</v>
      </c>
      <c r="U3309" s="182" t="s">
        <v>4931</v>
      </c>
      <c r="V3309" s="182"/>
      <c r="W3309" s="321"/>
      <c r="X3309" s="653" t="s">
        <v>12452</v>
      </c>
      <c r="Y3309" s="361"/>
      <c r="Z3309" s="362"/>
      <c r="AA3309" s="362"/>
      <c r="AB3309" s="33">
        <f t="shared" ca="1" si="78"/>
        <v>0.41948062539160569</v>
      </c>
      <c r="AC3309" s="813"/>
      <c r="AD3309" s="211" t="s">
        <v>16168</v>
      </c>
      <c r="AE3309" s="949" t="s">
        <v>12543</v>
      </c>
      <c r="AF3309" s="922">
        <f>IF(X3309=X3308,AF3308,0)+IF(ISNUMBER(I3309),IF(I3309&lt;1,I3309,I3309*VLOOKUP(J3309,Summary!$H$2:$I$9,2)),VLOOKUP(J3309,Summary!$J$2:$K$9,2)*IF(ISNUMBER(H3309),H3309,1))</f>
        <v>0.64047453703703705</v>
      </c>
      <c r="AG3309" s="295">
        <v>3308</v>
      </c>
      <c r="AH3309" s="94"/>
      <c r="AI3309" s="94"/>
    </row>
    <row r="3310" spans="1:36" s="22" customFormat="1" ht="12" customHeight="1" x14ac:dyDescent="0.2">
      <c r="A3310" s="572" t="s">
        <v>1568</v>
      </c>
      <c r="B3310" s="572">
        <v>8</v>
      </c>
      <c r="C3310" s="572">
        <v>2</v>
      </c>
      <c r="D3310" s="428" t="s">
        <v>4925</v>
      </c>
      <c r="E3310" s="325" t="s">
        <v>7472</v>
      </c>
      <c r="F3310" s="184">
        <v>35287</v>
      </c>
      <c r="G3310" s="184">
        <v>35350</v>
      </c>
      <c r="H3310" s="185">
        <v>10</v>
      </c>
      <c r="I3310" s="185">
        <v>10</v>
      </c>
      <c r="J3310" s="901" t="s">
        <v>1796</v>
      </c>
      <c r="K3310" s="158" t="s">
        <v>7375</v>
      </c>
      <c r="L3310" s="158" t="s">
        <v>7928</v>
      </c>
      <c r="M3310" s="158" t="s">
        <v>254</v>
      </c>
      <c r="N3310" s="158"/>
      <c r="O3310" s="158"/>
      <c r="P3310" s="182" t="s">
        <v>461</v>
      </c>
      <c r="Q3310" s="158" t="s">
        <v>4929</v>
      </c>
      <c r="R3310" s="207" t="s">
        <v>12737</v>
      </c>
      <c r="S3310" s="355"/>
      <c r="T3310" s="182" t="s">
        <v>4930</v>
      </c>
      <c r="U3310" s="182" t="s">
        <v>4931</v>
      </c>
      <c r="V3310" s="182"/>
      <c r="W3310" s="321"/>
      <c r="X3310" s="653" t="s">
        <v>12452</v>
      </c>
      <c r="Y3310" s="361"/>
      <c r="Z3310" s="362"/>
      <c r="AA3310" s="362"/>
      <c r="AB3310" s="33">
        <f t="shared" ca="1" si="78"/>
        <v>0.21088307107915771</v>
      </c>
      <c r="AC3310" s="813"/>
      <c r="AD3310" s="211"/>
      <c r="AE3310" s="949"/>
      <c r="AF3310" s="922">
        <f>IF(X3310=X3309,AF3309,0)+IF(ISNUMBER(I3310),IF(I3310&lt;1,I3310,I3310*VLOOKUP(J3310,Summary!$H$2:$I$9,2)),VLOOKUP(J3310,Summary!$J$2:$K$9,2)*IF(ISNUMBER(H3310),H3310,1))</f>
        <v>0.64394675925925926</v>
      </c>
      <c r="AG3310" s="295">
        <v>3309</v>
      </c>
      <c r="AH3310" s="94"/>
      <c r="AI3310" s="94"/>
    </row>
    <row r="3311" spans="1:36" s="22" customFormat="1" ht="12" customHeight="1" x14ac:dyDescent="0.2">
      <c r="A3311" s="572" t="s">
        <v>1568</v>
      </c>
      <c r="B3311" s="572">
        <v>8</v>
      </c>
      <c r="C3311" s="572">
        <v>3</v>
      </c>
      <c r="D3311" s="428" t="s">
        <v>4926</v>
      </c>
      <c r="E3311" s="325" t="s">
        <v>7473</v>
      </c>
      <c r="F3311" s="184">
        <v>35357</v>
      </c>
      <c r="G3311" s="184">
        <v>35420</v>
      </c>
      <c r="H3311" s="185">
        <v>10</v>
      </c>
      <c r="I3311" s="185">
        <v>10</v>
      </c>
      <c r="J3311" s="901" t="s">
        <v>1796</v>
      </c>
      <c r="K3311" s="158" t="s">
        <v>7375</v>
      </c>
      <c r="L3311" s="158" t="s">
        <v>7928</v>
      </c>
      <c r="M3311" s="158" t="s">
        <v>254</v>
      </c>
      <c r="N3311" s="158"/>
      <c r="O3311" s="158"/>
      <c r="P3311" s="182" t="s">
        <v>461</v>
      </c>
      <c r="Q3311" s="158" t="s">
        <v>4929</v>
      </c>
      <c r="R3311" s="207" t="s">
        <v>12737</v>
      </c>
      <c r="S3311" s="355"/>
      <c r="T3311" s="182" t="s">
        <v>4930</v>
      </c>
      <c r="U3311" s="182" t="s">
        <v>4931</v>
      </c>
      <c r="V3311" s="182"/>
      <c r="W3311" s="321"/>
      <c r="X3311" s="653" t="s">
        <v>12452</v>
      </c>
      <c r="Y3311" s="361"/>
      <c r="Z3311" s="362"/>
      <c r="AA3311" s="362"/>
      <c r="AB3311" s="33">
        <f t="shared" ca="1" si="78"/>
        <v>5.8488839425935302E-3</v>
      </c>
      <c r="AC3311" s="813"/>
      <c r="AD3311" s="211"/>
      <c r="AE3311" s="949"/>
      <c r="AF3311" s="922">
        <f>IF(X3311=X3310,AF3310,0)+IF(ISNUMBER(I3311),IF(I3311&lt;1,I3311,I3311*VLOOKUP(J3311,Summary!$H$2:$I$9,2)),VLOOKUP(J3311,Summary!$J$2:$K$9,2)*IF(ISNUMBER(H3311),H3311,1))</f>
        <v>0.64741898148148147</v>
      </c>
      <c r="AG3311" s="295">
        <v>3310</v>
      </c>
      <c r="AH3311" s="94"/>
      <c r="AI3311" s="94"/>
    </row>
    <row r="3312" spans="1:36" s="22" customFormat="1" ht="12" customHeight="1" x14ac:dyDescent="0.2">
      <c r="A3312" s="572" t="s">
        <v>1568</v>
      </c>
      <c r="B3312" s="572">
        <v>8</v>
      </c>
      <c r="C3312" s="572">
        <v>4</v>
      </c>
      <c r="D3312" s="428" t="s">
        <v>4927</v>
      </c>
      <c r="E3312" s="325" t="s">
        <v>7474</v>
      </c>
      <c r="F3312" s="184">
        <v>35434</v>
      </c>
      <c r="G3312" s="184">
        <v>35497</v>
      </c>
      <c r="H3312" s="185">
        <v>10</v>
      </c>
      <c r="I3312" s="185">
        <v>10</v>
      </c>
      <c r="J3312" s="901" t="s">
        <v>1796</v>
      </c>
      <c r="K3312" s="158" t="s">
        <v>7375</v>
      </c>
      <c r="L3312" s="158" t="s">
        <v>7928</v>
      </c>
      <c r="M3312" s="158" t="s">
        <v>254</v>
      </c>
      <c r="N3312" s="158"/>
      <c r="O3312" s="158"/>
      <c r="P3312" s="182" t="s">
        <v>461</v>
      </c>
      <c r="Q3312" s="158" t="s">
        <v>4929</v>
      </c>
      <c r="R3312" s="207" t="s">
        <v>12737</v>
      </c>
      <c r="S3312" s="355"/>
      <c r="T3312" s="182" t="s">
        <v>4930</v>
      </c>
      <c r="U3312" s="182" t="s">
        <v>4931</v>
      </c>
      <c r="V3312" s="182"/>
      <c r="W3312" s="321"/>
      <c r="X3312" s="653" t="s">
        <v>12452</v>
      </c>
      <c r="Y3312" s="361"/>
      <c r="Z3312" s="362"/>
      <c r="AA3312" s="362"/>
      <c r="AB3312" s="33">
        <f t="shared" ca="1" si="78"/>
        <v>0.32601837718651483</v>
      </c>
      <c r="AC3312" s="813"/>
      <c r="AD3312" s="211" t="s">
        <v>16587</v>
      </c>
      <c r="AE3312" s="949" t="s">
        <v>12543</v>
      </c>
      <c r="AF3312" s="922">
        <f>IF(X3312=X3311,AF3311,0)+IF(ISNUMBER(I3312),IF(I3312&lt;1,I3312,I3312*VLOOKUP(J3312,Summary!$H$2:$I$9,2)),VLOOKUP(J3312,Summary!$J$2:$K$9,2)*IF(ISNUMBER(H3312),H3312,1))</f>
        <v>0.65089120370370368</v>
      </c>
      <c r="AG3312" s="295">
        <v>3311</v>
      </c>
      <c r="AH3312" s="94"/>
      <c r="AI3312" s="94"/>
    </row>
    <row r="3313" spans="1:36" s="22" customFormat="1" ht="12" customHeight="1" x14ac:dyDescent="0.2">
      <c r="A3313" s="572" t="s">
        <v>1568</v>
      </c>
      <c r="B3313" s="572">
        <v>8</v>
      </c>
      <c r="C3313" s="572">
        <v>5</v>
      </c>
      <c r="D3313" s="428" t="s">
        <v>4928</v>
      </c>
      <c r="E3313" s="325" t="s">
        <v>7475</v>
      </c>
      <c r="F3313" s="184">
        <v>35504</v>
      </c>
      <c r="G3313" s="184">
        <v>35511</v>
      </c>
      <c r="H3313" s="185">
        <v>2</v>
      </c>
      <c r="I3313" s="185">
        <v>2</v>
      </c>
      <c r="J3313" s="901" t="s">
        <v>1796</v>
      </c>
      <c r="K3313" s="158" t="s">
        <v>7375</v>
      </c>
      <c r="L3313" s="158" t="s">
        <v>7928</v>
      </c>
      <c r="M3313" s="158" t="s">
        <v>254</v>
      </c>
      <c r="N3313" s="158"/>
      <c r="O3313" s="158"/>
      <c r="P3313" s="182" t="s">
        <v>461</v>
      </c>
      <c r="Q3313" s="158" t="s">
        <v>4929</v>
      </c>
      <c r="R3313" s="207" t="s">
        <v>12737</v>
      </c>
      <c r="S3313" s="355"/>
      <c r="T3313" s="182" t="s">
        <v>4930</v>
      </c>
      <c r="U3313" s="182" t="s">
        <v>4931</v>
      </c>
      <c r="V3313" s="182"/>
      <c r="W3313" s="321"/>
      <c r="X3313" s="653" t="s">
        <v>12452</v>
      </c>
      <c r="Y3313" s="361"/>
      <c r="Z3313" s="362"/>
      <c r="AA3313" s="362"/>
      <c r="AB3313" s="33">
        <f t="shared" ca="1" si="78"/>
        <v>0.87057503389816804</v>
      </c>
      <c r="AC3313" s="813"/>
      <c r="AD3313" s="211" t="s">
        <v>16587</v>
      </c>
      <c r="AE3313" s="949" t="s">
        <v>12543</v>
      </c>
      <c r="AF3313" s="922">
        <f>IF(X3313=X3312,AF3312,0)+IF(ISNUMBER(I3313),IF(I3313&lt;1,I3313,I3313*VLOOKUP(J3313,Summary!$H$2:$I$9,2)),VLOOKUP(J3313,Summary!$J$2:$K$9,2)*IF(ISNUMBER(H3313),H3313,1))</f>
        <v>0.65158564814814812</v>
      </c>
      <c r="AG3313" s="295">
        <v>3312</v>
      </c>
      <c r="AH3313" s="94"/>
      <c r="AI3313" s="94"/>
    </row>
    <row r="3314" spans="1:36" s="43" customFormat="1" ht="12" customHeight="1" x14ac:dyDescent="0.25">
      <c r="A3314" s="571" t="s">
        <v>1568</v>
      </c>
      <c r="B3314" s="571">
        <v>8</v>
      </c>
      <c r="C3314" s="571">
        <v>27.01</v>
      </c>
      <c r="D3314" s="434" t="s">
        <v>7936</v>
      </c>
      <c r="E3314" s="324" t="s">
        <v>1683</v>
      </c>
      <c r="F3314" s="174">
        <v>39569</v>
      </c>
      <c r="G3314" s="174"/>
      <c r="H3314" s="176" t="s">
        <v>461</v>
      </c>
      <c r="I3314" s="176">
        <v>16</v>
      </c>
      <c r="J3314" s="900" t="s">
        <v>2755</v>
      </c>
      <c r="K3314" s="164" t="s">
        <v>2977</v>
      </c>
      <c r="L3314" s="164" t="s">
        <v>461</v>
      </c>
      <c r="M3314" s="164"/>
      <c r="N3314" s="164" t="s">
        <v>7621</v>
      </c>
      <c r="O3314" s="164"/>
      <c r="P3314" s="173" t="s">
        <v>6705</v>
      </c>
      <c r="Q3314" s="164" t="s">
        <v>3947</v>
      </c>
      <c r="R3314" s="179" t="s">
        <v>2723</v>
      </c>
      <c r="S3314" s="354"/>
      <c r="T3314" s="173"/>
      <c r="U3314" s="173"/>
      <c r="V3314" s="173"/>
      <c r="W3314" s="324" t="s">
        <v>1683</v>
      </c>
      <c r="X3314" s="656" t="s">
        <v>12452</v>
      </c>
      <c r="Y3314" s="363"/>
      <c r="Z3314" s="364"/>
      <c r="AA3314" s="364"/>
      <c r="AB3314" s="32">
        <f t="shared" ca="1" si="78"/>
        <v>0.80269910667193167</v>
      </c>
      <c r="AC3314" s="812"/>
      <c r="AD3314" s="763"/>
      <c r="AE3314" s="951"/>
      <c r="AF3314" s="921">
        <f>IF(X3314=X3313,AF3313,0)+IF(ISNUMBER(I3314),IF(I3314&lt;1,I3314,I3314*VLOOKUP(J3314,Summary!$H$2:$I$9,2)),VLOOKUP(J3314,Summary!$J$2:$K$9,2)*IF(ISNUMBER(H3314),H3314,1))</f>
        <v>0.66269675925925919</v>
      </c>
      <c r="AG3314" s="288">
        <v>3313</v>
      </c>
      <c r="AH3314" s="94"/>
      <c r="AI3314" s="94"/>
    </row>
    <row r="3315" spans="1:36" s="43" customFormat="1" ht="12" customHeight="1" x14ac:dyDescent="0.25">
      <c r="A3315" s="573" t="s">
        <v>1568</v>
      </c>
      <c r="B3315" s="573">
        <v>8</v>
      </c>
      <c r="C3315" s="573">
        <v>2</v>
      </c>
      <c r="D3315" s="407" t="s">
        <v>1556</v>
      </c>
      <c r="E3315" s="315" t="s">
        <v>1557</v>
      </c>
      <c r="F3315" s="169">
        <v>37956</v>
      </c>
      <c r="G3315" s="229"/>
      <c r="H3315" s="170">
        <v>6</v>
      </c>
      <c r="I3315" s="746">
        <f>TIME(2,17,38)</f>
        <v>9.5578703703703694E-2</v>
      </c>
      <c r="J3315" s="899" t="s">
        <v>4706</v>
      </c>
      <c r="K3315" s="167" t="s">
        <v>360</v>
      </c>
      <c r="L3315" s="167" t="s">
        <v>7375</v>
      </c>
      <c r="M3315" s="167"/>
      <c r="N3315" s="167" t="s">
        <v>7375</v>
      </c>
      <c r="O3315" s="167" t="s">
        <v>7375</v>
      </c>
      <c r="P3315" s="168" t="s">
        <v>8631</v>
      </c>
      <c r="Q3315" s="167" t="s">
        <v>3947</v>
      </c>
      <c r="R3315" s="172" t="s">
        <v>576</v>
      </c>
      <c r="S3315" s="388" t="s">
        <v>2610</v>
      </c>
      <c r="T3315" s="168" t="s">
        <v>6335</v>
      </c>
      <c r="U3315" s="168"/>
      <c r="V3315" s="168"/>
      <c r="W3315" s="312"/>
      <c r="X3315" s="644" t="s">
        <v>12452</v>
      </c>
      <c r="Y3315" s="352" t="s">
        <v>5398</v>
      </c>
      <c r="Z3315" s="353">
        <v>366</v>
      </c>
      <c r="AA3315" s="353">
        <v>5</v>
      </c>
      <c r="AB3315" s="31">
        <f t="shared" ca="1" si="78"/>
        <v>0.9979536717163876</v>
      </c>
      <c r="AC3315" s="810"/>
      <c r="AD3315" s="811"/>
      <c r="AE3315" s="940"/>
      <c r="AF3315" s="920">
        <f>IF(X3315=X3314,AF3314,0)+IF(ISNUMBER(I3315),IF(I3315&lt;1,I3315,I3315*VLOOKUP(J3315,Summary!$H$2:$I$9,2)),VLOOKUP(J3315,Summary!$J$2:$K$9,2)*IF(ISNUMBER(H3315),H3315,1))</f>
        <v>0.75827546296296289</v>
      </c>
      <c r="AG3315" s="287">
        <v>3314</v>
      </c>
      <c r="AH3315" s="94"/>
      <c r="AI3315" s="94"/>
    </row>
    <row r="3316" spans="1:36" s="6" customFormat="1" ht="12" customHeight="1" x14ac:dyDescent="0.25">
      <c r="A3316" s="572" t="s">
        <v>1568</v>
      </c>
      <c r="B3316" s="572">
        <v>8</v>
      </c>
      <c r="C3316" s="572">
        <v>8</v>
      </c>
      <c r="D3316" s="185" t="s">
        <v>8344</v>
      </c>
      <c r="E3316" s="314" t="s">
        <v>8345</v>
      </c>
      <c r="F3316" s="184">
        <v>41514</v>
      </c>
      <c r="G3316" s="184"/>
      <c r="H3316" s="185">
        <v>1</v>
      </c>
      <c r="I3316" s="185">
        <v>22</v>
      </c>
      <c r="J3316" s="901" t="s">
        <v>1796</v>
      </c>
      <c r="K3316" s="163" t="s">
        <v>8333</v>
      </c>
      <c r="L3316" s="163" t="s">
        <v>251</v>
      </c>
      <c r="M3316" s="163"/>
      <c r="N3316" s="163" t="s">
        <v>6573</v>
      </c>
      <c r="O3316" s="163"/>
      <c r="P3316" s="182" t="s">
        <v>461</v>
      </c>
      <c r="Q3316" s="163" t="s">
        <v>5719</v>
      </c>
      <c r="R3316" s="186" t="s">
        <v>5718</v>
      </c>
      <c r="S3316" s="355" t="s">
        <v>7319</v>
      </c>
      <c r="T3316" s="182"/>
      <c r="U3316" s="182"/>
      <c r="V3316" s="182"/>
      <c r="W3316" s="314" t="s">
        <v>10152</v>
      </c>
      <c r="X3316" s="646" t="s">
        <v>12452</v>
      </c>
      <c r="Y3316" s="355" t="s">
        <v>6000</v>
      </c>
      <c r="Z3316" s="185">
        <v>999</v>
      </c>
      <c r="AA3316" s="185"/>
      <c r="AB3316" s="33">
        <f t="shared" ca="1" si="78"/>
        <v>0.50088167805491612</v>
      </c>
      <c r="AC3316" s="813"/>
      <c r="AD3316" s="211"/>
      <c r="AE3316" s="949"/>
      <c r="AF3316" s="922">
        <f>IF(X3316=X3315,AF3315,0)+IF(ISNUMBER(I3316),IF(I3316&lt;1,I3316,I3316*VLOOKUP(J3316,Summary!$H$2:$I$9,2)),VLOOKUP(J3316,Summary!$J$2:$K$9,2)*IF(ISNUMBER(H3316),H3316,1))</f>
        <v>0.76591435185185175</v>
      </c>
      <c r="AG3316" s="295">
        <v>3315</v>
      </c>
      <c r="AH3316" s="94"/>
      <c r="AI3316" s="94"/>
      <c r="AJ3316" s="29"/>
    </row>
    <row r="3317" spans="1:36" s="22" customFormat="1" ht="12" customHeight="1" x14ac:dyDescent="0.25">
      <c r="A3317" s="571" t="s">
        <v>1568</v>
      </c>
      <c r="B3317" s="571">
        <v>8</v>
      </c>
      <c r="C3317" s="571">
        <v>11.01</v>
      </c>
      <c r="D3317" s="434" t="s">
        <v>6444</v>
      </c>
      <c r="E3317" s="324" t="s">
        <v>4921</v>
      </c>
      <c r="F3317" s="174">
        <v>38200</v>
      </c>
      <c r="G3317" s="174"/>
      <c r="H3317" s="176">
        <v>1</v>
      </c>
      <c r="I3317" s="176">
        <v>24</v>
      </c>
      <c r="J3317" s="900" t="s">
        <v>2755</v>
      </c>
      <c r="K3317" s="164" t="s">
        <v>145</v>
      </c>
      <c r="L3317" s="164" t="s">
        <v>461</v>
      </c>
      <c r="M3317" s="164"/>
      <c r="N3317" s="164" t="s">
        <v>7375</v>
      </c>
      <c r="O3317" s="164"/>
      <c r="P3317" s="173" t="s">
        <v>2559</v>
      </c>
      <c r="Q3317" s="164" t="s">
        <v>3947</v>
      </c>
      <c r="R3317" s="179" t="s">
        <v>2723</v>
      </c>
      <c r="S3317" s="354" t="s">
        <v>2610</v>
      </c>
      <c r="T3317" s="173" t="s">
        <v>6335</v>
      </c>
      <c r="U3317" s="173"/>
      <c r="V3317" s="173"/>
      <c r="W3317" s="324" t="s">
        <v>4921</v>
      </c>
      <c r="X3317" s="656" t="s">
        <v>12452</v>
      </c>
      <c r="Y3317" s="363"/>
      <c r="Z3317" s="364">
        <v>999</v>
      </c>
      <c r="AA3317" s="364"/>
      <c r="AB3317" s="32">
        <f t="shared" ca="1" si="78"/>
        <v>0.69083655366125185</v>
      </c>
      <c r="AC3317" s="812"/>
      <c r="AD3317" s="763"/>
      <c r="AE3317" s="951"/>
      <c r="AF3317" s="921">
        <f>IF(X3317=X3316,AF3316,0)+IF(ISNUMBER(I3317),IF(I3317&lt;1,I3317,I3317*VLOOKUP(J3317,Summary!$H$2:$I$9,2)),VLOOKUP(J3317,Summary!$J$2:$K$9,2)*IF(ISNUMBER(H3317),H3317,1))</f>
        <v>0.78258101851851847</v>
      </c>
      <c r="AG3317" s="288">
        <v>3316</v>
      </c>
      <c r="AH3317" s="94"/>
      <c r="AI3317" s="94"/>
      <c r="AJ3317" s="6"/>
    </row>
    <row r="3318" spans="1:36" s="3" customFormat="1" ht="12" customHeight="1" x14ac:dyDescent="0.25">
      <c r="A3318" s="573" t="s">
        <v>1568</v>
      </c>
      <c r="B3318" s="569">
        <v>8</v>
      </c>
      <c r="C3318" s="569">
        <v>6</v>
      </c>
      <c r="D3318" s="417" t="s">
        <v>3864</v>
      </c>
      <c r="E3318" s="316" t="s">
        <v>3865</v>
      </c>
      <c r="F3318" s="187">
        <v>37622</v>
      </c>
      <c r="G3318" s="188"/>
      <c r="H3318" s="188" t="str">
        <f>IF(J3318="Book","n/a","")</f>
        <v>n/a</v>
      </c>
      <c r="I3318" s="188">
        <v>150</v>
      </c>
      <c r="J3318" s="902" t="s">
        <v>6868</v>
      </c>
      <c r="K3318" s="162" t="s">
        <v>5124</v>
      </c>
      <c r="L3318" s="162" t="str">
        <f>IF(J3318="Book","n/a","")</f>
        <v>n/a</v>
      </c>
      <c r="M3318" s="162"/>
      <c r="N3318" s="162"/>
      <c r="O3318" s="162"/>
      <c r="P3318" s="178" t="s">
        <v>8861</v>
      </c>
      <c r="Q3318" s="162" t="s">
        <v>6055</v>
      </c>
      <c r="R3318" s="189" t="s">
        <v>2718</v>
      </c>
      <c r="S3318" s="366"/>
      <c r="T3318" s="178"/>
      <c r="U3318" s="178"/>
      <c r="V3318" s="178"/>
      <c r="W3318" s="316" t="s">
        <v>3865</v>
      </c>
      <c r="X3318" s="648" t="s">
        <v>12452</v>
      </c>
      <c r="Y3318" s="356"/>
      <c r="Z3318" s="272"/>
      <c r="AA3318" s="272"/>
      <c r="AB3318" s="34">
        <f t="shared" ca="1" si="78"/>
        <v>0.76973152057169925</v>
      </c>
      <c r="AC3318" s="814"/>
      <c r="AD3318" s="815" t="s">
        <v>15845</v>
      </c>
      <c r="AE3318" s="942" t="s">
        <v>12543</v>
      </c>
      <c r="AF3318" s="923">
        <f>IF(X3318=X3317,AF3317,0)+IF(ISNUMBER(I3318),IF(I3318&lt;1,I3318,I3318*VLOOKUP(J3318,Summary!$H$2:$I$9,2)),VLOOKUP(J3318,Summary!$J$2:$K$9,2)*IF(ISNUMBER(H3318),H3318,1))</f>
        <v>0.8867476851851851</v>
      </c>
      <c r="AG3318" s="291">
        <v>3317</v>
      </c>
      <c r="AH3318" s="94"/>
      <c r="AI3318" s="94"/>
      <c r="AJ3318" s="22"/>
    </row>
    <row r="3319" spans="1:36" s="2" customFormat="1" ht="12" customHeight="1" x14ac:dyDescent="0.25">
      <c r="A3319" s="571" t="s">
        <v>1568</v>
      </c>
      <c r="B3319" s="571">
        <v>8</v>
      </c>
      <c r="C3319" s="574">
        <v>9.02</v>
      </c>
      <c r="D3319" s="434" t="s">
        <v>3777</v>
      </c>
      <c r="E3319" s="324" t="s">
        <v>4348</v>
      </c>
      <c r="F3319" s="174">
        <v>38047</v>
      </c>
      <c r="G3319" s="174"/>
      <c r="H3319" s="176">
        <v>1</v>
      </c>
      <c r="I3319" s="176">
        <v>16</v>
      </c>
      <c r="J3319" s="900" t="s">
        <v>2755</v>
      </c>
      <c r="K3319" s="164" t="s">
        <v>6342</v>
      </c>
      <c r="L3319" s="164" t="s">
        <v>461</v>
      </c>
      <c r="M3319" s="164"/>
      <c r="N3319" s="164" t="s">
        <v>7381</v>
      </c>
      <c r="O3319" s="164"/>
      <c r="P3319" s="173" t="s">
        <v>3431</v>
      </c>
      <c r="Q3319" s="164" t="s">
        <v>3947</v>
      </c>
      <c r="R3319" s="179" t="s">
        <v>2723</v>
      </c>
      <c r="S3319" s="354"/>
      <c r="T3319" s="173"/>
      <c r="U3319" s="173"/>
      <c r="V3319" s="173"/>
      <c r="W3319" s="324" t="s">
        <v>4348</v>
      </c>
      <c r="X3319" s="656" t="s">
        <v>12452</v>
      </c>
      <c r="Y3319" s="363"/>
      <c r="Z3319" s="364">
        <v>999</v>
      </c>
      <c r="AA3319" s="364"/>
      <c r="AB3319" s="32">
        <f t="shared" ca="1" si="78"/>
        <v>0.80761361994825676</v>
      </c>
      <c r="AC3319" s="812"/>
      <c r="AD3319" s="763"/>
      <c r="AE3319" s="951"/>
      <c r="AF3319" s="921">
        <f>IF(X3319=X3318,AF3318,0)+IF(ISNUMBER(I3319),IF(I3319&lt;1,I3319,I3319*VLOOKUP(J3319,Summary!$H$2:$I$9,2)),VLOOKUP(J3319,Summary!$J$2:$K$9,2)*IF(ISNUMBER(H3319),H3319,1))</f>
        <v>0.89785879629629617</v>
      </c>
      <c r="AG3319" s="288">
        <v>3318</v>
      </c>
      <c r="AH3319" s="94"/>
      <c r="AI3319" s="94"/>
      <c r="AJ3319" s="22"/>
    </row>
    <row r="3320" spans="1:36" s="27" customFormat="1" ht="12" customHeight="1" x14ac:dyDescent="0.25">
      <c r="A3320" s="571" t="s">
        <v>1568</v>
      </c>
      <c r="B3320" s="571">
        <v>8</v>
      </c>
      <c r="C3320" s="574">
        <v>10.11</v>
      </c>
      <c r="D3320" s="434" t="s">
        <v>3778</v>
      </c>
      <c r="E3320" s="324" t="s">
        <v>4349</v>
      </c>
      <c r="F3320" s="174">
        <v>38139</v>
      </c>
      <c r="G3320" s="174"/>
      <c r="H3320" s="176">
        <v>1</v>
      </c>
      <c r="I3320" s="176">
        <v>20</v>
      </c>
      <c r="J3320" s="900" t="s">
        <v>2755</v>
      </c>
      <c r="K3320" s="164" t="s">
        <v>1956</v>
      </c>
      <c r="L3320" s="164" t="s">
        <v>461</v>
      </c>
      <c r="M3320" s="164"/>
      <c r="N3320" s="164" t="s">
        <v>4996</v>
      </c>
      <c r="O3320" s="164"/>
      <c r="P3320" s="173" t="s">
        <v>5669</v>
      </c>
      <c r="Q3320" s="164" t="s">
        <v>3947</v>
      </c>
      <c r="R3320" s="179" t="s">
        <v>2723</v>
      </c>
      <c r="S3320" s="354"/>
      <c r="T3320" s="173"/>
      <c r="U3320" s="173"/>
      <c r="V3320" s="173"/>
      <c r="W3320" s="324" t="s">
        <v>4349</v>
      </c>
      <c r="X3320" s="656" t="s">
        <v>12452</v>
      </c>
      <c r="Y3320" s="363"/>
      <c r="Z3320" s="364">
        <v>999</v>
      </c>
      <c r="AA3320" s="364"/>
      <c r="AB3320" s="32">
        <f t="shared" ca="1" si="78"/>
        <v>0.10335025138322906</v>
      </c>
      <c r="AC3320" s="812"/>
      <c r="AD3320" s="763"/>
      <c r="AE3320" s="951"/>
      <c r="AF3320" s="921">
        <f>IF(X3320=X3319,AF3319,0)+IF(ISNUMBER(I3320),IF(I3320&lt;1,I3320,I3320*VLOOKUP(J3320,Summary!$H$2:$I$9,2)),VLOOKUP(J3320,Summary!$J$2:$K$9,2)*IF(ISNUMBER(H3320),H3320,1))</f>
        <v>0.91174768518518501</v>
      </c>
      <c r="AG3320" s="288">
        <v>3319</v>
      </c>
      <c r="AH3320" s="94"/>
      <c r="AI3320" s="94"/>
      <c r="AJ3320" s="43"/>
    </row>
    <row r="3321" spans="1:36" s="27" customFormat="1" ht="12" customHeight="1" x14ac:dyDescent="0.25">
      <c r="A3321" s="571" t="s">
        <v>1568</v>
      </c>
      <c r="B3321" s="571">
        <v>8</v>
      </c>
      <c r="C3321" s="574">
        <v>19.13</v>
      </c>
      <c r="D3321" s="434" t="s">
        <v>3779</v>
      </c>
      <c r="E3321" s="324" t="s">
        <v>4350</v>
      </c>
      <c r="F3321" s="174">
        <v>38808</v>
      </c>
      <c r="G3321" s="174"/>
      <c r="H3321" s="176">
        <v>1</v>
      </c>
      <c r="I3321" s="176">
        <v>24</v>
      </c>
      <c r="J3321" s="900" t="s">
        <v>2755</v>
      </c>
      <c r="K3321" s="164" t="s">
        <v>5658</v>
      </c>
      <c r="L3321" s="164" t="s">
        <v>461</v>
      </c>
      <c r="M3321" s="164"/>
      <c r="N3321" s="164" t="s">
        <v>4552</v>
      </c>
      <c r="O3321" s="164"/>
      <c r="P3321" s="173" t="s">
        <v>5020</v>
      </c>
      <c r="Q3321" s="164" t="s">
        <v>3947</v>
      </c>
      <c r="R3321" s="179" t="s">
        <v>2723</v>
      </c>
      <c r="S3321" s="354"/>
      <c r="T3321" s="173"/>
      <c r="U3321" s="173"/>
      <c r="V3321" s="173"/>
      <c r="W3321" s="324" t="s">
        <v>4350</v>
      </c>
      <c r="X3321" s="656" t="s">
        <v>12452</v>
      </c>
      <c r="Y3321" s="363"/>
      <c r="Z3321" s="364"/>
      <c r="AA3321" s="364"/>
      <c r="AB3321" s="32">
        <f t="shared" ca="1" si="78"/>
        <v>0.66402886628727686</v>
      </c>
      <c r="AC3321" s="812"/>
      <c r="AD3321" s="763"/>
      <c r="AE3321" s="951"/>
      <c r="AF3321" s="921">
        <f>IF(X3321=X3320,AF3320,0)+IF(ISNUMBER(I3321),IF(I3321&lt;1,I3321,I3321*VLOOKUP(J3321,Summary!$H$2:$I$9,2)),VLOOKUP(J3321,Summary!$J$2:$K$9,2)*IF(ISNUMBER(H3321),H3321,1))</f>
        <v>0.92841435185185173</v>
      </c>
      <c r="AG3321" s="288">
        <v>3320</v>
      </c>
      <c r="AH3321" s="94"/>
      <c r="AI3321" s="94"/>
      <c r="AJ3321" s="43"/>
    </row>
    <row r="3322" spans="1:36" s="2" customFormat="1" ht="12" customHeight="1" x14ac:dyDescent="0.25">
      <c r="A3322" s="571" t="s">
        <v>1568</v>
      </c>
      <c r="B3322" s="571">
        <v>8</v>
      </c>
      <c r="C3322" s="574">
        <v>25.03</v>
      </c>
      <c r="D3322" s="434" t="s">
        <v>3783</v>
      </c>
      <c r="E3322" s="324" t="s">
        <v>4353</v>
      </c>
      <c r="F3322" s="174">
        <v>39417</v>
      </c>
      <c r="G3322" s="174"/>
      <c r="H3322" s="176">
        <v>1</v>
      </c>
      <c r="I3322" s="176">
        <v>11</v>
      </c>
      <c r="J3322" s="900" t="s">
        <v>2755</v>
      </c>
      <c r="K3322" s="164" t="s">
        <v>4132</v>
      </c>
      <c r="L3322" s="164" t="s">
        <v>461</v>
      </c>
      <c r="M3322" s="164"/>
      <c r="N3322" s="164" t="s">
        <v>5146</v>
      </c>
      <c r="O3322" s="164"/>
      <c r="P3322" s="173" t="s">
        <v>6701</v>
      </c>
      <c r="Q3322" s="164" t="s">
        <v>3947</v>
      </c>
      <c r="R3322" s="179" t="s">
        <v>2723</v>
      </c>
      <c r="S3322" s="354"/>
      <c r="T3322" s="173"/>
      <c r="U3322" s="173"/>
      <c r="V3322" s="173"/>
      <c r="W3322" s="324" t="s">
        <v>4353</v>
      </c>
      <c r="X3322" s="656" t="s">
        <v>12452</v>
      </c>
      <c r="Y3322" s="363"/>
      <c r="Z3322" s="364"/>
      <c r="AA3322" s="364"/>
      <c r="AB3322" s="32">
        <f t="shared" ca="1" si="78"/>
        <v>0.83950216450942294</v>
      </c>
      <c r="AC3322" s="812"/>
      <c r="AD3322" s="763"/>
      <c r="AE3322" s="951"/>
      <c r="AF3322" s="921">
        <f>IF(X3322=X3321,AF3321,0)+IF(ISNUMBER(I3322),IF(I3322&lt;1,I3322,I3322*VLOOKUP(J3322,Summary!$H$2:$I$9,2)),VLOOKUP(J3322,Summary!$J$2:$K$9,2)*IF(ISNUMBER(H3322),H3322,1))</f>
        <v>0.93605324074074059</v>
      </c>
      <c r="AG3322" s="288">
        <v>3321</v>
      </c>
      <c r="AH3322" s="119"/>
      <c r="AI3322" s="119"/>
      <c r="AJ3322" s="27"/>
    </row>
    <row r="3323" spans="1:36" s="22" customFormat="1" ht="12" customHeight="1" x14ac:dyDescent="0.25">
      <c r="A3323" s="571" t="s">
        <v>1568</v>
      </c>
      <c r="B3323" s="571">
        <v>8</v>
      </c>
      <c r="C3323" s="571">
        <v>29.14</v>
      </c>
      <c r="D3323" s="176" t="s">
        <v>2775</v>
      </c>
      <c r="E3323" s="313" t="s">
        <v>4102</v>
      </c>
      <c r="F3323" s="174">
        <v>39692</v>
      </c>
      <c r="G3323" s="174"/>
      <c r="H3323" s="176" t="s">
        <v>461</v>
      </c>
      <c r="I3323" s="176">
        <v>8</v>
      </c>
      <c r="J3323" s="900" t="s">
        <v>2755</v>
      </c>
      <c r="K3323" s="164" t="s">
        <v>4101</v>
      </c>
      <c r="L3323" s="164" t="s">
        <v>461</v>
      </c>
      <c r="M3323" s="164"/>
      <c r="N3323" s="164" t="s">
        <v>5664</v>
      </c>
      <c r="O3323" s="164"/>
      <c r="P3323" s="173" t="s">
        <v>6707</v>
      </c>
      <c r="Q3323" s="164" t="s">
        <v>3947</v>
      </c>
      <c r="R3323" s="177" t="s">
        <v>2723</v>
      </c>
      <c r="S3323" s="354"/>
      <c r="T3323" s="173"/>
      <c r="U3323" s="173"/>
      <c r="V3323" s="173"/>
      <c r="W3323" s="313" t="s">
        <v>4102</v>
      </c>
      <c r="X3323" s="645" t="s">
        <v>12452</v>
      </c>
      <c r="Y3323" s="354"/>
      <c r="Z3323" s="176"/>
      <c r="AA3323" s="176"/>
      <c r="AB3323" s="32">
        <f t="shared" ca="1" si="78"/>
        <v>0.52744510725564908</v>
      </c>
      <c r="AC3323" s="812"/>
      <c r="AD3323" s="763"/>
      <c r="AE3323" s="807"/>
      <c r="AF3323" s="921">
        <f>IF(X3323=X3322,AF3322,0)+IF(ISNUMBER(I3323),IF(I3323&lt;1,I3323,I3323*VLOOKUP(J3323,Summary!$H$2:$I$9,2)),VLOOKUP(J3323,Summary!$J$2:$K$9,2)*IF(ISNUMBER(H3323),H3323,1))</f>
        <v>0.94160879629629612</v>
      </c>
      <c r="AG3323" s="289">
        <v>3322</v>
      </c>
      <c r="AH3323" s="94"/>
      <c r="AI3323" s="94"/>
    </row>
    <row r="3324" spans="1:36" s="1" customFormat="1" ht="12" customHeight="1" x14ac:dyDescent="0.25">
      <c r="A3324" s="571" t="s">
        <v>1568</v>
      </c>
      <c r="B3324" s="571">
        <v>8</v>
      </c>
      <c r="C3324" s="571">
        <v>31.02</v>
      </c>
      <c r="D3324" s="176" t="s">
        <v>1803</v>
      </c>
      <c r="E3324" s="313" t="s">
        <v>13148</v>
      </c>
      <c r="F3324" s="174">
        <v>39873</v>
      </c>
      <c r="G3324" s="174"/>
      <c r="H3324" s="176" t="s">
        <v>461</v>
      </c>
      <c r="I3324" s="176">
        <v>11</v>
      </c>
      <c r="J3324" s="900" t="s">
        <v>2755</v>
      </c>
      <c r="K3324" s="164" t="s">
        <v>1643</v>
      </c>
      <c r="L3324" s="164" t="s">
        <v>461</v>
      </c>
      <c r="M3324" s="164"/>
      <c r="N3324" s="164" t="s">
        <v>1805</v>
      </c>
      <c r="O3324" s="164"/>
      <c r="P3324" s="173" t="s">
        <v>6699</v>
      </c>
      <c r="Q3324" s="164" t="s">
        <v>3947</v>
      </c>
      <c r="R3324" s="177" t="s">
        <v>2723</v>
      </c>
      <c r="S3324" s="354"/>
      <c r="T3324" s="173"/>
      <c r="U3324" s="173"/>
      <c r="V3324" s="173"/>
      <c r="W3324" s="313" t="s">
        <v>13148</v>
      </c>
      <c r="X3324" s="645" t="s">
        <v>12452</v>
      </c>
      <c r="Y3324" s="354"/>
      <c r="Z3324" s="176"/>
      <c r="AA3324" s="176"/>
      <c r="AB3324" s="32">
        <f t="shared" ca="1" si="78"/>
        <v>0.3740872049998557</v>
      </c>
      <c r="AC3324" s="812"/>
      <c r="AD3324" s="763"/>
      <c r="AE3324" s="807"/>
      <c r="AF3324" s="921">
        <f>IF(X3324=X3323,AF3323,0)+IF(ISNUMBER(I3324),IF(I3324&lt;1,I3324,I3324*VLOOKUP(J3324,Summary!$H$2:$I$9,2)),VLOOKUP(J3324,Summary!$J$2:$K$9,2)*IF(ISNUMBER(H3324),H3324,1))</f>
        <v>0.94924768518518499</v>
      </c>
      <c r="AG3324" s="289">
        <v>3323</v>
      </c>
      <c r="AH3324" s="94"/>
      <c r="AI3324" s="94"/>
      <c r="AJ3324" s="2"/>
    </row>
    <row r="3325" spans="1:36" s="27" customFormat="1" ht="12" customHeight="1" x14ac:dyDescent="0.25">
      <c r="A3325" s="570" t="s">
        <v>1568</v>
      </c>
      <c r="B3325" s="570">
        <v>8</v>
      </c>
      <c r="C3325" s="570">
        <v>8</v>
      </c>
      <c r="D3325" s="192" t="s">
        <v>12648</v>
      </c>
      <c r="E3325" s="317" t="s">
        <v>12649</v>
      </c>
      <c r="F3325" s="209">
        <v>42985</v>
      </c>
      <c r="G3325" s="192"/>
      <c r="H3325" s="192" t="s">
        <v>461</v>
      </c>
      <c r="I3325" s="192"/>
      <c r="J3325" s="903" t="s">
        <v>2755</v>
      </c>
      <c r="K3325" s="194" t="s">
        <v>5658</v>
      </c>
      <c r="L3325" s="877" t="s">
        <v>12629</v>
      </c>
      <c r="M3325" s="194" t="s">
        <v>12643</v>
      </c>
      <c r="N3325" s="194"/>
      <c r="O3325" s="194"/>
      <c r="P3325" s="190" t="s">
        <v>12632</v>
      </c>
      <c r="Q3325" s="194" t="s">
        <v>3954</v>
      </c>
      <c r="R3325" s="193" t="s">
        <v>12631</v>
      </c>
      <c r="S3325" s="357"/>
      <c r="T3325" s="190"/>
      <c r="U3325" s="190"/>
      <c r="V3325" s="190"/>
      <c r="W3325" s="317" t="s">
        <v>12649</v>
      </c>
      <c r="X3325" s="649" t="s">
        <v>12452</v>
      </c>
      <c r="Y3325" s="357"/>
      <c r="Z3325" s="192"/>
      <c r="AA3325" s="192"/>
      <c r="AB3325" s="37">
        <f t="shared" ca="1" si="78"/>
        <v>0.58877932916740849</v>
      </c>
      <c r="AC3325" s="816"/>
      <c r="AD3325" s="817"/>
      <c r="AE3325" s="943"/>
      <c r="AF3325" s="924">
        <f>IF(X3325=X3324,AF3324,0)+IF(ISNUMBER(I3325),IF(I3325&lt;1,I3325,I3325*VLOOKUP(J3325,Summary!$H$2:$I$9,2)),VLOOKUP(J3325,Summary!$J$2:$K$9,2)*IF(ISNUMBER(H3325),H3325,1))</f>
        <v>0.96660879629629615</v>
      </c>
      <c r="AG3325" s="292">
        <v>3324</v>
      </c>
      <c r="AH3325" s="119"/>
      <c r="AI3325" s="119"/>
    </row>
    <row r="3326" spans="1:36" s="2" customFormat="1" ht="12" customHeight="1" x14ac:dyDescent="0.25">
      <c r="A3326" s="573" t="s">
        <v>1568</v>
      </c>
      <c r="B3326" s="573">
        <v>8</v>
      </c>
      <c r="C3326" s="573">
        <v>123.1</v>
      </c>
      <c r="D3326" s="407" t="s">
        <v>3866</v>
      </c>
      <c r="E3326" s="315" t="s">
        <v>3867</v>
      </c>
      <c r="F3326" s="169">
        <v>39995</v>
      </c>
      <c r="G3326" s="170"/>
      <c r="H3326" s="170">
        <v>1</v>
      </c>
      <c r="I3326" s="746">
        <f>TIME(0,37,31)</f>
        <v>2.6053240740740738E-2</v>
      </c>
      <c r="J3326" s="899" t="s">
        <v>4706</v>
      </c>
      <c r="K3326" s="167" t="s">
        <v>2311</v>
      </c>
      <c r="L3326" s="167" t="s">
        <v>4549</v>
      </c>
      <c r="M3326" s="167"/>
      <c r="N3326" s="167"/>
      <c r="O3326" s="167"/>
      <c r="P3326" s="168"/>
      <c r="Q3326" s="167" t="s">
        <v>3947</v>
      </c>
      <c r="R3326" s="172" t="s">
        <v>3146</v>
      </c>
      <c r="S3326" s="388"/>
      <c r="T3326" s="168" t="s">
        <v>2611</v>
      </c>
      <c r="U3326" s="168"/>
      <c r="V3326" s="168"/>
      <c r="W3326" s="312" t="s">
        <v>9574</v>
      </c>
      <c r="X3326" s="647" t="s">
        <v>12452</v>
      </c>
      <c r="Y3326" s="352" t="s">
        <v>5398</v>
      </c>
      <c r="Z3326" s="353">
        <v>258</v>
      </c>
      <c r="AA3326" s="353">
        <v>5.5</v>
      </c>
      <c r="AB3326" s="31">
        <f t="shared" ca="1" si="78"/>
        <v>0.93730157697297733</v>
      </c>
      <c r="AC3326" s="810"/>
      <c r="AD3326" s="825" t="s">
        <v>16300</v>
      </c>
      <c r="AE3326" s="940" t="s">
        <v>12543</v>
      </c>
      <c r="AF3326" s="920">
        <f>IF(X3326=X3325,AF3325,0)+IF(ISNUMBER(I3326),IF(I3326&lt;1,I3326,I3326*VLOOKUP(J3326,Summary!$H$2:$I$9,2)),VLOOKUP(J3326,Summary!$J$2:$K$9,2)*IF(ISNUMBER(H3326),H3326,1))</f>
        <v>0.99266203703703693</v>
      </c>
      <c r="AG3326" s="287">
        <v>3325</v>
      </c>
      <c r="AH3326" s="94"/>
      <c r="AI3326" s="94"/>
      <c r="AJ3326" s="3"/>
    </row>
    <row r="3327" spans="1:36" s="1" customFormat="1" ht="12" customHeight="1" x14ac:dyDescent="0.25">
      <c r="A3327" s="571" t="s">
        <v>1568</v>
      </c>
      <c r="B3327" s="571">
        <v>8</v>
      </c>
      <c r="C3327" s="571">
        <v>7.09</v>
      </c>
      <c r="D3327" s="434" t="s">
        <v>4176</v>
      </c>
      <c r="E3327" s="324" t="s">
        <v>4175</v>
      </c>
      <c r="F3327" s="174">
        <v>37865</v>
      </c>
      <c r="G3327" s="174"/>
      <c r="H3327" s="176">
        <v>1</v>
      </c>
      <c r="I3327" s="176">
        <v>23</v>
      </c>
      <c r="J3327" s="900" t="s">
        <v>2755</v>
      </c>
      <c r="K3327" s="164" t="s">
        <v>543</v>
      </c>
      <c r="L3327" s="164" t="s">
        <v>461</v>
      </c>
      <c r="M3327" s="164"/>
      <c r="N3327" s="164" t="s">
        <v>4552</v>
      </c>
      <c r="O3327" s="164"/>
      <c r="P3327" s="173" t="s">
        <v>6281</v>
      </c>
      <c r="Q3327" s="164" t="s">
        <v>3947</v>
      </c>
      <c r="R3327" s="179" t="s">
        <v>2723</v>
      </c>
      <c r="S3327" s="354"/>
      <c r="T3327" s="173"/>
      <c r="U3327" s="173"/>
      <c r="V3327" s="173"/>
      <c r="W3327" s="324" t="s">
        <v>4175</v>
      </c>
      <c r="X3327" s="656" t="s">
        <v>12452</v>
      </c>
      <c r="Y3327" s="363"/>
      <c r="Z3327" s="364"/>
      <c r="AA3327" s="364"/>
      <c r="AB3327" s="32">
        <f t="shared" ca="1" si="78"/>
        <v>0.24932509626554067</v>
      </c>
      <c r="AC3327" s="812"/>
      <c r="AD3327" s="763"/>
      <c r="AE3327" s="951"/>
      <c r="AF3327" s="921">
        <f>IF(X3327=X3326,AF3326,0)+IF(ISNUMBER(I3327),IF(I3327&lt;1,I3327,I3327*VLOOKUP(J3327,Summary!$H$2:$I$9,2)),VLOOKUP(J3327,Summary!$J$2:$K$9,2)*IF(ISNUMBER(H3327),H3327,1))</f>
        <v>1.0086342592592592</v>
      </c>
      <c r="AG3327" s="288">
        <v>3326</v>
      </c>
      <c r="AH3327" s="94"/>
      <c r="AI3327" s="94"/>
      <c r="AJ3327" s="43"/>
    </row>
    <row r="3328" spans="1:36" s="22" customFormat="1" ht="12" customHeight="1" x14ac:dyDescent="0.25">
      <c r="A3328" s="571" t="s">
        <v>5063</v>
      </c>
      <c r="B3328" s="571">
        <v>8</v>
      </c>
      <c r="C3328" s="574">
        <v>27.13</v>
      </c>
      <c r="D3328" s="434" t="s">
        <v>3784</v>
      </c>
      <c r="E3328" s="324" t="s">
        <v>3010</v>
      </c>
      <c r="F3328" s="174">
        <v>39569</v>
      </c>
      <c r="G3328" s="174"/>
      <c r="H3328" s="176" t="s">
        <v>461</v>
      </c>
      <c r="I3328" s="176">
        <v>5</v>
      </c>
      <c r="J3328" s="900" t="s">
        <v>2755</v>
      </c>
      <c r="K3328" s="164" t="s">
        <v>2977</v>
      </c>
      <c r="L3328" s="164" t="s">
        <v>461</v>
      </c>
      <c r="M3328" s="164"/>
      <c r="N3328" s="164" t="s">
        <v>7621</v>
      </c>
      <c r="O3328" s="164"/>
      <c r="P3328" s="173" t="s">
        <v>6705</v>
      </c>
      <c r="Q3328" s="164" t="s">
        <v>3947</v>
      </c>
      <c r="R3328" s="179" t="s">
        <v>2723</v>
      </c>
      <c r="S3328" s="354"/>
      <c r="T3328" s="173"/>
      <c r="U3328" s="173"/>
      <c r="V3328" s="173"/>
      <c r="W3328" s="324" t="s">
        <v>3010</v>
      </c>
      <c r="X3328" s="656" t="s">
        <v>12456</v>
      </c>
      <c r="Y3328" s="363"/>
      <c r="Z3328" s="364"/>
      <c r="AA3328" s="364"/>
      <c r="AB3328" s="32">
        <f t="shared" ca="1" si="78"/>
        <v>0.10510894558930017</v>
      </c>
      <c r="AC3328" s="812"/>
      <c r="AD3328" s="763"/>
      <c r="AE3328" s="951"/>
      <c r="AF3328" s="921">
        <f>IF(X3328=X3327,AF3327,0)+IF(ISNUMBER(I3328),IF(I3328&lt;1,I3328,I3328*VLOOKUP(J3328,Summary!$H$2:$I$9,2)),VLOOKUP(J3328,Summary!$J$2:$K$9,2)*IF(ISNUMBER(H3328),H3328,1))</f>
        <v>3.4722222222222225E-3</v>
      </c>
      <c r="AG3328" s="288">
        <v>3327</v>
      </c>
      <c r="AH3328" s="94"/>
      <c r="AI3328" s="94"/>
    </row>
    <row r="3329" spans="1:36" s="22" customFormat="1" ht="12" customHeight="1" x14ac:dyDescent="0.25">
      <c r="A3329" s="570" t="s">
        <v>5063</v>
      </c>
      <c r="B3329" s="570">
        <v>8</v>
      </c>
      <c r="C3329" s="576">
        <v>8.0299999999999994</v>
      </c>
      <c r="D3329" s="192" t="s">
        <v>14304</v>
      </c>
      <c r="E3329" s="317" t="s">
        <v>14305</v>
      </c>
      <c r="F3329" s="209">
        <v>43186</v>
      </c>
      <c r="G3329" s="209"/>
      <c r="H3329" s="192" t="s">
        <v>461</v>
      </c>
      <c r="I3329" s="753"/>
      <c r="J3329" s="903" t="s">
        <v>2755</v>
      </c>
      <c r="K3329" s="194" t="s">
        <v>6353</v>
      </c>
      <c r="L3329" s="194" t="s">
        <v>5662</v>
      </c>
      <c r="M3329" s="194" t="s">
        <v>14306</v>
      </c>
      <c r="N3329" s="194"/>
      <c r="O3329" s="194"/>
      <c r="P3329" s="190" t="s">
        <v>14307</v>
      </c>
      <c r="Q3329" s="194" t="s">
        <v>3947</v>
      </c>
      <c r="R3329" s="193" t="s">
        <v>2722</v>
      </c>
      <c r="S3329" s="357"/>
      <c r="T3329" s="190" t="s">
        <v>14302</v>
      </c>
      <c r="U3329" s="190" t="s">
        <v>14303</v>
      </c>
      <c r="V3329" s="190"/>
      <c r="W3329" s="317" t="s">
        <v>14305</v>
      </c>
      <c r="X3329" s="649" t="s">
        <v>12456</v>
      </c>
      <c r="Y3329" s="357"/>
      <c r="Z3329" s="192"/>
      <c r="AA3329" s="192"/>
      <c r="AB3329" s="37">
        <f t="shared" ca="1" si="78"/>
        <v>0.67121285890810756</v>
      </c>
      <c r="AC3329" s="816"/>
      <c r="AD3329" s="817"/>
      <c r="AE3329" s="943"/>
      <c r="AF3329" s="924">
        <f>IF(X3329=X3328,AF3328,0)+IF(ISNUMBER(I3329),IF(I3329&lt;1,I3329,I3329*VLOOKUP(J3329,Summary!$H$2:$I$9,2)),VLOOKUP(J3329,Summary!$J$2:$K$9,2)*IF(ISNUMBER(H3329),H3329,1))</f>
        <v>2.0833333333333336E-2</v>
      </c>
      <c r="AG3329" s="292">
        <v>3328</v>
      </c>
      <c r="AH3329" s="94"/>
      <c r="AI3329" s="94"/>
    </row>
    <row r="3330" spans="1:36" s="22" customFormat="1" ht="12" customHeight="1" x14ac:dyDescent="0.25">
      <c r="A3330" s="569" t="s">
        <v>5063</v>
      </c>
      <c r="B3330" s="569">
        <v>8</v>
      </c>
      <c r="C3330" s="569">
        <v>12</v>
      </c>
      <c r="D3330" s="417" t="s">
        <v>2825</v>
      </c>
      <c r="E3330" s="316" t="s">
        <v>2826</v>
      </c>
      <c r="F3330" s="187">
        <v>37926</v>
      </c>
      <c r="G3330" s="188"/>
      <c r="H3330" s="188" t="str">
        <f>IF(J3330="Book","n/a","")</f>
        <v>n/a</v>
      </c>
      <c r="I3330" s="188">
        <v>120</v>
      </c>
      <c r="J3330" s="902" t="s">
        <v>6868</v>
      </c>
      <c r="K3330" s="162" t="s">
        <v>5125</v>
      </c>
      <c r="L3330" s="162" t="str">
        <f>IF(J3330="Book","n/a","")</f>
        <v>n/a</v>
      </c>
      <c r="M3330" s="162"/>
      <c r="N3330" s="162"/>
      <c r="O3330" s="162"/>
      <c r="P3330" s="178" t="s">
        <v>8867</v>
      </c>
      <c r="Q3330" s="162" t="s">
        <v>6055</v>
      </c>
      <c r="R3330" s="189" t="s">
        <v>2718</v>
      </c>
      <c r="S3330" s="366"/>
      <c r="T3330" s="178"/>
      <c r="U3330" s="178"/>
      <c r="V3330" s="178"/>
      <c r="W3330" s="316" t="s">
        <v>2826</v>
      </c>
      <c r="X3330" s="648" t="s">
        <v>12456</v>
      </c>
      <c r="Y3330" s="356"/>
      <c r="Z3330" s="272"/>
      <c r="AA3330" s="272"/>
      <c r="AB3330" s="34">
        <f t="shared" ref="AB3330:AB3393" ca="1" si="79">RAND()</f>
        <v>0.80267985524150565</v>
      </c>
      <c r="AC3330" s="814"/>
      <c r="AD3330" s="815" t="s">
        <v>16480</v>
      </c>
      <c r="AE3330" s="942" t="s">
        <v>12543</v>
      </c>
      <c r="AF3330" s="923">
        <f>IF(X3330=X3329,AF3329,0)+IF(ISNUMBER(I3330),IF(I3330&lt;1,I3330,I3330*VLOOKUP(J3330,Summary!$H$2:$I$9,2)),VLOOKUP(J3330,Summary!$J$2:$K$9,2)*IF(ISNUMBER(H3330),H3330,1))</f>
        <v>0.10416666666666669</v>
      </c>
      <c r="AG3330" s="291">
        <v>3329</v>
      </c>
      <c r="AH3330" s="94"/>
      <c r="AI3330" s="94"/>
    </row>
    <row r="3331" spans="1:36" s="22" customFormat="1" ht="12" customHeight="1" x14ac:dyDescent="0.2">
      <c r="A3331" s="572" t="s">
        <v>4357</v>
      </c>
      <c r="B3331" s="572">
        <v>8</v>
      </c>
      <c r="C3331" s="572">
        <v>82</v>
      </c>
      <c r="D3331" s="428" t="s">
        <v>6006</v>
      </c>
      <c r="E3331" s="325" t="s">
        <v>6901</v>
      </c>
      <c r="F3331" s="184">
        <v>35361</v>
      </c>
      <c r="G3331" s="184">
        <v>35445</v>
      </c>
      <c r="H3331" s="185">
        <v>4</v>
      </c>
      <c r="I3331" s="185">
        <v>29</v>
      </c>
      <c r="J3331" s="901" t="s">
        <v>1796</v>
      </c>
      <c r="K3331" s="158" t="s">
        <v>7374</v>
      </c>
      <c r="L3331" s="158" t="s">
        <v>6007</v>
      </c>
      <c r="M3331" s="158"/>
      <c r="N3331" s="158" t="s">
        <v>7685</v>
      </c>
      <c r="O3331" s="158"/>
      <c r="P3331" s="182" t="s">
        <v>461</v>
      </c>
      <c r="Q3331" s="158" t="s">
        <v>4062</v>
      </c>
      <c r="R3331" s="207" t="s">
        <v>5266</v>
      </c>
      <c r="S3331" s="355"/>
      <c r="T3331" s="182" t="s">
        <v>7323</v>
      </c>
      <c r="U3331" s="182"/>
      <c r="V3331" s="182"/>
      <c r="W3331" s="321"/>
      <c r="X3331" s="653" t="s">
        <v>12456</v>
      </c>
      <c r="Y3331" s="361"/>
      <c r="Z3331" s="362"/>
      <c r="AA3331" s="362"/>
      <c r="AB3331" s="33">
        <f t="shared" ca="1" si="79"/>
        <v>0.15328781598261054</v>
      </c>
      <c r="AC3331" s="813"/>
      <c r="AD3331" s="211" t="s">
        <v>16053</v>
      </c>
      <c r="AE3331" s="949"/>
      <c r="AF3331" s="922">
        <f>IF(X3331=X3330,AF3330,0)+IF(ISNUMBER(I3331),IF(I3331&lt;1,I3331,I3331*VLOOKUP(J3331,Summary!$H$2:$I$9,2)),VLOOKUP(J3331,Summary!$J$2:$K$9,2)*IF(ISNUMBER(H3331),H3331,1))</f>
        <v>0.11423611111111114</v>
      </c>
      <c r="AG3331" s="295">
        <v>3330</v>
      </c>
      <c r="AH3331" s="94"/>
      <c r="AI3331" s="94"/>
    </row>
    <row r="3332" spans="1:36" s="22" customFormat="1" ht="12" customHeight="1" x14ac:dyDescent="0.2">
      <c r="A3332" s="572" t="s">
        <v>4357</v>
      </c>
      <c r="B3332" s="572">
        <v>8</v>
      </c>
      <c r="C3332" s="572">
        <v>83</v>
      </c>
      <c r="D3332" s="428" t="s">
        <v>6008</v>
      </c>
      <c r="E3332" s="325" t="s">
        <v>6902</v>
      </c>
      <c r="F3332" s="184">
        <v>35473</v>
      </c>
      <c r="G3332" s="184">
        <v>35501</v>
      </c>
      <c r="H3332" s="185">
        <v>2</v>
      </c>
      <c r="I3332" s="185">
        <v>14</v>
      </c>
      <c r="J3332" s="901" t="s">
        <v>1796</v>
      </c>
      <c r="K3332" s="158" t="s">
        <v>7374</v>
      </c>
      <c r="L3332" s="158" t="s">
        <v>6007</v>
      </c>
      <c r="M3332" s="158"/>
      <c r="N3332" s="158" t="s">
        <v>7685</v>
      </c>
      <c r="O3332" s="158"/>
      <c r="P3332" s="182" t="s">
        <v>461</v>
      </c>
      <c r="Q3332" s="158" t="s">
        <v>4062</v>
      </c>
      <c r="R3332" s="207" t="s">
        <v>5266</v>
      </c>
      <c r="S3332" s="355"/>
      <c r="T3332" s="182" t="s">
        <v>7323</v>
      </c>
      <c r="U3332" s="182"/>
      <c r="V3332" s="182"/>
      <c r="W3332" s="321"/>
      <c r="X3332" s="653" t="s">
        <v>12456</v>
      </c>
      <c r="Y3332" s="361"/>
      <c r="Z3332" s="362"/>
      <c r="AA3332" s="362"/>
      <c r="AB3332" s="33">
        <f t="shared" ca="1" si="79"/>
        <v>2.4359394575202309E-2</v>
      </c>
      <c r="AC3332" s="813"/>
      <c r="AD3332" s="211" t="s">
        <v>16427</v>
      </c>
      <c r="AE3332" s="949" t="s">
        <v>12543</v>
      </c>
      <c r="AF3332" s="922">
        <f>IF(X3332=X3331,AF3331,0)+IF(ISNUMBER(I3332),IF(I3332&lt;1,I3332,I3332*VLOOKUP(J3332,Summary!$H$2:$I$9,2)),VLOOKUP(J3332,Summary!$J$2:$K$9,2)*IF(ISNUMBER(H3332),H3332,1))</f>
        <v>0.11909722222222224</v>
      </c>
      <c r="AG3332" s="295">
        <v>3331</v>
      </c>
      <c r="AH3332" s="94"/>
      <c r="AI3332" s="94"/>
    </row>
    <row r="3333" spans="1:36" s="22" customFormat="1" ht="12" customHeight="1" x14ac:dyDescent="0.2">
      <c r="A3333" s="572" t="s">
        <v>4357</v>
      </c>
      <c r="B3333" s="572">
        <v>8</v>
      </c>
      <c r="C3333" s="572">
        <v>84</v>
      </c>
      <c r="D3333" s="428" t="s">
        <v>6009</v>
      </c>
      <c r="E3333" s="325" t="s">
        <v>6903</v>
      </c>
      <c r="F3333" s="184">
        <v>35529</v>
      </c>
      <c r="G3333" s="184"/>
      <c r="H3333" s="185">
        <v>1</v>
      </c>
      <c r="I3333" s="185">
        <v>8</v>
      </c>
      <c r="J3333" s="901" t="s">
        <v>1796</v>
      </c>
      <c r="K3333" s="158" t="s">
        <v>7374</v>
      </c>
      <c r="L3333" s="158" t="s">
        <v>5902</v>
      </c>
      <c r="M3333" s="158"/>
      <c r="N3333" s="158" t="s">
        <v>7685</v>
      </c>
      <c r="O3333" s="158"/>
      <c r="P3333" s="182" t="s">
        <v>461</v>
      </c>
      <c r="Q3333" s="158" t="s">
        <v>4062</v>
      </c>
      <c r="R3333" s="207" t="s">
        <v>5266</v>
      </c>
      <c r="S3333" s="355"/>
      <c r="T3333" s="182" t="s">
        <v>7323</v>
      </c>
      <c r="U3333" s="182"/>
      <c r="V3333" s="182"/>
      <c r="W3333" s="325" t="s">
        <v>6903</v>
      </c>
      <c r="X3333" s="657" t="s">
        <v>12456</v>
      </c>
      <c r="Y3333" s="361"/>
      <c r="Z3333" s="362"/>
      <c r="AA3333" s="362"/>
      <c r="AB3333" s="33">
        <f t="shared" ca="1" si="79"/>
        <v>0.39018263475890347</v>
      </c>
      <c r="AC3333" s="813"/>
      <c r="AD3333" s="211"/>
      <c r="AE3333" s="949"/>
      <c r="AF3333" s="922">
        <f>IF(X3333=X3332,AF3332,0)+IF(ISNUMBER(I3333),IF(I3333&lt;1,I3333,I3333*VLOOKUP(J3333,Summary!$H$2:$I$9,2)),VLOOKUP(J3333,Summary!$J$2:$K$9,2)*IF(ISNUMBER(H3333),H3333,1))</f>
        <v>0.12187500000000002</v>
      </c>
      <c r="AG3333" s="295">
        <v>3332</v>
      </c>
      <c r="AH3333" s="94"/>
      <c r="AI3333" s="94"/>
    </row>
    <row r="3334" spans="1:36" s="22" customFormat="1" ht="12" customHeight="1" x14ac:dyDescent="0.25">
      <c r="A3334" s="572" t="s">
        <v>4357</v>
      </c>
      <c r="B3334" s="572">
        <v>8</v>
      </c>
      <c r="C3334" s="572">
        <v>85</v>
      </c>
      <c r="D3334" s="428" t="s">
        <v>5904</v>
      </c>
      <c r="E3334" s="325" t="s">
        <v>6904</v>
      </c>
      <c r="F3334" s="184">
        <v>35557</v>
      </c>
      <c r="G3334" s="184">
        <v>35669</v>
      </c>
      <c r="H3334" s="185">
        <v>5</v>
      </c>
      <c r="I3334" s="185">
        <v>37</v>
      </c>
      <c r="J3334" s="901" t="s">
        <v>1796</v>
      </c>
      <c r="K3334" s="158" t="s">
        <v>7374</v>
      </c>
      <c r="L3334" s="158" t="s">
        <v>5903</v>
      </c>
      <c r="M3334" s="158"/>
      <c r="N3334" s="158" t="s">
        <v>7685</v>
      </c>
      <c r="O3334" s="158"/>
      <c r="P3334" s="182" t="s">
        <v>461</v>
      </c>
      <c r="Q3334" s="158" t="s">
        <v>4062</v>
      </c>
      <c r="R3334" s="207" t="s">
        <v>5266</v>
      </c>
      <c r="S3334" s="355"/>
      <c r="T3334" s="182" t="s">
        <v>7323</v>
      </c>
      <c r="U3334" s="182"/>
      <c r="V3334" s="182"/>
      <c r="W3334" s="321"/>
      <c r="X3334" s="653" t="s">
        <v>12456</v>
      </c>
      <c r="Y3334" s="361"/>
      <c r="Z3334" s="362"/>
      <c r="AA3334" s="362"/>
      <c r="AB3334" s="33">
        <f t="shared" ca="1" si="79"/>
        <v>5.2195839686582035E-2</v>
      </c>
      <c r="AC3334" s="813"/>
      <c r="AD3334" s="211" t="s">
        <v>16431</v>
      </c>
      <c r="AE3334" s="949" t="s">
        <v>12543</v>
      </c>
      <c r="AF3334" s="922">
        <f>IF(X3334=X3333,AF3333,0)+IF(ISNUMBER(I3334),IF(I3334&lt;1,I3334,I3334*VLOOKUP(J3334,Summary!$H$2:$I$9,2)),VLOOKUP(J3334,Summary!$J$2:$K$9,2)*IF(ISNUMBER(H3334),H3334,1))</f>
        <v>0.13472222222222224</v>
      </c>
      <c r="AG3334" s="295">
        <v>3333</v>
      </c>
      <c r="AH3334" s="94"/>
      <c r="AI3334" s="94"/>
      <c r="AJ3334" s="1"/>
    </row>
    <row r="3335" spans="1:36" s="2" customFormat="1" ht="12" customHeight="1" x14ac:dyDescent="0.25">
      <c r="A3335" s="572" t="s">
        <v>4357</v>
      </c>
      <c r="B3335" s="572">
        <v>8</v>
      </c>
      <c r="C3335" s="572">
        <v>86</v>
      </c>
      <c r="D3335" s="428" t="s">
        <v>5905</v>
      </c>
      <c r="E3335" s="325" t="s">
        <v>6905</v>
      </c>
      <c r="F3335" s="184">
        <v>35697</v>
      </c>
      <c r="G3335" s="184"/>
      <c r="H3335" s="185">
        <v>1</v>
      </c>
      <c r="I3335" s="185">
        <v>7</v>
      </c>
      <c r="J3335" s="901" t="s">
        <v>1796</v>
      </c>
      <c r="K3335" s="158" t="s">
        <v>5251</v>
      </c>
      <c r="L3335" s="158" t="s">
        <v>3551</v>
      </c>
      <c r="M3335" s="158"/>
      <c r="N3335" s="158" t="s">
        <v>5906</v>
      </c>
      <c r="O3335" s="158"/>
      <c r="P3335" s="182" t="s">
        <v>461</v>
      </c>
      <c r="Q3335" s="158" t="s">
        <v>4062</v>
      </c>
      <c r="R3335" s="207" t="s">
        <v>5266</v>
      </c>
      <c r="S3335" s="355"/>
      <c r="T3335" s="182" t="s">
        <v>7323</v>
      </c>
      <c r="U3335" s="182"/>
      <c r="V3335" s="182"/>
      <c r="W3335" s="325" t="s">
        <v>6905</v>
      </c>
      <c r="X3335" s="657" t="s">
        <v>12456</v>
      </c>
      <c r="Y3335" s="361"/>
      <c r="Z3335" s="362"/>
      <c r="AA3335" s="362"/>
      <c r="AB3335" s="33">
        <f t="shared" ca="1" si="79"/>
        <v>0.52229215869877421</v>
      </c>
      <c r="AC3335" s="813"/>
      <c r="AD3335" s="211" t="s">
        <v>16307</v>
      </c>
      <c r="AE3335" s="949"/>
      <c r="AF3335" s="922">
        <f>IF(X3335=X3334,AF3334,0)+IF(ISNUMBER(I3335),IF(I3335&lt;1,I3335,I3335*VLOOKUP(J3335,Summary!$H$2:$I$9,2)),VLOOKUP(J3335,Summary!$J$2:$K$9,2)*IF(ISNUMBER(H3335),H3335,1))</f>
        <v>0.13715277777777779</v>
      </c>
      <c r="AG3335" s="295">
        <v>3334</v>
      </c>
      <c r="AH3335" s="94"/>
      <c r="AI3335" s="94"/>
      <c r="AJ3335" s="1"/>
    </row>
    <row r="3336" spans="1:36" s="2" customFormat="1" ht="12" customHeight="1" x14ac:dyDescent="0.25">
      <c r="A3336" s="573" t="s">
        <v>4357</v>
      </c>
      <c r="B3336" s="573">
        <v>8</v>
      </c>
      <c r="C3336" s="573">
        <v>123.3</v>
      </c>
      <c r="D3336" s="407" t="s">
        <v>2827</v>
      </c>
      <c r="E3336" s="315" t="s">
        <v>2828</v>
      </c>
      <c r="F3336" s="169">
        <v>39995</v>
      </c>
      <c r="G3336" s="170"/>
      <c r="H3336" s="170">
        <v>1</v>
      </c>
      <c r="I3336" s="746">
        <f>TIME(0,32,38)</f>
        <v>2.2662037037037036E-2</v>
      </c>
      <c r="J3336" s="899" t="s">
        <v>4706</v>
      </c>
      <c r="K3336" s="167" t="s">
        <v>7374</v>
      </c>
      <c r="L3336" s="167" t="s">
        <v>4549</v>
      </c>
      <c r="M3336" s="167"/>
      <c r="N3336" s="167"/>
      <c r="O3336" s="167"/>
      <c r="P3336" s="168"/>
      <c r="Q3336" s="167" t="s">
        <v>3947</v>
      </c>
      <c r="R3336" s="172" t="s">
        <v>3146</v>
      </c>
      <c r="S3336" s="388"/>
      <c r="T3336" s="168" t="s">
        <v>7323</v>
      </c>
      <c r="U3336" s="168"/>
      <c r="V3336" s="168"/>
      <c r="W3336" s="312" t="s">
        <v>9576</v>
      </c>
      <c r="X3336" s="644" t="s">
        <v>12456</v>
      </c>
      <c r="Y3336" s="352" t="s">
        <v>5398</v>
      </c>
      <c r="Z3336" s="353">
        <v>124</v>
      </c>
      <c r="AA3336" s="353">
        <v>7</v>
      </c>
      <c r="AB3336" s="31">
        <f t="shared" ca="1" si="79"/>
        <v>0.3613960805043448</v>
      </c>
      <c r="AC3336" s="810"/>
      <c r="AD3336" s="811" t="s">
        <v>16028</v>
      </c>
      <c r="AE3336" s="940"/>
      <c r="AF3336" s="920">
        <f>IF(X3336=X3335,AF3335,0)+IF(ISNUMBER(I3336),IF(I3336&lt;1,I3336,I3336*VLOOKUP(J3336,Summary!$H$2:$I$9,2)),VLOOKUP(J3336,Summary!$J$2:$K$9,2)*IF(ISNUMBER(H3336),H3336,1))</f>
        <v>0.15981481481481483</v>
      </c>
      <c r="AG3336" s="287">
        <v>3335</v>
      </c>
      <c r="AH3336" s="94"/>
      <c r="AI3336" s="94"/>
      <c r="AJ3336" s="3"/>
    </row>
    <row r="3337" spans="1:36" s="2" customFormat="1" ht="12" customHeight="1" x14ac:dyDescent="0.25">
      <c r="A3337" s="572" t="s">
        <v>4357</v>
      </c>
      <c r="B3337" s="572">
        <v>8</v>
      </c>
      <c r="C3337" s="572">
        <v>87</v>
      </c>
      <c r="D3337" s="428" t="s">
        <v>5907</v>
      </c>
      <c r="E3337" s="325" t="s">
        <v>7510</v>
      </c>
      <c r="F3337" s="184">
        <v>35725</v>
      </c>
      <c r="G3337" s="184">
        <v>35809</v>
      </c>
      <c r="H3337" s="185">
        <v>4</v>
      </c>
      <c r="I3337" s="185">
        <v>28</v>
      </c>
      <c r="J3337" s="901" t="s">
        <v>1796</v>
      </c>
      <c r="K3337" s="158" t="s">
        <v>7374</v>
      </c>
      <c r="L3337" s="158" t="s">
        <v>5903</v>
      </c>
      <c r="M3337" s="158"/>
      <c r="N3337" s="158" t="s">
        <v>7685</v>
      </c>
      <c r="O3337" s="158"/>
      <c r="P3337" s="182" t="s">
        <v>461</v>
      </c>
      <c r="Q3337" s="158" t="s">
        <v>4062</v>
      </c>
      <c r="R3337" s="207" t="s">
        <v>5266</v>
      </c>
      <c r="S3337" s="355" t="s">
        <v>5909</v>
      </c>
      <c r="T3337" s="182" t="s">
        <v>7323</v>
      </c>
      <c r="U3337" s="182"/>
      <c r="V3337" s="182"/>
      <c r="W3337" s="321"/>
      <c r="X3337" s="653" t="s">
        <v>12456</v>
      </c>
      <c r="Y3337" s="361"/>
      <c r="Z3337" s="362"/>
      <c r="AA3337" s="362"/>
      <c r="AB3337" s="33">
        <f t="shared" ca="1" si="79"/>
        <v>0.67325093219158738</v>
      </c>
      <c r="AC3337" s="813"/>
      <c r="AD3337" s="211" t="s">
        <v>16721</v>
      </c>
      <c r="AE3337" s="949"/>
      <c r="AF3337" s="922">
        <f>IF(X3337=X3336,AF3336,0)+IF(ISNUMBER(I3337),IF(I3337&lt;1,I3337,I3337*VLOOKUP(J3337,Summary!$H$2:$I$9,2)),VLOOKUP(J3337,Summary!$J$2:$K$9,2)*IF(ISNUMBER(H3337),H3337,1))</f>
        <v>0.16953703703703704</v>
      </c>
      <c r="AG3337" s="295">
        <v>3336</v>
      </c>
      <c r="AH3337" s="94"/>
      <c r="AI3337" s="94"/>
      <c r="AJ3337" s="3"/>
    </row>
    <row r="3338" spans="1:36" s="22" customFormat="1" ht="12" customHeight="1" x14ac:dyDescent="0.25">
      <c r="A3338" s="572" t="s">
        <v>4357</v>
      </c>
      <c r="B3338" s="572">
        <v>8</v>
      </c>
      <c r="C3338" s="572">
        <v>88</v>
      </c>
      <c r="D3338" s="428" t="s">
        <v>5908</v>
      </c>
      <c r="E3338" s="325" t="s">
        <v>6906</v>
      </c>
      <c r="F3338" s="184">
        <v>35865</v>
      </c>
      <c r="G3338" s="184">
        <v>35949</v>
      </c>
      <c r="H3338" s="185">
        <v>4</v>
      </c>
      <c r="I3338" s="185">
        <v>29</v>
      </c>
      <c r="J3338" s="901" t="s">
        <v>1796</v>
      </c>
      <c r="K3338" s="158" t="s">
        <v>7374</v>
      </c>
      <c r="L3338" s="158" t="s">
        <v>5903</v>
      </c>
      <c r="M3338" s="158"/>
      <c r="N3338" s="158" t="s">
        <v>7685</v>
      </c>
      <c r="O3338" s="158"/>
      <c r="P3338" s="182" t="s">
        <v>461</v>
      </c>
      <c r="Q3338" s="158" t="s">
        <v>4062</v>
      </c>
      <c r="R3338" s="207" t="s">
        <v>5266</v>
      </c>
      <c r="S3338" s="355" t="s">
        <v>5909</v>
      </c>
      <c r="T3338" s="182" t="s">
        <v>7323</v>
      </c>
      <c r="U3338" s="182" t="s">
        <v>3959</v>
      </c>
      <c r="V3338" s="182"/>
      <c r="W3338" s="321"/>
      <c r="X3338" s="653" t="s">
        <v>12456</v>
      </c>
      <c r="Y3338" s="361"/>
      <c r="Z3338" s="362"/>
      <c r="AA3338" s="362"/>
      <c r="AB3338" s="33">
        <f t="shared" ca="1" si="79"/>
        <v>0.39102897629836908</v>
      </c>
      <c r="AC3338" s="813"/>
      <c r="AD3338" s="211"/>
      <c r="AE3338" s="949"/>
      <c r="AF3338" s="922">
        <f>IF(X3338=X3337,AF3337,0)+IF(ISNUMBER(I3338),IF(I3338&lt;1,I3338,I3338*VLOOKUP(J3338,Summary!$H$2:$I$9,2)),VLOOKUP(J3338,Summary!$J$2:$K$9,2)*IF(ISNUMBER(H3338),H3338,1))</f>
        <v>0.17960648148148148</v>
      </c>
      <c r="AG3338" s="295">
        <v>3337</v>
      </c>
      <c r="AH3338" s="94"/>
      <c r="AI3338" s="94"/>
      <c r="AJ3338" s="43"/>
    </row>
    <row r="3339" spans="1:36" s="22" customFormat="1" ht="12" customHeight="1" x14ac:dyDescent="0.2">
      <c r="A3339" s="572" t="s">
        <v>4357</v>
      </c>
      <c r="B3339" s="572">
        <v>8</v>
      </c>
      <c r="C3339" s="572">
        <v>89</v>
      </c>
      <c r="D3339" s="428" t="s">
        <v>5911</v>
      </c>
      <c r="E3339" s="325" t="s">
        <v>6907</v>
      </c>
      <c r="F3339" s="184">
        <v>35977</v>
      </c>
      <c r="G3339" s="184">
        <v>36117</v>
      </c>
      <c r="H3339" s="185">
        <v>6</v>
      </c>
      <c r="I3339" s="185">
        <v>44</v>
      </c>
      <c r="J3339" s="901" t="s">
        <v>1796</v>
      </c>
      <c r="K3339" s="158" t="s">
        <v>7374</v>
      </c>
      <c r="L3339" s="158" t="s">
        <v>5903</v>
      </c>
      <c r="M3339" s="158"/>
      <c r="N3339" s="158" t="s">
        <v>7685</v>
      </c>
      <c r="O3339" s="158"/>
      <c r="P3339" s="182" t="s">
        <v>461</v>
      </c>
      <c r="Q3339" s="158" t="s">
        <v>4062</v>
      </c>
      <c r="R3339" s="207" t="s">
        <v>5266</v>
      </c>
      <c r="S3339" s="355" t="s">
        <v>5909</v>
      </c>
      <c r="T3339" s="182" t="s">
        <v>7323</v>
      </c>
      <c r="U3339" s="182"/>
      <c r="V3339" s="182"/>
      <c r="W3339" s="321"/>
      <c r="X3339" s="653" t="s">
        <v>12456</v>
      </c>
      <c r="Y3339" s="361"/>
      <c r="Z3339" s="362"/>
      <c r="AA3339" s="362"/>
      <c r="AB3339" s="33">
        <f t="shared" ca="1" si="79"/>
        <v>0.79388097222197063</v>
      </c>
      <c r="AC3339" s="813"/>
      <c r="AD3339" s="211" t="s">
        <v>16432</v>
      </c>
      <c r="AE3339" s="949" t="s">
        <v>12543</v>
      </c>
      <c r="AF3339" s="922">
        <f>IF(X3339=X3338,AF3338,0)+IF(ISNUMBER(I3339),IF(I3339&lt;1,I3339,I3339*VLOOKUP(J3339,Summary!$H$2:$I$9,2)),VLOOKUP(J3339,Summary!$J$2:$K$9,2)*IF(ISNUMBER(H3339),H3339,1))</f>
        <v>0.19488425925925926</v>
      </c>
      <c r="AG3339" s="295">
        <v>3338</v>
      </c>
      <c r="AH3339" s="94"/>
      <c r="AI3339" s="94"/>
    </row>
    <row r="3340" spans="1:36" s="3" customFormat="1" ht="12" customHeight="1" x14ac:dyDescent="0.25">
      <c r="A3340" s="571" t="s">
        <v>4357</v>
      </c>
      <c r="B3340" s="571">
        <v>8</v>
      </c>
      <c r="C3340" s="571">
        <v>30.19</v>
      </c>
      <c r="D3340" s="176" t="s">
        <v>5371</v>
      </c>
      <c r="E3340" s="313" t="s">
        <v>5375</v>
      </c>
      <c r="F3340" s="174">
        <v>39783</v>
      </c>
      <c r="G3340" s="174"/>
      <c r="H3340" s="176" t="s">
        <v>461</v>
      </c>
      <c r="I3340" s="176">
        <v>20</v>
      </c>
      <c r="J3340" s="900" t="s">
        <v>2755</v>
      </c>
      <c r="K3340" s="164" t="s">
        <v>6997</v>
      </c>
      <c r="L3340" s="164" t="s">
        <v>461</v>
      </c>
      <c r="M3340" s="164"/>
      <c r="N3340" s="164" t="s">
        <v>4944</v>
      </c>
      <c r="O3340" s="164"/>
      <c r="P3340" s="173" t="s">
        <v>6702</v>
      </c>
      <c r="Q3340" s="164" t="s">
        <v>3947</v>
      </c>
      <c r="R3340" s="177" t="s">
        <v>2723</v>
      </c>
      <c r="S3340" s="354"/>
      <c r="T3340" s="173" t="s">
        <v>7323</v>
      </c>
      <c r="U3340" s="173"/>
      <c r="V3340" s="173"/>
      <c r="W3340" s="313" t="s">
        <v>5375</v>
      </c>
      <c r="X3340" s="645" t="s">
        <v>12456</v>
      </c>
      <c r="Y3340" s="354"/>
      <c r="Z3340" s="176"/>
      <c r="AA3340" s="176"/>
      <c r="AB3340" s="32">
        <f t="shared" ca="1" si="79"/>
        <v>0.78578792158960098</v>
      </c>
      <c r="AC3340" s="812"/>
      <c r="AD3340" s="763"/>
      <c r="AE3340" s="807"/>
      <c r="AF3340" s="921">
        <f>IF(X3340=X3339,AF3339,0)+IF(ISNUMBER(I3340),IF(I3340&lt;1,I3340,I3340*VLOOKUP(J3340,Summary!$H$2:$I$9,2)),VLOOKUP(J3340,Summary!$J$2:$K$9,2)*IF(ISNUMBER(H3340),H3340,1))</f>
        <v>0.20877314814814815</v>
      </c>
      <c r="AG3340" s="289">
        <v>3339</v>
      </c>
      <c r="AH3340" s="94"/>
      <c r="AI3340" s="94"/>
      <c r="AJ3340" s="29"/>
    </row>
    <row r="3341" spans="1:36" s="22" customFormat="1" ht="12" customHeight="1" x14ac:dyDescent="0.25">
      <c r="A3341" s="572" t="s">
        <v>4358</v>
      </c>
      <c r="B3341" s="572">
        <v>8</v>
      </c>
      <c r="C3341" s="572">
        <v>90</v>
      </c>
      <c r="D3341" s="428" t="s">
        <v>5912</v>
      </c>
      <c r="E3341" s="325" t="s">
        <v>6909</v>
      </c>
      <c r="F3341" s="184">
        <v>36145</v>
      </c>
      <c r="G3341" s="184"/>
      <c r="H3341" s="185">
        <v>1</v>
      </c>
      <c r="I3341" s="185">
        <v>8</v>
      </c>
      <c r="J3341" s="901" t="s">
        <v>1796</v>
      </c>
      <c r="K3341" s="158" t="s">
        <v>5251</v>
      </c>
      <c r="L3341" s="158" t="s">
        <v>251</v>
      </c>
      <c r="M3341" s="158"/>
      <c r="N3341" s="158" t="s">
        <v>5906</v>
      </c>
      <c r="O3341" s="158"/>
      <c r="P3341" s="182" t="s">
        <v>461</v>
      </c>
      <c r="Q3341" s="158" t="s">
        <v>4062</v>
      </c>
      <c r="R3341" s="207" t="s">
        <v>5266</v>
      </c>
      <c r="S3341" s="355"/>
      <c r="T3341" s="182" t="s">
        <v>7323</v>
      </c>
      <c r="U3341" s="399" t="s">
        <v>5913</v>
      </c>
      <c r="V3341" s="182"/>
      <c r="W3341" s="325" t="s">
        <v>6909</v>
      </c>
      <c r="X3341" s="657" t="s">
        <v>12456</v>
      </c>
      <c r="Y3341" s="361"/>
      <c r="Z3341" s="362"/>
      <c r="AA3341" s="362"/>
      <c r="AB3341" s="33">
        <f t="shared" ca="1" si="79"/>
        <v>0.74792530375685795</v>
      </c>
      <c r="AC3341" s="813"/>
      <c r="AD3341" s="211"/>
      <c r="AE3341" s="949"/>
      <c r="AF3341" s="922">
        <f>IF(X3341=X3340,AF3340,0)+IF(ISNUMBER(I3341),IF(I3341&lt;1,I3341,I3341*VLOOKUP(J3341,Summary!$H$2:$I$9,2)),VLOOKUP(J3341,Summary!$J$2:$K$9,2)*IF(ISNUMBER(H3341),H3341,1))</f>
        <v>0.21155092592592592</v>
      </c>
      <c r="AG3341" s="295">
        <v>3340</v>
      </c>
      <c r="AH3341" s="94"/>
      <c r="AI3341" s="94"/>
      <c r="AJ3341" s="3"/>
    </row>
    <row r="3342" spans="1:36" s="22" customFormat="1" ht="12" customHeight="1" x14ac:dyDescent="0.2">
      <c r="A3342" s="572" t="s">
        <v>4358</v>
      </c>
      <c r="B3342" s="572">
        <v>8</v>
      </c>
      <c r="C3342" s="572">
        <v>91</v>
      </c>
      <c r="D3342" s="428" t="s">
        <v>5914</v>
      </c>
      <c r="E3342" s="325" t="s">
        <v>6910</v>
      </c>
      <c r="F3342" s="184">
        <v>36173</v>
      </c>
      <c r="G3342" s="184">
        <v>36257</v>
      </c>
      <c r="H3342" s="185">
        <v>4</v>
      </c>
      <c r="I3342" s="185">
        <v>30</v>
      </c>
      <c r="J3342" s="901" t="s">
        <v>1796</v>
      </c>
      <c r="K3342" s="158" t="s">
        <v>5251</v>
      </c>
      <c r="L3342" s="158" t="s">
        <v>5903</v>
      </c>
      <c r="M3342" s="158"/>
      <c r="N3342" s="158" t="s">
        <v>5906</v>
      </c>
      <c r="O3342" s="158"/>
      <c r="P3342" s="182" t="s">
        <v>461</v>
      </c>
      <c r="Q3342" s="158" t="s">
        <v>4062</v>
      </c>
      <c r="R3342" s="207" t="s">
        <v>5266</v>
      </c>
      <c r="S3342" s="355" t="s">
        <v>7319</v>
      </c>
      <c r="T3342" s="182" t="s">
        <v>7323</v>
      </c>
      <c r="U3342" s="182"/>
      <c r="V3342" s="182"/>
      <c r="W3342" s="321"/>
      <c r="X3342" s="653" t="s">
        <v>12456</v>
      </c>
      <c r="Y3342" s="361"/>
      <c r="Z3342" s="362"/>
      <c r="AA3342" s="362"/>
      <c r="AB3342" s="33">
        <f t="shared" ca="1" si="79"/>
        <v>0.43146189449609096</v>
      </c>
      <c r="AC3342" s="813"/>
      <c r="AD3342" s="211" t="s">
        <v>15841</v>
      </c>
      <c r="AE3342" s="949"/>
      <c r="AF3342" s="922">
        <f>IF(X3342=X3341,AF3341,0)+IF(ISNUMBER(I3342),IF(I3342&lt;1,I3342,I3342*VLOOKUP(J3342,Summary!$H$2:$I$9,2)),VLOOKUP(J3342,Summary!$J$2:$K$9,2)*IF(ISNUMBER(H3342),H3342,1))</f>
        <v>0.22196759259259258</v>
      </c>
      <c r="AG3342" s="295">
        <v>3341</v>
      </c>
      <c r="AH3342" s="94"/>
      <c r="AI3342" s="94"/>
    </row>
    <row r="3343" spans="1:36" s="120" customFormat="1" ht="12" customHeight="1" x14ac:dyDescent="0.2">
      <c r="A3343" s="534" t="s">
        <v>4358</v>
      </c>
      <c r="B3343" s="534" t="s">
        <v>2650</v>
      </c>
      <c r="C3343" s="534">
        <v>92</v>
      </c>
      <c r="D3343" s="428" t="s">
        <v>1252</v>
      </c>
      <c r="E3343" s="325" t="s">
        <v>6911</v>
      </c>
      <c r="F3343" s="184">
        <v>36285</v>
      </c>
      <c r="G3343" s="184"/>
      <c r="H3343" s="185">
        <v>1</v>
      </c>
      <c r="I3343" s="185">
        <v>7</v>
      </c>
      <c r="J3343" s="901" t="s">
        <v>1796</v>
      </c>
      <c r="K3343" s="158" t="s">
        <v>3551</v>
      </c>
      <c r="L3343" s="158" t="s">
        <v>3551</v>
      </c>
      <c r="M3343" s="158"/>
      <c r="N3343" s="158" t="s">
        <v>6010</v>
      </c>
      <c r="O3343" s="158"/>
      <c r="P3343" s="182" t="s">
        <v>461</v>
      </c>
      <c r="Q3343" s="158" t="s">
        <v>4062</v>
      </c>
      <c r="R3343" s="207" t="s">
        <v>5266</v>
      </c>
      <c r="S3343" s="355"/>
      <c r="T3343" s="182" t="s">
        <v>7323</v>
      </c>
      <c r="U3343" s="182"/>
      <c r="V3343" s="182"/>
      <c r="W3343" s="325" t="s">
        <v>6911</v>
      </c>
      <c r="X3343" s="657" t="s">
        <v>12456</v>
      </c>
      <c r="Y3343" s="361"/>
      <c r="Z3343" s="362"/>
      <c r="AA3343" s="362"/>
      <c r="AB3343" s="33">
        <f t="shared" ca="1" si="79"/>
        <v>0.6983374652097194</v>
      </c>
      <c r="AC3343" s="813"/>
      <c r="AD3343" s="211" t="s">
        <v>16366</v>
      </c>
      <c r="AE3343" s="949" t="s">
        <v>3365</v>
      </c>
      <c r="AF3343" s="922">
        <f>IF(X3343=X3342,AF3342,0)+IF(ISNUMBER(I3343),IF(I3343&lt;1,I3343,I3343*VLOOKUP(J3343,Summary!$H$2:$I$9,2)),VLOOKUP(J3343,Summary!$J$2:$K$9,2)*IF(ISNUMBER(H3343),H3343,1))</f>
        <v>0.22439814814814812</v>
      </c>
      <c r="AG3343" s="295">
        <v>3342</v>
      </c>
      <c r="AH3343" s="94"/>
      <c r="AI3343" s="94"/>
    </row>
    <row r="3344" spans="1:36" s="22" customFormat="1" ht="12" customHeight="1" x14ac:dyDescent="0.2">
      <c r="A3344" s="572" t="s">
        <v>4358</v>
      </c>
      <c r="B3344" s="572">
        <v>8</v>
      </c>
      <c r="C3344" s="572">
        <v>93</v>
      </c>
      <c r="D3344" s="428" t="s">
        <v>5915</v>
      </c>
      <c r="E3344" s="325" t="s">
        <v>6912</v>
      </c>
      <c r="F3344" s="184">
        <v>36313</v>
      </c>
      <c r="G3344" s="184">
        <v>36425</v>
      </c>
      <c r="H3344" s="185">
        <v>5</v>
      </c>
      <c r="I3344" s="185">
        <v>36</v>
      </c>
      <c r="J3344" s="901" t="s">
        <v>1796</v>
      </c>
      <c r="K3344" s="158" t="s">
        <v>5251</v>
      </c>
      <c r="L3344" s="158" t="s">
        <v>5903</v>
      </c>
      <c r="M3344" s="158"/>
      <c r="N3344" s="158" t="s">
        <v>5906</v>
      </c>
      <c r="O3344" s="158"/>
      <c r="P3344" s="182" t="s">
        <v>461</v>
      </c>
      <c r="Q3344" s="158" t="s">
        <v>4062</v>
      </c>
      <c r="R3344" s="207" t="s">
        <v>5266</v>
      </c>
      <c r="S3344" s="355"/>
      <c r="T3344" s="182"/>
      <c r="U3344" s="182" t="s">
        <v>5921</v>
      </c>
      <c r="V3344" s="182"/>
      <c r="W3344" s="321"/>
      <c r="X3344" s="653" t="s">
        <v>12456</v>
      </c>
      <c r="Y3344" s="361"/>
      <c r="Z3344" s="362"/>
      <c r="AA3344" s="362"/>
      <c r="AB3344" s="33">
        <f t="shared" ca="1" si="79"/>
        <v>0.93103489272876527</v>
      </c>
      <c r="AC3344" s="813"/>
      <c r="AD3344" s="211" t="s">
        <v>15111</v>
      </c>
      <c r="AE3344" s="949" t="s">
        <v>12543</v>
      </c>
      <c r="AF3344" s="922">
        <f>IF(X3344=X3343,AF3343,0)+IF(ISNUMBER(I3344),IF(I3344&lt;1,I3344,I3344*VLOOKUP(J3344,Summary!$H$2:$I$9,2)),VLOOKUP(J3344,Summary!$J$2:$K$9,2)*IF(ISNUMBER(H3344),H3344,1))</f>
        <v>0.23689814814814814</v>
      </c>
      <c r="AG3344" s="295">
        <v>3343</v>
      </c>
      <c r="AH3344" s="94"/>
      <c r="AI3344" s="94"/>
    </row>
    <row r="3345" spans="1:35" s="22" customFormat="1" ht="12" customHeight="1" x14ac:dyDescent="0.2">
      <c r="A3345" s="572" t="s">
        <v>4358</v>
      </c>
      <c r="B3345" s="572">
        <v>8</v>
      </c>
      <c r="C3345" s="572">
        <v>94</v>
      </c>
      <c r="D3345" s="428" t="s">
        <v>5916</v>
      </c>
      <c r="E3345" s="325" t="s">
        <v>6913</v>
      </c>
      <c r="F3345" s="184">
        <v>36453</v>
      </c>
      <c r="G3345" s="184"/>
      <c r="H3345" s="185">
        <v>1</v>
      </c>
      <c r="I3345" s="185">
        <v>8</v>
      </c>
      <c r="J3345" s="901" t="s">
        <v>1796</v>
      </c>
      <c r="K3345" s="158" t="s">
        <v>7374</v>
      </c>
      <c r="L3345" s="158" t="s">
        <v>251</v>
      </c>
      <c r="M3345" s="158"/>
      <c r="N3345" s="158" t="s">
        <v>7685</v>
      </c>
      <c r="O3345" s="158"/>
      <c r="P3345" s="182" t="s">
        <v>461</v>
      </c>
      <c r="Q3345" s="158" t="s">
        <v>4062</v>
      </c>
      <c r="R3345" s="207" t="s">
        <v>5266</v>
      </c>
      <c r="S3345" s="355"/>
      <c r="T3345" s="182" t="s">
        <v>7323</v>
      </c>
      <c r="U3345" s="182"/>
      <c r="V3345" s="182"/>
      <c r="W3345" s="325" t="s">
        <v>6913</v>
      </c>
      <c r="X3345" s="657" t="s">
        <v>12456</v>
      </c>
      <c r="Y3345" s="361"/>
      <c r="Z3345" s="362"/>
      <c r="AA3345" s="362"/>
      <c r="AB3345" s="33">
        <f t="shared" ca="1" si="79"/>
        <v>0.47296361966619394</v>
      </c>
      <c r="AC3345" s="813"/>
      <c r="AD3345" s="211"/>
      <c r="AE3345" s="949"/>
      <c r="AF3345" s="922">
        <f>IF(X3345=X3344,AF3344,0)+IF(ISNUMBER(I3345),IF(I3345&lt;1,I3345,I3345*VLOOKUP(J3345,Summary!$H$2:$I$9,2)),VLOOKUP(J3345,Summary!$J$2:$K$9,2)*IF(ISNUMBER(H3345),H3345,1))</f>
        <v>0.2396759259259259</v>
      </c>
      <c r="AG3345" s="295">
        <v>3344</v>
      </c>
      <c r="AH3345" s="94"/>
      <c r="AI3345" s="94"/>
    </row>
    <row r="3346" spans="1:35" s="22" customFormat="1" ht="12" customHeight="1" x14ac:dyDescent="0.2">
      <c r="A3346" s="572" t="s">
        <v>4358</v>
      </c>
      <c r="B3346" s="572">
        <v>8</v>
      </c>
      <c r="C3346" s="572">
        <v>95</v>
      </c>
      <c r="D3346" s="428" t="s">
        <v>5918</v>
      </c>
      <c r="E3346" s="325" t="s">
        <v>6914</v>
      </c>
      <c r="F3346" s="184">
        <v>36481</v>
      </c>
      <c r="G3346" s="184">
        <v>36537</v>
      </c>
      <c r="H3346" s="185">
        <v>3</v>
      </c>
      <c r="I3346" s="185">
        <v>23</v>
      </c>
      <c r="J3346" s="901" t="s">
        <v>1796</v>
      </c>
      <c r="K3346" s="158" t="s">
        <v>5251</v>
      </c>
      <c r="L3346" s="158" t="s">
        <v>5917</v>
      </c>
      <c r="M3346" s="158"/>
      <c r="N3346" s="158" t="s">
        <v>5906</v>
      </c>
      <c r="O3346" s="158"/>
      <c r="P3346" s="182" t="s">
        <v>461</v>
      </c>
      <c r="Q3346" s="158" t="s">
        <v>4062</v>
      </c>
      <c r="R3346" s="207" t="s">
        <v>5266</v>
      </c>
      <c r="S3346" s="355"/>
      <c r="T3346" s="182" t="s">
        <v>7323</v>
      </c>
      <c r="U3346" s="182" t="s">
        <v>5921</v>
      </c>
      <c r="V3346" s="182"/>
      <c r="W3346" s="321"/>
      <c r="X3346" s="653" t="s">
        <v>12456</v>
      </c>
      <c r="Y3346" s="361"/>
      <c r="Z3346" s="362"/>
      <c r="AA3346" s="362"/>
      <c r="AB3346" s="33">
        <f t="shared" ca="1" si="79"/>
        <v>3.7922709810213173E-2</v>
      </c>
      <c r="AC3346" s="813"/>
      <c r="AD3346" s="211" t="s">
        <v>16366</v>
      </c>
      <c r="AE3346" s="949" t="s">
        <v>3365</v>
      </c>
      <c r="AF3346" s="922">
        <f>IF(X3346=X3345,AF3345,0)+IF(ISNUMBER(I3346),IF(I3346&lt;1,I3346,I3346*VLOOKUP(J3346,Summary!$H$2:$I$9,2)),VLOOKUP(J3346,Summary!$J$2:$K$9,2)*IF(ISNUMBER(H3346),H3346,1))</f>
        <v>0.24766203703703701</v>
      </c>
      <c r="AG3346" s="295">
        <v>3345</v>
      </c>
      <c r="AH3346" s="94"/>
      <c r="AI3346" s="94"/>
    </row>
    <row r="3347" spans="1:35" s="22" customFormat="1" ht="12" customHeight="1" x14ac:dyDescent="0.2">
      <c r="A3347" s="774" t="s">
        <v>4358</v>
      </c>
      <c r="B3347" s="774">
        <v>8</v>
      </c>
      <c r="C3347" s="774">
        <v>96</v>
      </c>
      <c r="D3347" s="493" t="s">
        <v>5919</v>
      </c>
      <c r="E3347" s="333" t="s">
        <v>6915</v>
      </c>
      <c r="F3347" s="233">
        <v>36565</v>
      </c>
      <c r="G3347" s="233">
        <v>36817</v>
      </c>
      <c r="H3347" s="226">
        <v>10</v>
      </c>
      <c r="I3347" s="226">
        <v>75</v>
      </c>
      <c r="J3347" s="907" t="s">
        <v>1796</v>
      </c>
      <c r="K3347" s="165" t="s">
        <v>5251</v>
      </c>
      <c r="L3347" s="165" t="s">
        <v>5920</v>
      </c>
      <c r="M3347" s="165"/>
      <c r="N3347" s="165" t="s">
        <v>5906</v>
      </c>
      <c r="O3347" s="165"/>
      <c r="P3347" s="225" t="s">
        <v>461</v>
      </c>
      <c r="Q3347" s="165" t="s">
        <v>4062</v>
      </c>
      <c r="R3347" s="234" t="s">
        <v>5266</v>
      </c>
      <c r="S3347" s="369"/>
      <c r="T3347" s="225" t="s">
        <v>7323</v>
      </c>
      <c r="U3347" s="225" t="s">
        <v>5921</v>
      </c>
      <c r="V3347" s="225"/>
      <c r="W3347" s="338"/>
      <c r="X3347" s="670" t="s">
        <v>12456</v>
      </c>
      <c r="Y3347" s="372"/>
      <c r="Z3347" s="269"/>
      <c r="AA3347" s="269"/>
      <c r="AB3347" s="38">
        <f t="shared" ca="1" si="79"/>
        <v>0.71754815785436599</v>
      </c>
      <c r="AC3347" s="830"/>
      <c r="AD3347" s="831" t="s">
        <v>15834</v>
      </c>
      <c r="AE3347" s="966" t="s">
        <v>15860</v>
      </c>
      <c r="AF3347" s="928">
        <f>IF(X3347=X3346,AF3346,0)+IF(ISNUMBER(I3347),IF(I3347&lt;1,I3347,I3347*VLOOKUP(J3347,Summary!$H$2:$I$9,2)),VLOOKUP(J3347,Summary!$J$2:$K$9,2)*IF(ISNUMBER(H3347),H3347,1))</f>
        <v>0.27370370370370367</v>
      </c>
      <c r="AG3347" s="300">
        <v>3346</v>
      </c>
      <c r="AH3347" s="94"/>
      <c r="AI3347" s="94"/>
    </row>
    <row r="3348" spans="1:35" s="22" customFormat="1" ht="12" customHeight="1" x14ac:dyDescent="0.25">
      <c r="A3348" s="571" t="s">
        <v>4358</v>
      </c>
      <c r="B3348" s="571">
        <v>8</v>
      </c>
      <c r="C3348" s="571">
        <v>10.01</v>
      </c>
      <c r="D3348" s="434" t="s">
        <v>3774</v>
      </c>
      <c r="E3348" s="324" t="s">
        <v>6908</v>
      </c>
      <c r="F3348" s="174">
        <v>38139</v>
      </c>
      <c r="G3348" s="174"/>
      <c r="H3348" s="176">
        <v>1</v>
      </c>
      <c r="I3348" s="176">
        <v>34</v>
      </c>
      <c r="J3348" s="900" t="s">
        <v>2755</v>
      </c>
      <c r="K3348" s="164" t="s">
        <v>6997</v>
      </c>
      <c r="L3348" s="164" t="s">
        <v>461</v>
      </c>
      <c r="M3348" s="164"/>
      <c r="N3348" s="164" t="s">
        <v>4996</v>
      </c>
      <c r="O3348" s="164"/>
      <c r="P3348" s="173" t="s">
        <v>5669</v>
      </c>
      <c r="Q3348" s="164" t="s">
        <v>3947</v>
      </c>
      <c r="R3348" s="179" t="s">
        <v>2723</v>
      </c>
      <c r="S3348" s="354"/>
      <c r="T3348" s="173" t="s">
        <v>7323</v>
      </c>
      <c r="U3348" s="173"/>
      <c r="V3348" s="173"/>
      <c r="W3348" s="324" t="s">
        <v>6908</v>
      </c>
      <c r="X3348" s="656" t="s">
        <v>12456</v>
      </c>
      <c r="Y3348" s="363"/>
      <c r="Z3348" s="364">
        <v>999</v>
      </c>
      <c r="AA3348" s="364"/>
      <c r="AB3348" s="32">
        <f t="shared" ca="1" si="79"/>
        <v>7.0879633158866917E-2</v>
      </c>
      <c r="AC3348" s="812"/>
      <c r="AD3348" s="763"/>
      <c r="AE3348" s="951"/>
      <c r="AF3348" s="921">
        <f>IF(X3348=X3347,AF3347,0)+IF(ISNUMBER(I3348),IF(I3348&lt;1,I3348,I3348*VLOOKUP(J3348,Summary!$H$2:$I$9,2)),VLOOKUP(J3348,Summary!$J$2:$K$9,2)*IF(ISNUMBER(H3348),H3348,1))</f>
        <v>0.29731481481481481</v>
      </c>
      <c r="AG3348" s="288">
        <v>3347</v>
      </c>
      <c r="AH3348" s="94"/>
      <c r="AI3348" s="94"/>
    </row>
    <row r="3349" spans="1:35" s="22" customFormat="1" ht="12" customHeight="1" x14ac:dyDescent="0.2">
      <c r="A3349" s="572" t="s">
        <v>4358</v>
      </c>
      <c r="B3349" s="572">
        <v>8</v>
      </c>
      <c r="C3349" s="572">
        <v>97</v>
      </c>
      <c r="D3349" s="428" t="s">
        <v>5922</v>
      </c>
      <c r="E3349" s="325" t="s">
        <v>917</v>
      </c>
      <c r="F3349" s="184">
        <v>36845</v>
      </c>
      <c r="G3349" s="184">
        <v>36901</v>
      </c>
      <c r="H3349" s="185">
        <v>3</v>
      </c>
      <c r="I3349" s="185">
        <v>21</v>
      </c>
      <c r="J3349" s="901" t="s">
        <v>1796</v>
      </c>
      <c r="K3349" s="158" t="s">
        <v>5251</v>
      </c>
      <c r="L3349" s="158" t="s">
        <v>251</v>
      </c>
      <c r="M3349" s="158"/>
      <c r="N3349" s="158" t="s">
        <v>7374</v>
      </c>
      <c r="O3349" s="158"/>
      <c r="P3349" s="182" t="s">
        <v>461</v>
      </c>
      <c r="Q3349" s="158" t="s">
        <v>4062</v>
      </c>
      <c r="R3349" s="207" t="s">
        <v>5266</v>
      </c>
      <c r="S3349" s="355"/>
      <c r="T3349" s="182" t="s">
        <v>7323</v>
      </c>
      <c r="U3349" s="182"/>
      <c r="V3349" s="182"/>
      <c r="W3349" s="321"/>
      <c r="X3349" s="653" t="s">
        <v>12456</v>
      </c>
      <c r="Y3349" s="361"/>
      <c r="Z3349" s="362"/>
      <c r="AA3349" s="362"/>
      <c r="AB3349" s="33">
        <f t="shared" ca="1" si="79"/>
        <v>0.48629032146281981</v>
      </c>
      <c r="AC3349" s="813"/>
      <c r="AD3349" s="211"/>
      <c r="AE3349" s="949"/>
      <c r="AF3349" s="922">
        <f>IF(X3349=X3348,AF3348,0)+IF(ISNUMBER(I3349),IF(I3349&lt;1,I3349,I3349*VLOOKUP(J3349,Summary!$H$2:$I$9,2)),VLOOKUP(J3349,Summary!$J$2:$K$9,2)*IF(ISNUMBER(H3349),H3349,1))</f>
        <v>0.30460648148148145</v>
      </c>
      <c r="AG3349" s="295">
        <v>3348</v>
      </c>
      <c r="AH3349" s="94"/>
      <c r="AI3349" s="94"/>
    </row>
    <row r="3350" spans="1:35" s="22" customFormat="1" ht="12" customHeight="1" x14ac:dyDescent="0.2">
      <c r="A3350" s="572" t="s">
        <v>5923</v>
      </c>
      <c r="B3350" s="572">
        <v>8</v>
      </c>
      <c r="C3350" s="572">
        <v>98</v>
      </c>
      <c r="D3350" s="428" t="s">
        <v>5926</v>
      </c>
      <c r="E3350" s="325" t="s">
        <v>918</v>
      </c>
      <c r="F3350" s="184">
        <v>36929</v>
      </c>
      <c r="G3350" s="184">
        <v>37013</v>
      </c>
      <c r="H3350" s="185">
        <v>4</v>
      </c>
      <c r="I3350" s="185">
        <v>28</v>
      </c>
      <c r="J3350" s="901" t="s">
        <v>1796</v>
      </c>
      <c r="K3350" s="158" t="s">
        <v>5251</v>
      </c>
      <c r="L3350" s="158" t="s">
        <v>5903</v>
      </c>
      <c r="M3350" s="158" t="s">
        <v>5928</v>
      </c>
      <c r="N3350" s="158" t="s">
        <v>7374</v>
      </c>
      <c r="O3350" s="158"/>
      <c r="P3350" s="182" t="s">
        <v>461</v>
      </c>
      <c r="Q3350" s="158" t="s">
        <v>4062</v>
      </c>
      <c r="R3350" s="207" t="s">
        <v>5266</v>
      </c>
      <c r="S3350" s="355"/>
      <c r="T3350" s="182" t="s">
        <v>7323</v>
      </c>
      <c r="U3350" s="182" t="s">
        <v>5927</v>
      </c>
      <c r="V3350" s="182"/>
      <c r="W3350" s="321"/>
      <c r="X3350" s="653" t="s">
        <v>12456</v>
      </c>
      <c r="Y3350" s="361"/>
      <c r="Z3350" s="362"/>
      <c r="AA3350" s="362"/>
      <c r="AB3350" s="33">
        <f t="shared" ca="1" si="79"/>
        <v>0.10021410311386514</v>
      </c>
      <c r="AC3350" s="813"/>
      <c r="AD3350" s="211"/>
      <c r="AE3350" s="949"/>
      <c r="AF3350" s="922">
        <f>IF(X3350=X3349,AF3349,0)+IF(ISNUMBER(I3350),IF(I3350&lt;1,I3350,I3350*VLOOKUP(J3350,Summary!$H$2:$I$9,2)),VLOOKUP(J3350,Summary!$J$2:$K$9,2)*IF(ISNUMBER(H3350),H3350,1))</f>
        <v>0.31432870370370369</v>
      </c>
      <c r="AG3350" s="295">
        <v>3349</v>
      </c>
      <c r="AH3350" s="94"/>
      <c r="AI3350" s="94"/>
    </row>
    <row r="3351" spans="1:35" s="43" customFormat="1" ht="12" customHeight="1" x14ac:dyDescent="0.25">
      <c r="A3351" s="572" t="s">
        <v>5923</v>
      </c>
      <c r="B3351" s="572">
        <v>8</v>
      </c>
      <c r="C3351" s="572">
        <v>99</v>
      </c>
      <c r="D3351" s="428" t="s">
        <v>5925</v>
      </c>
      <c r="E3351" s="325" t="s">
        <v>5924</v>
      </c>
      <c r="F3351" s="184">
        <v>37041</v>
      </c>
      <c r="G3351" s="184"/>
      <c r="H3351" s="185">
        <v>1</v>
      </c>
      <c r="I3351" s="185">
        <v>7</v>
      </c>
      <c r="J3351" s="901" t="s">
        <v>1796</v>
      </c>
      <c r="K3351" s="158" t="s">
        <v>5251</v>
      </c>
      <c r="L3351" s="158" t="s">
        <v>5903</v>
      </c>
      <c r="M3351" s="158" t="s">
        <v>5928</v>
      </c>
      <c r="N3351" s="158" t="s">
        <v>7374</v>
      </c>
      <c r="O3351" s="158"/>
      <c r="P3351" s="182" t="s">
        <v>461</v>
      </c>
      <c r="Q3351" s="158" t="s">
        <v>4062</v>
      </c>
      <c r="R3351" s="207" t="s">
        <v>5266</v>
      </c>
      <c r="S3351" s="355"/>
      <c r="T3351" s="182" t="s">
        <v>7323</v>
      </c>
      <c r="U3351" s="182"/>
      <c r="V3351" s="182"/>
      <c r="W3351" s="325" t="s">
        <v>5924</v>
      </c>
      <c r="X3351" s="657" t="s">
        <v>12456</v>
      </c>
      <c r="Y3351" s="361"/>
      <c r="Z3351" s="362"/>
      <c r="AA3351" s="362"/>
      <c r="AB3351" s="33">
        <f t="shared" ca="1" si="79"/>
        <v>0.56013848399436394</v>
      </c>
      <c r="AC3351" s="813"/>
      <c r="AD3351" s="211"/>
      <c r="AE3351" s="941"/>
      <c r="AF3351" s="922">
        <f>IF(X3351=X3350,AF3350,0)+IF(ISNUMBER(I3351),IF(I3351&lt;1,I3351,I3351*VLOOKUP(J3351,Summary!$H$2:$I$9,2)),VLOOKUP(J3351,Summary!$J$2:$K$9,2)*IF(ISNUMBER(H3351),H3351,1))</f>
        <v>0.31675925925925924</v>
      </c>
      <c r="AG3351" s="290">
        <v>3350</v>
      </c>
      <c r="AH3351" s="94"/>
      <c r="AI3351" s="94"/>
    </row>
    <row r="3352" spans="1:35" s="22" customFormat="1" ht="12" customHeight="1" x14ac:dyDescent="0.2">
      <c r="A3352" s="572" t="s">
        <v>5923</v>
      </c>
      <c r="B3352" s="572">
        <v>8</v>
      </c>
      <c r="C3352" s="572">
        <v>101</v>
      </c>
      <c r="D3352" s="428" t="s">
        <v>5930</v>
      </c>
      <c r="E3352" s="325" t="s">
        <v>919</v>
      </c>
      <c r="F3352" s="184">
        <v>37097</v>
      </c>
      <c r="G3352" s="184">
        <v>37209</v>
      </c>
      <c r="H3352" s="185">
        <v>4</v>
      </c>
      <c r="I3352" s="185">
        <v>28</v>
      </c>
      <c r="J3352" s="901" t="s">
        <v>1796</v>
      </c>
      <c r="K3352" s="158" t="s">
        <v>5251</v>
      </c>
      <c r="L3352" s="158" t="s">
        <v>5903</v>
      </c>
      <c r="M3352" s="158" t="s">
        <v>5928</v>
      </c>
      <c r="N3352" s="158" t="s">
        <v>5929</v>
      </c>
      <c r="O3352" s="158"/>
      <c r="P3352" s="182" t="s">
        <v>461</v>
      </c>
      <c r="Q3352" s="158" t="s">
        <v>4062</v>
      </c>
      <c r="R3352" s="207" t="s">
        <v>5266</v>
      </c>
      <c r="S3352" s="355"/>
      <c r="T3352" s="182" t="s">
        <v>7323</v>
      </c>
      <c r="U3352" s="182"/>
      <c r="V3352" s="182"/>
      <c r="W3352" s="321"/>
      <c r="X3352" s="653" t="s">
        <v>12456</v>
      </c>
      <c r="Y3352" s="361"/>
      <c r="Z3352" s="362"/>
      <c r="AA3352" s="362"/>
      <c r="AB3352" s="33">
        <f t="shared" ca="1" si="79"/>
        <v>0.79584596311590527</v>
      </c>
      <c r="AC3352" s="813"/>
      <c r="AD3352" s="211" t="s">
        <v>16732</v>
      </c>
      <c r="AE3352" s="949"/>
      <c r="AF3352" s="922">
        <f>IF(X3352=X3351,AF3351,0)+IF(ISNUMBER(I3352),IF(I3352&lt;1,I3352,I3352*VLOOKUP(J3352,Summary!$H$2:$I$9,2)),VLOOKUP(J3352,Summary!$J$2:$K$9,2)*IF(ISNUMBER(H3352),H3352,1))</f>
        <v>0.32648148148148148</v>
      </c>
      <c r="AG3352" s="295">
        <v>3351</v>
      </c>
      <c r="AH3352" s="94"/>
      <c r="AI3352" s="94"/>
    </row>
    <row r="3353" spans="1:35" s="22" customFormat="1" ht="12" customHeight="1" x14ac:dyDescent="0.2">
      <c r="A3353" s="572" t="s">
        <v>5923</v>
      </c>
      <c r="B3353" s="572">
        <v>8</v>
      </c>
      <c r="C3353" s="572">
        <v>103</v>
      </c>
      <c r="D3353" s="428" t="s">
        <v>5931</v>
      </c>
      <c r="E3353" s="325" t="s">
        <v>920</v>
      </c>
      <c r="F3353" s="184">
        <v>37265</v>
      </c>
      <c r="G3353" s="184">
        <v>37405</v>
      </c>
      <c r="H3353" s="185">
        <v>6</v>
      </c>
      <c r="I3353" s="185">
        <v>42</v>
      </c>
      <c r="J3353" s="901" t="s">
        <v>1796</v>
      </c>
      <c r="K3353" s="158" t="s">
        <v>5251</v>
      </c>
      <c r="L3353" s="158" t="s">
        <v>7928</v>
      </c>
      <c r="M3353" s="158" t="s">
        <v>3551</v>
      </c>
      <c r="N3353" s="158" t="s">
        <v>5929</v>
      </c>
      <c r="O3353" s="158"/>
      <c r="P3353" s="182" t="s">
        <v>461</v>
      </c>
      <c r="Q3353" s="158" t="s">
        <v>4062</v>
      </c>
      <c r="R3353" s="207" t="s">
        <v>5266</v>
      </c>
      <c r="S3353" s="355"/>
      <c r="T3353" s="182" t="s">
        <v>7323</v>
      </c>
      <c r="U3353" s="182"/>
      <c r="V3353" s="182"/>
      <c r="W3353" s="321"/>
      <c r="X3353" s="653" t="s">
        <v>12456</v>
      </c>
      <c r="Y3353" s="361"/>
      <c r="Z3353" s="362"/>
      <c r="AA3353" s="362"/>
      <c r="AB3353" s="33">
        <f t="shared" ca="1" si="79"/>
        <v>0.65328692030144275</v>
      </c>
      <c r="AC3353" s="813"/>
      <c r="AD3353" s="211" t="s">
        <v>16335</v>
      </c>
      <c r="AE3353" s="949" t="s">
        <v>12543</v>
      </c>
      <c r="AF3353" s="922">
        <f>IF(X3353=X3352,AF3352,0)+IF(ISNUMBER(I3353),IF(I3353&lt;1,I3353,I3353*VLOOKUP(J3353,Summary!$H$2:$I$9,2)),VLOOKUP(J3353,Summary!$J$2:$K$9,2)*IF(ISNUMBER(H3353),H3353,1))</f>
        <v>0.34106481481481482</v>
      </c>
      <c r="AG3353" s="295">
        <v>3352</v>
      </c>
      <c r="AH3353" s="94"/>
      <c r="AI3353" s="94"/>
    </row>
    <row r="3354" spans="1:35" s="22" customFormat="1" ht="12" customHeight="1" x14ac:dyDescent="0.2">
      <c r="A3354" s="572" t="s">
        <v>5923</v>
      </c>
      <c r="B3354" s="572">
        <v>8</v>
      </c>
      <c r="C3354" s="572">
        <v>104</v>
      </c>
      <c r="D3354" s="428" t="s">
        <v>5932</v>
      </c>
      <c r="E3354" s="325" t="s">
        <v>5933</v>
      </c>
      <c r="F3354" s="184">
        <v>37433</v>
      </c>
      <c r="G3354" s="184"/>
      <c r="H3354" s="185">
        <v>1</v>
      </c>
      <c r="I3354" s="185">
        <v>7</v>
      </c>
      <c r="J3354" s="901" t="s">
        <v>1796</v>
      </c>
      <c r="K3354" s="158" t="s">
        <v>5251</v>
      </c>
      <c r="L3354" s="158" t="s">
        <v>3832</v>
      </c>
      <c r="M3354" s="158" t="s">
        <v>251</v>
      </c>
      <c r="N3354" s="158" t="s">
        <v>4105</v>
      </c>
      <c r="O3354" s="158"/>
      <c r="P3354" s="182" t="s">
        <v>461</v>
      </c>
      <c r="Q3354" s="158" t="s">
        <v>4062</v>
      </c>
      <c r="R3354" s="207" t="s">
        <v>5266</v>
      </c>
      <c r="S3354" s="355" t="s">
        <v>5910</v>
      </c>
      <c r="T3354" s="182"/>
      <c r="U3354" s="182"/>
      <c r="V3354" s="182"/>
      <c r="W3354" s="325" t="s">
        <v>5933</v>
      </c>
      <c r="X3354" s="657" t="s">
        <v>12456</v>
      </c>
      <c r="Y3354" s="361"/>
      <c r="Z3354" s="362"/>
      <c r="AA3354" s="362"/>
      <c r="AB3354" s="33">
        <f t="shared" ca="1" si="79"/>
        <v>4.7121173844958841E-2</v>
      </c>
      <c r="AC3354" s="813"/>
      <c r="AD3354" s="211" t="s">
        <v>16733</v>
      </c>
      <c r="AE3354" s="949"/>
      <c r="AF3354" s="922">
        <f>IF(X3354=X3353,AF3353,0)+IF(ISNUMBER(I3354),IF(I3354&lt;1,I3354,I3354*VLOOKUP(J3354,Summary!$H$2:$I$9,2)),VLOOKUP(J3354,Summary!$J$2:$K$9,2)*IF(ISNUMBER(H3354),H3354,1))</f>
        <v>0.34349537037037037</v>
      </c>
      <c r="AG3354" s="295">
        <v>3353</v>
      </c>
      <c r="AH3354" s="94"/>
      <c r="AI3354" s="94"/>
    </row>
    <row r="3355" spans="1:35" s="22" customFormat="1" ht="12" customHeight="1" x14ac:dyDescent="0.2">
      <c r="A3355" s="572" t="s">
        <v>5923</v>
      </c>
      <c r="B3355" s="572">
        <v>8</v>
      </c>
      <c r="C3355" s="572">
        <v>105</v>
      </c>
      <c r="D3355" s="428" t="s">
        <v>5935</v>
      </c>
      <c r="E3355" s="325" t="s">
        <v>5934</v>
      </c>
      <c r="F3355" s="184">
        <v>37461</v>
      </c>
      <c r="G3355" s="184">
        <v>37545</v>
      </c>
      <c r="H3355" s="185">
        <v>4</v>
      </c>
      <c r="I3355" s="185">
        <v>29</v>
      </c>
      <c r="J3355" s="901" t="s">
        <v>1796</v>
      </c>
      <c r="K3355" s="158" t="s">
        <v>5251</v>
      </c>
      <c r="L3355" s="158" t="s">
        <v>3832</v>
      </c>
      <c r="M3355" s="158" t="s">
        <v>3551</v>
      </c>
      <c r="N3355" s="158" t="s">
        <v>4105</v>
      </c>
      <c r="O3355" s="158"/>
      <c r="P3355" s="182" t="s">
        <v>461</v>
      </c>
      <c r="Q3355" s="158" t="s">
        <v>4062</v>
      </c>
      <c r="R3355" s="207" t="s">
        <v>5266</v>
      </c>
      <c r="S3355" s="355" t="s">
        <v>5910</v>
      </c>
      <c r="T3355" s="182"/>
      <c r="U3355" s="182" t="s">
        <v>5927</v>
      </c>
      <c r="V3355" s="182"/>
      <c r="W3355" s="321"/>
      <c r="X3355" s="653" t="s">
        <v>12456</v>
      </c>
      <c r="Y3355" s="361"/>
      <c r="Z3355" s="362"/>
      <c r="AA3355" s="362"/>
      <c r="AB3355" s="33">
        <f t="shared" ca="1" si="79"/>
        <v>0.35515961182931866</v>
      </c>
      <c r="AC3355" s="813"/>
      <c r="AD3355" s="211"/>
      <c r="AE3355" s="949"/>
      <c r="AF3355" s="922">
        <f>IF(X3355=X3354,AF3354,0)+IF(ISNUMBER(I3355),IF(I3355&lt;1,I3355,I3355*VLOOKUP(J3355,Summary!$H$2:$I$9,2)),VLOOKUP(J3355,Summary!$J$2:$K$9,2)*IF(ISNUMBER(H3355),H3355,1))</f>
        <v>0.35356481481481483</v>
      </c>
      <c r="AG3355" s="295">
        <v>3354</v>
      </c>
      <c r="AH3355" s="94"/>
      <c r="AI3355" s="94"/>
    </row>
    <row r="3356" spans="1:35" s="22" customFormat="1" ht="12" customHeight="1" x14ac:dyDescent="0.2">
      <c r="A3356" s="572" t="s">
        <v>5923</v>
      </c>
      <c r="B3356" s="572">
        <v>8</v>
      </c>
      <c r="C3356" s="572">
        <v>106</v>
      </c>
      <c r="D3356" s="428" t="s">
        <v>5936</v>
      </c>
      <c r="E3356" s="325" t="s">
        <v>921</v>
      </c>
      <c r="F3356" s="184">
        <v>37573</v>
      </c>
      <c r="G3356" s="184">
        <v>37348</v>
      </c>
      <c r="H3356" s="185">
        <v>6</v>
      </c>
      <c r="I3356" s="185">
        <v>43</v>
      </c>
      <c r="J3356" s="901" t="s">
        <v>1796</v>
      </c>
      <c r="K3356" s="158" t="s">
        <v>5251</v>
      </c>
      <c r="L3356" s="158" t="s">
        <v>6057</v>
      </c>
      <c r="M3356" s="158" t="s">
        <v>3551</v>
      </c>
      <c r="N3356" s="158" t="s">
        <v>4105</v>
      </c>
      <c r="O3356" s="158"/>
      <c r="P3356" s="182" t="s">
        <v>461</v>
      </c>
      <c r="Q3356" s="158" t="s">
        <v>4062</v>
      </c>
      <c r="R3356" s="207" t="s">
        <v>5266</v>
      </c>
      <c r="S3356" s="355" t="s">
        <v>5910</v>
      </c>
      <c r="T3356" s="182" t="s">
        <v>7323</v>
      </c>
      <c r="U3356" s="182" t="s">
        <v>5927</v>
      </c>
      <c r="V3356" s="182"/>
      <c r="W3356" s="321"/>
      <c r="X3356" s="653" t="s">
        <v>12456</v>
      </c>
      <c r="Y3356" s="361"/>
      <c r="Z3356" s="362"/>
      <c r="AA3356" s="362"/>
      <c r="AB3356" s="33">
        <f t="shared" ca="1" si="79"/>
        <v>0.39674498658435164</v>
      </c>
      <c r="AC3356" s="813"/>
      <c r="AD3356" s="211" t="s">
        <v>16053</v>
      </c>
      <c r="AE3356" s="949"/>
      <c r="AF3356" s="922">
        <f>IF(X3356=X3355,AF3355,0)+IF(ISNUMBER(I3356),IF(I3356&lt;1,I3356,I3356*VLOOKUP(J3356,Summary!$H$2:$I$9,2)),VLOOKUP(J3356,Summary!$J$2:$K$9,2)*IF(ISNUMBER(H3356),H3356,1))</f>
        <v>0.36849537037037039</v>
      </c>
      <c r="AG3356" s="295">
        <v>3355</v>
      </c>
      <c r="AH3356" s="94"/>
      <c r="AI3356" s="94"/>
    </row>
    <row r="3357" spans="1:35" s="22" customFormat="1" ht="12" customHeight="1" x14ac:dyDescent="0.2">
      <c r="A3357" s="572" t="s">
        <v>5937</v>
      </c>
      <c r="B3357" s="572">
        <v>8</v>
      </c>
      <c r="C3357" s="572">
        <v>107</v>
      </c>
      <c r="D3357" s="428" t="s">
        <v>5938</v>
      </c>
      <c r="E3357" s="325" t="s">
        <v>922</v>
      </c>
      <c r="F3357" s="184">
        <v>37741</v>
      </c>
      <c r="G3357" s="184"/>
      <c r="H3357" s="185">
        <v>1</v>
      </c>
      <c r="I3357" s="185">
        <v>7</v>
      </c>
      <c r="J3357" s="901" t="s">
        <v>1796</v>
      </c>
      <c r="K3357" s="158" t="s">
        <v>5251</v>
      </c>
      <c r="L3357" s="158" t="s">
        <v>5939</v>
      </c>
      <c r="M3357" s="158" t="s">
        <v>251</v>
      </c>
      <c r="N3357" s="158" t="s">
        <v>4105</v>
      </c>
      <c r="O3357" s="158"/>
      <c r="P3357" s="182" t="s">
        <v>461</v>
      </c>
      <c r="Q3357" s="158" t="s">
        <v>4062</v>
      </c>
      <c r="R3357" s="207" t="s">
        <v>5266</v>
      </c>
      <c r="S3357" s="355"/>
      <c r="T3357" s="182"/>
      <c r="U3357" s="182"/>
      <c r="V3357" s="182"/>
      <c r="W3357" s="325" t="s">
        <v>922</v>
      </c>
      <c r="X3357" s="657" t="s">
        <v>12456</v>
      </c>
      <c r="Y3357" s="361"/>
      <c r="Z3357" s="362"/>
      <c r="AA3357" s="362"/>
      <c r="AB3357" s="33">
        <f t="shared" ca="1" si="79"/>
        <v>0.1911898161827853</v>
      </c>
      <c r="AC3357" s="813"/>
      <c r="AD3357" s="211" t="s">
        <v>16466</v>
      </c>
      <c r="AE3357" s="949" t="s">
        <v>12543</v>
      </c>
      <c r="AF3357" s="922">
        <f>IF(X3357=X3356,AF3356,0)+IF(ISNUMBER(I3357),IF(I3357&lt;1,I3357,I3357*VLOOKUP(J3357,Summary!$H$2:$I$9,2)),VLOOKUP(J3357,Summary!$J$2:$K$9,2)*IF(ISNUMBER(H3357),H3357,1))</f>
        <v>0.37092592592592594</v>
      </c>
      <c r="AG3357" s="295">
        <v>3356</v>
      </c>
      <c r="AH3357" s="94"/>
      <c r="AI3357" s="94"/>
    </row>
    <row r="3358" spans="1:35" s="22" customFormat="1" ht="12" customHeight="1" x14ac:dyDescent="0.2">
      <c r="A3358" s="572" t="s">
        <v>5937</v>
      </c>
      <c r="B3358" s="572">
        <v>8</v>
      </c>
      <c r="C3358" s="572">
        <v>108</v>
      </c>
      <c r="D3358" s="428" t="s">
        <v>5940</v>
      </c>
      <c r="E3358" s="325" t="s">
        <v>923</v>
      </c>
      <c r="F3358" s="184">
        <v>37769</v>
      </c>
      <c r="G3358" s="184">
        <v>37795</v>
      </c>
      <c r="H3358" s="185">
        <v>3</v>
      </c>
      <c r="I3358" s="185">
        <v>21</v>
      </c>
      <c r="J3358" s="901" t="s">
        <v>1796</v>
      </c>
      <c r="K3358" s="158" t="s">
        <v>3451</v>
      </c>
      <c r="L3358" s="158" t="s">
        <v>3828</v>
      </c>
      <c r="M3358" s="158" t="s">
        <v>5941</v>
      </c>
      <c r="N3358" s="158" t="s">
        <v>5942</v>
      </c>
      <c r="O3358" s="158"/>
      <c r="P3358" s="182" t="s">
        <v>461</v>
      </c>
      <c r="Q3358" s="158" t="s">
        <v>4062</v>
      </c>
      <c r="R3358" s="207" t="s">
        <v>5266</v>
      </c>
      <c r="S3358" s="355"/>
      <c r="T3358" s="182"/>
      <c r="U3358" s="182"/>
      <c r="V3358" s="182"/>
      <c r="W3358" s="321"/>
      <c r="X3358" s="653" t="s">
        <v>12456</v>
      </c>
      <c r="Y3358" s="361"/>
      <c r="Z3358" s="362"/>
      <c r="AA3358" s="362"/>
      <c r="AB3358" s="33">
        <f t="shared" ca="1" si="79"/>
        <v>0.40105084786836764</v>
      </c>
      <c r="AC3358" s="813"/>
      <c r="AD3358" s="211" t="s">
        <v>15994</v>
      </c>
      <c r="AE3358" s="949"/>
      <c r="AF3358" s="922">
        <f>IF(X3358=X3357,AF3357,0)+IF(ISNUMBER(I3358),IF(I3358&lt;1,I3358,I3358*VLOOKUP(J3358,Summary!$H$2:$I$9,2)),VLOOKUP(J3358,Summary!$J$2:$K$9,2)*IF(ISNUMBER(H3358),H3358,1))</f>
        <v>0.37821759259259258</v>
      </c>
      <c r="AG3358" s="295">
        <v>3357</v>
      </c>
      <c r="AH3358" s="94"/>
      <c r="AI3358" s="94"/>
    </row>
    <row r="3359" spans="1:35" s="22" customFormat="1" ht="12" customHeight="1" x14ac:dyDescent="0.2">
      <c r="A3359" s="572" t="s">
        <v>5937</v>
      </c>
      <c r="B3359" s="572">
        <v>8</v>
      </c>
      <c r="C3359" s="572">
        <v>109</v>
      </c>
      <c r="D3359" s="428" t="s">
        <v>5943</v>
      </c>
      <c r="E3359" s="325" t="s">
        <v>924</v>
      </c>
      <c r="F3359" s="184">
        <v>37853</v>
      </c>
      <c r="G3359" s="184"/>
      <c r="H3359" s="185">
        <v>1</v>
      </c>
      <c r="I3359" s="185">
        <v>7</v>
      </c>
      <c r="J3359" s="901" t="s">
        <v>1796</v>
      </c>
      <c r="K3359" s="158" t="s">
        <v>5251</v>
      </c>
      <c r="L3359" s="158" t="s">
        <v>3551</v>
      </c>
      <c r="M3359" s="158" t="s">
        <v>3551</v>
      </c>
      <c r="N3359" s="158" t="s">
        <v>4105</v>
      </c>
      <c r="O3359" s="158"/>
      <c r="P3359" s="182" t="s">
        <v>461</v>
      </c>
      <c r="Q3359" s="158" t="s">
        <v>4062</v>
      </c>
      <c r="R3359" s="207" t="s">
        <v>5266</v>
      </c>
      <c r="S3359" s="355"/>
      <c r="T3359" s="182"/>
      <c r="U3359" s="182"/>
      <c r="V3359" s="182"/>
      <c r="W3359" s="325" t="s">
        <v>924</v>
      </c>
      <c r="X3359" s="657" t="s">
        <v>12456</v>
      </c>
      <c r="Y3359" s="361"/>
      <c r="Z3359" s="362"/>
      <c r="AA3359" s="362"/>
      <c r="AB3359" s="33">
        <f t="shared" ca="1" si="79"/>
        <v>0.43621142504881061</v>
      </c>
      <c r="AC3359" s="813"/>
      <c r="AD3359" s="826" t="s">
        <v>15042</v>
      </c>
      <c r="AE3359" s="949" t="s">
        <v>12543</v>
      </c>
      <c r="AF3359" s="922">
        <f>IF(X3359=X3358,AF3358,0)+IF(ISNUMBER(I3359),IF(I3359&lt;1,I3359,I3359*VLOOKUP(J3359,Summary!$H$2:$I$9,2)),VLOOKUP(J3359,Summary!$J$2:$K$9,2)*IF(ISNUMBER(H3359),H3359,1))</f>
        <v>0.38064814814814812</v>
      </c>
      <c r="AG3359" s="295">
        <v>3358</v>
      </c>
      <c r="AH3359" s="94"/>
      <c r="AI3359" s="94"/>
    </row>
    <row r="3360" spans="1:35" s="22" customFormat="1" ht="12" customHeight="1" x14ac:dyDescent="0.25">
      <c r="A3360" s="571" t="s">
        <v>5937</v>
      </c>
      <c r="B3360" s="571">
        <v>8</v>
      </c>
      <c r="C3360" s="574">
        <v>8.0299999999999994</v>
      </c>
      <c r="D3360" s="434" t="s">
        <v>3776</v>
      </c>
      <c r="E3360" s="324" t="s">
        <v>4347</v>
      </c>
      <c r="F3360" s="174">
        <v>37956</v>
      </c>
      <c r="G3360" s="174"/>
      <c r="H3360" s="176">
        <v>1</v>
      </c>
      <c r="I3360" s="176">
        <v>15</v>
      </c>
      <c r="J3360" s="900" t="s">
        <v>2755</v>
      </c>
      <c r="K3360" s="164" t="s">
        <v>5777</v>
      </c>
      <c r="L3360" s="164" t="s">
        <v>461</v>
      </c>
      <c r="M3360" s="164"/>
      <c r="N3360" s="164" t="s">
        <v>4996</v>
      </c>
      <c r="O3360" s="164"/>
      <c r="P3360" s="173" t="s">
        <v>2555</v>
      </c>
      <c r="Q3360" s="164" t="s">
        <v>3947</v>
      </c>
      <c r="R3360" s="179" t="s">
        <v>2723</v>
      </c>
      <c r="S3360" s="354"/>
      <c r="T3360" s="173"/>
      <c r="U3360" s="173"/>
      <c r="V3360" s="173"/>
      <c r="W3360" s="324" t="s">
        <v>4347</v>
      </c>
      <c r="X3360" s="656" t="s">
        <v>12456</v>
      </c>
      <c r="Y3360" s="363"/>
      <c r="Z3360" s="364"/>
      <c r="AA3360" s="364"/>
      <c r="AB3360" s="32">
        <f t="shared" ca="1" si="79"/>
        <v>0.98115657671067036</v>
      </c>
      <c r="AC3360" s="812"/>
      <c r="AD3360" s="763"/>
      <c r="AE3360" s="951"/>
      <c r="AF3360" s="921">
        <f>IF(X3360=X3359,AF3359,0)+IF(ISNUMBER(I3360),IF(I3360&lt;1,I3360,I3360*VLOOKUP(J3360,Summary!$H$2:$I$9,2)),VLOOKUP(J3360,Summary!$J$2:$K$9,2)*IF(ISNUMBER(H3360),H3360,1))</f>
        <v>0.39106481481481481</v>
      </c>
      <c r="AG3360" s="288">
        <v>3359</v>
      </c>
      <c r="AH3360" s="94"/>
      <c r="AI3360" s="94"/>
    </row>
    <row r="3361" spans="1:36" s="26" customFormat="1" ht="12" customHeight="1" x14ac:dyDescent="0.25">
      <c r="A3361" s="571" t="s">
        <v>5937</v>
      </c>
      <c r="B3361" s="571">
        <v>8</v>
      </c>
      <c r="C3361" s="571">
        <v>15.08</v>
      </c>
      <c r="D3361" s="434" t="s">
        <v>147</v>
      </c>
      <c r="E3361" s="324" t="s">
        <v>7476</v>
      </c>
      <c r="F3361" s="174">
        <v>38412</v>
      </c>
      <c r="G3361" s="174"/>
      <c r="H3361" s="176">
        <v>2</v>
      </c>
      <c r="I3361" s="176">
        <v>10</v>
      </c>
      <c r="J3361" s="900" t="s">
        <v>2755</v>
      </c>
      <c r="K3361" s="164" t="s">
        <v>146</v>
      </c>
      <c r="L3361" s="164" t="s">
        <v>461</v>
      </c>
      <c r="M3361" s="164"/>
      <c r="N3361" s="164" t="s">
        <v>6997</v>
      </c>
      <c r="O3361" s="164"/>
      <c r="P3361" s="173" t="s">
        <v>6998</v>
      </c>
      <c r="Q3361" s="164" t="s">
        <v>3947</v>
      </c>
      <c r="R3361" s="179" t="s">
        <v>2723</v>
      </c>
      <c r="S3361" s="354"/>
      <c r="T3361" s="173"/>
      <c r="U3361" s="173"/>
      <c r="V3361" s="173"/>
      <c r="W3361" s="324" t="s">
        <v>7476</v>
      </c>
      <c r="X3361" s="656" t="s">
        <v>12456</v>
      </c>
      <c r="Y3361" s="363"/>
      <c r="Z3361" s="364"/>
      <c r="AA3361" s="364"/>
      <c r="AB3361" s="32">
        <f t="shared" ca="1" si="79"/>
        <v>0.58710817797954085</v>
      </c>
      <c r="AC3361" s="812"/>
      <c r="AD3361" s="763"/>
      <c r="AE3361" s="951"/>
      <c r="AF3361" s="921">
        <f>IF(X3361=X3360,AF3360,0)+IF(ISNUMBER(I3361),IF(I3361&lt;1,I3361,I3361*VLOOKUP(J3361,Summary!$H$2:$I$9,2)),VLOOKUP(J3361,Summary!$J$2:$K$9,2)*IF(ISNUMBER(H3361),H3361,1))</f>
        <v>0.39800925925925923</v>
      </c>
      <c r="AG3361" s="288">
        <v>3360</v>
      </c>
      <c r="AH3361" s="94"/>
      <c r="AI3361" s="94"/>
    </row>
    <row r="3362" spans="1:36" s="22" customFormat="1" ht="12" customHeight="1" x14ac:dyDescent="0.25">
      <c r="A3362" s="571" t="s">
        <v>5937</v>
      </c>
      <c r="B3362" s="571">
        <v>8</v>
      </c>
      <c r="C3362" s="575">
        <v>25</v>
      </c>
      <c r="D3362" s="176" t="s">
        <v>12833</v>
      </c>
      <c r="E3362" s="313" t="s">
        <v>12834</v>
      </c>
      <c r="F3362" s="175">
        <v>36621</v>
      </c>
      <c r="G3362" s="175"/>
      <c r="H3362" s="176">
        <v>1</v>
      </c>
      <c r="I3362" s="176">
        <v>4</v>
      </c>
      <c r="J3362" s="900" t="s">
        <v>2755</v>
      </c>
      <c r="K3362" s="164" t="s">
        <v>5658</v>
      </c>
      <c r="L3362" s="164" t="s">
        <v>461</v>
      </c>
      <c r="M3362" s="164"/>
      <c r="N3362" s="164" t="s">
        <v>5906</v>
      </c>
      <c r="O3362" s="164"/>
      <c r="P3362" s="173" t="s">
        <v>461</v>
      </c>
      <c r="Q3362" s="164" t="s">
        <v>4062</v>
      </c>
      <c r="R3362" s="177" t="s">
        <v>10250</v>
      </c>
      <c r="S3362" s="354"/>
      <c r="T3362" s="173"/>
      <c r="U3362" s="173"/>
      <c r="V3362" s="173" t="s">
        <v>3535</v>
      </c>
      <c r="W3362" s="313" t="s">
        <v>12834</v>
      </c>
      <c r="X3362" s="656" t="s">
        <v>12456</v>
      </c>
      <c r="Y3362" s="354"/>
      <c r="Z3362" s="176"/>
      <c r="AA3362" s="176"/>
      <c r="AB3362" s="32">
        <f t="shared" ca="1" si="79"/>
        <v>0.65080699694611255</v>
      </c>
      <c r="AC3362" s="812"/>
      <c r="AD3362" s="763"/>
      <c r="AE3362" s="807"/>
      <c r="AF3362" s="921">
        <f>IF(X3362=X3361,AF3361,0)+IF(ISNUMBER(I3362),IF(I3362&lt;1,I3362,I3362*VLOOKUP(J3362,Summary!$H$2:$I$9,2)),VLOOKUP(J3362,Summary!$J$2:$K$9,2)*IF(ISNUMBER(H3362),H3362,1))</f>
        <v>0.400787037037037</v>
      </c>
      <c r="AG3362" s="289">
        <v>3361</v>
      </c>
      <c r="AH3362" s="94"/>
      <c r="AI3362" s="94"/>
    </row>
    <row r="3363" spans="1:36" s="27" customFormat="1" ht="12" customHeight="1" x14ac:dyDescent="0.25">
      <c r="A3363" s="571" t="s">
        <v>7554</v>
      </c>
      <c r="B3363" s="571">
        <v>8</v>
      </c>
      <c r="C3363" s="571">
        <v>28</v>
      </c>
      <c r="D3363" s="176" t="s">
        <v>878</v>
      </c>
      <c r="E3363" s="313" t="s">
        <v>850</v>
      </c>
      <c r="F3363" s="174">
        <v>36100</v>
      </c>
      <c r="G3363" s="175"/>
      <c r="H3363" s="176" t="s">
        <v>461</v>
      </c>
      <c r="I3363" s="176"/>
      <c r="J3363" s="900" t="s">
        <v>2755</v>
      </c>
      <c r="K3363" s="164" t="s">
        <v>908</v>
      </c>
      <c r="L3363" s="164"/>
      <c r="M3363" s="164"/>
      <c r="N3363" s="164" t="s">
        <v>819</v>
      </c>
      <c r="O3363" s="164"/>
      <c r="P3363" s="178" t="s">
        <v>461</v>
      </c>
      <c r="Q3363" s="164" t="s">
        <v>820</v>
      </c>
      <c r="R3363" s="177" t="s">
        <v>895</v>
      </c>
      <c r="S3363" s="354" t="s">
        <v>7319</v>
      </c>
      <c r="T3363" s="173"/>
      <c r="U3363" s="173"/>
      <c r="V3363" s="173"/>
      <c r="W3363" s="313" t="s">
        <v>10155</v>
      </c>
      <c r="X3363" s="645" t="s">
        <v>12453</v>
      </c>
      <c r="Y3363" s="354"/>
      <c r="Z3363" s="176"/>
      <c r="AA3363" s="176"/>
      <c r="AB3363" s="32">
        <f t="shared" ca="1" si="79"/>
        <v>0.35299626777790716</v>
      </c>
      <c r="AC3363" s="812"/>
      <c r="AD3363" s="763"/>
      <c r="AE3363" s="807"/>
      <c r="AF3363" s="921">
        <f>IF(X3363=X3362,AF3362,0)+IF(ISNUMBER(I3363),IF(I3363&lt;1,I3363,I3363*VLOOKUP(J3363,Summary!$H$2:$I$9,2)),VLOOKUP(J3363,Summary!$J$2:$K$9,2)*IF(ISNUMBER(H3363),H3363,1))</f>
        <v>1.7361111111111112E-2</v>
      </c>
      <c r="AG3363" s="289">
        <v>3362</v>
      </c>
      <c r="AH3363" s="119"/>
      <c r="AI3363" s="119"/>
    </row>
    <row r="3364" spans="1:36" s="9" customFormat="1" ht="12" customHeight="1" x14ac:dyDescent="0.25">
      <c r="A3364" s="569" t="s">
        <v>7554</v>
      </c>
      <c r="B3364" s="569">
        <v>8</v>
      </c>
      <c r="C3364" s="569">
        <v>2</v>
      </c>
      <c r="D3364" s="417" t="s">
        <v>3868</v>
      </c>
      <c r="E3364" s="316" t="s">
        <v>3869</v>
      </c>
      <c r="F3364" s="187">
        <v>35612</v>
      </c>
      <c r="G3364" s="188"/>
      <c r="H3364" s="188">
        <v>3</v>
      </c>
      <c r="I3364" s="188">
        <v>283</v>
      </c>
      <c r="J3364" s="902" t="s">
        <v>6868</v>
      </c>
      <c r="K3364" s="162" t="s">
        <v>5121</v>
      </c>
      <c r="L3364" s="162" t="str">
        <f>IF(J3364="Book","n/a","")</f>
        <v>n/a</v>
      </c>
      <c r="M3364" s="162"/>
      <c r="N3364" s="162"/>
      <c r="O3364" s="162"/>
      <c r="P3364" s="178" t="s">
        <v>9059</v>
      </c>
      <c r="Q3364" s="162" t="s">
        <v>3953</v>
      </c>
      <c r="R3364" s="189" t="s">
        <v>2714</v>
      </c>
      <c r="S3364" s="366" t="s">
        <v>7321</v>
      </c>
      <c r="T3364" s="178"/>
      <c r="U3364" s="178"/>
      <c r="V3364" s="178"/>
      <c r="W3364" s="316" t="s">
        <v>15419</v>
      </c>
      <c r="X3364" s="648" t="s">
        <v>12453</v>
      </c>
      <c r="Y3364" s="356"/>
      <c r="Z3364" s="272">
        <v>30</v>
      </c>
      <c r="AA3364" s="272">
        <v>8</v>
      </c>
      <c r="AB3364" s="34">
        <f t="shared" ca="1" si="79"/>
        <v>0.26408030481209099</v>
      </c>
      <c r="AC3364" s="814"/>
      <c r="AD3364" s="815" t="s">
        <v>16058</v>
      </c>
      <c r="AE3364" s="942"/>
      <c r="AF3364" s="923">
        <f>IF(X3364=X3363,AF3363,0)+IF(ISNUMBER(I3364),IF(I3364&lt;1,I3364,I3364*VLOOKUP(J3364,Summary!$H$2:$I$9,2)),VLOOKUP(J3364,Summary!$J$2:$K$9,2)*IF(ISNUMBER(H3364),H3364,1))</f>
        <v>0.21388888888888888</v>
      </c>
      <c r="AG3364" s="291">
        <v>3363</v>
      </c>
      <c r="AH3364" s="94"/>
      <c r="AI3364" s="94"/>
      <c r="AJ3364" s="2"/>
    </row>
    <row r="3365" spans="1:36" s="2" customFormat="1" ht="12" customHeight="1" x14ac:dyDescent="0.25">
      <c r="A3365" s="569" t="s">
        <v>7554</v>
      </c>
      <c r="B3365" s="569">
        <v>8</v>
      </c>
      <c r="C3365" s="569">
        <v>3</v>
      </c>
      <c r="D3365" s="417" t="s">
        <v>3870</v>
      </c>
      <c r="E3365" s="316" t="s">
        <v>3871</v>
      </c>
      <c r="F3365" s="187">
        <v>35643</v>
      </c>
      <c r="G3365" s="188"/>
      <c r="H3365" s="188" t="str">
        <f>IF(J3365="Book","n/a","")</f>
        <v>n/a</v>
      </c>
      <c r="I3365" s="188">
        <v>280</v>
      </c>
      <c r="J3365" s="902" t="s">
        <v>6868</v>
      </c>
      <c r="K3365" s="162" t="s">
        <v>4033</v>
      </c>
      <c r="L3365" s="162" t="str">
        <f>IF(J3365="Book","n/a","")</f>
        <v>n/a</v>
      </c>
      <c r="M3365" s="162"/>
      <c r="N3365" s="162"/>
      <c r="O3365" s="162"/>
      <c r="P3365" s="178" t="s">
        <v>9060</v>
      </c>
      <c r="Q3365" s="162" t="s">
        <v>3953</v>
      </c>
      <c r="R3365" s="189" t="s">
        <v>2714</v>
      </c>
      <c r="S3365" s="366" t="s">
        <v>7321</v>
      </c>
      <c r="T3365" s="178"/>
      <c r="U3365" s="178"/>
      <c r="V3365" s="178" t="s">
        <v>12158</v>
      </c>
      <c r="W3365" s="316" t="s">
        <v>3871</v>
      </c>
      <c r="X3365" s="648" t="s">
        <v>12453</v>
      </c>
      <c r="Y3365" s="356" t="s">
        <v>6868</v>
      </c>
      <c r="Z3365" s="272">
        <v>209</v>
      </c>
      <c r="AA3365" s="272">
        <v>3</v>
      </c>
      <c r="AB3365" s="34">
        <f t="shared" ca="1" si="79"/>
        <v>0.47965522763033219</v>
      </c>
      <c r="AC3365" s="814"/>
      <c r="AD3365" s="818" t="s">
        <v>14974</v>
      </c>
      <c r="AE3365" s="942"/>
      <c r="AF3365" s="923">
        <f>IF(X3365=X3364,AF3364,0)+IF(ISNUMBER(I3365),IF(I3365&lt;1,I3365,I3365*VLOOKUP(J3365,Summary!$H$2:$I$9,2)),VLOOKUP(J3365,Summary!$J$2:$K$9,2)*IF(ISNUMBER(H3365),H3365,1))</f>
        <v>0.40833333333333333</v>
      </c>
      <c r="AG3365" s="291">
        <v>3364</v>
      </c>
      <c r="AH3365" s="94"/>
      <c r="AI3365" s="94"/>
      <c r="AJ3365" s="43"/>
    </row>
    <row r="3366" spans="1:36" s="2" customFormat="1" ht="12" customHeight="1" x14ac:dyDescent="0.25">
      <c r="A3366" s="569" t="s">
        <v>7554</v>
      </c>
      <c r="B3366" s="569">
        <v>8</v>
      </c>
      <c r="C3366" s="569">
        <v>4</v>
      </c>
      <c r="D3366" s="417" t="s">
        <v>3872</v>
      </c>
      <c r="E3366" s="316" t="s">
        <v>2848</v>
      </c>
      <c r="F3366" s="187">
        <v>35674</v>
      </c>
      <c r="G3366" s="188"/>
      <c r="H3366" s="188" t="str">
        <f>IF(J3366="Book","n/a","")</f>
        <v>n/a</v>
      </c>
      <c r="I3366" s="188">
        <v>281</v>
      </c>
      <c r="J3366" s="902" t="s">
        <v>6868</v>
      </c>
      <c r="K3366" s="162" t="s">
        <v>6232</v>
      </c>
      <c r="L3366" s="162" t="str">
        <f>IF(J3366="Book","n/a","")</f>
        <v>n/a</v>
      </c>
      <c r="M3366" s="162"/>
      <c r="N3366" s="162"/>
      <c r="O3366" s="162"/>
      <c r="P3366" s="178" t="s">
        <v>9061</v>
      </c>
      <c r="Q3366" s="162" t="s">
        <v>3953</v>
      </c>
      <c r="R3366" s="189" t="s">
        <v>2714</v>
      </c>
      <c r="S3366" s="366" t="s">
        <v>7321</v>
      </c>
      <c r="T3366" s="178"/>
      <c r="U3366" s="178"/>
      <c r="V3366" s="178"/>
      <c r="W3366" s="316" t="s">
        <v>2848</v>
      </c>
      <c r="X3366" s="648" t="s">
        <v>12453</v>
      </c>
      <c r="Y3366" s="356"/>
      <c r="Z3366" s="272">
        <v>137</v>
      </c>
      <c r="AA3366" s="272">
        <v>4.5</v>
      </c>
      <c r="AB3366" s="34">
        <f t="shared" ca="1" si="79"/>
        <v>0.51905909278937257</v>
      </c>
      <c r="AC3366" s="814"/>
      <c r="AD3366" s="818" t="s">
        <v>16059</v>
      </c>
      <c r="AE3366" s="942" t="s">
        <v>12543</v>
      </c>
      <c r="AF3366" s="923">
        <f>IF(X3366=X3365,AF3365,0)+IF(ISNUMBER(I3366),IF(I3366&lt;1,I3366,I3366*VLOOKUP(J3366,Summary!$H$2:$I$9,2)),VLOOKUP(J3366,Summary!$J$2:$K$9,2)*IF(ISNUMBER(H3366),H3366,1))</f>
        <v>0.60347222222222219</v>
      </c>
      <c r="AG3366" s="291">
        <v>3365</v>
      </c>
      <c r="AH3366" s="94"/>
      <c r="AI3366" s="94"/>
      <c r="AJ3366" s="43"/>
    </row>
    <row r="3367" spans="1:36" s="2" customFormat="1" ht="12" customHeight="1" x14ac:dyDescent="0.25">
      <c r="A3367" s="570" t="s">
        <v>7554</v>
      </c>
      <c r="B3367" s="570">
        <v>8</v>
      </c>
      <c r="C3367" s="570">
        <v>2.11</v>
      </c>
      <c r="D3367" s="463" t="s">
        <v>7939</v>
      </c>
      <c r="E3367" s="330" t="s">
        <v>4341</v>
      </c>
      <c r="F3367" s="191">
        <v>36220</v>
      </c>
      <c r="G3367" s="192"/>
      <c r="H3367" s="192">
        <v>1</v>
      </c>
      <c r="I3367" s="753">
        <f>TIME(0,38,0)</f>
        <v>2.6388888888888889E-2</v>
      </c>
      <c r="J3367" s="903" t="s">
        <v>2755</v>
      </c>
      <c r="K3367" s="159" t="s">
        <v>7940</v>
      </c>
      <c r="L3367" s="159" t="s">
        <v>461</v>
      </c>
      <c r="M3367" s="159" t="s">
        <v>4933</v>
      </c>
      <c r="N3367" s="159" t="s">
        <v>6237</v>
      </c>
      <c r="O3367" s="159"/>
      <c r="P3367" s="190" t="s">
        <v>6561</v>
      </c>
      <c r="Q3367" s="159" t="s">
        <v>3953</v>
      </c>
      <c r="R3367" s="221" t="s">
        <v>2723</v>
      </c>
      <c r="S3367" s="357" t="s">
        <v>7321</v>
      </c>
      <c r="T3367" s="190"/>
      <c r="U3367" s="190"/>
      <c r="V3367" s="190"/>
      <c r="W3367" s="330" t="s">
        <v>4341</v>
      </c>
      <c r="X3367" s="662" t="s">
        <v>12453</v>
      </c>
      <c r="Y3367" s="354" t="s">
        <v>6868</v>
      </c>
      <c r="Z3367" s="176">
        <v>999</v>
      </c>
      <c r="AA3367" s="367"/>
      <c r="AB3367" s="37">
        <f t="shared" ca="1" si="79"/>
        <v>0.59501785264958673</v>
      </c>
      <c r="AC3367" s="816"/>
      <c r="AD3367" s="817"/>
      <c r="AE3367" s="955"/>
      <c r="AF3367" s="924">
        <f>IF(X3367=X3366,AF3366,0)+IF(ISNUMBER(I3367),IF(I3367&lt;1,I3367,I3367*VLOOKUP(J3367,Summary!$H$2:$I$9,2)),VLOOKUP(J3367,Summary!$J$2:$K$9,2)*IF(ISNUMBER(H3367),H3367,1))</f>
        <v>0.62986111111111109</v>
      </c>
      <c r="AG3367" s="298">
        <v>3366</v>
      </c>
      <c r="AH3367" s="94"/>
      <c r="AI3367" s="94"/>
      <c r="AJ3367" s="43"/>
    </row>
    <row r="3368" spans="1:36" s="2" customFormat="1" ht="12" customHeight="1" x14ac:dyDescent="0.25">
      <c r="A3368" s="571" t="s">
        <v>7554</v>
      </c>
      <c r="B3368" s="571">
        <v>8</v>
      </c>
      <c r="C3368" s="571">
        <v>3.06</v>
      </c>
      <c r="D3368" s="434" t="s">
        <v>7941</v>
      </c>
      <c r="E3368" s="324" t="s">
        <v>4343</v>
      </c>
      <c r="F3368" s="174">
        <v>36586</v>
      </c>
      <c r="G3368" s="174"/>
      <c r="H3368" s="176">
        <v>1</v>
      </c>
      <c r="I3368" s="176">
        <v>27</v>
      </c>
      <c r="J3368" s="900" t="s">
        <v>2755</v>
      </c>
      <c r="K3368" s="164" t="s">
        <v>4032</v>
      </c>
      <c r="L3368" s="164" t="s">
        <v>461</v>
      </c>
      <c r="M3368" s="164"/>
      <c r="N3368" s="164" t="s">
        <v>4992</v>
      </c>
      <c r="O3368" s="164"/>
      <c r="P3368" s="173" t="s">
        <v>4993</v>
      </c>
      <c r="Q3368" s="164" t="s">
        <v>3953</v>
      </c>
      <c r="R3368" s="179" t="s">
        <v>2723</v>
      </c>
      <c r="S3368" s="354" t="s">
        <v>7321</v>
      </c>
      <c r="T3368" s="173"/>
      <c r="U3368" s="173"/>
      <c r="V3368" s="173"/>
      <c r="W3368" s="324" t="s">
        <v>4343</v>
      </c>
      <c r="X3368" s="656" t="s">
        <v>12453</v>
      </c>
      <c r="Y3368" s="354" t="s">
        <v>6868</v>
      </c>
      <c r="Z3368" s="176">
        <v>999</v>
      </c>
      <c r="AA3368" s="364"/>
      <c r="AB3368" s="32">
        <f t="shared" ca="1" si="79"/>
        <v>0.3910430423992054</v>
      </c>
      <c r="AC3368" s="812"/>
      <c r="AD3368" s="763"/>
      <c r="AE3368" s="951"/>
      <c r="AF3368" s="921">
        <f>IF(X3368=X3367,AF3367,0)+IF(ISNUMBER(I3368),IF(I3368&lt;1,I3368,I3368*VLOOKUP(J3368,Summary!$H$2:$I$9,2)),VLOOKUP(J3368,Summary!$J$2:$K$9,2)*IF(ISNUMBER(H3368),H3368,1))</f>
        <v>0.64861111111111114</v>
      </c>
      <c r="AG3368" s="288">
        <v>3367</v>
      </c>
      <c r="AH3368" s="94"/>
      <c r="AI3368" s="94"/>
      <c r="AJ3368" s="43"/>
    </row>
    <row r="3369" spans="1:36" s="2" customFormat="1" ht="12" customHeight="1" x14ac:dyDescent="0.25">
      <c r="A3369" s="569" t="s">
        <v>7554</v>
      </c>
      <c r="B3369" s="569">
        <v>8</v>
      </c>
      <c r="C3369" s="569">
        <v>5</v>
      </c>
      <c r="D3369" s="417" t="s">
        <v>2849</v>
      </c>
      <c r="E3369" s="316" t="s">
        <v>2850</v>
      </c>
      <c r="F3369" s="187">
        <v>35704</v>
      </c>
      <c r="G3369" s="188"/>
      <c r="H3369" s="188" t="str">
        <f>IF(J3369="Book","n/a","")</f>
        <v>n/a</v>
      </c>
      <c r="I3369" s="188">
        <v>277</v>
      </c>
      <c r="J3369" s="902" t="s">
        <v>6868</v>
      </c>
      <c r="K3369" s="162" t="s">
        <v>7085</v>
      </c>
      <c r="L3369" s="162" t="str">
        <f>IF(J3369="Book","n/a","")</f>
        <v>n/a</v>
      </c>
      <c r="M3369" s="162"/>
      <c r="N3369" s="162"/>
      <c r="O3369" s="162"/>
      <c r="P3369" s="178" t="s">
        <v>9062</v>
      </c>
      <c r="Q3369" s="162" t="s">
        <v>3953</v>
      </c>
      <c r="R3369" s="189" t="s">
        <v>2714</v>
      </c>
      <c r="S3369" s="366" t="s">
        <v>7321</v>
      </c>
      <c r="T3369" s="178"/>
      <c r="U3369" s="178"/>
      <c r="V3369" s="178"/>
      <c r="W3369" s="316" t="s">
        <v>2850</v>
      </c>
      <c r="X3369" s="648" t="s">
        <v>12453</v>
      </c>
      <c r="Y3369" s="356"/>
      <c r="Z3369" s="272">
        <v>236</v>
      </c>
      <c r="AA3369" s="272">
        <v>1</v>
      </c>
      <c r="AB3369" s="34">
        <f t="shared" ca="1" si="79"/>
        <v>0.83948293198610757</v>
      </c>
      <c r="AC3369" s="814"/>
      <c r="AD3369" s="815" t="s">
        <v>16421</v>
      </c>
      <c r="AE3369" s="942" t="s">
        <v>15062</v>
      </c>
      <c r="AF3369" s="923">
        <f>IF(X3369=X3368,AF3368,0)+IF(ISNUMBER(I3369),IF(I3369&lt;1,I3369,I3369*VLOOKUP(J3369,Summary!$H$2:$I$9,2)),VLOOKUP(J3369,Summary!$J$2:$K$9,2)*IF(ISNUMBER(H3369),H3369,1))</f>
        <v>0.84097222222222223</v>
      </c>
      <c r="AG3369" s="291">
        <v>3368</v>
      </c>
      <c r="AH3369" s="94"/>
      <c r="AI3369" s="94"/>
      <c r="AJ3369" s="43"/>
    </row>
    <row r="3370" spans="1:36" s="2" customFormat="1" ht="12" customHeight="1" x14ac:dyDescent="0.25">
      <c r="A3370" s="569" t="s">
        <v>7554</v>
      </c>
      <c r="B3370" s="569">
        <v>8</v>
      </c>
      <c r="C3370" s="569">
        <v>6</v>
      </c>
      <c r="D3370" s="417" t="s">
        <v>2851</v>
      </c>
      <c r="E3370" s="316" t="s">
        <v>0</v>
      </c>
      <c r="F3370" s="195">
        <v>35735</v>
      </c>
      <c r="G3370" s="188"/>
      <c r="H3370" s="188" t="str">
        <f>IF(J3370="Book","n/a","")</f>
        <v>n/a</v>
      </c>
      <c r="I3370" s="188">
        <v>313</v>
      </c>
      <c r="J3370" s="902" t="s">
        <v>6868</v>
      </c>
      <c r="K3370" s="162" t="s">
        <v>5122</v>
      </c>
      <c r="L3370" s="162" t="str">
        <f>IF(J3370="Book","n/a","")</f>
        <v>n/a</v>
      </c>
      <c r="M3370" s="162"/>
      <c r="N3370" s="162"/>
      <c r="O3370" s="162"/>
      <c r="P3370" s="178" t="s">
        <v>9063</v>
      </c>
      <c r="Q3370" s="162" t="s">
        <v>3953</v>
      </c>
      <c r="R3370" s="189" t="s">
        <v>2714</v>
      </c>
      <c r="S3370" s="366" t="s">
        <v>7321</v>
      </c>
      <c r="T3370" s="178"/>
      <c r="U3370" s="178"/>
      <c r="V3370" s="178"/>
      <c r="W3370" s="316" t="s">
        <v>0</v>
      </c>
      <c r="X3370" s="648" t="s">
        <v>12453</v>
      </c>
      <c r="Y3370" s="356" t="s">
        <v>6868</v>
      </c>
      <c r="Z3370" s="272">
        <v>1</v>
      </c>
      <c r="AA3370" s="272">
        <v>10</v>
      </c>
      <c r="AB3370" s="34">
        <f t="shared" ca="1" si="79"/>
        <v>0.72132693576491447</v>
      </c>
      <c r="AC3370" s="814"/>
      <c r="AD3370" s="815" t="s">
        <v>16099</v>
      </c>
      <c r="AE3370" s="942"/>
      <c r="AF3370" s="923">
        <f>IF(X3370=X3369,AF3369,0)+IF(ISNUMBER(I3370),IF(I3370&lt;1,I3370,I3370*VLOOKUP(J3370,Summary!$H$2:$I$9,2)),VLOOKUP(J3370,Summary!$J$2:$K$9,2)*IF(ISNUMBER(H3370),H3370,1))</f>
        <v>1.0583333333333333</v>
      </c>
      <c r="AG3370" s="291">
        <v>3369</v>
      </c>
      <c r="AH3370" s="94"/>
      <c r="AI3370" s="94"/>
      <c r="AJ3370" s="43"/>
    </row>
    <row r="3371" spans="1:36" s="22" customFormat="1" ht="12" customHeight="1" x14ac:dyDescent="0.25">
      <c r="A3371" s="569" t="s">
        <v>7554</v>
      </c>
      <c r="B3371" s="569">
        <v>8</v>
      </c>
      <c r="C3371" s="569">
        <v>7</v>
      </c>
      <c r="D3371" s="417" t="s">
        <v>1</v>
      </c>
      <c r="E3371" s="316" t="s">
        <v>2</v>
      </c>
      <c r="F3371" s="187">
        <v>35796</v>
      </c>
      <c r="G3371" s="188"/>
      <c r="H3371" s="188" t="str">
        <f>IF(J3371="Book","n/a","")</f>
        <v>n/a</v>
      </c>
      <c r="I3371" s="188">
        <v>282</v>
      </c>
      <c r="J3371" s="902" t="s">
        <v>6868</v>
      </c>
      <c r="K3371" s="162" t="s">
        <v>4551</v>
      </c>
      <c r="L3371" s="162" t="str">
        <f>IF(J3371="Book","n/a","")</f>
        <v>n/a</v>
      </c>
      <c r="M3371" s="162"/>
      <c r="N3371" s="162"/>
      <c r="O3371" s="162"/>
      <c r="P3371" s="178" t="s">
        <v>9064</v>
      </c>
      <c r="Q3371" s="162" t="s">
        <v>3953</v>
      </c>
      <c r="R3371" s="189" t="s">
        <v>2714</v>
      </c>
      <c r="S3371" s="366" t="s">
        <v>7321</v>
      </c>
      <c r="T3371" s="178"/>
      <c r="U3371" s="178"/>
      <c r="V3371" s="178"/>
      <c r="W3371" s="316" t="s">
        <v>2</v>
      </c>
      <c r="X3371" s="648" t="s">
        <v>12453</v>
      </c>
      <c r="Y3371" s="356"/>
      <c r="Z3371" s="272">
        <v>222</v>
      </c>
      <c r="AA3371" s="272">
        <v>2.5</v>
      </c>
      <c r="AB3371" s="34">
        <f t="shared" ca="1" si="79"/>
        <v>0.77169140886432142</v>
      </c>
      <c r="AC3371" s="814"/>
      <c r="AD3371" s="815" t="s">
        <v>16125</v>
      </c>
      <c r="AE3371" s="942" t="s">
        <v>16126</v>
      </c>
      <c r="AF3371" s="923">
        <f>IF(X3371=X3370,AF3370,0)+IF(ISNUMBER(I3371),IF(I3371&lt;1,I3371,I3371*VLOOKUP(J3371,Summary!$H$2:$I$9,2)),VLOOKUP(J3371,Summary!$J$2:$K$9,2)*IF(ISNUMBER(H3371),H3371,1))</f>
        <v>1.2541666666666667</v>
      </c>
      <c r="AG3371" s="291">
        <v>3370</v>
      </c>
      <c r="AH3371" s="94"/>
      <c r="AI3371" s="94"/>
      <c r="AJ3371" s="43"/>
    </row>
    <row r="3372" spans="1:36" s="2" customFormat="1" ht="12" customHeight="1" x14ac:dyDescent="0.25">
      <c r="A3372" s="569" t="s">
        <v>7554</v>
      </c>
      <c r="B3372" s="569">
        <v>8</v>
      </c>
      <c r="C3372" s="569">
        <v>8</v>
      </c>
      <c r="D3372" s="417" t="s">
        <v>6309</v>
      </c>
      <c r="E3372" s="316" t="s">
        <v>6310</v>
      </c>
      <c r="F3372" s="187">
        <v>35827</v>
      </c>
      <c r="G3372" s="188"/>
      <c r="H3372" s="188" t="str">
        <f>IF(J3372="Book","n/a","")</f>
        <v>n/a</v>
      </c>
      <c r="I3372" s="188">
        <v>281</v>
      </c>
      <c r="J3372" s="902" t="s">
        <v>6868</v>
      </c>
      <c r="K3372" s="162" t="s">
        <v>543</v>
      </c>
      <c r="L3372" s="162" t="str">
        <f>IF(J3372="Book","n/a","")</f>
        <v>n/a</v>
      </c>
      <c r="M3372" s="162"/>
      <c r="N3372" s="162"/>
      <c r="O3372" s="162"/>
      <c r="P3372" s="178" t="s">
        <v>9065</v>
      </c>
      <c r="Q3372" s="162" t="s">
        <v>3953</v>
      </c>
      <c r="R3372" s="189" t="s">
        <v>2714</v>
      </c>
      <c r="S3372" s="366" t="s">
        <v>7321</v>
      </c>
      <c r="T3372" s="178"/>
      <c r="U3372" s="178"/>
      <c r="V3372" s="178"/>
      <c r="W3372" s="316" t="s">
        <v>6310</v>
      </c>
      <c r="X3372" s="648" t="s">
        <v>12453</v>
      </c>
      <c r="Y3372" s="356"/>
      <c r="Z3372" s="272">
        <v>49</v>
      </c>
      <c r="AA3372" s="272">
        <v>7</v>
      </c>
      <c r="AB3372" s="34">
        <f t="shared" ca="1" si="79"/>
        <v>5.6545711872290072E-2</v>
      </c>
      <c r="AC3372" s="814"/>
      <c r="AD3372" s="815" t="s">
        <v>16060</v>
      </c>
      <c r="AE3372" s="942" t="s">
        <v>12543</v>
      </c>
      <c r="AF3372" s="923">
        <f>IF(X3372=X3371,AF3371,0)+IF(ISNUMBER(I3372),IF(I3372&lt;1,I3372,I3372*VLOOKUP(J3372,Summary!$H$2:$I$9,2)),VLOOKUP(J3372,Summary!$J$2:$K$9,2)*IF(ISNUMBER(H3372),H3372,1))</f>
        <v>1.4493055555555556</v>
      </c>
      <c r="AG3372" s="291">
        <v>3371</v>
      </c>
      <c r="AH3372" s="94"/>
      <c r="AI3372" s="94"/>
      <c r="AJ3372" s="43"/>
    </row>
    <row r="3373" spans="1:36" s="1" customFormat="1" ht="12" customHeight="1" x14ac:dyDescent="0.25">
      <c r="A3373" s="570" t="s">
        <v>7554</v>
      </c>
      <c r="B3373" s="570">
        <v>8</v>
      </c>
      <c r="C3373" s="570">
        <v>1.1499999999999999</v>
      </c>
      <c r="D3373" s="463" t="s">
        <v>4923</v>
      </c>
      <c r="E3373" s="330" t="s">
        <v>4342</v>
      </c>
      <c r="F3373" s="191">
        <v>35855</v>
      </c>
      <c r="G3373" s="191"/>
      <c r="H3373" s="192">
        <v>1</v>
      </c>
      <c r="I3373" s="753">
        <f>TIME(0,90,0)</f>
        <v>6.25E-2</v>
      </c>
      <c r="J3373" s="903" t="s">
        <v>2755</v>
      </c>
      <c r="K3373" s="194" t="s">
        <v>6232</v>
      </c>
      <c r="L3373" s="194" t="s">
        <v>461</v>
      </c>
      <c r="M3373" s="159" t="s">
        <v>4933</v>
      </c>
      <c r="N3373" s="194" t="s">
        <v>6237</v>
      </c>
      <c r="O3373" s="194"/>
      <c r="P3373" s="190" t="s">
        <v>5042</v>
      </c>
      <c r="Q3373" s="194" t="s">
        <v>3953</v>
      </c>
      <c r="R3373" s="221" t="s">
        <v>2723</v>
      </c>
      <c r="S3373" s="357" t="s">
        <v>7321</v>
      </c>
      <c r="T3373" s="190"/>
      <c r="U3373" s="190"/>
      <c r="V3373" s="190"/>
      <c r="W3373" s="330" t="s">
        <v>4342</v>
      </c>
      <c r="X3373" s="662" t="s">
        <v>12453</v>
      </c>
      <c r="Y3373" s="354" t="s">
        <v>6868</v>
      </c>
      <c r="Z3373" s="176">
        <v>999</v>
      </c>
      <c r="AA3373" s="367"/>
      <c r="AB3373" s="37">
        <f t="shared" ca="1" si="79"/>
        <v>0.59429578707745234</v>
      </c>
      <c r="AC3373" s="816"/>
      <c r="AD3373" s="817"/>
      <c r="AE3373" s="955"/>
      <c r="AF3373" s="924">
        <f>IF(X3373=X3372,AF3372,0)+IF(ISNUMBER(I3373),IF(I3373&lt;1,I3373,I3373*VLOOKUP(J3373,Summary!$H$2:$I$9,2)),VLOOKUP(J3373,Summary!$J$2:$K$9,2)*IF(ISNUMBER(H3373),H3373,1))</f>
        <v>1.5118055555555556</v>
      </c>
      <c r="AG3373" s="298">
        <v>3372</v>
      </c>
      <c r="AH3373" s="94"/>
      <c r="AI3373" s="94"/>
      <c r="AJ3373" s="43"/>
    </row>
    <row r="3374" spans="1:36" s="22" customFormat="1" ht="12" customHeight="1" x14ac:dyDescent="0.25">
      <c r="A3374" s="571" t="s">
        <v>7554</v>
      </c>
      <c r="B3374" s="571">
        <v>8</v>
      </c>
      <c r="C3374" s="571">
        <v>31</v>
      </c>
      <c r="D3374" s="176" t="s">
        <v>881</v>
      </c>
      <c r="E3374" s="313" t="s">
        <v>853</v>
      </c>
      <c r="F3374" s="174">
        <v>36100</v>
      </c>
      <c r="G3374" s="175"/>
      <c r="H3374" s="176" t="s">
        <v>461</v>
      </c>
      <c r="I3374" s="176"/>
      <c r="J3374" s="900" t="s">
        <v>2755</v>
      </c>
      <c r="K3374" s="164" t="s">
        <v>909</v>
      </c>
      <c r="L3374" s="164"/>
      <c r="M3374" s="164"/>
      <c r="N3374" s="164" t="s">
        <v>819</v>
      </c>
      <c r="O3374" s="164"/>
      <c r="P3374" s="178" t="s">
        <v>461</v>
      </c>
      <c r="Q3374" s="164" t="s">
        <v>820</v>
      </c>
      <c r="R3374" s="177" t="s">
        <v>895</v>
      </c>
      <c r="S3374" s="354" t="s">
        <v>7321</v>
      </c>
      <c r="T3374" s="173"/>
      <c r="U3374" s="173"/>
      <c r="V3374" s="173"/>
      <c r="W3374" s="313" t="s">
        <v>853</v>
      </c>
      <c r="X3374" s="645" t="s">
        <v>12453</v>
      </c>
      <c r="Y3374" s="354"/>
      <c r="Z3374" s="176"/>
      <c r="AA3374" s="176"/>
      <c r="AB3374" s="32">
        <f t="shared" ca="1" si="79"/>
        <v>7.7016843608151642E-2</v>
      </c>
      <c r="AC3374" s="812"/>
      <c r="AD3374" s="763"/>
      <c r="AE3374" s="807"/>
      <c r="AF3374" s="921">
        <f>IF(X3374=X3373,AF3373,0)+IF(ISNUMBER(I3374),IF(I3374&lt;1,I3374,I3374*VLOOKUP(J3374,Summary!$H$2:$I$9,2)),VLOOKUP(J3374,Summary!$J$2:$K$9,2)*IF(ISNUMBER(H3374),H3374,1))</f>
        <v>1.5291666666666668</v>
      </c>
      <c r="AG3374" s="289">
        <v>3373</v>
      </c>
      <c r="AH3374" s="94"/>
      <c r="AI3374" s="94"/>
      <c r="AJ3374" s="43"/>
    </row>
    <row r="3375" spans="1:36" s="22" customFormat="1" ht="12" customHeight="1" x14ac:dyDescent="0.25">
      <c r="A3375" s="571" t="s">
        <v>7554</v>
      </c>
      <c r="B3375" s="571">
        <v>8</v>
      </c>
      <c r="C3375" s="571">
        <v>2.1800000000000002</v>
      </c>
      <c r="D3375" s="434" t="s">
        <v>7942</v>
      </c>
      <c r="E3375" s="324" t="s">
        <v>4344</v>
      </c>
      <c r="F3375" s="174">
        <v>36220</v>
      </c>
      <c r="G3375" s="174"/>
      <c r="H3375" s="176">
        <v>1</v>
      </c>
      <c r="I3375" s="176">
        <v>20</v>
      </c>
      <c r="J3375" s="900" t="s">
        <v>2755</v>
      </c>
      <c r="K3375" s="164" t="s">
        <v>5658</v>
      </c>
      <c r="L3375" s="164" t="s">
        <v>461</v>
      </c>
      <c r="M3375" s="164"/>
      <c r="N3375" s="164" t="s">
        <v>6237</v>
      </c>
      <c r="O3375" s="164"/>
      <c r="P3375" s="173" t="s">
        <v>6561</v>
      </c>
      <c r="Q3375" s="164" t="s">
        <v>3953</v>
      </c>
      <c r="R3375" s="179" t="s">
        <v>2723</v>
      </c>
      <c r="S3375" s="354" t="s">
        <v>7321</v>
      </c>
      <c r="T3375" s="173"/>
      <c r="U3375" s="173"/>
      <c r="V3375" s="173" t="s">
        <v>3535</v>
      </c>
      <c r="W3375" s="324" t="s">
        <v>4344</v>
      </c>
      <c r="X3375" s="645" t="s">
        <v>12453</v>
      </c>
      <c r="Y3375" s="354" t="s">
        <v>6868</v>
      </c>
      <c r="Z3375" s="176">
        <v>999</v>
      </c>
      <c r="AA3375" s="364"/>
      <c r="AB3375" s="32">
        <f t="shared" ca="1" si="79"/>
        <v>9.8991690941070853E-2</v>
      </c>
      <c r="AC3375" s="812"/>
      <c r="AD3375" s="763"/>
      <c r="AE3375" s="951"/>
      <c r="AF3375" s="921">
        <f>IF(X3375=X3374,AF3374,0)+IF(ISNUMBER(I3375),IF(I3375&lt;1,I3375,I3375*VLOOKUP(J3375,Summary!$H$2:$I$9,2)),VLOOKUP(J3375,Summary!$J$2:$K$9,2)*IF(ISNUMBER(H3375),H3375,1))</f>
        <v>1.5430555555555556</v>
      </c>
      <c r="AG3375" s="288">
        <v>3374</v>
      </c>
      <c r="AH3375" s="94"/>
      <c r="AI3375" s="94"/>
      <c r="AJ3375" s="2"/>
    </row>
    <row r="3376" spans="1:36" s="22" customFormat="1" ht="12" customHeight="1" x14ac:dyDescent="0.25">
      <c r="A3376" s="571" t="s">
        <v>7554</v>
      </c>
      <c r="B3376" s="571">
        <v>8</v>
      </c>
      <c r="C3376" s="571">
        <v>32</v>
      </c>
      <c r="D3376" s="176" t="s">
        <v>882</v>
      </c>
      <c r="E3376" s="313" t="s">
        <v>854</v>
      </c>
      <c r="F3376" s="174">
        <v>36100</v>
      </c>
      <c r="G3376" s="175"/>
      <c r="H3376" s="176" t="s">
        <v>461</v>
      </c>
      <c r="I3376" s="176"/>
      <c r="J3376" s="900" t="s">
        <v>2755</v>
      </c>
      <c r="K3376" s="164" t="s">
        <v>4034</v>
      </c>
      <c r="L3376" s="164"/>
      <c r="M3376" s="164"/>
      <c r="N3376" s="164" t="s">
        <v>819</v>
      </c>
      <c r="O3376" s="164"/>
      <c r="P3376" s="178" t="s">
        <v>461</v>
      </c>
      <c r="Q3376" s="164" t="s">
        <v>820</v>
      </c>
      <c r="R3376" s="177" t="s">
        <v>895</v>
      </c>
      <c r="S3376" s="354" t="s">
        <v>7321</v>
      </c>
      <c r="T3376" s="173" t="s">
        <v>2611</v>
      </c>
      <c r="U3376" s="173"/>
      <c r="V3376" s="173"/>
      <c r="W3376" s="313" t="s">
        <v>854</v>
      </c>
      <c r="X3376" s="645" t="s">
        <v>12453</v>
      </c>
      <c r="Y3376" s="354"/>
      <c r="Z3376" s="176"/>
      <c r="AA3376" s="176"/>
      <c r="AB3376" s="32">
        <f t="shared" ca="1" si="79"/>
        <v>0.47482900380889892</v>
      </c>
      <c r="AC3376" s="812"/>
      <c r="AD3376" s="763"/>
      <c r="AE3376" s="807"/>
      <c r="AF3376" s="921">
        <f>IF(X3376=X3375,AF3375,0)+IF(ISNUMBER(I3376),IF(I3376&lt;1,I3376,I3376*VLOOKUP(J3376,Summary!$H$2:$I$9,2)),VLOOKUP(J3376,Summary!$J$2:$K$9,2)*IF(ISNUMBER(H3376),H3376,1))</f>
        <v>1.5604166666666668</v>
      </c>
      <c r="AG3376" s="289">
        <v>3375</v>
      </c>
      <c r="AH3376" s="94"/>
      <c r="AI3376" s="94"/>
      <c r="AJ3376" s="43"/>
    </row>
    <row r="3377" spans="1:36" s="22" customFormat="1" ht="12" customHeight="1" x14ac:dyDescent="0.25">
      <c r="A3377" s="569" t="s">
        <v>7554</v>
      </c>
      <c r="B3377" s="569">
        <v>8</v>
      </c>
      <c r="C3377" s="569">
        <v>9</v>
      </c>
      <c r="D3377" s="417" t="s">
        <v>6311</v>
      </c>
      <c r="E3377" s="316" t="s">
        <v>6312</v>
      </c>
      <c r="F3377" s="187">
        <v>35855</v>
      </c>
      <c r="G3377" s="188"/>
      <c r="H3377" s="188" t="str">
        <f t="shared" ref="H3377:H3389" si="80">IF(J3377="Book","n/a","")</f>
        <v>n/a</v>
      </c>
      <c r="I3377" s="188">
        <v>276</v>
      </c>
      <c r="J3377" s="902" t="s">
        <v>6868</v>
      </c>
      <c r="K3377" s="162" t="s">
        <v>5123</v>
      </c>
      <c r="L3377" s="162" t="str">
        <f t="shared" ref="L3377:L3394" si="81">IF(J3377="Book","n/a","")</f>
        <v>n/a</v>
      </c>
      <c r="M3377" s="162"/>
      <c r="N3377" s="162"/>
      <c r="O3377" s="162"/>
      <c r="P3377" s="178" t="s">
        <v>9066</v>
      </c>
      <c r="Q3377" s="162" t="s">
        <v>3953</v>
      </c>
      <c r="R3377" s="189" t="s">
        <v>2714</v>
      </c>
      <c r="S3377" s="366" t="s">
        <v>7321</v>
      </c>
      <c r="T3377" s="178"/>
      <c r="U3377" s="178"/>
      <c r="V3377" s="178"/>
      <c r="W3377" s="316" t="s">
        <v>6312</v>
      </c>
      <c r="X3377" s="648" t="s">
        <v>12453</v>
      </c>
      <c r="Y3377" s="356"/>
      <c r="Z3377" s="272">
        <v>232</v>
      </c>
      <c r="AA3377" s="272">
        <v>1.5</v>
      </c>
      <c r="AB3377" s="34">
        <f t="shared" ca="1" si="79"/>
        <v>0.53992028296808348</v>
      </c>
      <c r="AC3377" s="814"/>
      <c r="AD3377" s="815" t="s">
        <v>16149</v>
      </c>
      <c r="AE3377" s="942" t="s">
        <v>15062</v>
      </c>
      <c r="AF3377" s="923">
        <f>IF(X3377=X3376,AF3376,0)+IF(ISNUMBER(I3377),IF(I3377&lt;1,I3377,I3377*VLOOKUP(J3377,Summary!$H$2:$I$9,2)),VLOOKUP(J3377,Summary!$J$2:$K$9,2)*IF(ISNUMBER(H3377),H3377,1))</f>
        <v>1.7520833333333334</v>
      </c>
      <c r="AG3377" s="291">
        <v>3376</v>
      </c>
      <c r="AH3377" s="94"/>
      <c r="AI3377" s="94"/>
      <c r="AJ3377" s="43"/>
    </row>
    <row r="3378" spans="1:36" s="22" customFormat="1" ht="12" customHeight="1" x14ac:dyDescent="0.25">
      <c r="A3378" s="569" t="s">
        <v>5236</v>
      </c>
      <c r="B3378" s="569">
        <v>8</v>
      </c>
      <c r="C3378" s="569">
        <v>10</v>
      </c>
      <c r="D3378" s="417" t="s">
        <v>6313</v>
      </c>
      <c r="E3378" s="316" t="s">
        <v>6314</v>
      </c>
      <c r="F3378" s="187">
        <v>35886</v>
      </c>
      <c r="G3378" s="188"/>
      <c r="H3378" s="188" t="str">
        <f t="shared" si="80"/>
        <v>n/a</v>
      </c>
      <c r="I3378" s="188">
        <v>245</v>
      </c>
      <c r="J3378" s="902" t="s">
        <v>6868</v>
      </c>
      <c r="K3378" s="162" t="s">
        <v>7085</v>
      </c>
      <c r="L3378" s="162" t="str">
        <f t="shared" si="81"/>
        <v>n/a</v>
      </c>
      <c r="M3378" s="162"/>
      <c r="N3378" s="162"/>
      <c r="O3378" s="162"/>
      <c r="P3378" s="178" t="s">
        <v>9067</v>
      </c>
      <c r="Q3378" s="162" t="s">
        <v>3953</v>
      </c>
      <c r="R3378" s="189" t="s">
        <v>2714</v>
      </c>
      <c r="S3378" s="366" t="s">
        <v>2326</v>
      </c>
      <c r="T3378" s="178"/>
      <c r="U3378" s="178"/>
      <c r="V3378" s="178"/>
      <c r="W3378" s="316" t="s">
        <v>6314</v>
      </c>
      <c r="X3378" s="648" t="s">
        <v>12455</v>
      </c>
      <c r="Y3378" s="356"/>
      <c r="Z3378" s="272">
        <v>231</v>
      </c>
      <c r="AA3378" s="272">
        <v>1.5</v>
      </c>
      <c r="AB3378" s="34">
        <f t="shared" ca="1" si="79"/>
        <v>0.14963681014635632</v>
      </c>
      <c r="AC3378" s="814"/>
      <c r="AD3378" s="815" t="s">
        <v>16148</v>
      </c>
      <c r="AE3378" s="942" t="s">
        <v>15094</v>
      </c>
      <c r="AF3378" s="923">
        <f>IF(X3378=X3377,AF3377,0)+IF(ISNUMBER(I3378),IF(I3378&lt;1,I3378,I3378*VLOOKUP(J3378,Summary!$H$2:$I$9,2)),VLOOKUP(J3378,Summary!$J$2:$K$9,2)*IF(ISNUMBER(H3378),H3378,1))</f>
        <v>0.1701388888888889</v>
      </c>
      <c r="AG3378" s="291">
        <v>3377</v>
      </c>
      <c r="AH3378" s="94"/>
      <c r="AI3378" s="94"/>
      <c r="AJ3378" s="2"/>
    </row>
    <row r="3379" spans="1:36" s="57" customFormat="1" ht="12" customHeight="1" x14ac:dyDescent="0.25">
      <c r="A3379" s="569" t="s">
        <v>5236</v>
      </c>
      <c r="B3379" s="569">
        <v>8</v>
      </c>
      <c r="C3379" s="569">
        <v>11</v>
      </c>
      <c r="D3379" s="417" t="s">
        <v>6315</v>
      </c>
      <c r="E3379" s="316" t="s">
        <v>6316</v>
      </c>
      <c r="F3379" s="187">
        <v>35916</v>
      </c>
      <c r="G3379" s="188"/>
      <c r="H3379" s="188" t="str">
        <f t="shared" si="80"/>
        <v>n/a</v>
      </c>
      <c r="I3379" s="188">
        <v>250</v>
      </c>
      <c r="J3379" s="902" t="s">
        <v>6868</v>
      </c>
      <c r="K3379" s="162" t="s">
        <v>6232</v>
      </c>
      <c r="L3379" s="162" t="str">
        <f t="shared" si="81"/>
        <v>n/a</v>
      </c>
      <c r="M3379" s="162"/>
      <c r="N3379" s="162"/>
      <c r="O3379" s="162"/>
      <c r="P3379" s="178" t="s">
        <v>9068</v>
      </c>
      <c r="Q3379" s="162" t="s">
        <v>3953</v>
      </c>
      <c r="R3379" s="189" t="s">
        <v>2714</v>
      </c>
      <c r="S3379" s="366" t="s">
        <v>7321</v>
      </c>
      <c r="T3379" s="178"/>
      <c r="U3379" s="178"/>
      <c r="V3379" s="178"/>
      <c r="W3379" s="316" t="s">
        <v>6316</v>
      </c>
      <c r="X3379" s="648" t="s">
        <v>12455</v>
      </c>
      <c r="Y3379" s="356"/>
      <c r="Z3379" s="272">
        <v>188</v>
      </c>
      <c r="AA3379" s="272">
        <v>3.5</v>
      </c>
      <c r="AB3379" s="34">
        <f t="shared" ca="1" si="79"/>
        <v>0.77594932700405517</v>
      </c>
      <c r="AC3379" s="814"/>
      <c r="AD3379" s="815" t="s">
        <v>16149</v>
      </c>
      <c r="AE3379" s="942" t="s">
        <v>15062</v>
      </c>
      <c r="AF3379" s="923">
        <f>IF(X3379=X3378,AF3378,0)+IF(ISNUMBER(I3379),IF(I3379&lt;1,I3379,I3379*VLOOKUP(J3379,Summary!$H$2:$I$9,2)),VLOOKUP(J3379,Summary!$J$2:$K$9,2)*IF(ISNUMBER(H3379),H3379,1))</f>
        <v>0.34375</v>
      </c>
      <c r="AG3379" s="291">
        <v>3378</v>
      </c>
      <c r="AH3379" s="94"/>
      <c r="AI3379" s="94"/>
      <c r="AJ3379" s="2"/>
    </row>
    <row r="3380" spans="1:36" s="2" customFormat="1" ht="12" customHeight="1" x14ac:dyDescent="0.25">
      <c r="A3380" s="569" t="s">
        <v>5236</v>
      </c>
      <c r="B3380" s="569">
        <v>8</v>
      </c>
      <c r="C3380" s="569">
        <v>12</v>
      </c>
      <c r="D3380" s="417" t="s">
        <v>6317</v>
      </c>
      <c r="E3380" s="316" t="s">
        <v>6318</v>
      </c>
      <c r="F3380" s="187">
        <v>35947</v>
      </c>
      <c r="G3380" s="188"/>
      <c r="H3380" s="188" t="str">
        <f t="shared" si="80"/>
        <v>n/a</v>
      </c>
      <c r="I3380" s="188">
        <v>279</v>
      </c>
      <c r="J3380" s="902" t="s">
        <v>6868</v>
      </c>
      <c r="K3380" s="162" t="s">
        <v>5121</v>
      </c>
      <c r="L3380" s="162" t="str">
        <f t="shared" si="81"/>
        <v>n/a</v>
      </c>
      <c r="M3380" s="162"/>
      <c r="N3380" s="162"/>
      <c r="O3380" s="162"/>
      <c r="P3380" s="178" t="s">
        <v>9069</v>
      </c>
      <c r="Q3380" s="162" t="s">
        <v>3953</v>
      </c>
      <c r="R3380" s="189" t="s">
        <v>2714</v>
      </c>
      <c r="S3380" s="366" t="s">
        <v>7321</v>
      </c>
      <c r="T3380" s="178"/>
      <c r="U3380" s="178"/>
      <c r="V3380" s="178"/>
      <c r="W3380" s="316" t="s">
        <v>6318</v>
      </c>
      <c r="X3380" s="648" t="s">
        <v>12455</v>
      </c>
      <c r="Y3380" s="356" t="s">
        <v>6868</v>
      </c>
      <c r="Z3380" s="272">
        <v>61</v>
      </c>
      <c r="AA3380" s="272">
        <v>6.5</v>
      </c>
      <c r="AB3380" s="34">
        <f t="shared" ca="1" si="79"/>
        <v>2.0471139453540066E-2</v>
      </c>
      <c r="AC3380" s="814"/>
      <c r="AD3380" s="815" t="s">
        <v>16151</v>
      </c>
      <c r="AE3380" s="942" t="s">
        <v>16126</v>
      </c>
      <c r="AF3380" s="923">
        <f>IF(X3380=X3379,AF3379,0)+IF(ISNUMBER(I3380),IF(I3380&lt;1,I3380,I3380*VLOOKUP(J3380,Summary!$H$2:$I$9,2)),VLOOKUP(J3380,Summary!$J$2:$K$9,2)*IF(ISNUMBER(H3380),H3380,1))</f>
        <v>0.53749999999999998</v>
      </c>
      <c r="AG3380" s="291">
        <v>3379</v>
      </c>
      <c r="AH3380" s="94"/>
      <c r="AI3380" s="94"/>
    </row>
    <row r="3381" spans="1:36" s="22" customFormat="1" ht="12" customHeight="1" x14ac:dyDescent="0.25">
      <c r="A3381" s="569" t="s">
        <v>5236</v>
      </c>
      <c r="B3381" s="569">
        <v>8</v>
      </c>
      <c r="C3381" s="569">
        <v>13</v>
      </c>
      <c r="D3381" s="417" t="s">
        <v>6319</v>
      </c>
      <c r="E3381" s="316" t="s">
        <v>6320</v>
      </c>
      <c r="F3381" s="187">
        <v>35977</v>
      </c>
      <c r="G3381" s="188"/>
      <c r="H3381" s="188" t="str">
        <f t="shared" si="80"/>
        <v>n/a</v>
      </c>
      <c r="I3381" s="188">
        <v>279</v>
      </c>
      <c r="J3381" s="902" t="s">
        <v>6868</v>
      </c>
      <c r="K3381" s="162" t="s">
        <v>7375</v>
      </c>
      <c r="L3381" s="162" t="str">
        <f t="shared" si="81"/>
        <v>n/a</v>
      </c>
      <c r="M3381" s="162"/>
      <c r="N3381" s="162"/>
      <c r="O3381" s="162"/>
      <c r="P3381" s="178" t="s">
        <v>9070</v>
      </c>
      <c r="Q3381" s="162" t="s">
        <v>3953</v>
      </c>
      <c r="R3381" s="189" t="s">
        <v>2714</v>
      </c>
      <c r="S3381" s="366" t="s">
        <v>7321</v>
      </c>
      <c r="T3381" s="178" t="s">
        <v>4930</v>
      </c>
      <c r="U3381" s="178" t="s">
        <v>4931</v>
      </c>
      <c r="V3381" s="178"/>
      <c r="W3381" s="316" t="s">
        <v>6320</v>
      </c>
      <c r="X3381" s="648" t="s">
        <v>12455</v>
      </c>
      <c r="Y3381" s="356"/>
      <c r="Z3381" s="272">
        <v>210</v>
      </c>
      <c r="AA3381" s="272">
        <v>3</v>
      </c>
      <c r="AB3381" s="34">
        <f t="shared" ca="1" si="79"/>
        <v>0.13880928923122526</v>
      </c>
      <c r="AC3381" s="814"/>
      <c r="AD3381" s="871" t="s">
        <v>16394</v>
      </c>
      <c r="AE3381" s="942"/>
      <c r="AF3381" s="923">
        <f>IF(X3381=X3380,AF3380,0)+IF(ISNUMBER(I3381),IF(I3381&lt;1,I3381,I3381*VLOOKUP(J3381,Summary!$H$2:$I$9,2)),VLOOKUP(J3381,Summary!$J$2:$K$9,2)*IF(ISNUMBER(H3381),H3381,1))</f>
        <v>0.73124999999999996</v>
      </c>
      <c r="AG3381" s="291">
        <v>3380</v>
      </c>
      <c r="AH3381" s="94"/>
      <c r="AI3381" s="94"/>
    </row>
    <row r="3382" spans="1:36" s="22" customFormat="1" ht="12" customHeight="1" x14ac:dyDescent="0.25">
      <c r="A3382" s="569" t="s">
        <v>5236</v>
      </c>
      <c r="B3382" s="569">
        <v>8</v>
      </c>
      <c r="C3382" s="569">
        <v>14</v>
      </c>
      <c r="D3382" s="417" t="s">
        <v>6321</v>
      </c>
      <c r="E3382" s="316" t="s">
        <v>3630</v>
      </c>
      <c r="F3382" s="187">
        <v>36008</v>
      </c>
      <c r="G3382" s="188"/>
      <c r="H3382" s="188" t="str">
        <f t="shared" si="80"/>
        <v>n/a</v>
      </c>
      <c r="I3382" s="188">
        <v>281</v>
      </c>
      <c r="J3382" s="902" t="s">
        <v>6868</v>
      </c>
      <c r="K3382" s="162" t="s">
        <v>181</v>
      </c>
      <c r="L3382" s="162" t="str">
        <f t="shared" si="81"/>
        <v>n/a</v>
      </c>
      <c r="M3382" s="162"/>
      <c r="N3382" s="162"/>
      <c r="O3382" s="162"/>
      <c r="P3382" s="178" t="s">
        <v>9071</v>
      </c>
      <c r="Q3382" s="162" t="s">
        <v>3953</v>
      </c>
      <c r="R3382" s="189" t="s">
        <v>2714</v>
      </c>
      <c r="S3382" s="366" t="s">
        <v>7321</v>
      </c>
      <c r="T3382" s="178"/>
      <c r="U3382" s="178"/>
      <c r="V3382" s="178"/>
      <c r="W3382" s="316" t="s">
        <v>3630</v>
      </c>
      <c r="X3382" s="648" t="s">
        <v>12455</v>
      </c>
      <c r="Y3382" s="356"/>
      <c r="Z3382" s="272">
        <v>52</v>
      </c>
      <c r="AA3382" s="272">
        <v>7</v>
      </c>
      <c r="AB3382" s="34">
        <f t="shared" ca="1" si="79"/>
        <v>0.75155429552494613</v>
      </c>
      <c r="AC3382" s="814"/>
      <c r="AD3382" s="815" t="s">
        <v>16348</v>
      </c>
      <c r="AE3382" s="942"/>
      <c r="AF3382" s="923">
        <f>IF(X3382=X3381,AF3381,0)+IF(ISNUMBER(I3382),IF(I3382&lt;1,I3382,I3382*VLOOKUP(J3382,Summary!$H$2:$I$9,2)),VLOOKUP(J3382,Summary!$J$2:$K$9,2)*IF(ISNUMBER(H3382),H3382,1))</f>
        <v>0.92638888888888882</v>
      </c>
      <c r="AG3382" s="291">
        <v>3381</v>
      </c>
      <c r="AH3382" s="94"/>
      <c r="AI3382" s="94"/>
      <c r="AJ3382" s="2"/>
    </row>
    <row r="3383" spans="1:36" s="3" customFormat="1" ht="12" customHeight="1" x14ac:dyDescent="0.25">
      <c r="A3383" s="569" t="s">
        <v>5236</v>
      </c>
      <c r="B3383" s="569">
        <v>8</v>
      </c>
      <c r="C3383" s="569">
        <v>16</v>
      </c>
      <c r="D3383" s="417" t="s">
        <v>6457</v>
      </c>
      <c r="E3383" s="316" t="s">
        <v>7346</v>
      </c>
      <c r="F3383" s="187">
        <v>36069</v>
      </c>
      <c r="G3383" s="188"/>
      <c r="H3383" s="188" t="str">
        <f t="shared" si="80"/>
        <v>n/a</v>
      </c>
      <c r="I3383" s="188">
        <v>283</v>
      </c>
      <c r="J3383" s="902" t="s">
        <v>6868</v>
      </c>
      <c r="K3383" s="162" t="s">
        <v>4032</v>
      </c>
      <c r="L3383" s="162" t="str">
        <f t="shared" si="81"/>
        <v>n/a</v>
      </c>
      <c r="M3383" s="162"/>
      <c r="N3383" s="162"/>
      <c r="O3383" s="162"/>
      <c r="P3383" s="178" t="s">
        <v>9073</v>
      </c>
      <c r="Q3383" s="162" t="s">
        <v>3953</v>
      </c>
      <c r="R3383" s="189" t="s">
        <v>2714</v>
      </c>
      <c r="S3383" s="366" t="s">
        <v>7321</v>
      </c>
      <c r="T3383" s="178"/>
      <c r="U3383" s="178"/>
      <c r="V3383" s="178"/>
      <c r="W3383" s="316" t="s">
        <v>7346</v>
      </c>
      <c r="X3383" s="648" t="s">
        <v>12455</v>
      </c>
      <c r="Y3383" s="356"/>
      <c r="Z3383" s="272">
        <v>200</v>
      </c>
      <c r="AA3383" s="272">
        <v>3</v>
      </c>
      <c r="AB3383" s="34">
        <f t="shared" ca="1" si="79"/>
        <v>0.90680706491877083</v>
      </c>
      <c r="AC3383" s="814"/>
      <c r="AD3383" s="815" t="s">
        <v>16152</v>
      </c>
      <c r="AE3383" s="942"/>
      <c r="AF3383" s="923">
        <f>IF(X3383=X3382,AF3382,0)+IF(ISNUMBER(I3383),IF(I3383&lt;1,I3383,I3383*VLOOKUP(J3383,Summary!$H$2:$I$9,2)),VLOOKUP(J3383,Summary!$J$2:$K$9,2)*IF(ISNUMBER(H3383),H3383,1))</f>
        <v>1.1229166666666666</v>
      </c>
      <c r="AG3383" s="291">
        <v>3382</v>
      </c>
      <c r="AH3383" s="94"/>
      <c r="AI3383" s="94"/>
      <c r="AJ3383" s="43"/>
    </row>
    <row r="3384" spans="1:36" s="3" customFormat="1" ht="12" customHeight="1" x14ac:dyDescent="0.25">
      <c r="A3384" s="569" t="s">
        <v>5236</v>
      </c>
      <c r="B3384" s="569">
        <v>8</v>
      </c>
      <c r="C3384" s="569">
        <v>17</v>
      </c>
      <c r="D3384" s="417" t="s">
        <v>7347</v>
      </c>
      <c r="E3384" s="316" t="s">
        <v>7348</v>
      </c>
      <c r="F3384" s="187">
        <v>36100</v>
      </c>
      <c r="G3384" s="188"/>
      <c r="H3384" s="188" t="str">
        <f t="shared" si="80"/>
        <v>n/a</v>
      </c>
      <c r="I3384" s="188">
        <v>249</v>
      </c>
      <c r="J3384" s="902" t="s">
        <v>6868</v>
      </c>
      <c r="K3384" s="162" t="s">
        <v>1932</v>
      </c>
      <c r="L3384" s="162" t="str">
        <f t="shared" si="81"/>
        <v>n/a</v>
      </c>
      <c r="M3384" s="162"/>
      <c r="N3384" s="162"/>
      <c r="O3384" s="162"/>
      <c r="P3384" s="178" t="s">
        <v>9074</v>
      </c>
      <c r="Q3384" s="162" t="s">
        <v>3953</v>
      </c>
      <c r="R3384" s="189" t="s">
        <v>2714</v>
      </c>
      <c r="S3384" s="366" t="s">
        <v>7321</v>
      </c>
      <c r="T3384" s="178"/>
      <c r="U3384" s="178"/>
      <c r="V3384" s="178"/>
      <c r="W3384" s="316" t="s">
        <v>7348</v>
      </c>
      <c r="X3384" s="648" t="s">
        <v>12455</v>
      </c>
      <c r="Y3384" s="356"/>
      <c r="Z3384" s="272">
        <v>116</v>
      </c>
      <c r="AA3384" s="272">
        <v>5</v>
      </c>
      <c r="AB3384" s="34">
        <f t="shared" ca="1" si="79"/>
        <v>0.98855534857883742</v>
      </c>
      <c r="AC3384" s="814"/>
      <c r="AD3384" s="815"/>
      <c r="AE3384" s="942"/>
      <c r="AF3384" s="923">
        <f>IF(X3384=X3383,AF3383,0)+IF(ISNUMBER(I3384),IF(I3384&lt;1,I3384,I3384*VLOOKUP(J3384,Summary!$H$2:$I$9,2)),VLOOKUP(J3384,Summary!$J$2:$K$9,2)*IF(ISNUMBER(H3384),H3384,1))</f>
        <v>1.2958333333333332</v>
      </c>
      <c r="AG3384" s="291">
        <v>3383</v>
      </c>
      <c r="AH3384" s="94"/>
      <c r="AI3384" s="94"/>
      <c r="AJ3384" s="43"/>
    </row>
    <row r="3385" spans="1:36" s="44" customFormat="1" ht="12" customHeight="1" x14ac:dyDescent="0.25">
      <c r="A3385" s="569" t="s">
        <v>5236</v>
      </c>
      <c r="B3385" s="569">
        <v>8</v>
      </c>
      <c r="C3385" s="569">
        <v>18</v>
      </c>
      <c r="D3385" s="417" t="s">
        <v>7349</v>
      </c>
      <c r="E3385" s="316" t="s">
        <v>7350</v>
      </c>
      <c r="F3385" s="187">
        <v>36161</v>
      </c>
      <c r="G3385" s="188"/>
      <c r="H3385" s="188" t="str">
        <f t="shared" si="80"/>
        <v>n/a</v>
      </c>
      <c r="I3385" s="188">
        <v>276</v>
      </c>
      <c r="J3385" s="902" t="s">
        <v>6868</v>
      </c>
      <c r="K3385" s="162" t="s">
        <v>6356</v>
      </c>
      <c r="L3385" s="162" t="str">
        <f t="shared" si="81"/>
        <v>n/a</v>
      </c>
      <c r="M3385" s="162"/>
      <c r="N3385" s="162"/>
      <c r="O3385" s="162"/>
      <c r="P3385" s="178" t="s">
        <v>9075</v>
      </c>
      <c r="Q3385" s="162" t="s">
        <v>3953</v>
      </c>
      <c r="R3385" s="189" t="s">
        <v>2714</v>
      </c>
      <c r="S3385" s="366" t="s">
        <v>7321</v>
      </c>
      <c r="T3385" s="178"/>
      <c r="U3385" s="178"/>
      <c r="V3385" s="178"/>
      <c r="W3385" s="316" t="s">
        <v>7350</v>
      </c>
      <c r="X3385" s="648" t="s">
        <v>12455</v>
      </c>
      <c r="Y3385" s="356"/>
      <c r="Z3385" s="272">
        <v>48</v>
      </c>
      <c r="AA3385" s="272">
        <v>7</v>
      </c>
      <c r="AB3385" s="34">
        <f t="shared" ca="1" si="79"/>
        <v>0.39366307515330157</v>
      </c>
      <c r="AC3385" s="814"/>
      <c r="AD3385" s="815" t="s">
        <v>16127</v>
      </c>
      <c r="AE3385" s="942"/>
      <c r="AF3385" s="923">
        <f>IF(X3385=X3384,AF3384,0)+IF(ISNUMBER(I3385),IF(I3385&lt;1,I3385,I3385*VLOOKUP(J3385,Summary!$H$2:$I$9,2)),VLOOKUP(J3385,Summary!$J$2:$K$9,2)*IF(ISNUMBER(H3385),H3385,1))</f>
        <v>1.4874999999999998</v>
      </c>
      <c r="AG3385" s="291">
        <v>3384</v>
      </c>
      <c r="AH3385" s="94"/>
      <c r="AI3385" s="94"/>
      <c r="AJ3385" s="43"/>
    </row>
    <row r="3386" spans="1:36" s="1" customFormat="1" ht="12" customHeight="1" x14ac:dyDescent="0.25">
      <c r="A3386" s="569" t="s">
        <v>5236</v>
      </c>
      <c r="B3386" s="569">
        <v>8</v>
      </c>
      <c r="C3386" s="569">
        <v>15</v>
      </c>
      <c r="D3386" s="417" t="s">
        <v>6455</v>
      </c>
      <c r="E3386" s="316" t="s">
        <v>6456</v>
      </c>
      <c r="F3386" s="187">
        <v>36039</v>
      </c>
      <c r="G3386" s="188"/>
      <c r="H3386" s="188" t="str">
        <f t="shared" si="80"/>
        <v>n/a</v>
      </c>
      <c r="I3386" s="188">
        <v>283</v>
      </c>
      <c r="J3386" s="902" t="s">
        <v>6868</v>
      </c>
      <c r="K3386" s="162" t="s">
        <v>5658</v>
      </c>
      <c r="L3386" s="162" t="str">
        <f t="shared" si="81"/>
        <v>n/a</v>
      </c>
      <c r="M3386" s="162"/>
      <c r="N3386" s="162"/>
      <c r="O3386" s="162"/>
      <c r="P3386" s="178" t="s">
        <v>9072</v>
      </c>
      <c r="Q3386" s="162" t="s">
        <v>3953</v>
      </c>
      <c r="R3386" s="189" t="s">
        <v>2714</v>
      </c>
      <c r="S3386" s="366" t="s">
        <v>7321</v>
      </c>
      <c r="T3386" s="178"/>
      <c r="U3386" s="178"/>
      <c r="V3386" s="178" t="s">
        <v>3535</v>
      </c>
      <c r="W3386" s="316" t="s">
        <v>6456</v>
      </c>
      <c r="X3386" s="648" t="s">
        <v>12455</v>
      </c>
      <c r="Y3386" s="356"/>
      <c r="Z3386" s="272">
        <v>35</v>
      </c>
      <c r="AA3386" s="272">
        <v>8</v>
      </c>
      <c r="AB3386" s="34">
        <f t="shared" ca="1" si="79"/>
        <v>0.28126458090293105</v>
      </c>
      <c r="AC3386" s="814"/>
      <c r="AD3386" s="815" t="s">
        <v>16476</v>
      </c>
      <c r="AE3386" s="942" t="s">
        <v>12543</v>
      </c>
      <c r="AF3386" s="923">
        <f>IF(X3386=X3385,AF3385,0)+IF(ISNUMBER(I3386),IF(I3386&lt;1,I3386,I3386*VLOOKUP(J3386,Summary!$H$2:$I$9,2)),VLOOKUP(J3386,Summary!$J$2:$K$9,2)*IF(ISNUMBER(H3386),H3386,1))</f>
        <v>1.6840277777777777</v>
      </c>
      <c r="AG3386" s="291">
        <v>3385</v>
      </c>
      <c r="AH3386" s="94"/>
      <c r="AI3386" s="94"/>
      <c r="AJ3386" s="43"/>
    </row>
    <row r="3387" spans="1:36" s="1" customFormat="1" ht="12" customHeight="1" x14ac:dyDescent="0.25">
      <c r="A3387" s="569" t="s">
        <v>5063</v>
      </c>
      <c r="B3387" s="569">
        <v>8</v>
      </c>
      <c r="C3387" s="569">
        <v>19</v>
      </c>
      <c r="D3387" s="417" t="s">
        <v>7351</v>
      </c>
      <c r="E3387" s="316" t="s">
        <v>7352</v>
      </c>
      <c r="F3387" s="187">
        <v>36192</v>
      </c>
      <c r="G3387" s="188"/>
      <c r="H3387" s="188" t="str">
        <f t="shared" si="80"/>
        <v>n/a</v>
      </c>
      <c r="I3387" s="188">
        <v>280</v>
      </c>
      <c r="J3387" s="902" t="s">
        <v>6868</v>
      </c>
      <c r="K3387" s="162" t="s">
        <v>5123</v>
      </c>
      <c r="L3387" s="162" t="str">
        <f t="shared" si="81"/>
        <v>n/a</v>
      </c>
      <c r="M3387" s="162"/>
      <c r="N3387" s="162"/>
      <c r="O3387" s="162"/>
      <c r="P3387" s="178" t="s">
        <v>9076</v>
      </c>
      <c r="Q3387" s="162" t="s">
        <v>3953</v>
      </c>
      <c r="R3387" s="189" t="s">
        <v>2714</v>
      </c>
      <c r="S3387" s="366" t="s">
        <v>7321</v>
      </c>
      <c r="T3387" s="178" t="s">
        <v>7322</v>
      </c>
      <c r="U3387" s="178"/>
      <c r="V3387" s="178"/>
      <c r="W3387" s="316" t="s">
        <v>7352</v>
      </c>
      <c r="X3387" s="648" t="s">
        <v>12454</v>
      </c>
      <c r="Y3387" s="356"/>
      <c r="Z3387" s="272">
        <v>68</v>
      </c>
      <c r="AA3387" s="272">
        <v>6.5</v>
      </c>
      <c r="AB3387" s="34">
        <f t="shared" ca="1" si="79"/>
        <v>0.21516961620390507</v>
      </c>
      <c r="AC3387" s="814"/>
      <c r="AD3387" s="815" t="s">
        <v>1809</v>
      </c>
      <c r="AE3387" s="942"/>
      <c r="AF3387" s="923">
        <f>IF(X3387=X3386,AF3386,0)+IF(ISNUMBER(I3387),IF(I3387&lt;1,I3387,I3387*VLOOKUP(J3387,Summary!$H$2:$I$9,2)),VLOOKUP(J3387,Summary!$J$2:$K$9,2)*IF(ISNUMBER(H3387),H3387,1))</f>
        <v>0.19444444444444445</v>
      </c>
      <c r="AG3387" s="291">
        <v>3386</v>
      </c>
      <c r="AH3387" s="94"/>
      <c r="AI3387" s="94"/>
      <c r="AJ3387" s="43"/>
    </row>
    <row r="3388" spans="1:36" s="2" customFormat="1" ht="12" customHeight="1" x14ac:dyDescent="0.25">
      <c r="A3388" s="569" t="s">
        <v>5063</v>
      </c>
      <c r="B3388" s="569">
        <v>8</v>
      </c>
      <c r="C3388" s="569">
        <v>20</v>
      </c>
      <c r="D3388" s="417" t="s">
        <v>7353</v>
      </c>
      <c r="E3388" s="316" t="s">
        <v>7354</v>
      </c>
      <c r="F3388" s="187">
        <v>36220</v>
      </c>
      <c r="G3388" s="188"/>
      <c r="H3388" s="188" t="str">
        <f t="shared" si="80"/>
        <v>n/a</v>
      </c>
      <c r="I3388" s="188">
        <v>284</v>
      </c>
      <c r="J3388" s="902" t="s">
        <v>6868</v>
      </c>
      <c r="K3388" s="162" t="s">
        <v>543</v>
      </c>
      <c r="L3388" s="162" t="str">
        <f t="shared" si="81"/>
        <v>n/a</v>
      </c>
      <c r="M3388" s="162"/>
      <c r="N3388" s="162"/>
      <c r="O3388" s="162"/>
      <c r="P3388" s="178" t="s">
        <v>9077</v>
      </c>
      <c r="Q3388" s="162" t="s">
        <v>3953</v>
      </c>
      <c r="R3388" s="189" t="s">
        <v>2714</v>
      </c>
      <c r="S3388" s="366" t="s">
        <v>7321</v>
      </c>
      <c r="T3388" s="178" t="s">
        <v>7322</v>
      </c>
      <c r="U3388" s="178"/>
      <c r="V3388" s="178"/>
      <c r="W3388" s="316" t="s">
        <v>7354</v>
      </c>
      <c r="X3388" s="648" t="s">
        <v>12454</v>
      </c>
      <c r="Y3388" s="356"/>
      <c r="Z3388" s="272">
        <v>28</v>
      </c>
      <c r="AA3388" s="272">
        <v>8.5</v>
      </c>
      <c r="AB3388" s="34">
        <f t="shared" ca="1" si="79"/>
        <v>0.28628118856706919</v>
      </c>
      <c r="AC3388" s="814"/>
      <c r="AD3388" s="815" t="s">
        <v>16262</v>
      </c>
      <c r="AE3388" s="942" t="s">
        <v>12543</v>
      </c>
      <c r="AF3388" s="923">
        <f>IF(X3388=X3387,AF3387,0)+IF(ISNUMBER(I3388),IF(I3388&lt;1,I3388,I3388*VLOOKUP(J3388,Summary!$H$2:$I$9,2)),VLOOKUP(J3388,Summary!$J$2:$K$9,2)*IF(ISNUMBER(H3388),H3388,1))</f>
        <v>0.39166666666666672</v>
      </c>
      <c r="AG3388" s="291">
        <v>3387</v>
      </c>
      <c r="AH3388" s="94"/>
      <c r="AI3388" s="94"/>
      <c r="AJ3388" s="43"/>
    </row>
    <row r="3389" spans="1:36" s="43" customFormat="1" ht="12" customHeight="1" x14ac:dyDescent="0.25">
      <c r="A3389" s="569" t="s">
        <v>5063</v>
      </c>
      <c r="B3389" s="569">
        <v>8</v>
      </c>
      <c r="C3389" s="569">
        <v>21</v>
      </c>
      <c r="D3389" s="417" t="s">
        <v>4047</v>
      </c>
      <c r="E3389" s="316" t="s">
        <v>3453</v>
      </c>
      <c r="F3389" s="187">
        <v>36251</v>
      </c>
      <c r="G3389" s="188"/>
      <c r="H3389" s="188" t="str">
        <f t="shared" si="80"/>
        <v>n/a</v>
      </c>
      <c r="I3389" s="188">
        <v>251</v>
      </c>
      <c r="J3389" s="902" t="s">
        <v>6868</v>
      </c>
      <c r="K3389" s="162" t="s">
        <v>6232</v>
      </c>
      <c r="L3389" s="162" t="str">
        <f t="shared" si="81"/>
        <v>n/a</v>
      </c>
      <c r="M3389" s="162"/>
      <c r="N3389" s="162"/>
      <c r="O3389" s="162"/>
      <c r="P3389" s="178" t="s">
        <v>9078</v>
      </c>
      <c r="Q3389" s="162" t="s">
        <v>3953</v>
      </c>
      <c r="R3389" s="189" t="s">
        <v>2714</v>
      </c>
      <c r="S3389" s="366" t="s">
        <v>7321</v>
      </c>
      <c r="T3389" s="178" t="s">
        <v>7322</v>
      </c>
      <c r="U3389" s="178"/>
      <c r="V3389" s="178"/>
      <c r="W3389" s="316" t="s">
        <v>3453</v>
      </c>
      <c r="X3389" s="648" t="s">
        <v>12454</v>
      </c>
      <c r="Y3389" s="356"/>
      <c r="Z3389" s="272">
        <v>47</v>
      </c>
      <c r="AA3389" s="272">
        <v>7</v>
      </c>
      <c r="AB3389" s="34">
        <f t="shared" ca="1" si="79"/>
        <v>1.6368441288374891E-2</v>
      </c>
      <c r="AC3389" s="814"/>
      <c r="AD3389" s="815" t="s">
        <v>12548</v>
      </c>
      <c r="AE3389" s="942"/>
      <c r="AF3389" s="923">
        <f>IF(X3389=X3388,AF3388,0)+IF(ISNUMBER(I3389),IF(I3389&lt;1,I3389,I3389*VLOOKUP(J3389,Summary!$H$2:$I$9,2)),VLOOKUP(J3389,Summary!$J$2:$K$9,2)*IF(ISNUMBER(H3389),H3389,1))</f>
        <v>0.56597222222222232</v>
      </c>
      <c r="AG3389" s="291">
        <v>3388</v>
      </c>
      <c r="AH3389" s="94"/>
      <c r="AI3389" s="94"/>
    </row>
    <row r="3390" spans="1:36" s="43" customFormat="1" ht="12" customHeight="1" x14ac:dyDescent="0.25">
      <c r="A3390" s="569" t="s">
        <v>5063</v>
      </c>
      <c r="B3390" s="569">
        <v>8</v>
      </c>
      <c r="C3390" s="569">
        <v>22</v>
      </c>
      <c r="D3390" s="417" t="s">
        <v>3454</v>
      </c>
      <c r="E3390" s="316" t="s">
        <v>3455</v>
      </c>
      <c r="F3390" s="187">
        <v>36281</v>
      </c>
      <c r="G3390" s="188"/>
      <c r="H3390" s="188">
        <v>3</v>
      </c>
      <c r="I3390" s="188">
        <v>278</v>
      </c>
      <c r="J3390" s="902" t="s">
        <v>6868</v>
      </c>
      <c r="K3390" s="162" t="s">
        <v>4034</v>
      </c>
      <c r="L3390" s="162" t="str">
        <f t="shared" si="81"/>
        <v>n/a</v>
      </c>
      <c r="M3390" s="162"/>
      <c r="N3390" s="162"/>
      <c r="O3390" s="162"/>
      <c r="P3390" s="178" t="s">
        <v>9079</v>
      </c>
      <c r="Q3390" s="162" t="s">
        <v>3953</v>
      </c>
      <c r="R3390" s="189" t="s">
        <v>2714</v>
      </c>
      <c r="S3390" s="366" t="s">
        <v>7321</v>
      </c>
      <c r="T3390" s="178" t="s">
        <v>7322</v>
      </c>
      <c r="U3390" s="178"/>
      <c r="V3390" s="178"/>
      <c r="W3390" s="316" t="s">
        <v>15951</v>
      </c>
      <c r="X3390" s="648" t="s">
        <v>12454</v>
      </c>
      <c r="Y3390" s="356"/>
      <c r="Z3390" s="272">
        <v>104</v>
      </c>
      <c r="AA3390" s="272">
        <v>5</v>
      </c>
      <c r="AB3390" s="34">
        <f t="shared" ca="1" si="79"/>
        <v>1.3529383288967578E-2</v>
      </c>
      <c r="AC3390" s="814"/>
      <c r="AD3390" s="815" t="s">
        <v>16062</v>
      </c>
      <c r="AE3390" s="942"/>
      <c r="AF3390" s="923">
        <f>IF(X3390=X3389,AF3389,0)+IF(ISNUMBER(I3390),IF(I3390&lt;1,I3390,I3390*VLOOKUP(J3390,Summary!$H$2:$I$9,2)),VLOOKUP(J3390,Summary!$J$2:$K$9,2)*IF(ISNUMBER(H3390),H3390,1))</f>
        <v>0.75902777777777786</v>
      </c>
      <c r="AG3390" s="291">
        <v>3389</v>
      </c>
      <c r="AH3390" s="94"/>
      <c r="AI3390" s="94"/>
    </row>
    <row r="3391" spans="1:36" s="43" customFormat="1" ht="12" customHeight="1" x14ac:dyDescent="0.25">
      <c r="A3391" s="569" t="s">
        <v>5063</v>
      </c>
      <c r="B3391" s="569">
        <v>8</v>
      </c>
      <c r="C3391" s="569">
        <v>23</v>
      </c>
      <c r="D3391" s="417" t="s">
        <v>3456</v>
      </c>
      <c r="E3391" s="316" t="s">
        <v>3457</v>
      </c>
      <c r="F3391" s="187">
        <v>36312</v>
      </c>
      <c r="G3391" s="188"/>
      <c r="H3391" s="188" t="str">
        <f>IF(J3391="Book","n/a","")</f>
        <v>n/a</v>
      </c>
      <c r="I3391" s="188">
        <v>279</v>
      </c>
      <c r="J3391" s="902" t="s">
        <v>6868</v>
      </c>
      <c r="K3391" s="162" t="s">
        <v>5121</v>
      </c>
      <c r="L3391" s="162" t="str">
        <f t="shared" si="81"/>
        <v>n/a</v>
      </c>
      <c r="M3391" s="162"/>
      <c r="N3391" s="162"/>
      <c r="O3391" s="162"/>
      <c r="P3391" s="178" t="s">
        <v>9080</v>
      </c>
      <c r="Q3391" s="162" t="s">
        <v>3953</v>
      </c>
      <c r="R3391" s="189" t="s">
        <v>2714</v>
      </c>
      <c r="S3391" s="366" t="s">
        <v>7321</v>
      </c>
      <c r="T3391" s="178" t="s">
        <v>7322</v>
      </c>
      <c r="U3391" s="178"/>
      <c r="V3391" s="178"/>
      <c r="W3391" s="316" t="s">
        <v>3457</v>
      </c>
      <c r="X3391" s="648" t="s">
        <v>12454</v>
      </c>
      <c r="Y3391" s="356" t="s">
        <v>6868</v>
      </c>
      <c r="Z3391" s="272">
        <v>58</v>
      </c>
      <c r="AA3391" s="272">
        <v>6.5</v>
      </c>
      <c r="AB3391" s="34">
        <f t="shared" ca="1" si="79"/>
        <v>0.98203771962568609</v>
      </c>
      <c r="AC3391" s="814"/>
      <c r="AD3391" s="815" t="s">
        <v>15831</v>
      </c>
      <c r="AE3391" s="942"/>
      <c r="AF3391" s="923">
        <f>IF(X3391=X3390,AF3390,0)+IF(ISNUMBER(I3391),IF(I3391&lt;1,I3391,I3391*VLOOKUP(J3391,Summary!$H$2:$I$9,2)),VLOOKUP(J3391,Summary!$J$2:$K$9,2)*IF(ISNUMBER(H3391),H3391,1))</f>
        <v>0.95277777777777783</v>
      </c>
      <c r="AG3391" s="291">
        <v>3390</v>
      </c>
      <c r="AH3391" s="94"/>
      <c r="AI3391" s="94"/>
    </row>
    <row r="3392" spans="1:36" s="43" customFormat="1" ht="12" customHeight="1" x14ac:dyDescent="0.25">
      <c r="A3392" s="569" t="s">
        <v>5063</v>
      </c>
      <c r="B3392" s="569">
        <v>8</v>
      </c>
      <c r="C3392" s="569">
        <v>24</v>
      </c>
      <c r="D3392" s="417" t="s">
        <v>3458</v>
      </c>
      <c r="E3392" s="316" t="s">
        <v>3459</v>
      </c>
      <c r="F3392" s="187">
        <v>36342</v>
      </c>
      <c r="G3392" s="188"/>
      <c r="H3392" s="188" t="str">
        <f>IF(J3392="Book","n/a","")</f>
        <v>n/a</v>
      </c>
      <c r="I3392" s="188">
        <v>236</v>
      </c>
      <c r="J3392" s="902" t="s">
        <v>6868</v>
      </c>
      <c r="K3392" s="162" t="s">
        <v>6234</v>
      </c>
      <c r="L3392" s="162" t="str">
        <f t="shared" si="81"/>
        <v>n/a</v>
      </c>
      <c r="M3392" s="162"/>
      <c r="N3392" s="162"/>
      <c r="O3392" s="162"/>
      <c r="P3392" s="178" t="s">
        <v>8949</v>
      </c>
      <c r="Q3392" s="162" t="s">
        <v>3953</v>
      </c>
      <c r="R3392" s="189" t="s">
        <v>2714</v>
      </c>
      <c r="S3392" s="366" t="s">
        <v>7321</v>
      </c>
      <c r="T3392" s="178" t="s">
        <v>7322</v>
      </c>
      <c r="U3392" s="178"/>
      <c r="V3392" s="178"/>
      <c r="W3392" s="316" t="s">
        <v>3459</v>
      </c>
      <c r="X3392" s="648" t="s">
        <v>12454</v>
      </c>
      <c r="Y3392" s="356"/>
      <c r="Z3392" s="272">
        <v>51</v>
      </c>
      <c r="AA3392" s="272">
        <v>7</v>
      </c>
      <c r="AB3392" s="34">
        <f t="shared" ca="1" si="79"/>
        <v>0.11124904147593795</v>
      </c>
      <c r="AC3392" s="814"/>
      <c r="AD3392" s="815" t="s">
        <v>16742</v>
      </c>
      <c r="AE3392" s="942"/>
      <c r="AF3392" s="923">
        <f>IF(X3392=X3391,AF3391,0)+IF(ISNUMBER(I3392),IF(I3392&lt;1,I3392,I3392*VLOOKUP(J3392,Summary!$H$2:$I$9,2)),VLOOKUP(J3392,Summary!$J$2:$K$9,2)*IF(ISNUMBER(H3392),H3392,1))</f>
        <v>1.1166666666666667</v>
      </c>
      <c r="AG3392" s="291">
        <v>3391</v>
      </c>
      <c r="AH3392" s="94"/>
      <c r="AI3392" s="94"/>
    </row>
    <row r="3393" spans="1:36" s="22" customFormat="1" ht="12" customHeight="1" x14ac:dyDescent="0.25">
      <c r="A3393" s="569" t="s">
        <v>5063</v>
      </c>
      <c r="B3393" s="569">
        <v>8</v>
      </c>
      <c r="C3393" s="569">
        <v>25</v>
      </c>
      <c r="D3393" s="417" t="s">
        <v>3460</v>
      </c>
      <c r="E3393" s="316" t="s">
        <v>3461</v>
      </c>
      <c r="F3393" s="187">
        <v>36373</v>
      </c>
      <c r="G3393" s="188"/>
      <c r="H3393" s="188" t="str">
        <f>IF(J3393="Book","n/a","")</f>
        <v>n/a</v>
      </c>
      <c r="I3393" s="188">
        <v>309</v>
      </c>
      <c r="J3393" s="902" t="s">
        <v>6868</v>
      </c>
      <c r="K3393" s="162" t="s">
        <v>5122</v>
      </c>
      <c r="L3393" s="162" t="str">
        <f t="shared" si="81"/>
        <v>n/a</v>
      </c>
      <c r="M3393" s="162"/>
      <c r="N3393" s="162"/>
      <c r="O3393" s="162"/>
      <c r="P3393" s="178" t="s">
        <v>9081</v>
      </c>
      <c r="Q3393" s="162" t="s">
        <v>3953</v>
      </c>
      <c r="R3393" s="189" t="s">
        <v>2714</v>
      </c>
      <c r="S3393" s="366" t="s">
        <v>7321</v>
      </c>
      <c r="T3393" s="178" t="s">
        <v>7322</v>
      </c>
      <c r="U3393" s="178" t="s">
        <v>7324</v>
      </c>
      <c r="V3393" s="178" t="s">
        <v>53</v>
      </c>
      <c r="W3393" s="316" t="s">
        <v>3461</v>
      </c>
      <c r="X3393" s="648" t="s">
        <v>12454</v>
      </c>
      <c r="Y3393" s="356"/>
      <c r="Z3393" s="272">
        <v>999</v>
      </c>
      <c r="AA3393" s="272"/>
      <c r="AB3393" s="34">
        <f t="shared" ca="1" si="79"/>
        <v>0.36373154349461445</v>
      </c>
      <c r="AC3393" s="814"/>
      <c r="AD3393" s="815" t="s">
        <v>16377</v>
      </c>
      <c r="AE3393" s="942" t="s">
        <v>16524</v>
      </c>
      <c r="AF3393" s="923">
        <f>IF(X3393=X3392,AF3392,0)+IF(ISNUMBER(I3393),IF(I3393&lt;1,I3393,I3393*VLOOKUP(J3393,Summary!$H$2:$I$9,2)),VLOOKUP(J3393,Summary!$J$2:$K$9,2)*IF(ISNUMBER(H3393),H3393,1))</f>
        <v>1.33125</v>
      </c>
      <c r="AG3393" s="291">
        <v>3392</v>
      </c>
      <c r="AH3393" s="94"/>
      <c r="AI3393" s="94"/>
    </row>
    <row r="3394" spans="1:36" s="22" customFormat="1" ht="12" customHeight="1" x14ac:dyDescent="0.25">
      <c r="A3394" s="569" t="s">
        <v>5063</v>
      </c>
      <c r="B3394" s="569">
        <v>8</v>
      </c>
      <c r="C3394" s="569">
        <v>26</v>
      </c>
      <c r="D3394" s="417" t="s">
        <v>2823</v>
      </c>
      <c r="E3394" s="316" t="s">
        <v>2824</v>
      </c>
      <c r="F3394" s="187">
        <v>36373</v>
      </c>
      <c r="G3394" s="188"/>
      <c r="H3394" s="188" t="str">
        <f>IF(J3394="Book","n/a","")</f>
        <v>n/a</v>
      </c>
      <c r="I3394" s="188">
        <v>314</v>
      </c>
      <c r="J3394" s="902" t="s">
        <v>6868</v>
      </c>
      <c r="K3394" s="162" t="s">
        <v>5122</v>
      </c>
      <c r="L3394" s="162" t="str">
        <f t="shared" si="81"/>
        <v>n/a</v>
      </c>
      <c r="M3394" s="162"/>
      <c r="N3394" s="162"/>
      <c r="O3394" s="162"/>
      <c r="P3394" s="178" t="s">
        <v>9082</v>
      </c>
      <c r="Q3394" s="162" t="s">
        <v>3953</v>
      </c>
      <c r="R3394" s="189" t="s">
        <v>2714</v>
      </c>
      <c r="S3394" s="366" t="s">
        <v>7321</v>
      </c>
      <c r="T3394" s="178" t="s">
        <v>7322</v>
      </c>
      <c r="U3394" s="178" t="s">
        <v>7324</v>
      </c>
      <c r="V3394" s="178" t="s">
        <v>53</v>
      </c>
      <c r="W3394" s="316" t="s">
        <v>2824</v>
      </c>
      <c r="X3394" s="648" t="s">
        <v>12454</v>
      </c>
      <c r="Y3394" s="356"/>
      <c r="Z3394" s="272">
        <v>999</v>
      </c>
      <c r="AA3394" s="272"/>
      <c r="AB3394" s="34">
        <f t="shared" ref="AB3394:AB3457" ca="1" si="82">RAND()</f>
        <v>0.89898388760545156</v>
      </c>
      <c r="AC3394" s="814"/>
      <c r="AD3394" s="815" t="s">
        <v>16378</v>
      </c>
      <c r="AE3394" s="942" t="s">
        <v>16524</v>
      </c>
      <c r="AF3394" s="923">
        <f>IF(X3394=X3393,AF3393,0)+IF(ISNUMBER(I3394),IF(I3394&lt;1,I3394,I3394*VLOOKUP(J3394,Summary!$H$2:$I$9,2)),VLOOKUP(J3394,Summary!$J$2:$K$9,2)*IF(ISNUMBER(H3394),H3394,1))</f>
        <v>1.5493055555555557</v>
      </c>
      <c r="AG3394" s="291">
        <v>3393</v>
      </c>
      <c r="AH3394" s="94"/>
      <c r="AI3394" s="94"/>
      <c r="AJ3394" s="2"/>
    </row>
    <row r="3395" spans="1:36" s="22" customFormat="1" ht="12" customHeight="1" x14ac:dyDescent="0.25">
      <c r="A3395" s="571" t="s">
        <v>1568</v>
      </c>
      <c r="B3395" s="571">
        <v>8</v>
      </c>
      <c r="C3395" s="571">
        <v>18.239999999999998</v>
      </c>
      <c r="D3395" s="434" t="s">
        <v>148</v>
      </c>
      <c r="E3395" s="324" t="s">
        <v>7477</v>
      </c>
      <c r="F3395" s="174">
        <v>38687</v>
      </c>
      <c r="G3395" s="174"/>
      <c r="H3395" s="176">
        <v>1</v>
      </c>
      <c r="I3395" s="176">
        <v>8</v>
      </c>
      <c r="J3395" s="900" t="s">
        <v>2755</v>
      </c>
      <c r="K3395" s="164" t="s">
        <v>3324</v>
      </c>
      <c r="L3395" s="164" t="s">
        <v>461</v>
      </c>
      <c r="M3395" s="164"/>
      <c r="N3395" s="164" t="s">
        <v>5664</v>
      </c>
      <c r="O3395" s="164"/>
      <c r="P3395" s="173" t="s">
        <v>5000</v>
      </c>
      <c r="Q3395" s="164" t="s">
        <v>3947</v>
      </c>
      <c r="R3395" s="179" t="s">
        <v>2723</v>
      </c>
      <c r="S3395" s="354"/>
      <c r="T3395" s="173" t="s">
        <v>149</v>
      </c>
      <c r="U3395" s="173" t="s">
        <v>7937</v>
      </c>
      <c r="V3395" s="173"/>
      <c r="W3395" s="324" t="s">
        <v>7477</v>
      </c>
      <c r="X3395" s="656" t="s">
        <v>12458</v>
      </c>
      <c r="Y3395" s="363"/>
      <c r="Z3395" s="364"/>
      <c r="AA3395" s="364"/>
      <c r="AB3395" s="32">
        <f t="shared" ca="1" si="82"/>
        <v>0.96003676752066414</v>
      </c>
      <c r="AC3395" s="812"/>
      <c r="AD3395" s="763"/>
      <c r="AE3395" s="951"/>
      <c r="AF3395" s="921">
        <f>IF(X3395=X3394,AF3394,0)+IF(ISNUMBER(I3395),IF(I3395&lt;1,I3395,I3395*VLOOKUP(J3395,Summary!$H$2:$I$9,2)),VLOOKUP(J3395,Summary!$J$2:$K$9,2)*IF(ISNUMBER(H3395),H3395,1))</f>
        <v>5.5555555555555558E-3</v>
      </c>
      <c r="AG3395" s="288">
        <v>3394</v>
      </c>
      <c r="AH3395" s="94"/>
      <c r="AI3395" s="94"/>
    </row>
    <row r="3396" spans="1:36" s="22" customFormat="1" ht="12" customHeight="1" x14ac:dyDescent="0.25">
      <c r="A3396" s="571" t="s">
        <v>1568</v>
      </c>
      <c r="B3396" s="571">
        <v>8</v>
      </c>
      <c r="C3396" s="571">
        <v>20.11</v>
      </c>
      <c r="D3396" s="434" t="s">
        <v>7938</v>
      </c>
      <c r="E3396" s="324" t="s">
        <v>7478</v>
      </c>
      <c r="F3396" s="174">
        <v>38961</v>
      </c>
      <c r="G3396" s="174"/>
      <c r="H3396" s="176">
        <v>1</v>
      </c>
      <c r="I3396" s="176">
        <v>20</v>
      </c>
      <c r="J3396" s="900" t="s">
        <v>2755</v>
      </c>
      <c r="K3396" s="164" t="s">
        <v>2293</v>
      </c>
      <c r="L3396" s="164" t="s">
        <v>461</v>
      </c>
      <c r="M3396" s="164"/>
      <c r="N3396" s="164" t="s">
        <v>7381</v>
      </c>
      <c r="O3396" s="164"/>
      <c r="P3396" s="173" t="s">
        <v>705</v>
      </c>
      <c r="Q3396" s="164" t="s">
        <v>3947</v>
      </c>
      <c r="R3396" s="179" t="s">
        <v>2723</v>
      </c>
      <c r="S3396" s="354"/>
      <c r="T3396" s="173" t="s">
        <v>149</v>
      </c>
      <c r="U3396" s="173" t="s">
        <v>7937</v>
      </c>
      <c r="V3396" s="173"/>
      <c r="W3396" s="324" t="s">
        <v>7478</v>
      </c>
      <c r="X3396" s="656" t="s">
        <v>12458</v>
      </c>
      <c r="Y3396" s="363"/>
      <c r="Z3396" s="364"/>
      <c r="AA3396" s="364"/>
      <c r="AB3396" s="32">
        <f t="shared" ca="1" si="82"/>
        <v>0.27621962515750975</v>
      </c>
      <c r="AC3396" s="812"/>
      <c r="AD3396" s="763"/>
      <c r="AE3396" s="951"/>
      <c r="AF3396" s="921">
        <f>IF(X3396=X3395,AF3395,0)+IF(ISNUMBER(I3396),IF(I3396&lt;1,I3396,I3396*VLOOKUP(J3396,Summary!$H$2:$I$9,2)),VLOOKUP(J3396,Summary!$J$2:$K$9,2)*IF(ISNUMBER(H3396),H3396,1))</f>
        <v>1.9444444444444445E-2</v>
      </c>
      <c r="AG3396" s="288">
        <v>3395</v>
      </c>
      <c r="AH3396" s="94"/>
      <c r="AI3396" s="94"/>
    </row>
    <row r="3397" spans="1:36" s="22" customFormat="1" ht="12" customHeight="1" x14ac:dyDescent="0.2">
      <c r="A3397" s="573" t="s">
        <v>4328</v>
      </c>
      <c r="B3397" s="573">
        <v>8</v>
      </c>
      <c r="C3397" s="573">
        <v>123.4</v>
      </c>
      <c r="D3397" s="407" t="s">
        <v>1554</v>
      </c>
      <c r="E3397" s="315" t="s">
        <v>1555</v>
      </c>
      <c r="F3397" s="169">
        <v>39995</v>
      </c>
      <c r="G3397" s="170"/>
      <c r="H3397" s="170">
        <v>1</v>
      </c>
      <c r="I3397" s="746">
        <f>TIME(0,31,22)</f>
        <v>2.1782407407407407E-2</v>
      </c>
      <c r="J3397" s="899" t="s">
        <v>4706</v>
      </c>
      <c r="K3397" s="167" t="s">
        <v>177</v>
      </c>
      <c r="L3397" s="167" t="s">
        <v>4549</v>
      </c>
      <c r="M3397" s="167"/>
      <c r="N3397" s="167"/>
      <c r="O3397" s="167"/>
      <c r="P3397" s="168"/>
      <c r="Q3397" s="167" t="s">
        <v>3947</v>
      </c>
      <c r="R3397" s="172" t="s">
        <v>3146</v>
      </c>
      <c r="S3397" s="388"/>
      <c r="T3397" s="168" t="s">
        <v>7320</v>
      </c>
      <c r="U3397" s="168"/>
      <c r="V3397" s="168"/>
      <c r="W3397" s="312" t="s">
        <v>9577</v>
      </c>
      <c r="X3397" s="644" t="s">
        <v>12458</v>
      </c>
      <c r="Y3397" s="352" t="s">
        <v>2798</v>
      </c>
      <c r="Z3397" s="353">
        <v>219</v>
      </c>
      <c r="AA3397" s="353">
        <v>6</v>
      </c>
      <c r="AB3397" s="31">
        <f t="shared" ca="1" si="82"/>
        <v>0.59391574732934371</v>
      </c>
      <c r="AC3397" s="810"/>
      <c r="AD3397" s="811" t="s">
        <v>16567</v>
      </c>
      <c r="AE3397" s="940"/>
      <c r="AF3397" s="920">
        <f>IF(X3397=X3396,AF3396,0)+IF(ISNUMBER(I3397),IF(I3397&lt;1,I3397,I3397*VLOOKUP(J3397,Summary!$H$2:$I$9,2)),VLOOKUP(J3397,Summary!$J$2:$K$9,2)*IF(ISNUMBER(H3397),H3397,1))</f>
        <v>4.1226851851851848E-2</v>
      </c>
      <c r="AG3397" s="287">
        <v>3396</v>
      </c>
      <c r="AH3397" s="94"/>
      <c r="AI3397" s="94"/>
    </row>
    <row r="3398" spans="1:36" s="43" customFormat="1" ht="12" customHeight="1" x14ac:dyDescent="0.25">
      <c r="A3398" s="573" t="s">
        <v>4328</v>
      </c>
      <c r="B3398" s="573">
        <v>8</v>
      </c>
      <c r="C3398" s="573">
        <v>153</v>
      </c>
      <c r="D3398" s="407" t="s">
        <v>3336</v>
      </c>
      <c r="E3398" s="315" t="s">
        <v>3337</v>
      </c>
      <c r="F3398" s="169">
        <v>40817</v>
      </c>
      <c r="G3398" s="170"/>
      <c r="H3398" s="170">
        <v>4</v>
      </c>
      <c r="I3398" s="746">
        <f>TIME(2,7,37)</f>
        <v>8.8622685185185179E-2</v>
      </c>
      <c r="J3398" s="899" t="s">
        <v>4706</v>
      </c>
      <c r="K3398" s="167" t="s">
        <v>941</v>
      </c>
      <c r="L3398" s="167" t="s">
        <v>3296</v>
      </c>
      <c r="M3398" s="167"/>
      <c r="N3398" s="167"/>
      <c r="O3398" s="167" t="s">
        <v>4327</v>
      </c>
      <c r="P3398" s="168"/>
      <c r="Q3398" s="167" t="s">
        <v>3947</v>
      </c>
      <c r="R3398" s="172" t="s">
        <v>3146</v>
      </c>
      <c r="S3398" s="388"/>
      <c r="T3398" s="168" t="s">
        <v>7320</v>
      </c>
      <c r="U3398" s="168"/>
      <c r="V3398" s="168"/>
      <c r="W3398" s="312" t="s">
        <v>9562</v>
      </c>
      <c r="X3398" s="644" t="s">
        <v>12458</v>
      </c>
      <c r="Y3398" s="352" t="s">
        <v>5398</v>
      </c>
      <c r="Z3398" s="353">
        <v>87</v>
      </c>
      <c r="AA3398" s="353">
        <v>7.5</v>
      </c>
      <c r="AB3398" s="31">
        <f t="shared" ca="1" si="82"/>
        <v>0.90015127494844283</v>
      </c>
      <c r="AC3398" s="810"/>
      <c r="AD3398" s="811" t="s">
        <v>16618</v>
      </c>
      <c r="AE3398" s="940"/>
      <c r="AF3398" s="920">
        <f>IF(X3398=X3397,AF3397,0)+IF(ISNUMBER(I3398),IF(I3398&lt;1,I3398,I3398*VLOOKUP(J3398,Summary!$H$2:$I$9,2)),VLOOKUP(J3398,Summary!$J$2:$K$9,2)*IF(ISNUMBER(H3398),H3398,1))</f>
        <v>0.12984953703703703</v>
      </c>
      <c r="AG3398" s="287">
        <v>3397</v>
      </c>
      <c r="AH3398" s="94"/>
      <c r="AI3398" s="94"/>
    </row>
    <row r="3399" spans="1:36" s="1" customFormat="1" ht="12" customHeight="1" x14ac:dyDescent="0.25">
      <c r="A3399" s="573" t="s">
        <v>4328</v>
      </c>
      <c r="B3399" s="573">
        <v>8</v>
      </c>
      <c r="C3399" s="573">
        <v>154</v>
      </c>
      <c r="D3399" s="407" t="s">
        <v>4329</v>
      </c>
      <c r="E3399" s="315" t="s">
        <v>4330</v>
      </c>
      <c r="F3399" s="169">
        <v>40848</v>
      </c>
      <c r="G3399" s="170"/>
      <c r="H3399" s="170">
        <v>4</v>
      </c>
      <c r="I3399" s="746">
        <f>TIME(1,48,35)</f>
        <v>7.5405092592592593E-2</v>
      </c>
      <c r="J3399" s="899" t="s">
        <v>4706</v>
      </c>
      <c r="K3399" s="167" t="s">
        <v>4331</v>
      </c>
      <c r="L3399" s="167" t="s">
        <v>3296</v>
      </c>
      <c r="M3399" s="167"/>
      <c r="N3399" s="167"/>
      <c r="O3399" s="167" t="s">
        <v>2500</v>
      </c>
      <c r="P3399" s="168"/>
      <c r="Q3399" s="167" t="s">
        <v>3947</v>
      </c>
      <c r="R3399" s="172" t="s">
        <v>3146</v>
      </c>
      <c r="S3399" s="388"/>
      <c r="T3399" s="168" t="s">
        <v>7320</v>
      </c>
      <c r="U3399" s="168"/>
      <c r="V3399" s="168"/>
      <c r="W3399" s="312" t="s">
        <v>9564</v>
      </c>
      <c r="X3399" s="644" t="s">
        <v>12458</v>
      </c>
      <c r="Y3399" s="352" t="s">
        <v>5398</v>
      </c>
      <c r="Z3399" s="353">
        <v>471</v>
      </c>
      <c r="AA3399" s="353">
        <v>4</v>
      </c>
      <c r="AB3399" s="31">
        <f t="shared" ca="1" si="82"/>
        <v>0.39021613685867629</v>
      </c>
      <c r="AC3399" s="810"/>
      <c r="AD3399" s="811" t="s">
        <v>15890</v>
      </c>
      <c r="AE3399" s="940" t="s">
        <v>12543</v>
      </c>
      <c r="AF3399" s="920">
        <f>IF(X3399=X3398,AF3398,0)+IF(ISNUMBER(I3399),IF(I3399&lt;1,I3399,I3399*VLOOKUP(J3399,Summary!$H$2:$I$9,2)),VLOOKUP(J3399,Summary!$J$2:$K$9,2)*IF(ISNUMBER(H3399),H3399,1))</f>
        <v>0.20525462962962962</v>
      </c>
      <c r="AG3399" s="287">
        <v>3398</v>
      </c>
      <c r="AH3399" s="94"/>
      <c r="AI3399" s="94"/>
      <c r="AJ3399" s="43"/>
    </row>
    <row r="3400" spans="1:36" s="2" customFormat="1" ht="12" customHeight="1" x14ac:dyDescent="0.25">
      <c r="A3400" s="573" t="s">
        <v>4328</v>
      </c>
      <c r="B3400" s="573">
        <v>8</v>
      </c>
      <c r="C3400" s="573">
        <v>155</v>
      </c>
      <c r="D3400" s="407" t="s">
        <v>4333</v>
      </c>
      <c r="E3400" s="315" t="s">
        <v>4332</v>
      </c>
      <c r="F3400" s="169">
        <v>40878</v>
      </c>
      <c r="G3400" s="170"/>
      <c r="H3400" s="170">
        <v>4</v>
      </c>
      <c r="I3400" s="746">
        <f>TIME(1,35,53)</f>
        <v>6.6585648148148144E-2</v>
      </c>
      <c r="J3400" s="899" t="s">
        <v>4706</v>
      </c>
      <c r="K3400" s="167" t="s">
        <v>1033</v>
      </c>
      <c r="L3400" s="167" t="s">
        <v>3296</v>
      </c>
      <c r="M3400" s="167"/>
      <c r="N3400" s="167"/>
      <c r="O3400" s="167" t="s">
        <v>2500</v>
      </c>
      <c r="P3400" s="168"/>
      <c r="Q3400" s="167" t="s">
        <v>3947</v>
      </c>
      <c r="R3400" s="172" t="s">
        <v>3146</v>
      </c>
      <c r="S3400" s="388"/>
      <c r="T3400" s="168" t="s">
        <v>7320</v>
      </c>
      <c r="U3400" s="168"/>
      <c r="V3400" s="168"/>
      <c r="W3400" s="312" t="s">
        <v>9565</v>
      </c>
      <c r="X3400" s="644" t="s">
        <v>12458</v>
      </c>
      <c r="Y3400" s="352" t="s">
        <v>5398</v>
      </c>
      <c r="Z3400" s="353">
        <v>596</v>
      </c>
      <c r="AA3400" s="353">
        <v>3.5</v>
      </c>
      <c r="AB3400" s="31">
        <f t="shared" ca="1" si="82"/>
        <v>0.42536945103365842</v>
      </c>
      <c r="AC3400" s="810"/>
      <c r="AD3400" s="811" t="s">
        <v>16208</v>
      </c>
      <c r="AE3400" s="940" t="s">
        <v>3365</v>
      </c>
      <c r="AF3400" s="920">
        <f>IF(X3400=X3399,AF3399,0)+IF(ISNUMBER(I3400),IF(I3400&lt;1,I3400,I3400*VLOOKUP(J3400,Summary!$H$2:$I$9,2)),VLOOKUP(J3400,Summary!$J$2:$K$9,2)*IF(ISNUMBER(H3400),H3400,1))</f>
        <v>0.27184027777777775</v>
      </c>
      <c r="AG3400" s="287">
        <v>3399</v>
      </c>
      <c r="AH3400" s="94"/>
      <c r="AI3400" s="94"/>
      <c r="AJ3400" s="43"/>
    </row>
    <row r="3401" spans="1:36" s="22" customFormat="1" ht="12" customHeight="1" x14ac:dyDescent="0.2">
      <c r="A3401" s="573" t="s">
        <v>5301</v>
      </c>
      <c r="B3401" s="573">
        <v>8</v>
      </c>
      <c r="C3401" s="573">
        <v>16</v>
      </c>
      <c r="D3401" s="407" t="s">
        <v>1558</v>
      </c>
      <c r="E3401" s="315" t="s">
        <v>1559</v>
      </c>
      <c r="F3401" s="196">
        <v>36913</v>
      </c>
      <c r="G3401" s="170"/>
      <c r="H3401" s="170">
        <v>4</v>
      </c>
      <c r="I3401" s="746">
        <f>TIME(1,56,11)</f>
        <v>8.0682870370370363E-2</v>
      </c>
      <c r="J3401" s="899" t="s">
        <v>4706</v>
      </c>
      <c r="K3401" s="167" t="s">
        <v>7374</v>
      </c>
      <c r="L3401" s="167" t="s">
        <v>7375</v>
      </c>
      <c r="M3401" s="167"/>
      <c r="N3401" s="167"/>
      <c r="O3401" s="167" t="s">
        <v>2909</v>
      </c>
      <c r="P3401" s="168"/>
      <c r="Q3401" s="167" t="s">
        <v>3947</v>
      </c>
      <c r="R3401" s="172" t="s">
        <v>3146</v>
      </c>
      <c r="S3401" s="388" t="s">
        <v>2612</v>
      </c>
      <c r="T3401" s="168"/>
      <c r="U3401" s="168"/>
      <c r="V3401" s="168"/>
      <c r="W3401" s="312" t="s">
        <v>8653</v>
      </c>
      <c r="X3401" s="644" t="s">
        <v>12457</v>
      </c>
      <c r="Y3401" s="352" t="s">
        <v>5643</v>
      </c>
      <c r="Z3401" s="353">
        <v>180</v>
      </c>
      <c r="AA3401" s="353">
        <v>6</v>
      </c>
      <c r="AB3401" s="31">
        <f t="shared" ca="1" si="82"/>
        <v>0.67595075283257888</v>
      </c>
      <c r="AC3401" s="810"/>
      <c r="AD3401" s="811" t="s">
        <v>16704</v>
      </c>
      <c r="AE3401" s="940"/>
      <c r="AF3401" s="920">
        <f>IF(X3401=X3400,AF3400,0)+IF(ISNUMBER(I3401),IF(I3401&lt;1,I3401,I3401*VLOOKUP(J3401,Summary!$H$2:$I$9,2)),VLOOKUP(J3401,Summary!$J$2:$K$9,2)*IF(ISNUMBER(H3401),H3401,1))</f>
        <v>8.0682870370370363E-2</v>
      </c>
      <c r="AG3401" s="287">
        <v>3400</v>
      </c>
      <c r="AH3401" s="94"/>
      <c r="AI3401" s="94"/>
    </row>
    <row r="3402" spans="1:36" s="22" customFormat="1" ht="12" customHeight="1" x14ac:dyDescent="0.2">
      <c r="A3402" s="573" t="s">
        <v>5301</v>
      </c>
      <c r="B3402" s="573">
        <v>8</v>
      </c>
      <c r="C3402" s="573">
        <v>17</v>
      </c>
      <c r="D3402" s="407" t="s">
        <v>3016</v>
      </c>
      <c r="E3402" s="315" t="s">
        <v>3017</v>
      </c>
      <c r="F3402" s="196">
        <v>36948</v>
      </c>
      <c r="G3402" s="170"/>
      <c r="H3402" s="170">
        <v>4</v>
      </c>
      <c r="I3402" s="746">
        <f>TIME(2,3,34)</f>
        <v>8.5810185185185184E-2</v>
      </c>
      <c r="J3402" s="899" t="s">
        <v>4706</v>
      </c>
      <c r="K3402" s="167" t="s">
        <v>4549</v>
      </c>
      <c r="L3402" s="167" t="s">
        <v>4549</v>
      </c>
      <c r="M3402" s="167"/>
      <c r="N3402" s="167"/>
      <c r="O3402" s="167" t="s">
        <v>2909</v>
      </c>
      <c r="P3402" s="168"/>
      <c r="Q3402" s="167" t="s">
        <v>3947</v>
      </c>
      <c r="R3402" s="172" t="s">
        <v>3146</v>
      </c>
      <c r="S3402" s="388" t="s">
        <v>2612</v>
      </c>
      <c r="T3402" s="168"/>
      <c r="U3402" s="168"/>
      <c r="V3402" s="168"/>
      <c r="W3402" s="312" t="s">
        <v>8654</v>
      </c>
      <c r="X3402" s="644" t="s">
        <v>12457</v>
      </c>
      <c r="Y3402" s="352" t="s">
        <v>5643</v>
      </c>
      <c r="Z3402" s="353">
        <v>346</v>
      </c>
      <c r="AA3402" s="353">
        <v>5</v>
      </c>
      <c r="AB3402" s="31">
        <f t="shared" ca="1" si="82"/>
        <v>0.78571285243783762</v>
      </c>
      <c r="AC3402" s="810"/>
      <c r="AD3402" s="811" t="s">
        <v>16211</v>
      </c>
      <c r="AE3402" s="940"/>
      <c r="AF3402" s="920">
        <f>IF(X3402=X3401,AF3401,0)+IF(ISNUMBER(I3402),IF(I3402&lt;1,I3402,I3402*VLOOKUP(J3402,Summary!$H$2:$I$9,2)),VLOOKUP(J3402,Summary!$J$2:$K$9,2)*IF(ISNUMBER(H3402),H3402,1))</f>
        <v>0.16649305555555555</v>
      </c>
      <c r="AG3402" s="287">
        <v>3401</v>
      </c>
      <c r="AH3402" s="94"/>
      <c r="AI3402" s="94"/>
    </row>
    <row r="3403" spans="1:36" s="2" customFormat="1" ht="12" customHeight="1" x14ac:dyDescent="0.25">
      <c r="A3403" s="573" t="s">
        <v>5301</v>
      </c>
      <c r="B3403" s="573">
        <v>8</v>
      </c>
      <c r="C3403" s="573">
        <v>5</v>
      </c>
      <c r="D3403" s="407"/>
      <c r="E3403" s="315" t="s">
        <v>8529</v>
      </c>
      <c r="F3403" s="196">
        <v>41570</v>
      </c>
      <c r="G3403" s="170"/>
      <c r="H3403" s="170">
        <v>2</v>
      </c>
      <c r="I3403" s="746">
        <f>TIME(1,56,32)</f>
        <v>8.0925925925925915E-2</v>
      </c>
      <c r="J3403" s="899" t="s">
        <v>4706</v>
      </c>
      <c r="K3403" s="167" t="s">
        <v>4549</v>
      </c>
      <c r="L3403" s="167" t="s">
        <v>4549</v>
      </c>
      <c r="M3403" s="167"/>
      <c r="N3403" s="167"/>
      <c r="O3403" s="167" t="s">
        <v>3295</v>
      </c>
      <c r="P3403" s="168" t="s">
        <v>8530</v>
      </c>
      <c r="Q3403" s="167" t="s">
        <v>3947</v>
      </c>
      <c r="R3403" s="172" t="s">
        <v>3147</v>
      </c>
      <c r="S3403" s="388" t="s">
        <v>2612</v>
      </c>
      <c r="T3403" s="400" t="s">
        <v>5913</v>
      </c>
      <c r="U3403" s="168" t="s">
        <v>2123</v>
      </c>
      <c r="V3403" s="168"/>
      <c r="W3403" s="312" t="s">
        <v>10352</v>
      </c>
      <c r="X3403" s="644" t="s">
        <v>12457</v>
      </c>
      <c r="Y3403" s="352" t="s">
        <v>5643</v>
      </c>
      <c r="Z3403" s="353">
        <v>275</v>
      </c>
      <c r="AA3403" s="353">
        <v>5.5</v>
      </c>
      <c r="AB3403" s="31">
        <f t="shared" ca="1" si="82"/>
        <v>0.50469455886881187</v>
      </c>
      <c r="AC3403" s="810"/>
      <c r="AD3403" s="811"/>
      <c r="AE3403" s="940"/>
      <c r="AF3403" s="920">
        <f>IF(X3403=X3402,AF3402,0)+IF(ISNUMBER(I3403),IF(I3403&lt;1,I3403,I3403*VLOOKUP(J3403,Summary!$H$2:$I$9,2)),VLOOKUP(J3403,Summary!$J$2:$K$9,2)*IF(ISNUMBER(H3403),H3403,1))</f>
        <v>0.24741898148148145</v>
      </c>
      <c r="AG3403" s="287">
        <v>3402</v>
      </c>
      <c r="AH3403" s="94"/>
      <c r="AI3403" s="94"/>
    </row>
    <row r="3404" spans="1:36" s="2" customFormat="1" ht="12" customHeight="1" x14ac:dyDescent="0.25">
      <c r="A3404" s="571" t="s">
        <v>5301</v>
      </c>
      <c r="B3404" s="571">
        <v>8</v>
      </c>
      <c r="C3404" s="571">
        <v>11.17</v>
      </c>
      <c r="D3404" s="434" t="s">
        <v>4595</v>
      </c>
      <c r="E3404" s="324" t="s">
        <v>7479</v>
      </c>
      <c r="F3404" s="174">
        <v>38200</v>
      </c>
      <c r="G3404" s="174"/>
      <c r="H3404" s="176">
        <v>1</v>
      </c>
      <c r="I3404" s="176">
        <v>5</v>
      </c>
      <c r="J3404" s="900" t="s">
        <v>2755</v>
      </c>
      <c r="K3404" s="164" t="s">
        <v>7375</v>
      </c>
      <c r="L3404" s="164" t="s">
        <v>461</v>
      </c>
      <c r="M3404" s="164"/>
      <c r="N3404" s="164" t="s">
        <v>7375</v>
      </c>
      <c r="O3404" s="164"/>
      <c r="P3404" s="173" t="s">
        <v>2559</v>
      </c>
      <c r="Q3404" s="164" t="s">
        <v>3947</v>
      </c>
      <c r="R3404" s="179" t="s">
        <v>2723</v>
      </c>
      <c r="S3404" s="354" t="s">
        <v>2612</v>
      </c>
      <c r="T3404" s="173"/>
      <c r="U3404" s="173"/>
      <c r="V3404" s="173"/>
      <c r="W3404" s="324" t="s">
        <v>7479</v>
      </c>
      <c r="X3404" s="656" t="s">
        <v>12457</v>
      </c>
      <c r="Y3404" s="363"/>
      <c r="Z3404" s="364">
        <v>999</v>
      </c>
      <c r="AA3404" s="364"/>
      <c r="AB3404" s="32">
        <f t="shared" ca="1" si="82"/>
        <v>0.49646482767279387</v>
      </c>
      <c r="AC3404" s="812"/>
      <c r="AD3404" s="763"/>
      <c r="AE3404" s="951"/>
      <c r="AF3404" s="921">
        <f>IF(X3404=X3403,AF3403,0)+IF(ISNUMBER(I3404),IF(I3404&lt;1,I3404,I3404*VLOOKUP(J3404,Summary!$H$2:$I$9,2)),VLOOKUP(J3404,Summary!$J$2:$K$9,2)*IF(ISNUMBER(H3404),H3404,1))</f>
        <v>0.25089120370370366</v>
      </c>
      <c r="AG3404" s="288">
        <v>3403</v>
      </c>
      <c r="AH3404" s="94"/>
      <c r="AI3404" s="94"/>
    </row>
    <row r="3405" spans="1:36" s="2" customFormat="1" ht="12" customHeight="1" x14ac:dyDescent="0.25">
      <c r="A3405" s="570" t="s">
        <v>5301</v>
      </c>
      <c r="B3405" s="570">
        <v>8</v>
      </c>
      <c r="C3405" s="576">
        <v>2.08</v>
      </c>
      <c r="D3405" s="192" t="s">
        <v>482</v>
      </c>
      <c r="E3405" s="317" t="s">
        <v>1981</v>
      </c>
      <c r="F3405" s="209">
        <v>40602</v>
      </c>
      <c r="G3405" s="209"/>
      <c r="H3405" s="192">
        <v>1</v>
      </c>
      <c r="I3405" s="753">
        <f>TIME(0,16,44)</f>
        <v>1.1620370370370371E-2</v>
      </c>
      <c r="J3405" s="903" t="s">
        <v>2755</v>
      </c>
      <c r="K3405" s="194" t="s">
        <v>5664</v>
      </c>
      <c r="L3405" s="194" t="s">
        <v>3426</v>
      </c>
      <c r="M3405" s="194" t="s">
        <v>499</v>
      </c>
      <c r="N3405" s="194"/>
      <c r="O3405" s="194"/>
      <c r="P3405" s="190" t="s">
        <v>6698</v>
      </c>
      <c r="Q3405" s="194" t="s">
        <v>3947</v>
      </c>
      <c r="R3405" s="193" t="s">
        <v>2722</v>
      </c>
      <c r="S3405" s="357" t="s">
        <v>2612</v>
      </c>
      <c r="T3405" s="190"/>
      <c r="U3405" s="190"/>
      <c r="V3405" s="190"/>
      <c r="W3405" s="317" t="s">
        <v>1981</v>
      </c>
      <c r="X3405" s="649" t="s">
        <v>12457</v>
      </c>
      <c r="Y3405" s="357" t="s">
        <v>5643</v>
      </c>
      <c r="Z3405" s="192">
        <v>999</v>
      </c>
      <c r="AA3405" s="192"/>
      <c r="AB3405" s="37">
        <f t="shared" ca="1" si="82"/>
        <v>0.42074716141826685</v>
      </c>
      <c r="AC3405" s="816"/>
      <c r="AD3405" s="817"/>
      <c r="AE3405" s="943"/>
      <c r="AF3405" s="924">
        <f>IF(X3405=X3404,AF3404,0)+IF(ISNUMBER(I3405),IF(I3405&lt;1,I3405,I3405*VLOOKUP(J3405,Summary!$H$2:$I$9,2)),VLOOKUP(J3405,Summary!$J$2:$K$9,2)*IF(ISNUMBER(H3405),H3405,1))</f>
        <v>0.26251157407407405</v>
      </c>
      <c r="AG3405" s="292">
        <v>3404</v>
      </c>
      <c r="AH3405" s="94"/>
      <c r="AI3405" s="94"/>
    </row>
    <row r="3406" spans="1:36" s="22" customFormat="1" ht="12" customHeight="1" x14ac:dyDescent="0.25">
      <c r="A3406" s="571" t="s">
        <v>5301</v>
      </c>
      <c r="B3406" s="571">
        <v>8</v>
      </c>
      <c r="C3406" s="571">
        <v>12.01</v>
      </c>
      <c r="D3406" s="434" t="s">
        <v>2385</v>
      </c>
      <c r="E3406" s="324" t="s">
        <v>7480</v>
      </c>
      <c r="F3406" s="174">
        <v>38261</v>
      </c>
      <c r="G3406" s="174"/>
      <c r="H3406" s="176">
        <v>1</v>
      </c>
      <c r="I3406" s="176">
        <v>20</v>
      </c>
      <c r="J3406" s="900" t="s">
        <v>2755</v>
      </c>
      <c r="K3406" s="164" t="s">
        <v>2384</v>
      </c>
      <c r="L3406" s="164" t="s">
        <v>461</v>
      </c>
      <c r="M3406" s="164"/>
      <c r="N3406" s="164" t="s">
        <v>7381</v>
      </c>
      <c r="O3406" s="164"/>
      <c r="P3406" s="173" t="s">
        <v>2756</v>
      </c>
      <c r="Q3406" s="164" t="s">
        <v>3947</v>
      </c>
      <c r="R3406" s="179" t="s">
        <v>2723</v>
      </c>
      <c r="S3406" s="354" t="s">
        <v>2612</v>
      </c>
      <c r="T3406" s="173"/>
      <c r="U3406" s="173"/>
      <c r="V3406" s="173"/>
      <c r="W3406" s="324" t="s">
        <v>7480</v>
      </c>
      <c r="X3406" s="656" t="s">
        <v>12457</v>
      </c>
      <c r="Y3406" s="363"/>
      <c r="Z3406" s="364"/>
      <c r="AA3406" s="364"/>
      <c r="AB3406" s="32">
        <f t="shared" ca="1" si="82"/>
        <v>0.23904558662005537</v>
      </c>
      <c r="AC3406" s="812"/>
      <c r="AD3406" s="763"/>
      <c r="AE3406" s="951"/>
      <c r="AF3406" s="921">
        <f>IF(X3406=X3405,AF3405,0)+IF(ISNUMBER(I3406),IF(I3406&lt;1,I3406,I3406*VLOOKUP(J3406,Summary!$H$2:$I$9,2)),VLOOKUP(J3406,Summary!$J$2:$K$9,2)*IF(ISNUMBER(H3406),H3406,1))</f>
        <v>0.27640046296296295</v>
      </c>
      <c r="AG3406" s="288">
        <v>3405</v>
      </c>
      <c r="AH3406" s="94"/>
      <c r="AI3406" s="94"/>
    </row>
    <row r="3407" spans="1:36" s="2" customFormat="1" ht="12" customHeight="1" x14ac:dyDescent="0.25">
      <c r="A3407" s="573" t="s">
        <v>5301</v>
      </c>
      <c r="B3407" s="573">
        <v>8</v>
      </c>
      <c r="C3407" s="573">
        <v>18</v>
      </c>
      <c r="D3407" s="407" t="s">
        <v>3018</v>
      </c>
      <c r="E3407" s="315" t="s">
        <v>3019</v>
      </c>
      <c r="F3407" s="196">
        <v>36969</v>
      </c>
      <c r="G3407" s="170"/>
      <c r="H3407" s="170">
        <v>4</v>
      </c>
      <c r="I3407" s="746">
        <f>TIME(1,49,48)</f>
        <v>7.6249999999999998E-2</v>
      </c>
      <c r="J3407" s="899" t="s">
        <v>4706</v>
      </c>
      <c r="K3407" s="167" t="s">
        <v>5658</v>
      </c>
      <c r="L3407" s="167" t="s">
        <v>7375</v>
      </c>
      <c r="M3407" s="167"/>
      <c r="N3407" s="167"/>
      <c r="O3407" s="167" t="s">
        <v>2909</v>
      </c>
      <c r="P3407" s="168"/>
      <c r="Q3407" s="167" t="s">
        <v>3947</v>
      </c>
      <c r="R3407" s="172" t="s">
        <v>3146</v>
      </c>
      <c r="S3407" s="388" t="s">
        <v>2612</v>
      </c>
      <c r="T3407" s="168"/>
      <c r="U3407" s="168"/>
      <c r="V3407" s="168"/>
      <c r="W3407" s="312" t="s">
        <v>9584</v>
      </c>
      <c r="X3407" s="644" t="s">
        <v>12457</v>
      </c>
      <c r="Y3407" s="352" t="s">
        <v>5643</v>
      </c>
      <c r="Z3407" s="353">
        <v>392</v>
      </c>
      <c r="AA3407" s="353">
        <v>5</v>
      </c>
      <c r="AB3407" s="31">
        <f t="shared" ca="1" si="82"/>
        <v>0.53128950060127578</v>
      </c>
      <c r="AC3407" s="810"/>
      <c r="AD3407" s="811" t="s">
        <v>16165</v>
      </c>
      <c r="AE3407" s="940"/>
      <c r="AF3407" s="920">
        <f>IF(X3407=X3406,AF3406,0)+IF(ISNUMBER(I3407),IF(I3407&lt;1,I3407,I3407*VLOOKUP(J3407,Summary!$H$2:$I$9,2)),VLOOKUP(J3407,Summary!$J$2:$K$9,2)*IF(ISNUMBER(H3407),H3407,1))</f>
        <v>0.35265046296296293</v>
      </c>
      <c r="AG3407" s="287">
        <v>3406</v>
      </c>
      <c r="AH3407" s="94"/>
      <c r="AI3407" s="94"/>
    </row>
    <row r="3408" spans="1:36" s="22" customFormat="1" ht="12" customHeight="1" x14ac:dyDescent="0.25">
      <c r="A3408" s="573" t="s">
        <v>5301</v>
      </c>
      <c r="B3408" s="573">
        <v>8</v>
      </c>
      <c r="C3408" s="573">
        <v>19</v>
      </c>
      <c r="D3408" s="407" t="s">
        <v>3020</v>
      </c>
      <c r="E3408" s="315" t="s">
        <v>3021</v>
      </c>
      <c r="F3408" s="196">
        <v>36998</v>
      </c>
      <c r="G3408" s="170"/>
      <c r="H3408" s="170">
        <v>4</v>
      </c>
      <c r="I3408" s="746">
        <f>TIME(2,27,47)</f>
        <v>0.10262731481481481</v>
      </c>
      <c r="J3408" s="899" t="s">
        <v>4706</v>
      </c>
      <c r="K3408" s="167" t="s">
        <v>5250</v>
      </c>
      <c r="L3408" s="167" t="s">
        <v>4549</v>
      </c>
      <c r="M3408" s="167"/>
      <c r="N3408" s="167"/>
      <c r="O3408" s="167" t="s">
        <v>2909</v>
      </c>
      <c r="P3408" s="168"/>
      <c r="Q3408" s="167" t="s">
        <v>3947</v>
      </c>
      <c r="R3408" s="172" t="s">
        <v>3146</v>
      </c>
      <c r="S3408" s="388" t="s">
        <v>2612</v>
      </c>
      <c r="T3408" s="168"/>
      <c r="U3408" s="168"/>
      <c r="V3408" s="168"/>
      <c r="W3408" s="312" t="s">
        <v>8655</v>
      </c>
      <c r="X3408" s="644" t="s">
        <v>12457</v>
      </c>
      <c r="Y3408" s="352" t="s">
        <v>5643</v>
      </c>
      <c r="Z3408" s="353">
        <v>699</v>
      </c>
      <c r="AA3408" s="353">
        <v>1</v>
      </c>
      <c r="AB3408" s="31">
        <f t="shared" ca="1" si="82"/>
        <v>2.9543616901478997E-2</v>
      </c>
      <c r="AC3408" s="810"/>
      <c r="AD3408" s="811" t="s">
        <v>15833</v>
      </c>
      <c r="AE3408" s="940"/>
      <c r="AF3408" s="920">
        <f>IF(X3408=X3407,AF3407,0)+IF(ISNUMBER(I3408),IF(I3408&lt;1,I3408,I3408*VLOOKUP(J3408,Summary!$H$2:$I$9,2)),VLOOKUP(J3408,Summary!$J$2:$K$9,2)*IF(ISNUMBER(H3408),H3408,1))</f>
        <v>0.45527777777777773</v>
      </c>
      <c r="AG3408" s="287">
        <v>3407</v>
      </c>
      <c r="AH3408" s="94"/>
      <c r="AI3408" s="94"/>
      <c r="AJ3408" s="2"/>
    </row>
    <row r="3409" spans="1:36" s="2" customFormat="1" ht="12" customHeight="1" x14ac:dyDescent="0.25">
      <c r="A3409" s="570" t="s">
        <v>5301</v>
      </c>
      <c r="B3409" s="570">
        <v>8</v>
      </c>
      <c r="C3409" s="576">
        <v>6.11</v>
      </c>
      <c r="D3409" s="192" t="s">
        <v>12987</v>
      </c>
      <c r="E3409" s="317" t="s">
        <v>12988</v>
      </c>
      <c r="F3409" s="209">
        <v>42704</v>
      </c>
      <c r="G3409" s="209"/>
      <c r="H3409" s="192">
        <v>1</v>
      </c>
      <c r="I3409" s="753">
        <f>TIME(0,40,42)</f>
        <v>2.826388888888889E-2</v>
      </c>
      <c r="J3409" s="903" t="s">
        <v>2755</v>
      </c>
      <c r="K3409" s="194" t="s">
        <v>5195</v>
      </c>
      <c r="L3409" s="194" t="s">
        <v>5662</v>
      </c>
      <c r="M3409" s="194" t="s">
        <v>499</v>
      </c>
      <c r="N3409" s="194"/>
      <c r="O3409" s="194"/>
      <c r="P3409" s="190" t="s">
        <v>12989</v>
      </c>
      <c r="Q3409" s="194" t="s">
        <v>3947</v>
      </c>
      <c r="R3409" s="193" t="s">
        <v>2722</v>
      </c>
      <c r="S3409" s="357" t="s">
        <v>2612</v>
      </c>
      <c r="T3409" s="190"/>
      <c r="U3409" s="190"/>
      <c r="V3409" s="190"/>
      <c r="W3409" s="317" t="s">
        <v>12988</v>
      </c>
      <c r="X3409" s="649" t="s">
        <v>12457</v>
      </c>
      <c r="Y3409" s="357" t="s">
        <v>5643</v>
      </c>
      <c r="Z3409" s="192">
        <v>999</v>
      </c>
      <c r="AA3409" s="192"/>
      <c r="AB3409" s="37">
        <f t="shared" ca="1" si="82"/>
        <v>8.7678635153921047E-2</v>
      </c>
      <c r="AC3409" s="816"/>
      <c r="AD3409" s="817"/>
      <c r="AE3409" s="943"/>
      <c r="AF3409" s="924">
        <f>IF(X3409=X3408,AF3408,0)+IF(ISNUMBER(I3409),IF(I3409&lt;1,I3409,I3409*VLOOKUP(J3409,Summary!$H$2:$I$9,2)),VLOOKUP(J3409,Summary!$J$2:$K$9,2)*IF(ISNUMBER(H3409),H3409,1))</f>
        <v>0.48354166666666659</v>
      </c>
      <c r="AG3409" s="292">
        <v>3408</v>
      </c>
      <c r="AH3409" s="94"/>
      <c r="AI3409" s="94"/>
    </row>
    <row r="3410" spans="1:36" s="2" customFormat="1" ht="12" customHeight="1" x14ac:dyDescent="0.25">
      <c r="A3410" s="571" t="s">
        <v>5301</v>
      </c>
      <c r="B3410" s="571">
        <v>8</v>
      </c>
      <c r="C3410" s="571">
        <v>8.02</v>
      </c>
      <c r="D3410" s="434" t="s">
        <v>2386</v>
      </c>
      <c r="E3410" s="324" t="s">
        <v>7488</v>
      </c>
      <c r="F3410" s="174">
        <v>37956</v>
      </c>
      <c r="G3410" s="174"/>
      <c r="H3410" s="176">
        <v>1</v>
      </c>
      <c r="I3410" s="176">
        <v>12</v>
      </c>
      <c r="J3410" s="900" t="s">
        <v>2755</v>
      </c>
      <c r="K3410" s="164" t="s">
        <v>5664</v>
      </c>
      <c r="L3410" s="164" t="s">
        <v>461</v>
      </c>
      <c r="M3410" s="164"/>
      <c r="N3410" s="164" t="s">
        <v>4996</v>
      </c>
      <c r="O3410" s="164"/>
      <c r="P3410" s="173" t="s">
        <v>2555</v>
      </c>
      <c r="Q3410" s="164" t="s">
        <v>3947</v>
      </c>
      <c r="R3410" s="179" t="s">
        <v>2723</v>
      </c>
      <c r="S3410" s="354" t="s">
        <v>2612</v>
      </c>
      <c r="T3410" s="173"/>
      <c r="U3410" s="173"/>
      <c r="V3410" s="173"/>
      <c r="W3410" s="324" t="s">
        <v>7488</v>
      </c>
      <c r="X3410" s="656" t="s">
        <v>12457</v>
      </c>
      <c r="Y3410" s="363"/>
      <c r="Z3410" s="364"/>
      <c r="AA3410" s="364"/>
      <c r="AB3410" s="32">
        <f t="shared" ca="1" si="82"/>
        <v>0.16661264080147076</v>
      </c>
      <c r="AC3410" s="812"/>
      <c r="AD3410" s="763"/>
      <c r="AE3410" s="951"/>
      <c r="AF3410" s="921">
        <f>IF(X3410=X3409,AF3409,0)+IF(ISNUMBER(I3410),IF(I3410&lt;1,I3410,I3410*VLOOKUP(J3410,Summary!$H$2:$I$9,2)),VLOOKUP(J3410,Summary!$J$2:$K$9,2)*IF(ISNUMBER(H3410),H3410,1))</f>
        <v>0.49187499999999995</v>
      </c>
      <c r="AG3410" s="288">
        <v>3409</v>
      </c>
      <c r="AH3410" s="94"/>
      <c r="AI3410" s="94"/>
      <c r="AJ3410" s="22"/>
    </row>
    <row r="3411" spans="1:36" s="2" customFormat="1" ht="12" customHeight="1" x14ac:dyDescent="0.25">
      <c r="A3411" s="571" t="s">
        <v>5301</v>
      </c>
      <c r="B3411" s="571">
        <v>8</v>
      </c>
      <c r="C3411" s="571">
        <v>17.02</v>
      </c>
      <c r="D3411" s="434" t="s">
        <v>2387</v>
      </c>
      <c r="E3411" s="324" t="s">
        <v>7489</v>
      </c>
      <c r="F3411" s="174">
        <v>38596</v>
      </c>
      <c r="G3411" s="174"/>
      <c r="H3411" s="176">
        <v>1</v>
      </c>
      <c r="I3411" s="176">
        <v>18</v>
      </c>
      <c r="J3411" s="900" t="s">
        <v>2755</v>
      </c>
      <c r="K3411" s="164" t="s">
        <v>6835</v>
      </c>
      <c r="L3411" s="164" t="s">
        <v>461</v>
      </c>
      <c r="M3411" s="164"/>
      <c r="N3411" s="164" t="s">
        <v>7375</v>
      </c>
      <c r="O3411" s="164"/>
      <c r="P3411" s="173" t="s">
        <v>2568</v>
      </c>
      <c r="Q3411" s="164" t="s">
        <v>3947</v>
      </c>
      <c r="R3411" s="179" t="s">
        <v>2723</v>
      </c>
      <c r="S3411" s="354" t="s">
        <v>2612</v>
      </c>
      <c r="T3411" s="173"/>
      <c r="U3411" s="173"/>
      <c r="V3411" s="173"/>
      <c r="W3411" s="324" t="s">
        <v>7489</v>
      </c>
      <c r="X3411" s="656" t="s">
        <v>12457</v>
      </c>
      <c r="Y3411" s="363"/>
      <c r="Z3411" s="364"/>
      <c r="AA3411" s="364"/>
      <c r="AB3411" s="32">
        <f t="shared" ca="1" si="82"/>
        <v>0.68086590423133053</v>
      </c>
      <c r="AC3411" s="812"/>
      <c r="AD3411" s="763"/>
      <c r="AE3411" s="951"/>
      <c r="AF3411" s="921">
        <f>IF(X3411=X3410,AF3410,0)+IF(ISNUMBER(I3411),IF(I3411&lt;1,I3411,I3411*VLOOKUP(J3411,Summary!$H$2:$I$9,2)),VLOOKUP(J3411,Summary!$J$2:$K$9,2)*IF(ISNUMBER(H3411),H3411,1))</f>
        <v>0.50437499999999991</v>
      </c>
      <c r="AG3411" s="288">
        <v>3410</v>
      </c>
      <c r="AH3411" s="94"/>
      <c r="AI3411" s="94"/>
    </row>
    <row r="3412" spans="1:36" s="2" customFormat="1" ht="12" customHeight="1" x14ac:dyDescent="0.25">
      <c r="A3412" s="571" t="s">
        <v>5301</v>
      </c>
      <c r="B3412" s="571">
        <v>8</v>
      </c>
      <c r="C3412" s="571">
        <v>23.11</v>
      </c>
      <c r="D3412" s="434" t="s">
        <v>2390</v>
      </c>
      <c r="E3412" s="324" t="s">
        <v>7481</v>
      </c>
      <c r="F3412" s="174">
        <v>39234</v>
      </c>
      <c r="G3412" s="174"/>
      <c r="H3412" s="176">
        <v>1</v>
      </c>
      <c r="I3412" s="176">
        <v>16</v>
      </c>
      <c r="J3412" s="900" t="s">
        <v>2755</v>
      </c>
      <c r="K3412" s="164" t="s">
        <v>2389</v>
      </c>
      <c r="L3412" s="164" t="s">
        <v>461</v>
      </c>
      <c r="M3412" s="164"/>
      <c r="N3412" s="164" t="s">
        <v>804</v>
      </c>
      <c r="O3412" s="164"/>
      <c r="P3412" s="173" t="s">
        <v>6700</v>
      </c>
      <c r="Q3412" s="164" t="s">
        <v>3947</v>
      </c>
      <c r="R3412" s="179" t="s">
        <v>2723</v>
      </c>
      <c r="S3412" s="354" t="s">
        <v>2612</v>
      </c>
      <c r="T3412" s="173"/>
      <c r="U3412" s="173"/>
      <c r="V3412" s="173"/>
      <c r="W3412" s="324" t="s">
        <v>7481</v>
      </c>
      <c r="X3412" s="656" t="s">
        <v>12457</v>
      </c>
      <c r="Y3412" s="363"/>
      <c r="Z3412" s="364"/>
      <c r="AA3412" s="364"/>
      <c r="AB3412" s="32">
        <f t="shared" ca="1" si="82"/>
        <v>0.1014707698598889</v>
      </c>
      <c r="AC3412" s="812"/>
      <c r="AD3412" s="763"/>
      <c r="AE3412" s="951"/>
      <c r="AF3412" s="921">
        <f>IF(X3412=X3411,AF3411,0)+IF(ISNUMBER(I3412),IF(I3412&lt;1,I3412,I3412*VLOOKUP(J3412,Summary!$H$2:$I$9,2)),VLOOKUP(J3412,Summary!$J$2:$K$9,2)*IF(ISNUMBER(H3412),H3412,1))</f>
        <v>0.51548611111111098</v>
      </c>
      <c r="AG3412" s="288">
        <v>3411</v>
      </c>
      <c r="AH3412" s="94"/>
      <c r="AI3412" s="94"/>
      <c r="AJ3412" s="1"/>
    </row>
    <row r="3413" spans="1:36" s="1" customFormat="1" ht="12" customHeight="1" x14ac:dyDescent="0.25">
      <c r="A3413" s="573" t="s">
        <v>5301</v>
      </c>
      <c r="B3413" s="573">
        <v>8</v>
      </c>
      <c r="C3413" s="573">
        <v>8</v>
      </c>
      <c r="D3413" s="407" t="s">
        <v>8317</v>
      </c>
      <c r="E3413" s="315" t="s">
        <v>8318</v>
      </c>
      <c r="F3413" s="196">
        <v>41487</v>
      </c>
      <c r="G3413" s="170"/>
      <c r="H3413" s="170">
        <v>1</v>
      </c>
      <c r="I3413" s="746">
        <f>TIME(1,0,36)</f>
        <v>4.2083333333333334E-2</v>
      </c>
      <c r="J3413" s="899" t="s">
        <v>4706</v>
      </c>
      <c r="K3413" s="167" t="s">
        <v>7374</v>
      </c>
      <c r="L3413" s="167" t="s">
        <v>6231</v>
      </c>
      <c r="M3413" s="167"/>
      <c r="N3413" s="167"/>
      <c r="O3413" s="167"/>
      <c r="P3413" s="168" t="s">
        <v>8319</v>
      </c>
      <c r="Q3413" s="167" t="s">
        <v>2096</v>
      </c>
      <c r="R3413" s="172" t="s">
        <v>2092</v>
      </c>
      <c r="S3413" s="388" t="s">
        <v>2612</v>
      </c>
      <c r="T3413" s="168"/>
      <c r="U3413" s="168"/>
      <c r="V3413" s="168"/>
      <c r="W3413" s="312" t="s">
        <v>8318</v>
      </c>
      <c r="X3413" s="644" t="s">
        <v>12457</v>
      </c>
      <c r="Y3413" s="352" t="s">
        <v>5643</v>
      </c>
      <c r="Z3413" s="353">
        <v>557</v>
      </c>
      <c r="AA3413" s="353">
        <v>3.5</v>
      </c>
      <c r="AB3413" s="31">
        <f t="shared" ca="1" si="82"/>
        <v>0.81174914820384669</v>
      </c>
      <c r="AC3413" s="810"/>
      <c r="AD3413" s="811"/>
      <c r="AE3413" s="940"/>
      <c r="AF3413" s="920">
        <f>IF(X3413=X3412,AF3412,0)+IF(ISNUMBER(I3413),IF(I3413&lt;1,I3413,I3413*VLOOKUP(J3413,Summary!$H$2:$I$9,2)),VLOOKUP(J3413,Summary!$J$2:$K$9,2)*IF(ISNUMBER(H3413),H3413,1))</f>
        <v>0.55756944444444434</v>
      </c>
      <c r="AG3413" s="287">
        <v>3412</v>
      </c>
      <c r="AH3413" s="94"/>
      <c r="AI3413" s="94"/>
      <c r="AJ3413" s="22"/>
    </row>
    <row r="3414" spans="1:36" s="1" customFormat="1" ht="12" customHeight="1" x14ac:dyDescent="0.25">
      <c r="A3414" s="573" t="s">
        <v>5301</v>
      </c>
      <c r="B3414" s="573">
        <v>8</v>
      </c>
      <c r="C3414" s="573">
        <v>28</v>
      </c>
      <c r="D3414" s="407" t="s">
        <v>3022</v>
      </c>
      <c r="E3414" s="315" t="s">
        <v>3023</v>
      </c>
      <c r="F3414" s="196">
        <v>37284</v>
      </c>
      <c r="G3414" s="170"/>
      <c r="H3414" s="170">
        <v>4</v>
      </c>
      <c r="I3414" s="746">
        <f>TIME(1,34,18)</f>
        <v>6.548611111111112E-2</v>
      </c>
      <c r="J3414" s="899" t="s">
        <v>4706</v>
      </c>
      <c r="K3414" s="167" t="s">
        <v>4964</v>
      </c>
      <c r="L3414" s="167" t="s">
        <v>4964</v>
      </c>
      <c r="M3414" s="167"/>
      <c r="N3414" s="167"/>
      <c r="O3414" s="167" t="s">
        <v>2909</v>
      </c>
      <c r="P3414" s="168"/>
      <c r="Q3414" s="167" t="s">
        <v>3947</v>
      </c>
      <c r="R3414" s="172" t="s">
        <v>3146</v>
      </c>
      <c r="S3414" s="388" t="s">
        <v>2612</v>
      </c>
      <c r="T3414" s="168"/>
      <c r="U3414" s="168"/>
      <c r="V3414" s="168"/>
      <c r="W3414" s="312" t="s">
        <v>8656</v>
      </c>
      <c r="X3414" s="644" t="s">
        <v>12459</v>
      </c>
      <c r="Y3414" s="352" t="s">
        <v>5643</v>
      </c>
      <c r="Z3414" s="353">
        <v>101</v>
      </c>
      <c r="AA3414" s="353">
        <v>7.5</v>
      </c>
      <c r="AB3414" s="31">
        <f t="shared" ca="1" si="82"/>
        <v>0.32704359561314189</v>
      </c>
      <c r="AC3414" s="810"/>
      <c r="AD3414" s="811" t="s">
        <v>16720</v>
      </c>
      <c r="AE3414" s="940"/>
      <c r="AF3414" s="920">
        <f>IF(X3414=X3413,AF3413,0)+IF(ISNUMBER(I3414),IF(I3414&lt;1,I3414,I3414*VLOOKUP(J3414,Summary!$H$2:$I$9,2)),VLOOKUP(J3414,Summary!$J$2:$K$9,2)*IF(ISNUMBER(H3414),H3414,1))</f>
        <v>6.548611111111112E-2</v>
      </c>
      <c r="AG3414" s="287">
        <v>3413</v>
      </c>
      <c r="AH3414" s="94"/>
      <c r="AI3414" s="94"/>
      <c r="AJ3414" s="22"/>
    </row>
    <row r="3415" spans="1:36" s="1" customFormat="1" ht="12" customHeight="1" x14ac:dyDescent="0.25">
      <c r="A3415" s="573" t="s">
        <v>5302</v>
      </c>
      <c r="B3415" s="573">
        <v>8</v>
      </c>
      <c r="C3415" s="573">
        <v>29</v>
      </c>
      <c r="D3415" s="407" t="s">
        <v>3024</v>
      </c>
      <c r="E3415" s="315" t="s">
        <v>3025</v>
      </c>
      <c r="F3415" s="196">
        <v>37312</v>
      </c>
      <c r="G3415" s="170"/>
      <c r="H3415" s="170">
        <v>4</v>
      </c>
      <c r="I3415" s="746">
        <f>TIME(1,56,10)</f>
        <v>8.0671296296296297E-2</v>
      </c>
      <c r="J3415" s="899" t="s">
        <v>4706</v>
      </c>
      <c r="K3415" s="167" t="s">
        <v>3800</v>
      </c>
      <c r="L3415" s="167" t="s">
        <v>3296</v>
      </c>
      <c r="M3415" s="167"/>
      <c r="N3415" s="167"/>
      <c r="O3415" s="167" t="s">
        <v>2909</v>
      </c>
      <c r="P3415" s="168"/>
      <c r="Q3415" s="167" t="s">
        <v>3947</v>
      </c>
      <c r="R3415" s="172" t="s">
        <v>3146</v>
      </c>
      <c r="S3415" s="388" t="s">
        <v>2612</v>
      </c>
      <c r="T3415" s="168"/>
      <c r="U3415" s="168"/>
      <c r="V3415" s="168"/>
      <c r="W3415" s="312" t="s">
        <v>8734</v>
      </c>
      <c r="X3415" s="644" t="s">
        <v>12459</v>
      </c>
      <c r="Y3415" s="352" t="s">
        <v>5643</v>
      </c>
      <c r="Z3415" s="353">
        <v>1</v>
      </c>
      <c r="AA3415" s="353">
        <v>10</v>
      </c>
      <c r="AB3415" s="31">
        <f t="shared" ca="1" si="82"/>
        <v>0.8528384782676075</v>
      </c>
      <c r="AC3415" s="810"/>
      <c r="AD3415" s="811" t="s">
        <v>16663</v>
      </c>
      <c r="AE3415" s="940" t="s">
        <v>15093</v>
      </c>
      <c r="AF3415" s="920">
        <f>IF(X3415=X3414,AF3414,0)+IF(ISNUMBER(I3415),IF(I3415&lt;1,I3415,I3415*VLOOKUP(J3415,Summary!$H$2:$I$9,2)),VLOOKUP(J3415,Summary!$J$2:$K$9,2)*IF(ISNUMBER(H3415),H3415,1))</f>
        <v>0.1461574074074074</v>
      </c>
      <c r="AG3415" s="287">
        <v>3414</v>
      </c>
      <c r="AH3415" s="94"/>
      <c r="AI3415" s="94"/>
      <c r="AJ3415" s="22"/>
    </row>
    <row r="3416" spans="1:36" s="22" customFormat="1" ht="12" customHeight="1" x14ac:dyDescent="0.2">
      <c r="A3416" s="573" t="s">
        <v>5302</v>
      </c>
      <c r="B3416" s="573">
        <v>8</v>
      </c>
      <c r="C3416" s="573">
        <v>30</v>
      </c>
      <c r="D3416" s="407" t="s">
        <v>3028</v>
      </c>
      <c r="E3416" s="315" t="s">
        <v>3029</v>
      </c>
      <c r="F3416" s="196">
        <v>37340</v>
      </c>
      <c r="G3416" s="170"/>
      <c r="H3416" s="170">
        <v>4</v>
      </c>
      <c r="I3416" s="746">
        <f>TIME(1,59,40)</f>
        <v>8.3101851851851857E-2</v>
      </c>
      <c r="J3416" s="899" t="s">
        <v>4706</v>
      </c>
      <c r="K3416" s="167" t="s">
        <v>5252</v>
      </c>
      <c r="L3416" s="167" t="s">
        <v>7375</v>
      </c>
      <c r="M3416" s="167"/>
      <c r="N3416" s="167"/>
      <c r="O3416" s="167" t="s">
        <v>2909</v>
      </c>
      <c r="P3416" s="168"/>
      <c r="Q3416" s="167" t="s">
        <v>3947</v>
      </c>
      <c r="R3416" s="172" t="s">
        <v>3146</v>
      </c>
      <c r="S3416" s="388" t="s">
        <v>2612</v>
      </c>
      <c r="T3416" s="168"/>
      <c r="U3416" s="168"/>
      <c r="V3416" s="168"/>
      <c r="W3416" s="312" t="s">
        <v>8737</v>
      </c>
      <c r="X3416" s="644" t="s">
        <v>12459</v>
      </c>
      <c r="Y3416" s="352" t="s">
        <v>5643</v>
      </c>
      <c r="Z3416" s="353">
        <v>5</v>
      </c>
      <c r="AA3416" s="353">
        <v>10</v>
      </c>
      <c r="AB3416" s="31">
        <f t="shared" ca="1" si="82"/>
        <v>0.87655298632376077</v>
      </c>
      <c r="AC3416" s="810"/>
      <c r="AD3416" s="825" t="s">
        <v>16706</v>
      </c>
      <c r="AE3416" s="940" t="s">
        <v>15093</v>
      </c>
      <c r="AF3416" s="920">
        <f>IF(X3416=X3415,AF3415,0)+IF(ISNUMBER(I3416),IF(I3416&lt;1,I3416,I3416*VLOOKUP(J3416,Summary!$H$2:$I$9,2)),VLOOKUP(J3416,Summary!$J$2:$K$9,2)*IF(ISNUMBER(H3416),H3416,1))</f>
        <v>0.22925925925925927</v>
      </c>
      <c r="AG3416" s="287">
        <v>3415</v>
      </c>
      <c r="AH3416" s="94"/>
      <c r="AI3416" s="94"/>
    </row>
    <row r="3417" spans="1:36" s="29" customFormat="1" ht="12" customHeight="1" x14ac:dyDescent="0.25">
      <c r="A3417" s="573" t="s">
        <v>5302</v>
      </c>
      <c r="B3417" s="573">
        <v>8</v>
      </c>
      <c r="C3417" s="573">
        <v>31</v>
      </c>
      <c r="D3417" s="407" t="s">
        <v>3030</v>
      </c>
      <c r="E3417" s="315" t="s">
        <v>3031</v>
      </c>
      <c r="F3417" s="196">
        <v>37375</v>
      </c>
      <c r="G3417" s="170"/>
      <c r="H3417" s="170">
        <v>4</v>
      </c>
      <c r="I3417" s="746">
        <f>TIME(2,5,18)</f>
        <v>8.7013888888888891E-2</v>
      </c>
      <c r="J3417" s="899" t="s">
        <v>4706</v>
      </c>
      <c r="K3417" s="167" t="s">
        <v>4549</v>
      </c>
      <c r="L3417" s="167" t="s">
        <v>4549</v>
      </c>
      <c r="M3417" s="167"/>
      <c r="N3417" s="167"/>
      <c r="O3417" s="167" t="s">
        <v>2909</v>
      </c>
      <c r="P3417" s="168"/>
      <c r="Q3417" s="167" t="s">
        <v>3947</v>
      </c>
      <c r="R3417" s="172" t="s">
        <v>3146</v>
      </c>
      <c r="S3417" s="388" t="s">
        <v>2612</v>
      </c>
      <c r="T3417" s="168"/>
      <c r="U3417" s="168"/>
      <c r="V3417" s="168"/>
      <c r="W3417" s="312" t="s">
        <v>8738</v>
      </c>
      <c r="X3417" s="644" t="s">
        <v>12459</v>
      </c>
      <c r="Y3417" s="352" t="s">
        <v>5643</v>
      </c>
      <c r="Z3417" s="353">
        <v>223</v>
      </c>
      <c r="AA3417" s="353">
        <v>6</v>
      </c>
      <c r="AB3417" s="31">
        <f t="shared" ca="1" si="82"/>
        <v>0.71360720692994783</v>
      </c>
      <c r="AC3417" s="810"/>
      <c r="AD3417" s="811"/>
      <c r="AE3417" s="940"/>
      <c r="AF3417" s="920">
        <f>IF(X3417=X3416,AF3416,0)+IF(ISNUMBER(I3417),IF(I3417&lt;1,I3417,I3417*VLOOKUP(J3417,Summary!$H$2:$I$9,2)),VLOOKUP(J3417,Summary!$J$2:$K$9,2)*IF(ISNUMBER(H3417),H3417,1))</f>
        <v>0.31627314814814816</v>
      </c>
      <c r="AG3417" s="287">
        <v>3416</v>
      </c>
      <c r="AH3417" s="94"/>
      <c r="AI3417" s="94"/>
      <c r="AJ3417" s="22"/>
    </row>
    <row r="3418" spans="1:36" s="29" customFormat="1" ht="12" customHeight="1" x14ac:dyDescent="0.25">
      <c r="A3418" s="573" t="s">
        <v>5302</v>
      </c>
      <c r="B3418" s="573">
        <v>8</v>
      </c>
      <c r="C3418" s="577">
        <v>4.12</v>
      </c>
      <c r="D3418" s="407" t="s">
        <v>2966</v>
      </c>
      <c r="E3418" s="315" t="s">
        <v>5665</v>
      </c>
      <c r="F3418" s="169">
        <v>40330</v>
      </c>
      <c r="G3418" s="170"/>
      <c r="H3418" s="170">
        <v>2</v>
      </c>
      <c r="I3418" s="746">
        <f>TIME(1,2,31)</f>
        <v>4.341435185185185E-2</v>
      </c>
      <c r="J3418" s="899" t="s">
        <v>4706</v>
      </c>
      <c r="K3418" s="167" t="s">
        <v>5666</v>
      </c>
      <c r="L3418" s="167" t="s">
        <v>4549</v>
      </c>
      <c r="M3418" s="167" t="s">
        <v>8053</v>
      </c>
      <c r="N3418" s="167"/>
      <c r="O3418" s="167"/>
      <c r="P3418" s="168" t="s">
        <v>9189</v>
      </c>
      <c r="Q3418" s="167" t="s">
        <v>3947</v>
      </c>
      <c r="R3418" s="172" t="s">
        <v>3153</v>
      </c>
      <c r="S3418" s="388" t="s">
        <v>2612</v>
      </c>
      <c r="T3418" s="168"/>
      <c r="U3418" s="168"/>
      <c r="V3418" s="168"/>
      <c r="W3418" s="312" t="s">
        <v>8501</v>
      </c>
      <c r="X3418" s="644" t="s">
        <v>12459</v>
      </c>
      <c r="Y3418" s="352" t="s">
        <v>5398</v>
      </c>
      <c r="Z3418" s="353">
        <v>6</v>
      </c>
      <c r="AA3418" s="353">
        <v>10</v>
      </c>
      <c r="AB3418" s="31">
        <f t="shared" ca="1" si="82"/>
        <v>2.9668577972660981E-2</v>
      </c>
      <c r="AC3418" s="810"/>
      <c r="AD3418" s="811"/>
      <c r="AE3418" s="940"/>
      <c r="AF3418" s="920">
        <f>IF(X3418=X3417,AF3417,0)+IF(ISNUMBER(I3418),IF(I3418&lt;1,I3418,I3418*VLOOKUP(J3418,Summary!$H$2:$I$9,2)),VLOOKUP(J3418,Summary!$J$2:$K$9,2)*IF(ISNUMBER(H3418),H3418,1))</f>
        <v>0.35968749999999999</v>
      </c>
      <c r="AG3418" s="287">
        <v>3417</v>
      </c>
      <c r="AH3418" s="94"/>
      <c r="AI3418" s="94"/>
      <c r="AJ3418" s="22"/>
    </row>
    <row r="3419" spans="1:36" s="22" customFormat="1" ht="12" customHeight="1" x14ac:dyDescent="0.2">
      <c r="A3419" s="573" t="s">
        <v>5302</v>
      </c>
      <c r="B3419" s="573">
        <v>8</v>
      </c>
      <c r="C3419" s="573">
        <v>5</v>
      </c>
      <c r="D3419" s="407" t="s">
        <v>3026</v>
      </c>
      <c r="E3419" s="315" t="s">
        <v>3027</v>
      </c>
      <c r="F3419" s="169">
        <v>37926</v>
      </c>
      <c r="G3419" s="170"/>
      <c r="H3419" s="170">
        <v>1</v>
      </c>
      <c r="I3419" s="746">
        <f>TIME(0,22,12)</f>
        <v>1.5416666666666667E-2</v>
      </c>
      <c r="J3419" s="899" t="s">
        <v>4706</v>
      </c>
      <c r="K3419" s="167" t="s">
        <v>5251</v>
      </c>
      <c r="L3419" s="167" t="s">
        <v>7375</v>
      </c>
      <c r="M3419" s="167"/>
      <c r="N3419" s="167"/>
      <c r="O3419" s="167" t="s">
        <v>2909</v>
      </c>
      <c r="P3419" s="168" t="s">
        <v>461</v>
      </c>
      <c r="Q3419" s="167" t="s">
        <v>3947</v>
      </c>
      <c r="R3419" s="172" t="s">
        <v>4315</v>
      </c>
      <c r="S3419" s="388" t="s">
        <v>2612</v>
      </c>
      <c r="T3419" s="168"/>
      <c r="U3419" s="168"/>
      <c r="V3419" s="168"/>
      <c r="W3419" s="312" t="s">
        <v>3027</v>
      </c>
      <c r="X3419" s="644" t="s">
        <v>12459</v>
      </c>
      <c r="Y3419" s="352" t="s">
        <v>2798</v>
      </c>
      <c r="Z3419" s="353">
        <v>8</v>
      </c>
      <c r="AA3419" s="353">
        <v>10</v>
      </c>
      <c r="AB3419" s="31">
        <f t="shared" ca="1" si="82"/>
        <v>0.76418802029784982</v>
      </c>
      <c r="AC3419" s="810"/>
      <c r="AD3419" s="811" t="s">
        <v>16013</v>
      </c>
      <c r="AE3419" s="940"/>
      <c r="AF3419" s="920">
        <f>IF(X3419=X3418,AF3418,0)+IF(ISNUMBER(I3419),IF(I3419&lt;1,I3419,I3419*VLOOKUP(J3419,Summary!$H$2:$I$9,2)),VLOOKUP(J3419,Summary!$J$2:$K$9,2)*IF(ISNUMBER(H3419),H3419,1))</f>
        <v>0.37510416666666668</v>
      </c>
      <c r="AG3419" s="287">
        <v>3418</v>
      </c>
      <c r="AH3419" s="94"/>
      <c r="AI3419" s="94"/>
    </row>
    <row r="3420" spans="1:36" s="43" customFormat="1" ht="12" customHeight="1" x14ac:dyDescent="0.25">
      <c r="A3420" s="571" t="s">
        <v>5302</v>
      </c>
      <c r="B3420" s="571">
        <v>8</v>
      </c>
      <c r="C3420" s="571">
        <v>18.11</v>
      </c>
      <c r="D3420" s="434" t="s">
        <v>2388</v>
      </c>
      <c r="E3420" s="324" t="s">
        <v>7490</v>
      </c>
      <c r="F3420" s="174">
        <v>38687</v>
      </c>
      <c r="G3420" s="174"/>
      <c r="H3420" s="176">
        <v>1</v>
      </c>
      <c r="I3420" s="176">
        <v>6</v>
      </c>
      <c r="J3420" s="900" t="s">
        <v>2755</v>
      </c>
      <c r="K3420" s="164" t="s">
        <v>7426</v>
      </c>
      <c r="L3420" s="164" t="s">
        <v>461</v>
      </c>
      <c r="M3420" s="164"/>
      <c r="N3420" s="164" t="s">
        <v>5664</v>
      </c>
      <c r="O3420" s="164"/>
      <c r="P3420" s="173" t="s">
        <v>5000</v>
      </c>
      <c r="Q3420" s="164" t="s">
        <v>3947</v>
      </c>
      <c r="R3420" s="179" t="s">
        <v>2723</v>
      </c>
      <c r="S3420" s="354" t="s">
        <v>2612</v>
      </c>
      <c r="T3420" s="173"/>
      <c r="U3420" s="173"/>
      <c r="V3420" s="173"/>
      <c r="W3420" s="324" t="s">
        <v>7490</v>
      </c>
      <c r="X3420" s="656" t="s">
        <v>12459</v>
      </c>
      <c r="Y3420" s="363"/>
      <c r="Z3420" s="364"/>
      <c r="AA3420" s="364"/>
      <c r="AB3420" s="32">
        <f t="shared" ca="1" si="82"/>
        <v>0.62777257591068614</v>
      </c>
      <c r="AC3420" s="812"/>
      <c r="AD3420" s="763"/>
      <c r="AE3420" s="951"/>
      <c r="AF3420" s="921">
        <f>IF(X3420=X3419,AF3419,0)+IF(ISNUMBER(I3420),IF(I3420&lt;1,I3420,I3420*VLOOKUP(J3420,Summary!$H$2:$I$9,2)),VLOOKUP(J3420,Summary!$J$2:$K$9,2)*IF(ISNUMBER(H3420),H3420,1))</f>
        <v>0.37927083333333333</v>
      </c>
      <c r="AG3420" s="288">
        <v>3419</v>
      </c>
      <c r="AH3420" s="94"/>
      <c r="AI3420" s="94"/>
    </row>
    <row r="3421" spans="1:36" s="43" customFormat="1" ht="12" customHeight="1" x14ac:dyDescent="0.25">
      <c r="A3421" s="571" t="s">
        <v>5302</v>
      </c>
      <c r="B3421" s="571">
        <v>8</v>
      </c>
      <c r="C3421" s="571">
        <v>24.16</v>
      </c>
      <c r="D3421" s="434" t="s">
        <v>2391</v>
      </c>
      <c r="E3421" s="324" t="s">
        <v>7482</v>
      </c>
      <c r="F3421" s="174">
        <v>39264</v>
      </c>
      <c r="G3421" s="174"/>
      <c r="H3421" s="176">
        <v>1</v>
      </c>
      <c r="I3421" s="176">
        <v>13</v>
      </c>
      <c r="J3421" s="900" t="s">
        <v>2755</v>
      </c>
      <c r="K3421" s="164" t="s">
        <v>3175</v>
      </c>
      <c r="L3421" s="164" t="s">
        <v>461</v>
      </c>
      <c r="M3421" s="164"/>
      <c r="N3421" s="164" t="s">
        <v>4425</v>
      </c>
      <c r="O3421" s="164"/>
      <c r="P3421" s="173" t="s">
        <v>5601</v>
      </c>
      <c r="Q3421" s="164" t="s">
        <v>3947</v>
      </c>
      <c r="R3421" s="179" t="s">
        <v>2723</v>
      </c>
      <c r="S3421" s="354"/>
      <c r="T3421" s="173"/>
      <c r="U3421" s="173"/>
      <c r="V3421" s="173"/>
      <c r="W3421" s="324" t="s">
        <v>7482</v>
      </c>
      <c r="X3421" s="656" t="s">
        <v>12459</v>
      </c>
      <c r="Y3421" s="363"/>
      <c r="Z3421" s="364"/>
      <c r="AA3421" s="364"/>
      <c r="AB3421" s="32">
        <f t="shared" ca="1" si="82"/>
        <v>0.46284200247815055</v>
      </c>
      <c r="AC3421" s="812"/>
      <c r="AD3421" s="763"/>
      <c r="AE3421" s="951"/>
      <c r="AF3421" s="921">
        <f>IF(X3421=X3420,AF3420,0)+IF(ISNUMBER(I3421),IF(I3421&lt;1,I3421,I3421*VLOOKUP(J3421,Summary!$H$2:$I$9,2)),VLOOKUP(J3421,Summary!$J$2:$K$9,2)*IF(ISNUMBER(H3421),H3421,1))</f>
        <v>0.38829861111111114</v>
      </c>
      <c r="AG3421" s="288">
        <v>3420</v>
      </c>
      <c r="AH3421" s="94"/>
      <c r="AI3421" s="94"/>
    </row>
    <row r="3422" spans="1:36" s="43" customFormat="1" ht="12" customHeight="1" x14ac:dyDescent="0.25">
      <c r="A3422" s="571" t="s">
        <v>5302</v>
      </c>
      <c r="B3422" s="571">
        <v>8</v>
      </c>
      <c r="C3422" s="571">
        <v>23.15</v>
      </c>
      <c r="D3422" s="434" t="s">
        <v>2395</v>
      </c>
      <c r="E3422" s="324" t="s">
        <v>7486</v>
      </c>
      <c r="F3422" s="174">
        <v>39234</v>
      </c>
      <c r="G3422" s="174"/>
      <c r="H3422" s="176">
        <v>1</v>
      </c>
      <c r="I3422" s="176">
        <v>17</v>
      </c>
      <c r="J3422" s="900" t="s">
        <v>2755</v>
      </c>
      <c r="K3422" s="164" t="s">
        <v>178</v>
      </c>
      <c r="L3422" s="164" t="s">
        <v>461</v>
      </c>
      <c r="M3422" s="164"/>
      <c r="N3422" s="164" t="s">
        <v>804</v>
      </c>
      <c r="O3422" s="164"/>
      <c r="P3422" s="173" t="s">
        <v>6700</v>
      </c>
      <c r="Q3422" s="164" t="s">
        <v>3947</v>
      </c>
      <c r="R3422" s="179" t="s">
        <v>2723</v>
      </c>
      <c r="S3422" s="354" t="s">
        <v>2612</v>
      </c>
      <c r="T3422" s="173"/>
      <c r="U3422" s="173"/>
      <c r="V3422" s="173"/>
      <c r="W3422" s="324" t="s">
        <v>7486</v>
      </c>
      <c r="X3422" s="656" t="s">
        <v>12459</v>
      </c>
      <c r="Y3422" s="363"/>
      <c r="Z3422" s="364"/>
      <c r="AA3422" s="364"/>
      <c r="AB3422" s="32">
        <f t="shared" ca="1" si="82"/>
        <v>0.9763494854486704</v>
      </c>
      <c r="AC3422" s="812"/>
      <c r="AD3422" s="763"/>
      <c r="AE3422" s="951"/>
      <c r="AF3422" s="921">
        <f>IF(X3422=X3421,AF3421,0)+IF(ISNUMBER(I3422),IF(I3422&lt;1,I3422,I3422*VLOOKUP(J3422,Summary!$H$2:$I$9,2)),VLOOKUP(J3422,Summary!$J$2:$K$9,2)*IF(ISNUMBER(H3422),H3422,1))</f>
        <v>0.40010416666666671</v>
      </c>
      <c r="AG3422" s="288">
        <v>3421</v>
      </c>
      <c r="AH3422" s="94"/>
      <c r="AI3422" s="94"/>
    </row>
    <row r="3423" spans="1:36" s="43" customFormat="1" ht="12" customHeight="1" x14ac:dyDescent="0.25">
      <c r="A3423" s="571" t="s">
        <v>5302</v>
      </c>
      <c r="B3423" s="571">
        <v>8</v>
      </c>
      <c r="C3423" s="571">
        <v>25.13</v>
      </c>
      <c r="D3423" s="434" t="s">
        <v>2392</v>
      </c>
      <c r="E3423" s="324" t="s">
        <v>7483</v>
      </c>
      <c r="F3423" s="174">
        <v>39417</v>
      </c>
      <c r="G3423" s="174"/>
      <c r="H3423" s="176">
        <v>1</v>
      </c>
      <c r="I3423" s="176">
        <v>11</v>
      </c>
      <c r="J3423" s="900" t="s">
        <v>2755</v>
      </c>
      <c r="K3423" s="164" t="s">
        <v>179</v>
      </c>
      <c r="L3423" s="164" t="s">
        <v>461</v>
      </c>
      <c r="M3423" s="164"/>
      <c r="N3423" s="164" t="s">
        <v>5146</v>
      </c>
      <c r="O3423" s="164"/>
      <c r="P3423" s="173" t="s">
        <v>6701</v>
      </c>
      <c r="Q3423" s="164" t="s">
        <v>3947</v>
      </c>
      <c r="R3423" s="179" t="s">
        <v>2723</v>
      </c>
      <c r="S3423" s="354" t="s">
        <v>2612</v>
      </c>
      <c r="T3423" s="173"/>
      <c r="U3423" s="173"/>
      <c r="V3423" s="173"/>
      <c r="W3423" s="324" t="s">
        <v>7483</v>
      </c>
      <c r="X3423" s="656" t="s">
        <v>12459</v>
      </c>
      <c r="Y3423" s="363"/>
      <c r="Z3423" s="364"/>
      <c r="AA3423" s="364"/>
      <c r="AB3423" s="32">
        <f t="shared" ca="1" si="82"/>
        <v>0.59725883371437771</v>
      </c>
      <c r="AC3423" s="812"/>
      <c r="AD3423" s="763"/>
      <c r="AE3423" s="951"/>
      <c r="AF3423" s="921">
        <f>IF(X3423=X3422,AF3422,0)+IF(ISNUMBER(I3423),IF(I3423&lt;1,I3423,I3423*VLOOKUP(J3423,Summary!$H$2:$I$9,2)),VLOOKUP(J3423,Summary!$J$2:$K$9,2)*IF(ISNUMBER(H3423),H3423,1))</f>
        <v>0.40774305555555557</v>
      </c>
      <c r="AG3423" s="288">
        <v>3422</v>
      </c>
      <c r="AH3423" s="94"/>
      <c r="AI3423" s="94"/>
    </row>
    <row r="3424" spans="1:36" s="29" customFormat="1" ht="12" customHeight="1" x14ac:dyDescent="0.25">
      <c r="A3424" s="571" t="s">
        <v>5302</v>
      </c>
      <c r="B3424" s="571">
        <v>8</v>
      </c>
      <c r="C3424" s="571">
        <v>25.25</v>
      </c>
      <c r="D3424" s="434" t="s">
        <v>2393</v>
      </c>
      <c r="E3424" s="324" t="s">
        <v>7484</v>
      </c>
      <c r="F3424" s="174">
        <v>39417</v>
      </c>
      <c r="G3424" s="174"/>
      <c r="H3424" s="176">
        <v>1</v>
      </c>
      <c r="I3424" s="176">
        <v>4</v>
      </c>
      <c r="J3424" s="900" t="s">
        <v>2755</v>
      </c>
      <c r="K3424" s="164" t="s">
        <v>5146</v>
      </c>
      <c r="L3424" s="164" t="s">
        <v>461</v>
      </c>
      <c r="M3424" s="164"/>
      <c r="N3424" s="164" t="s">
        <v>5146</v>
      </c>
      <c r="O3424" s="164"/>
      <c r="P3424" s="173" t="s">
        <v>6701</v>
      </c>
      <c r="Q3424" s="164" t="s">
        <v>3947</v>
      </c>
      <c r="R3424" s="179" t="s">
        <v>2723</v>
      </c>
      <c r="S3424" s="354" t="s">
        <v>2612</v>
      </c>
      <c r="T3424" s="173" t="s">
        <v>2597</v>
      </c>
      <c r="U3424" s="173"/>
      <c r="V3424" s="173"/>
      <c r="W3424" s="324" t="s">
        <v>7484</v>
      </c>
      <c r="X3424" s="656" t="s">
        <v>12459</v>
      </c>
      <c r="Y3424" s="363"/>
      <c r="Z3424" s="364"/>
      <c r="AA3424" s="364"/>
      <c r="AB3424" s="32">
        <f t="shared" ca="1" si="82"/>
        <v>0.32046764293165853</v>
      </c>
      <c r="AC3424" s="812"/>
      <c r="AD3424" s="763"/>
      <c r="AE3424" s="951"/>
      <c r="AF3424" s="921">
        <f>IF(X3424=X3423,AF3423,0)+IF(ISNUMBER(I3424),IF(I3424&lt;1,I3424,I3424*VLOOKUP(J3424,Summary!$H$2:$I$9,2)),VLOOKUP(J3424,Summary!$J$2:$K$9,2)*IF(ISNUMBER(H3424),H3424,1))</f>
        <v>0.41052083333333333</v>
      </c>
      <c r="AG3424" s="288">
        <v>3423</v>
      </c>
      <c r="AH3424" s="94"/>
      <c r="AI3424" s="94"/>
      <c r="AJ3424" s="22"/>
    </row>
    <row r="3425" spans="1:36" s="22" customFormat="1" ht="12" customHeight="1" x14ac:dyDescent="0.25">
      <c r="A3425" s="571" t="s">
        <v>5302</v>
      </c>
      <c r="B3425" s="571">
        <v>8</v>
      </c>
      <c r="C3425" s="571">
        <v>28.01</v>
      </c>
      <c r="D3425" s="434" t="s">
        <v>2394</v>
      </c>
      <c r="E3425" s="324" t="s">
        <v>7485</v>
      </c>
      <c r="F3425" s="174">
        <v>39630</v>
      </c>
      <c r="G3425" s="174"/>
      <c r="H3425" s="176" t="s">
        <v>461</v>
      </c>
      <c r="I3425" s="176">
        <v>14</v>
      </c>
      <c r="J3425" s="900" t="s">
        <v>2755</v>
      </c>
      <c r="K3425" s="164" t="s">
        <v>5777</v>
      </c>
      <c r="L3425" s="164" t="s">
        <v>461</v>
      </c>
      <c r="M3425" s="164"/>
      <c r="N3425" s="164" t="s">
        <v>185</v>
      </c>
      <c r="O3425" s="164"/>
      <c r="P3425" s="173" t="s">
        <v>6704</v>
      </c>
      <c r="Q3425" s="164" t="s">
        <v>3947</v>
      </c>
      <c r="R3425" s="179" t="s">
        <v>2723</v>
      </c>
      <c r="S3425" s="354" t="s">
        <v>2612</v>
      </c>
      <c r="T3425" s="173"/>
      <c r="U3425" s="173"/>
      <c r="V3425" s="173"/>
      <c r="W3425" s="324" t="s">
        <v>7485</v>
      </c>
      <c r="X3425" s="656" t="s">
        <v>12459</v>
      </c>
      <c r="Y3425" s="363"/>
      <c r="Z3425" s="364"/>
      <c r="AA3425" s="364"/>
      <c r="AB3425" s="32">
        <f t="shared" ca="1" si="82"/>
        <v>0.49146217797164993</v>
      </c>
      <c r="AC3425" s="812"/>
      <c r="AD3425" s="763"/>
      <c r="AE3425" s="951"/>
      <c r="AF3425" s="921">
        <f>IF(X3425=X3424,AF3424,0)+IF(ISNUMBER(I3425),IF(I3425&lt;1,I3425,I3425*VLOOKUP(J3425,Summary!$H$2:$I$9,2)),VLOOKUP(J3425,Summary!$J$2:$K$9,2)*IF(ISNUMBER(H3425),H3425,1))</f>
        <v>0.42024305555555558</v>
      </c>
      <c r="AG3425" s="288">
        <v>3424</v>
      </c>
      <c r="AH3425" s="94"/>
      <c r="AI3425" s="94"/>
    </row>
    <row r="3426" spans="1:36" s="22" customFormat="1" ht="12" customHeight="1" x14ac:dyDescent="0.25">
      <c r="A3426" s="571" t="s">
        <v>5302</v>
      </c>
      <c r="B3426" s="571">
        <v>8</v>
      </c>
      <c r="C3426" s="571">
        <v>29.05</v>
      </c>
      <c r="D3426" s="176" t="s">
        <v>956</v>
      </c>
      <c r="E3426" s="313" t="s">
        <v>4043</v>
      </c>
      <c r="F3426" s="174">
        <v>39692</v>
      </c>
      <c r="G3426" s="174"/>
      <c r="H3426" s="176" t="s">
        <v>461</v>
      </c>
      <c r="I3426" s="176">
        <v>10</v>
      </c>
      <c r="J3426" s="900" t="s">
        <v>2755</v>
      </c>
      <c r="K3426" s="164" t="s">
        <v>4044</v>
      </c>
      <c r="L3426" s="164" t="s">
        <v>461</v>
      </c>
      <c r="M3426" s="164"/>
      <c r="N3426" s="164" t="s">
        <v>5664</v>
      </c>
      <c r="O3426" s="164"/>
      <c r="P3426" s="173" t="s">
        <v>6707</v>
      </c>
      <c r="Q3426" s="164" t="s">
        <v>3947</v>
      </c>
      <c r="R3426" s="177" t="s">
        <v>2723</v>
      </c>
      <c r="S3426" s="354" t="s">
        <v>2612</v>
      </c>
      <c r="T3426" s="173"/>
      <c r="U3426" s="173"/>
      <c r="V3426" s="173"/>
      <c r="W3426" s="313" t="s">
        <v>4043</v>
      </c>
      <c r="X3426" s="645" t="s">
        <v>12459</v>
      </c>
      <c r="Y3426" s="354"/>
      <c r="Z3426" s="176"/>
      <c r="AA3426" s="176"/>
      <c r="AB3426" s="32">
        <f t="shared" ca="1" si="82"/>
        <v>0.15461442058262886</v>
      </c>
      <c r="AC3426" s="812"/>
      <c r="AD3426" s="763"/>
      <c r="AE3426" s="807"/>
      <c r="AF3426" s="921">
        <f>IF(X3426=X3425,AF3425,0)+IF(ISNUMBER(I3426),IF(I3426&lt;1,I3426,I3426*VLOOKUP(J3426,Summary!$H$2:$I$9,2)),VLOOKUP(J3426,Summary!$J$2:$K$9,2)*IF(ISNUMBER(H3426),H3426,1))</f>
        <v>0.4271875</v>
      </c>
      <c r="AG3426" s="289">
        <v>3425</v>
      </c>
      <c r="AH3426" s="94"/>
      <c r="AI3426" s="94"/>
    </row>
    <row r="3427" spans="1:36" s="22" customFormat="1" ht="12" customHeight="1" x14ac:dyDescent="0.2">
      <c r="A3427" s="573" t="s">
        <v>5302</v>
      </c>
      <c r="B3427" s="573">
        <v>8</v>
      </c>
      <c r="C3427" s="573">
        <v>32</v>
      </c>
      <c r="D3427" s="407" t="s">
        <v>3032</v>
      </c>
      <c r="E3427" s="315" t="s">
        <v>3033</v>
      </c>
      <c r="F3427" s="196">
        <v>37404</v>
      </c>
      <c r="G3427" s="170"/>
      <c r="H3427" s="170">
        <v>4</v>
      </c>
      <c r="I3427" s="746">
        <f>TIME(2,2,1)</f>
        <v>8.4733796296296293E-2</v>
      </c>
      <c r="J3427" s="899" t="s">
        <v>4706</v>
      </c>
      <c r="K3427" s="167" t="s">
        <v>543</v>
      </c>
      <c r="L3427" s="167" t="s">
        <v>4549</v>
      </c>
      <c r="M3427" s="167"/>
      <c r="N3427" s="167"/>
      <c r="O3427" s="167" t="s">
        <v>2909</v>
      </c>
      <c r="P3427" s="168"/>
      <c r="Q3427" s="167" t="s">
        <v>3947</v>
      </c>
      <c r="R3427" s="172" t="s">
        <v>3146</v>
      </c>
      <c r="S3427" s="388" t="s">
        <v>2612</v>
      </c>
      <c r="T3427" s="168"/>
      <c r="U3427" s="168"/>
      <c r="V3427" s="168"/>
      <c r="W3427" s="312" t="s">
        <v>8760</v>
      </c>
      <c r="X3427" s="644" t="s">
        <v>12459</v>
      </c>
      <c r="Y3427" s="352" t="s">
        <v>5643</v>
      </c>
      <c r="Z3427" s="353">
        <v>111</v>
      </c>
      <c r="AA3427" s="353">
        <v>7</v>
      </c>
      <c r="AB3427" s="31">
        <f t="shared" ca="1" si="82"/>
        <v>0.36836817841894764</v>
      </c>
      <c r="AC3427" s="810"/>
      <c r="AD3427" s="811" t="s">
        <v>16093</v>
      </c>
      <c r="AE3427" s="940" t="s">
        <v>12543</v>
      </c>
      <c r="AF3427" s="920">
        <f>IF(X3427=X3426,AF3426,0)+IF(ISNUMBER(I3427),IF(I3427&lt;1,I3427,I3427*VLOOKUP(J3427,Summary!$H$2:$I$9,2)),VLOOKUP(J3427,Summary!$J$2:$K$9,2)*IF(ISNUMBER(H3427),H3427,1))</f>
        <v>0.51192129629629624</v>
      </c>
      <c r="AG3427" s="287">
        <v>3426</v>
      </c>
      <c r="AH3427" s="94"/>
      <c r="AI3427" s="94"/>
    </row>
    <row r="3428" spans="1:36" s="22" customFormat="1" ht="12" customHeight="1" x14ac:dyDescent="0.25">
      <c r="A3428" s="571" t="s">
        <v>5302</v>
      </c>
      <c r="B3428" s="571">
        <v>8</v>
      </c>
      <c r="C3428" s="571">
        <v>5.04</v>
      </c>
      <c r="D3428" s="434" t="s">
        <v>2396</v>
      </c>
      <c r="E3428" s="324" t="s">
        <v>7487</v>
      </c>
      <c r="F3428" s="174">
        <v>37681</v>
      </c>
      <c r="G3428" s="174"/>
      <c r="H3428" s="176">
        <v>1</v>
      </c>
      <c r="I3428" s="176">
        <v>21</v>
      </c>
      <c r="J3428" s="900" t="s">
        <v>2755</v>
      </c>
      <c r="K3428" s="164" t="s">
        <v>3424</v>
      </c>
      <c r="L3428" s="164" t="s">
        <v>461</v>
      </c>
      <c r="M3428" s="164"/>
      <c r="N3428" s="164" t="s">
        <v>4552</v>
      </c>
      <c r="O3428" s="164"/>
      <c r="P3428" s="173" t="s">
        <v>6556</v>
      </c>
      <c r="Q3428" s="164" t="s">
        <v>3947</v>
      </c>
      <c r="R3428" s="177" t="s">
        <v>2723</v>
      </c>
      <c r="S3428" s="354" t="s">
        <v>2612</v>
      </c>
      <c r="T3428" s="173"/>
      <c r="U3428" s="173"/>
      <c r="V3428" s="173"/>
      <c r="W3428" s="324" t="s">
        <v>7487</v>
      </c>
      <c r="X3428" s="656" t="s">
        <v>12459</v>
      </c>
      <c r="Y3428" s="363"/>
      <c r="Z3428" s="364"/>
      <c r="AA3428" s="364"/>
      <c r="AB3428" s="32">
        <f t="shared" ca="1" si="82"/>
        <v>0.23111353082302932</v>
      </c>
      <c r="AC3428" s="812"/>
      <c r="AD3428" s="763"/>
      <c r="AE3428" s="951"/>
      <c r="AF3428" s="921">
        <f>IF(X3428=X3427,AF3427,0)+IF(ISNUMBER(I3428),IF(I3428&lt;1,I3428,I3428*VLOOKUP(J3428,Summary!$H$2:$I$9,2)),VLOOKUP(J3428,Summary!$J$2:$K$9,2)*IF(ISNUMBER(H3428),H3428,1))</f>
        <v>0.52650462962962952</v>
      </c>
      <c r="AG3428" s="288">
        <v>3427</v>
      </c>
      <c r="AH3428" s="94"/>
      <c r="AI3428" s="94"/>
    </row>
    <row r="3429" spans="1:36" s="22" customFormat="1" ht="12" customHeight="1" x14ac:dyDescent="0.25">
      <c r="A3429" s="570" t="s">
        <v>5302</v>
      </c>
      <c r="B3429" s="570">
        <v>8</v>
      </c>
      <c r="C3429" s="576">
        <v>5.08</v>
      </c>
      <c r="D3429" s="192" t="s">
        <v>12990</v>
      </c>
      <c r="E3429" s="317" t="s">
        <v>12991</v>
      </c>
      <c r="F3429" s="209">
        <v>42247</v>
      </c>
      <c r="G3429" s="209"/>
      <c r="H3429" s="192">
        <v>1</v>
      </c>
      <c r="I3429" s="753">
        <f>TIME(0,27,42)</f>
        <v>1.923611111111111E-2</v>
      </c>
      <c r="J3429" s="903" t="s">
        <v>2755</v>
      </c>
      <c r="K3429" s="194" t="s">
        <v>10219</v>
      </c>
      <c r="L3429" s="194" t="s">
        <v>5662</v>
      </c>
      <c r="M3429" s="194" t="s">
        <v>499</v>
      </c>
      <c r="N3429" s="194"/>
      <c r="O3429" s="194"/>
      <c r="P3429" s="190" t="s">
        <v>12992</v>
      </c>
      <c r="Q3429" s="194" t="s">
        <v>3947</v>
      </c>
      <c r="R3429" s="193" t="s">
        <v>2722</v>
      </c>
      <c r="S3429" s="357" t="s">
        <v>2612</v>
      </c>
      <c r="T3429" s="190"/>
      <c r="U3429" s="190"/>
      <c r="V3429" s="190"/>
      <c r="W3429" s="317" t="s">
        <v>12991</v>
      </c>
      <c r="X3429" s="649" t="s">
        <v>12459</v>
      </c>
      <c r="Y3429" s="357" t="s">
        <v>5643</v>
      </c>
      <c r="Z3429" s="192">
        <v>21</v>
      </c>
      <c r="AA3429" s="192">
        <v>6</v>
      </c>
      <c r="AB3429" s="37">
        <f t="shared" ca="1" si="82"/>
        <v>0.80602558232764621</v>
      </c>
      <c r="AC3429" s="816"/>
      <c r="AD3429" s="817"/>
      <c r="AE3429" s="943"/>
      <c r="AF3429" s="924">
        <f>IF(X3429=X3428,AF3428,0)+IF(ISNUMBER(I3429),IF(I3429&lt;1,I3429,I3429*VLOOKUP(J3429,Summary!$H$2:$I$9,2)),VLOOKUP(J3429,Summary!$J$2:$K$9,2)*IF(ISNUMBER(H3429),H3429,1))</f>
        <v>0.54574074074074064</v>
      </c>
      <c r="AG3429" s="292">
        <v>3428</v>
      </c>
      <c r="AH3429" s="94"/>
      <c r="AI3429" s="94"/>
    </row>
    <row r="3430" spans="1:36" s="43" customFormat="1" ht="12" customHeight="1" x14ac:dyDescent="0.25">
      <c r="A3430" s="573" t="s">
        <v>5302</v>
      </c>
      <c r="B3430" s="573">
        <v>8</v>
      </c>
      <c r="C3430" s="573">
        <v>33</v>
      </c>
      <c r="D3430" s="407" t="s">
        <v>3034</v>
      </c>
      <c r="E3430" s="315" t="s">
        <v>3035</v>
      </c>
      <c r="F3430" s="196">
        <v>37434</v>
      </c>
      <c r="G3430" s="170"/>
      <c r="H3430" s="170">
        <v>2</v>
      </c>
      <c r="I3430" s="746">
        <f>TIME(2,23,47)</f>
        <v>9.9849537037037028E-2</v>
      </c>
      <c r="J3430" s="899" t="s">
        <v>4706</v>
      </c>
      <c r="K3430" s="167" t="s">
        <v>7374</v>
      </c>
      <c r="L3430" s="167" t="s">
        <v>7375</v>
      </c>
      <c r="M3430" s="167"/>
      <c r="N3430" s="167"/>
      <c r="O3430" s="167" t="s">
        <v>2909</v>
      </c>
      <c r="P3430" s="168"/>
      <c r="Q3430" s="167" t="s">
        <v>3947</v>
      </c>
      <c r="R3430" s="172" t="s">
        <v>3146</v>
      </c>
      <c r="S3430" s="388" t="s">
        <v>2612</v>
      </c>
      <c r="T3430" s="168"/>
      <c r="U3430" s="168"/>
      <c r="V3430" s="168"/>
      <c r="W3430" s="312" t="s">
        <v>8759</v>
      </c>
      <c r="X3430" s="644" t="s">
        <v>12459</v>
      </c>
      <c r="Y3430" s="352" t="s">
        <v>5643</v>
      </c>
      <c r="Z3430" s="353">
        <v>23</v>
      </c>
      <c r="AA3430" s="353">
        <v>9</v>
      </c>
      <c r="AB3430" s="31">
        <f t="shared" ca="1" si="82"/>
        <v>0.58440197420944007</v>
      </c>
      <c r="AC3430" s="810"/>
      <c r="AD3430" s="811" t="s">
        <v>461</v>
      </c>
      <c r="AE3430" s="940"/>
      <c r="AF3430" s="920">
        <f>IF(X3430=X3429,AF3429,0)+IF(ISNUMBER(I3430),IF(I3430&lt;1,I3430,I3430*VLOOKUP(J3430,Summary!$H$2:$I$9,2)),VLOOKUP(J3430,Summary!$J$2:$K$9,2)*IF(ISNUMBER(H3430),H3430,1))</f>
        <v>0.64559027777777767</v>
      </c>
      <c r="AG3430" s="287">
        <v>3429</v>
      </c>
      <c r="AH3430" s="94"/>
      <c r="AI3430" s="94"/>
      <c r="AJ3430" s="2"/>
    </row>
    <row r="3431" spans="1:36" s="1" customFormat="1" ht="12" customHeight="1" x14ac:dyDescent="0.25">
      <c r="A3431" s="573" t="s">
        <v>5302</v>
      </c>
      <c r="B3431" s="573">
        <v>8</v>
      </c>
      <c r="C3431" s="573">
        <v>50</v>
      </c>
      <c r="D3431" s="407" t="s">
        <v>3036</v>
      </c>
      <c r="E3431" s="315" t="s">
        <v>3037</v>
      </c>
      <c r="F3431" s="169">
        <v>37926</v>
      </c>
      <c r="G3431" s="170"/>
      <c r="H3431" s="170">
        <v>3</v>
      </c>
      <c r="I3431" s="746">
        <f>TIME(3,55,44)</f>
        <v>0.16370370370370371</v>
      </c>
      <c r="J3431" s="899" t="s">
        <v>4706</v>
      </c>
      <c r="K3431" s="167" t="s">
        <v>5253</v>
      </c>
      <c r="L3431" s="167" t="s">
        <v>7375</v>
      </c>
      <c r="M3431" s="167"/>
      <c r="N3431" s="167"/>
      <c r="O3431" s="167" t="s">
        <v>2909</v>
      </c>
      <c r="P3431" s="168"/>
      <c r="Q3431" s="167" t="s">
        <v>3947</v>
      </c>
      <c r="R3431" s="172" t="s">
        <v>3146</v>
      </c>
      <c r="S3431" s="388" t="s">
        <v>2612</v>
      </c>
      <c r="T3431" s="168"/>
      <c r="U3431" s="168"/>
      <c r="V3431" s="168"/>
      <c r="W3431" s="312" t="s">
        <v>8758</v>
      </c>
      <c r="X3431" s="644" t="s">
        <v>12459</v>
      </c>
      <c r="Y3431" s="352" t="s">
        <v>5398</v>
      </c>
      <c r="Z3431" s="353">
        <v>618</v>
      </c>
      <c r="AA3431" s="353">
        <v>3.5</v>
      </c>
      <c r="AB3431" s="31">
        <f t="shared" ca="1" si="82"/>
        <v>0.58646075277408205</v>
      </c>
      <c r="AC3431" s="810"/>
      <c r="AD3431" s="811" t="s">
        <v>461</v>
      </c>
      <c r="AE3431" s="940"/>
      <c r="AF3431" s="920">
        <f>IF(X3431=X3430,AF3430,0)+IF(ISNUMBER(I3431),IF(I3431&lt;1,I3431,I3431*VLOOKUP(J3431,Summary!$H$2:$I$9,2)),VLOOKUP(J3431,Summary!$J$2:$K$9,2)*IF(ISNUMBER(H3431),H3431,1))</f>
        <v>0.80929398148148135</v>
      </c>
      <c r="AG3431" s="287">
        <v>3430</v>
      </c>
      <c r="AH3431" s="94"/>
      <c r="AI3431" s="94"/>
      <c r="AJ3431" s="43"/>
    </row>
    <row r="3432" spans="1:36" s="43" customFormat="1" ht="12" customHeight="1" x14ac:dyDescent="0.25">
      <c r="A3432" s="405" t="s">
        <v>7422</v>
      </c>
      <c r="B3432" s="405" t="s">
        <v>2525</v>
      </c>
      <c r="C3432" s="405">
        <v>1</v>
      </c>
      <c r="D3432" s="407" t="s">
        <v>2651</v>
      </c>
      <c r="E3432" s="315" t="s">
        <v>2669</v>
      </c>
      <c r="F3432" s="169">
        <v>38047</v>
      </c>
      <c r="G3432" s="170"/>
      <c r="H3432" s="170">
        <v>1</v>
      </c>
      <c r="I3432" s="746">
        <f>TIME(0,76,7)</f>
        <v>5.2858796296296286E-2</v>
      </c>
      <c r="J3432" s="899" t="s">
        <v>4706</v>
      </c>
      <c r="K3432" s="167" t="s">
        <v>7374</v>
      </c>
      <c r="L3432" s="167" t="s">
        <v>7375</v>
      </c>
      <c r="M3432" s="167"/>
      <c r="N3432" s="167"/>
      <c r="O3432" s="167" t="s">
        <v>2909</v>
      </c>
      <c r="P3432" s="168" t="s">
        <v>9132</v>
      </c>
      <c r="Q3432" s="167" t="s">
        <v>3947</v>
      </c>
      <c r="R3432" s="172" t="s">
        <v>2237</v>
      </c>
      <c r="S3432" s="388" t="s">
        <v>2608</v>
      </c>
      <c r="T3432" s="168" t="s">
        <v>2610</v>
      </c>
      <c r="U3432" s="168" t="s">
        <v>6335</v>
      </c>
      <c r="V3432" s="168" t="s">
        <v>6335</v>
      </c>
      <c r="W3432" s="315" t="s">
        <v>12050</v>
      </c>
      <c r="X3432" s="647" t="s">
        <v>12489</v>
      </c>
      <c r="Y3432" s="352" t="s">
        <v>5398</v>
      </c>
      <c r="Z3432" s="353">
        <v>513</v>
      </c>
      <c r="AA3432" s="353">
        <v>4</v>
      </c>
      <c r="AB3432" s="31">
        <f t="shared" ca="1" si="82"/>
        <v>0.36596351159692531</v>
      </c>
      <c r="AC3432" s="810"/>
      <c r="AD3432" s="811" t="s">
        <v>16376</v>
      </c>
      <c r="AE3432" s="940"/>
      <c r="AF3432" s="920">
        <f>IF(X3432=X3431,AF3431,0)+IF(ISNUMBER(I3432),IF(I3432&lt;1,I3432,I3432*VLOOKUP(J3432,Summary!$H$2:$I$9,2)),VLOOKUP(J3432,Summary!$J$2:$K$9,2)*IF(ISNUMBER(H3432),H3432,1))</f>
        <v>5.2858796296296286E-2</v>
      </c>
      <c r="AG3432" s="287">
        <v>3431</v>
      </c>
      <c r="AH3432" s="94"/>
      <c r="AI3432" s="94"/>
      <c r="AJ3432" s="2"/>
    </row>
    <row r="3433" spans="1:36" s="3" customFormat="1" ht="12" customHeight="1" x14ac:dyDescent="0.25">
      <c r="A3433" s="405" t="s">
        <v>7422</v>
      </c>
      <c r="B3433" s="406" t="s">
        <v>2525</v>
      </c>
      <c r="C3433" s="405">
        <v>2</v>
      </c>
      <c r="D3433" s="407" t="s">
        <v>2652</v>
      </c>
      <c r="E3433" s="315" t="s">
        <v>4120</v>
      </c>
      <c r="F3433" s="169">
        <v>38078</v>
      </c>
      <c r="G3433" s="170"/>
      <c r="H3433" s="170">
        <v>1</v>
      </c>
      <c r="I3433" s="746">
        <f>TIME(0,75,48)</f>
        <v>5.2638888888888881E-2</v>
      </c>
      <c r="J3433" s="899" t="s">
        <v>4706</v>
      </c>
      <c r="K3433" s="167" t="s">
        <v>6237</v>
      </c>
      <c r="L3433" s="167" t="s">
        <v>7375</v>
      </c>
      <c r="M3433" s="167"/>
      <c r="N3433" s="167"/>
      <c r="O3433" s="167" t="s">
        <v>2909</v>
      </c>
      <c r="P3433" s="168" t="s">
        <v>9133</v>
      </c>
      <c r="Q3433" s="167" t="s">
        <v>3947</v>
      </c>
      <c r="R3433" s="172" t="s">
        <v>2237</v>
      </c>
      <c r="S3433" s="388" t="s">
        <v>2608</v>
      </c>
      <c r="T3433" s="168" t="s">
        <v>2610</v>
      </c>
      <c r="U3433" s="168" t="s">
        <v>6335</v>
      </c>
      <c r="V3433" s="168" t="s">
        <v>6335</v>
      </c>
      <c r="W3433" s="315" t="s">
        <v>10677</v>
      </c>
      <c r="X3433" s="647" t="s">
        <v>12489</v>
      </c>
      <c r="Y3433" s="352" t="s">
        <v>5398</v>
      </c>
      <c r="Z3433" s="353">
        <v>688</v>
      </c>
      <c r="AA3433" s="353">
        <v>1.5</v>
      </c>
      <c r="AB3433" s="31">
        <f t="shared" ca="1" si="82"/>
        <v>0.5863652017034906</v>
      </c>
      <c r="AC3433" s="810"/>
      <c r="AD3433" s="811" t="s">
        <v>461</v>
      </c>
      <c r="AE3433" s="940"/>
      <c r="AF3433" s="920">
        <f>IF(X3433=X3432,AF3432,0)+IF(ISNUMBER(I3433),IF(I3433&lt;1,I3433,I3433*VLOOKUP(J3433,Summary!$H$2:$I$9,2)),VLOOKUP(J3433,Summary!$J$2:$K$9,2)*IF(ISNUMBER(H3433),H3433,1))</f>
        <v>0.10549768518518517</v>
      </c>
      <c r="AG3433" s="287">
        <v>3432</v>
      </c>
      <c r="AH3433" s="94"/>
      <c r="AI3433" s="94"/>
      <c r="AJ3433" s="2"/>
    </row>
    <row r="3434" spans="1:36" s="43" customFormat="1" ht="12" customHeight="1" x14ac:dyDescent="0.25">
      <c r="A3434" s="405" t="s">
        <v>7422</v>
      </c>
      <c r="B3434" s="406" t="s">
        <v>2525</v>
      </c>
      <c r="C3434" s="405">
        <v>3</v>
      </c>
      <c r="D3434" s="407" t="s">
        <v>2653</v>
      </c>
      <c r="E3434" s="315" t="s">
        <v>4121</v>
      </c>
      <c r="F3434" s="169">
        <v>38078</v>
      </c>
      <c r="G3434" s="170"/>
      <c r="H3434" s="170">
        <v>1</v>
      </c>
      <c r="I3434" s="746">
        <f>TIME(0,69,8)</f>
        <v>4.8009259259259258E-2</v>
      </c>
      <c r="J3434" s="899" t="s">
        <v>4706</v>
      </c>
      <c r="K3434" s="167" t="s">
        <v>543</v>
      </c>
      <c r="L3434" s="167" t="s">
        <v>7375</v>
      </c>
      <c r="M3434" s="167"/>
      <c r="N3434" s="167"/>
      <c r="O3434" s="167" t="s">
        <v>2909</v>
      </c>
      <c r="P3434" s="168" t="s">
        <v>9134</v>
      </c>
      <c r="Q3434" s="167" t="s">
        <v>3947</v>
      </c>
      <c r="R3434" s="172" t="s">
        <v>2237</v>
      </c>
      <c r="S3434" s="388" t="s">
        <v>2608</v>
      </c>
      <c r="T3434" s="168" t="s">
        <v>2610</v>
      </c>
      <c r="U3434" s="168" t="s">
        <v>6335</v>
      </c>
      <c r="V3434" s="168" t="s">
        <v>6335</v>
      </c>
      <c r="W3434" s="315" t="s">
        <v>12051</v>
      </c>
      <c r="X3434" s="647" t="s">
        <v>12489</v>
      </c>
      <c r="Y3434" s="352" t="s">
        <v>5398</v>
      </c>
      <c r="Z3434" s="353">
        <v>431</v>
      </c>
      <c r="AA3434" s="353">
        <v>4.5</v>
      </c>
      <c r="AB3434" s="31">
        <f t="shared" ca="1" si="82"/>
        <v>0.82097821049135622</v>
      </c>
      <c r="AC3434" s="810"/>
      <c r="AD3434" s="811" t="s">
        <v>461</v>
      </c>
      <c r="AE3434" s="940"/>
      <c r="AF3434" s="920">
        <f>IF(X3434=X3433,AF3433,0)+IF(ISNUMBER(I3434),IF(I3434&lt;1,I3434,I3434*VLOOKUP(J3434,Summary!$H$2:$I$9,2)),VLOOKUP(J3434,Summary!$J$2:$K$9,2)*IF(ISNUMBER(H3434),H3434,1))</f>
        <v>0.15350694444444443</v>
      </c>
      <c r="AG3434" s="287">
        <v>3433</v>
      </c>
      <c r="AH3434" s="94"/>
      <c r="AI3434" s="94"/>
    </row>
    <row r="3435" spans="1:36" s="2" customFormat="1" ht="12" customHeight="1" x14ac:dyDescent="0.25">
      <c r="A3435" s="405" t="s">
        <v>7422</v>
      </c>
      <c r="B3435" s="406" t="s">
        <v>2525</v>
      </c>
      <c r="C3435" s="405">
        <v>4</v>
      </c>
      <c r="D3435" s="407" t="s">
        <v>2654</v>
      </c>
      <c r="E3435" s="315" t="s">
        <v>4982</v>
      </c>
      <c r="F3435" s="169">
        <v>38108</v>
      </c>
      <c r="G3435" s="170"/>
      <c r="H3435" s="170">
        <v>1</v>
      </c>
      <c r="I3435" s="746">
        <f>TIME(0,73,44)</f>
        <v>5.1203703703703703E-2</v>
      </c>
      <c r="J3435" s="899" t="s">
        <v>4706</v>
      </c>
      <c r="K3435" s="167" t="s">
        <v>7374</v>
      </c>
      <c r="L3435" s="167" t="s">
        <v>7375</v>
      </c>
      <c r="M3435" s="167"/>
      <c r="N3435" s="167"/>
      <c r="O3435" s="167" t="s">
        <v>2909</v>
      </c>
      <c r="P3435" s="168" t="s">
        <v>9134</v>
      </c>
      <c r="Q3435" s="167" t="s">
        <v>3947</v>
      </c>
      <c r="R3435" s="172" t="s">
        <v>2237</v>
      </c>
      <c r="S3435" s="388" t="s">
        <v>2608</v>
      </c>
      <c r="T3435" s="168" t="s">
        <v>2610</v>
      </c>
      <c r="U3435" s="168" t="s">
        <v>6335</v>
      </c>
      <c r="V3435" s="168" t="s">
        <v>6335</v>
      </c>
      <c r="W3435" s="315" t="s">
        <v>12052</v>
      </c>
      <c r="X3435" s="647" t="s">
        <v>12489</v>
      </c>
      <c r="Y3435" s="352" t="s">
        <v>5398</v>
      </c>
      <c r="Z3435" s="353">
        <v>523</v>
      </c>
      <c r="AA3435" s="353">
        <v>4</v>
      </c>
      <c r="AB3435" s="31">
        <f t="shared" ca="1" si="82"/>
        <v>0.58809583717980274</v>
      </c>
      <c r="AC3435" s="810"/>
      <c r="AD3435" s="811" t="s">
        <v>16722</v>
      </c>
      <c r="AE3435" s="940"/>
      <c r="AF3435" s="920">
        <f>IF(X3435=X3434,AF3434,0)+IF(ISNUMBER(I3435),IF(I3435&lt;1,I3435,I3435*VLOOKUP(J3435,Summary!$H$2:$I$9,2)),VLOOKUP(J3435,Summary!$J$2:$K$9,2)*IF(ISNUMBER(H3435),H3435,1))</f>
        <v>0.20471064814814813</v>
      </c>
      <c r="AG3435" s="287">
        <v>3434</v>
      </c>
      <c r="AH3435" s="94"/>
      <c r="AI3435" s="94"/>
      <c r="AJ3435" s="43"/>
    </row>
    <row r="3436" spans="1:36" s="2" customFormat="1" ht="12" customHeight="1" x14ac:dyDescent="0.25">
      <c r="A3436" s="405" t="s">
        <v>7423</v>
      </c>
      <c r="B3436" s="406" t="s">
        <v>2525</v>
      </c>
      <c r="C3436" s="405">
        <v>5</v>
      </c>
      <c r="D3436" s="407" t="s">
        <v>2659</v>
      </c>
      <c r="E3436" s="315" t="s">
        <v>4983</v>
      </c>
      <c r="F3436" s="169">
        <v>38443</v>
      </c>
      <c r="G3436" s="170"/>
      <c r="H3436" s="170">
        <v>1</v>
      </c>
      <c r="I3436" s="746">
        <f>TIME(0,73,55)</f>
        <v>5.1331018518518519E-2</v>
      </c>
      <c r="J3436" s="899" t="s">
        <v>4706</v>
      </c>
      <c r="K3436" s="167" t="s">
        <v>7375</v>
      </c>
      <c r="L3436" s="167" t="s">
        <v>7375</v>
      </c>
      <c r="M3436" s="167"/>
      <c r="N3436" s="167"/>
      <c r="O3436" s="167" t="s">
        <v>2909</v>
      </c>
      <c r="P3436" s="168" t="s">
        <v>9135</v>
      </c>
      <c r="Q3436" s="167" t="s">
        <v>3947</v>
      </c>
      <c r="R3436" s="172" t="s">
        <v>2237</v>
      </c>
      <c r="S3436" s="388" t="s">
        <v>2608</v>
      </c>
      <c r="T3436" s="168" t="s">
        <v>2610</v>
      </c>
      <c r="U3436" s="168" t="s">
        <v>6335</v>
      </c>
      <c r="V3436" s="168" t="s">
        <v>6335</v>
      </c>
      <c r="W3436" s="315" t="s">
        <v>12053</v>
      </c>
      <c r="X3436" s="647" t="s">
        <v>12489</v>
      </c>
      <c r="Y3436" s="352" t="s">
        <v>5398</v>
      </c>
      <c r="Z3436" s="353">
        <v>57</v>
      </c>
      <c r="AA3436" s="353">
        <v>8</v>
      </c>
      <c r="AB3436" s="31">
        <f t="shared" ca="1" si="82"/>
        <v>2.0106227455463976E-2</v>
      </c>
      <c r="AC3436" s="810"/>
      <c r="AD3436" s="811" t="s">
        <v>461</v>
      </c>
      <c r="AE3436" s="940"/>
      <c r="AF3436" s="920">
        <f>IF(X3436=X3435,AF3435,0)+IF(ISNUMBER(I3436),IF(I3436&lt;1,I3436,I3436*VLOOKUP(J3436,Summary!$H$2:$I$9,2)),VLOOKUP(J3436,Summary!$J$2:$K$9,2)*IF(ISNUMBER(H3436),H3436,1))</f>
        <v>0.25604166666666667</v>
      </c>
      <c r="AG3436" s="287">
        <v>3435</v>
      </c>
      <c r="AH3436" s="94"/>
      <c r="AI3436" s="94"/>
    </row>
    <row r="3437" spans="1:36" s="43" customFormat="1" ht="12" customHeight="1" x14ac:dyDescent="0.25">
      <c r="A3437" s="405" t="s">
        <v>7423</v>
      </c>
      <c r="B3437" s="406" t="s">
        <v>2525</v>
      </c>
      <c r="C3437" s="405">
        <v>6</v>
      </c>
      <c r="D3437" s="407" t="s">
        <v>2658</v>
      </c>
      <c r="E3437" s="315" t="s">
        <v>4984</v>
      </c>
      <c r="F3437" s="169">
        <v>38473</v>
      </c>
      <c r="G3437" s="170"/>
      <c r="H3437" s="170">
        <v>1</v>
      </c>
      <c r="I3437" s="746">
        <f>TIME(0,69,7)</f>
        <v>4.7997685185185185E-2</v>
      </c>
      <c r="J3437" s="899" t="s">
        <v>4706</v>
      </c>
      <c r="K3437" s="167" t="s">
        <v>6237</v>
      </c>
      <c r="L3437" s="167" t="s">
        <v>7375</v>
      </c>
      <c r="M3437" s="167"/>
      <c r="N3437" s="167"/>
      <c r="O3437" s="167" t="s">
        <v>2909</v>
      </c>
      <c r="P3437" s="168" t="s">
        <v>9136</v>
      </c>
      <c r="Q3437" s="167" t="s">
        <v>3947</v>
      </c>
      <c r="R3437" s="172" t="s">
        <v>2237</v>
      </c>
      <c r="S3437" s="388" t="s">
        <v>2608</v>
      </c>
      <c r="T3437" s="168" t="s">
        <v>2610</v>
      </c>
      <c r="U3437" s="168" t="s">
        <v>6335</v>
      </c>
      <c r="V3437" s="168" t="s">
        <v>6335</v>
      </c>
      <c r="W3437" s="315" t="s">
        <v>12054</v>
      </c>
      <c r="X3437" s="647" t="s">
        <v>12489</v>
      </c>
      <c r="Y3437" s="352" t="s">
        <v>5398</v>
      </c>
      <c r="Z3437" s="353">
        <v>26</v>
      </c>
      <c r="AA3437" s="353">
        <v>9</v>
      </c>
      <c r="AB3437" s="31">
        <f t="shared" ca="1" si="82"/>
        <v>0.83546947801371052</v>
      </c>
      <c r="AC3437" s="810"/>
      <c r="AD3437" s="811" t="s">
        <v>461</v>
      </c>
      <c r="AE3437" s="940"/>
      <c r="AF3437" s="920">
        <f>IF(X3437=X3436,AF3436,0)+IF(ISNUMBER(I3437),IF(I3437&lt;1,I3437,I3437*VLOOKUP(J3437,Summary!$H$2:$I$9,2)),VLOOKUP(J3437,Summary!$J$2:$K$9,2)*IF(ISNUMBER(H3437),H3437,1))</f>
        <v>0.30403935185185182</v>
      </c>
      <c r="AG3437" s="287">
        <v>3436</v>
      </c>
      <c r="AH3437" s="94"/>
      <c r="AI3437" s="94"/>
    </row>
    <row r="3438" spans="1:36" s="2" customFormat="1" ht="12" customHeight="1" x14ac:dyDescent="0.25">
      <c r="A3438" s="405" t="s">
        <v>7423</v>
      </c>
      <c r="B3438" s="406" t="s">
        <v>2525</v>
      </c>
      <c r="C3438" s="405">
        <v>7</v>
      </c>
      <c r="D3438" s="407" t="s">
        <v>2657</v>
      </c>
      <c r="E3438" s="315" t="s">
        <v>4985</v>
      </c>
      <c r="F3438" s="169">
        <v>38504</v>
      </c>
      <c r="G3438" s="170"/>
      <c r="H3438" s="170">
        <v>1</v>
      </c>
      <c r="I3438" s="746">
        <f>TIME(0,71,33)</f>
        <v>4.9687499999999996E-2</v>
      </c>
      <c r="J3438" s="899" t="s">
        <v>4706</v>
      </c>
      <c r="K3438" s="167" t="s">
        <v>543</v>
      </c>
      <c r="L3438" s="167" t="s">
        <v>7375</v>
      </c>
      <c r="M3438" s="167"/>
      <c r="N3438" s="167"/>
      <c r="O3438" s="167" t="s">
        <v>2909</v>
      </c>
      <c r="P3438" s="168" t="s">
        <v>9137</v>
      </c>
      <c r="Q3438" s="167" t="s">
        <v>3947</v>
      </c>
      <c r="R3438" s="172" t="s">
        <v>2237</v>
      </c>
      <c r="S3438" s="388" t="s">
        <v>2608</v>
      </c>
      <c r="T3438" s="168" t="s">
        <v>2610</v>
      </c>
      <c r="U3438" s="168" t="s">
        <v>6335</v>
      </c>
      <c r="V3438" s="168" t="s">
        <v>6335</v>
      </c>
      <c r="W3438" s="315" t="s">
        <v>12055</v>
      </c>
      <c r="X3438" s="647" t="s">
        <v>12489</v>
      </c>
      <c r="Y3438" s="352" t="s">
        <v>5398</v>
      </c>
      <c r="Z3438" s="353">
        <v>279</v>
      </c>
      <c r="AA3438" s="353">
        <v>5.5</v>
      </c>
      <c r="AB3438" s="31">
        <f t="shared" ca="1" si="82"/>
        <v>8.5229248451143991E-2</v>
      </c>
      <c r="AC3438" s="810"/>
      <c r="AD3438" s="811" t="s">
        <v>461</v>
      </c>
      <c r="AE3438" s="940"/>
      <c r="AF3438" s="920">
        <f>IF(X3438=X3437,AF3437,0)+IF(ISNUMBER(I3438),IF(I3438&lt;1,I3438,I3438*VLOOKUP(J3438,Summary!$H$2:$I$9,2)),VLOOKUP(J3438,Summary!$J$2:$K$9,2)*IF(ISNUMBER(H3438),H3438,1))</f>
        <v>0.35372685185185182</v>
      </c>
      <c r="AG3438" s="287">
        <v>3437</v>
      </c>
      <c r="AH3438" s="119"/>
      <c r="AI3438" s="119"/>
      <c r="AJ3438" s="27"/>
    </row>
    <row r="3439" spans="1:36" s="2" customFormat="1" ht="12" customHeight="1" x14ac:dyDescent="0.25">
      <c r="A3439" s="405" t="s">
        <v>7423</v>
      </c>
      <c r="B3439" s="406" t="s">
        <v>2525</v>
      </c>
      <c r="C3439" s="405">
        <v>8</v>
      </c>
      <c r="D3439" s="407" t="s">
        <v>2656</v>
      </c>
      <c r="E3439" s="315" t="s">
        <v>4986</v>
      </c>
      <c r="F3439" s="169">
        <v>38534</v>
      </c>
      <c r="G3439" s="170"/>
      <c r="H3439" s="170">
        <v>1</v>
      </c>
      <c r="I3439" s="746">
        <f>TIME(0,73,43)</f>
        <v>5.1192129629629629E-2</v>
      </c>
      <c r="J3439" s="899" t="s">
        <v>4706</v>
      </c>
      <c r="K3439" s="167" t="s">
        <v>176</v>
      </c>
      <c r="L3439" s="167" t="s">
        <v>7375</v>
      </c>
      <c r="M3439" s="167"/>
      <c r="N3439" s="167"/>
      <c r="O3439" s="167" t="s">
        <v>2909</v>
      </c>
      <c r="P3439" s="168" t="s">
        <v>9138</v>
      </c>
      <c r="Q3439" s="167" t="s">
        <v>3947</v>
      </c>
      <c r="R3439" s="172" t="s">
        <v>2237</v>
      </c>
      <c r="S3439" s="388" t="s">
        <v>2608</v>
      </c>
      <c r="T3439" s="168" t="s">
        <v>2610</v>
      </c>
      <c r="U3439" s="168" t="s">
        <v>6335</v>
      </c>
      <c r="V3439" s="168" t="s">
        <v>6335</v>
      </c>
      <c r="W3439" s="315" t="s">
        <v>12056</v>
      </c>
      <c r="X3439" s="647" t="s">
        <v>12489</v>
      </c>
      <c r="Y3439" s="352" t="s">
        <v>5398</v>
      </c>
      <c r="Z3439" s="353">
        <v>506</v>
      </c>
      <c r="AA3439" s="353">
        <v>4</v>
      </c>
      <c r="AB3439" s="31">
        <f t="shared" ca="1" si="82"/>
        <v>0.74128694577559229</v>
      </c>
      <c r="AC3439" s="810"/>
      <c r="AD3439" s="811" t="s">
        <v>461</v>
      </c>
      <c r="AE3439" s="940"/>
      <c r="AF3439" s="920">
        <f>IF(X3439=X3438,AF3438,0)+IF(ISNUMBER(I3439),IF(I3439&lt;1,I3439,I3439*VLOOKUP(J3439,Summary!$H$2:$I$9,2)),VLOOKUP(J3439,Summary!$J$2:$K$9,2)*IF(ISNUMBER(H3439),H3439,1))</f>
        <v>0.40491898148148142</v>
      </c>
      <c r="AG3439" s="287">
        <v>3438</v>
      </c>
      <c r="AH3439" s="94"/>
      <c r="AI3439" s="94"/>
    </row>
    <row r="3440" spans="1:36" s="2" customFormat="1" ht="12" customHeight="1" x14ac:dyDescent="0.25">
      <c r="A3440" s="405" t="s">
        <v>7423</v>
      </c>
      <c r="B3440" s="406" t="s">
        <v>2525</v>
      </c>
      <c r="C3440" s="405">
        <v>9</v>
      </c>
      <c r="D3440" s="407" t="s">
        <v>2655</v>
      </c>
      <c r="E3440" s="315" t="s">
        <v>4987</v>
      </c>
      <c r="F3440" s="169">
        <v>38565</v>
      </c>
      <c r="G3440" s="170"/>
      <c r="H3440" s="170">
        <v>2</v>
      </c>
      <c r="I3440" s="746">
        <f>TIME(0,145,31)</f>
        <v>0.10105324074074075</v>
      </c>
      <c r="J3440" s="899" t="s">
        <v>4706</v>
      </c>
      <c r="K3440" s="167" t="s">
        <v>2312</v>
      </c>
      <c r="L3440" s="167" t="s">
        <v>7375</v>
      </c>
      <c r="M3440" s="167"/>
      <c r="N3440" s="167"/>
      <c r="O3440" s="167" t="s">
        <v>2909</v>
      </c>
      <c r="P3440" s="168" t="s">
        <v>9139</v>
      </c>
      <c r="Q3440" s="167" t="s">
        <v>3947</v>
      </c>
      <c r="R3440" s="172" t="s">
        <v>2237</v>
      </c>
      <c r="S3440" s="388" t="s">
        <v>2608</v>
      </c>
      <c r="T3440" s="168" t="s">
        <v>2610</v>
      </c>
      <c r="U3440" s="168" t="s">
        <v>6335</v>
      </c>
      <c r="V3440" s="168" t="s">
        <v>6335</v>
      </c>
      <c r="W3440" s="315" t="s">
        <v>15906</v>
      </c>
      <c r="X3440" s="647" t="s">
        <v>12489</v>
      </c>
      <c r="Y3440" s="352" t="s">
        <v>5398</v>
      </c>
      <c r="Z3440" s="353">
        <v>514</v>
      </c>
      <c r="AA3440" s="353">
        <v>4</v>
      </c>
      <c r="AB3440" s="31">
        <f t="shared" ca="1" si="82"/>
        <v>0.11262614184471531</v>
      </c>
      <c r="AC3440" s="810"/>
      <c r="AD3440" s="811" t="s">
        <v>461</v>
      </c>
      <c r="AE3440" s="940"/>
      <c r="AF3440" s="920">
        <f>IF(X3440=X3439,AF3439,0)+IF(ISNUMBER(I3440),IF(I3440&lt;1,I3440,I3440*VLOOKUP(J3440,Summary!$H$2:$I$9,2)),VLOOKUP(J3440,Summary!$J$2:$K$9,2)*IF(ISNUMBER(H3440),H3440,1))</f>
        <v>0.50597222222222216</v>
      </c>
      <c r="AG3440" s="287">
        <v>3439</v>
      </c>
      <c r="AH3440" s="94"/>
      <c r="AI3440" s="94"/>
    </row>
    <row r="3441" spans="1:36" s="2" customFormat="1" ht="12" customHeight="1" x14ac:dyDescent="0.25">
      <c r="A3441" s="405" t="s">
        <v>7424</v>
      </c>
      <c r="B3441" s="406" t="s">
        <v>2525</v>
      </c>
      <c r="C3441" s="405">
        <v>10</v>
      </c>
      <c r="D3441" s="407" t="s">
        <v>2660</v>
      </c>
      <c r="E3441" s="315" t="s">
        <v>4988</v>
      </c>
      <c r="F3441" s="169">
        <v>38838</v>
      </c>
      <c r="G3441" s="170"/>
      <c r="H3441" s="170">
        <v>1</v>
      </c>
      <c r="I3441" s="746">
        <f>TIME(0,78,19)</f>
        <v>5.4386574074074073E-2</v>
      </c>
      <c r="J3441" s="899" t="s">
        <v>4706</v>
      </c>
      <c r="K3441" s="167" t="s">
        <v>6237</v>
      </c>
      <c r="L3441" s="167" t="s">
        <v>7375</v>
      </c>
      <c r="M3441" s="167"/>
      <c r="N3441" s="167"/>
      <c r="O3441" s="167" t="s">
        <v>2909</v>
      </c>
      <c r="P3441" s="168" t="s">
        <v>9140</v>
      </c>
      <c r="Q3441" s="167" t="s">
        <v>3947</v>
      </c>
      <c r="R3441" s="172" t="s">
        <v>2237</v>
      </c>
      <c r="S3441" s="388" t="s">
        <v>2608</v>
      </c>
      <c r="T3441" s="168" t="s">
        <v>2610</v>
      </c>
      <c r="U3441" s="168" t="s">
        <v>6335</v>
      </c>
      <c r="V3441" s="168" t="s">
        <v>6335</v>
      </c>
      <c r="W3441" s="315" t="s">
        <v>12057</v>
      </c>
      <c r="X3441" s="647" t="s">
        <v>12489</v>
      </c>
      <c r="Y3441" s="352" t="s">
        <v>5398</v>
      </c>
      <c r="Z3441" s="353">
        <v>434</v>
      </c>
      <c r="AA3441" s="353">
        <v>4.5</v>
      </c>
      <c r="AB3441" s="31">
        <f t="shared" ca="1" si="82"/>
        <v>0.92892956577622099</v>
      </c>
      <c r="AC3441" s="810"/>
      <c r="AD3441" s="811" t="s">
        <v>461</v>
      </c>
      <c r="AE3441" s="940"/>
      <c r="AF3441" s="920">
        <f>IF(X3441=X3440,AF3440,0)+IF(ISNUMBER(I3441),IF(I3441&lt;1,I3441,I3441*VLOOKUP(J3441,Summary!$H$2:$I$9,2)),VLOOKUP(J3441,Summary!$J$2:$K$9,2)*IF(ISNUMBER(H3441),H3441,1))</f>
        <v>0.56035879629629626</v>
      </c>
      <c r="AG3441" s="287">
        <v>3440</v>
      </c>
      <c r="AH3441" s="94"/>
      <c r="AI3441" s="94"/>
      <c r="AJ3441" s="9"/>
    </row>
    <row r="3442" spans="1:36" s="2" customFormat="1" ht="12" customHeight="1" x14ac:dyDescent="0.25">
      <c r="A3442" s="405" t="s">
        <v>7424</v>
      </c>
      <c r="B3442" s="406" t="s">
        <v>2525</v>
      </c>
      <c r="C3442" s="405">
        <v>11</v>
      </c>
      <c r="D3442" s="407" t="s">
        <v>2661</v>
      </c>
      <c r="E3442" s="315" t="s">
        <v>4989</v>
      </c>
      <c r="F3442" s="169">
        <v>38869</v>
      </c>
      <c r="G3442" s="170"/>
      <c r="H3442" s="170">
        <v>1</v>
      </c>
      <c r="I3442" s="746">
        <f>TIME(0,78,10)</f>
        <v>5.4282407407407411E-2</v>
      </c>
      <c r="J3442" s="899" t="s">
        <v>4706</v>
      </c>
      <c r="K3442" s="167" t="s">
        <v>2312</v>
      </c>
      <c r="L3442" s="167" t="s">
        <v>7375</v>
      </c>
      <c r="M3442" s="167"/>
      <c r="N3442" s="167"/>
      <c r="O3442" s="167" t="s">
        <v>2909</v>
      </c>
      <c r="P3442" s="168" t="s">
        <v>9141</v>
      </c>
      <c r="Q3442" s="167" t="s">
        <v>3947</v>
      </c>
      <c r="R3442" s="172" t="s">
        <v>2237</v>
      </c>
      <c r="S3442" s="388" t="s">
        <v>2608</v>
      </c>
      <c r="T3442" s="168" t="s">
        <v>2610</v>
      </c>
      <c r="U3442" s="168" t="s">
        <v>6335</v>
      </c>
      <c r="V3442" s="168" t="s">
        <v>6335</v>
      </c>
      <c r="W3442" s="315" t="s">
        <v>15905</v>
      </c>
      <c r="X3442" s="647" t="s">
        <v>12489</v>
      </c>
      <c r="Y3442" s="352" t="s">
        <v>5398</v>
      </c>
      <c r="Z3442" s="353">
        <v>529</v>
      </c>
      <c r="AA3442" s="353">
        <v>4</v>
      </c>
      <c r="AB3442" s="31">
        <f t="shared" ca="1" si="82"/>
        <v>0.71645593501952287</v>
      </c>
      <c r="AC3442" s="810"/>
      <c r="AD3442" s="811" t="s">
        <v>461</v>
      </c>
      <c r="AE3442" s="940"/>
      <c r="AF3442" s="920">
        <f>IF(X3442=X3441,AF3441,0)+IF(ISNUMBER(I3442),IF(I3442&lt;1,I3442,I3442*VLOOKUP(J3442,Summary!$H$2:$I$9,2)),VLOOKUP(J3442,Summary!$J$2:$K$9,2)*IF(ISNUMBER(H3442),H3442,1))</f>
        <v>0.61464120370370368</v>
      </c>
      <c r="AG3442" s="287">
        <v>3441</v>
      </c>
      <c r="AH3442" s="94"/>
      <c r="AI3442" s="94"/>
    </row>
    <row r="3443" spans="1:36" s="2" customFormat="1" ht="12" customHeight="1" x14ac:dyDescent="0.25">
      <c r="A3443" s="405" t="s">
        <v>7424</v>
      </c>
      <c r="B3443" s="406" t="s">
        <v>2525</v>
      </c>
      <c r="C3443" s="405">
        <v>12</v>
      </c>
      <c r="D3443" s="407" t="s">
        <v>2662</v>
      </c>
      <c r="E3443" s="315" t="s">
        <v>6870</v>
      </c>
      <c r="F3443" s="169">
        <v>38899</v>
      </c>
      <c r="G3443" s="170"/>
      <c r="H3443" s="170">
        <v>1</v>
      </c>
      <c r="I3443" s="746">
        <f>TIME(0,73,31)</f>
        <v>5.1053240740740739E-2</v>
      </c>
      <c r="J3443" s="899" t="s">
        <v>4706</v>
      </c>
      <c r="K3443" s="167" t="s">
        <v>2911</v>
      </c>
      <c r="L3443" s="167" t="s">
        <v>7375</v>
      </c>
      <c r="M3443" s="167"/>
      <c r="N3443" s="167"/>
      <c r="O3443" s="167" t="s">
        <v>2909</v>
      </c>
      <c r="P3443" s="168" t="s">
        <v>9142</v>
      </c>
      <c r="Q3443" s="167" t="s">
        <v>3947</v>
      </c>
      <c r="R3443" s="172" t="s">
        <v>2237</v>
      </c>
      <c r="S3443" s="388" t="s">
        <v>2608</v>
      </c>
      <c r="T3443" s="168" t="s">
        <v>2610</v>
      </c>
      <c r="U3443" s="168" t="s">
        <v>6335</v>
      </c>
      <c r="V3443" s="168" t="s">
        <v>6335</v>
      </c>
      <c r="W3443" s="315" t="s">
        <v>12058</v>
      </c>
      <c r="X3443" s="647" t="s">
        <v>12489</v>
      </c>
      <c r="Y3443" s="352" t="s">
        <v>5398</v>
      </c>
      <c r="Z3443" s="353">
        <v>641</v>
      </c>
      <c r="AA3443" s="353">
        <v>3</v>
      </c>
      <c r="AB3443" s="31">
        <f t="shared" ca="1" si="82"/>
        <v>0.96915480280099453</v>
      </c>
      <c r="AC3443" s="810"/>
      <c r="AD3443" s="811" t="s">
        <v>461</v>
      </c>
      <c r="AE3443" s="940"/>
      <c r="AF3443" s="920">
        <f>IF(X3443=X3442,AF3442,0)+IF(ISNUMBER(I3443),IF(I3443&lt;1,I3443,I3443*VLOOKUP(J3443,Summary!$H$2:$I$9,2)),VLOOKUP(J3443,Summary!$J$2:$K$9,2)*IF(ISNUMBER(H3443),H3443,1))</f>
        <v>0.66569444444444437</v>
      </c>
      <c r="AG3443" s="287">
        <v>3442</v>
      </c>
      <c r="AH3443" s="94"/>
      <c r="AI3443" s="94"/>
      <c r="AJ3443" s="22"/>
    </row>
    <row r="3444" spans="1:36" s="2" customFormat="1" ht="12" customHeight="1" x14ac:dyDescent="0.25">
      <c r="A3444" s="405" t="s">
        <v>7424</v>
      </c>
      <c r="B3444" s="406" t="s">
        <v>2525</v>
      </c>
      <c r="C3444" s="405">
        <v>13</v>
      </c>
      <c r="D3444" s="407" t="s">
        <v>2663</v>
      </c>
      <c r="E3444" s="315" t="s">
        <v>6871</v>
      </c>
      <c r="F3444" s="169">
        <v>38899</v>
      </c>
      <c r="G3444" s="170"/>
      <c r="H3444" s="170">
        <v>1</v>
      </c>
      <c r="I3444" s="746">
        <f>TIME(0,78,26)</f>
        <v>5.4467592592592595E-2</v>
      </c>
      <c r="J3444" s="899" t="s">
        <v>4706</v>
      </c>
      <c r="K3444" s="167" t="s">
        <v>543</v>
      </c>
      <c r="L3444" s="167" t="s">
        <v>7375</v>
      </c>
      <c r="M3444" s="167"/>
      <c r="N3444" s="167"/>
      <c r="O3444" s="167" t="s">
        <v>2909</v>
      </c>
      <c r="P3444" s="168" t="s">
        <v>9143</v>
      </c>
      <c r="Q3444" s="167" t="s">
        <v>3947</v>
      </c>
      <c r="R3444" s="172" t="s">
        <v>2237</v>
      </c>
      <c r="S3444" s="388" t="s">
        <v>2608</v>
      </c>
      <c r="T3444" s="168" t="s">
        <v>2610</v>
      </c>
      <c r="U3444" s="168" t="s">
        <v>6335</v>
      </c>
      <c r="V3444" s="168" t="s">
        <v>6335</v>
      </c>
      <c r="W3444" s="315" t="s">
        <v>12059</v>
      </c>
      <c r="X3444" s="647" t="s">
        <v>12489</v>
      </c>
      <c r="Y3444" s="352" t="s">
        <v>5398</v>
      </c>
      <c r="Z3444" s="353">
        <v>103</v>
      </c>
      <c r="AA3444" s="353">
        <v>7.5</v>
      </c>
      <c r="AB3444" s="31">
        <f t="shared" ca="1" si="82"/>
        <v>0.64454919949542278</v>
      </c>
      <c r="AC3444" s="810"/>
      <c r="AD3444" s="811" t="s">
        <v>461</v>
      </c>
      <c r="AE3444" s="940"/>
      <c r="AF3444" s="920">
        <f>IF(X3444=X3443,AF3443,0)+IF(ISNUMBER(I3444),IF(I3444&lt;1,I3444,I3444*VLOOKUP(J3444,Summary!$H$2:$I$9,2)),VLOOKUP(J3444,Summary!$J$2:$K$9,2)*IF(ISNUMBER(H3444),H3444,1))</f>
        <v>0.72016203703703696</v>
      </c>
      <c r="AG3444" s="287">
        <v>3443</v>
      </c>
      <c r="AH3444" s="94"/>
      <c r="AI3444" s="94"/>
    </row>
    <row r="3445" spans="1:36" s="2" customFormat="1" ht="12" customHeight="1" x14ac:dyDescent="0.25">
      <c r="A3445" s="405" t="s">
        <v>7424</v>
      </c>
      <c r="B3445" s="406" t="s">
        <v>2525</v>
      </c>
      <c r="C3445" s="405">
        <v>14</v>
      </c>
      <c r="D3445" s="407" t="s">
        <v>2664</v>
      </c>
      <c r="E3445" s="315" t="s">
        <v>7331</v>
      </c>
      <c r="F3445" s="169">
        <v>38930</v>
      </c>
      <c r="G3445" s="170"/>
      <c r="H3445" s="170">
        <v>1</v>
      </c>
      <c r="I3445" s="746">
        <f>TIME(0,78,51)</f>
        <v>5.4756944444444434E-2</v>
      </c>
      <c r="J3445" s="899" t="s">
        <v>4706</v>
      </c>
      <c r="K3445" s="167" t="s">
        <v>7374</v>
      </c>
      <c r="L3445" s="167" t="s">
        <v>7375</v>
      </c>
      <c r="M3445" s="167"/>
      <c r="N3445" s="167"/>
      <c r="O3445" s="167" t="s">
        <v>2909</v>
      </c>
      <c r="P3445" s="168" t="s">
        <v>9144</v>
      </c>
      <c r="Q3445" s="167" t="s">
        <v>3947</v>
      </c>
      <c r="R3445" s="172" t="s">
        <v>2237</v>
      </c>
      <c r="S3445" s="388" t="s">
        <v>2608</v>
      </c>
      <c r="T3445" s="168" t="s">
        <v>2610</v>
      </c>
      <c r="U3445" s="168" t="s">
        <v>6335</v>
      </c>
      <c r="V3445" s="168" t="s">
        <v>6335</v>
      </c>
      <c r="W3445" s="315" t="s">
        <v>12060</v>
      </c>
      <c r="X3445" s="647" t="s">
        <v>12489</v>
      </c>
      <c r="Y3445" s="352" t="s">
        <v>5398</v>
      </c>
      <c r="Z3445" s="353">
        <v>463</v>
      </c>
      <c r="AA3445" s="353">
        <v>4.5</v>
      </c>
      <c r="AB3445" s="31">
        <f t="shared" ca="1" si="82"/>
        <v>0.52570772362596674</v>
      </c>
      <c r="AC3445" s="810"/>
      <c r="AD3445" s="811" t="s">
        <v>461</v>
      </c>
      <c r="AE3445" s="940"/>
      <c r="AF3445" s="920">
        <f>IF(X3445=X3444,AF3444,0)+IF(ISNUMBER(I3445),IF(I3445&lt;1,I3445,I3445*VLOOKUP(J3445,Summary!$H$2:$I$9,2)),VLOOKUP(J3445,Summary!$J$2:$K$9,2)*IF(ISNUMBER(H3445),H3445,1))</f>
        <v>0.77491898148148142</v>
      </c>
      <c r="AG3445" s="287">
        <v>3444</v>
      </c>
      <c r="AH3445" s="94"/>
      <c r="AI3445" s="94"/>
      <c r="AJ3445" s="26"/>
    </row>
    <row r="3446" spans="1:36" s="1" customFormat="1" ht="12" customHeight="1" x14ac:dyDescent="0.25">
      <c r="A3446" s="573" t="s">
        <v>5303</v>
      </c>
      <c r="B3446" s="573">
        <v>8</v>
      </c>
      <c r="C3446" s="573">
        <v>52</v>
      </c>
      <c r="D3446" s="407" t="s">
        <v>3038</v>
      </c>
      <c r="E3446" s="315" t="s">
        <v>3039</v>
      </c>
      <c r="F3446" s="169">
        <v>37956</v>
      </c>
      <c r="G3446" s="170"/>
      <c r="H3446" s="170">
        <v>4</v>
      </c>
      <c r="I3446" s="746">
        <f>TIME(1,29,35)</f>
        <v>6.2210648148148147E-2</v>
      </c>
      <c r="J3446" s="899" t="s">
        <v>4706</v>
      </c>
      <c r="K3446" s="167" t="s">
        <v>3800</v>
      </c>
      <c r="L3446" s="167" t="s">
        <v>7375</v>
      </c>
      <c r="M3446" s="167"/>
      <c r="N3446" s="167"/>
      <c r="O3446" s="167" t="s">
        <v>2909</v>
      </c>
      <c r="P3446" s="168"/>
      <c r="Q3446" s="167" t="s">
        <v>3947</v>
      </c>
      <c r="R3446" s="172" t="s">
        <v>3146</v>
      </c>
      <c r="S3446" s="388" t="s">
        <v>2612</v>
      </c>
      <c r="T3446" s="168"/>
      <c r="U3446" s="168"/>
      <c r="V3446" s="168"/>
      <c r="W3446" s="312" t="s">
        <v>9295</v>
      </c>
      <c r="X3446" s="644" t="s">
        <v>15414</v>
      </c>
      <c r="Y3446" s="352" t="s">
        <v>5398</v>
      </c>
      <c r="Z3446" s="353">
        <v>35</v>
      </c>
      <c r="AA3446" s="353">
        <v>9</v>
      </c>
      <c r="AB3446" s="31">
        <f t="shared" ca="1" si="82"/>
        <v>2.5038510129988256E-2</v>
      </c>
      <c r="AC3446" s="810"/>
      <c r="AD3446" s="811" t="s">
        <v>461</v>
      </c>
      <c r="AE3446" s="940"/>
      <c r="AF3446" s="920">
        <f>IF(X3446=X3445,AF3445,0)+IF(ISNUMBER(I3446),IF(I3446&lt;1,I3446,I3446*VLOOKUP(J3446,Summary!$H$2:$I$9,2)),VLOOKUP(J3446,Summary!$J$2:$K$9,2)*IF(ISNUMBER(H3446),H3446,1))</f>
        <v>6.2210648148148147E-2</v>
      </c>
      <c r="AG3446" s="287">
        <v>3445</v>
      </c>
      <c r="AH3446" s="94"/>
      <c r="AI3446" s="94"/>
      <c r="AJ3446" s="43"/>
    </row>
    <row r="3447" spans="1:36" s="43" customFormat="1" ht="12" customHeight="1" x14ac:dyDescent="0.25">
      <c r="A3447" s="573" t="s">
        <v>5303</v>
      </c>
      <c r="B3447" s="573">
        <v>8</v>
      </c>
      <c r="C3447" s="573">
        <v>53</v>
      </c>
      <c r="D3447" s="407" t="s">
        <v>3040</v>
      </c>
      <c r="E3447" s="315" t="s">
        <v>3041</v>
      </c>
      <c r="F3447" s="169">
        <v>37987</v>
      </c>
      <c r="G3447" s="170"/>
      <c r="H3447" s="170">
        <v>4</v>
      </c>
      <c r="I3447" s="746">
        <f>TIME(2,9,24)</f>
        <v>8.9861111111111114E-2</v>
      </c>
      <c r="J3447" s="899" t="s">
        <v>4706</v>
      </c>
      <c r="K3447" s="167" t="s">
        <v>197</v>
      </c>
      <c r="L3447" s="167" t="s">
        <v>7375</v>
      </c>
      <c r="M3447" s="167"/>
      <c r="N3447" s="167"/>
      <c r="O3447" s="167" t="s">
        <v>2909</v>
      </c>
      <c r="P3447" s="168"/>
      <c r="Q3447" s="167" t="s">
        <v>3947</v>
      </c>
      <c r="R3447" s="172" t="s">
        <v>3146</v>
      </c>
      <c r="S3447" s="388" t="s">
        <v>2612</v>
      </c>
      <c r="T3447" s="168" t="s">
        <v>2613</v>
      </c>
      <c r="U3447" s="168"/>
      <c r="V3447" s="168"/>
      <c r="W3447" s="312" t="s">
        <v>9294</v>
      </c>
      <c r="X3447" s="644" t="s">
        <v>15414</v>
      </c>
      <c r="Y3447" s="352" t="s">
        <v>5398</v>
      </c>
      <c r="Z3447" s="353">
        <v>701</v>
      </c>
      <c r="AA3447" s="353">
        <v>0.5</v>
      </c>
      <c r="AB3447" s="31">
        <f t="shared" ca="1" si="82"/>
        <v>0.93808474553954657</v>
      </c>
      <c r="AC3447" s="810"/>
      <c r="AD3447" s="811" t="s">
        <v>461</v>
      </c>
      <c r="AE3447" s="940"/>
      <c r="AF3447" s="920">
        <f>IF(X3447=X3446,AF3446,0)+IF(ISNUMBER(I3447),IF(I3447&lt;1,I3447,I3447*VLOOKUP(J3447,Summary!$H$2:$I$9,2)),VLOOKUP(J3447,Summary!$J$2:$K$9,2)*IF(ISNUMBER(H3447),H3447,1))</f>
        <v>0.15207175925925925</v>
      </c>
      <c r="AG3447" s="287">
        <v>3446</v>
      </c>
      <c r="AH3447" s="94"/>
      <c r="AI3447" s="94"/>
      <c r="AJ3447" s="2"/>
    </row>
    <row r="3448" spans="1:36" s="43" customFormat="1" ht="12" customHeight="1" x14ac:dyDescent="0.25">
      <c r="A3448" s="573" t="s">
        <v>5303</v>
      </c>
      <c r="B3448" s="573">
        <v>8</v>
      </c>
      <c r="C3448" s="573">
        <v>54</v>
      </c>
      <c r="D3448" s="407" t="s">
        <v>3042</v>
      </c>
      <c r="E3448" s="315" t="s">
        <v>3043</v>
      </c>
      <c r="F3448" s="169">
        <v>38018</v>
      </c>
      <c r="G3448" s="170"/>
      <c r="H3448" s="170">
        <v>4</v>
      </c>
      <c r="I3448" s="746">
        <f>TIME(2,9,47)</f>
        <v>9.0127314814814827E-2</v>
      </c>
      <c r="J3448" s="899" t="s">
        <v>4706</v>
      </c>
      <c r="K3448" s="167" t="s">
        <v>1932</v>
      </c>
      <c r="L3448" s="167" t="s">
        <v>7375</v>
      </c>
      <c r="M3448" s="167"/>
      <c r="N3448" s="167"/>
      <c r="O3448" s="167" t="s">
        <v>2909</v>
      </c>
      <c r="P3448" s="168"/>
      <c r="Q3448" s="167" t="s">
        <v>3947</v>
      </c>
      <c r="R3448" s="172" t="s">
        <v>3146</v>
      </c>
      <c r="S3448" s="388" t="s">
        <v>2612</v>
      </c>
      <c r="T3448" s="168" t="s">
        <v>2613</v>
      </c>
      <c r="U3448" s="168"/>
      <c r="V3448" s="168"/>
      <c r="W3448" s="312" t="s">
        <v>9296</v>
      </c>
      <c r="X3448" s="644" t="s">
        <v>15414</v>
      </c>
      <c r="Y3448" s="352" t="s">
        <v>5398</v>
      </c>
      <c r="Z3448" s="353">
        <v>13</v>
      </c>
      <c r="AA3448" s="353">
        <v>9.5</v>
      </c>
      <c r="AB3448" s="31">
        <f t="shared" ca="1" si="82"/>
        <v>0.21784028445170478</v>
      </c>
      <c r="AC3448" s="810"/>
      <c r="AD3448" s="811" t="s">
        <v>461</v>
      </c>
      <c r="AE3448" s="940"/>
      <c r="AF3448" s="920">
        <f>IF(X3448=X3447,AF3447,0)+IF(ISNUMBER(I3448),IF(I3448&lt;1,I3448,I3448*VLOOKUP(J3448,Summary!$H$2:$I$9,2)),VLOOKUP(J3448,Summary!$J$2:$K$9,2)*IF(ISNUMBER(H3448),H3448,1))</f>
        <v>0.24219907407407409</v>
      </c>
      <c r="AG3448" s="287">
        <v>3447</v>
      </c>
      <c r="AH3448" s="94"/>
      <c r="AI3448" s="94"/>
      <c r="AJ3448" s="2"/>
    </row>
    <row r="3449" spans="1:36" s="29" customFormat="1" ht="12" customHeight="1" x14ac:dyDescent="0.25">
      <c r="A3449" s="573" t="s">
        <v>5303</v>
      </c>
      <c r="B3449" s="573">
        <v>8</v>
      </c>
      <c r="C3449" s="573">
        <v>55</v>
      </c>
      <c r="D3449" s="407" t="s">
        <v>3044</v>
      </c>
      <c r="E3449" s="315" t="s">
        <v>3045</v>
      </c>
      <c r="F3449" s="169">
        <v>38047</v>
      </c>
      <c r="G3449" s="170"/>
      <c r="H3449" s="170">
        <v>4</v>
      </c>
      <c r="I3449" s="746">
        <f>TIME(2,1,7)</f>
        <v>8.4108796296296293E-2</v>
      </c>
      <c r="J3449" s="899" t="s">
        <v>4706</v>
      </c>
      <c r="K3449" s="167" t="s">
        <v>3235</v>
      </c>
      <c r="L3449" s="167" t="s">
        <v>7375</v>
      </c>
      <c r="M3449" s="167"/>
      <c r="N3449" s="167"/>
      <c r="O3449" s="167" t="s">
        <v>2909</v>
      </c>
      <c r="P3449" s="168"/>
      <c r="Q3449" s="167" t="s">
        <v>3947</v>
      </c>
      <c r="R3449" s="172" t="s">
        <v>3146</v>
      </c>
      <c r="S3449" s="388" t="s">
        <v>2612</v>
      </c>
      <c r="T3449" s="168" t="s">
        <v>2613</v>
      </c>
      <c r="U3449" s="168"/>
      <c r="V3449" s="168"/>
      <c r="W3449" s="312" t="s">
        <v>9297</v>
      </c>
      <c r="X3449" s="644" t="s">
        <v>15414</v>
      </c>
      <c r="Y3449" s="352" t="s">
        <v>5398</v>
      </c>
      <c r="Z3449" s="353">
        <v>413</v>
      </c>
      <c r="AA3449" s="353">
        <v>4.5</v>
      </c>
      <c r="AB3449" s="31">
        <f t="shared" ca="1" si="82"/>
        <v>0.44464965008869006</v>
      </c>
      <c r="AC3449" s="810"/>
      <c r="AD3449" s="811" t="s">
        <v>461</v>
      </c>
      <c r="AE3449" s="940"/>
      <c r="AF3449" s="920">
        <f>IF(X3449=X3448,AF3448,0)+IF(ISNUMBER(I3449),IF(I3449&lt;1,I3449,I3449*VLOOKUP(J3449,Summary!$H$2:$I$9,2)),VLOOKUP(J3449,Summary!$J$2:$K$9,2)*IF(ISNUMBER(H3449),H3449,1))</f>
        <v>0.3263078703703704</v>
      </c>
      <c r="AG3449" s="287">
        <v>3448</v>
      </c>
      <c r="AH3449" s="94"/>
      <c r="AI3449" s="94"/>
      <c r="AJ3449" s="2"/>
    </row>
    <row r="3450" spans="1:36" s="22" customFormat="1" ht="12" customHeight="1" x14ac:dyDescent="0.25">
      <c r="A3450" s="573" t="s">
        <v>5304</v>
      </c>
      <c r="B3450" s="573">
        <v>8</v>
      </c>
      <c r="C3450" s="573">
        <v>61</v>
      </c>
      <c r="D3450" s="407" t="s">
        <v>3046</v>
      </c>
      <c r="E3450" s="315" t="s">
        <v>3047</v>
      </c>
      <c r="F3450" s="169">
        <v>38231</v>
      </c>
      <c r="G3450" s="170"/>
      <c r="H3450" s="170">
        <v>4</v>
      </c>
      <c r="I3450" s="746">
        <f>TIME(1,42,23)</f>
        <v>7.1099537037037031E-2</v>
      </c>
      <c r="J3450" s="899" t="s">
        <v>4706</v>
      </c>
      <c r="K3450" s="167" t="s">
        <v>3236</v>
      </c>
      <c r="L3450" s="167" t="s">
        <v>7375</v>
      </c>
      <c r="M3450" s="167"/>
      <c r="N3450" s="167"/>
      <c r="O3450" s="167" t="s">
        <v>2909</v>
      </c>
      <c r="P3450" s="168"/>
      <c r="Q3450" s="167" t="s">
        <v>3947</v>
      </c>
      <c r="R3450" s="172" t="s">
        <v>3146</v>
      </c>
      <c r="S3450" s="388" t="s">
        <v>2612</v>
      </c>
      <c r="T3450" s="168" t="s">
        <v>2613</v>
      </c>
      <c r="U3450" s="168"/>
      <c r="V3450" s="168"/>
      <c r="W3450" s="312" t="s">
        <v>9306</v>
      </c>
      <c r="X3450" s="644" t="s">
        <v>15414</v>
      </c>
      <c r="Y3450" s="352" t="s">
        <v>5398</v>
      </c>
      <c r="Z3450" s="353">
        <v>189</v>
      </c>
      <c r="AA3450" s="353">
        <v>6</v>
      </c>
      <c r="AB3450" s="31">
        <f t="shared" ca="1" si="82"/>
        <v>5.6544533469139124E-2</v>
      </c>
      <c r="AC3450" s="810"/>
      <c r="AD3450" s="811" t="s">
        <v>461</v>
      </c>
      <c r="AE3450" s="940"/>
      <c r="AF3450" s="920">
        <f>IF(X3450=X3449,AF3449,0)+IF(ISNUMBER(I3450),IF(I3450&lt;1,I3450,I3450*VLOOKUP(J3450,Summary!$H$2:$I$9,2)),VLOOKUP(J3450,Summary!$J$2:$K$9,2)*IF(ISNUMBER(H3450),H3450,1))</f>
        <v>0.39740740740740743</v>
      </c>
      <c r="AG3450" s="287">
        <v>3449</v>
      </c>
      <c r="AH3450" s="94"/>
      <c r="AI3450" s="94"/>
      <c r="AJ3450" s="2"/>
    </row>
    <row r="3451" spans="1:36" s="2" customFormat="1" ht="12" customHeight="1" x14ac:dyDescent="0.25">
      <c r="A3451" s="573" t="s">
        <v>5304</v>
      </c>
      <c r="B3451" s="573">
        <v>8</v>
      </c>
      <c r="C3451" s="573">
        <v>62</v>
      </c>
      <c r="D3451" s="407" t="s">
        <v>3048</v>
      </c>
      <c r="E3451" s="315" t="s">
        <v>3049</v>
      </c>
      <c r="F3451" s="169">
        <v>38261</v>
      </c>
      <c r="G3451" s="170"/>
      <c r="H3451" s="170">
        <v>4</v>
      </c>
      <c r="I3451" s="746">
        <f>TIME(2,21,39)</f>
        <v>9.8368055555555556E-2</v>
      </c>
      <c r="J3451" s="899" t="s">
        <v>4706</v>
      </c>
      <c r="K3451" s="167" t="s">
        <v>3237</v>
      </c>
      <c r="L3451" s="167" t="s">
        <v>7375</v>
      </c>
      <c r="M3451" s="167"/>
      <c r="N3451" s="167"/>
      <c r="O3451" s="167" t="s">
        <v>2909</v>
      </c>
      <c r="P3451" s="168"/>
      <c r="Q3451" s="167" t="s">
        <v>3947</v>
      </c>
      <c r="R3451" s="172" t="s">
        <v>3146</v>
      </c>
      <c r="S3451" s="388" t="s">
        <v>2612</v>
      </c>
      <c r="T3451" s="168" t="s">
        <v>2613</v>
      </c>
      <c r="U3451" s="168"/>
      <c r="V3451" s="168"/>
      <c r="W3451" s="312" t="s">
        <v>9304</v>
      </c>
      <c r="X3451" s="644" t="s">
        <v>15414</v>
      </c>
      <c r="Y3451" s="352" t="s">
        <v>5398</v>
      </c>
      <c r="Z3451" s="353">
        <v>237</v>
      </c>
      <c r="AA3451" s="353">
        <v>5.5</v>
      </c>
      <c r="AB3451" s="31">
        <f t="shared" ca="1" si="82"/>
        <v>0.64316683302515065</v>
      </c>
      <c r="AC3451" s="810"/>
      <c r="AD3451" s="811" t="s">
        <v>461</v>
      </c>
      <c r="AE3451" s="940"/>
      <c r="AF3451" s="920">
        <f>IF(X3451=X3450,AF3450,0)+IF(ISNUMBER(I3451),IF(I3451&lt;1,I3451,I3451*VLOOKUP(J3451,Summary!$H$2:$I$9,2)),VLOOKUP(J3451,Summary!$J$2:$K$9,2)*IF(ISNUMBER(H3451),H3451,1))</f>
        <v>0.49577546296296299</v>
      </c>
      <c r="AG3451" s="287">
        <v>3450</v>
      </c>
      <c r="AH3451" s="94"/>
      <c r="AI3451" s="94"/>
    </row>
    <row r="3452" spans="1:36" s="2" customFormat="1" ht="12" customHeight="1" x14ac:dyDescent="0.25">
      <c r="A3452" s="573" t="s">
        <v>5304</v>
      </c>
      <c r="B3452" s="573">
        <v>8</v>
      </c>
      <c r="C3452" s="573">
        <v>63</v>
      </c>
      <c r="D3452" s="407" t="s">
        <v>3050</v>
      </c>
      <c r="E3452" s="315" t="s">
        <v>3051</v>
      </c>
      <c r="F3452" s="169">
        <v>38292</v>
      </c>
      <c r="G3452" s="170"/>
      <c r="H3452" s="170">
        <v>4</v>
      </c>
      <c r="I3452" s="746">
        <f>TIME(1,45,53)</f>
        <v>7.3530092592592591E-2</v>
      </c>
      <c r="J3452" s="899" t="s">
        <v>4706</v>
      </c>
      <c r="K3452" s="167" t="s">
        <v>3238</v>
      </c>
      <c r="L3452" s="167" t="s">
        <v>7375</v>
      </c>
      <c r="M3452" s="167"/>
      <c r="N3452" s="167"/>
      <c r="O3452" s="167" t="s">
        <v>2909</v>
      </c>
      <c r="P3452" s="168"/>
      <c r="Q3452" s="167" t="s">
        <v>3947</v>
      </c>
      <c r="R3452" s="172" t="s">
        <v>3146</v>
      </c>
      <c r="S3452" s="388" t="s">
        <v>2612</v>
      </c>
      <c r="T3452" s="168" t="s">
        <v>2613</v>
      </c>
      <c r="U3452" s="168"/>
      <c r="V3452" s="168"/>
      <c r="W3452" s="312" t="s">
        <v>9305</v>
      </c>
      <c r="X3452" s="644" t="s">
        <v>15414</v>
      </c>
      <c r="Y3452" s="352" t="s">
        <v>5398</v>
      </c>
      <c r="Z3452" s="353">
        <v>60</v>
      </c>
      <c r="AA3452" s="353">
        <v>8</v>
      </c>
      <c r="AB3452" s="31">
        <f t="shared" ca="1" si="82"/>
        <v>0.92766563913940181</v>
      </c>
      <c r="AC3452" s="810"/>
      <c r="AD3452" s="811" t="s">
        <v>461</v>
      </c>
      <c r="AE3452" s="940"/>
      <c r="AF3452" s="920">
        <f>IF(X3452=X3451,AF3451,0)+IF(ISNUMBER(I3452),IF(I3452&lt;1,I3452,I3452*VLOOKUP(J3452,Summary!$H$2:$I$9,2)),VLOOKUP(J3452,Summary!$J$2:$K$9,2)*IF(ISNUMBER(H3452),H3452,1))</f>
        <v>0.56930555555555562</v>
      </c>
      <c r="AG3452" s="287">
        <v>3451</v>
      </c>
      <c r="AH3452" s="94"/>
      <c r="AI3452" s="94"/>
    </row>
    <row r="3453" spans="1:36" s="2" customFormat="1" ht="12" customHeight="1" x14ac:dyDescent="0.25">
      <c r="A3453" s="573" t="s">
        <v>5304</v>
      </c>
      <c r="B3453" s="573">
        <v>8</v>
      </c>
      <c r="C3453" s="573">
        <v>64</v>
      </c>
      <c r="D3453" s="407" t="s">
        <v>3052</v>
      </c>
      <c r="E3453" s="315" t="s">
        <v>3053</v>
      </c>
      <c r="F3453" s="169">
        <v>38322</v>
      </c>
      <c r="G3453" s="170"/>
      <c r="H3453" s="170">
        <v>6</v>
      </c>
      <c r="I3453" s="746">
        <f>TIME(1,5,1)+TIME(0,56,40)+TIME(1,6,43)</f>
        <v>0.13083333333333333</v>
      </c>
      <c r="J3453" s="899" t="s">
        <v>4706</v>
      </c>
      <c r="K3453" s="167" t="s">
        <v>3239</v>
      </c>
      <c r="L3453" s="167" t="s">
        <v>7375</v>
      </c>
      <c r="M3453" s="167"/>
      <c r="N3453" s="167"/>
      <c r="O3453" s="167" t="s">
        <v>2909</v>
      </c>
      <c r="P3453" s="168"/>
      <c r="Q3453" s="167" t="s">
        <v>3947</v>
      </c>
      <c r="R3453" s="172" t="s">
        <v>3146</v>
      </c>
      <c r="S3453" s="388" t="s">
        <v>2612</v>
      </c>
      <c r="T3453" s="168" t="s">
        <v>2613</v>
      </c>
      <c r="U3453" s="168"/>
      <c r="V3453" s="168"/>
      <c r="W3453" s="312" t="s">
        <v>9307</v>
      </c>
      <c r="X3453" s="644" t="s">
        <v>15414</v>
      </c>
      <c r="Y3453" s="352" t="s">
        <v>5398</v>
      </c>
      <c r="Z3453" s="353">
        <v>633</v>
      </c>
      <c r="AA3453" s="353">
        <v>3</v>
      </c>
      <c r="AB3453" s="31">
        <f t="shared" ca="1" si="82"/>
        <v>0.39766115310299011</v>
      </c>
      <c r="AC3453" s="810"/>
      <c r="AD3453" s="811" t="s">
        <v>461</v>
      </c>
      <c r="AE3453" s="940"/>
      <c r="AF3453" s="920">
        <f>IF(X3453=X3452,AF3452,0)+IF(ISNUMBER(I3453),IF(I3453&lt;1,I3453,I3453*VLOOKUP(J3453,Summary!$H$2:$I$9,2)),VLOOKUP(J3453,Summary!$J$2:$K$9,2)*IF(ISNUMBER(H3453),H3453,1))</f>
        <v>0.70013888888888898</v>
      </c>
      <c r="AG3453" s="287">
        <v>3452</v>
      </c>
      <c r="AH3453" s="94"/>
      <c r="AI3453" s="94"/>
    </row>
    <row r="3454" spans="1:36" s="22" customFormat="1" ht="12" customHeight="1" x14ac:dyDescent="0.2">
      <c r="A3454" s="405" t="s">
        <v>7425</v>
      </c>
      <c r="B3454" s="406" t="s">
        <v>2525</v>
      </c>
      <c r="C3454" s="405">
        <v>15</v>
      </c>
      <c r="D3454" s="407" t="s">
        <v>2665</v>
      </c>
      <c r="E3454" s="315" t="s">
        <v>7332</v>
      </c>
      <c r="F3454" s="169">
        <v>40603</v>
      </c>
      <c r="G3454" s="170"/>
      <c r="H3454" s="170">
        <v>1</v>
      </c>
      <c r="I3454" s="746">
        <f>TIME(0,79,0)</f>
        <v>5.486111111111111E-2</v>
      </c>
      <c r="J3454" s="899" t="s">
        <v>4706</v>
      </c>
      <c r="K3454" s="167" t="s">
        <v>3237</v>
      </c>
      <c r="L3454" s="167" t="s">
        <v>7375</v>
      </c>
      <c r="M3454" s="167"/>
      <c r="N3454" s="167"/>
      <c r="O3454" s="167" t="s">
        <v>2909</v>
      </c>
      <c r="P3454" s="168" t="s">
        <v>9145</v>
      </c>
      <c r="Q3454" s="167" t="s">
        <v>3947</v>
      </c>
      <c r="R3454" s="172" t="s">
        <v>2237</v>
      </c>
      <c r="S3454" s="388" t="s">
        <v>2608</v>
      </c>
      <c r="T3454" s="168" t="s">
        <v>2610</v>
      </c>
      <c r="U3454" s="168" t="s">
        <v>6335</v>
      </c>
      <c r="V3454" s="168" t="s">
        <v>6335</v>
      </c>
      <c r="W3454" s="315" t="s">
        <v>12061</v>
      </c>
      <c r="X3454" s="647" t="s">
        <v>12490</v>
      </c>
      <c r="Y3454" s="352" t="s">
        <v>5398</v>
      </c>
      <c r="Z3454" s="353">
        <v>139</v>
      </c>
      <c r="AA3454" s="353">
        <v>7</v>
      </c>
      <c r="AB3454" s="31">
        <f t="shared" ca="1" si="82"/>
        <v>0.62557037735870846</v>
      </c>
      <c r="AC3454" s="810"/>
      <c r="AD3454" s="811" t="s">
        <v>461</v>
      </c>
      <c r="AE3454" s="940"/>
      <c r="AF3454" s="920">
        <f>IF(X3454=X3453,AF3453,0)+IF(ISNUMBER(I3454),IF(I3454&lt;1,I3454,I3454*VLOOKUP(J3454,Summary!$H$2:$I$9,2)),VLOOKUP(J3454,Summary!$J$2:$K$9,2)*IF(ISNUMBER(H3454),H3454,1))</f>
        <v>5.486111111111111E-2</v>
      </c>
      <c r="AG3454" s="287">
        <v>3453</v>
      </c>
      <c r="AH3454" s="94"/>
      <c r="AI3454" s="94"/>
    </row>
    <row r="3455" spans="1:36" s="2" customFormat="1" ht="12" customHeight="1" x14ac:dyDescent="0.25">
      <c r="A3455" s="405" t="s">
        <v>7425</v>
      </c>
      <c r="B3455" s="406" t="s">
        <v>2525</v>
      </c>
      <c r="C3455" s="405">
        <v>16</v>
      </c>
      <c r="D3455" s="407" t="s">
        <v>2666</v>
      </c>
      <c r="E3455" s="315" t="s">
        <v>7417</v>
      </c>
      <c r="F3455" s="169">
        <v>40603</v>
      </c>
      <c r="G3455" s="170"/>
      <c r="H3455" s="170">
        <v>1</v>
      </c>
      <c r="I3455" s="746">
        <f>TIME(0,79,0)</f>
        <v>5.486111111111111E-2</v>
      </c>
      <c r="J3455" s="899" t="s">
        <v>4706</v>
      </c>
      <c r="K3455" s="167" t="s">
        <v>543</v>
      </c>
      <c r="L3455" s="167" t="s">
        <v>7375</v>
      </c>
      <c r="M3455" s="167"/>
      <c r="N3455" s="167"/>
      <c r="O3455" s="167" t="s">
        <v>2909</v>
      </c>
      <c r="P3455" s="168" t="s">
        <v>9145</v>
      </c>
      <c r="Q3455" s="167" t="s">
        <v>3947</v>
      </c>
      <c r="R3455" s="172" t="s">
        <v>2237</v>
      </c>
      <c r="S3455" s="388" t="s">
        <v>2608</v>
      </c>
      <c r="T3455" s="168" t="s">
        <v>2610</v>
      </c>
      <c r="U3455" s="168" t="s">
        <v>6335</v>
      </c>
      <c r="V3455" s="168" t="s">
        <v>6335</v>
      </c>
      <c r="W3455" s="315" t="s">
        <v>12062</v>
      </c>
      <c r="X3455" s="647" t="s">
        <v>12490</v>
      </c>
      <c r="Y3455" s="352" t="s">
        <v>5398</v>
      </c>
      <c r="Z3455" s="353">
        <v>163</v>
      </c>
      <c r="AA3455" s="353">
        <v>6.5</v>
      </c>
      <c r="AB3455" s="31">
        <f t="shared" ca="1" si="82"/>
        <v>0.95040562313544019</v>
      </c>
      <c r="AC3455" s="810"/>
      <c r="AD3455" s="811" t="s">
        <v>461</v>
      </c>
      <c r="AE3455" s="940"/>
      <c r="AF3455" s="920">
        <f>IF(X3455=X3454,AF3454,0)+IF(ISNUMBER(I3455),IF(I3455&lt;1,I3455,I3455*VLOOKUP(J3455,Summary!$H$2:$I$9,2)),VLOOKUP(J3455,Summary!$J$2:$K$9,2)*IF(ISNUMBER(H3455),H3455,1))</f>
        <v>0.10972222222222222</v>
      </c>
      <c r="AG3455" s="287">
        <v>3454</v>
      </c>
      <c r="AH3455" s="94"/>
      <c r="AI3455" s="94"/>
      <c r="AJ3455" s="3"/>
    </row>
    <row r="3456" spans="1:36" s="22" customFormat="1" ht="12" customHeight="1" x14ac:dyDescent="0.25">
      <c r="A3456" s="405" t="s">
        <v>7425</v>
      </c>
      <c r="B3456" s="406" t="s">
        <v>2525</v>
      </c>
      <c r="C3456" s="405">
        <v>17</v>
      </c>
      <c r="D3456" s="407" t="s">
        <v>2667</v>
      </c>
      <c r="E3456" s="315" t="s">
        <v>7418</v>
      </c>
      <c r="F3456" s="169">
        <v>40603</v>
      </c>
      <c r="G3456" s="170"/>
      <c r="H3456" s="170">
        <v>1</v>
      </c>
      <c r="I3456" s="746">
        <f>TIME(0,79,0)</f>
        <v>5.486111111111111E-2</v>
      </c>
      <c r="J3456" s="899" t="s">
        <v>4706</v>
      </c>
      <c r="K3456" s="167" t="s">
        <v>7420</v>
      </c>
      <c r="L3456" s="167" t="s">
        <v>7375</v>
      </c>
      <c r="M3456" s="167"/>
      <c r="N3456" s="167"/>
      <c r="O3456" s="167" t="s">
        <v>2909</v>
      </c>
      <c r="P3456" s="168" t="s">
        <v>9145</v>
      </c>
      <c r="Q3456" s="167" t="s">
        <v>3947</v>
      </c>
      <c r="R3456" s="172" t="s">
        <v>2237</v>
      </c>
      <c r="S3456" s="388" t="s">
        <v>2608</v>
      </c>
      <c r="T3456" s="168" t="s">
        <v>2610</v>
      </c>
      <c r="U3456" s="168" t="s">
        <v>6335</v>
      </c>
      <c r="V3456" s="168" t="s">
        <v>6335</v>
      </c>
      <c r="W3456" s="315" t="s">
        <v>12063</v>
      </c>
      <c r="X3456" s="647" t="s">
        <v>12490</v>
      </c>
      <c r="Y3456" s="352" t="s">
        <v>5398</v>
      </c>
      <c r="Z3456" s="353">
        <v>147</v>
      </c>
      <c r="AA3456" s="353">
        <v>6.5</v>
      </c>
      <c r="AB3456" s="31">
        <f t="shared" ca="1" si="82"/>
        <v>0.43934922167652812</v>
      </c>
      <c r="AC3456" s="810"/>
      <c r="AD3456" s="811" t="s">
        <v>461</v>
      </c>
      <c r="AE3456" s="940"/>
      <c r="AF3456" s="920">
        <f>IF(X3456=X3455,AF3455,0)+IF(ISNUMBER(I3456),IF(I3456&lt;1,I3456,I3456*VLOOKUP(J3456,Summary!$H$2:$I$9,2)),VLOOKUP(J3456,Summary!$J$2:$K$9,2)*IF(ISNUMBER(H3456),H3456,1))</f>
        <v>0.16458333333333333</v>
      </c>
      <c r="AG3456" s="287">
        <v>3455</v>
      </c>
      <c r="AH3456" s="94"/>
      <c r="AI3456" s="94"/>
      <c r="AJ3456" s="43"/>
    </row>
    <row r="3457" spans="1:36" s="29" customFormat="1" ht="12" customHeight="1" x14ac:dyDescent="0.25">
      <c r="A3457" s="405" t="s">
        <v>7425</v>
      </c>
      <c r="B3457" s="406" t="s">
        <v>2525</v>
      </c>
      <c r="C3457" s="405">
        <v>18</v>
      </c>
      <c r="D3457" s="407" t="s">
        <v>2668</v>
      </c>
      <c r="E3457" s="315" t="s">
        <v>7419</v>
      </c>
      <c r="F3457" s="169">
        <v>40603</v>
      </c>
      <c r="G3457" s="170"/>
      <c r="H3457" s="170">
        <v>1</v>
      </c>
      <c r="I3457" s="746">
        <f>TIME(0,79,0)</f>
        <v>5.486111111111111E-2</v>
      </c>
      <c r="J3457" s="899" t="s">
        <v>4706</v>
      </c>
      <c r="K3457" s="167" t="s">
        <v>7421</v>
      </c>
      <c r="L3457" s="167" t="s">
        <v>7375</v>
      </c>
      <c r="M3457" s="167"/>
      <c r="N3457" s="167"/>
      <c r="O3457" s="167" t="s">
        <v>2909</v>
      </c>
      <c r="P3457" s="168" t="s">
        <v>9145</v>
      </c>
      <c r="Q3457" s="167" t="s">
        <v>3947</v>
      </c>
      <c r="R3457" s="172" t="s">
        <v>2237</v>
      </c>
      <c r="S3457" s="388" t="s">
        <v>2608</v>
      </c>
      <c r="T3457" s="168" t="s">
        <v>2610</v>
      </c>
      <c r="U3457" s="168" t="s">
        <v>6335</v>
      </c>
      <c r="V3457" s="168" t="s">
        <v>6335</v>
      </c>
      <c r="W3457" s="315" t="s">
        <v>12064</v>
      </c>
      <c r="X3457" s="647" t="s">
        <v>12490</v>
      </c>
      <c r="Y3457" s="352" t="s">
        <v>5398</v>
      </c>
      <c r="Z3457" s="353">
        <v>406</v>
      </c>
      <c r="AA3457" s="353">
        <v>4.5</v>
      </c>
      <c r="AB3457" s="31">
        <f t="shared" ca="1" si="82"/>
        <v>0.79251880424339127</v>
      </c>
      <c r="AC3457" s="810"/>
      <c r="AD3457" s="811" t="s">
        <v>461</v>
      </c>
      <c r="AE3457" s="940"/>
      <c r="AF3457" s="920">
        <f>IF(X3457=X3456,AF3456,0)+IF(ISNUMBER(I3457),IF(I3457&lt;1,I3457,I3457*VLOOKUP(J3457,Summary!$H$2:$I$9,2)),VLOOKUP(J3457,Summary!$J$2:$K$9,2)*IF(ISNUMBER(H3457),H3457,1))</f>
        <v>0.21944444444444444</v>
      </c>
      <c r="AG3457" s="287">
        <v>3456</v>
      </c>
      <c r="AH3457" s="94"/>
      <c r="AI3457" s="94"/>
      <c r="AJ3457" s="43"/>
    </row>
    <row r="3458" spans="1:36" s="2" customFormat="1" ht="12" customHeight="1" x14ac:dyDescent="0.25">
      <c r="A3458" s="405" t="s">
        <v>9476</v>
      </c>
      <c r="B3458" s="406" t="s">
        <v>2525</v>
      </c>
      <c r="C3458" s="405">
        <v>19</v>
      </c>
      <c r="D3458" s="407" t="s">
        <v>9477</v>
      </c>
      <c r="E3458" s="315" t="s">
        <v>9478</v>
      </c>
      <c r="F3458" s="169">
        <v>41306</v>
      </c>
      <c r="G3458" s="170"/>
      <c r="H3458" s="170">
        <v>1</v>
      </c>
      <c r="I3458" s="746">
        <f>TIME(1,1,22)</f>
        <v>4.2615740740740739E-2</v>
      </c>
      <c r="J3458" s="899" t="s">
        <v>4706</v>
      </c>
      <c r="K3458" s="167" t="s">
        <v>9479</v>
      </c>
      <c r="L3458" s="167" t="s">
        <v>7375</v>
      </c>
      <c r="M3458" s="167"/>
      <c r="N3458" s="167"/>
      <c r="O3458" s="167" t="s">
        <v>7375</v>
      </c>
      <c r="P3458" s="168" t="s">
        <v>9480</v>
      </c>
      <c r="Q3458" s="167" t="s">
        <v>3947</v>
      </c>
      <c r="R3458" s="172" t="s">
        <v>2237</v>
      </c>
      <c r="S3458" s="388" t="s">
        <v>2608</v>
      </c>
      <c r="T3458" s="168" t="s">
        <v>2610</v>
      </c>
      <c r="U3458" s="168"/>
      <c r="V3458" s="168"/>
      <c r="W3458" s="315" t="s">
        <v>12065</v>
      </c>
      <c r="X3458" s="647" t="s">
        <v>12490</v>
      </c>
      <c r="Y3458" s="352" t="s">
        <v>5398</v>
      </c>
      <c r="Z3458" s="353">
        <v>436</v>
      </c>
      <c r="AA3458" s="353">
        <v>4.5</v>
      </c>
      <c r="AB3458" s="31">
        <f t="shared" ref="AB3458:AB3521" ca="1" si="83">RAND()</f>
        <v>0.45110425864519965</v>
      </c>
      <c r="AC3458" s="810"/>
      <c r="AD3458" s="811" t="s">
        <v>461</v>
      </c>
      <c r="AE3458" s="940"/>
      <c r="AF3458" s="920">
        <f>IF(X3458=X3457,AF3457,0)+IF(ISNUMBER(I3458),IF(I3458&lt;1,I3458,I3458*VLOOKUP(J3458,Summary!$H$2:$I$9,2)),VLOOKUP(J3458,Summary!$J$2:$K$9,2)*IF(ISNUMBER(H3458),H3458,1))</f>
        <v>0.2620601851851852</v>
      </c>
      <c r="AG3458" s="287">
        <v>3457</v>
      </c>
      <c r="AH3458" s="94"/>
      <c r="AI3458" s="94"/>
    </row>
    <row r="3459" spans="1:36" s="2" customFormat="1" ht="12" customHeight="1" x14ac:dyDescent="0.25">
      <c r="A3459" s="405" t="s">
        <v>9476</v>
      </c>
      <c r="B3459" s="406" t="s">
        <v>2525</v>
      </c>
      <c r="C3459" s="405">
        <v>20</v>
      </c>
      <c r="D3459" s="407" t="s">
        <v>9481</v>
      </c>
      <c r="E3459" s="315" t="s">
        <v>9483</v>
      </c>
      <c r="F3459" s="169">
        <v>41306</v>
      </c>
      <c r="G3459" s="170"/>
      <c r="H3459" s="170">
        <v>1</v>
      </c>
      <c r="I3459" s="746">
        <f>TIME(0,59,11)</f>
        <v>4.1099537037037039E-2</v>
      </c>
      <c r="J3459" s="899" t="s">
        <v>4706</v>
      </c>
      <c r="K3459" s="167" t="s">
        <v>7797</v>
      </c>
      <c r="L3459" s="167" t="s">
        <v>7375</v>
      </c>
      <c r="M3459" s="167"/>
      <c r="N3459" s="167"/>
      <c r="O3459" s="167" t="s">
        <v>7375</v>
      </c>
      <c r="P3459" s="168" t="s">
        <v>9480</v>
      </c>
      <c r="Q3459" s="167" t="s">
        <v>3947</v>
      </c>
      <c r="R3459" s="172" t="s">
        <v>2237</v>
      </c>
      <c r="S3459" s="388" t="s">
        <v>2608</v>
      </c>
      <c r="T3459" s="168" t="s">
        <v>2610</v>
      </c>
      <c r="U3459" s="168"/>
      <c r="V3459" s="168"/>
      <c r="W3459" s="315" t="s">
        <v>5678</v>
      </c>
      <c r="X3459" s="647" t="s">
        <v>12490</v>
      </c>
      <c r="Y3459" s="352" t="s">
        <v>5398</v>
      </c>
      <c r="Z3459" s="353">
        <v>411</v>
      </c>
      <c r="AA3459" s="353">
        <v>4.5</v>
      </c>
      <c r="AB3459" s="31">
        <f t="shared" ca="1" si="83"/>
        <v>0.39396107286530135</v>
      </c>
      <c r="AC3459" s="810"/>
      <c r="AD3459" s="811" t="s">
        <v>461</v>
      </c>
      <c r="AE3459" s="940"/>
      <c r="AF3459" s="920">
        <f>IF(X3459=X3458,AF3458,0)+IF(ISNUMBER(I3459),IF(I3459&lt;1,I3459,I3459*VLOOKUP(J3459,Summary!$H$2:$I$9,2)),VLOOKUP(J3459,Summary!$J$2:$K$9,2)*IF(ISNUMBER(H3459),H3459,1))</f>
        <v>0.30315972222222226</v>
      </c>
      <c r="AG3459" s="287">
        <v>3458</v>
      </c>
      <c r="AH3459" s="94"/>
      <c r="AI3459" s="94"/>
    </row>
    <row r="3460" spans="1:36" s="2" customFormat="1" ht="12" customHeight="1" x14ac:dyDescent="0.25">
      <c r="A3460" s="405" t="s">
        <v>9476</v>
      </c>
      <c r="B3460" s="406" t="s">
        <v>2525</v>
      </c>
      <c r="C3460" s="405">
        <v>21</v>
      </c>
      <c r="D3460" s="407" t="s">
        <v>9482</v>
      </c>
      <c r="E3460" s="315" t="s">
        <v>9484</v>
      </c>
      <c r="F3460" s="169">
        <v>41306</v>
      </c>
      <c r="G3460" s="170"/>
      <c r="H3460" s="170">
        <v>1</v>
      </c>
      <c r="I3460" s="746">
        <f>TIME(1,11,22)</f>
        <v>4.9560185185185186E-2</v>
      </c>
      <c r="J3460" s="899" t="s">
        <v>4706</v>
      </c>
      <c r="K3460" s="167" t="s">
        <v>4146</v>
      </c>
      <c r="L3460" s="167" t="s">
        <v>7375</v>
      </c>
      <c r="M3460" s="167"/>
      <c r="N3460" s="167"/>
      <c r="O3460" s="167" t="s">
        <v>7375</v>
      </c>
      <c r="P3460" s="168" t="s">
        <v>9480</v>
      </c>
      <c r="Q3460" s="167" t="s">
        <v>3947</v>
      </c>
      <c r="R3460" s="172" t="s">
        <v>2237</v>
      </c>
      <c r="S3460" s="388" t="s">
        <v>2608</v>
      </c>
      <c r="T3460" s="168" t="s">
        <v>2610</v>
      </c>
      <c r="U3460" s="168"/>
      <c r="V3460" s="168"/>
      <c r="W3460" s="315" t="s">
        <v>12066</v>
      </c>
      <c r="X3460" s="647" t="s">
        <v>12490</v>
      </c>
      <c r="Y3460" s="352" t="s">
        <v>5398</v>
      </c>
      <c r="Z3460" s="353">
        <v>400</v>
      </c>
      <c r="AA3460" s="353">
        <v>5</v>
      </c>
      <c r="AB3460" s="31">
        <f t="shared" ca="1" si="83"/>
        <v>5.9564153178898183E-2</v>
      </c>
      <c r="AC3460" s="810"/>
      <c r="AD3460" s="811" t="s">
        <v>461</v>
      </c>
      <c r="AE3460" s="940"/>
      <c r="AF3460" s="920">
        <f>IF(X3460=X3459,AF3459,0)+IF(ISNUMBER(I3460),IF(I3460&lt;1,I3460,I3460*VLOOKUP(J3460,Summary!$H$2:$I$9,2)),VLOOKUP(J3460,Summary!$J$2:$K$9,2)*IF(ISNUMBER(H3460),H3460,1))</f>
        <v>0.35271990740740744</v>
      </c>
      <c r="AG3460" s="287">
        <v>3459</v>
      </c>
      <c r="AH3460" s="94"/>
      <c r="AI3460" s="94"/>
    </row>
    <row r="3461" spans="1:36" s="43" customFormat="1" ht="12" customHeight="1" x14ac:dyDescent="0.25">
      <c r="A3461" s="405" t="s">
        <v>9485</v>
      </c>
      <c r="B3461" s="406" t="s">
        <v>2525</v>
      </c>
      <c r="C3461" s="405">
        <v>22</v>
      </c>
      <c r="D3461" s="407" t="s">
        <v>9486</v>
      </c>
      <c r="E3461" s="315" t="s">
        <v>9487</v>
      </c>
      <c r="F3461" s="169">
        <v>41548</v>
      </c>
      <c r="G3461" s="170"/>
      <c r="H3461" s="170">
        <v>1</v>
      </c>
      <c r="I3461" s="746">
        <f>TIME(1,11,27)</f>
        <v>4.9618055555555561E-2</v>
      </c>
      <c r="J3461" s="899" t="s">
        <v>4706</v>
      </c>
      <c r="K3461" s="167" t="s">
        <v>179</v>
      </c>
      <c r="L3461" s="167" t="s">
        <v>7375</v>
      </c>
      <c r="M3461" s="167"/>
      <c r="N3461" s="167"/>
      <c r="O3461" s="167" t="s">
        <v>7375</v>
      </c>
      <c r="P3461" s="168" t="s">
        <v>9488</v>
      </c>
      <c r="Q3461" s="167" t="s">
        <v>3947</v>
      </c>
      <c r="R3461" s="172" t="s">
        <v>2237</v>
      </c>
      <c r="S3461" s="388" t="s">
        <v>2608</v>
      </c>
      <c r="T3461" s="168" t="s">
        <v>2610</v>
      </c>
      <c r="U3461" s="168"/>
      <c r="V3461" s="168"/>
      <c r="W3461" s="315" t="s">
        <v>12067</v>
      </c>
      <c r="X3461" s="647" t="s">
        <v>12490</v>
      </c>
      <c r="Y3461" s="352" t="s">
        <v>5643</v>
      </c>
      <c r="Z3461" s="353">
        <v>314</v>
      </c>
      <c r="AA3461" s="353">
        <v>5.5</v>
      </c>
      <c r="AB3461" s="31">
        <f t="shared" ca="1" si="83"/>
        <v>0.973055589219607</v>
      </c>
      <c r="AC3461" s="810"/>
      <c r="AD3461" s="811" t="s">
        <v>461</v>
      </c>
      <c r="AE3461" s="940"/>
      <c r="AF3461" s="920">
        <f>IF(X3461=X3460,AF3460,0)+IF(ISNUMBER(I3461),IF(I3461&lt;1,I3461,I3461*VLOOKUP(J3461,Summary!$H$2:$I$9,2)),VLOOKUP(J3461,Summary!$J$2:$K$9,2)*IF(ISNUMBER(H3461),H3461,1))</f>
        <v>0.40233796296296298</v>
      </c>
      <c r="AG3461" s="287">
        <v>3460</v>
      </c>
      <c r="AH3461" s="94"/>
      <c r="AI3461" s="94"/>
      <c r="AJ3461" s="22"/>
    </row>
    <row r="3462" spans="1:36" s="3" customFormat="1" ht="12" customHeight="1" x14ac:dyDescent="0.25">
      <c r="A3462" s="405" t="s">
        <v>9485</v>
      </c>
      <c r="B3462" s="406" t="s">
        <v>2525</v>
      </c>
      <c r="C3462" s="405">
        <v>23</v>
      </c>
      <c r="D3462" s="407" t="s">
        <v>11127</v>
      </c>
      <c r="E3462" s="315" t="s">
        <v>9489</v>
      </c>
      <c r="F3462" s="169">
        <v>41548</v>
      </c>
      <c r="G3462" s="170"/>
      <c r="H3462" s="170">
        <v>1</v>
      </c>
      <c r="I3462" s="746">
        <f>TIME(1,12,39)</f>
        <v>5.0451388888888893E-2</v>
      </c>
      <c r="J3462" s="899" t="s">
        <v>4706</v>
      </c>
      <c r="K3462" s="167" t="s">
        <v>1643</v>
      </c>
      <c r="L3462" s="167" t="s">
        <v>7375</v>
      </c>
      <c r="M3462" s="167"/>
      <c r="N3462" s="167"/>
      <c r="O3462" s="167" t="s">
        <v>7375</v>
      </c>
      <c r="P3462" s="168" t="s">
        <v>9488</v>
      </c>
      <c r="Q3462" s="167" t="s">
        <v>3947</v>
      </c>
      <c r="R3462" s="172" t="s">
        <v>2237</v>
      </c>
      <c r="S3462" s="388" t="s">
        <v>2608</v>
      </c>
      <c r="T3462" s="168" t="s">
        <v>2610</v>
      </c>
      <c r="U3462" s="168" t="s">
        <v>9490</v>
      </c>
      <c r="V3462" s="168"/>
      <c r="W3462" s="315" t="s">
        <v>12068</v>
      </c>
      <c r="X3462" s="647" t="s">
        <v>12490</v>
      </c>
      <c r="Y3462" s="352" t="s">
        <v>5643</v>
      </c>
      <c r="Z3462" s="353">
        <v>469</v>
      </c>
      <c r="AA3462" s="353">
        <v>4.5</v>
      </c>
      <c r="AB3462" s="31">
        <f t="shared" ca="1" si="83"/>
        <v>0.24245706431978298</v>
      </c>
      <c r="AC3462" s="810"/>
      <c r="AD3462" s="811" t="s">
        <v>461</v>
      </c>
      <c r="AE3462" s="940"/>
      <c r="AF3462" s="920">
        <f>IF(X3462=X3461,AF3461,0)+IF(ISNUMBER(I3462),IF(I3462&lt;1,I3462,I3462*VLOOKUP(J3462,Summary!$H$2:$I$9,2)),VLOOKUP(J3462,Summary!$J$2:$K$9,2)*IF(ISNUMBER(H3462),H3462,1))</f>
        <v>0.45278935185185187</v>
      </c>
      <c r="AG3462" s="287">
        <v>3461</v>
      </c>
      <c r="AH3462" s="94"/>
      <c r="AI3462" s="94"/>
      <c r="AJ3462" s="22"/>
    </row>
    <row r="3463" spans="1:36" s="3" customFormat="1" ht="12" customHeight="1" x14ac:dyDescent="0.25">
      <c r="A3463" s="405" t="s">
        <v>9485</v>
      </c>
      <c r="B3463" s="406" t="s">
        <v>2525</v>
      </c>
      <c r="C3463" s="405">
        <v>24</v>
      </c>
      <c r="D3463" s="407" t="s">
        <v>11128</v>
      </c>
      <c r="E3463" s="315" t="s">
        <v>9491</v>
      </c>
      <c r="F3463" s="169">
        <v>41548</v>
      </c>
      <c r="G3463" s="170"/>
      <c r="H3463" s="170">
        <v>1</v>
      </c>
      <c r="I3463" s="746">
        <f>TIME(1,8,17)</f>
        <v>4.7418981481481486E-2</v>
      </c>
      <c r="J3463" s="899" t="s">
        <v>4706</v>
      </c>
      <c r="K3463" s="167" t="s">
        <v>179</v>
      </c>
      <c r="L3463" s="167" t="s">
        <v>7375</v>
      </c>
      <c r="M3463" s="167"/>
      <c r="N3463" s="167"/>
      <c r="O3463" s="167" t="s">
        <v>7375</v>
      </c>
      <c r="P3463" s="168" t="s">
        <v>9488</v>
      </c>
      <c r="Q3463" s="167" t="s">
        <v>3947</v>
      </c>
      <c r="R3463" s="172" t="s">
        <v>2237</v>
      </c>
      <c r="S3463" s="388" t="s">
        <v>2608</v>
      </c>
      <c r="T3463" s="168" t="s">
        <v>2610</v>
      </c>
      <c r="U3463" s="168" t="s">
        <v>9490</v>
      </c>
      <c r="V3463" s="168" t="s">
        <v>6335</v>
      </c>
      <c r="W3463" s="315" t="s">
        <v>848</v>
      </c>
      <c r="X3463" s="647" t="s">
        <v>12490</v>
      </c>
      <c r="Y3463" s="352" t="s">
        <v>5643</v>
      </c>
      <c r="Z3463" s="353">
        <v>509</v>
      </c>
      <c r="AA3463" s="353">
        <v>4</v>
      </c>
      <c r="AB3463" s="31">
        <f t="shared" ca="1" si="83"/>
        <v>0.25271571173543161</v>
      </c>
      <c r="AC3463" s="810"/>
      <c r="AD3463" s="811" t="s">
        <v>461</v>
      </c>
      <c r="AE3463" s="940"/>
      <c r="AF3463" s="920">
        <f>IF(X3463=X3462,AF3462,0)+IF(ISNUMBER(I3463),IF(I3463&lt;1,I3463,I3463*VLOOKUP(J3463,Summary!$H$2:$I$9,2)),VLOOKUP(J3463,Summary!$J$2:$K$9,2)*IF(ISNUMBER(H3463),H3463,1))</f>
        <v>0.50020833333333337</v>
      </c>
      <c r="AG3463" s="287">
        <v>3462</v>
      </c>
      <c r="AH3463" s="94"/>
      <c r="AI3463" s="94"/>
      <c r="AJ3463" s="22"/>
    </row>
    <row r="3464" spans="1:36" s="3" customFormat="1" ht="12" customHeight="1" x14ac:dyDescent="0.25">
      <c r="A3464" s="573" t="s">
        <v>5305</v>
      </c>
      <c r="B3464" s="573">
        <v>8</v>
      </c>
      <c r="C3464" s="573">
        <v>72</v>
      </c>
      <c r="D3464" s="407" t="s">
        <v>3054</v>
      </c>
      <c r="E3464" s="315" t="s">
        <v>3055</v>
      </c>
      <c r="F3464" s="169">
        <v>38565</v>
      </c>
      <c r="G3464" s="170"/>
      <c r="H3464" s="170">
        <v>4</v>
      </c>
      <c r="I3464" s="746">
        <f>TIME(1,42,54)</f>
        <v>7.1458333333333332E-2</v>
      </c>
      <c r="J3464" s="899" t="s">
        <v>4706</v>
      </c>
      <c r="K3464" s="167" t="s">
        <v>4425</v>
      </c>
      <c r="L3464" s="167" t="s">
        <v>7375</v>
      </c>
      <c r="M3464" s="167"/>
      <c r="N3464" s="167"/>
      <c r="O3464" s="167" t="s">
        <v>2909</v>
      </c>
      <c r="P3464" s="168"/>
      <c r="Q3464" s="167" t="s">
        <v>3947</v>
      </c>
      <c r="R3464" s="172" t="s">
        <v>3146</v>
      </c>
      <c r="S3464" s="388" t="s">
        <v>2612</v>
      </c>
      <c r="T3464" s="168" t="s">
        <v>2613</v>
      </c>
      <c r="U3464" s="168"/>
      <c r="V3464" s="168"/>
      <c r="W3464" s="312" t="s">
        <v>9320</v>
      </c>
      <c r="X3464" s="644" t="s">
        <v>12460</v>
      </c>
      <c r="Y3464" s="352" t="s">
        <v>6141</v>
      </c>
      <c r="Z3464" s="353">
        <v>324</v>
      </c>
      <c r="AA3464" s="353">
        <v>5</v>
      </c>
      <c r="AB3464" s="31">
        <f t="shared" ca="1" si="83"/>
        <v>0.70710339128761868</v>
      </c>
      <c r="AC3464" s="810"/>
      <c r="AD3464" s="811" t="s">
        <v>16422</v>
      </c>
      <c r="AE3464" s="940" t="s">
        <v>15062</v>
      </c>
      <c r="AF3464" s="920">
        <f>IF(X3464=X3463,AF3463,0)+IF(ISNUMBER(I3464),IF(I3464&lt;1,I3464,I3464*VLOOKUP(J3464,Summary!$H$2:$I$9,2)),VLOOKUP(J3464,Summary!$J$2:$K$9,2)*IF(ISNUMBER(H3464),H3464,1))</f>
        <v>7.1458333333333332E-2</v>
      </c>
      <c r="AG3464" s="287">
        <v>3463</v>
      </c>
      <c r="AH3464" s="94"/>
      <c r="AI3464" s="94"/>
      <c r="AJ3464" s="43"/>
    </row>
    <row r="3465" spans="1:36" s="3" customFormat="1" ht="12" customHeight="1" x14ac:dyDescent="0.25">
      <c r="A3465" s="571" t="s">
        <v>5305</v>
      </c>
      <c r="B3465" s="571">
        <v>8</v>
      </c>
      <c r="C3465" s="571">
        <v>16.170000000000002</v>
      </c>
      <c r="D3465" s="434" t="s">
        <v>2397</v>
      </c>
      <c r="E3465" s="324" t="s">
        <v>7491</v>
      </c>
      <c r="F3465" s="174">
        <v>38473</v>
      </c>
      <c r="G3465" s="174"/>
      <c r="H3465" s="176">
        <v>1</v>
      </c>
      <c r="I3465" s="176">
        <v>13</v>
      </c>
      <c r="J3465" s="900" t="s">
        <v>2755</v>
      </c>
      <c r="K3465" s="164" t="s">
        <v>5528</v>
      </c>
      <c r="L3465" s="164" t="s">
        <v>461</v>
      </c>
      <c r="M3465" s="164"/>
      <c r="N3465" s="164" t="s">
        <v>7381</v>
      </c>
      <c r="O3465" s="164"/>
      <c r="P3465" s="173" t="s">
        <v>1652</v>
      </c>
      <c r="Q3465" s="164" t="s">
        <v>3947</v>
      </c>
      <c r="R3465" s="179" t="s">
        <v>2723</v>
      </c>
      <c r="S3465" s="354" t="s">
        <v>2612</v>
      </c>
      <c r="T3465" s="173" t="s">
        <v>2613</v>
      </c>
      <c r="U3465" s="173"/>
      <c r="V3465" s="173"/>
      <c r="W3465" s="324" t="s">
        <v>7491</v>
      </c>
      <c r="X3465" s="656" t="s">
        <v>12460</v>
      </c>
      <c r="Y3465" s="363"/>
      <c r="Z3465" s="364"/>
      <c r="AA3465" s="364"/>
      <c r="AB3465" s="32">
        <f t="shared" ca="1" si="83"/>
        <v>0.33329557174828195</v>
      </c>
      <c r="AC3465" s="812"/>
      <c r="AD3465" s="763"/>
      <c r="AE3465" s="951"/>
      <c r="AF3465" s="921">
        <f>IF(X3465=X3464,AF3464,0)+IF(ISNUMBER(I3465),IF(I3465&lt;1,I3465,I3465*VLOOKUP(J3465,Summary!$H$2:$I$9,2)),VLOOKUP(J3465,Summary!$J$2:$K$9,2)*IF(ISNUMBER(H3465),H3465,1))</f>
        <v>8.0486111111111105E-2</v>
      </c>
      <c r="AG3465" s="288">
        <v>3464</v>
      </c>
      <c r="AH3465" s="94"/>
      <c r="AI3465" s="94"/>
      <c r="AJ3465" s="2"/>
    </row>
    <row r="3466" spans="1:36" s="44" customFormat="1" ht="12" customHeight="1" x14ac:dyDescent="0.25">
      <c r="A3466" s="571" t="s">
        <v>5305</v>
      </c>
      <c r="B3466" s="571">
        <v>8</v>
      </c>
      <c r="C3466" s="571">
        <v>16.010000000000002</v>
      </c>
      <c r="D3466" s="434" t="s">
        <v>2398</v>
      </c>
      <c r="E3466" s="324" t="s">
        <v>7492</v>
      </c>
      <c r="F3466" s="174">
        <v>38473</v>
      </c>
      <c r="G3466" s="174"/>
      <c r="H3466" s="176">
        <v>1</v>
      </c>
      <c r="I3466" s="176">
        <v>12</v>
      </c>
      <c r="J3466" s="900" t="s">
        <v>2755</v>
      </c>
      <c r="K3466" s="164" t="s">
        <v>5528</v>
      </c>
      <c r="L3466" s="164" t="s">
        <v>461</v>
      </c>
      <c r="M3466" s="164"/>
      <c r="N3466" s="164" t="s">
        <v>7381</v>
      </c>
      <c r="O3466" s="164"/>
      <c r="P3466" s="173" t="s">
        <v>1652</v>
      </c>
      <c r="Q3466" s="164" t="s">
        <v>3947</v>
      </c>
      <c r="R3466" s="179" t="s">
        <v>2723</v>
      </c>
      <c r="S3466" s="354" t="s">
        <v>2612</v>
      </c>
      <c r="T3466" s="173" t="s">
        <v>2613</v>
      </c>
      <c r="U3466" s="173"/>
      <c r="V3466" s="173"/>
      <c r="W3466" s="324" t="s">
        <v>7492</v>
      </c>
      <c r="X3466" s="656" t="s">
        <v>12460</v>
      </c>
      <c r="Y3466" s="363"/>
      <c r="Z3466" s="364"/>
      <c r="AA3466" s="364"/>
      <c r="AB3466" s="32">
        <f t="shared" ca="1" si="83"/>
        <v>0.57868693849550434</v>
      </c>
      <c r="AC3466" s="812"/>
      <c r="AD3466" s="763"/>
      <c r="AE3466" s="951"/>
      <c r="AF3466" s="921">
        <f>IF(X3466=X3465,AF3465,0)+IF(ISNUMBER(I3466),IF(I3466&lt;1,I3466,I3466*VLOOKUP(J3466,Summary!$H$2:$I$9,2)),VLOOKUP(J3466,Summary!$J$2:$K$9,2)*IF(ISNUMBER(H3466),H3466,1))</f>
        <v>8.8819444444444437E-2</v>
      </c>
      <c r="AG3466" s="288">
        <v>3465</v>
      </c>
      <c r="AH3466" s="94"/>
      <c r="AI3466" s="94"/>
      <c r="AJ3466" s="1"/>
    </row>
    <row r="3467" spans="1:36" s="3" customFormat="1" ht="12" customHeight="1" x14ac:dyDescent="0.25">
      <c r="A3467" s="573" t="s">
        <v>5305</v>
      </c>
      <c r="B3467" s="573">
        <v>8</v>
      </c>
      <c r="C3467" s="573">
        <v>75</v>
      </c>
      <c r="D3467" s="407" t="s">
        <v>3056</v>
      </c>
      <c r="E3467" s="315" t="s">
        <v>3057</v>
      </c>
      <c r="F3467" s="169">
        <v>38626</v>
      </c>
      <c r="G3467" s="170"/>
      <c r="H3467" s="170">
        <v>4</v>
      </c>
      <c r="I3467" s="746">
        <f>TIME(1,11,56)</f>
        <v>4.9953703703703702E-2</v>
      </c>
      <c r="J3467" s="899" t="s">
        <v>4706</v>
      </c>
      <c r="K3467" s="167" t="s">
        <v>3235</v>
      </c>
      <c r="L3467" s="167" t="s">
        <v>7757</v>
      </c>
      <c r="M3467" s="167"/>
      <c r="N3467" s="167"/>
      <c r="O3467" s="167" t="s">
        <v>2909</v>
      </c>
      <c r="P3467" s="168"/>
      <c r="Q3467" s="167" t="s">
        <v>3947</v>
      </c>
      <c r="R3467" s="172" t="s">
        <v>3146</v>
      </c>
      <c r="S3467" s="388" t="s">
        <v>2612</v>
      </c>
      <c r="T3467" s="168" t="s">
        <v>2613</v>
      </c>
      <c r="U3467" s="168"/>
      <c r="V3467" s="168"/>
      <c r="W3467" s="312" t="s">
        <v>9333</v>
      </c>
      <c r="X3467" s="644" t="s">
        <v>12460</v>
      </c>
      <c r="Y3467" s="352" t="s">
        <v>5398</v>
      </c>
      <c r="Z3467" s="353">
        <v>696</v>
      </c>
      <c r="AA3467" s="353">
        <v>1</v>
      </c>
      <c r="AB3467" s="31">
        <f t="shared" ca="1" si="83"/>
        <v>0.82419579242859908</v>
      </c>
      <c r="AC3467" s="810"/>
      <c r="AD3467" s="811" t="s">
        <v>16515</v>
      </c>
      <c r="AE3467" s="940" t="s">
        <v>12543</v>
      </c>
      <c r="AF3467" s="920">
        <f>IF(X3467=X3466,AF3466,0)+IF(ISNUMBER(I3467),IF(I3467&lt;1,I3467,I3467*VLOOKUP(J3467,Summary!$H$2:$I$9,2)),VLOOKUP(J3467,Summary!$J$2:$K$9,2)*IF(ISNUMBER(H3467),H3467,1))</f>
        <v>0.13877314814814815</v>
      </c>
      <c r="AG3467" s="287">
        <v>3466</v>
      </c>
      <c r="AH3467" s="94"/>
      <c r="AI3467" s="94"/>
      <c r="AJ3467" s="9"/>
    </row>
    <row r="3468" spans="1:36" s="29" customFormat="1" ht="12" customHeight="1" x14ac:dyDescent="0.25">
      <c r="A3468" s="573" t="s">
        <v>5305</v>
      </c>
      <c r="B3468" s="573">
        <v>8</v>
      </c>
      <c r="C3468" s="573">
        <v>77</v>
      </c>
      <c r="D3468" s="407" t="s">
        <v>3058</v>
      </c>
      <c r="E3468" s="315" t="s">
        <v>3059</v>
      </c>
      <c r="F3468" s="169">
        <v>38687</v>
      </c>
      <c r="G3468" s="170"/>
      <c r="H3468" s="170">
        <v>4</v>
      </c>
      <c r="I3468" s="746">
        <f>TIME(2,5,58)</f>
        <v>8.7476851851851847E-2</v>
      </c>
      <c r="J3468" s="899" t="s">
        <v>4706</v>
      </c>
      <c r="K3468" s="167" t="s">
        <v>3237</v>
      </c>
      <c r="L3468" s="167" t="s">
        <v>7375</v>
      </c>
      <c r="M3468" s="167"/>
      <c r="N3468" s="167"/>
      <c r="O3468" s="167" t="s">
        <v>2909</v>
      </c>
      <c r="P3468" s="168"/>
      <c r="Q3468" s="167" t="s">
        <v>3947</v>
      </c>
      <c r="R3468" s="172" t="s">
        <v>3146</v>
      </c>
      <c r="S3468" s="388" t="s">
        <v>2612</v>
      </c>
      <c r="T3468" s="168" t="s">
        <v>2613</v>
      </c>
      <c r="U3468" s="168"/>
      <c r="V3468" s="168"/>
      <c r="W3468" s="312" t="s">
        <v>15908</v>
      </c>
      <c r="X3468" s="644" t="s">
        <v>12460</v>
      </c>
      <c r="Y3468" s="352" t="s">
        <v>5398</v>
      </c>
      <c r="Z3468" s="353">
        <v>198</v>
      </c>
      <c r="AA3468" s="353">
        <v>6</v>
      </c>
      <c r="AB3468" s="31">
        <f t="shared" ca="1" si="83"/>
        <v>0.99235057542302751</v>
      </c>
      <c r="AC3468" s="810"/>
      <c r="AD3468" s="811" t="s">
        <v>16582</v>
      </c>
      <c r="AE3468" s="940"/>
      <c r="AF3468" s="920">
        <f>IF(X3468=X3467,AF3467,0)+IF(ISNUMBER(I3468),IF(I3468&lt;1,I3468,I3468*VLOOKUP(J3468,Summary!$H$2:$I$9,2)),VLOOKUP(J3468,Summary!$J$2:$K$9,2)*IF(ISNUMBER(H3468),H3468,1))</f>
        <v>0.22625000000000001</v>
      </c>
      <c r="AG3468" s="287">
        <v>3467</v>
      </c>
      <c r="AH3468" s="94"/>
      <c r="AI3468" s="94"/>
      <c r="AJ3468" s="43"/>
    </row>
    <row r="3469" spans="1:36" s="29" customFormat="1" ht="12" customHeight="1" x14ac:dyDescent="0.25">
      <c r="A3469" s="573" t="s">
        <v>5305</v>
      </c>
      <c r="B3469" s="573">
        <v>8</v>
      </c>
      <c r="C3469" s="573">
        <v>80</v>
      </c>
      <c r="D3469" s="407" t="s">
        <v>3060</v>
      </c>
      <c r="E3469" s="315" t="s">
        <v>3061</v>
      </c>
      <c r="F3469" s="169">
        <v>38777</v>
      </c>
      <c r="G3469" s="170"/>
      <c r="H3469" s="170">
        <v>4</v>
      </c>
      <c r="I3469" s="746">
        <f>TIME(1,46,44)</f>
        <v>7.4120370370370378E-2</v>
      </c>
      <c r="J3469" s="899" t="s">
        <v>4706</v>
      </c>
      <c r="K3469" s="167" t="s">
        <v>176</v>
      </c>
      <c r="L3469" s="167" t="s">
        <v>6245</v>
      </c>
      <c r="M3469" s="167"/>
      <c r="N3469" s="167"/>
      <c r="O3469" s="167" t="s">
        <v>2909</v>
      </c>
      <c r="P3469" s="168"/>
      <c r="Q3469" s="167" t="s">
        <v>3947</v>
      </c>
      <c r="R3469" s="172" t="s">
        <v>3146</v>
      </c>
      <c r="S3469" s="388" t="s">
        <v>2612</v>
      </c>
      <c r="T3469" s="168" t="s">
        <v>2613</v>
      </c>
      <c r="U3469" s="168"/>
      <c r="V3469" s="168"/>
      <c r="W3469" s="312" t="s">
        <v>9335</v>
      </c>
      <c r="X3469" s="644" t="s">
        <v>12460</v>
      </c>
      <c r="Y3469" s="352" t="s">
        <v>5398</v>
      </c>
      <c r="Z3469" s="353">
        <v>373</v>
      </c>
      <c r="AA3469" s="353">
        <v>5</v>
      </c>
      <c r="AB3469" s="31">
        <f t="shared" ca="1" si="83"/>
        <v>8.5984981070360567E-2</v>
      </c>
      <c r="AC3469" s="810"/>
      <c r="AD3469" s="811"/>
      <c r="AE3469" s="940"/>
      <c r="AF3469" s="920">
        <f>IF(X3469=X3468,AF3468,0)+IF(ISNUMBER(I3469),IF(I3469&lt;1,I3469,I3469*VLOOKUP(J3469,Summary!$H$2:$I$9,2)),VLOOKUP(J3469,Summary!$J$2:$K$9,2)*IF(ISNUMBER(H3469),H3469,1))</f>
        <v>0.3003703703703704</v>
      </c>
      <c r="AG3469" s="287">
        <v>3468</v>
      </c>
      <c r="AH3469" s="94"/>
      <c r="AI3469" s="94"/>
      <c r="AJ3469" s="43"/>
    </row>
    <row r="3470" spans="1:36" s="29" customFormat="1" ht="12" customHeight="1" x14ac:dyDescent="0.25">
      <c r="A3470" s="573" t="s">
        <v>5305</v>
      </c>
      <c r="B3470" s="573">
        <v>8</v>
      </c>
      <c r="C3470" s="573">
        <v>83</v>
      </c>
      <c r="D3470" s="407" t="s">
        <v>3062</v>
      </c>
      <c r="E3470" s="315" t="s">
        <v>2372</v>
      </c>
      <c r="F3470" s="169">
        <v>38869</v>
      </c>
      <c r="G3470" s="170"/>
      <c r="H3470" s="170">
        <v>4</v>
      </c>
      <c r="I3470" s="746">
        <f>TIME(1,58,34)</f>
        <v>8.233796296296296E-2</v>
      </c>
      <c r="J3470" s="899" t="s">
        <v>4706</v>
      </c>
      <c r="K3470" s="167" t="s">
        <v>4032</v>
      </c>
      <c r="L3470" s="167" t="s">
        <v>4549</v>
      </c>
      <c r="M3470" s="167"/>
      <c r="N3470" s="167"/>
      <c r="O3470" s="167" t="s">
        <v>2909</v>
      </c>
      <c r="P3470" s="168"/>
      <c r="Q3470" s="167" t="s">
        <v>3947</v>
      </c>
      <c r="R3470" s="172" t="s">
        <v>3146</v>
      </c>
      <c r="S3470" s="388" t="s">
        <v>2612</v>
      </c>
      <c r="T3470" s="168" t="s">
        <v>2613</v>
      </c>
      <c r="U3470" s="168"/>
      <c r="V3470" s="168"/>
      <c r="W3470" s="312" t="s">
        <v>9340</v>
      </c>
      <c r="X3470" s="644" t="s">
        <v>12460</v>
      </c>
      <c r="Y3470" s="352" t="s">
        <v>5398</v>
      </c>
      <c r="Z3470" s="353">
        <v>675</v>
      </c>
      <c r="AA3470" s="353">
        <v>2</v>
      </c>
      <c r="AB3470" s="31">
        <f t="shared" ca="1" si="83"/>
        <v>0.65495686317934199</v>
      </c>
      <c r="AC3470" s="810"/>
      <c r="AD3470" s="811"/>
      <c r="AE3470" s="940"/>
      <c r="AF3470" s="920">
        <f>IF(X3470=X3469,AF3469,0)+IF(ISNUMBER(I3470),IF(I3470&lt;1,I3470,I3470*VLOOKUP(J3470,Summary!$H$2:$I$9,2)),VLOOKUP(J3470,Summary!$J$2:$K$9,2)*IF(ISNUMBER(H3470),H3470,1))</f>
        <v>0.38270833333333337</v>
      </c>
      <c r="AG3470" s="287">
        <v>3469</v>
      </c>
      <c r="AH3470" s="94"/>
      <c r="AI3470" s="94"/>
      <c r="AJ3470" s="43"/>
    </row>
    <row r="3471" spans="1:36" s="43" customFormat="1" ht="12" customHeight="1" x14ac:dyDescent="0.25">
      <c r="A3471" s="573" t="s">
        <v>5305</v>
      </c>
      <c r="B3471" s="573">
        <v>8</v>
      </c>
      <c r="C3471" s="573">
        <v>88</v>
      </c>
      <c r="D3471" s="407" t="s">
        <v>2373</v>
      </c>
      <c r="E3471" s="315" t="s">
        <v>2374</v>
      </c>
      <c r="F3471" s="169">
        <v>38991</v>
      </c>
      <c r="G3471" s="170"/>
      <c r="H3471" s="170">
        <v>4</v>
      </c>
      <c r="I3471" s="746">
        <f>TIME(1,46,23)</f>
        <v>7.3877314814814812E-2</v>
      </c>
      <c r="J3471" s="899" t="s">
        <v>4706</v>
      </c>
      <c r="K3471" s="167" t="s">
        <v>6353</v>
      </c>
      <c r="L3471" s="167" t="s">
        <v>7375</v>
      </c>
      <c r="M3471" s="167"/>
      <c r="N3471" s="167"/>
      <c r="O3471" s="167" t="s">
        <v>2909</v>
      </c>
      <c r="P3471" s="168"/>
      <c r="Q3471" s="167" t="s">
        <v>3947</v>
      </c>
      <c r="R3471" s="172" t="s">
        <v>3146</v>
      </c>
      <c r="S3471" s="388" t="s">
        <v>2612</v>
      </c>
      <c r="T3471" s="168" t="s">
        <v>2613</v>
      </c>
      <c r="U3471" s="168"/>
      <c r="V3471" s="168"/>
      <c r="W3471" s="312" t="s">
        <v>9344</v>
      </c>
      <c r="X3471" s="644" t="s">
        <v>12460</v>
      </c>
      <c r="Y3471" s="352" t="s">
        <v>5398</v>
      </c>
      <c r="Z3471" s="353">
        <v>84</v>
      </c>
      <c r="AA3471" s="353">
        <v>7.5</v>
      </c>
      <c r="AB3471" s="31">
        <f t="shared" ca="1" si="83"/>
        <v>0.3951268457943492</v>
      </c>
      <c r="AC3471" s="810"/>
      <c r="AD3471" s="811" t="s">
        <v>16157</v>
      </c>
      <c r="AE3471" s="940" t="s">
        <v>12543</v>
      </c>
      <c r="AF3471" s="920">
        <f>IF(X3471=X3470,AF3470,0)+IF(ISNUMBER(I3471),IF(I3471&lt;1,I3471,I3471*VLOOKUP(J3471,Summary!$H$2:$I$9,2)),VLOOKUP(J3471,Summary!$J$2:$K$9,2)*IF(ISNUMBER(H3471),H3471,1))</f>
        <v>0.45658564814814817</v>
      </c>
      <c r="AG3471" s="287">
        <v>3470</v>
      </c>
      <c r="AH3471" s="94"/>
      <c r="AI3471" s="94"/>
    </row>
    <row r="3472" spans="1:36" s="43" customFormat="1" ht="12" customHeight="1" x14ac:dyDescent="0.25">
      <c r="A3472" s="571" t="s">
        <v>5305</v>
      </c>
      <c r="B3472" s="571">
        <v>8</v>
      </c>
      <c r="C3472" s="571">
        <v>24.19</v>
      </c>
      <c r="D3472" s="434" t="s">
        <v>4776</v>
      </c>
      <c r="E3472" s="324" t="s">
        <v>7493</v>
      </c>
      <c r="F3472" s="174">
        <v>39264</v>
      </c>
      <c r="G3472" s="174"/>
      <c r="H3472" s="176">
        <v>1</v>
      </c>
      <c r="I3472" s="176">
        <v>10</v>
      </c>
      <c r="J3472" s="900" t="s">
        <v>2755</v>
      </c>
      <c r="K3472" s="164" t="s">
        <v>4425</v>
      </c>
      <c r="L3472" s="164" t="s">
        <v>461</v>
      </c>
      <c r="M3472" s="164"/>
      <c r="N3472" s="164" t="s">
        <v>4425</v>
      </c>
      <c r="O3472" s="164"/>
      <c r="P3472" s="173" t="s">
        <v>5601</v>
      </c>
      <c r="Q3472" s="164" t="s">
        <v>3947</v>
      </c>
      <c r="R3472" s="179" t="s">
        <v>2723</v>
      </c>
      <c r="S3472" s="354" t="s">
        <v>2612</v>
      </c>
      <c r="T3472" s="173" t="s">
        <v>2613</v>
      </c>
      <c r="U3472" s="173"/>
      <c r="V3472" s="173"/>
      <c r="W3472" s="324" t="s">
        <v>7493</v>
      </c>
      <c r="X3472" s="656" t="s">
        <v>12460</v>
      </c>
      <c r="Y3472" s="363"/>
      <c r="Z3472" s="364"/>
      <c r="AA3472" s="364"/>
      <c r="AB3472" s="32">
        <f t="shared" ca="1" si="83"/>
        <v>3.742662463478541E-2</v>
      </c>
      <c r="AC3472" s="812"/>
      <c r="AD3472" s="763"/>
      <c r="AE3472" s="951"/>
      <c r="AF3472" s="921">
        <f>IF(X3472=X3471,AF3471,0)+IF(ISNUMBER(I3472),IF(I3472&lt;1,I3472,I3472*VLOOKUP(J3472,Summary!$H$2:$I$9,2)),VLOOKUP(J3472,Summary!$J$2:$K$9,2)*IF(ISNUMBER(H3472),H3472,1))</f>
        <v>0.46353009259259259</v>
      </c>
      <c r="AG3472" s="288">
        <v>3471</v>
      </c>
      <c r="AH3472" s="94"/>
      <c r="AI3472" s="94"/>
    </row>
    <row r="3473" spans="1:36" s="2" customFormat="1" ht="12" customHeight="1" x14ac:dyDescent="0.25">
      <c r="A3473" s="573" t="s">
        <v>5305</v>
      </c>
      <c r="B3473" s="573">
        <v>8</v>
      </c>
      <c r="C3473" s="573">
        <v>101</v>
      </c>
      <c r="D3473" s="407" t="s">
        <v>2375</v>
      </c>
      <c r="E3473" s="315" t="s">
        <v>2376</v>
      </c>
      <c r="F3473" s="169">
        <v>39356</v>
      </c>
      <c r="G3473" s="170"/>
      <c r="H3473" s="170">
        <v>4</v>
      </c>
      <c r="I3473" s="746">
        <f>TIME(0,101,19)</f>
        <v>7.0358796296296294E-2</v>
      </c>
      <c r="J3473" s="899" t="s">
        <v>4706</v>
      </c>
      <c r="K3473" s="167" t="s">
        <v>6341</v>
      </c>
      <c r="L3473" s="167" t="s">
        <v>3296</v>
      </c>
      <c r="M3473" s="167"/>
      <c r="N3473" s="167"/>
      <c r="O3473" s="167" t="s">
        <v>2909</v>
      </c>
      <c r="P3473" s="168"/>
      <c r="Q3473" s="167" t="s">
        <v>3947</v>
      </c>
      <c r="R3473" s="172" t="s">
        <v>3146</v>
      </c>
      <c r="S3473" s="388" t="s">
        <v>2612</v>
      </c>
      <c r="T3473" s="168" t="s">
        <v>2613</v>
      </c>
      <c r="U3473" s="168"/>
      <c r="V3473" s="168"/>
      <c r="W3473" s="312" t="s">
        <v>9516</v>
      </c>
      <c r="X3473" s="644" t="s">
        <v>12460</v>
      </c>
      <c r="Y3473" s="352" t="s">
        <v>5398</v>
      </c>
      <c r="Z3473" s="353">
        <v>694</v>
      </c>
      <c r="AA3473" s="353">
        <v>1</v>
      </c>
      <c r="AB3473" s="31">
        <f t="shared" ca="1" si="83"/>
        <v>0.13243966259473361</v>
      </c>
      <c r="AC3473" s="810"/>
      <c r="AD3473" s="811"/>
      <c r="AE3473" s="940"/>
      <c r="AF3473" s="920">
        <f>IF(X3473=X3472,AF3472,0)+IF(ISNUMBER(I3473),IF(I3473&lt;1,I3473,I3473*VLOOKUP(J3473,Summary!$H$2:$I$9,2)),VLOOKUP(J3473,Summary!$J$2:$K$9,2)*IF(ISNUMBER(H3473),H3473,1))</f>
        <v>0.53388888888888886</v>
      </c>
      <c r="AG3473" s="287">
        <v>3472</v>
      </c>
      <c r="AH3473" s="94"/>
      <c r="AI3473" s="94"/>
      <c r="AJ3473" s="43"/>
    </row>
    <row r="3474" spans="1:36" s="22" customFormat="1" ht="12" customHeight="1" x14ac:dyDescent="0.2">
      <c r="A3474" s="573" t="s">
        <v>5305</v>
      </c>
      <c r="B3474" s="573">
        <v>8</v>
      </c>
      <c r="C3474" s="573">
        <v>103</v>
      </c>
      <c r="D3474" s="407" t="s">
        <v>2377</v>
      </c>
      <c r="E3474" s="315" t="s">
        <v>2378</v>
      </c>
      <c r="F3474" s="169">
        <v>39417</v>
      </c>
      <c r="G3474" s="170"/>
      <c r="H3474" s="170">
        <v>4</v>
      </c>
      <c r="I3474" s="746">
        <f>TIME(0,105,23)</f>
        <v>7.318287037037037E-2</v>
      </c>
      <c r="J3474" s="899" t="s">
        <v>4706</v>
      </c>
      <c r="K3474" s="167" t="s">
        <v>7374</v>
      </c>
      <c r="L3474" s="167" t="s">
        <v>3296</v>
      </c>
      <c r="M3474" s="167"/>
      <c r="N3474" s="167"/>
      <c r="O3474" s="167" t="s">
        <v>2909</v>
      </c>
      <c r="P3474" s="168"/>
      <c r="Q3474" s="167" t="s">
        <v>3947</v>
      </c>
      <c r="R3474" s="172" t="s">
        <v>3146</v>
      </c>
      <c r="S3474" s="388" t="s">
        <v>2612</v>
      </c>
      <c r="T3474" s="168"/>
      <c r="U3474" s="168"/>
      <c r="V3474" s="168"/>
      <c r="W3474" s="312" t="s">
        <v>9517</v>
      </c>
      <c r="X3474" s="644" t="s">
        <v>12460</v>
      </c>
      <c r="Y3474" s="352" t="s">
        <v>5398</v>
      </c>
      <c r="Z3474" s="353">
        <v>80</v>
      </c>
      <c r="AA3474" s="353">
        <v>7.5</v>
      </c>
      <c r="AB3474" s="31">
        <f t="shared" ca="1" si="83"/>
        <v>0.95084682233184725</v>
      </c>
      <c r="AC3474" s="810"/>
      <c r="AD3474" s="825" t="s">
        <v>16735</v>
      </c>
      <c r="AE3474" s="940"/>
      <c r="AF3474" s="920">
        <f>IF(X3474=X3473,AF3473,0)+IF(ISNUMBER(I3474),IF(I3474&lt;1,I3474,I3474*VLOOKUP(J3474,Summary!$H$2:$I$9,2)),VLOOKUP(J3474,Summary!$J$2:$K$9,2)*IF(ISNUMBER(H3474),H3474,1))</f>
        <v>0.60707175925925927</v>
      </c>
      <c r="AG3474" s="287">
        <v>3473</v>
      </c>
      <c r="AH3474" s="94"/>
      <c r="AI3474" s="94"/>
    </row>
    <row r="3475" spans="1:36" s="22" customFormat="1" ht="12" customHeight="1" x14ac:dyDescent="0.2">
      <c r="A3475" s="573" t="s">
        <v>5305</v>
      </c>
      <c r="B3475" s="573">
        <v>8</v>
      </c>
      <c r="C3475" s="573"/>
      <c r="D3475" s="407"/>
      <c r="E3475" s="315" t="s">
        <v>5783</v>
      </c>
      <c r="F3475" s="169">
        <v>38565</v>
      </c>
      <c r="G3475" s="170"/>
      <c r="H3475" s="170">
        <v>1</v>
      </c>
      <c r="I3475" s="170"/>
      <c r="J3475" s="899" t="s">
        <v>4706</v>
      </c>
      <c r="K3475" s="167" t="s">
        <v>3365</v>
      </c>
      <c r="L3475" s="167" t="s">
        <v>3365</v>
      </c>
      <c r="M3475" s="167"/>
      <c r="N3475" s="167"/>
      <c r="O3475" s="167"/>
      <c r="P3475" s="168" t="s">
        <v>461</v>
      </c>
      <c r="Q3475" s="167" t="s">
        <v>3948</v>
      </c>
      <c r="R3475" s="172"/>
      <c r="S3475" s="388"/>
      <c r="T3475" s="168"/>
      <c r="U3475" s="168"/>
      <c r="V3475" s="168"/>
      <c r="W3475" s="312" t="s">
        <v>10133</v>
      </c>
      <c r="X3475" s="644" t="s">
        <v>12460</v>
      </c>
      <c r="Y3475" s="352"/>
      <c r="Z3475" s="353">
        <v>81</v>
      </c>
      <c r="AA3475" s="353">
        <v>7.5</v>
      </c>
      <c r="AB3475" s="31">
        <f t="shared" ca="1" si="83"/>
        <v>5.4097100218302274E-2</v>
      </c>
      <c r="AC3475" s="810"/>
      <c r="AD3475" s="811" t="s">
        <v>461</v>
      </c>
      <c r="AE3475" s="940"/>
      <c r="AF3475" s="920">
        <f>IF(X3475=X3474,AF3474,0)+IF(ISNUMBER(I3475),IF(I3475&lt;1,I3475,I3475*VLOOKUP(J3475,Summary!$H$2:$I$9,2)),VLOOKUP(J3475,Summary!$J$2:$K$9,2)*IF(ISNUMBER(H3475),H3475,1))</f>
        <v>0.6487384259259259</v>
      </c>
      <c r="AG3475" s="287">
        <v>3474</v>
      </c>
      <c r="AH3475" s="94"/>
      <c r="AI3475" s="94"/>
    </row>
    <row r="3476" spans="1:36" s="43" customFormat="1" ht="12" customHeight="1" x14ac:dyDescent="0.25">
      <c r="A3476" s="571" t="s">
        <v>5305</v>
      </c>
      <c r="B3476" s="571">
        <v>8</v>
      </c>
      <c r="C3476" s="574">
        <v>1.08</v>
      </c>
      <c r="D3476" s="434" t="s">
        <v>9255</v>
      </c>
      <c r="E3476" s="324" t="s">
        <v>9256</v>
      </c>
      <c r="F3476" s="175">
        <v>41509</v>
      </c>
      <c r="G3476" s="174"/>
      <c r="H3476" s="176">
        <v>1</v>
      </c>
      <c r="I3476" s="176">
        <v>36</v>
      </c>
      <c r="J3476" s="900" t="s">
        <v>2755</v>
      </c>
      <c r="K3476" s="164" t="s">
        <v>9257</v>
      </c>
      <c r="L3476" s="164" t="s">
        <v>461</v>
      </c>
      <c r="M3476" s="164"/>
      <c r="N3476" s="164"/>
      <c r="O3476" s="164"/>
      <c r="P3476" s="173" t="s">
        <v>9237</v>
      </c>
      <c r="Q3476" s="164" t="s">
        <v>9235</v>
      </c>
      <c r="R3476" s="179" t="s">
        <v>9236</v>
      </c>
      <c r="S3476" s="354"/>
      <c r="T3476" s="173"/>
      <c r="U3476" s="173"/>
      <c r="V3476" s="173"/>
      <c r="W3476" s="324" t="s">
        <v>9256</v>
      </c>
      <c r="X3476" s="656" t="s">
        <v>12460</v>
      </c>
      <c r="Y3476" s="363" t="s">
        <v>6868</v>
      </c>
      <c r="Z3476" s="364"/>
      <c r="AA3476" s="364"/>
      <c r="AB3476" s="32">
        <f t="shared" ca="1" si="83"/>
        <v>0.69749436659593844</v>
      </c>
      <c r="AC3476" s="812"/>
      <c r="AD3476" s="763"/>
      <c r="AE3476" s="951"/>
      <c r="AF3476" s="921">
        <f>IF(X3476=X3475,AF3475,0)+IF(ISNUMBER(I3476),IF(I3476&lt;1,I3476,I3476*VLOOKUP(J3476,Summary!$H$2:$I$9,2)),VLOOKUP(J3476,Summary!$J$2:$K$9,2)*IF(ISNUMBER(H3476),H3476,1))</f>
        <v>0.67373842592592592</v>
      </c>
      <c r="AG3476" s="288">
        <v>3475</v>
      </c>
      <c r="AH3476" s="94"/>
      <c r="AI3476" s="94"/>
    </row>
    <row r="3477" spans="1:36" s="43" customFormat="1" ht="12" customHeight="1" x14ac:dyDescent="0.25">
      <c r="A3477" s="571" t="s">
        <v>5305</v>
      </c>
      <c r="B3477" s="571">
        <v>8</v>
      </c>
      <c r="C3477" s="574">
        <v>20.170000000000002</v>
      </c>
      <c r="D3477" s="434" t="s">
        <v>2400</v>
      </c>
      <c r="E3477" s="324" t="s">
        <v>6897</v>
      </c>
      <c r="F3477" s="174">
        <v>38961</v>
      </c>
      <c r="G3477" s="174"/>
      <c r="H3477" s="176">
        <v>1</v>
      </c>
      <c r="I3477" s="176">
        <v>19</v>
      </c>
      <c r="J3477" s="900" t="s">
        <v>2755</v>
      </c>
      <c r="K3477" s="164" t="s">
        <v>4425</v>
      </c>
      <c r="L3477" s="164" t="s">
        <v>461</v>
      </c>
      <c r="M3477" s="164"/>
      <c r="N3477" s="164" t="s">
        <v>7381</v>
      </c>
      <c r="O3477" s="164"/>
      <c r="P3477" s="173" t="s">
        <v>705</v>
      </c>
      <c r="Q3477" s="164" t="s">
        <v>3947</v>
      </c>
      <c r="R3477" s="179" t="s">
        <v>2723</v>
      </c>
      <c r="S3477" s="354"/>
      <c r="T3477" s="173"/>
      <c r="U3477" s="173"/>
      <c r="V3477" s="173"/>
      <c r="W3477" s="324" t="s">
        <v>6897</v>
      </c>
      <c r="X3477" s="656" t="s">
        <v>12460</v>
      </c>
      <c r="Y3477" s="363"/>
      <c r="Z3477" s="364"/>
      <c r="AA3477" s="364"/>
      <c r="AB3477" s="32">
        <f t="shared" ca="1" si="83"/>
        <v>0.14786439021132836</v>
      </c>
      <c r="AC3477" s="812"/>
      <c r="AD3477" s="763"/>
      <c r="AE3477" s="951"/>
      <c r="AF3477" s="921">
        <f>IF(X3477=X3476,AF3476,0)+IF(ISNUMBER(I3477),IF(I3477&lt;1,I3477,I3477*VLOOKUP(J3477,Summary!$H$2:$I$9,2)),VLOOKUP(J3477,Summary!$J$2:$K$9,2)*IF(ISNUMBER(H3477),H3477,1))</f>
        <v>0.68693287037037032</v>
      </c>
      <c r="AG3477" s="288">
        <v>3476</v>
      </c>
      <c r="AH3477" s="94"/>
      <c r="AI3477" s="94"/>
    </row>
    <row r="3478" spans="1:36" s="22" customFormat="1" ht="12" customHeight="1" x14ac:dyDescent="0.2">
      <c r="A3478" s="572" t="s">
        <v>5305</v>
      </c>
      <c r="B3478" s="572">
        <v>8</v>
      </c>
      <c r="C3478" s="572">
        <v>110</v>
      </c>
      <c r="D3478" s="428" t="s">
        <v>5944</v>
      </c>
      <c r="E3478" s="325" t="s">
        <v>4336</v>
      </c>
      <c r="F3478" s="184">
        <v>37881</v>
      </c>
      <c r="G3478" s="184">
        <v>37937</v>
      </c>
      <c r="H3478" s="185">
        <v>3</v>
      </c>
      <c r="I3478" s="185">
        <v>21</v>
      </c>
      <c r="J3478" s="901" t="s">
        <v>1796</v>
      </c>
      <c r="K3478" s="158" t="s">
        <v>5251</v>
      </c>
      <c r="L3478" s="158" t="s">
        <v>5945</v>
      </c>
      <c r="M3478" s="158" t="s">
        <v>3551</v>
      </c>
      <c r="N3478" s="158" t="s">
        <v>4105</v>
      </c>
      <c r="O3478" s="158"/>
      <c r="P3478" s="182" t="s">
        <v>461</v>
      </c>
      <c r="Q3478" s="158" t="s">
        <v>4062</v>
      </c>
      <c r="R3478" s="207" t="s">
        <v>5266</v>
      </c>
      <c r="S3478" s="355"/>
      <c r="T3478" s="182"/>
      <c r="U3478" s="182"/>
      <c r="V3478" s="182"/>
      <c r="W3478" s="321"/>
      <c r="X3478" s="653" t="s">
        <v>12460</v>
      </c>
      <c r="Y3478" s="361"/>
      <c r="Z3478" s="362"/>
      <c r="AA3478" s="362"/>
      <c r="AB3478" s="33">
        <f t="shared" ca="1" si="83"/>
        <v>4.5675897884781214E-2</v>
      </c>
      <c r="AC3478" s="813"/>
      <c r="AD3478" s="211" t="s">
        <v>16577</v>
      </c>
      <c r="AE3478" s="949"/>
      <c r="AF3478" s="922">
        <f>IF(X3478=X3477,AF3477,0)+IF(ISNUMBER(I3478),IF(I3478&lt;1,I3478,I3478*VLOOKUP(J3478,Summary!$H$2:$I$9,2)),VLOOKUP(J3478,Summary!$J$2:$K$9,2)*IF(ISNUMBER(H3478),H3478,1))</f>
        <v>0.69422453703703701</v>
      </c>
      <c r="AG3478" s="295">
        <v>3477</v>
      </c>
      <c r="AH3478" s="94"/>
      <c r="AI3478" s="94"/>
    </row>
    <row r="3479" spans="1:36" s="43" customFormat="1" ht="12" customHeight="1" x14ac:dyDescent="0.25">
      <c r="A3479" s="572" t="s">
        <v>5305</v>
      </c>
      <c r="B3479" s="572">
        <v>8</v>
      </c>
      <c r="C3479" s="572">
        <v>111</v>
      </c>
      <c r="D3479" s="428" t="s">
        <v>5946</v>
      </c>
      <c r="E3479" s="325" t="s">
        <v>4337</v>
      </c>
      <c r="F3479" s="184">
        <v>37965</v>
      </c>
      <c r="G3479" s="184"/>
      <c r="H3479" s="185">
        <v>1</v>
      </c>
      <c r="I3479" s="185">
        <v>7</v>
      </c>
      <c r="J3479" s="901" t="s">
        <v>1796</v>
      </c>
      <c r="K3479" s="158" t="s">
        <v>5251</v>
      </c>
      <c r="L3479" s="158" t="s">
        <v>5947</v>
      </c>
      <c r="M3479" s="158" t="s">
        <v>7087</v>
      </c>
      <c r="N3479" s="158" t="s">
        <v>4105</v>
      </c>
      <c r="O3479" s="158"/>
      <c r="P3479" s="182" t="s">
        <v>461</v>
      </c>
      <c r="Q3479" s="158" t="s">
        <v>4062</v>
      </c>
      <c r="R3479" s="207" t="s">
        <v>5266</v>
      </c>
      <c r="S3479" s="355" t="s">
        <v>2751</v>
      </c>
      <c r="T3479" s="182" t="s">
        <v>2752</v>
      </c>
      <c r="U3479" s="182"/>
      <c r="V3479" s="182"/>
      <c r="W3479" s="325" t="s">
        <v>4337</v>
      </c>
      <c r="X3479" s="657" t="s">
        <v>12460</v>
      </c>
      <c r="Y3479" s="361"/>
      <c r="Z3479" s="362"/>
      <c r="AA3479" s="362"/>
      <c r="AB3479" s="33">
        <f t="shared" ca="1" si="83"/>
        <v>0.28497460621090986</v>
      </c>
      <c r="AC3479" s="813"/>
      <c r="AD3479" s="211" t="s">
        <v>461</v>
      </c>
      <c r="AE3479" s="949"/>
      <c r="AF3479" s="922">
        <f>IF(X3479=X3478,AF3478,0)+IF(ISNUMBER(I3479),IF(I3479&lt;1,I3479,I3479*VLOOKUP(J3479,Summary!$H$2:$I$9,2)),VLOOKUP(J3479,Summary!$J$2:$K$9,2)*IF(ISNUMBER(H3479),H3479,1))</f>
        <v>0.69665509259259262</v>
      </c>
      <c r="AG3479" s="295">
        <v>3478</v>
      </c>
      <c r="AH3479" s="94"/>
      <c r="AI3479" s="94"/>
    </row>
    <row r="3480" spans="1:36" s="2" customFormat="1" ht="12" customHeight="1" x14ac:dyDescent="0.25">
      <c r="A3480" s="474" t="s">
        <v>13769</v>
      </c>
      <c r="B3480" s="507" t="s">
        <v>13766</v>
      </c>
      <c r="C3480" s="474">
        <v>1</v>
      </c>
      <c r="D3480" s="417" t="s">
        <v>13776</v>
      </c>
      <c r="E3480" s="316" t="s">
        <v>13777</v>
      </c>
      <c r="F3480" s="195">
        <v>37516</v>
      </c>
      <c r="G3480" s="195"/>
      <c r="H3480" s="188" t="str">
        <f>IF(J3480="Book","n/a","")</f>
        <v>n/a</v>
      </c>
      <c r="I3480" s="188">
        <v>272</v>
      </c>
      <c r="J3480" s="902" t="s">
        <v>6868</v>
      </c>
      <c r="K3480" s="162" t="s">
        <v>9281</v>
      </c>
      <c r="L3480" s="162" t="str">
        <f>IF(J3480="Book","n/a","")</f>
        <v>n/a</v>
      </c>
      <c r="M3480" s="162"/>
      <c r="N3480" s="162" t="s">
        <v>5122</v>
      </c>
      <c r="O3480" s="162"/>
      <c r="P3480" s="178" t="s">
        <v>13778</v>
      </c>
      <c r="Q3480" s="162" t="s">
        <v>13779</v>
      </c>
      <c r="R3480" s="189" t="s">
        <v>13754</v>
      </c>
      <c r="S3480" s="366"/>
      <c r="T3480" s="178"/>
      <c r="U3480" s="178"/>
      <c r="V3480" s="178"/>
      <c r="W3480" s="316" t="s">
        <v>13777</v>
      </c>
      <c r="X3480" s="648" t="s">
        <v>13768</v>
      </c>
      <c r="Y3480" s="356"/>
      <c r="Z3480" s="272"/>
      <c r="AA3480" s="272"/>
      <c r="AB3480" s="34">
        <f t="shared" ca="1" si="83"/>
        <v>0.96465413529369937</v>
      </c>
      <c r="AC3480" s="814"/>
      <c r="AD3480" s="815" t="s">
        <v>16779</v>
      </c>
      <c r="AE3480" s="942"/>
      <c r="AF3480" s="923">
        <f>IF(X3480=X3479,AF3479,0)+IF(ISNUMBER(I3480),IF(I3480&lt;1,I3480,I3480*VLOOKUP(J3480,Summary!$H$2:$I$9,2)),VLOOKUP(J3480,Summary!$J$2:$K$9,2)*IF(ISNUMBER(H3480),H3480,1))</f>
        <v>0.18888888888888888</v>
      </c>
      <c r="AG3480" s="291">
        <v>3479</v>
      </c>
      <c r="AH3480" s="94"/>
      <c r="AI3480" s="94"/>
      <c r="AJ3480" s="43"/>
    </row>
    <row r="3481" spans="1:36" s="2" customFormat="1" ht="12" customHeight="1" x14ac:dyDescent="0.25">
      <c r="A3481" s="405" t="s">
        <v>13769</v>
      </c>
      <c r="B3481" s="406" t="s">
        <v>13766</v>
      </c>
      <c r="C3481" s="405">
        <v>1</v>
      </c>
      <c r="D3481" s="407" t="s">
        <v>13767</v>
      </c>
      <c r="E3481" s="315" t="s">
        <v>15462</v>
      </c>
      <c r="F3481" s="169">
        <v>37165</v>
      </c>
      <c r="G3481" s="170"/>
      <c r="H3481" s="170">
        <v>2</v>
      </c>
      <c r="I3481" s="746">
        <f>TIME(1,1,4)</f>
        <v>4.2407407407407401E-2</v>
      </c>
      <c r="J3481" s="899" t="s">
        <v>4706</v>
      </c>
      <c r="K3481" s="167" t="s">
        <v>5122</v>
      </c>
      <c r="L3481" s="167" t="s">
        <v>7757</v>
      </c>
      <c r="M3481" s="167"/>
      <c r="N3481" s="167"/>
      <c r="O3481" s="167"/>
      <c r="P3481" s="168"/>
      <c r="Q3481" s="167" t="s">
        <v>603</v>
      </c>
      <c r="R3481" s="172" t="s">
        <v>13752</v>
      </c>
      <c r="S3481" s="388"/>
      <c r="T3481" s="168"/>
      <c r="U3481" s="168"/>
      <c r="V3481" s="168"/>
      <c r="W3481" s="315" t="s">
        <v>15461</v>
      </c>
      <c r="X3481" s="647" t="s">
        <v>13768</v>
      </c>
      <c r="Y3481" s="352"/>
      <c r="Z3481" s="353">
        <v>317</v>
      </c>
      <c r="AA3481" s="353">
        <v>5.5</v>
      </c>
      <c r="AB3481" s="31">
        <f t="shared" ca="1" si="83"/>
        <v>0.81234269142062487</v>
      </c>
      <c r="AC3481" s="810"/>
      <c r="AD3481" s="811" t="s">
        <v>16779</v>
      </c>
      <c r="AE3481" s="940" t="s">
        <v>15116</v>
      </c>
      <c r="AF3481" s="920">
        <f>IF(X3481=X3480,AF3480,0)+IF(ISNUMBER(I3481),IF(I3481&lt;1,I3481,I3481*VLOOKUP(J3481,Summary!$H$2:$I$9,2)),VLOOKUP(J3481,Summary!$J$2:$K$9,2)*IF(ISNUMBER(H3481),H3481,1))</f>
        <v>0.23129629629629628</v>
      </c>
      <c r="AG3481" s="287">
        <v>3480</v>
      </c>
      <c r="AH3481" s="94"/>
      <c r="AI3481" s="94"/>
      <c r="AJ3481" s="43"/>
    </row>
    <row r="3482" spans="1:36" s="22" customFormat="1" ht="12" customHeight="1" x14ac:dyDescent="0.25">
      <c r="A3482" s="405" t="s">
        <v>13769</v>
      </c>
      <c r="B3482" s="406" t="s">
        <v>13766</v>
      </c>
      <c r="C3482" s="405">
        <v>2</v>
      </c>
      <c r="D3482" s="407" t="s">
        <v>13771</v>
      </c>
      <c r="E3482" s="315" t="s">
        <v>13772</v>
      </c>
      <c r="F3482" s="169">
        <v>37653</v>
      </c>
      <c r="G3482" s="170"/>
      <c r="H3482" s="170">
        <v>2</v>
      </c>
      <c r="I3482" s="746">
        <f>TIME(1,9,6)</f>
        <v>4.7986111111111111E-2</v>
      </c>
      <c r="J3482" s="899" t="s">
        <v>4706</v>
      </c>
      <c r="K3482" s="167" t="s">
        <v>5122</v>
      </c>
      <c r="L3482" s="167" t="s">
        <v>7757</v>
      </c>
      <c r="M3482" s="167"/>
      <c r="N3482" s="167"/>
      <c r="O3482" s="167"/>
      <c r="P3482" s="168"/>
      <c r="Q3482" s="167" t="s">
        <v>603</v>
      </c>
      <c r="R3482" s="172" t="s">
        <v>13752</v>
      </c>
      <c r="S3482" s="388"/>
      <c r="T3482" s="168"/>
      <c r="U3482" s="168"/>
      <c r="V3482" s="168"/>
      <c r="W3482" s="315" t="s">
        <v>13773</v>
      </c>
      <c r="X3482" s="647" t="s">
        <v>13768</v>
      </c>
      <c r="Y3482" s="352"/>
      <c r="Z3482" s="353">
        <v>169</v>
      </c>
      <c r="AA3482" s="353">
        <v>6.5</v>
      </c>
      <c r="AB3482" s="31">
        <f t="shared" ca="1" si="83"/>
        <v>0.41435701900959077</v>
      </c>
      <c r="AC3482" s="810"/>
      <c r="AD3482" s="811" t="s">
        <v>16557</v>
      </c>
      <c r="AE3482" s="940" t="s">
        <v>15116</v>
      </c>
      <c r="AF3482" s="920">
        <f>IF(X3482=X3481,AF3481,0)+IF(ISNUMBER(I3482),IF(I3482&lt;1,I3482,I3482*VLOOKUP(J3482,Summary!$H$2:$I$9,2)),VLOOKUP(J3482,Summary!$J$2:$K$9,2)*IF(ISNUMBER(H3482),H3482,1))</f>
        <v>0.2792824074074074</v>
      </c>
      <c r="AG3482" s="287">
        <v>3481</v>
      </c>
      <c r="AH3482" s="94"/>
      <c r="AI3482" s="94"/>
      <c r="AJ3482" s="43"/>
    </row>
    <row r="3483" spans="1:36" s="2" customFormat="1" ht="12" customHeight="1" x14ac:dyDescent="0.25">
      <c r="A3483" s="405" t="s">
        <v>13769</v>
      </c>
      <c r="B3483" s="406" t="s">
        <v>13766</v>
      </c>
      <c r="C3483" s="405">
        <v>3</v>
      </c>
      <c r="D3483" s="407" t="s">
        <v>13770</v>
      </c>
      <c r="E3483" s="315" t="s">
        <v>13774</v>
      </c>
      <c r="F3483" s="169">
        <v>37956</v>
      </c>
      <c r="G3483" s="169">
        <v>38018</v>
      </c>
      <c r="H3483" s="170">
        <v>2</v>
      </c>
      <c r="I3483" s="746">
        <f>TIME(1,10,54)</f>
        <v>4.9236111111111112E-2</v>
      </c>
      <c r="J3483" s="899" t="s">
        <v>4706</v>
      </c>
      <c r="K3483" s="167" t="s">
        <v>5122</v>
      </c>
      <c r="L3483" s="167" t="s">
        <v>7757</v>
      </c>
      <c r="M3483" s="167"/>
      <c r="N3483" s="167"/>
      <c r="O3483" s="167"/>
      <c r="P3483" s="168"/>
      <c r="Q3483" s="167" t="s">
        <v>603</v>
      </c>
      <c r="R3483" s="172" t="s">
        <v>13752</v>
      </c>
      <c r="S3483" s="388"/>
      <c r="T3483" s="168"/>
      <c r="U3483" s="168"/>
      <c r="V3483" s="168"/>
      <c r="W3483" s="315" t="s">
        <v>13775</v>
      </c>
      <c r="X3483" s="647" t="s">
        <v>13768</v>
      </c>
      <c r="Y3483" s="352"/>
      <c r="Z3483" s="353">
        <v>251</v>
      </c>
      <c r="AA3483" s="353">
        <v>5.5</v>
      </c>
      <c r="AB3483" s="31">
        <f t="shared" ca="1" si="83"/>
        <v>0.97889495722376407</v>
      </c>
      <c r="AC3483" s="810"/>
      <c r="AD3483" s="811" t="s">
        <v>16780</v>
      </c>
      <c r="AE3483" s="940" t="s">
        <v>15116</v>
      </c>
      <c r="AF3483" s="920">
        <f>IF(X3483=X3482,AF3482,0)+IF(ISNUMBER(I3483),IF(I3483&lt;1,I3483,I3483*VLOOKUP(J3483,Summary!$H$2:$I$9,2)),VLOOKUP(J3483,Summary!$J$2:$K$9,2)*IF(ISNUMBER(H3483),H3483,1))</f>
        <v>0.32851851851851849</v>
      </c>
      <c r="AG3483" s="287">
        <v>3482</v>
      </c>
      <c r="AH3483" s="94"/>
      <c r="AI3483" s="94"/>
      <c r="AJ3483" s="43"/>
    </row>
    <row r="3484" spans="1:36" s="3" customFormat="1" ht="12" customHeight="1" x14ac:dyDescent="0.25">
      <c r="A3484" s="578" t="s">
        <v>13769</v>
      </c>
      <c r="B3484" s="579" t="s">
        <v>13766</v>
      </c>
      <c r="C3484" s="578">
        <v>1</v>
      </c>
      <c r="D3484" s="580" t="s">
        <v>13795</v>
      </c>
      <c r="E3484" s="341" t="s">
        <v>13796</v>
      </c>
      <c r="F3484" s="256">
        <v>37834</v>
      </c>
      <c r="G3484" s="257"/>
      <c r="H3484" s="258" t="s">
        <v>461</v>
      </c>
      <c r="I3484" s="258"/>
      <c r="J3484" s="912" t="s">
        <v>2755</v>
      </c>
      <c r="K3484" s="259" t="s">
        <v>5122</v>
      </c>
      <c r="L3484" s="259" t="s">
        <v>461</v>
      </c>
      <c r="M3484" s="259"/>
      <c r="N3484" s="259"/>
      <c r="O3484" s="259"/>
      <c r="P3484" s="255" t="s">
        <v>461</v>
      </c>
      <c r="Q3484" s="259" t="s">
        <v>13762</v>
      </c>
      <c r="R3484" s="260" t="s">
        <v>13753</v>
      </c>
      <c r="S3484" s="401"/>
      <c r="T3484" s="255"/>
      <c r="U3484" s="255"/>
      <c r="V3484" s="255"/>
      <c r="W3484" s="341" t="s">
        <v>13796</v>
      </c>
      <c r="X3484" s="676" t="s">
        <v>13768</v>
      </c>
      <c r="Y3484" s="381"/>
      <c r="Z3484" s="382"/>
      <c r="AA3484" s="382"/>
      <c r="AB3484" s="145">
        <f t="shared" ca="1" si="83"/>
        <v>0.72796897363909885</v>
      </c>
      <c r="AC3484" s="840"/>
      <c r="AD3484" s="841"/>
      <c r="AE3484" s="961"/>
      <c r="AF3484" s="933">
        <f>IF(X3484=X3483,AF3483,0)+IF(ISNUMBER(I3484),IF(I3484&lt;1,I3484,I3484*VLOOKUP(J3484,Summary!$H$2:$I$9,2)),VLOOKUP(J3484,Summary!$J$2:$K$9,2)*IF(ISNUMBER(H3484),H3484,1))</f>
        <v>0.34587962962962959</v>
      </c>
      <c r="AG3484" s="305">
        <v>3483</v>
      </c>
      <c r="AH3484" s="94"/>
      <c r="AI3484" s="94"/>
    </row>
    <row r="3485" spans="1:36" s="3" customFormat="1" ht="12" customHeight="1" x14ac:dyDescent="0.25">
      <c r="A3485" s="474" t="s">
        <v>13769</v>
      </c>
      <c r="B3485" s="507" t="s">
        <v>13766</v>
      </c>
      <c r="C3485" s="474">
        <v>2</v>
      </c>
      <c r="D3485" s="417" t="s">
        <v>13780</v>
      </c>
      <c r="E3485" s="316" t="s">
        <v>13781</v>
      </c>
      <c r="F3485" s="195">
        <v>37865</v>
      </c>
      <c r="G3485" s="195"/>
      <c r="H3485" s="188" t="s">
        <v>461</v>
      </c>
      <c r="I3485" s="188">
        <v>292</v>
      </c>
      <c r="J3485" s="902" t="s">
        <v>6868</v>
      </c>
      <c r="K3485" s="162" t="s">
        <v>5122</v>
      </c>
      <c r="L3485" s="162" t="s">
        <v>461</v>
      </c>
      <c r="M3485" s="162"/>
      <c r="N3485" s="162"/>
      <c r="O3485" s="162"/>
      <c r="P3485" s="178" t="s">
        <v>13782</v>
      </c>
      <c r="Q3485" s="162" t="s">
        <v>13779</v>
      </c>
      <c r="R3485" s="189" t="s">
        <v>13754</v>
      </c>
      <c r="S3485" s="366"/>
      <c r="T3485" s="178"/>
      <c r="U3485" s="178"/>
      <c r="V3485" s="178"/>
      <c r="W3485" s="316" t="s">
        <v>13781</v>
      </c>
      <c r="X3485" s="648" t="s">
        <v>13768</v>
      </c>
      <c r="Y3485" s="356"/>
      <c r="Z3485" s="272"/>
      <c r="AA3485" s="272"/>
      <c r="AB3485" s="34">
        <f t="shared" ca="1" si="83"/>
        <v>5.7388826353109157E-2</v>
      </c>
      <c r="AC3485" s="814"/>
      <c r="AD3485" s="815" t="s">
        <v>15838</v>
      </c>
      <c r="AE3485" s="942" t="s">
        <v>15839</v>
      </c>
      <c r="AF3485" s="923">
        <f>IF(X3485=X3484,AF3484,0)+IF(ISNUMBER(I3485),IF(I3485&lt;1,I3485,I3485*VLOOKUP(J3485,Summary!$H$2:$I$9,2)),VLOOKUP(J3485,Summary!$J$2:$K$9,2)*IF(ISNUMBER(H3485),H3485,1))</f>
        <v>0.54865740740740732</v>
      </c>
      <c r="AG3485" s="291">
        <v>3484</v>
      </c>
      <c r="AH3485" s="94"/>
      <c r="AI3485" s="94"/>
    </row>
    <row r="3486" spans="1:36" s="3" customFormat="1" ht="12" customHeight="1" x14ac:dyDescent="0.25">
      <c r="A3486" s="578" t="s">
        <v>13769</v>
      </c>
      <c r="B3486" s="579" t="s">
        <v>13766</v>
      </c>
      <c r="C3486" s="578">
        <v>4</v>
      </c>
      <c r="D3486" s="580" t="s">
        <v>13801</v>
      </c>
      <c r="E3486" s="341" t="s">
        <v>13802</v>
      </c>
      <c r="F3486" s="256">
        <v>37926</v>
      </c>
      <c r="G3486" s="257"/>
      <c r="H3486" s="258" t="s">
        <v>461</v>
      </c>
      <c r="I3486" s="258"/>
      <c r="J3486" s="912" t="s">
        <v>2755</v>
      </c>
      <c r="K3486" s="259" t="s">
        <v>5122</v>
      </c>
      <c r="L3486" s="259" t="s">
        <v>461</v>
      </c>
      <c r="M3486" s="259"/>
      <c r="N3486" s="259"/>
      <c r="O3486" s="259"/>
      <c r="P3486" s="255" t="s">
        <v>461</v>
      </c>
      <c r="Q3486" s="259" t="s">
        <v>13779</v>
      </c>
      <c r="R3486" s="260" t="s">
        <v>13753</v>
      </c>
      <c r="S3486" s="401"/>
      <c r="T3486" s="255"/>
      <c r="U3486" s="255"/>
      <c r="V3486" s="255"/>
      <c r="W3486" s="341" t="s">
        <v>13802</v>
      </c>
      <c r="X3486" s="676" t="s">
        <v>13768</v>
      </c>
      <c r="Y3486" s="381"/>
      <c r="Z3486" s="382"/>
      <c r="AA3486" s="382"/>
      <c r="AB3486" s="145">
        <f t="shared" ca="1" si="83"/>
        <v>0.31273492270489534</v>
      </c>
      <c r="AC3486" s="840"/>
      <c r="AD3486" s="841"/>
      <c r="AE3486" s="961"/>
      <c r="AF3486" s="933">
        <f>IF(X3486=X3485,AF3485,0)+IF(ISNUMBER(I3486),IF(I3486&lt;1,I3486,I3486*VLOOKUP(J3486,Summary!$H$2:$I$9,2)),VLOOKUP(J3486,Summary!$J$2:$K$9,2)*IF(ISNUMBER(H3486),H3486,1))</f>
        <v>0.56601851851851848</v>
      </c>
      <c r="AG3486" s="305">
        <v>3485</v>
      </c>
      <c r="AH3486" s="94"/>
      <c r="AI3486" s="94"/>
      <c r="AJ3486" s="44"/>
    </row>
    <row r="3487" spans="1:36" s="3" customFormat="1" ht="12" customHeight="1" x14ac:dyDescent="0.25">
      <c r="A3487" s="578" t="s">
        <v>13769</v>
      </c>
      <c r="B3487" s="579" t="s">
        <v>13766</v>
      </c>
      <c r="C3487" s="578">
        <v>5</v>
      </c>
      <c r="D3487" s="580" t="s">
        <v>13803</v>
      </c>
      <c r="E3487" s="341" t="s">
        <v>13804</v>
      </c>
      <c r="F3487" s="256">
        <v>37135</v>
      </c>
      <c r="G3487" s="257"/>
      <c r="H3487" s="258" t="s">
        <v>461</v>
      </c>
      <c r="I3487" s="258"/>
      <c r="J3487" s="912" t="s">
        <v>2755</v>
      </c>
      <c r="K3487" s="259" t="s">
        <v>5122</v>
      </c>
      <c r="L3487" s="259" t="s">
        <v>461</v>
      </c>
      <c r="M3487" s="259"/>
      <c r="N3487" s="259"/>
      <c r="O3487" s="259"/>
      <c r="P3487" s="255" t="s">
        <v>461</v>
      </c>
      <c r="Q3487" s="259" t="s">
        <v>13779</v>
      </c>
      <c r="R3487" s="260" t="s">
        <v>13753</v>
      </c>
      <c r="S3487" s="401"/>
      <c r="T3487" s="255"/>
      <c r="U3487" s="255"/>
      <c r="V3487" s="255"/>
      <c r="W3487" s="341" t="s">
        <v>13804</v>
      </c>
      <c r="X3487" s="676" t="s">
        <v>13768</v>
      </c>
      <c r="Y3487" s="381"/>
      <c r="Z3487" s="382"/>
      <c r="AA3487" s="382"/>
      <c r="AB3487" s="145">
        <f t="shared" ca="1" si="83"/>
        <v>0.36225862568325218</v>
      </c>
      <c r="AC3487" s="840"/>
      <c r="AD3487" s="841"/>
      <c r="AE3487" s="961"/>
      <c r="AF3487" s="933">
        <f>IF(X3487=X3486,AF3486,0)+IF(ISNUMBER(I3487),IF(I3487&lt;1,I3487,I3487*VLOOKUP(J3487,Summary!$H$2:$I$9,2)),VLOOKUP(J3487,Summary!$J$2:$K$9,2)*IF(ISNUMBER(H3487),H3487,1))</f>
        <v>0.58337962962962964</v>
      </c>
      <c r="AG3487" s="305">
        <v>3486</v>
      </c>
      <c r="AH3487" s="94"/>
      <c r="AI3487" s="94"/>
      <c r="AJ3487" s="2"/>
    </row>
    <row r="3488" spans="1:36" s="44" customFormat="1" ht="12" customHeight="1" x14ac:dyDescent="0.25">
      <c r="A3488" s="578" t="s">
        <v>13769</v>
      </c>
      <c r="B3488" s="579" t="s">
        <v>13766</v>
      </c>
      <c r="C3488" s="578">
        <v>2</v>
      </c>
      <c r="D3488" s="580" t="s">
        <v>13797</v>
      </c>
      <c r="E3488" s="341" t="s">
        <v>13798</v>
      </c>
      <c r="F3488" s="256">
        <v>37865</v>
      </c>
      <c r="G3488" s="257"/>
      <c r="H3488" s="258" t="s">
        <v>461</v>
      </c>
      <c r="I3488" s="258"/>
      <c r="J3488" s="912" t="s">
        <v>2755</v>
      </c>
      <c r="K3488" s="259" t="s">
        <v>5122</v>
      </c>
      <c r="L3488" s="259" t="s">
        <v>461</v>
      </c>
      <c r="M3488" s="259"/>
      <c r="N3488" s="259"/>
      <c r="O3488" s="259"/>
      <c r="P3488" s="255" t="s">
        <v>461</v>
      </c>
      <c r="Q3488" s="259" t="s">
        <v>13779</v>
      </c>
      <c r="R3488" s="260" t="s">
        <v>13753</v>
      </c>
      <c r="S3488" s="401"/>
      <c r="T3488" s="255"/>
      <c r="U3488" s="255"/>
      <c r="V3488" s="255"/>
      <c r="W3488" s="341" t="s">
        <v>13798</v>
      </c>
      <c r="X3488" s="676" t="s">
        <v>13768</v>
      </c>
      <c r="Y3488" s="381"/>
      <c r="Z3488" s="382"/>
      <c r="AA3488" s="382"/>
      <c r="AB3488" s="145">
        <f t="shared" ca="1" si="83"/>
        <v>0.64886685977190095</v>
      </c>
      <c r="AC3488" s="840"/>
      <c r="AD3488" s="841"/>
      <c r="AE3488" s="961"/>
      <c r="AF3488" s="933">
        <f>IF(X3488=X3487,AF3487,0)+IF(ISNUMBER(I3488),IF(I3488&lt;1,I3488,I3488*VLOOKUP(J3488,Summary!$H$2:$I$9,2)),VLOOKUP(J3488,Summary!$J$2:$K$9,2)*IF(ISNUMBER(H3488),H3488,1))</f>
        <v>0.6007407407407408</v>
      </c>
      <c r="AG3488" s="305">
        <v>3487</v>
      </c>
      <c r="AH3488" s="94"/>
      <c r="AI3488" s="94"/>
      <c r="AJ3488" s="43"/>
    </row>
    <row r="3489" spans="1:36" s="43" customFormat="1" ht="12" customHeight="1" x14ac:dyDescent="0.25">
      <c r="A3489" s="474" t="s">
        <v>13769</v>
      </c>
      <c r="B3489" s="507" t="s">
        <v>13766</v>
      </c>
      <c r="C3489" s="474">
        <v>3</v>
      </c>
      <c r="D3489" s="417" t="s">
        <v>13783</v>
      </c>
      <c r="E3489" s="316" t="s">
        <v>13791</v>
      </c>
      <c r="F3489" s="187">
        <v>38078</v>
      </c>
      <c r="G3489" s="195"/>
      <c r="H3489" s="188" t="s">
        <v>461</v>
      </c>
      <c r="I3489" s="188">
        <v>256</v>
      </c>
      <c r="J3489" s="902" t="s">
        <v>6868</v>
      </c>
      <c r="K3489" s="162" t="s">
        <v>3324</v>
      </c>
      <c r="L3489" s="162" t="s">
        <v>461</v>
      </c>
      <c r="M3489" s="162"/>
      <c r="N3489" s="162"/>
      <c r="O3489" s="162"/>
      <c r="P3489" s="178" t="s">
        <v>13784</v>
      </c>
      <c r="Q3489" s="162" t="s">
        <v>13779</v>
      </c>
      <c r="R3489" s="189" t="s">
        <v>13754</v>
      </c>
      <c r="S3489" s="366"/>
      <c r="T3489" s="178"/>
      <c r="U3489" s="178"/>
      <c r="V3489" s="178"/>
      <c r="W3489" s="316" t="s">
        <v>13791</v>
      </c>
      <c r="X3489" s="648" t="s">
        <v>13768</v>
      </c>
      <c r="Y3489" s="356"/>
      <c r="Z3489" s="272"/>
      <c r="AA3489" s="272"/>
      <c r="AB3489" s="34">
        <f t="shared" ca="1" si="83"/>
        <v>0.10656919983695312</v>
      </c>
      <c r="AC3489" s="814"/>
      <c r="AD3489" s="815"/>
      <c r="AE3489" s="942"/>
      <c r="AF3489" s="923">
        <f>IF(X3489=X3488,AF3488,0)+IF(ISNUMBER(I3489),IF(I3489&lt;1,I3489,I3489*VLOOKUP(J3489,Summary!$H$2:$I$9,2)),VLOOKUP(J3489,Summary!$J$2:$K$9,2)*IF(ISNUMBER(H3489),H3489,1))</f>
        <v>0.77851851851851861</v>
      </c>
      <c r="AG3489" s="291">
        <v>3488</v>
      </c>
      <c r="AH3489" s="94"/>
      <c r="AI3489" s="94"/>
    </row>
    <row r="3490" spans="1:36" s="2" customFormat="1" ht="12" customHeight="1" x14ac:dyDescent="0.25">
      <c r="A3490" s="578" t="s">
        <v>13769</v>
      </c>
      <c r="B3490" s="579" t="s">
        <v>13766</v>
      </c>
      <c r="C3490" s="578">
        <v>6</v>
      </c>
      <c r="D3490" s="580" t="s">
        <v>13805</v>
      </c>
      <c r="E3490" s="341" t="s">
        <v>13806</v>
      </c>
      <c r="F3490" s="261">
        <v>37987</v>
      </c>
      <c r="G3490" s="257"/>
      <c r="H3490" s="258" t="s">
        <v>461</v>
      </c>
      <c r="I3490" s="258"/>
      <c r="J3490" s="912" t="s">
        <v>2755</v>
      </c>
      <c r="K3490" s="259" t="s">
        <v>2311</v>
      </c>
      <c r="L3490" s="259" t="s">
        <v>461</v>
      </c>
      <c r="M3490" s="259"/>
      <c r="N3490" s="259"/>
      <c r="O3490" s="259"/>
      <c r="P3490" s="255" t="s">
        <v>461</v>
      </c>
      <c r="Q3490" s="259" t="s">
        <v>13779</v>
      </c>
      <c r="R3490" s="260" t="s">
        <v>13753</v>
      </c>
      <c r="S3490" s="401"/>
      <c r="T3490" s="255"/>
      <c r="U3490" s="255"/>
      <c r="V3490" s="255"/>
      <c r="W3490" s="341" t="s">
        <v>13806</v>
      </c>
      <c r="X3490" s="676" t="s">
        <v>13768</v>
      </c>
      <c r="Y3490" s="381"/>
      <c r="Z3490" s="382"/>
      <c r="AA3490" s="382"/>
      <c r="AB3490" s="145">
        <f t="shared" ca="1" si="83"/>
        <v>0.22112052217815703</v>
      </c>
      <c r="AC3490" s="840"/>
      <c r="AD3490" s="841"/>
      <c r="AE3490" s="961"/>
      <c r="AF3490" s="933">
        <f>IF(X3490=X3489,AF3489,0)+IF(ISNUMBER(I3490),IF(I3490&lt;1,I3490,I3490*VLOOKUP(J3490,Summary!$H$2:$I$9,2)),VLOOKUP(J3490,Summary!$J$2:$K$9,2)*IF(ISNUMBER(H3490),H3490,1))</f>
        <v>0.79587962962962977</v>
      </c>
      <c r="AG3490" s="305">
        <v>3489</v>
      </c>
      <c r="AH3490" s="94"/>
      <c r="AI3490" s="94"/>
      <c r="AJ3490" s="43"/>
    </row>
    <row r="3491" spans="1:36" s="43" customFormat="1" ht="12" customHeight="1" x14ac:dyDescent="0.25">
      <c r="A3491" s="474" t="s">
        <v>13769</v>
      </c>
      <c r="B3491" s="507" t="s">
        <v>13766</v>
      </c>
      <c r="C3491" s="474">
        <v>4</v>
      </c>
      <c r="D3491" s="417" t="s">
        <v>13785</v>
      </c>
      <c r="E3491" s="316" t="s">
        <v>13788</v>
      </c>
      <c r="F3491" s="187">
        <v>38292</v>
      </c>
      <c r="G3491" s="195"/>
      <c r="H3491" s="188" t="s">
        <v>461</v>
      </c>
      <c r="I3491" s="188">
        <v>180</v>
      </c>
      <c r="J3491" s="902" t="s">
        <v>6868</v>
      </c>
      <c r="K3491" s="162" t="s">
        <v>2311</v>
      </c>
      <c r="L3491" s="162" t="s">
        <v>461</v>
      </c>
      <c r="M3491" s="162"/>
      <c r="N3491" s="162"/>
      <c r="O3491" s="162"/>
      <c r="P3491" s="178" t="s">
        <v>13792</v>
      </c>
      <c r="Q3491" s="162" t="s">
        <v>13779</v>
      </c>
      <c r="R3491" s="189" t="s">
        <v>13754</v>
      </c>
      <c r="S3491" s="366"/>
      <c r="T3491" s="178"/>
      <c r="U3491" s="178"/>
      <c r="V3491" s="178"/>
      <c r="W3491" s="316" t="s">
        <v>13788</v>
      </c>
      <c r="X3491" s="648" t="s">
        <v>13768</v>
      </c>
      <c r="Y3491" s="356"/>
      <c r="Z3491" s="272"/>
      <c r="AA3491" s="272"/>
      <c r="AB3491" s="34">
        <f t="shared" ca="1" si="83"/>
        <v>0.82303510189091289</v>
      </c>
      <c r="AC3491" s="814"/>
      <c r="AD3491" s="815" t="s">
        <v>16767</v>
      </c>
      <c r="AE3491" s="950" t="s">
        <v>16768</v>
      </c>
      <c r="AF3491" s="923">
        <f>IF(X3491=X3490,AF3490,0)+IF(ISNUMBER(I3491),IF(I3491&lt;1,I3491,I3491*VLOOKUP(J3491,Summary!$H$2:$I$9,2)),VLOOKUP(J3491,Summary!$J$2:$K$9,2)*IF(ISNUMBER(H3491),H3491,1))</f>
        <v>0.92087962962962977</v>
      </c>
      <c r="AG3491" s="291">
        <v>3490</v>
      </c>
      <c r="AH3491" s="94"/>
      <c r="AI3491" s="94"/>
    </row>
    <row r="3492" spans="1:36" s="3" customFormat="1" ht="12" customHeight="1" x14ac:dyDescent="0.25">
      <c r="A3492" s="578" t="s">
        <v>13769</v>
      </c>
      <c r="B3492" s="579" t="s">
        <v>13766</v>
      </c>
      <c r="C3492" s="578">
        <v>7</v>
      </c>
      <c r="D3492" s="580" t="s">
        <v>13807</v>
      </c>
      <c r="E3492" s="341" t="s">
        <v>13808</v>
      </c>
      <c r="F3492" s="256">
        <v>38292</v>
      </c>
      <c r="G3492" s="257"/>
      <c r="H3492" s="258" t="s">
        <v>461</v>
      </c>
      <c r="I3492" s="258"/>
      <c r="J3492" s="912" t="s">
        <v>2755</v>
      </c>
      <c r="K3492" s="259" t="s">
        <v>342</v>
      </c>
      <c r="L3492" s="259" t="s">
        <v>461</v>
      </c>
      <c r="M3492" s="259"/>
      <c r="N3492" s="259"/>
      <c r="O3492" s="259"/>
      <c r="P3492" s="255" t="s">
        <v>461</v>
      </c>
      <c r="Q3492" s="259" t="s">
        <v>13779</v>
      </c>
      <c r="R3492" s="260" t="s">
        <v>13753</v>
      </c>
      <c r="S3492" s="401"/>
      <c r="T3492" s="255"/>
      <c r="U3492" s="255"/>
      <c r="V3492" s="255"/>
      <c r="W3492" s="341" t="s">
        <v>13808</v>
      </c>
      <c r="X3492" s="676" t="s">
        <v>13768</v>
      </c>
      <c r="Y3492" s="381"/>
      <c r="Z3492" s="382"/>
      <c r="AA3492" s="382"/>
      <c r="AB3492" s="145">
        <f t="shared" ca="1" si="83"/>
        <v>0.86054710073881069</v>
      </c>
      <c r="AC3492" s="840"/>
      <c r="AD3492" s="841"/>
      <c r="AE3492" s="961"/>
      <c r="AF3492" s="933">
        <f>IF(X3492=X3491,AF3491,0)+IF(ISNUMBER(I3492),IF(I3492&lt;1,I3492,I3492*VLOOKUP(J3492,Summary!$H$2:$I$9,2)),VLOOKUP(J3492,Summary!$J$2:$K$9,2)*IF(ISNUMBER(H3492),H3492,1))</f>
        <v>0.93824074074074093</v>
      </c>
      <c r="AG3492" s="305">
        <v>3491</v>
      </c>
      <c r="AH3492" s="94"/>
      <c r="AI3492" s="94"/>
      <c r="AJ3492" s="43"/>
    </row>
    <row r="3493" spans="1:36" s="3" customFormat="1" ht="12" customHeight="1" x14ac:dyDescent="0.25">
      <c r="A3493" s="578" t="s">
        <v>13769</v>
      </c>
      <c r="B3493" s="579" t="s">
        <v>13766</v>
      </c>
      <c r="C3493" s="578">
        <v>8</v>
      </c>
      <c r="D3493" s="580" t="s">
        <v>13809</v>
      </c>
      <c r="E3493" s="341" t="s">
        <v>13810</v>
      </c>
      <c r="F3493" s="256">
        <v>38292</v>
      </c>
      <c r="G3493" s="257"/>
      <c r="H3493" s="258" t="s">
        <v>461</v>
      </c>
      <c r="I3493" s="258"/>
      <c r="J3493" s="912" t="s">
        <v>2755</v>
      </c>
      <c r="K3493" s="259" t="s">
        <v>342</v>
      </c>
      <c r="L3493" s="259" t="s">
        <v>461</v>
      </c>
      <c r="M3493" s="259"/>
      <c r="N3493" s="259"/>
      <c r="O3493" s="259"/>
      <c r="P3493" s="255" t="s">
        <v>461</v>
      </c>
      <c r="Q3493" s="259" t="s">
        <v>13779</v>
      </c>
      <c r="R3493" s="260" t="s">
        <v>13753</v>
      </c>
      <c r="S3493" s="401"/>
      <c r="T3493" s="255"/>
      <c r="U3493" s="255"/>
      <c r="V3493" s="255"/>
      <c r="W3493" s="341" t="s">
        <v>13810</v>
      </c>
      <c r="X3493" s="676" t="s">
        <v>13768</v>
      </c>
      <c r="Y3493" s="381"/>
      <c r="Z3493" s="382"/>
      <c r="AA3493" s="382"/>
      <c r="AB3493" s="145">
        <f t="shared" ca="1" si="83"/>
        <v>0.91775542350799821</v>
      </c>
      <c r="AC3493" s="840"/>
      <c r="AD3493" s="891"/>
      <c r="AE3493" s="961"/>
      <c r="AF3493" s="933">
        <f>IF(X3493=X3492,AF3492,0)+IF(ISNUMBER(I3493),IF(I3493&lt;1,I3493,I3493*VLOOKUP(J3493,Summary!$H$2:$I$9,2)),VLOOKUP(J3493,Summary!$J$2:$K$9,2)*IF(ISNUMBER(H3493),H3493,1))</f>
        <v>0.95560185185185209</v>
      </c>
      <c r="AG3493" s="305">
        <v>3492</v>
      </c>
      <c r="AH3493" s="94"/>
      <c r="AI3493" s="94"/>
      <c r="AJ3493" s="43"/>
    </row>
    <row r="3494" spans="1:36" s="3" customFormat="1" ht="12" customHeight="1" x14ac:dyDescent="0.25">
      <c r="A3494" s="474" t="s">
        <v>13769</v>
      </c>
      <c r="B3494" s="507" t="s">
        <v>13766</v>
      </c>
      <c r="C3494" s="474">
        <v>5</v>
      </c>
      <c r="D3494" s="417" t="s">
        <v>13786</v>
      </c>
      <c r="E3494" s="316" t="s">
        <v>13789</v>
      </c>
      <c r="F3494" s="187">
        <v>38504</v>
      </c>
      <c r="G3494" s="195"/>
      <c r="H3494" s="188" t="s">
        <v>461</v>
      </c>
      <c r="I3494" s="188">
        <v>188</v>
      </c>
      <c r="J3494" s="902" t="s">
        <v>6868</v>
      </c>
      <c r="K3494" s="162" t="s">
        <v>342</v>
      </c>
      <c r="L3494" s="162" t="s">
        <v>461</v>
      </c>
      <c r="M3494" s="162"/>
      <c r="N3494" s="162"/>
      <c r="O3494" s="162"/>
      <c r="P3494" s="178" t="s">
        <v>13793</v>
      </c>
      <c r="Q3494" s="162" t="s">
        <v>13779</v>
      </c>
      <c r="R3494" s="189" t="s">
        <v>13754</v>
      </c>
      <c r="S3494" s="366"/>
      <c r="T3494" s="178"/>
      <c r="U3494" s="178"/>
      <c r="V3494" s="178"/>
      <c r="W3494" s="316" t="s">
        <v>13789</v>
      </c>
      <c r="X3494" s="648" t="s">
        <v>13768</v>
      </c>
      <c r="Y3494" s="356"/>
      <c r="Z3494" s="272"/>
      <c r="AA3494" s="272"/>
      <c r="AB3494" s="34">
        <f t="shared" ca="1" si="83"/>
        <v>0.91009085170443393</v>
      </c>
      <c r="AC3494" s="814"/>
      <c r="AD3494" s="815" t="s">
        <v>16656</v>
      </c>
      <c r="AE3494" s="942" t="s">
        <v>16651</v>
      </c>
      <c r="AF3494" s="923">
        <f>IF(X3494=X3493,AF3493,0)+IF(ISNUMBER(I3494),IF(I3494&lt;1,I3494,I3494*VLOOKUP(J3494,Summary!$H$2:$I$9,2)),VLOOKUP(J3494,Summary!$J$2:$K$9,2)*IF(ISNUMBER(H3494),H3494,1))</f>
        <v>1.0861574074074076</v>
      </c>
      <c r="AG3494" s="291">
        <v>3493</v>
      </c>
      <c r="AH3494" s="94"/>
      <c r="AI3494" s="94"/>
      <c r="AJ3494" s="43"/>
    </row>
    <row r="3495" spans="1:36" s="3" customFormat="1" ht="12" customHeight="1" x14ac:dyDescent="0.25">
      <c r="A3495" s="578" t="s">
        <v>13769</v>
      </c>
      <c r="B3495" s="579" t="s">
        <v>13766</v>
      </c>
      <c r="C3495" s="578">
        <v>9</v>
      </c>
      <c r="D3495" s="580" t="s">
        <v>13811</v>
      </c>
      <c r="E3495" s="341" t="s">
        <v>13812</v>
      </c>
      <c r="F3495" s="256">
        <v>38504</v>
      </c>
      <c r="G3495" s="257"/>
      <c r="H3495" s="258" t="s">
        <v>461</v>
      </c>
      <c r="I3495" s="258"/>
      <c r="J3495" s="912" t="s">
        <v>2755</v>
      </c>
      <c r="K3495" s="259" t="s">
        <v>3787</v>
      </c>
      <c r="L3495" s="259" t="s">
        <v>461</v>
      </c>
      <c r="M3495" s="259"/>
      <c r="N3495" s="259"/>
      <c r="O3495" s="259"/>
      <c r="P3495" s="255" t="s">
        <v>461</v>
      </c>
      <c r="Q3495" s="259" t="s">
        <v>13779</v>
      </c>
      <c r="R3495" s="260" t="s">
        <v>13753</v>
      </c>
      <c r="S3495" s="401"/>
      <c r="T3495" s="255"/>
      <c r="U3495" s="255"/>
      <c r="V3495" s="255"/>
      <c r="W3495" s="341" t="s">
        <v>13812</v>
      </c>
      <c r="X3495" s="676" t="s">
        <v>13768</v>
      </c>
      <c r="Y3495" s="381"/>
      <c r="Z3495" s="382"/>
      <c r="AA3495" s="382"/>
      <c r="AB3495" s="145">
        <f t="shared" ca="1" si="83"/>
        <v>0.49784344109544099</v>
      </c>
      <c r="AC3495" s="840"/>
      <c r="AD3495" s="841"/>
      <c r="AE3495" s="961"/>
      <c r="AF3495" s="933">
        <f>IF(X3495=X3494,AF3494,0)+IF(ISNUMBER(I3495),IF(I3495&lt;1,I3495,I3495*VLOOKUP(J3495,Summary!$H$2:$I$9,2)),VLOOKUP(J3495,Summary!$J$2:$K$9,2)*IF(ISNUMBER(H3495),H3495,1))</f>
        <v>1.1035185185185188</v>
      </c>
      <c r="AG3495" s="305">
        <v>3494</v>
      </c>
      <c r="AH3495" s="94"/>
      <c r="AI3495" s="94"/>
      <c r="AJ3495" s="43"/>
    </row>
    <row r="3496" spans="1:36" s="3" customFormat="1" ht="12" customHeight="1" x14ac:dyDescent="0.25">
      <c r="A3496" s="474" t="s">
        <v>13769</v>
      </c>
      <c r="B3496" s="507" t="s">
        <v>13766</v>
      </c>
      <c r="C3496" s="474">
        <v>6</v>
      </c>
      <c r="D3496" s="417" t="s">
        <v>13787</v>
      </c>
      <c r="E3496" s="316" t="s">
        <v>13790</v>
      </c>
      <c r="F3496" s="187">
        <v>39052</v>
      </c>
      <c r="G3496" s="195"/>
      <c r="H3496" s="188" t="s">
        <v>461</v>
      </c>
      <c r="I3496" s="188">
        <v>186</v>
      </c>
      <c r="J3496" s="902" t="s">
        <v>6868</v>
      </c>
      <c r="K3496" s="162" t="s">
        <v>3787</v>
      </c>
      <c r="L3496" s="162" t="s">
        <v>461</v>
      </c>
      <c r="M3496" s="162"/>
      <c r="N3496" s="162"/>
      <c r="O3496" s="162"/>
      <c r="P3496" s="178" t="s">
        <v>13794</v>
      </c>
      <c r="Q3496" s="162" t="s">
        <v>13779</v>
      </c>
      <c r="R3496" s="189" t="s">
        <v>13754</v>
      </c>
      <c r="S3496" s="366"/>
      <c r="T3496" s="178"/>
      <c r="U3496" s="178"/>
      <c r="V3496" s="178"/>
      <c r="W3496" s="316" t="s">
        <v>13790</v>
      </c>
      <c r="X3496" s="648" t="s">
        <v>13768</v>
      </c>
      <c r="Y3496" s="356"/>
      <c r="Z3496" s="272"/>
      <c r="AA3496" s="272"/>
      <c r="AB3496" s="34">
        <f t="shared" ca="1" si="83"/>
        <v>0.17287494681075977</v>
      </c>
      <c r="AC3496" s="814"/>
      <c r="AD3496" s="815" t="s">
        <v>16623</v>
      </c>
      <c r="AE3496" s="942"/>
      <c r="AF3496" s="923">
        <f>IF(X3496=X3495,AF3495,0)+IF(ISNUMBER(I3496),IF(I3496&lt;1,I3496,I3496*VLOOKUP(J3496,Summary!$H$2:$I$9,2)),VLOOKUP(J3496,Summary!$J$2:$K$9,2)*IF(ISNUMBER(H3496),H3496,1))</f>
        <v>1.2326851851851854</v>
      </c>
      <c r="AG3496" s="291">
        <v>3495</v>
      </c>
      <c r="AH3496" s="94"/>
      <c r="AI3496" s="94"/>
      <c r="AJ3496" s="1"/>
    </row>
    <row r="3497" spans="1:36" s="3" customFormat="1" ht="12" customHeight="1" x14ac:dyDescent="0.25">
      <c r="A3497" s="578" t="s">
        <v>5306</v>
      </c>
      <c r="B3497" s="579" t="s">
        <v>2650</v>
      </c>
      <c r="C3497" s="578">
        <v>3</v>
      </c>
      <c r="D3497" s="580" t="s">
        <v>13799</v>
      </c>
      <c r="E3497" s="341" t="s">
        <v>13800</v>
      </c>
      <c r="F3497" s="256">
        <v>37926</v>
      </c>
      <c r="G3497" s="257"/>
      <c r="H3497" s="258" t="s">
        <v>461</v>
      </c>
      <c r="I3497" s="258"/>
      <c r="J3497" s="912" t="s">
        <v>2755</v>
      </c>
      <c r="K3497" s="259" t="s">
        <v>5122</v>
      </c>
      <c r="L3497" s="259" t="s">
        <v>461</v>
      </c>
      <c r="M3497" s="259"/>
      <c r="N3497" s="259"/>
      <c r="O3497" s="259"/>
      <c r="P3497" s="255" t="s">
        <v>461</v>
      </c>
      <c r="Q3497" s="259" t="s">
        <v>13779</v>
      </c>
      <c r="R3497" s="260" t="s">
        <v>13753</v>
      </c>
      <c r="S3497" s="401"/>
      <c r="T3497" s="255" t="s">
        <v>7322</v>
      </c>
      <c r="U3497" s="255" t="s">
        <v>7324</v>
      </c>
      <c r="V3497" s="255"/>
      <c r="W3497" s="341" t="s">
        <v>13800</v>
      </c>
      <c r="X3497" s="676" t="s">
        <v>12450</v>
      </c>
      <c r="Y3497" s="381"/>
      <c r="Z3497" s="382"/>
      <c r="AA3497" s="382"/>
      <c r="AB3497" s="145">
        <f t="shared" ca="1" si="83"/>
        <v>0.16516895987726832</v>
      </c>
      <c r="AC3497" s="840"/>
      <c r="AD3497" s="841"/>
      <c r="AE3497" s="961"/>
      <c r="AF3497" s="933">
        <f>IF(X3497=X3496,AF3496,0)+IF(ISNUMBER(I3497),IF(I3497&lt;1,I3497,I3497*VLOOKUP(J3497,Summary!$H$2:$I$9,2)),VLOOKUP(J3497,Summary!$J$2:$K$9,2)*IF(ISNUMBER(H3497),H3497,1))</f>
        <v>1.7361111111111112E-2</v>
      </c>
      <c r="AG3497" s="305">
        <v>3496</v>
      </c>
      <c r="AH3497" s="94"/>
      <c r="AI3497" s="94"/>
      <c r="AJ3497" s="43"/>
    </row>
    <row r="3498" spans="1:36" s="3" customFormat="1" ht="12" customHeight="1" x14ac:dyDescent="0.25">
      <c r="A3498" s="569" t="s">
        <v>5306</v>
      </c>
      <c r="B3498" s="569">
        <v>8</v>
      </c>
      <c r="C3498" s="569">
        <v>27</v>
      </c>
      <c r="D3498" s="417" t="s">
        <v>2379</v>
      </c>
      <c r="E3498" s="316" t="s">
        <v>2380</v>
      </c>
      <c r="F3498" s="187">
        <v>36404</v>
      </c>
      <c r="G3498" s="188"/>
      <c r="H3498" s="188" t="s">
        <v>461</v>
      </c>
      <c r="I3498" s="188">
        <v>279</v>
      </c>
      <c r="J3498" s="902" t="s">
        <v>6868</v>
      </c>
      <c r="K3498" s="162" t="s">
        <v>5126</v>
      </c>
      <c r="L3498" s="162" t="str">
        <f>IF(J3498="Book","n/a","")</f>
        <v>n/a</v>
      </c>
      <c r="M3498" s="162"/>
      <c r="N3498" s="162"/>
      <c r="O3498" s="162"/>
      <c r="P3498" s="178" t="s">
        <v>9083</v>
      </c>
      <c r="Q3498" s="162" t="s">
        <v>3953</v>
      </c>
      <c r="R3498" s="189" t="s">
        <v>2714</v>
      </c>
      <c r="S3498" s="366"/>
      <c r="T3498" s="178" t="s">
        <v>7322</v>
      </c>
      <c r="U3498" s="178" t="s">
        <v>7324</v>
      </c>
      <c r="V3498" s="178" t="s">
        <v>3535</v>
      </c>
      <c r="W3498" s="316" t="s">
        <v>2380</v>
      </c>
      <c r="X3498" s="648" t="s">
        <v>12450</v>
      </c>
      <c r="Y3498" s="356" t="s">
        <v>6868</v>
      </c>
      <c r="Z3498" s="272">
        <v>185</v>
      </c>
      <c r="AA3498" s="272">
        <v>3.5</v>
      </c>
      <c r="AB3498" s="34">
        <f t="shared" ca="1" si="83"/>
        <v>0.65102792219129946</v>
      </c>
      <c r="AC3498" s="814"/>
      <c r="AD3498" s="815" t="s">
        <v>16386</v>
      </c>
      <c r="AE3498" s="942" t="s">
        <v>12543</v>
      </c>
      <c r="AF3498" s="923">
        <f>IF(X3498=X3497,AF3497,0)+IF(ISNUMBER(I3498),IF(I3498&lt;1,I3498,I3498*VLOOKUP(J3498,Summary!$H$2:$I$9,2)),VLOOKUP(J3498,Summary!$J$2:$K$9,2)*IF(ISNUMBER(H3498),H3498,1))</f>
        <v>0.21111111111111111</v>
      </c>
      <c r="AG3498" s="291">
        <v>3497</v>
      </c>
      <c r="AH3498" s="94"/>
      <c r="AI3498" s="94"/>
      <c r="AJ3498" s="43"/>
    </row>
    <row r="3499" spans="1:36" s="3" customFormat="1" ht="12" customHeight="1" x14ac:dyDescent="0.25">
      <c r="A3499" s="569" t="s">
        <v>5306</v>
      </c>
      <c r="B3499" s="569">
        <v>8</v>
      </c>
      <c r="C3499" s="569">
        <v>28</v>
      </c>
      <c r="D3499" s="417" t="s">
        <v>2381</v>
      </c>
      <c r="E3499" s="316" t="s">
        <v>2832</v>
      </c>
      <c r="F3499" s="187">
        <v>36434</v>
      </c>
      <c r="G3499" s="188"/>
      <c r="H3499" s="188" t="str">
        <f>IF(J3499="Book","n/a","")</f>
        <v>n/a</v>
      </c>
      <c r="I3499" s="188">
        <v>288</v>
      </c>
      <c r="J3499" s="902" t="s">
        <v>6868</v>
      </c>
      <c r="K3499" s="162" t="s">
        <v>5127</v>
      </c>
      <c r="L3499" s="162" t="str">
        <f>IF(J3499="Book","n/a","")</f>
        <v>n/a</v>
      </c>
      <c r="M3499" s="162"/>
      <c r="N3499" s="162"/>
      <c r="O3499" s="162"/>
      <c r="P3499" s="178" t="s">
        <v>9084</v>
      </c>
      <c r="Q3499" s="162" t="s">
        <v>3953</v>
      </c>
      <c r="R3499" s="189" t="s">
        <v>2714</v>
      </c>
      <c r="S3499" s="366"/>
      <c r="T3499" s="178" t="s">
        <v>7322</v>
      </c>
      <c r="U3499" s="178" t="s">
        <v>7324</v>
      </c>
      <c r="V3499" s="178"/>
      <c r="W3499" s="316" t="s">
        <v>2832</v>
      </c>
      <c r="X3499" s="648" t="s">
        <v>12450</v>
      </c>
      <c r="Y3499" s="356" t="s">
        <v>6868</v>
      </c>
      <c r="Z3499" s="272"/>
      <c r="AA3499" s="272"/>
      <c r="AB3499" s="34">
        <f t="shared" ca="1" si="83"/>
        <v>0.80801718990732319</v>
      </c>
      <c r="AC3499" s="814"/>
      <c r="AD3499" s="818" t="s">
        <v>16063</v>
      </c>
      <c r="AE3499" s="942" t="s">
        <v>16570</v>
      </c>
      <c r="AF3499" s="923">
        <f>IF(X3499=X3498,AF3498,0)+IF(ISNUMBER(I3499),IF(I3499&lt;1,I3499,I3499*VLOOKUP(J3499,Summary!$H$2:$I$9,2)),VLOOKUP(J3499,Summary!$J$2:$K$9,2)*IF(ISNUMBER(H3499),H3499,1))</f>
        <v>0.41111111111111109</v>
      </c>
      <c r="AG3499" s="291">
        <v>3498</v>
      </c>
      <c r="AH3499" s="94"/>
      <c r="AI3499" s="94"/>
    </row>
    <row r="3500" spans="1:36" s="3" customFormat="1" ht="12" customHeight="1" x14ac:dyDescent="0.25">
      <c r="A3500" s="569" t="s">
        <v>5306</v>
      </c>
      <c r="B3500" s="569">
        <v>8</v>
      </c>
      <c r="C3500" s="569">
        <v>29</v>
      </c>
      <c r="D3500" s="417" t="s">
        <v>2833</v>
      </c>
      <c r="E3500" s="316" t="s">
        <v>2834</v>
      </c>
      <c r="F3500" s="187">
        <v>36465</v>
      </c>
      <c r="G3500" s="188"/>
      <c r="H3500" s="188" t="str">
        <f>IF(J3500="Book","n/a","")</f>
        <v>n/a</v>
      </c>
      <c r="I3500" s="188">
        <v>273</v>
      </c>
      <c r="J3500" s="902" t="s">
        <v>6868</v>
      </c>
      <c r="K3500" s="162" t="s">
        <v>4551</v>
      </c>
      <c r="L3500" s="162" t="str">
        <f>IF(J3500="Book","n/a","")</f>
        <v>n/a</v>
      </c>
      <c r="M3500" s="162"/>
      <c r="N3500" s="162"/>
      <c r="O3500" s="162"/>
      <c r="P3500" s="178" t="s">
        <v>9085</v>
      </c>
      <c r="Q3500" s="162" t="s">
        <v>3953</v>
      </c>
      <c r="R3500" s="189" t="s">
        <v>2714</v>
      </c>
      <c r="S3500" s="366"/>
      <c r="T3500" s="178" t="s">
        <v>7322</v>
      </c>
      <c r="U3500" s="178" t="s">
        <v>7324</v>
      </c>
      <c r="V3500" s="178"/>
      <c r="W3500" s="316" t="s">
        <v>2834</v>
      </c>
      <c r="X3500" s="648" t="s">
        <v>12450</v>
      </c>
      <c r="Y3500" s="356"/>
      <c r="Z3500" s="272"/>
      <c r="AA3500" s="272"/>
      <c r="AB3500" s="34">
        <f t="shared" ca="1" si="83"/>
        <v>0.15962910932120755</v>
      </c>
      <c r="AC3500" s="814"/>
      <c r="AD3500" s="815"/>
      <c r="AE3500" s="942"/>
      <c r="AF3500" s="923">
        <f>IF(X3500=X3499,AF3499,0)+IF(ISNUMBER(I3500),IF(I3500&lt;1,I3500,I3500*VLOOKUP(J3500,Summary!$H$2:$I$9,2)),VLOOKUP(J3500,Summary!$J$2:$K$9,2)*IF(ISNUMBER(H3500),H3500,1))</f>
        <v>0.60069444444444442</v>
      </c>
      <c r="AG3500" s="291">
        <v>3499</v>
      </c>
      <c r="AH3500" s="94"/>
      <c r="AI3500" s="94"/>
      <c r="AJ3500" s="43"/>
    </row>
    <row r="3501" spans="1:36" s="1" customFormat="1" ht="12" customHeight="1" x14ac:dyDescent="0.25">
      <c r="A3501" s="569" t="s">
        <v>5306</v>
      </c>
      <c r="B3501" s="569">
        <v>8</v>
      </c>
      <c r="C3501" s="569">
        <v>30</v>
      </c>
      <c r="D3501" s="417" t="s">
        <v>2835</v>
      </c>
      <c r="E3501" s="316" t="s">
        <v>2836</v>
      </c>
      <c r="F3501" s="187">
        <v>36526</v>
      </c>
      <c r="G3501" s="188"/>
      <c r="H3501" s="188" t="str">
        <f>IF(J3501="Book","n/a","")</f>
        <v>n/a</v>
      </c>
      <c r="I3501" s="188">
        <v>282</v>
      </c>
      <c r="J3501" s="902" t="s">
        <v>6868</v>
      </c>
      <c r="K3501" s="162" t="s">
        <v>5128</v>
      </c>
      <c r="L3501" s="162" t="str">
        <f>IF(J3501="Book","n/a","")</f>
        <v>n/a</v>
      </c>
      <c r="M3501" s="162"/>
      <c r="N3501" s="162"/>
      <c r="O3501" s="162"/>
      <c r="P3501" s="178" t="s">
        <v>9086</v>
      </c>
      <c r="Q3501" s="162" t="s">
        <v>3953</v>
      </c>
      <c r="R3501" s="189" t="s">
        <v>2714</v>
      </c>
      <c r="S3501" s="366"/>
      <c r="T3501" s="178" t="s">
        <v>7322</v>
      </c>
      <c r="U3501" s="178" t="s">
        <v>7324</v>
      </c>
      <c r="V3501" s="178"/>
      <c r="W3501" s="316" t="s">
        <v>2836</v>
      </c>
      <c r="X3501" s="648" t="s">
        <v>12450</v>
      </c>
      <c r="Y3501" s="356"/>
      <c r="Z3501" s="272"/>
      <c r="AA3501" s="272"/>
      <c r="AB3501" s="34">
        <f t="shared" ca="1" si="83"/>
        <v>0.91483337044153901</v>
      </c>
      <c r="AC3501" s="814"/>
      <c r="AD3501" s="815"/>
      <c r="AE3501" s="942"/>
      <c r="AF3501" s="923">
        <f>IF(X3501=X3500,AF3500,0)+IF(ISNUMBER(I3501),IF(I3501&lt;1,I3501,I3501*VLOOKUP(J3501,Summary!$H$2:$I$9,2)),VLOOKUP(J3501,Summary!$J$2:$K$9,2)*IF(ISNUMBER(H3501),H3501,1))</f>
        <v>0.79652777777777772</v>
      </c>
      <c r="AG3501" s="291">
        <v>3500</v>
      </c>
      <c r="AH3501" s="94"/>
      <c r="AI3501" s="94"/>
      <c r="AJ3501" s="43"/>
    </row>
    <row r="3502" spans="1:36" s="3" customFormat="1" ht="12" customHeight="1" x14ac:dyDescent="0.25">
      <c r="A3502" s="571" t="s">
        <v>5306</v>
      </c>
      <c r="B3502" s="571">
        <v>8</v>
      </c>
      <c r="C3502" s="571">
        <v>4.0199999999999996</v>
      </c>
      <c r="D3502" s="434" t="s">
        <v>2402</v>
      </c>
      <c r="E3502" s="324" t="s">
        <v>2401</v>
      </c>
      <c r="F3502" s="174">
        <v>37591</v>
      </c>
      <c r="G3502" s="174"/>
      <c r="H3502" s="176">
        <v>1</v>
      </c>
      <c r="I3502" s="176">
        <v>11</v>
      </c>
      <c r="J3502" s="900" t="s">
        <v>2755</v>
      </c>
      <c r="K3502" s="164" t="s">
        <v>6232</v>
      </c>
      <c r="L3502" s="164" t="s">
        <v>461</v>
      </c>
      <c r="M3502" s="164"/>
      <c r="N3502" s="164" t="s">
        <v>4552</v>
      </c>
      <c r="O3502" s="164"/>
      <c r="P3502" s="173" t="s">
        <v>6556</v>
      </c>
      <c r="Q3502" s="164" t="s">
        <v>3947</v>
      </c>
      <c r="R3502" s="179" t="s">
        <v>2723</v>
      </c>
      <c r="S3502" s="354"/>
      <c r="T3502" s="173" t="s">
        <v>7322</v>
      </c>
      <c r="U3502" s="173"/>
      <c r="V3502" s="173"/>
      <c r="W3502" s="324" t="s">
        <v>2401</v>
      </c>
      <c r="X3502" s="656" t="s">
        <v>12450</v>
      </c>
      <c r="Y3502" s="363"/>
      <c r="Z3502" s="364"/>
      <c r="AA3502" s="364"/>
      <c r="AB3502" s="32">
        <f t="shared" ca="1" si="83"/>
        <v>0.10666031098057849</v>
      </c>
      <c r="AC3502" s="812"/>
      <c r="AD3502" s="763"/>
      <c r="AE3502" s="951"/>
      <c r="AF3502" s="921">
        <f>IF(X3502=X3501,AF3501,0)+IF(ISNUMBER(I3502),IF(I3502&lt;1,I3502,I3502*VLOOKUP(J3502,Summary!$H$2:$I$9,2)),VLOOKUP(J3502,Summary!$J$2:$K$9,2)*IF(ISNUMBER(H3502),H3502,1))</f>
        <v>0.80416666666666659</v>
      </c>
      <c r="AG3502" s="288">
        <v>3501</v>
      </c>
      <c r="AH3502" s="94"/>
      <c r="AI3502" s="94"/>
      <c r="AJ3502" s="43"/>
    </row>
    <row r="3503" spans="1:36" s="3" customFormat="1" ht="12" customHeight="1" x14ac:dyDescent="0.25">
      <c r="A3503" s="571" t="s">
        <v>5306</v>
      </c>
      <c r="B3503" s="571">
        <v>8</v>
      </c>
      <c r="C3503" s="574">
        <v>28.06</v>
      </c>
      <c r="D3503" s="434" t="s">
        <v>3785</v>
      </c>
      <c r="E3503" s="324" t="s">
        <v>4354</v>
      </c>
      <c r="F3503" s="174">
        <v>39630</v>
      </c>
      <c r="G3503" s="174"/>
      <c r="H3503" s="176" t="s">
        <v>461</v>
      </c>
      <c r="I3503" s="176">
        <v>13</v>
      </c>
      <c r="J3503" s="900" t="s">
        <v>2755</v>
      </c>
      <c r="K3503" s="164" t="s">
        <v>3786</v>
      </c>
      <c r="L3503" s="164" t="s">
        <v>461</v>
      </c>
      <c r="M3503" s="164"/>
      <c r="N3503" s="164" t="s">
        <v>185</v>
      </c>
      <c r="O3503" s="164"/>
      <c r="P3503" s="173" t="s">
        <v>6704</v>
      </c>
      <c r="Q3503" s="164" t="s">
        <v>3947</v>
      </c>
      <c r="R3503" s="179" t="s">
        <v>2723</v>
      </c>
      <c r="S3503" s="354"/>
      <c r="T3503" s="173"/>
      <c r="U3503" s="173"/>
      <c r="V3503" s="173"/>
      <c r="W3503" s="324" t="s">
        <v>4354</v>
      </c>
      <c r="X3503" s="656" t="s">
        <v>12450</v>
      </c>
      <c r="Y3503" s="363"/>
      <c r="Z3503" s="364">
        <v>999</v>
      </c>
      <c r="AA3503" s="364"/>
      <c r="AB3503" s="32">
        <f t="shared" ca="1" si="83"/>
        <v>0.96761304106927204</v>
      </c>
      <c r="AC3503" s="812"/>
      <c r="AD3503" s="763"/>
      <c r="AE3503" s="951"/>
      <c r="AF3503" s="921">
        <f>IF(X3503=X3502,AF3502,0)+IF(ISNUMBER(I3503),IF(I3503&lt;1,I3503,I3503*VLOOKUP(J3503,Summary!$H$2:$I$9,2)),VLOOKUP(J3503,Summary!$J$2:$K$9,2)*IF(ISNUMBER(H3503),H3503,1))</f>
        <v>0.81319444444444433</v>
      </c>
      <c r="AG3503" s="288">
        <v>3502</v>
      </c>
      <c r="AH3503" s="94"/>
      <c r="AI3503" s="94"/>
      <c r="AJ3503" s="43"/>
    </row>
    <row r="3504" spans="1:36" s="3" customFormat="1" ht="12" customHeight="1" x14ac:dyDescent="0.25">
      <c r="A3504" s="569" t="s">
        <v>5306</v>
      </c>
      <c r="B3504" s="569">
        <v>8</v>
      </c>
      <c r="C3504" s="569">
        <v>31</v>
      </c>
      <c r="D3504" s="417" t="s">
        <v>2837</v>
      </c>
      <c r="E3504" s="316" t="s">
        <v>2838</v>
      </c>
      <c r="F3504" s="187">
        <v>36557</v>
      </c>
      <c r="G3504" s="188"/>
      <c r="H3504" s="188" t="str">
        <f t="shared" ref="H3504:H3509" si="84">IF(J3504="Book","n/a","")</f>
        <v>n/a</v>
      </c>
      <c r="I3504" s="188">
        <v>288</v>
      </c>
      <c r="J3504" s="902" t="s">
        <v>6868</v>
      </c>
      <c r="K3504" s="162" t="s">
        <v>3807</v>
      </c>
      <c r="L3504" s="162" t="str">
        <f t="shared" ref="L3504:L3509" si="85">IF(J3504="Book","n/a","")</f>
        <v>n/a</v>
      </c>
      <c r="M3504" s="162"/>
      <c r="N3504" s="162"/>
      <c r="O3504" s="162"/>
      <c r="P3504" s="178" t="s">
        <v>9087</v>
      </c>
      <c r="Q3504" s="162" t="s">
        <v>3953</v>
      </c>
      <c r="R3504" s="189" t="s">
        <v>2714</v>
      </c>
      <c r="S3504" s="366"/>
      <c r="T3504" s="178" t="s">
        <v>7322</v>
      </c>
      <c r="U3504" s="178" t="s">
        <v>7324</v>
      </c>
      <c r="V3504" s="178"/>
      <c r="W3504" s="316" t="s">
        <v>2838</v>
      </c>
      <c r="X3504" s="648" t="s">
        <v>12450</v>
      </c>
      <c r="Y3504" s="356"/>
      <c r="Z3504" s="272"/>
      <c r="AA3504" s="272"/>
      <c r="AB3504" s="34">
        <f t="shared" ca="1" si="83"/>
        <v>0.68564554122723276</v>
      </c>
      <c r="AC3504" s="814"/>
      <c r="AD3504" s="815" t="s">
        <v>16073</v>
      </c>
      <c r="AE3504" s="942" t="s">
        <v>16571</v>
      </c>
      <c r="AF3504" s="923">
        <f>IF(X3504=X3503,AF3503,0)+IF(ISNUMBER(I3504),IF(I3504&lt;1,I3504,I3504*VLOOKUP(J3504,Summary!$H$2:$I$9,2)),VLOOKUP(J3504,Summary!$J$2:$K$9,2)*IF(ISNUMBER(H3504),H3504,1))</f>
        <v>1.0131944444444443</v>
      </c>
      <c r="AG3504" s="291">
        <v>3503</v>
      </c>
      <c r="AH3504" s="94"/>
      <c r="AI3504" s="94"/>
      <c r="AJ3504" s="43"/>
    </row>
    <row r="3505" spans="1:36" s="147" customFormat="1" ht="12" customHeight="1" x14ac:dyDescent="0.25">
      <c r="A3505" s="569" t="s">
        <v>5306</v>
      </c>
      <c r="B3505" s="569">
        <v>8</v>
      </c>
      <c r="C3505" s="569">
        <v>32</v>
      </c>
      <c r="D3505" s="417" t="s">
        <v>2839</v>
      </c>
      <c r="E3505" s="316" t="s">
        <v>2840</v>
      </c>
      <c r="F3505" s="187">
        <v>36586</v>
      </c>
      <c r="G3505" s="188"/>
      <c r="H3505" s="188" t="str">
        <f t="shared" si="84"/>
        <v>n/a</v>
      </c>
      <c r="I3505" s="188">
        <v>286</v>
      </c>
      <c r="J3505" s="902" t="s">
        <v>6868</v>
      </c>
      <c r="K3505" s="162" t="s">
        <v>4034</v>
      </c>
      <c r="L3505" s="162" t="str">
        <f t="shared" si="85"/>
        <v>n/a</v>
      </c>
      <c r="M3505" s="162"/>
      <c r="N3505" s="162"/>
      <c r="O3505" s="162"/>
      <c r="P3505" s="178" t="s">
        <v>9088</v>
      </c>
      <c r="Q3505" s="162" t="s">
        <v>3953</v>
      </c>
      <c r="R3505" s="189" t="s">
        <v>2714</v>
      </c>
      <c r="S3505" s="366"/>
      <c r="T3505" s="178" t="s">
        <v>7322</v>
      </c>
      <c r="U3505" s="178" t="s">
        <v>7324</v>
      </c>
      <c r="V3505" s="178"/>
      <c r="W3505" s="316" t="s">
        <v>2840</v>
      </c>
      <c r="X3505" s="648" t="s">
        <v>12450</v>
      </c>
      <c r="Y3505" s="356"/>
      <c r="Z3505" s="272"/>
      <c r="AA3505" s="272"/>
      <c r="AB3505" s="34">
        <f t="shared" ca="1" si="83"/>
        <v>7.052806875152684E-2</v>
      </c>
      <c r="AC3505" s="814"/>
      <c r="AD3505" s="815" t="s">
        <v>16336</v>
      </c>
      <c r="AE3505" s="942"/>
      <c r="AF3505" s="923">
        <f>IF(X3505=X3504,AF3504,0)+IF(ISNUMBER(I3505),IF(I3505&lt;1,I3505,I3505*VLOOKUP(J3505,Summary!$H$2:$I$9,2)),VLOOKUP(J3505,Summary!$J$2:$K$9,2)*IF(ISNUMBER(H3505),H3505,1))</f>
        <v>1.2118055555555554</v>
      </c>
      <c r="AG3505" s="291">
        <v>3504</v>
      </c>
      <c r="AH3505" s="122"/>
      <c r="AI3505" s="122"/>
      <c r="AJ3505" s="146"/>
    </row>
    <row r="3506" spans="1:36" s="1" customFormat="1" ht="12" customHeight="1" x14ac:dyDescent="0.25">
      <c r="A3506" s="569" t="s">
        <v>5306</v>
      </c>
      <c r="B3506" s="569">
        <v>8</v>
      </c>
      <c r="C3506" s="569">
        <v>33</v>
      </c>
      <c r="D3506" s="417" t="s">
        <v>2841</v>
      </c>
      <c r="E3506" s="316" t="s">
        <v>2842</v>
      </c>
      <c r="F3506" s="187">
        <v>36617</v>
      </c>
      <c r="G3506" s="188"/>
      <c r="H3506" s="188" t="str">
        <f t="shared" si="84"/>
        <v>n/a</v>
      </c>
      <c r="I3506" s="188">
        <v>279</v>
      </c>
      <c r="J3506" s="902" t="s">
        <v>6868</v>
      </c>
      <c r="K3506" s="162" t="s">
        <v>4032</v>
      </c>
      <c r="L3506" s="162" t="str">
        <f t="shared" si="85"/>
        <v>n/a</v>
      </c>
      <c r="M3506" s="162"/>
      <c r="N3506" s="162"/>
      <c r="O3506" s="162"/>
      <c r="P3506" s="178" t="s">
        <v>9089</v>
      </c>
      <c r="Q3506" s="162" t="s">
        <v>3953</v>
      </c>
      <c r="R3506" s="189" t="s">
        <v>2714</v>
      </c>
      <c r="S3506" s="366"/>
      <c r="T3506" s="178" t="s">
        <v>7322</v>
      </c>
      <c r="U3506" s="178" t="s">
        <v>7324</v>
      </c>
      <c r="V3506" s="178"/>
      <c r="W3506" s="316" t="s">
        <v>2842</v>
      </c>
      <c r="X3506" s="648" t="s">
        <v>12450</v>
      </c>
      <c r="Y3506" s="356"/>
      <c r="Z3506" s="272"/>
      <c r="AA3506" s="272"/>
      <c r="AB3506" s="34">
        <f t="shared" ca="1" si="83"/>
        <v>0.83170356705190884</v>
      </c>
      <c r="AC3506" s="814"/>
      <c r="AD3506" s="815"/>
      <c r="AE3506" s="942"/>
      <c r="AF3506" s="923">
        <f>IF(X3506=X3505,AF3505,0)+IF(ISNUMBER(I3506),IF(I3506&lt;1,I3506,I3506*VLOOKUP(J3506,Summary!$H$2:$I$9,2)),VLOOKUP(J3506,Summary!$J$2:$K$9,2)*IF(ISNUMBER(H3506),H3506,1))</f>
        <v>1.4055555555555554</v>
      </c>
      <c r="AG3506" s="291">
        <v>3505</v>
      </c>
      <c r="AH3506" s="94"/>
      <c r="AI3506" s="94"/>
      <c r="AJ3506" s="43"/>
    </row>
    <row r="3507" spans="1:36" s="147" customFormat="1" ht="12" customHeight="1" x14ac:dyDescent="0.25">
      <c r="A3507" s="569" t="s">
        <v>5306</v>
      </c>
      <c r="B3507" s="569">
        <v>8</v>
      </c>
      <c r="C3507" s="569">
        <v>34</v>
      </c>
      <c r="D3507" s="417" t="s">
        <v>2843</v>
      </c>
      <c r="E3507" s="316" t="s">
        <v>2844</v>
      </c>
      <c r="F3507" s="187">
        <v>36647</v>
      </c>
      <c r="G3507" s="188"/>
      <c r="H3507" s="188" t="str">
        <f t="shared" si="84"/>
        <v>n/a</v>
      </c>
      <c r="I3507" s="188">
        <v>237</v>
      </c>
      <c r="J3507" s="902" t="s">
        <v>6868</v>
      </c>
      <c r="K3507" s="162" t="s">
        <v>176</v>
      </c>
      <c r="L3507" s="162" t="str">
        <f t="shared" si="85"/>
        <v>n/a</v>
      </c>
      <c r="M3507" s="162"/>
      <c r="N3507" s="162"/>
      <c r="O3507" s="162"/>
      <c r="P3507" s="178" t="s">
        <v>9090</v>
      </c>
      <c r="Q3507" s="162" t="s">
        <v>3953</v>
      </c>
      <c r="R3507" s="189" t="s">
        <v>2714</v>
      </c>
      <c r="S3507" s="366"/>
      <c r="T3507" s="178" t="s">
        <v>7322</v>
      </c>
      <c r="U3507" s="178" t="s">
        <v>7324</v>
      </c>
      <c r="V3507" s="178"/>
      <c r="W3507" s="316" t="s">
        <v>2844</v>
      </c>
      <c r="X3507" s="648" t="s">
        <v>12450</v>
      </c>
      <c r="Y3507" s="356"/>
      <c r="Z3507" s="272"/>
      <c r="AA3507" s="272"/>
      <c r="AB3507" s="34">
        <f t="shared" ca="1" si="83"/>
        <v>0.53739523613580953</v>
      </c>
      <c r="AC3507" s="814"/>
      <c r="AD3507" s="815" t="s">
        <v>16337</v>
      </c>
      <c r="AE3507" s="942"/>
      <c r="AF3507" s="923">
        <f>IF(X3507=X3506,AF3506,0)+IF(ISNUMBER(I3507),IF(I3507&lt;1,I3507,I3507*VLOOKUP(J3507,Summary!$H$2:$I$9,2)),VLOOKUP(J3507,Summary!$J$2:$K$9,2)*IF(ISNUMBER(H3507),H3507,1))</f>
        <v>1.5701388888888888</v>
      </c>
      <c r="AG3507" s="291">
        <v>3506</v>
      </c>
      <c r="AH3507" s="122"/>
      <c r="AI3507" s="122"/>
      <c r="AJ3507" s="146"/>
    </row>
    <row r="3508" spans="1:36" s="147" customFormat="1" ht="12" customHeight="1" x14ac:dyDescent="0.25">
      <c r="A3508" s="569" t="s">
        <v>5306</v>
      </c>
      <c r="B3508" s="569">
        <v>8</v>
      </c>
      <c r="C3508" s="569">
        <v>35</v>
      </c>
      <c r="D3508" s="417" t="s">
        <v>2845</v>
      </c>
      <c r="E3508" s="316" t="s">
        <v>2846</v>
      </c>
      <c r="F3508" s="187">
        <v>36678</v>
      </c>
      <c r="G3508" s="188"/>
      <c r="H3508" s="188" t="str">
        <f t="shared" si="84"/>
        <v>n/a</v>
      </c>
      <c r="I3508" s="188">
        <v>276</v>
      </c>
      <c r="J3508" s="902" t="s">
        <v>6868</v>
      </c>
      <c r="K3508" s="162" t="s">
        <v>333</v>
      </c>
      <c r="L3508" s="162" t="str">
        <f t="shared" si="85"/>
        <v>n/a</v>
      </c>
      <c r="M3508" s="162"/>
      <c r="N3508" s="162"/>
      <c r="O3508" s="162"/>
      <c r="P3508" s="178" t="s">
        <v>9091</v>
      </c>
      <c r="Q3508" s="162" t="s">
        <v>3953</v>
      </c>
      <c r="R3508" s="189" t="s">
        <v>2714</v>
      </c>
      <c r="S3508" s="366"/>
      <c r="T3508" s="178" t="s">
        <v>7322</v>
      </c>
      <c r="U3508" s="178" t="s">
        <v>7324</v>
      </c>
      <c r="V3508" s="178"/>
      <c r="W3508" s="316" t="s">
        <v>2846</v>
      </c>
      <c r="X3508" s="648" t="s">
        <v>12450</v>
      </c>
      <c r="Y3508" s="356"/>
      <c r="Z3508" s="272">
        <v>143</v>
      </c>
      <c r="AA3508" s="272">
        <v>4.5</v>
      </c>
      <c r="AB3508" s="34">
        <f t="shared" ca="1" si="83"/>
        <v>0.96658843341955925</v>
      </c>
      <c r="AC3508" s="814"/>
      <c r="AD3508" s="815" t="s">
        <v>16650</v>
      </c>
      <c r="AE3508" s="942"/>
      <c r="AF3508" s="923">
        <f>IF(X3508=X3507,AF3507,0)+IF(ISNUMBER(I3508),IF(I3508&lt;1,I3508,I3508*VLOOKUP(J3508,Summary!$H$2:$I$9,2)),VLOOKUP(J3508,Summary!$J$2:$K$9,2)*IF(ISNUMBER(H3508),H3508,1))</f>
        <v>1.7618055555555554</v>
      </c>
      <c r="AG3508" s="291">
        <v>3507</v>
      </c>
      <c r="AH3508" s="122"/>
      <c r="AI3508" s="122"/>
      <c r="AJ3508" s="146"/>
    </row>
    <row r="3509" spans="1:36" s="147" customFormat="1" ht="12" customHeight="1" x14ac:dyDescent="0.25">
      <c r="A3509" s="569" t="s">
        <v>5306</v>
      </c>
      <c r="B3509" s="569">
        <v>8</v>
      </c>
      <c r="C3509" s="569">
        <v>36</v>
      </c>
      <c r="D3509" s="417" t="s">
        <v>2847</v>
      </c>
      <c r="E3509" s="316" t="s">
        <v>4384</v>
      </c>
      <c r="F3509" s="195">
        <v>36708</v>
      </c>
      <c r="G3509" s="188"/>
      <c r="H3509" s="188" t="str">
        <f t="shared" si="84"/>
        <v>n/a</v>
      </c>
      <c r="I3509" s="188">
        <v>288</v>
      </c>
      <c r="J3509" s="902" t="s">
        <v>6868</v>
      </c>
      <c r="K3509" s="162" t="s">
        <v>334</v>
      </c>
      <c r="L3509" s="162" t="str">
        <f t="shared" si="85"/>
        <v>n/a</v>
      </c>
      <c r="M3509" s="162"/>
      <c r="N3509" s="162"/>
      <c r="O3509" s="162"/>
      <c r="P3509" s="178" t="s">
        <v>9092</v>
      </c>
      <c r="Q3509" s="162" t="s">
        <v>3953</v>
      </c>
      <c r="R3509" s="189" t="s">
        <v>2714</v>
      </c>
      <c r="S3509" s="366"/>
      <c r="T3509" s="178" t="s">
        <v>7322</v>
      </c>
      <c r="U3509" s="178" t="s">
        <v>7324</v>
      </c>
      <c r="V3509" s="178"/>
      <c r="W3509" s="316" t="s">
        <v>4384</v>
      </c>
      <c r="X3509" s="648" t="s">
        <v>12450</v>
      </c>
      <c r="Y3509" s="356" t="s">
        <v>5656</v>
      </c>
      <c r="Z3509" s="272">
        <v>96</v>
      </c>
      <c r="AA3509" s="272">
        <v>5</v>
      </c>
      <c r="AB3509" s="34">
        <f t="shared" ca="1" si="83"/>
        <v>0.60181872505209733</v>
      </c>
      <c r="AC3509" s="814"/>
      <c r="AD3509" s="815" t="s">
        <v>16628</v>
      </c>
      <c r="AE3509" s="942" t="s">
        <v>16629</v>
      </c>
      <c r="AF3509" s="923">
        <f>IF(X3509=X3508,AF3508,0)+IF(ISNUMBER(I3509),IF(I3509&lt;1,I3509,I3509*VLOOKUP(J3509,Summary!$H$2:$I$9,2)),VLOOKUP(J3509,Summary!$J$2:$K$9,2)*IF(ISNUMBER(H3509),H3509,1))</f>
        <v>1.9618055555555554</v>
      </c>
      <c r="AG3509" s="291">
        <v>3508</v>
      </c>
      <c r="AH3509" s="122"/>
      <c r="AI3509" s="122"/>
      <c r="AJ3509" s="146"/>
    </row>
    <row r="3510" spans="1:36" s="1" customFormat="1" ht="12" customHeight="1" x14ac:dyDescent="0.25">
      <c r="A3510" s="405" t="s">
        <v>13813</v>
      </c>
      <c r="B3510" s="406" t="s">
        <v>13766</v>
      </c>
      <c r="C3510" s="405">
        <v>1</v>
      </c>
      <c r="D3510" s="407" t="s">
        <v>13814</v>
      </c>
      <c r="E3510" s="315" t="s">
        <v>13815</v>
      </c>
      <c r="F3510" s="196">
        <v>38556</v>
      </c>
      <c r="G3510" s="170"/>
      <c r="H3510" s="170">
        <v>1</v>
      </c>
      <c r="I3510" s="746">
        <f>TIME(1,19,0)</f>
        <v>5.486111111111111E-2</v>
      </c>
      <c r="J3510" s="899" t="s">
        <v>4706</v>
      </c>
      <c r="K3510" s="167" t="s">
        <v>5122</v>
      </c>
      <c r="L3510" s="167" t="s">
        <v>11267</v>
      </c>
      <c r="M3510" s="167"/>
      <c r="N3510" s="167"/>
      <c r="O3510" s="167"/>
      <c r="P3510" s="168"/>
      <c r="Q3510" s="167" t="s">
        <v>11269</v>
      </c>
      <c r="R3510" s="172" t="s">
        <v>13752</v>
      </c>
      <c r="S3510" s="388"/>
      <c r="T3510" s="168"/>
      <c r="U3510" s="168"/>
      <c r="V3510" s="168"/>
      <c r="W3510" s="315" t="s">
        <v>13815</v>
      </c>
      <c r="X3510" s="647" t="s">
        <v>13816</v>
      </c>
      <c r="Y3510" s="352"/>
      <c r="Z3510" s="353"/>
      <c r="AA3510" s="353"/>
      <c r="AB3510" s="31">
        <f t="shared" ca="1" si="83"/>
        <v>0.15132566245389201</v>
      </c>
      <c r="AC3510" s="810"/>
      <c r="AD3510" s="811" t="s">
        <v>16781</v>
      </c>
      <c r="AE3510" s="940" t="s">
        <v>15116</v>
      </c>
      <c r="AF3510" s="920">
        <f>IF(X3510=X3509,AF3509,0)+IF(ISNUMBER(I3510),IF(I3510&lt;1,I3510,I3510*VLOOKUP(J3510,Summary!$H$2:$I$9,2)),VLOOKUP(J3510,Summary!$J$2:$K$9,2)*IF(ISNUMBER(H3510),H3510,1))</f>
        <v>5.486111111111111E-2</v>
      </c>
      <c r="AG3510" s="287">
        <v>3509</v>
      </c>
      <c r="AH3510" s="94"/>
      <c r="AI3510" s="94"/>
      <c r="AJ3510" s="43"/>
    </row>
    <row r="3511" spans="1:36" s="147" customFormat="1" ht="12" customHeight="1" x14ac:dyDescent="0.25">
      <c r="A3511" s="405" t="s">
        <v>13813</v>
      </c>
      <c r="B3511" s="406" t="s">
        <v>13766</v>
      </c>
      <c r="C3511" s="405">
        <v>2</v>
      </c>
      <c r="D3511" s="407" t="s">
        <v>13817</v>
      </c>
      <c r="E3511" s="315" t="s">
        <v>13818</v>
      </c>
      <c r="F3511" s="196">
        <v>38822</v>
      </c>
      <c r="G3511" s="170"/>
      <c r="H3511" s="170">
        <v>1</v>
      </c>
      <c r="I3511" s="747">
        <f>TIME(0,60,0)</f>
        <v>4.1666666666666664E-2</v>
      </c>
      <c r="J3511" s="899" t="s">
        <v>4706</v>
      </c>
      <c r="K3511" s="167" t="s">
        <v>5122</v>
      </c>
      <c r="L3511" s="167" t="s">
        <v>13819</v>
      </c>
      <c r="M3511" s="167"/>
      <c r="N3511" s="167"/>
      <c r="O3511" s="167"/>
      <c r="P3511" s="168"/>
      <c r="Q3511" s="167" t="s">
        <v>11269</v>
      </c>
      <c r="R3511" s="172" t="s">
        <v>13752</v>
      </c>
      <c r="S3511" s="388"/>
      <c r="T3511" s="168"/>
      <c r="U3511" s="168"/>
      <c r="V3511" s="168"/>
      <c r="W3511" s="315" t="s">
        <v>13818</v>
      </c>
      <c r="X3511" s="647" t="s">
        <v>13816</v>
      </c>
      <c r="Y3511" s="352"/>
      <c r="Z3511" s="353"/>
      <c r="AA3511" s="353"/>
      <c r="AB3511" s="31">
        <f t="shared" ca="1" si="83"/>
        <v>0.28361601690466309</v>
      </c>
      <c r="AC3511" s="810"/>
      <c r="AD3511" s="811" t="s">
        <v>16781</v>
      </c>
      <c r="AE3511" s="940" t="s">
        <v>15116</v>
      </c>
      <c r="AF3511" s="920">
        <f>IF(X3511=X3510,AF3510,0)+IF(ISNUMBER(I3511),IF(I3511&lt;1,I3511,I3511*VLOOKUP(J3511,Summary!$H$2:$I$9,2)),VLOOKUP(J3511,Summary!$J$2:$K$9,2)*IF(ISNUMBER(H3511),H3511,1))</f>
        <v>9.6527777777777768E-2</v>
      </c>
      <c r="AG3511" s="287">
        <v>3510</v>
      </c>
      <c r="AH3511" s="122"/>
      <c r="AI3511" s="122"/>
      <c r="AJ3511" s="146"/>
    </row>
    <row r="3512" spans="1:36" s="1" customFormat="1" ht="12" customHeight="1" x14ac:dyDescent="0.25">
      <c r="A3512" s="405" t="s">
        <v>13813</v>
      </c>
      <c r="B3512" s="406" t="s">
        <v>13766</v>
      </c>
      <c r="C3512" s="405">
        <v>3</v>
      </c>
      <c r="D3512" s="407" t="s">
        <v>13820</v>
      </c>
      <c r="E3512" s="315" t="s">
        <v>13821</v>
      </c>
      <c r="F3512" s="169">
        <v>39569</v>
      </c>
      <c r="G3512" s="170"/>
      <c r="H3512" s="170">
        <v>1</v>
      </c>
      <c r="I3512" s="747">
        <f>TIME(0,60,0)</f>
        <v>4.1666666666666664E-2</v>
      </c>
      <c r="J3512" s="899" t="s">
        <v>4706</v>
      </c>
      <c r="K3512" s="167" t="s">
        <v>5122</v>
      </c>
      <c r="L3512" s="167" t="s">
        <v>13819</v>
      </c>
      <c r="M3512" s="167"/>
      <c r="N3512" s="167"/>
      <c r="O3512" s="167"/>
      <c r="P3512" s="168"/>
      <c r="Q3512" s="167" t="s">
        <v>11269</v>
      </c>
      <c r="R3512" s="172" t="s">
        <v>13752</v>
      </c>
      <c r="S3512" s="388"/>
      <c r="T3512" s="168"/>
      <c r="U3512" s="168"/>
      <c r="V3512" s="168"/>
      <c r="W3512" s="315" t="s">
        <v>13821</v>
      </c>
      <c r="X3512" s="647" t="s">
        <v>13816</v>
      </c>
      <c r="Y3512" s="352"/>
      <c r="Z3512" s="353"/>
      <c r="AA3512" s="353"/>
      <c r="AB3512" s="31">
        <f t="shared" ca="1" si="83"/>
        <v>0.70036023529290181</v>
      </c>
      <c r="AC3512" s="810"/>
      <c r="AD3512" s="811" t="s">
        <v>16784</v>
      </c>
      <c r="AE3512" s="940" t="s">
        <v>15116</v>
      </c>
      <c r="AF3512" s="920">
        <f>IF(X3512=X3511,AF3511,0)+IF(ISNUMBER(I3512),IF(I3512&lt;1,I3512,I3512*VLOOKUP(J3512,Summary!$H$2:$I$9,2)),VLOOKUP(J3512,Summary!$J$2:$K$9,2)*IF(ISNUMBER(H3512),H3512,1))</f>
        <v>0.13819444444444443</v>
      </c>
      <c r="AG3512" s="287">
        <v>3511</v>
      </c>
      <c r="AH3512" s="94"/>
      <c r="AI3512" s="94"/>
      <c r="AJ3512" s="43"/>
    </row>
    <row r="3513" spans="1:36" s="147" customFormat="1" ht="12" customHeight="1" x14ac:dyDescent="0.25">
      <c r="A3513" s="405" t="s">
        <v>13813</v>
      </c>
      <c r="B3513" s="406" t="s">
        <v>13766</v>
      </c>
      <c r="C3513" s="405">
        <v>4</v>
      </c>
      <c r="D3513" s="407" t="s">
        <v>13822</v>
      </c>
      <c r="E3513" s="315" t="s">
        <v>13823</v>
      </c>
      <c r="F3513" s="196">
        <v>39776</v>
      </c>
      <c r="G3513" s="170"/>
      <c r="H3513" s="170">
        <v>1</v>
      </c>
      <c r="I3513" s="747">
        <f>TIME(0,60,0)</f>
        <v>4.1666666666666664E-2</v>
      </c>
      <c r="J3513" s="899" t="s">
        <v>4706</v>
      </c>
      <c r="K3513" s="167" t="s">
        <v>5122</v>
      </c>
      <c r="L3513" s="167" t="s">
        <v>13819</v>
      </c>
      <c r="M3513" s="167"/>
      <c r="N3513" s="167"/>
      <c r="O3513" s="167"/>
      <c r="P3513" s="168"/>
      <c r="Q3513" s="167" t="s">
        <v>11269</v>
      </c>
      <c r="R3513" s="172" t="s">
        <v>13752</v>
      </c>
      <c r="S3513" s="388"/>
      <c r="T3513" s="168"/>
      <c r="U3513" s="168"/>
      <c r="V3513" s="168"/>
      <c r="W3513" s="315" t="s">
        <v>13823</v>
      </c>
      <c r="X3513" s="647" t="s">
        <v>13816</v>
      </c>
      <c r="Y3513" s="352"/>
      <c r="Z3513" s="353"/>
      <c r="AA3513" s="353"/>
      <c r="AB3513" s="31">
        <f t="shared" ca="1" si="83"/>
        <v>0.95444695379086764</v>
      </c>
      <c r="AC3513" s="810"/>
      <c r="AD3513" s="811" t="s">
        <v>16784</v>
      </c>
      <c r="AE3513" s="940" t="s">
        <v>15116</v>
      </c>
      <c r="AF3513" s="920">
        <f>IF(X3513=X3512,AF3512,0)+IF(ISNUMBER(I3513),IF(I3513&lt;1,I3513,I3513*VLOOKUP(J3513,Summary!$H$2:$I$9,2)),VLOOKUP(J3513,Summary!$J$2:$K$9,2)*IF(ISNUMBER(H3513),H3513,1))</f>
        <v>0.17986111111111108</v>
      </c>
      <c r="AG3513" s="287">
        <v>3512</v>
      </c>
      <c r="AH3513" s="122"/>
      <c r="AI3513" s="122"/>
      <c r="AJ3513" s="146"/>
    </row>
    <row r="3514" spans="1:36" s="147" customFormat="1" ht="12" customHeight="1" x14ac:dyDescent="0.25">
      <c r="A3514" s="405" t="s">
        <v>13813</v>
      </c>
      <c r="B3514" s="406" t="s">
        <v>13766</v>
      </c>
      <c r="C3514" s="405">
        <v>5</v>
      </c>
      <c r="D3514" s="407" t="s">
        <v>13824</v>
      </c>
      <c r="E3514" s="315" t="s">
        <v>13825</v>
      </c>
      <c r="F3514" s="196">
        <v>39972</v>
      </c>
      <c r="G3514" s="170"/>
      <c r="H3514" s="170">
        <v>1</v>
      </c>
      <c r="I3514" s="747">
        <f>TIME(0,60,0)</f>
        <v>4.1666666666666664E-2</v>
      </c>
      <c r="J3514" s="899" t="s">
        <v>4706</v>
      </c>
      <c r="K3514" s="167" t="s">
        <v>5122</v>
      </c>
      <c r="L3514" s="167" t="s">
        <v>1427</v>
      </c>
      <c r="M3514" s="167"/>
      <c r="N3514" s="167"/>
      <c r="O3514" s="167"/>
      <c r="P3514" s="168"/>
      <c r="Q3514" s="167" t="s">
        <v>11269</v>
      </c>
      <c r="R3514" s="172" t="s">
        <v>13752</v>
      </c>
      <c r="S3514" s="388"/>
      <c r="T3514" s="168"/>
      <c r="U3514" s="168"/>
      <c r="V3514" s="168"/>
      <c r="W3514" s="315" t="s">
        <v>13825</v>
      </c>
      <c r="X3514" s="647" t="s">
        <v>13816</v>
      </c>
      <c r="Y3514" s="352"/>
      <c r="Z3514" s="353"/>
      <c r="AA3514" s="353"/>
      <c r="AB3514" s="31">
        <f t="shared" ca="1" si="83"/>
        <v>0.71656032324899266</v>
      </c>
      <c r="AC3514" s="810"/>
      <c r="AD3514" s="825" t="s">
        <v>16782</v>
      </c>
      <c r="AE3514" s="940" t="s">
        <v>16558</v>
      </c>
      <c r="AF3514" s="920">
        <f>IF(X3514=X3513,AF3513,0)+IF(ISNUMBER(I3514),IF(I3514&lt;1,I3514,I3514*VLOOKUP(J3514,Summary!$H$2:$I$9,2)),VLOOKUP(J3514,Summary!$J$2:$K$9,2)*IF(ISNUMBER(H3514),H3514,1))</f>
        <v>0.22152777777777774</v>
      </c>
      <c r="AG3514" s="287">
        <v>3513</v>
      </c>
      <c r="AH3514" s="122"/>
      <c r="AI3514" s="122"/>
      <c r="AJ3514" s="146"/>
    </row>
    <row r="3515" spans="1:36" s="1" customFormat="1" ht="12" customHeight="1" x14ac:dyDescent="0.25">
      <c r="A3515" s="405" t="s">
        <v>13813</v>
      </c>
      <c r="B3515" s="406" t="s">
        <v>13766</v>
      </c>
      <c r="C3515" s="405">
        <v>6</v>
      </c>
      <c r="D3515" s="407" t="s">
        <v>13826</v>
      </c>
      <c r="E3515" s="315" t="s">
        <v>13827</v>
      </c>
      <c r="F3515" s="196">
        <v>40140</v>
      </c>
      <c r="G3515" s="170"/>
      <c r="H3515" s="170">
        <v>1</v>
      </c>
      <c r="I3515" s="747">
        <f>TIME(0,60,0)</f>
        <v>4.1666666666666664E-2</v>
      </c>
      <c r="J3515" s="899" t="s">
        <v>4706</v>
      </c>
      <c r="K3515" s="167" t="s">
        <v>5122</v>
      </c>
      <c r="L3515" s="167" t="s">
        <v>11268</v>
      </c>
      <c r="M3515" s="167"/>
      <c r="N3515" s="167"/>
      <c r="O3515" s="167"/>
      <c r="P3515" s="168"/>
      <c r="Q3515" s="167" t="s">
        <v>11269</v>
      </c>
      <c r="R3515" s="172" t="s">
        <v>13752</v>
      </c>
      <c r="S3515" s="388"/>
      <c r="T3515" s="168"/>
      <c r="U3515" s="168"/>
      <c r="V3515" s="168"/>
      <c r="W3515" s="315" t="s">
        <v>13827</v>
      </c>
      <c r="X3515" s="647" t="s">
        <v>13816</v>
      </c>
      <c r="Y3515" s="352"/>
      <c r="Z3515" s="353"/>
      <c r="AA3515" s="353"/>
      <c r="AB3515" s="31">
        <f t="shared" ca="1" si="83"/>
        <v>4.2688800533097981E-2</v>
      </c>
      <c r="AC3515" s="810"/>
      <c r="AD3515" s="825" t="s">
        <v>16783</v>
      </c>
      <c r="AE3515" s="940" t="s">
        <v>16558</v>
      </c>
      <c r="AF3515" s="920">
        <f>IF(X3515=X3514,AF3514,0)+IF(ISNUMBER(I3515),IF(I3515&lt;1,I3515,I3515*VLOOKUP(J3515,Summary!$H$2:$I$9,2)),VLOOKUP(J3515,Summary!$J$2:$K$9,2)*IF(ISNUMBER(H3515),H3515,1))</f>
        <v>0.2631944444444444</v>
      </c>
      <c r="AG3515" s="287">
        <v>3514</v>
      </c>
      <c r="AH3515" s="94"/>
      <c r="AI3515" s="94"/>
      <c r="AJ3515" s="43"/>
    </row>
    <row r="3516" spans="1:36" s="147" customFormat="1" ht="12" customHeight="1" x14ac:dyDescent="0.25">
      <c r="A3516" s="578" t="s">
        <v>13813</v>
      </c>
      <c r="B3516" s="579" t="s">
        <v>13766</v>
      </c>
      <c r="C3516" s="578">
        <v>10</v>
      </c>
      <c r="D3516" s="580" t="s">
        <v>13828</v>
      </c>
      <c r="E3516" s="341" t="s">
        <v>13832</v>
      </c>
      <c r="F3516" s="261">
        <v>39448</v>
      </c>
      <c r="G3516" s="257"/>
      <c r="H3516" s="258" t="s">
        <v>461</v>
      </c>
      <c r="I3516" s="258"/>
      <c r="J3516" s="912" t="s">
        <v>2755</v>
      </c>
      <c r="K3516" s="259" t="s">
        <v>6236</v>
      </c>
      <c r="L3516" s="259" t="s">
        <v>461</v>
      </c>
      <c r="M3516" s="259"/>
      <c r="N3516" s="259"/>
      <c r="O3516" s="259"/>
      <c r="P3516" s="255" t="s">
        <v>461</v>
      </c>
      <c r="Q3516" s="259" t="s">
        <v>13830</v>
      </c>
      <c r="R3516" s="260" t="s">
        <v>13753</v>
      </c>
      <c r="S3516" s="401"/>
      <c r="T3516" s="255"/>
      <c r="U3516" s="255"/>
      <c r="V3516" s="255"/>
      <c r="W3516" s="341" t="s">
        <v>13832</v>
      </c>
      <c r="X3516" s="676" t="s">
        <v>13816</v>
      </c>
      <c r="Y3516" s="381"/>
      <c r="Z3516" s="382"/>
      <c r="AA3516" s="382"/>
      <c r="AB3516" s="145">
        <f t="shared" ca="1" si="83"/>
        <v>9.9578030639302151E-2</v>
      </c>
      <c r="AC3516" s="840"/>
      <c r="AD3516" s="841"/>
      <c r="AE3516" s="961"/>
      <c r="AF3516" s="933">
        <f>IF(X3516=X3515,AF3515,0)+IF(ISNUMBER(I3516),IF(I3516&lt;1,I3516,I3516*VLOOKUP(J3516,Summary!$H$2:$I$9,2)),VLOOKUP(J3516,Summary!$J$2:$K$9,2)*IF(ISNUMBER(H3516),H3516,1))</f>
        <v>0.2805555555555555</v>
      </c>
      <c r="AG3516" s="305">
        <v>3515</v>
      </c>
      <c r="AH3516" s="122"/>
      <c r="AI3516" s="122"/>
      <c r="AJ3516" s="146"/>
    </row>
    <row r="3517" spans="1:36" s="1" customFormat="1" ht="12" customHeight="1" x14ac:dyDescent="0.25">
      <c r="A3517" s="474" t="s">
        <v>13813</v>
      </c>
      <c r="B3517" s="507" t="s">
        <v>13766</v>
      </c>
      <c r="C3517" s="474">
        <v>7</v>
      </c>
      <c r="D3517" s="417" t="s">
        <v>13829</v>
      </c>
      <c r="E3517" s="316" t="s">
        <v>13831</v>
      </c>
      <c r="F3517" s="195">
        <v>39459</v>
      </c>
      <c r="G3517" s="195"/>
      <c r="H3517" s="188" t="str">
        <f>IF(J3517="Book","n/a","")</f>
        <v>n/a</v>
      </c>
      <c r="I3517" s="188">
        <v>288</v>
      </c>
      <c r="J3517" s="902" t="s">
        <v>6868</v>
      </c>
      <c r="K3517" s="162" t="s">
        <v>6236</v>
      </c>
      <c r="L3517" s="162" t="str">
        <f>IF(J3517="Book","n/a","")</f>
        <v>n/a</v>
      </c>
      <c r="M3517" s="162"/>
      <c r="N3517" s="162"/>
      <c r="O3517" s="162"/>
      <c r="P3517" s="178" t="s">
        <v>13833</v>
      </c>
      <c r="Q3517" s="162" t="s">
        <v>13830</v>
      </c>
      <c r="R3517" s="189" t="s">
        <v>13754</v>
      </c>
      <c r="S3517" s="366"/>
      <c r="T3517" s="178"/>
      <c r="U3517" s="178"/>
      <c r="V3517" s="178"/>
      <c r="W3517" s="316" t="s">
        <v>13831</v>
      </c>
      <c r="X3517" s="648" t="s">
        <v>13816</v>
      </c>
      <c r="Y3517" s="356"/>
      <c r="Z3517" s="272"/>
      <c r="AA3517" s="272"/>
      <c r="AB3517" s="34">
        <f t="shared" ca="1" si="83"/>
        <v>0.88451048481576988</v>
      </c>
      <c r="AC3517" s="814"/>
      <c r="AD3517" s="815" t="s">
        <v>16552</v>
      </c>
      <c r="AE3517" s="942" t="s">
        <v>15116</v>
      </c>
      <c r="AF3517" s="923">
        <f>IF(X3517=X3516,AF3516,0)+IF(ISNUMBER(I3517),IF(I3517&lt;1,I3517,I3517*VLOOKUP(J3517,Summary!$H$2:$I$9,2)),VLOOKUP(J3517,Summary!$J$2:$K$9,2)*IF(ISNUMBER(H3517),H3517,1))</f>
        <v>0.48055555555555551</v>
      </c>
      <c r="AG3517" s="291">
        <v>3516</v>
      </c>
      <c r="AH3517" s="94"/>
      <c r="AI3517" s="94"/>
      <c r="AJ3517" s="43"/>
    </row>
    <row r="3518" spans="1:36" s="147" customFormat="1" ht="12" customHeight="1" x14ac:dyDescent="0.25">
      <c r="A3518" s="569" t="s">
        <v>1563</v>
      </c>
      <c r="B3518" s="569">
        <v>8</v>
      </c>
      <c r="C3518" s="569">
        <v>37</v>
      </c>
      <c r="D3518" s="417" t="s">
        <v>4385</v>
      </c>
      <c r="E3518" s="316" t="s">
        <v>4386</v>
      </c>
      <c r="F3518" s="187">
        <v>36739</v>
      </c>
      <c r="G3518" s="188"/>
      <c r="H3518" s="188" t="str">
        <f>IF(J3518="Book","n/a","")</f>
        <v>n/a</v>
      </c>
      <c r="I3518" s="188">
        <v>240</v>
      </c>
      <c r="J3518" s="902" t="s">
        <v>6868</v>
      </c>
      <c r="K3518" s="162" t="s">
        <v>543</v>
      </c>
      <c r="L3518" s="162" t="str">
        <f>IF(J3518="Book","n/a","")</f>
        <v>n/a</v>
      </c>
      <c r="M3518" s="162"/>
      <c r="N3518" s="162"/>
      <c r="O3518" s="162"/>
      <c r="P3518" s="178" t="s">
        <v>9093</v>
      </c>
      <c r="Q3518" s="162" t="s">
        <v>3953</v>
      </c>
      <c r="R3518" s="189" t="s">
        <v>2714</v>
      </c>
      <c r="S3518" s="366"/>
      <c r="T3518" s="178"/>
      <c r="U3518" s="178"/>
      <c r="V3518" s="178"/>
      <c r="W3518" s="316" t="s">
        <v>4386</v>
      </c>
      <c r="X3518" s="648" t="s">
        <v>4199</v>
      </c>
      <c r="Y3518" s="356"/>
      <c r="Z3518" s="272"/>
      <c r="AA3518" s="272"/>
      <c r="AB3518" s="34">
        <f t="shared" ca="1" si="83"/>
        <v>0.82292577452160798</v>
      </c>
      <c r="AC3518" s="814"/>
      <c r="AD3518" s="815" t="s">
        <v>16647</v>
      </c>
      <c r="AE3518" s="942" t="s">
        <v>16629</v>
      </c>
      <c r="AF3518" s="923">
        <f>IF(X3518=X3517,AF3517,0)+IF(ISNUMBER(I3518),IF(I3518&lt;1,I3518,I3518*VLOOKUP(J3518,Summary!$H$2:$I$9,2)),VLOOKUP(J3518,Summary!$J$2:$K$9,2)*IF(ISNUMBER(H3518),H3518,1))</f>
        <v>0.16666666666666669</v>
      </c>
      <c r="AG3518" s="291">
        <v>3517</v>
      </c>
      <c r="AH3518" s="122"/>
      <c r="AI3518" s="122"/>
      <c r="AJ3518" s="146"/>
    </row>
    <row r="3519" spans="1:36" s="3" customFormat="1" ht="12" customHeight="1" x14ac:dyDescent="0.25">
      <c r="A3519" s="571" t="s">
        <v>1563</v>
      </c>
      <c r="B3519" s="571">
        <v>8</v>
      </c>
      <c r="C3519" s="571">
        <v>14.31</v>
      </c>
      <c r="D3519" s="434" t="s">
        <v>4884</v>
      </c>
      <c r="E3519" s="324" t="s">
        <v>4345</v>
      </c>
      <c r="F3519" s="174">
        <v>38322</v>
      </c>
      <c r="G3519" s="174"/>
      <c r="H3519" s="176">
        <v>1</v>
      </c>
      <c r="I3519" s="176">
        <v>12</v>
      </c>
      <c r="J3519" s="900" t="s">
        <v>2755</v>
      </c>
      <c r="K3519" s="164" t="s">
        <v>6237</v>
      </c>
      <c r="L3519" s="164" t="s">
        <v>461</v>
      </c>
      <c r="M3519" s="164"/>
      <c r="N3519" s="164" t="s">
        <v>3807</v>
      </c>
      <c r="O3519" s="164"/>
      <c r="P3519" s="173" t="s">
        <v>6565</v>
      </c>
      <c r="Q3519" s="164" t="s">
        <v>3947</v>
      </c>
      <c r="R3519" s="179" t="s">
        <v>2723</v>
      </c>
      <c r="S3519" s="354"/>
      <c r="T3519" s="173"/>
      <c r="U3519" s="173"/>
      <c r="V3519" s="173"/>
      <c r="W3519" s="324" t="s">
        <v>4345</v>
      </c>
      <c r="X3519" s="656" t="s">
        <v>4199</v>
      </c>
      <c r="Y3519" s="363"/>
      <c r="Z3519" s="364"/>
      <c r="AA3519" s="364"/>
      <c r="AB3519" s="32">
        <f t="shared" ca="1" si="83"/>
        <v>0.66828920366057676</v>
      </c>
      <c r="AC3519" s="812"/>
      <c r="AD3519" s="763"/>
      <c r="AE3519" s="951"/>
      <c r="AF3519" s="921">
        <f>IF(X3519=X3518,AF3518,0)+IF(ISNUMBER(I3519),IF(I3519&lt;1,I3519,I3519*VLOOKUP(J3519,Summary!$H$2:$I$9,2)),VLOOKUP(J3519,Summary!$J$2:$K$9,2)*IF(ISNUMBER(H3519),H3519,1))</f>
        <v>0.17500000000000002</v>
      </c>
      <c r="AG3519" s="288">
        <v>3518</v>
      </c>
      <c r="AH3519" s="94"/>
      <c r="AI3519" s="94"/>
      <c r="AJ3519" s="2"/>
    </row>
    <row r="3520" spans="1:36" s="3" customFormat="1" ht="12" customHeight="1" x14ac:dyDescent="0.25">
      <c r="A3520" s="569" t="s">
        <v>1563</v>
      </c>
      <c r="B3520" s="569">
        <v>8</v>
      </c>
      <c r="C3520" s="569">
        <v>38</v>
      </c>
      <c r="D3520" s="417" t="s">
        <v>4387</v>
      </c>
      <c r="E3520" s="316" t="s">
        <v>2266</v>
      </c>
      <c r="F3520" s="187">
        <v>36770</v>
      </c>
      <c r="G3520" s="188"/>
      <c r="H3520" s="188" t="str">
        <f>IF(J3520="Book","n/a","")</f>
        <v>n/a</v>
      </c>
      <c r="I3520" s="188">
        <v>271</v>
      </c>
      <c r="J3520" s="902" t="s">
        <v>6868</v>
      </c>
      <c r="K3520" s="162" t="s">
        <v>335</v>
      </c>
      <c r="L3520" s="162" t="str">
        <f>IF(J3520="Book","n/a","")</f>
        <v>n/a</v>
      </c>
      <c r="M3520" s="162"/>
      <c r="N3520" s="162"/>
      <c r="O3520" s="162"/>
      <c r="P3520" s="178" t="s">
        <v>9094</v>
      </c>
      <c r="Q3520" s="162" t="s">
        <v>3953</v>
      </c>
      <c r="R3520" s="189" t="s">
        <v>2714</v>
      </c>
      <c r="S3520" s="366"/>
      <c r="T3520" s="178"/>
      <c r="U3520" s="178"/>
      <c r="V3520" s="178"/>
      <c r="W3520" s="316" t="s">
        <v>2266</v>
      </c>
      <c r="X3520" s="648" t="s">
        <v>4199</v>
      </c>
      <c r="Y3520" s="356"/>
      <c r="Z3520" s="272"/>
      <c r="AA3520" s="272"/>
      <c r="AB3520" s="34">
        <f t="shared" ca="1" si="83"/>
        <v>0.83272576403105081</v>
      </c>
      <c r="AC3520" s="814"/>
      <c r="AD3520" s="815" t="s">
        <v>16682</v>
      </c>
      <c r="AE3520" s="942" t="s">
        <v>16629</v>
      </c>
      <c r="AF3520" s="923">
        <f>IF(X3520=X3519,AF3519,0)+IF(ISNUMBER(I3520),IF(I3520&lt;1,I3520,I3520*VLOOKUP(J3520,Summary!$H$2:$I$9,2)),VLOOKUP(J3520,Summary!$J$2:$K$9,2)*IF(ISNUMBER(H3520),H3520,1))</f>
        <v>0.36319444444444449</v>
      </c>
      <c r="AG3520" s="291">
        <v>3519</v>
      </c>
      <c r="AH3520" s="94"/>
      <c r="AI3520" s="94"/>
      <c r="AJ3520" s="29"/>
    </row>
    <row r="3521" spans="1:36" s="43" customFormat="1" ht="12" customHeight="1" x14ac:dyDescent="0.25">
      <c r="A3521" s="569" t="s">
        <v>1563</v>
      </c>
      <c r="B3521" s="569">
        <v>8</v>
      </c>
      <c r="C3521" s="569">
        <v>39</v>
      </c>
      <c r="D3521" s="417" t="s">
        <v>4388</v>
      </c>
      <c r="E3521" s="316" t="s">
        <v>4389</v>
      </c>
      <c r="F3521" s="187">
        <v>36800</v>
      </c>
      <c r="G3521" s="188"/>
      <c r="H3521" s="188" t="str">
        <f>IF(J3521="Book","n/a","")</f>
        <v>n/a</v>
      </c>
      <c r="I3521" s="188">
        <v>242</v>
      </c>
      <c r="J3521" s="902" t="s">
        <v>6868</v>
      </c>
      <c r="K3521" s="162" t="s">
        <v>6232</v>
      </c>
      <c r="L3521" s="162" t="str">
        <f>IF(J3521="Book","n/a","")</f>
        <v>n/a</v>
      </c>
      <c r="M3521" s="162"/>
      <c r="N3521" s="162"/>
      <c r="O3521" s="162"/>
      <c r="P3521" s="178" t="s">
        <v>9095</v>
      </c>
      <c r="Q3521" s="162" t="s">
        <v>3953</v>
      </c>
      <c r="R3521" s="189" t="s">
        <v>2714</v>
      </c>
      <c r="S3521" s="366"/>
      <c r="T3521" s="178"/>
      <c r="U3521" s="178"/>
      <c r="V3521" s="178"/>
      <c r="W3521" s="316" t="s">
        <v>4389</v>
      </c>
      <c r="X3521" s="648" t="s">
        <v>4199</v>
      </c>
      <c r="Y3521" s="356"/>
      <c r="Z3521" s="272"/>
      <c r="AA3521" s="272"/>
      <c r="AB3521" s="34">
        <f t="shared" ca="1" si="83"/>
        <v>0.96694018122745518</v>
      </c>
      <c r="AC3521" s="814"/>
      <c r="AD3521" s="815" t="s">
        <v>16743</v>
      </c>
      <c r="AE3521" s="942" t="s">
        <v>16629</v>
      </c>
      <c r="AF3521" s="923">
        <f>IF(X3521=X3520,AF3520,0)+IF(ISNUMBER(I3521),IF(I3521&lt;1,I3521,I3521*VLOOKUP(J3521,Summary!$H$2:$I$9,2)),VLOOKUP(J3521,Summary!$J$2:$K$9,2)*IF(ISNUMBER(H3521),H3521,1))</f>
        <v>0.53125</v>
      </c>
      <c r="AG3521" s="291">
        <v>3520</v>
      </c>
      <c r="AH3521" s="94"/>
      <c r="AI3521" s="94"/>
    </row>
    <row r="3522" spans="1:36" s="3" customFormat="1" ht="12" customHeight="1" x14ac:dyDescent="0.25">
      <c r="A3522" s="569" t="s">
        <v>1563</v>
      </c>
      <c r="B3522" s="569">
        <v>8</v>
      </c>
      <c r="C3522" s="569">
        <v>40</v>
      </c>
      <c r="D3522" s="417" t="s">
        <v>4390</v>
      </c>
      <c r="E3522" s="316" t="s">
        <v>4391</v>
      </c>
      <c r="F3522" s="187">
        <v>36831</v>
      </c>
      <c r="G3522" s="188"/>
      <c r="H3522" s="188" t="str">
        <f>IF(J3522="Book","n/a","")</f>
        <v>n/a</v>
      </c>
      <c r="I3522" s="188">
        <v>243</v>
      </c>
      <c r="J3522" s="902" t="s">
        <v>6868</v>
      </c>
      <c r="K3522" s="162" t="s">
        <v>1088</v>
      </c>
      <c r="L3522" s="162" t="str">
        <f>IF(J3522="Book","n/a","")</f>
        <v>n/a</v>
      </c>
      <c r="M3522" s="162"/>
      <c r="N3522" s="162"/>
      <c r="O3522" s="162"/>
      <c r="P3522" s="178" t="s">
        <v>9096</v>
      </c>
      <c r="Q3522" s="162" t="s">
        <v>3953</v>
      </c>
      <c r="R3522" s="189" t="s">
        <v>2714</v>
      </c>
      <c r="S3522" s="366"/>
      <c r="T3522" s="178"/>
      <c r="U3522" s="178"/>
      <c r="V3522" s="178"/>
      <c r="W3522" s="316" t="s">
        <v>4391</v>
      </c>
      <c r="X3522" s="648" t="s">
        <v>4199</v>
      </c>
      <c r="Y3522" s="356"/>
      <c r="Z3522" s="272"/>
      <c r="AA3522" s="272"/>
      <c r="AB3522" s="34">
        <f t="shared" ref="AB3522:AB3585" ca="1" si="86">RAND()</f>
        <v>0.56071547428901181</v>
      </c>
      <c r="AC3522" s="814"/>
      <c r="AD3522" s="815" t="s">
        <v>15087</v>
      </c>
      <c r="AE3522" s="942" t="s">
        <v>16629</v>
      </c>
      <c r="AF3522" s="923">
        <f>IF(X3522=X3521,AF3521,0)+IF(ISNUMBER(I3522),IF(I3522&lt;1,I3522,I3522*VLOOKUP(J3522,Summary!$H$2:$I$9,2)),VLOOKUP(J3522,Summary!$J$2:$K$9,2)*IF(ISNUMBER(H3522),H3522,1))</f>
        <v>0.7</v>
      </c>
      <c r="AG3522" s="291">
        <v>3521</v>
      </c>
      <c r="AH3522" s="94"/>
      <c r="AI3522" s="94"/>
      <c r="AJ3522" s="43"/>
    </row>
    <row r="3523" spans="1:36" s="3" customFormat="1" ht="12" customHeight="1" x14ac:dyDescent="0.25">
      <c r="A3523" s="571" t="s">
        <v>1563</v>
      </c>
      <c r="B3523" s="571">
        <v>8</v>
      </c>
      <c r="C3523" s="571">
        <v>7.03</v>
      </c>
      <c r="D3523" s="434" t="s">
        <v>2404</v>
      </c>
      <c r="E3523" s="324" t="s">
        <v>2403</v>
      </c>
      <c r="F3523" s="174">
        <v>37865</v>
      </c>
      <c r="G3523" s="174"/>
      <c r="H3523" s="176">
        <v>1</v>
      </c>
      <c r="I3523" s="176">
        <v>18</v>
      </c>
      <c r="J3523" s="900" t="s">
        <v>2755</v>
      </c>
      <c r="K3523" s="164" t="s">
        <v>1951</v>
      </c>
      <c r="L3523" s="164" t="s">
        <v>461</v>
      </c>
      <c r="M3523" s="164"/>
      <c r="N3523" s="164" t="s">
        <v>4552</v>
      </c>
      <c r="O3523" s="164"/>
      <c r="P3523" s="173" t="s">
        <v>6281</v>
      </c>
      <c r="Q3523" s="164" t="s">
        <v>3947</v>
      </c>
      <c r="R3523" s="179" t="s">
        <v>2723</v>
      </c>
      <c r="S3523" s="354"/>
      <c r="T3523" s="173"/>
      <c r="U3523" s="173"/>
      <c r="V3523" s="173"/>
      <c r="W3523" s="324" t="s">
        <v>2403</v>
      </c>
      <c r="X3523" s="656" t="s">
        <v>4199</v>
      </c>
      <c r="Y3523" s="363"/>
      <c r="Z3523" s="364"/>
      <c r="AA3523" s="364"/>
      <c r="AB3523" s="32">
        <f t="shared" ca="1" si="86"/>
        <v>0.24101931313541969</v>
      </c>
      <c r="AC3523" s="812"/>
      <c r="AD3523" s="763"/>
      <c r="AE3523" s="951"/>
      <c r="AF3523" s="921">
        <f>IF(X3523=X3522,AF3522,0)+IF(ISNUMBER(I3523),IF(I3523&lt;1,I3523,I3523*VLOOKUP(J3523,Summary!$H$2:$I$9,2)),VLOOKUP(J3523,Summary!$J$2:$K$9,2)*IF(ISNUMBER(H3523),H3523,1))</f>
        <v>0.71249999999999991</v>
      </c>
      <c r="AG3523" s="288">
        <v>3522</v>
      </c>
      <c r="AH3523" s="94"/>
      <c r="AI3523" s="94"/>
      <c r="AJ3523" s="2"/>
    </row>
    <row r="3524" spans="1:36" s="3" customFormat="1" ht="12" customHeight="1" x14ac:dyDescent="0.25">
      <c r="A3524" s="569" t="s">
        <v>1563</v>
      </c>
      <c r="B3524" s="569">
        <v>8</v>
      </c>
      <c r="C3524" s="569">
        <v>41</v>
      </c>
      <c r="D3524" s="417" t="s">
        <v>4392</v>
      </c>
      <c r="E3524" s="316" t="s">
        <v>4393</v>
      </c>
      <c r="F3524" s="187">
        <v>36892</v>
      </c>
      <c r="G3524" s="188"/>
      <c r="H3524" s="188" t="str">
        <f>IF(J3524="Book","n/a","")</f>
        <v>n/a</v>
      </c>
      <c r="I3524" s="188">
        <v>283</v>
      </c>
      <c r="J3524" s="902" t="s">
        <v>6868</v>
      </c>
      <c r="K3524" s="162" t="s">
        <v>2311</v>
      </c>
      <c r="L3524" s="162" t="str">
        <f>IF(J3524="Book","n/a","")</f>
        <v>n/a</v>
      </c>
      <c r="M3524" s="162"/>
      <c r="N3524" s="162"/>
      <c r="O3524" s="162"/>
      <c r="P3524" s="178" t="s">
        <v>9097</v>
      </c>
      <c r="Q3524" s="162" t="s">
        <v>3953</v>
      </c>
      <c r="R3524" s="189" t="s">
        <v>2714</v>
      </c>
      <c r="S3524" s="366"/>
      <c r="T3524" s="178"/>
      <c r="U3524" s="178"/>
      <c r="V3524" s="178"/>
      <c r="W3524" s="316" t="s">
        <v>4393</v>
      </c>
      <c r="X3524" s="648" t="s">
        <v>4199</v>
      </c>
      <c r="Y3524" s="356" t="s">
        <v>6868</v>
      </c>
      <c r="Z3524" s="272">
        <v>60</v>
      </c>
      <c r="AA3524" s="272">
        <v>6.5</v>
      </c>
      <c r="AB3524" s="34">
        <f t="shared" ca="1" si="86"/>
        <v>0.50643704463359451</v>
      </c>
      <c r="AC3524" s="814"/>
      <c r="AD3524" s="815" t="s">
        <v>16034</v>
      </c>
      <c r="AE3524" s="942" t="s">
        <v>12543</v>
      </c>
      <c r="AF3524" s="923">
        <f>IF(X3524=X3523,AF3523,0)+IF(ISNUMBER(I3524),IF(I3524&lt;1,I3524,I3524*VLOOKUP(J3524,Summary!$H$2:$I$9,2)),VLOOKUP(J3524,Summary!$J$2:$K$9,2)*IF(ISNUMBER(H3524),H3524,1))</f>
        <v>0.90902777777777766</v>
      </c>
      <c r="AG3524" s="291">
        <v>3523</v>
      </c>
      <c r="AH3524" s="94"/>
      <c r="AI3524" s="94"/>
      <c r="AJ3524" s="2"/>
    </row>
    <row r="3525" spans="1:36" s="3" customFormat="1" ht="12" customHeight="1" x14ac:dyDescent="0.25">
      <c r="A3525" s="775" t="s">
        <v>1563</v>
      </c>
      <c r="B3525" s="775" t="s">
        <v>2650</v>
      </c>
      <c r="C3525" s="775"/>
      <c r="D3525" s="226" t="s">
        <v>14247</v>
      </c>
      <c r="E3525" s="331" t="s">
        <v>14248</v>
      </c>
      <c r="F3525" s="766">
        <v>37622</v>
      </c>
      <c r="G3525" s="766">
        <v>37742</v>
      </c>
      <c r="H3525" s="226">
        <v>3</v>
      </c>
      <c r="I3525" s="226">
        <v>72</v>
      </c>
      <c r="J3525" s="907" t="s">
        <v>1796</v>
      </c>
      <c r="K3525" s="228" t="s">
        <v>2311</v>
      </c>
      <c r="L3525" s="228" t="s">
        <v>14249</v>
      </c>
      <c r="M3525" s="228"/>
      <c r="N3525" s="228" t="s">
        <v>14250</v>
      </c>
      <c r="O3525" s="228"/>
      <c r="P3525" s="225" t="s">
        <v>461</v>
      </c>
      <c r="Q3525" s="228" t="s">
        <v>14251</v>
      </c>
      <c r="R3525" s="227" t="s">
        <v>13014</v>
      </c>
      <c r="S3525" s="369"/>
      <c r="T3525" s="225"/>
      <c r="U3525" s="225"/>
      <c r="V3525" s="225"/>
      <c r="W3525" s="331"/>
      <c r="X3525" s="663" t="s">
        <v>4199</v>
      </c>
      <c r="Y3525" s="369"/>
      <c r="Z3525" s="226"/>
      <c r="AA3525" s="226"/>
      <c r="AB3525" s="38">
        <f t="shared" ca="1" si="86"/>
        <v>0.18185588079924386</v>
      </c>
      <c r="AC3525" s="830"/>
      <c r="AD3525" s="831"/>
      <c r="AE3525" s="963"/>
      <c r="AF3525" s="928">
        <f>IF(X3525=X3524,AF3524,0)+IF(ISNUMBER(I3525),IF(I3525&lt;1,I3525,I3525*VLOOKUP(J3525,Summary!$H$2:$I$9,2)),VLOOKUP(J3525,Summary!$J$2:$K$9,2)*IF(ISNUMBER(H3525),H3525,1))</f>
        <v>0.93402777777777768</v>
      </c>
      <c r="AG3525" s="304">
        <v>3524</v>
      </c>
      <c r="AH3525" s="94"/>
      <c r="AI3525" s="94"/>
    </row>
    <row r="3526" spans="1:36" s="22" customFormat="1" ht="12" customHeight="1" x14ac:dyDescent="0.25">
      <c r="A3526" s="569" t="s">
        <v>1563</v>
      </c>
      <c r="B3526" s="569">
        <v>8</v>
      </c>
      <c r="C3526" s="569">
        <v>42</v>
      </c>
      <c r="D3526" s="417" t="s">
        <v>4394</v>
      </c>
      <c r="E3526" s="316" t="s">
        <v>4395</v>
      </c>
      <c r="F3526" s="187">
        <v>36923</v>
      </c>
      <c r="G3526" s="188"/>
      <c r="H3526" s="188" t="str">
        <f t="shared" ref="H3526:H3534" si="87">IF(J3526="Book","n/a","")</f>
        <v>n/a</v>
      </c>
      <c r="I3526" s="188">
        <v>249</v>
      </c>
      <c r="J3526" s="902" t="s">
        <v>6868</v>
      </c>
      <c r="K3526" s="162" t="s">
        <v>6355</v>
      </c>
      <c r="L3526" s="162" t="str">
        <f t="shared" ref="L3526:L3534" si="88">IF(J3526="Book","n/a","")</f>
        <v>n/a</v>
      </c>
      <c r="M3526" s="162"/>
      <c r="N3526" s="162"/>
      <c r="O3526" s="162"/>
      <c r="P3526" s="178" t="s">
        <v>9098</v>
      </c>
      <c r="Q3526" s="162" t="s">
        <v>3953</v>
      </c>
      <c r="R3526" s="189" t="s">
        <v>2714</v>
      </c>
      <c r="S3526" s="366" t="s">
        <v>3063</v>
      </c>
      <c r="T3526" s="178" t="s">
        <v>7322</v>
      </c>
      <c r="U3526" s="178"/>
      <c r="V3526" s="178"/>
      <c r="W3526" s="316" t="s">
        <v>4395</v>
      </c>
      <c r="X3526" s="648" t="s">
        <v>4199</v>
      </c>
      <c r="Y3526" s="356" t="s">
        <v>5656</v>
      </c>
      <c r="Z3526" s="272"/>
      <c r="AA3526" s="272"/>
      <c r="AB3526" s="34">
        <f t="shared" ca="1" si="86"/>
        <v>0.87418549839362047</v>
      </c>
      <c r="AC3526" s="814"/>
      <c r="AD3526" s="815" t="s">
        <v>15837</v>
      </c>
      <c r="AE3526" s="942"/>
      <c r="AF3526" s="923">
        <f>IF(X3526=X3525,AF3525,0)+IF(ISNUMBER(I3526),IF(I3526&lt;1,I3526,I3526*VLOOKUP(J3526,Summary!$H$2:$I$9,2)),VLOOKUP(J3526,Summary!$J$2:$K$9,2)*IF(ISNUMBER(H3526),H3526,1))</f>
        <v>1.1069444444444443</v>
      </c>
      <c r="AG3526" s="291">
        <v>3525</v>
      </c>
      <c r="AH3526" s="94"/>
      <c r="AI3526" s="94"/>
      <c r="AJ3526" s="43"/>
    </row>
    <row r="3527" spans="1:36" s="3" customFormat="1" ht="12" customHeight="1" x14ac:dyDescent="0.25">
      <c r="A3527" s="569" t="s">
        <v>1564</v>
      </c>
      <c r="B3527" s="569">
        <v>8</v>
      </c>
      <c r="C3527" s="569">
        <v>43</v>
      </c>
      <c r="D3527" s="417" t="s">
        <v>4396</v>
      </c>
      <c r="E3527" s="316" t="s">
        <v>4397</v>
      </c>
      <c r="F3527" s="187">
        <v>36951</v>
      </c>
      <c r="G3527" s="188"/>
      <c r="H3527" s="188" t="str">
        <f t="shared" si="87"/>
        <v>n/a</v>
      </c>
      <c r="I3527" s="188">
        <v>288</v>
      </c>
      <c r="J3527" s="902" t="s">
        <v>6868</v>
      </c>
      <c r="K3527" s="162" t="s">
        <v>4552</v>
      </c>
      <c r="L3527" s="162" t="str">
        <f t="shared" si="88"/>
        <v>n/a</v>
      </c>
      <c r="M3527" s="162"/>
      <c r="N3527" s="162"/>
      <c r="O3527" s="162"/>
      <c r="P3527" s="178" t="s">
        <v>9099</v>
      </c>
      <c r="Q3527" s="162" t="s">
        <v>3953</v>
      </c>
      <c r="R3527" s="189" t="s">
        <v>2714</v>
      </c>
      <c r="S3527" s="366" t="s">
        <v>3063</v>
      </c>
      <c r="T3527" s="178" t="s">
        <v>7322</v>
      </c>
      <c r="U3527" s="178"/>
      <c r="V3527" s="178"/>
      <c r="W3527" s="316" t="s">
        <v>4397</v>
      </c>
      <c r="X3527" s="648" t="s">
        <v>12449</v>
      </c>
      <c r="Y3527" s="356"/>
      <c r="Z3527" s="272"/>
      <c r="AA3527" s="272"/>
      <c r="AB3527" s="34">
        <f t="shared" ca="1" si="86"/>
        <v>0.77809404757584699</v>
      </c>
      <c r="AC3527" s="814"/>
      <c r="AD3527" s="815" t="s">
        <v>16313</v>
      </c>
      <c r="AE3527" s="942" t="s">
        <v>12543</v>
      </c>
      <c r="AF3527" s="923">
        <f>IF(X3527=X3526,AF3526,0)+IF(ISNUMBER(I3527),IF(I3527&lt;1,I3527,I3527*VLOOKUP(J3527,Summary!$H$2:$I$9,2)),VLOOKUP(J3527,Summary!$J$2:$K$9,2)*IF(ISNUMBER(H3527),H3527,1))</f>
        <v>0.2</v>
      </c>
      <c r="AG3527" s="291">
        <v>3526</v>
      </c>
      <c r="AH3527" s="94"/>
      <c r="AI3527" s="94"/>
      <c r="AJ3527" s="43"/>
    </row>
    <row r="3528" spans="1:36" s="43" customFormat="1" ht="12" customHeight="1" x14ac:dyDescent="0.25">
      <c r="A3528" s="569" t="s">
        <v>1564</v>
      </c>
      <c r="B3528" s="569">
        <v>8</v>
      </c>
      <c r="C3528" s="569">
        <v>73</v>
      </c>
      <c r="D3528" s="417" t="s">
        <v>337</v>
      </c>
      <c r="E3528" s="316" t="s">
        <v>336</v>
      </c>
      <c r="F3528" s="187">
        <v>38596</v>
      </c>
      <c r="G3528" s="188"/>
      <c r="H3528" s="188" t="str">
        <f t="shared" si="87"/>
        <v>n/a</v>
      </c>
      <c r="I3528" s="188">
        <v>276</v>
      </c>
      <c r="J3528" s="902" t="s">
        <v>6868</v>
      </c>
      <c r="K3528" s="162" t="s">
        <v>338</v>
      </c>
      <c r="L3528" s="162" t="str">
        <f t="shared" si="88"/>
        <v>n/a</v>
      </c>
      <c r="M3528" s="162"/>
      <c r="N3528" s="162"/>
      <c r="O3528" s="162"/>
      <c r="P3528" s="178" t="s">
        <v>8996</v>
      </c>
      <c r="Q3528" s="162" t="s">
        <v>3953</v>
      </c>
      <c r="R3528" s="189" t="s">
        <v>2717</v>
      </c>
      <c r="S3528" s="366" t="s">
        <v>3063</v>
      </c>
      <c r="T3528" s="178" t="s">
        <v>7322</v>
      </c>
      <c r="U3528" s="178"/>
      <c r="V3528" s="178"/>
      <c r="W3528" s="316" t="s">
        <v>336</v>
      </c>
      <c r="X3528" s="648" t="s">
        <v>12449</v>
      </c>
      <c r="Y3528" s="356"/>
      <c r="Z3528" s="272"/>
      <c r="AA3528" s="272"/>
      <c r="AB3528" s="34">
        <f t="shared" ca="1" si="86"/>
        <v>0.29833809389680954</v>
      </c>
      <c r="AC3528" s="814"/>
      <c r="AD3528" s="815" t="s">
        <v>16146</v>
      </c>
      <c r="AE3528" s="942" t="s">
        <v>16126</v>
      </c>
      <c r="AF3528" s="923">
        <f>IF(X3528=X3527,AF3527,0)+IF(ISNUMBER(I3528),IF(I3528&lt;1,I3528,I3528*VLOOKUP(J3528,Summary!$H$2:$I$9,2)),VLOOKUP(J3528,Summary!$J$2:$K$9,2)*IF(ISNUMBER(H3528),H3528,1))</f>
        <v>0.39166666666666672</v>
      </c>
      <c r="AG3528" s="291">
        <v>3527</v>
      </c>
      <c r="AH3528" s="94"/>
      <c r="AI3528" s="94"/>
    </row>
    <row r="3529" spans="1:36" s="43" customFormat="1" ht="12" customHeight="1" x14ac:dyDescent="0.25">
      <c r="A3529" s="569" t="s">
        <v>1564</v>
      </c>
      <c r="B3529" s="569">
        <v>8</v>
      </c>
      <c r="C3529" s="569">
        <v>44</v>
      </c>
      <c r="D3529" s="417" t="s">
        <v>4398</v>
      </c>
      <c r="E3529" s="316" t="s">
        <v>2576</v>
      </c>
      <c r="F3529" s="187">
        <v>36982</v>
      </c>
      <c r="G3529" s="188"/>
      <c r="H3529" s="188" t="str">
        <f t="shared" si="87"/>
        <v>n/a</v>
      </c>
      <c r="I3529" s="188">
        <v>278</v>
      </c>
      <c r="J3529" s="902" t="s">
        <v>6868</v>
      </c>
      <c r="K3529" s="162" t="s">
        <v>6237</v>
      </c>
      <c r="L3529" s="162" t="str">
        <f t="shared" si="88"/>
        <v>n/a</v>
      </c>
      <c r="M3529" s="162"/>
      <c r="N3529" s="162"/>
      <c r="O3529" s="162"/>
      <c r="P3529" s="178" t="s">
        <v>9100</v>
      </c>
      <c r="Q3529" s="162" t="s">
        <v>3953</v>
      </c>
      <c r="R3529" s="189" t="s">
        <v>2714</v>
      </c>
      <c r="S3529" s="366" t="s">
        <v>3063</v>
      </c>
      <c r="T3529" s="178" t="s">
        <v>7322</v>
      </c>
      <c r="U3529" s="178"/>
      <c r="V3529" s="178"/>
      <c r="W3529" s="316" t="s">
        <v>2576</v>
      </c>
      <c r="X3529" s="648" t="s">
        <v>12449</v>
      </c>
      <c r="Y3529" s="356"/>
      <c r="Z3529" s="272"/>
      <c r="AA3529" s="272"/>
      <c r="AB3529" s="34">
        <f t="shared" ca="1" si="86"/>
        <v>0.16191919239058206</v>
      </c>
      <c r="AC3529" s="814"/>
      <c r="AD3529" s="815" t="s">
        <v>16194</v>
      </c>
      <c r="AE3529" s="942" t="s">
        <v>3365</v>
      </c>
      <c r="AF3529" s="923">
        <f>IF(X3529=X3528,AF3528,0)+IF(ISNUMBER(I3529),IF(I3529&lt;1,I3529,I3529*VLOOKUP(J3529,Summary!$H$2:$I$9,2)),VLOOKUP(J3529,Summary!$J$2:$K$9,2)*IF(ISNUMBER(H3529),H3529,1))</f>
        <v>0.58472222222222225</v>
      </c>
      <c r="AG3529" s="291">
        <v>3528</v>
      </c>
      <c r="AH3529" s="94"/>
      <c r="AI3529" s="94"/>
    </row>
    <row r="3530" spans="1:36" s="43" customFormat="1" ht="12" customHeight="1" x14ac:dyDescent="0.25">
      <c r="A3530" s="569" t="s">
        <v>1564</v>
      </c>
      <c r="B3530" s="569">
        <v>8</v>
      </c>
      <c r="C3530" s="569">
        <v>45</v>
      </c>
      <c r="D3530" s="417" t="s">
        <v>2577</v>
      </c>
      <c r="E3530" s="316" t="s">
        <v>2578</v>
      </c>
      <c r="F3530" s="187">
        <v>37012</v>
      </c>
      <c r="G3530" s="188"/>
      <c r="H3530" s="188" t="str">
        <f t="shared" si="87"/>
        <v>n/a</v>
      </c>
      <c r="I3530" s="188">
        <v>288</v>
      </c>
      <c r="J3530" s="902" t="s">
        <v>6868</v>
      </c>
      <c r="K3530" s="162" t="s">
        <v>4032</v>
      </c>
      <c r="L3530" s="162" t="str">
        <f t="shared" si="88"/>
        <v>n/a</v>
      </c>
      <c r="M3530" s="162"/>
      <c r="N3530" s="162"/>
      <c r="O3530" s="162"/>
      <c r="P3530" s="178" t="s">
        <v>9100</v>
      </c>
      <c r="Q3530" s="162" t="s">
        <v>3953</v>
      </c>
      <c r="R3530" s="189" t="s">
        <v>2714</v>
      </c>
      <c r="S3530" s="366" t="s">
        <v>3063</v>
      </c>
      <c r="T3530" s="178" t="s">
        <v>7322</v>
      </c>
      <c r="U3530" s="178"/>
      <c r="V3530" s="178"/>
      <c r="W3530" s="316" t="s">
        <v>2578</v>
      </c>
      <c r="X3530" s="648" t="s">
        <v>12449</v>
      </c>
      <c r="Y3530" s="356" t="s">
        <v>6868</v>
      </c>
      <c r="Z3530" s="272"/>
      <c r="AA3530" s="272"/>
      <c r="AB3530" s="34">
        <f t="shared" ca="1" si="86"/>
        <v>0.54734388509661269</v>
      </c>
      <c r="AC3530" s="814"/>
      <c r="AD3530" s="815" t="s">
        <v>16708</v>
      </c>
      <c r="AE3530" s="942"/>
      <c r="AF3530" s="923">
        <f>IF(X3530=X3529,AF3529,0)+IF(ISNUMBER(I3530),IF(I3530&lt;1,I3530,I3530*VLOOKUP(J3530,Summary!$H$2:$I$9,2)),VLOOKUP(J3530,Summary!$J$2:$K$9,2)*IF(ISNUMBER(H3530),H3530,1))</f>
        <v>0.78472222222222232</v>
      </c>
      <c r="AG3530" s="291">
        <v>3529</v>
      </c>
      <c r="AH3530" s="94"/>
      <c r="AI3530" s="94"/>
    </row>
    <row r="3531" spans="1:36" s="3" customFormat="1" ht="12" customHeight="1" x14ac:dyDescent="0.25">
      <c r="A3531" s="569" t="s">
        <v>1564</v>
      </c>
      <c r="B3531" s="569">
        <v>8</v>
      </c>
      <c r="C3531" s="569">
        <v>46</v>
      </c>
      <c r="D3531" s="417" t="s">
        <v>2579</v>
      </c>
      <c r="E3531" s="316" t="s">
        <v>2580</v>
      </c>
      <c r="F3531" s="187">
        <v>37043</v>
      </c>
      <c r="G3531" s="188"/>
      <c r="H3531" s="188" t="str">
        <f t="shared" si="87"/>
        <v>n/a</v>
      </c>
      <c r="I3531" s="188">
        <v>277</v>
      </c>
      <c r="J3531" s="902" t="s">
        <v>6868</v>
      </c>
      <c r="K3531" s="162" t="s">
        <v>7800</v>
      </c>
      <c r="L3531" s="162" t="str">
        <f t="shared" si="88"/>
        <v>n/a</v>
      </c>
      <c r="M3531" s="162"/>
      <c r="N3531" s="162"/>
      <c r="O3531" s="162"/>
      <c r="P3531" s="178" t="s">
        <v>9101</v>
      </c>
      <c r="Q3531" s="162" t="s">
        <v>3953</v>
      </c>
      <c r="R3531" s="189" t="s">
        <v>2714</v>
      </c>
      <c r="S3531" s="366" t="s">
        <v>3063</v>
      </c>
      <c r="T3531" s="178" t="s">
        <v>7322</v>
      </c>
      <c r="U3531" s="178"/>
      <c r="V3531" s="178"/>
      <c r="W3531" s="316" t="s">
        <v>2580</v>
      </c>
      <c r="X3531" s="648" t="s">
        <v>12449</v>
      </c>
      <c r="Y3531" s="356" t="s">
        <v>6868</v>
      </c>
      <c r="Z3531" s="272">
        <v>66</v>
      </c>
      <c r="AA3531" s="272">
        <v>6.5</v>
      </c>
      <c r="AB3531" s="34">
        <f t="shared" ca="1" si="86"/>
        <v>0.49397664093627147</v>
      </c>
      <c r="AC3531" s="814"/>
      <c r="AD3531" s="815" t="s">
        <v>16137</v>
      </c>
      <c r="AE3531" s="942" t="s">
        <v>12543</v>
      </c>
      <c r="AF3531" s="923">
        <f>IF(X3531=X3530,AF3530,0)+IF(ISNUMBER(I3531),IF(I3531&lt;1,I3531,I3531*VLOOKUP(J3531,Summary!$H$2:$I$9,2)),VLOOKUP(J3531,Summary!$J$2:$K$9,2)*IF(ISNUMBER(H3531),H3531,1))</f>
        <v>0.97708333333333341</v>
      </c>
      <c r="AG3531" s="291">
        <v>3530</v>
      </c>
      <c r="AH3531" s="94"/>
      <c r="AI3531" s="94"/>
      <c r="AJ3531" s="43"/>
    </row>
    <row r="3532" spans="1:36" s="3" customFormat="1" ht="12" customHeight="1" x14ac:dyDescent="0.25">
      <c r="A3532" s="569" t="s">
        <v>1564</v>
      </c>
      <c r="B3532" s="569">
        <v>8</v>
      </c>
      <c r="C3532" s="569">
        <v>47</v>
      </c>
      <c r="D3532" s="417" t="s">
        <v>6229</v>
      </c>
      <c r="E3532" s="316" t="s">
        <v>6230</v>
      </c>
      <c r="F3532" s="187">
        <v>37073</v>
      </c>
      <c r="G3532" s="188"/>
      <c r="H3532" s="188" t="str">
        <f t="shared" si="87"/>
        <v>n/a</v>
      </c>
      <c r="I3532" s="188">
        <v>256</v>
      </c>
      <c r="J3532" s="902" t="s">
        <v>6868</v>
      </c>
      <c r="K3532" s="162" t="s">
        <v>2309</v>
      </c>
      <c r="L3532" s="162" t="str">
        <f t="shared" si="88"/>
        <v>n/a</v>
      </c>
      <c r="M3532" s="162"/>
      <c r="N3532" s="162"/>
      <c r="O3532" s="162"/>
      <c r="P3532" s="178" t="s">
        <v>9102</v>
      </c>
      <c r="Q3532" s="162" t="s">
        <v>3953</v>
      </c>
      <c r="R3532" s="189" t="s">
        <v>2714</v>
      </c>
      <c r="S3532" s="366" t="s">
        <v>3063</v>
      </c>
      <c r="T3532" s="178" t="s">
        <v>7322</v>
      </c>
      <c r="U3532" s="178"/>
      <c r="V3532" s="178"/>
      <c r="W3532" s="316" t="s">
        <v>6230</v>
      </c>
      <c r="X3532" s="648" t="s">
        <v>12449</v>
      </c>
      <c r="Y3532" s="356"/>
      <c r="Z3532" s="272"/>
      <c r="AA3532" s="272"/>
      <c r="AB3532" s="34">
        <f t="shared" ca="1" si="86"/>
        <v>0.56666370797642651</v>
      </c>
      <c r="AC3532" s="814"/>
      <c r="AD3532" s="815" t="s">
        <v>16170</v>
      </c>
      <c r="AE3532" s="942" t="s">
        <v>3365</v>
      </c>
      <c r="AF3532" s="923">
        <f>IF(X3532=X3531,AF3531,0)+IF(ISNUMBER(I3532),IF(I3532&lt;1,I3532,I3532*VLOOKUP(J3532,Summary!$H$2:$I$9,2)),VLOOKUP(J3532,Summary!$J$2:$K$9,2)*IF(ISNUMBER(H3532),H3532,1))</f>
        <v>1.1548611111111111</v>
      </c>
      <c r="AG3532" s="291">
        <v>3531</v>
      </c>
      <c r="AH3532" s="94"/>
      <c r="AI3532" s="94"/>
      <c r="AJ3532" s="43"/>
    </row>
    <row r="3533" spans="1:36" s="3" customFormat="1" ht="12" customHeight="1" x14ac:dyDescent="0.25">
      <c r="A3533" s="569" t="s">
        <v>1564</v>
      </c>
      <c r="B3533" s="569">
        <v>8</v>
      </c>
      <c r="C3533" s="569">
        <v>48</v>
      </c>
      <c r="D3533" s="417" t="s">
        <v>3275</v>
      </c>
      <c r="E3533" s="316" t="s">
        <v>3276</v>
      </c>
      <c r="F3533" s="187">
        <v>37104</v>
      </c>
      <c r="G3533" s="188"/>
      <c r="H3533" s="188" t="str">
        <f t="shared" si="87"/>
        <v>n/a</v>
      </c>
      <c r="I3533" s="188">
        <v>284</v>
      </c>
      <c r="J3533" s="902" t="s">
        <v>6868</v>
      </c>
      <c r="K3533" s="162" t="s">
        <v>335</v>
      </c>
      <c r="L3533" s="162" t="str">
        <f t="shared" si="88"/>
        <v>n/a</v>
      </c>
      <c r="M3533" s="162"/>
      <c r="N3533" s="162"/>
      <c r="O3533" s="162"/>
      <c r="P3533" s="178" t="s">
        <v>9102</v>
      </c>
      <c r="Q3533" s="162" t="s">
        <v>3953</v>
      </c>
      <c r="R3533" s="189" t="s">
        <v>2714</v>
      </c>
      <c r="S3533" s="366" t="s">
        <v>3063</v>
      </c>
      <c r="T3533" s="178" t="s">
        <v>7322</v>
      </c>
      <c r="U3533" s="178"/>
      <c r="V3533" s="178"/>
      <c r="W3533" s="316" t="s">
        <v>3276</v>
      </c>
      <c r="X3533" s="648" t="s">
        <v>12449</v>
      </c>
      <c r="Y3533" s="356"/>
      <c r="Z3533" s="272"/>
      <c r="AA3533" s="272"/>
      <c r="AB3533" s="34">
        <f t="shared" ca="1" si="86"/>
        <v>0.25679749078358838</v>
      </c>
      <c r="AC3533" s="814"/>
      <c r="AD3533" s="815" t="s">
        <v>16315</v>
      </c>
      <c r="AE3533" s="942"/>
      <c r="AF3533" s="923">
        <f>IF(X3533=X3532,AF3532,0)+IF(ISNUMBER(I3533),IF(I3533&lt;1,I3533,I3533*VLOOKUP(J3533,Summary!$H$2:$I$9,2)),VLOOKUP(J3533,Summary!$J$2:$K$9,2)*IF(ISNUMBER(H3533),H3533,1))</f>
        <v>1.3520833333333333</v>
      </c>
      <c r="AG3533" s="291">
        <v>3532</v>
      </c>
      <c r="AH3533" s="94"/>
      <c r="AI3533" s="94"/>
      <c r="AJ3533" s="43"/>
    </row>
    <row r="3534" spans="1:36" s="3" customFormat="1" ht="12" customHeight="1" x14ac:dyDescent="0.25">
      <c r="A3534" s="569" t="s">
        <v>1564</v>
      </c>
      <c r="B3534" s="569">
        <v>8</v>
      </c>
      <c r="C3534" s="569">
        <v>49</v>
      </c>
      <c r="D3534" s="417" t="s">
        <v>3277</v>
      </c>
      <c r="E3534" s="316" t="s">
        <v>3278</v>
      </c>
      <c r="F3534" s="187">
        <v>37135</v>
      </c>
      <c r="G3534" s="188"/>
      <c r="H3534" s="188" t="str">
        <f t="shared" si="87"/>
        <v>n/a</v>
      </c>
      <c r="I3534" s="188">
        <v>278</v>
      </c>
      <c r="J3534" s="902" t="s">
        <v>6868</v>
      </c>
      <c r="K3534" s="162" t="s">
        <v>3238</v>
      </c>
      <c r="L3534" s="162" t="str">
        <f t="shared" si="88"/>
        <v>n/a</v>
      </c>
      <c r="M3534" s="162"/>
      <c r="N3534" s="162"/>
      <c r="O3534" s="162"/>
      <c r="P3534" s="178" t="s">
        <v>9103</v>
      </c>
      <c r="Q3534" s="162" t="s">
        <v>3953</v>
      </c>
      <c r="R3534" s="189" t="s">
        <v>2714</v>
      </c>
      <c r="S3534" s="366" t="s">
        <v>3063</v>
      </c>
      <c r="T3534" s="178" t="s">
        <v>7322</v>
      </c>
      <c r="U3534" s="178"/>
      <c r="V3534" s="178"/>
      <c r="W3534" s="316" t="s">
        <v>3278</v>
      </c>
      <c r="X3534" s="648" t="s">
        <v>12449</v>
      </c>
      <c r="Y3534" s="356"/>
      <c r="Z3534" s="272"/>
      <c r="AA3534" s="272"/>
      <c r="AB3534" s="34">
        <f t="shared" ca="1" si="86"/>
        <v>0.61654293308363461</v>
      </c>
      <c r="AC3534" s="814"/>
      <c r="AD3534" s="815" t="s">
        <v>16005</v>
      </c>
      <c r="AE3534" s="942" t="s">
        <v>12543</v>
      </c>
      <c r="AF3534" s="923">
        <f>IF(X3534=X3533,AF3533,0)+IF(ISNUMBER(I3534),IF(I3534&lt;1,I3534,I3534*VLOOKUP(J3534,Summary!$H$2:$I$9,2)),VLOOKUP(J3534,Summary!$J$2:$K$9,2)*IF(ISNUMBER(H3534),H3534,1))</f>
        <v>1.5451388888888888</v>
      </c>
      <c r="AG3534" s="291">
        <v>3533</v>
      </c>
      <c r="AH3534" s="94"/>
      <c r="AI3534" s="94"/>
      <c r="AJ3534" s="43"/>
    </row>
    <row r="3535" spans="1:36" s="3" customFormat="1" ht="12" customHeight="1" x14ac:dyDescent="0.25">
      <c r="A3535" s="569" t="s">
        <v>1564</v>
      </c>
      <c r="B3535" s="573">
        <v>8</v>
      </c>
      <c r="C3535" s="573">
        <v>123.2</v>
      </c>
      <c r="D3535" s="407" t="s">
        <v>6227</v>
      </c>
      <c r="E3535" s="315" t="s">
        <v>6228</v>
      </c>
      <c r="F3535" s="169">
        <v>39995</v>
      </c>
      <c r="G3535" s="170"/>
      <c r="H3535" s="170">
        <v>1</v>
      </c>
      <c r="I3535" s="746">
        <f>TIME(0,28,14)</f>
        <v>1.9606481481481482E-2</v>
      </c>
      <c r="J3535" s="899" t="s">
        <v>4706</v>
      </c>
      <c r="K3535" s="167" t="s">
        <v>6237</v>
      </c>
      <c r="L3535" s="167" t="s">
        <v>4549</v>
      </c>
      <c r="M3535" s="167"/>
      <c r="N3535" s="167"/>
      <c r="O3535" s="167"/>
      <c r="P3535" s="168"/>
      <c r="Q3535" s="167" t="s">
        <v>3947</v>
      </c>
      <c r="R3535" s="172" t="s">
        <v>3146</v>
      </c>
      <c r="S3535" s="388" t="s">
        <v>3063</v>
      </c>
      <c r="T3535" s="168" t="s">
        <v>7322</v>
      </c>
      <c r="U3535" s="168"/>
      <c r="V3535" s="168"/>
      <c r="W3535" s="312" t="s">
        <v>9575</v>
      </c>
      <c r="X3535" s="644" t="s">
        <v>12449</v>
      </c>
      <c r="Y3535" s="352" t="s">
        <v>5398</v>
      </c>
      <c r="Z3535" s="353">
        <v>208</v>
      </c>
      <c r="AA3535" s="353">
        <v>6</v>
      </c>
      <c r="AB3535" s="31">
        <f t="shared" ca="1" si="86"/>
        <v>0.26866056572337071</v>
      </c>
      <c r="AC3535" s="810"/>
      <c r="AD3535" s="811"/>
      <c r="AE3535" s="940"/>
      <c r="AF3535" s="920">
        <f>IF(X3535=X3534,AF3534,0)+IF(ISNUMBER(I3535),IF(I3535&lt;1,I3535,I3535*VLOOKUP(J3535,Summary!$H$2:$I$9,2)),VLOOKUP(J3535,Summary!$J$2:$K$9,2)*IF(ISNUMBER(H3535),H3535,1))</f>
        <v>1.5647453703703704</v>
      </c>
      <c r="AG3535" s="287">
        <v>3534</v>
      </c>
      <c r="AH3535" s="94"/>
      <c r="AI3535" s="94"/>
      <c r="AJ3535" s="43"/>
    </row>
    <row r="3536" spans="1:36" s="3" customFormat="1" ht="12" customHeight="1" x14ac:dyDescent="0.25">
      <c r="A3536" s="569" t="s">
        <v>1564</v>
      </c>
      <c r="B3536" s="569">
        <v>8</v>
      </c>
      <c r="C3536" s="569">
        <v>50</v>
      </c>
      <c r="D3536" s="417" t="s">
        <v>3279</v>
      </c>
      <c r="E3536" s="316" t="s">
        <v>3280</v>
      </c>
      <c r="F3536" s="187">
        <v>37165</v>
      </c>
      <c r="G3536" s="188"/>
      <c r="H3536" s="188" t="str">
        <f>IF(J3536="Book","n/a","")</f>
        <v>n/a</v>
      </c>
      <c r="I3536" s="188">
        <v>288</v>
      </c>
      <c r="J3536" s="902" t="s">
        <v>6868</v>
      </c>
      <c r="K3536" s="162" t="s">
        <v>339</v>
      </c>
      <c r="L3536" s="162" t="str">
        <f>IF(J3536="Book","n/a","")</f>
        <v>n/a</v>
      </c>
      <c r="M3536" s="162"/>
      <c r="N3536" s="162"/>
      <c r="O3536" s="162"/>
      <c r="P3536" s="178" t="s">
        <v>9104</v>
      </c>
      <c r="Q3536" s="162" t="s">
        <v>3953</v>
      </c>
      <c r="R3536" s="189" t="s">
        <v>2714</v>
      </c>
      <c r="S3536" s="366" t="s">
        <v>3063</v>
      </c>
      <c r="T3536" s="178" t="s">
        <v>7322</v>
      </c>
      <c r="U3536" s="178"/>
      <c r="V3536" s="178"/>
      <c r="W3536" s="316" t="s">
        <v>3280</v>
      </c>
      <c r="X3536" s="648" t="s">
        <v>12449</v>
      </c>
      <c r="Y3536" s="356" t="s">
        <v>6868</v>
      </c>
      <c r="Z3536" s="272"/>
      <c r="AA3536" s="272"/>
      <c r="AB3536" s="34">
        <f t="shared" ca="1" si="86"/>
        <v>0.83794795743406991</v>
      </c>
      <c r="AC3536" s="814"/>
      <c r="AD3536" s="815" t="s">
        <v>16323</v>
      </c>
      <c r="AE3536" s="942" t="s">
        <v>12543</v>
      </c>
      <c r="AF3536" s="923">
        <f>IF(X3536=X3535,AF3535,0)+IF(ISNUMBER(I3536),IF(I3536&lt;1,I3536,I3536*VLOOKUP(J3536,Summary!$H$2:$I$9,2)),VLOOKUP(J3536,Summary!$J$2:$K$9,2)*IF(ISNUMBER(H3536),H3536,1))</f>
        <v>1.7647453703703704</v>
      </c>
      <c r="AG3536" s="291">
        <v>3535</v>
      </c>
      <c r="AH3536" s="94"/>
      <c r="AI3536" s="94"/>
      <c r="AJ3536" s="43"/>
    </row>
    <row r="3537" spans="1:36" s="147" customFormat="1" ht="12" customHeight="1" x14ac:dyDescent="0.25">
      <c r="A3537" s="436" t="s">
        <v>1564</v>
      </c>
      <c r="B3537" s="436" t="s">
        <v>2650</v>
      </c>
      <c r="C3537" s="436">
        <v>1</v>
      </c>
      <c r="D3537" s="185" t="s">
        <v>13757</v>
      </c>
      <c r="E3537" s="314" t="s">
        <v>13758</v>
      </c>
      <c r="F3537" s="183">
        <v>37834</v>
      </c>
      <c r="G3537" s="183"/>
      <c r="H3537" s="185">
        <v>1</v>
      </c>
      <c r="I3537" s="185"/>
      <c r="J3537" s="901" t="s">
        <v>1796</v>
      </c>
      <c r="K3537" s="163" t="s">
        <v>5122</v>
      </c>
      <c r="L3537" s="163" t="s">
        <v>13759</v>
      </c>
      <c r="M3537" s="163" t="s">
        <v>13760</v>
      </c>
      <c r="N3537" s="163" t="s">
        <v>13761</v>
      </c>
      <c r="O3537" s="163"/>
      <c r="P3537" s="182" t="s">
        <v>461</v>
      </c>
      <c r="Q3537" s="163" t="s">
        <v>13762</v>
      </c>
      <c r="R3537" s="186" t="s">
        <v>13756</v>
      </c>
      <c r="S3537" s="355"/>
      <c r="T3537" s="182"/>
      <c r="U3537" s="182"/>
      <c r="V3537" s="182"/>
      <c r="W3537" s="314" t="s">
        <v>13758</v>
      </c>
      <c r="X3537" s="646" t="s">
        <v>12449</v>
      </c>
      <c r="Y3537" s="355" t="s">
        <v>1796</v>
      </c>
      <c r="Z3537" s="185"/>
      <c r="AA3537" s="185"/>
      <c r="AB3537" s="33">
        <f t="shared" ca="1" si="86"/>
        <v>4.3234657253118369E-3</v>
      </c>
      <c r="AC3537" s="813"/>
      <c r="AD3537" s="211" t="s">
        <v>16539</v>
      </c>
      <c r="AE3537" s="941" t="s">
        <v>15116</v>
      </c>
      <c r="AF3537" s="922">
        <f>IF(X3537=X3536,AF3536,0)+IF(ISNUMBER(I3537),IF(I3537&lt;1,I3537,I3537*VLOOKUP(J3537,Summary!$H$2:$I$9,2)),VLOOKUP(J3537,Summary!$J$2:$K$9,2)*IF(ISNUMBER(H3537),H3537,1))</f>
        <v>1.7682175925925927</v>
      </c>
      <c r="AG3537" s="290">
        <v>3536</v>
      </c>
      <c r="AH3537" s="122"/>
      <c r="AI3537" s="122"/>
      <c r="AJ3537" s="146"/>
    </row>
    <row r="3538" spans="1:36" s="1" customFormat="1" ht="12" customHeight="1" x14ac:dyDescent="0.25">
      <c r="A3538" s="436" t="s">
        <v>1564</v>
      </c>
      <c r="B3538" s="436" t="s">
        <v>2650</v>
      </c>
      <c r="C3538" s="436">
        <v>2</v>
      </c>
      <c r="D3538" s="185" t="s">
        <v>13763</v>
      </c>
      <c r="E3538" s="314" t="s">
        <v>13764</v>
      </c>
      <c r="F3538" s="183">
        <v>37895</v>
      </c>
      <c r="G3538" s="183"/>
      <c r="H3538" s="185">
        <v>1</v>
      </c>
      <c r="I3538" s="185"/>
      <c r="J3538" s="901" t="s">
        <v>1796</v>
      </c>
      <c r="K3538" s="163" t="s">
        <v>5122</v>
      </c>
      <c r="L3538" s="163" t="s">
        <v>13759</v>
      </c>
      <c r="M3538" s="163" t="s">
        <v>13760</v>
      </c>
      <c r="N3538" s="163" t="s">
        <v>13761</v>
      </c>
      <c r="O3538" s="163"/>
      <c r="P3538" s="182" t="s">
        <v>461</v>
      </c>
      <c r="Q3538" s="163" t="s">
        <v>13762</v>
      </c>
      <c r="R3538" s="186" t="s">
        <v>13756</v>
      </c>
      <c r="S3538" s="355"/>
      <c r="T3538" s="182"/>
      <c r="U3538" s="182"/>
      <c r="V3538" s="182"/>
      <c r="W3538" s="314" t="s">
        <v>13758</v>
      </c>
      <c r="X3538" s="646" t="s">
        <v>12449</v>
      </c>
      <c r="Y3538" s="355" t="s">
        <v>1796</v>
      </c>
      <c r="Z3538" s="185"/>
      <c r="AA3538" s="185"/>
      <c r="AB3538" s="33">
        <f t="shared" ca="1" si="86"/>
        <v>0.72935338710772502</v>
      </c>
      <c r="AC3538" s="813"/>
      <c r="AD3538" s="211" t="s">
        <v>16539</v>
      </c>
      <c r="AE3538" s="941" t="s">
        <v>15116</v>
      </c>
      <c r="AF3538" s="922">
        <f>IF(X3538=X3537,AF3537,0)+IF(ISNUMBER(I3538),IF(I3538&lt;1,I3538,I3538*VLOOKUP(J3538,Summary!$H$2:$I$9,2)),VLOOKUP(J3538,Summary!$J$2:$K$9,2)*IF(ISNUMBER(H3538),H3538,1))</f>
        <v>1.771689814814815</v>
      </c>
      <c r="AG3538" s="290">
        <v>3537</v>
      </c>
      <c r="AH3538" s="94"/>
      <c r="AI3538" s="94"/>
      <c r="AJ3538" s="43"/>
    </row>
    <row r="3539" spans="1:36" s="3" customFormat="1" ht="12" customHeight="1" x14ac:dyDescent="0.25">
      <c r="A3539" s="569" t="s">
        <v>1564</v>
      </c>
      <c r="B3539" s="569">
        <v>8</v>
      </c>
      <c r="C3539" s="569">
        <v>51</v>
      </c>
      <c r="D3539" s="417" t="s">
        <v>3281</v>
      </c>
      <c r="E3539" s="316" t="s">
        <v>3282</v>
      </c>
      <c r="F3539" s="195">
        <v>37196</v>
      </c>
      <c r="G3539" s="188"/>
      <c r="H3539" s="188" t="str">
        <f>IF(J3539="Book","n/a","")</f>
        <v>n/a</v>
      </c>
      <c r="I3539" s="188">
        <v>284</v>
      </c>
      <c r="J3539" s="902" t="s">
        <v>6868</v>
      </c>
      <c r="K3539" s="162" t="s">
        <v>5122</v>
      </c>
      <c r="L3539" s="162" t="str">
        <f>IF(J3539="Book","n/a","")</f>
        <v>n/a</v>
      </c>
      <c r="M3539" s="162"/>
      <c r="N3539" s="162"/>
      <c r="O3539" s="162"/>
      <c r="P3539" s="178" t="s">
        <v>9105</v>
      </c>
      <c r="Q3539" s="162" t="s">
        <v>3953</v>
      </c>
      <c r="R3539" s="189" t="s">
        <v>2714</v>
      </c>
      <c r="S3539" s="366" t="s">
        <v>3063</v>
      </c>
      <c r="T3539" s="178" t="s">
        <v>7322</v>
      </c>
      <c r="U3539" s="178"/>
      <c r="V3539" s="178"/>
      <c r="W3539" s="316" t="s">
        <v>3282</v>
      </c>
      <c r="X3539" s="648" t="s">
        <v>12449</v>
      </c>
      <c r="Y3539" s="356"/>
      <c r="Z3539" s="272">
        <v>220</v>
      </c>
      <c r="AA3539" s="272">
        <v>2.5</v>
      </c>
      <c r="AB3539" s="34">
        <f t="shared" ca="1" si="86"/>
        <v>0.29320029824480098</v>
      </c>
      <c r="AC3539" s="814"/>
      <c r="AD3539" s="815" t="s">
        <v>16540</v>
      </c>
      <c r="AE3539" s="942"/>
      <c r="AF3539" s="923">
        <f>IF(X3539=X3538,AF3538,0)+IF(ISNUMBER(I3539),IF(I3539&lt;1,I3539,I3539*VLOOKUP(J3539,Summary!$H$2:$I$9,2)),VLOOKUP(J3539,Summary!$J$2:$K$9,2)*IF(ISNUMBER(H3539),H3539,1))</f>
        <v>1.9689120370370372</v>
      </c>
      <c r="AG3539" s="291">
        <v>3538</v>
      </c>
      <c r="AH3539" s="94"/>
      <c r="AI3539" s="94"/>
      <c r="AJ3539" s="2"/>
    </row>
    <row r="3540" spans="1:36" s="3" customFormat="1" ht="12" customHeight="1" x14ac:dyDescent="0.25">
      <c r="A3540" s="578" t="s">
        <v>13834</v>
      </c>
      <c r="B3540" s="579" t="s">
        <v>13766</v>
      </c>
      <c r="C3540" s="578">
        <v>23</v>
      </c>
      <c r="D3540" s="580" t="s">
        <v>13851</v>
      </c>
      <c r="E3540" s="341" t="s">
        <v>13878</v>
      </c>
      <c r="F3540" s="224">
        <v>41275</v>
      </c>
      <c r="G3540" s="257"/>
      <c r="H3540" s="258" t="s">
        <v>461</v>
      </c>
      <c r="I3540" s="258"/>
      <c r="J3540" s="912" t="s">
        <v>2755</v>
      </c>
      <c r="K3540" s="259" t="s">
        <v>3324</v>
      </c>
      <c r="L3540" s="259" t="s">
        <v>461</v>
      </c>
      <c r="M3540" s="259"/>
      <c r="N3540" s="259"/>
      <c r="O3540" s="259"/>
      <c r="P3540" s="255" t="s">
        <v>461</v>
      </c>
      <c r="Q3540" s="259" t="s">
        <v>11587</v>
      </c>
      <c r="R3540" s="260" t="s">
        <v>13753</v>
      </c>
      <c r="S3540" s="401"/>
      <c r="T3540" s="255"/>
      <c r="U3540" s="255"/>
      <c r="V3540" s="255"/>
      <c r="W3540" s="341" t="s">
        <v>13878</v>
      </c>
      <c r="X3540" s="676" t="s">
        <v>13835</v>
      </c>
      <c r="Y3540" s="381"/>
      <c r="Z3540" s="382"/>
      <c r="AA3540" s="382"/>
      <c r="AB3540" s="145">
        <f t="shared" ca="1" si="86"/>
        <v>5.5524730901425956E-2</v>
      </c>
      <c r="AC3540" s="840"/>
      <c r="AD3540" s="841"/>
      <c r="AE3540" s="961"/>
      <c r="AF3540" s="933">
        <f>IF(X3540=X3539,AF3539,0)+IF(ISNUMBER(I3540),IF(I3540&lt;1,I3540,I3540*VLOOKUP(J3540,Summary!$H$2:$I$9,2)),VLOOKUP(J3540,Summary!$J$2:$K$9,2)*IF(ISNUMBER(H3540),H3540,1))</f>
        <v>1.7361111111111112E-2</v>
      </c>
      <c r="AG3540" s="305">
        <v>3539</v>
      </c>
      <c r="AH3540" s="94"/>
      <c r="AI3540" s="94"/>
      <c r="AJ3540" s="2"/>
    </row>
    <row r="3541" spans="1:36" s="43" customFormat="1" ht="12" customHeight="1" x14ac:dyDescent="0.25">
      <c r="A3541" s="578" t="s">
        <v>13834</v>
      </c>
      <c r="B3541" s="579" t="s">
        <v>13766</v>
      </c>
      <c r="C3541" s="578">
        <v>11</v>
      </c>
      <c r="D3541" s="580" t="s">
        <v>13852</v>
      </c>
      <c r="E3541" s="341" t="s">
        <v>13853</v>
      </c>
      <c r="F3541" s="175">
        <v>40694</v>
      </c>
      <c r="G3541" s="257"/>
      <c r="H3541" s="258" t="s">
        <v>461</v>
      </c>
      <c r="I3541" s="258"/>
      <c r="J3541" s="912" t="s">
        <v>2755</v>
      </c>
      <c r="K3541" s="259" t="s">
        <v>4765</v>
      </c>
      <c r="L3541" s="259" t="s">
        <v>461</v>
      </c>
      <c r="M3541" s="259"/>
      <c r="N3541" s="259" t="s">
        <v>13880</v>
      </c>
      <c r="O3541" s="259"/>
      <c r="P3541" s="255" t="s">
        <v>13879</v>
      </c>
      <c r="Q3541" s="259" t="s">
        <v>11587</v>
      </c>
      <c r="R3541" s="260" t="s">
        <v>13753</v>
      </c>
      <c r="S3541" s="401"/>
      <c r="T3541" s="255"/>
      <c r="U3541" s="255"/>
      <c r="V3541" s="255"/>
      <c r="W3541" s="341" t="s">
        <v>13853</v>
      </c>
      <c r="X3541" s="676" t="s">
        <v>13835</v>
      </c>
      <c r="Y3541" s="381"/>
      <c r="Z3541" s="382"/>
      <c r="AA3541" s="382"/>
      <c r="AB3541" s="145">
        <f t="shared" ca="1" si="86"/>
        <v>4.9200437680026909E-2</v>
      </c>
      <c r="AC3541" s="840"/>
      <c r="AD3541" s="841"/>
      <c r="AE3541" s="961"/>
      <c r="AF3541" s="933">
        <f>IF(X3541=X3540,AF3540,0)+IF(ISNUMBER(I3541),IF(I3541&lt;1,I3541,I3541*VLOOKUP(J3541,Summary!$H$2:$I$9,2)),VLOOKUP(J3541,Summary!$J$2:$K$9,2)*IF(ISNUMBER(H3541),H3541,1))</f>
        <v>3.4722222222222224E-2</v>
      </c>
      <c r="AG3541" s="305">
        <v>3540</v>
      </c>
      <c r="AH3541" s="94"/>
      <c r="AI3541" s="94"/>
      <c r="AJ3541" s="2"/>
    </row>
    <row r="3542" spans="1:36" s="2" customFormat="1" ht="12" customHeight="1" x14ac:dyDescent="0.25">
      <c r="A3542" s="578" t="s">
        <v>13834</v>
      </c>
      <c r="B3542" s="579" t="s">
        <v>13766</v>
      </c>
      <c r="C3542" s="578">
        <v>12</v>
      </c>
      <c r="D3542" s="580" t="s">
        <v>13854</v>
      </c>
      <c r="E3542" s="341" t="s">
        <v>13855</v>
      </c>
      <c r="F3542" s="175">
        <v>40694</v>
      </c>
      <c r="G3542" s="257"/>
      <c r="H3542" s="258" t="s">
        <v>461</v>
      </c>
      <c r="I3542" s="258"/>
      <c r="J3542" s="912" t="s">
        <v>2755</v>
      </c>
      <c r="K3542" s="259" t="s">
        <v>10454</v>
      </c>
      <c r="L3542" s="259" t="s">
        <v>461</v>
      </c>
      <c r="M3542" s="259"/>
      <c r="N3542" s="259" t="s">
        <v>13880</v>
      </c>
      <c r="O3542" s="259"/>
      <c r="P3542" s="255" t="s">
        <v>13879</v>
      </c>
      <c r="Q3542" s="259" t="s">
        <v>11587</v>
      </c>
      <c r="R3542" s="260" t="s">
        <v>13753</v>
      </c>
      <c r="S3542" s="401"/>
      <c r="T3542" s="255"/>
      <c r="U3542" s="255"/>
      <c r="V3542" s="255"/>
      <c r="W3542" s="341" t="s">
        <v>13855</v>
      </c>
      <c r="X3542" s="676" t="s">
        <v>13835</v>
      </c>
      <c r="Y3542" s="381"/>
      <c r="Z3542" s="382"/>
      <c r="AA3542" s="382"/>
      <c r="AB3542" s="145">
        <f t="shared" ca="1" si="86"/>
        <v>0.87353063681223331</v>
      </c>
      <c r="AC3542" s="840"/>
      <c r="AD3542" s="841"/>
      <c r="AE3542" s="961"/>
      <c r="AF3542" s="933">
        <f>IF(X3542=X3541,AF3541,0)+IF(ISNUMBER(I3542),IF(I3542&lt;1,I3542,I3542*VLOOKUP(J3542,Summary!$H$2:$I$9,2)),VLOOKUP(J3542,Summary!$J$2:$K$9,2)*IF(ISNUMBER(H3542),H3542,1))</f>
        <v>5.2083333333333336E-2</v>
      </c>
      <c r="AG3542" s="305">
        <v>3541</v>
      </c>
      <c r="AH3542" s="94"/>
      <c r="AI3542" s="94"/>
      <c r="AJ3542" s="22"/>
    </row>
    <row r="3543" spans="1:36" s="2" customFormat="1" ht="12" customHeight="1" x14ac:dyDescent="0.25">
      <c r="A3543" s="578" t="s">
        <v>13834</v>
      </c>
      <c r="B3543" s="579" t="s">
        <v>13766</v>
      </c>
      <c r="C3543" s="578">
        <v>13</v>
      </c>
      <c r="D3543" s="580" t="s">
        <v>13856</v>
      </c>
      <c r="E3543" s="341" t="s">
        <v>13857</v>
      </c>
      <c r="F3543" s="175">
        <v>40694</v>
      </c>
      <c r="G3543" s="257"/>
      <c r="H3543" s="258" t="s">
        <v>461</v>
      </c>
      <c r="I3543" s="258"/>
      <c r="J3543" s="912" t="s">
        <v>2755</v>
      </c>
      <c r="K3543" s="259" t="s">
        <v>11958</v>
      </c>
      <c r="L3543" s="259" t="s">
        <v>461</v>
      </c>
      <c r="M3543" s="259"/>
      <c r="N3543" s="259" t="s">
        <v>13880</v>
      </c>
      <c r="O3543" s="259"/>
      <c r="P3543" s="255" t="s">
        <v>13879</v>
      </c>
      <c r="Q3543" s="259" t="s">
        <v>11587</v>
      </c>
      <c r="R3543" s="260" t="s">
        <v>13753</v>
      </c>
      <c r="S3543" s="401"/>
      <c r="T3543" s="255"/>
      <c r="U3543" s="255"/>
      <c r="V3543" s="255"/>
      <c r="W3543" s="341" t="s">
        <v>13857</v>
      </c>
      <c r="X3543" s="676" t="s">
        <v>13835</v>
      </c>
      <c r="Y3543" s="381"/>
      <c r="Z3543" s="382"/>
      <c r="AA3543" s="382"/>
      <c r="AB3543" s="145">
        <f t="shared" ca="1" si="86"/>
        <v>7.2005256703662535E-2</v>
      </c>
      <c r="AC3543" s="840"/>
      <c r="AD3543" s="841"/>
      <c r="AE3543" s="961"/>
      <c r="AF3543" s="933">
        <f>IF(X3543=X3542,AF3542,0)+IF(ISNUMBER(I3543),IF(I3543&lt;1,I3543,I3543*VLOOKUP(J3543,Summary!$H$2:$I$9,2)),VLOOKUP(J3543,Summary!$J$2:$K$9,2)*IF(ISNUMBER(H3543),H3543,1))</f>
        <v>6.9444444444444448E-2</v>
      </c>
      <c r="AG3543" s="305">
        <v>3542</v>
      </c>
      <c r="AH3543" s="94"/>
      <c r="AI3543" s="94"/>
    </row>
    <row r="3544" spans="1:36" s="2" customFormat="1" ht="12" customHeight="1" x14ac:dyDescent="0.25">
      <c r="A3544" s="578" t="s">
        <v>13834</v>
      </c>
      <c r="B3544" s="579" t="s">
        <v>13766</v>
      </c>
      <c r="C3544" s="578">
        <v>14</v>
      </c>
      <c r="D3544" s="580" t="s">
        <v>13858</v>
      </c>
      <c r="E3544" s="341" t="s">
        <v>13859</v>
      </c>
      <c r="F3544" s="175">
        <v>40694</v>
      </c>
      <c r="G3544" s="257"/>
      <c r="H3544" s="258" t="s">
        <v>461</v>
      </c>
      <c r="I3544" s="258"/>
      <c r="J3544" s="912" t="s">
        <v>2755</v>
      </c>
      <c r="K3544" s="259" t="s">
        <v>11638</v>
      </c>
      <c r="L3544" s="259" t="s">
        <v>461</v>
      </c>
      <c r="M3544" s="259"/>
      <c r="N3544" s="259" t="s">
        <v>13880</v>
      </c>
      <c r="O3544" s="259"/>
      <c r="P3544" s="255" t="s">
        <v>13879</v>
      </c>
      <c r="Q3544" s="259" t="s">
        <v>11587</v>
      </c>
      <c r="R3544" s="260" t="s">
        <v>13753</v>
      </c>
      <c r="S3544" s="401"/>
      <c r="T3544" s="255"/>
      <c r="U3544" s="255"/>
      <c r="V3544" s="255"/>
      <c r="W3544" s="341" t="s">
        <v>13859</v>
      </c>
      <c r="X3544" s="676" t="s">
        <v>13835</v>
      </c>
      <c r="Y3544" s="381"/>
      <c r="Z3544" s="382"/>
      <c r="AA3544" s="382"/>
      <c r="AB3544" s="145">
        <f t="shared" ca="1" si="86"/>
        <v>0.88861140383613857</v>
      </c>
      <c r="AC3544" s="840"/>
      <c r="AD3544" s="841"/>
      <c r="AE3544" s="961"/>
      <c r="AF3544" s="933">
        <f>IF(X3544=X3543,AF3543,0)+IF(ISNUMBER(I3544),IF(I3544&lt;1,I3544,I3544*VLOOKUP(J3544,Summary!$H$2:$I$9,2)),VLOOKUP(J3544,Summary!$J$2:$K$9,2)*IF(ISNUMBER(H3544),H3544,1))</f>
        <v>8.6805555555555552E-2</v>
      </c>
      <c r="AG3544" s="305">
        <v>3543</v>
      </c>
      <c r="AH3544" s="94"/>
      <c r="AI3544" s="94"/>
    </row>
    <row r="3545" spans="1:36" s="3" customFormat="1" ht="12" customHeight="1" x14ac:dyDescent="0.25">
      <c r="A3545" s="578" t="s">
        <v>13834</v>
      </c>
      <c r="B3545" s="579" t="s">
        <v>13766</v>
      </c>
      <c r="C3545" s="578">
        <v>15</v>
      </c>
      <c r="D3545" s="580" t="s">
        <v>13860</v>
      </c>
      <c r="E3545" s="341" t="s">
        <v>13861</v>
      </c>
      <c r="F3545" s="175">
        <v>40694</v>
      </c>
      <c r="G3545" s="257"/>
      <c r="H3545" s="258" t="s">
        <v>461</v>
      </c>
      <c r="I3545" s="258"/>
      <c r="J3545" s="912" t="s">
        <v>2755</v>
      </c>
      <c r="K3545" s="259" t="s">
        <v>13862</v>
      </c>
      <c r="L3545" s="259" t="s">
        <v>461</v>
      </c>
      <c r="M3545" s="259"/>
      <c r="N3545" s="259" t="s">
        <v>13880</v>
      </c>
      <c r="O3545" s="259"/>
      <c r="P3545" s="255" t="s">
        <v>13879</v>
      </c>
      <c r="Q3545" s="259" t="s">
        <v>11587</v>
      </c>
      <c r="R3545" s="260" t="s">
        <v>13753</v>
      </c>
      <c r="S3545" s="401"/>
      <c r="T3545" s="255"/>
      <c r="U3545" s="255"/>
      <c r="V3545" s="255"/>
      <c r="W3545" s="341" t="s">
        <v>13861</v>
      </c>
      <c r="X3545" s="676" t="s">
        <v>13835</v>
      </c>
      <c r="Y3545" s="381"/>
      <c r="Z3545" s="382"/>
      <c r="AA3545" s="382"/>
      <c r="AB3545" s="145">
        <f t="shared" ca="1" si="86"/>
        <v>0.39905952566608616</v>
      </c>
      <c r="AC3545" s="840"/>
      <c r="AD3545" s="841"/>
      <c r="AE3545" s="961"/>
      <c r="AF3545" s="933">
        <f>IF(X3545=X3544,AF3544,0)+IF(ISNUMBER(I3545),IF(I3545&lt;1,I3545,I3545*VLOOKUP(J3545,Summary!$H$2:$I$9,2)),VLOOKUP(J3545,Summary!$J$2:$K$9,2)*IF(ISNUMBER(H3545),H3545,1))</f>
        <v>0.10416666666666666</v>
      </c>
      <c r="AG3545" s="305">
        <v>3544</v>
      </c>
      <c r="AH3545" s="94"/>
      <c r="AI3545" s="94"/>
      <c r="AJ3545" s="43"/>
    </row>
    <row r="3546" spans="1:36" s="2" customFormat="1" ht="12" customHeight="1" x14ac:dyDescent="0.25">
      <c r="A3546" s="578" t="s">
        <v>13834</v>
      </c>
      <c r="B3546" s="579" t="s">
        <v>13766</v>
      </c>
      <c r="C3546" s="578">
        <v>16</v>
      </c>
      <c r="D3546" s="580" t="s">
        <v>13863</v>
      </c>
      <c r="E3546" s="341" t="s">
        <v>13864</v>
      </c>
      <c r="F3546" s="175">
        <v>40694</v>
      </c>
      <c r="G3546" s="257"/>
      <c r="H3546" s="258" t="s">
        <v>461</v>
      </c>
      <c r="I3546" s="258"/>
      <c r="J3546" s="912" t="s">
        <v>2755</v>
      </c>
      <c r="K3546" s="259" t="s">
        <v>11610</v>
      </c>
      <c r="L3546" s="259" t="s">
        <v>461</v>
      </c>
      <c r="M3546" s="259"/>
      <c r="N3546" s="259" t="s">
        <v>13880</v>
      </c>
      <c r="O3546" s="259"/>
      <c r="P3546" s="255" t="s">
        <v>13879</v>
      </c>
      <c r="Q3546" s="259" t="s">
        <v>11587</v>
      </c>
      <c r="R3546" s="260" t="s">
        <v>13753</v>
      </c>
      <c r="S3546" s="401"/>
      <c r="T3546" s="255"/>
      <c r="U3546" s="255"/>
      <c r="V3546" s="255"/>
      <c r="W3546" s="341" t="s">
        <v>13864</v>
      </c>
      <c r="X3546" s="676" t="s">
        <v>13835</v>
      </c>
      <c r="Y3546" s="381"/>
      <c r="Z3546" s="382"/>
      <c r="AA3546" s="382"/>
      <c r="AB3546" s="145">
        <f t="shared" ca="1" si="86"/>
        <v>0.60516276944093772</v>
      </c>
      <c r="AC3546" s="840"/>
      <c r="AD3546" s="841"/>
      <c r="AE3546" s="961"/>
      <c r="AF3546" s="933">
        <f>IF(X3546=X3545,AF3545,0)+IF(ISNUMBER(I3546),IF(I3546&lt;1,I3546,I3546*VLOOKUP(J3546,Summary!$H$2:$I$9,2)),VLOOKUP(J3546,Summary!$J$2:$K$9,2)*IF(ISNUMBER(H3546),H3546,1))</f>
        <v>0.12152777777777776</v>
      </c>
      <c r="AG3546" s="305">
        <v>3545</v>
      </c>
      <c r="AH3546" s="94"/>
      <c r="AI3546" s="94"/>
    </row>
    <row r="3547" spans="1:36" s="3" customFormat="1" ht="12" customHeight="1" x14ac:dyDescent="0.25">
      <c r="A3547" s="578" t="s">
        <v>13834</v>
      </c>
      <c r="B3547" s="579" t="s">
        <v>13766</v>
      </c>
      <c r="C3547" s="578">
        <v>17</v>
      </c>
      <c r="D3547" s="580" t="s">
        <v>13865</v>
      </c>
      <c r="E3547" s="341" t="s">
        <v>13866</v>
      </c>
      <c r="F3547" s="175">
        <v>40694</v>
      </c>
      <c r="G3547" s="257"/>
      <c r="H3547" s="258" t="s">
        <v>461</v>
      </c>
      <c r="I3547" s="258"/>
      <c r="J3547" s="912" t="s">
        <v>2755</v>
      </c>
      <c r="K3547" s="259" t="s">
        <v>13867</v>
      </c>
      <c r="L3547" s="259" t="s">
        <v>461</v>
      </c>
      <c r="M3547" s="259"/>
      <c r="N3547" s="259" t="s">
        <v>13880</v>
      </c>
      <c r="O3547" s="259"/>
      <c r="P3547" s="255" t="s">
        <v>13879</v>
      </c>
      <c r="Q3547" s="259" t="s">
        <v>11587</v>
      </c>
      <c r="R3547" s="260" t="s">
        <v>13753</v>
      </c>
      <c r="S3547" s="401"/>
      <c r="T3547" s="255"/>
      <c r="U3547" s="255"/>
      <c r="V3547" s="255"/>
      <c r="W3547" s="341" t="s">
        <v>13866</v>
      </c>
      <c r="X3547" s="676" t="s">
        <v>13835</v>
      </c>
      <c r="Y3547" s="381"/>
      <c r="Z3547" s="382"/>
      <c r="AA3547" s="382"/>
      <c r="AB3547" s="145">
        <f t="shared" ca="1" si="86"/>
        <v>6.3128975164362111E-2</v>
      </c>
      <c r="AC3547" s="840"/>
      <c r="AD3547" s="841"/>
      <c r="AE3547" s="961"/>
      <c r="AF3547" s="933">
        <f>IF(X3547=X3546,AF3546,0)+IF(ISNUMBER(I3547),IF(I3547&lt;1,I3547,I3547*VLOOKUP(J3547,Summary!$H$2:$I$9,2)),VLOOKUP(J3547,Summary!$J$2:$K$9,2)*IF(ISNUMBER(H3547),H3547,1))</f>
        <v>0.13888888888888887</v>
      </c>
      <c r="AG3547" s="305">
        <v>3546</v>
      </c>
      <c r="AH3547" s="94"/>
      <c r="AI3547" s="94"/>
      <c r="AJ3547" s="2"/>
    </row>
    <row r="3548" spans="1:36" s="3" customFormat="1" ht="12" customHeight="1" x14ac:dyDescent="0.25">
      <c r="A3548" s="578" t="s">
        <v>13834</v>
      </c>
      <c r="B3548" s="579" t="s">
        <v>13766</v>
      </c>
      <c r="C3548" s="578">
        <v>18</v>
      </c>
      <c r="D3548" s="580" t="s">
        <v>13868</v>
      </c>
      <c r="E3548" s="341" t="s">
        <v>13869</v>
      </c>
      <c r="F3548" s="175">
        <v>40694</v>
      </c>
      <c r="G3548" s="257"/>
      <c r="H3548" s="258" t="s">
        <v>461</v>
      </c>
      <c r="I3548" s="258"/>
      <c r="J3548" s="912" t="s">
        <v>2755</v>
      </c>
      <c r="K3548" s="259" t="s">
        <v>3424</v>
      </c>
      <c r="L3548" s="259" t="s">
        <v>461</v>
      </c>
      <c r="M3548" s="259"/>
      <c r="N3548" s="259" t="s">
        <v>13880</v>
      </c>
      <c r="O3548" s="259"/>
      <c r="P3548" s="255" t="s">
        <v>13879</v>
      </c>
      <c r="Q3548" s="259" t="s">
        <v>11587</v>
      </c>
      <c r="R3548" s="260" t="s">
        <v>13753</v>
      </c>
      <c r="S3548" s="401"/>
      <c r="T3548" s="255"/>
      <c r="U3548" s="255"/>
      <c r="V3548" s="255"/>
      <c r="W3548" s="341" t="s">
        <v>13869</v>
      </c>
      <c r="X3548" s="676" t="s">
        <v>13835</v>
      </c>
      <c r="Y3548" s="381"/>
      <c r="Z3548" s="382"/>
      <c r="AA3548" s="382"/>
      <c r="AB3548" s="145">
        <f t="shared" ca="1" si="86"/>
        <v>7.5908862826228551E-2</v>
      </c>
      <c r="AC3548" s="840"/>
      <c r="AD3548" s="841"/>
      <c r="AE3548" s="961"/>
      <c r="AF3548" s="933">
        <f>IF(X3548=X3547,AF3547,0)+IF(ISNUMBER(I3548),IF(I3548&lt;1,I3548,I3548*VLOOKUP(J3548,Summary!$H$2:$I$9,2)),VLOOKUP(J3548,Summary!$J$2:$K$9,2)*IF(ISNUMBER(H3548),H3548,1))</f>
        <v>0.15624999999999997</v>
      </c>
      <c r="AG3548" s="305">
        <v>3547</v>
      </c>
      <c r="AH3548" s="94"/>
      <c r="AI3548" s="94"/>
      <c r="AJ3548" s="2"/>
    </row>
    <row r="3549" spans="1:36" s="43" customFormat="1" ht="12" customHeight="1" x14ac:dyDescent="0.25">
      <c r="A3549" s="578" t="s">
        <v>13834</v>
      </c>
      <c r="B3549" s="579" t="s">
        <v>13766</v>
      </c>
      <c r="C3549" s="578">
        <v>19</v>
      </c>
      <c r="D3549" s="580" t="s">
        <v>13870</v>
      </c>
      <c r="E3549" s="341" t="s">
        <v>13871</v>
      </c>
      <c r="F3549" s="175">
        <v>40694</v>
      </c>
      <c r="G3549" s="257"/>
      <c r="H3549" s="258" t="s">
        <v>461</v>
      </c>
      <c r="I3549" s="258"/>
      <c r="J3549" s="912" t="s">
        <v>2755</v>
      </c>
      <c r="K3549" s="259" t="s">
        <v>6236</v>
      </c>
      <c r="L3549" s="259" t="s">
        <v>461</v>
      </c>
      <c r="M3549" s="259"/>
      <c r="N3549" s="259" t="s">
        <v>13880</v>
      </c>
      <c r="O3549" s="259"/>
      <c r="P3549" s="255" t="s">
        <v>13879</v>
      </c>
      <c r="Q3549" s="259" t="s">
        <v>11587</v>
      </c>
      <c r="R3549" s="260" t="s">
        <v>13753</v>
      </c>
      <c r="S3549" s="401"/>
      <c r="T3549" s="255"/>
      <c r="U3549" s="255"/>
      <c r="V3549" s="255"/>
      <c r="W3549" s="341" t="s">
        <v>13871</v>
      </c>
      <c r="X3549" s="676" t="s">
        <v>13835</v>
      </c>
      <c r="Y3549" s="381"/>
      <c r="Z3549" s="382"/>
      <c r="AA3549" s="382"/>
      <c r="AB3549" s="145">
        <f t="shared" ca="1" si="86"/>
        <v>0.41874616283948229</v>
      </c>
      <c r="AC3549" s="840"/>
      <c r="AD3549" s="841"/>
      <c r="AE3549" s="961"/>
      <c r="AF3549" s="933">
        <f>IF(X3549=X3548,AF3548,0)+IF(ISNUMBER(I3549),IF(I3549&lt;1,I3549,I3549*VLOOKUP(J3549,Summary!$H$2:$I$9,2)),VLOOKUP(J3549,Summary!$J$2:$K$9,2)*IF(ISNUMBER(H3549),H3549,1))</f>
        <v>0.17361111111111108</v>
      </c>
      <c r="AG3549" s="305">
        <v>3548</v>
      </c>
      <c r="AH3549" s="94"/>
      <c r="AI3549" s="94"/>
      <c r="AJ3549" s="22"/>
    </row>
    <row r="3550" spans="1:36" s="57" customFormat="1" ht="12" customHeight="1" x14ac:dyDescent="0.25">
      <c r="A3550" s="578" t="s">
        <v>13834</v>
      </c>
      <c r="B3550" s="579" t="s">
        <v>13766</v>
      </c>
      <c r="C3550" s="578">
        <v>20</v>
      </c>
      <c r="D3550" s="580" t="s">
        <v>13872</v>
      </c>
      <c r="E3550" s="341" t="s">
        <v>13873</v>
      </c>
      <c r="F3550" s="175">
        <v>40694</v>
      </c>
      <c r="G3550" s="257"/>
      <c r="H3550" s="258" t="s">
        <v>461</v>
      </c>
      <c r="I3550" s="258"/>
      <c r="J3550" s="912" t="s">
        <v>2755</v>
      </c>
      <c r="K3550" s="259" t="s">
        <v>3529</v>
      </c>
      <c r="L3550" s="259" t="s">
        <v>461</v>
      </c>
      <c r="M3550" s="259"/>
      <c r="N3550" s="259" t="s">
        <v>13880</v>
      </c>
      <c r="O3550" s="259"/>
      <c r="P3550" s="255" t="s">
        <v>13879</v>
      </c>
      <c r="Q3550" s="259" t="s">
        <v>11587</v>
      </c>
      <c r="R3550" s="260" t="s">
        <v>13753</v>
      </c>
      <c r="S3550" s="401"/>
      <c r="T3550" s="255"/>
      <c r="U3550" s="255"/>
      <c r="V3550" s="255"/>
      <c r="W3550" s="341" t="s">
        <v>13873</v>
      </c>
      <c r="X3550" s="676" t="s">
        <v>13835</v>
      </c>
      <c r="Y3550" s="381"/>
      <c r="Z3550" s="382"/>
      <c r="AA3550" s="382"/>
      <c r="AB3550" s="145">
        <f t="shared" ca="1" si="86"/>
        <v>0.95763800909104302</v>
      </c>
      <c r="AC3550" s="840"/>
      <c r="AD3550" s="841"/>
      <c r="AE3550" s="961"/>
      <c r="AF3550" s="933">
        <f>IF(X3550=X3549,AF3549,0)+IF(ISNUMBER(I3550),IF(I3550&lt;1,I3550,I3550*VLOOKUP(J3550,Summary!$H$2:$I$9,2)),VLOOKUP(J3550,Summary!$J$2:$K$9,2)*IF(ISNUMBER(H3550),H3550,1))</f>
        <v>0.19097222222222218</v>
      </c>
      <c r="AG3550" s="305">
        <v>3549</v>
      </c>
      <c r="AH3550" s="94"/>
      <c r="AI3550" s="94"/>
      <c r="AJ3550" s="2"/>
    </row>
    <row r="3551" spans="1:36" s="43" customFormat="1" ht="12" customHeight="1" x14ac:dyDescent="0.25">
      <c r="A3551" s="578" t="s">
        <v>13834</v>
      </c>
      <c r="B3551" s="579" t="s">
        <v>13766</v>
      </c>
      <c r="C3551" s="578">
        <v>21</v>
      </c>
      <c r="D3551" s="580" t="s">
        <v>13874</v>
      </c>
      <c r="E3551" s="341" t="s">
        <v>13875</v>
      </c>
      <c r="F3551" s="175">
        <v>40694</v>
      </c>
      <c r="G3551" s="257"/>
      <c r="H3551" s="258" t="s">
        <v>461</v>
      </c>
      <c r="I3551" s="258"/>
      <c r="J3551" s="912" t="s">
        <v>2755</v>
      </c>
      <c r="K3551" s="259" t="s">
        <v>5963</v>
      </c>
      <c r="L3551" s="259" t="s">
        <v>461</v>
      </c>
      <c r="M3551" s="259"/>
      <c r="N3551" s="259" t="s">
        <v>13880</v>
      </c>
      <c r="O3551" s="259"/>
      <c r="P3551" s="255" t="s">
        <v>13879</v>
      </c>
      <c r="Q3551" s="259" t="s">
        <v>11587</v>
      </c>
      <c r="R3551" s="260" t="s">
        <v>13753</v>
      </c>
      <c r="S3551" s="401"/>
      <c r="T3551" s="884"/>
      <c r="U3551" s="255"/>
      <c r="V3551" s="255"/>
      <c r="W3551" s="341" t="s">
        <v>13875</v>
      </c>
      <c r="X3551" s="676" t="s">
        <v>13835</v>
      </c>
      <c r="Y3551" s="381"/>
      <c r="Z3551" s="382"/>
      <c r="AA3551" s="382"/>
      <c r="AB3551" s="145">
        <f t="shared" ca="1" si="86"/>
        <v>0.60767876032817503</v>
      </c>
      <c r="AC3551" s="840"/>
      <c r="AD3551" s="841"/>
      <c r="AE3551" s="961"/>
      <c r="AF3551" s="933">
        <f>IF(X3551=X3550,AF3550,0)+IF(ISNUMBER(I3551),IF(I3551&lt;1,I3551,I3551*VLOOKUP(J3551,Summary!$H$2:$I$9,2)),VLOOKUP(J3551,Summary!$J$2:$K$9,2)*IF(ISNUMBER(H3551),H3551,1))</f>
        <v>0.20833333333333329</v>
      </c>
      <c r="AG3551" s="305">
        <v>3550</v>
      </c>
      <c r="AH3551" s="94"/>
      <c r="AI3551" s="94"/>
      <c r="AJ3551" s="29"/>
    </row>
    <row r="3552" spans="1:36" s="43" customFormat="1" ht="12" customHeight="1" x14ac:dyDescent="0.25">
      <c r="A3552" s="578" t="s">
        <v>13834</v>
      </c>
      <c r="B3552" s="579" t="s">
        <v>13766</v>
      </c>
      <c r="C3552" s="578">
        <v>22</v>
      </c>
      <c r="D3552" s="580" t="s">
        <v>13876</v>
      </c>
      <c r="E3552" s="341" t="s">
        <v>13877</v>
      </c>
      <c r="F3552" s="175">
        <v>40694</v>
      </c>
      <c r="G3552" s="257"/>
      <c r="H3552" s="258" t="s">
        <v>461</v>
      </c>
      <c r="I3552" s="258"/>
      <c r="J3552" s="912" t="s">
        <v>2755</v>
      </c>
      <c r="K3552" s="259" t="s">
        <v>3324</v>
      </c>
      <c r="L3552" s="259" t="s">
        <v>461</v>
      </c>
      <c r="M3552" s="259"/>
      <c r="N3552" s="259" t="s">
        <v>13880</v>
      </c>
      <c r="O3552" s="259"/>
      <c r="P3552" s="255" t="s">
        <v>13879</v>
      </c>
      <c r="Q3552" s="259" t="s">
        <v>11587</v>
      </c>
      <c r="R3552" s="260" t="s">
        <v>13753</v>
      </c>
      <c r="S3552" s="401"/>
      <c r="T3552" s="255"/>
      <c r="U3552" s="255"/>
      <c r="V3552" s="255"/>
      <c r="W3552" s="341" t="s">
        <v>13877</v>
      </c>
      <c r="X3552" s="676" t="s">
        <v>13835</v>
      </c>
      <c r="Y3552" s="381"/>
      <c r="Z3552" s="382"/>
      <c r="AA3552" s="382"/>
      <c r="AB3552" s="145">
        <f t="shared" ca="1" si="86"/>
        <v>0.19902419583943187</v>
      </c>
      <c r="AC3552" s="840"/>
      <c r="AD3552" s="841"/>
      <c r="AE3552" s="961"/>
      <c r="AF3552" s="933">
        <f>IF(X3552=X3551,AF3551,0)+IF(ISNUMBER(I3552),IF(I3552&lt;1,I3552,I3552*VLOOKUP(J3552,Summary!$H$2:$I$9,2)),VLOOKUP(J3552,Summary!$J$2:$K$9,2)*IF(ISNUMBER(H3552),H3552,1))</f>
        <v>0.22569444444444439</v>
      </c>
      <c r="AG3552" s="305">
        <v>3551</v>
      </c>
      <c r="AH3552" s="94"/>
      <c r="AI3552" s="94"/>
      <c r="AJ3552" s="2"/>
    </row>
    <row r="3553" spans="1:36" s="2" customFormat="1" ht="12" customHeight="1" x14ac:dyDescent="0.25">
      <c r="A3553" s="578" t="s">
        <v>13834</v>
      </c>
      <c r="B3553" s="579" t="s">
        <v>13766</v>
      </c>
      <c r="C3553" s="578">
        <v>24</v>
      </c>
      <c r="D3553" s="580" t="s">
        <v>13881</v>
      </c>
      <c r="E3553" s="341" t="s">
        <v>13882</v>
      </c>
      <c r="F3553" s="175">
        <v>41305</v>
      </c>
      <c r="G3553" s="257"/>
      <c r="H3553" s="258" t="s">
        <v>461</v>
      </c>
      <c r="I3553" s="258"/>
      <c r="J3553" s="912" t="s">
        <v>2755</v>
      </c>
      <c r="K3553" s="259" t="s">
        <v>13883</v>
      </c>
      <c r="L3553" s="259" t="s">
        <v>461</v>
      </c>
      <c r="M3553" s="259"/>
      <c r="N3553" s="259" t="s">
        <v>11958</v>
      </c>
      <c r="O3553" s="259"/>
      <c r="P3553" s="255" t="s">
        <v>13778</v>
      </c>
      <c r="Q3553" s="259" t="s">
        <v>11587</v>
      </c>
      <c r="R3553" s="260" t="s">
        <v>13753</v>
      </c>
      <c r="S3553" s="401"/>
      <c r="T3553" s="255"/>
      <c r="U3553" s="255"/>
      <c r="V3553" s="255"/>
      <c r="W3553" s="341" t="s">
        <v>13882</v>
      </c>
      <c r="X3553" s="676" t="s">
        <v>13835</v>
      </c>
      <c r="Y3553" s="381"/>
      <c r="Z3553" s="382"/>
      <c r="AA3553" s="382"/>
      <c r="AB3553" s="145">
        <f t="shared" ca="1" si="86"/>
        <v>9.9450129063302195E-2</v>
      </c>
      <c r="AC3553" s="840"/>
      <c r="AD3553" s="841"/>
      <c r="AE3553" s="961"/>
      <c r="AF3553" s="933">
        <f>IF(X3553=X3552,AF3552,0)+IF(ISNUMBER(I3553),IF(I3553&lt;1,I3553,I3553*VLOOKUP(J3553,Summary!$H$2:$I$9,2)),VLOOKUP(J3553,Summary!$J$2:$K$9,2)*IF(ISNUMBER(H3553),H3553,1))</f>
        <v>0.2430555555555555</v>
      </c>
      <c r="AG3553" s="305">
        <v>3552</v>
      </c>
      <c r="AH3553" s="94"/>
      <c r="AI3553" s="94"/>
    </row>
    <row r="3554" spans="1:36" s="2" customFormat="1" ht="12" customHeight="1" x14ac:dyDescent="0.25">
      <c r="A3554" s="578" t="s">
        <v>13834</v>
      </c>
      <c r="B3554" s="579" t="s">
        <v>13766</v>
      </c>
      <c r="C3554" s="578">
        <v>25</v>
      </c>
      <c r="D3554" s="580" t="s">
        <v>13884</v>
      </c>
      <c r="E3554" s="341" t="s">
        <v>13885</v>
      </c>
      <c r="F3554" s="175">
        <v>41305</v>
      </c>
      <c r="G3554" s="257"/>
      <c r="H3554" s="258" t="s">
        <v>461</v>
      </c>
      <c r="I3554" s="258"/>
      <c r="J3554" s="912" t="s">
        <v>2755</v>
      </c>
      <c r="K3554" s="259" t="s">
        <v>904</v>
      </c>
      <c r="L3554" s="259" t="s">
        <v>461</v>
      </c>
      <c r="M3554" s="259"/>
      <c r="N3554" s="259" t="s">
        <v>11958</v>
      </c>
      <c r="O3554" s="259"/>
      <c r="P3554" s="255" t="s">
        <v>13778</v>
      </c>
      <c r="Q3554" s="259" t="s">
        <v>11587</v>
      </c>
      <c r="R3554" s="260" t="s">
        <v>13753</v>
      </c>
      <c r="S3554" s="401"/>
      <c r="T3554" s="255"/>
      <c r="U3554" s="255"/>
      <c r="V3554" s="255"/>
      <c r="W3554" s="341" t="s">
        <v>13885</v>
      </c>
      <c r="X3554" s="676" t="s">
        <v>13835</v>
      </c>
      <c r="Y3554" s="381"/>
      <c r="Z3554" s="382"/>
      <c r="AA3554" s="382"/>
      <c r="AB3554" s="145">
        <f t="shared" ca="1" si="86"/>
        <v>0.45046023830626469</v>
      </c>
      <c r="AC3554" s="840"/>
      <c r="AD3554" s="841"/>
      <c r="AE3554" s="961"/>
      <c r="AF3554" s="933">
        <f>IF(X3554=X3553,AF3553,0)+IF(ISNUMBER(I3554),IF(I3554&lt;1,I3554,I3554*VLOOKUP(J3554,Summary!$H$2:$I$9,2)),VLOOKUP(J3554,Summary!$J$2:$K$9,2)*IF(ISNUMBER(H3554),H3554,1))</f>
        <v>0.26041666666666663</v>
      </c>
      <c r="AG3554" s="305">
        <v>3553</v>
      </c>
      <c r="AH3554" s="94"/>
      <c r="AI3554" s="94"/>
    </row>
    <row r="3555" spans="1:36" s="43" customFormat="1" ht="12" customHeight="1" x14ac:dyDescent="0.25">
      <c r="A3555" s="578" t="s">
        <v>13834</v>
      </c>
      <c r="B3555" s="579" t="s">
        <v>13766</v>
      </c>
      <c r="C3555" s="578">
        <v>26</v>
      </c>
      <c r="D3555" s="580" t="s">
        <v>13886</v>
      </c>
      <c r="E3555" s="341" t="s">
        <v>13887</v>
      </c>
      <c r="F3555" s="175">
        <v>41305</v>
      </c>
      <c r="G3555" s="257"/>
      <c r="H3555" s="258" t="s">
        <v>461</v>
      </c>
      <c r="I3555" s="258"/>
      <c r="J3555" s="912" t="s">
        <v>2755</v>
      </c>
      <c r="K3555" s="259" t="s">
        <v>13888</v>
      </c>
      <c r="L3555" s="259" t="s">
        <v>461</v>
      </c>
      <c r="M3555" s="259"/>
      <c r="N3555" s="259" t="s">
        <v>11958</v>
      </c>
      <c r="O3555" s="259"/>
      <c r="P3555" s="255" t="s">
        <v>13778</v>
      </c>
      <c r="Q3555" s="259" t="s">
        <v>11587</v>
      </c>
      <c r="R3555" s="260" t="s">
        <v>13753</v>
      </c>
      <c r="S3555" s="401"/>
      <c r="T3555" s="255"/>
      <c r="U3555" s="255"/>
      <c r="V3555" s="255"/>
      <c r="W3555" s="341" t="s">
        <v>13887</v>
      </c>
      <c r="X3555" s="676" t="s">
        <v>13835</v>
      </c>
      <c r="Y3555" s="381"/>
      <c r="Z3555" s="382"/>
      <c r="AA3555" s="382"/>
      <c r="AB3555" s="145">
        <f t="shared" ca="1" si="86"/>
        <v>0.12529441272572051</v>
      </c>
      <c r="AC3555" s="840"/>
      <c r="AD3555" s="841"/>
      <c r="AE3555" s="961"/>
      <c r="AF3555" s="933">
        <f>IF(X3555=X3554,AF3554,0)+IF(ISNUMBER(I3555),IF(I3555&lt;1,I3555,I3555*VLOOKUP(J3555,Summary!$H$2:$I$9,2)),VLOOKUP(J3555,Summary!$J$2:$K$9,2)*IF(ISNUMBER(H3555),H3555,1))</f>
        <v>0.27777777777777773</v>
      </c>
      <c r="AG3555" s="305">
        <v>3554</v>
      </c>
      <c r="AH3555" s="94"/>
      <c r="AI3555" s="94"/>
      <c r="AJ3555" s="2"/>
    </row>
    <row r="3556" spans="1:36" s="22" customFormat="1" ht="12" customHeight="1" x14ac:dyDescent="0.25">
      <c r="A3556" s="578" t="s">
        <v>13834</v>
      </c>
      <c r="B3556" s="579" t="s">
        <v>13766</v>
      </c>
      <c r="C3556" s="578">
        <v>27</v>
      </c>
      <c r="D3556" s="580" t="s">
        <v>13889</v>
      </c>
      <c r="E3556" s="341" t="s">
        <v>13890</v>
      </c>
      <c r="F3556" s="175">
        <v>41305</v>
      </c>
      <c r="G3556" s="257"/>
      <c r="H3556" s="258" t="s">
        <v>461</v>
      </c>
      <c r="I3556" s="258"/>
      <c r="J3556" s="912" t="s">
        <v>2755</v>
      </c>
      <c r="K3556" s="259" t="s">
        <v>13891</v>
      </c>
      <c r="L3556" s="259" t="s">
        <v>461</v>
      </c>
      <c r="M3556" s="259"/>
      <c r="N3556" s="259" t="s">
        <v>11958</v>
      </c>
      <c r="O3556" s="259"/>
      <c r="P3556" s="255" t="s">
        <v>13778</v>
      </c>
      <c r="Q3556" s="259" t="s">
        <v>11587</v>
      </c>
      <c r="R3556" s="260" t="s">
        <v>13753</v>
      </c>
      <c r="S3556" s="401"/>
      <c r="T3556" s="255"/>
      <c r="U3556" s="255"/>
      <c r="V3556" s="255"/>
      <c r="W3556" s="341" t="s">
        <v>13890</v>
      </c>
      <c r="X3556" s="676" t="s">
        <v>13835</v>
      </c>
      <c r="Y3556" s="381"/>
      <c r="Z3556" s="382"/>
      <c r="AA3556" s="382"/>
      <c r="AB3556" s="145">
        <f t="shared" ca="1" si="86"/>
        <v>0.29438838651806731</v>
      </c>
      <c r="AC3556" s="840"/>
      <c r="AD3556" s="841"/>
      <c r="AE3556" s="961"/>
      <c r="AF3556" s="933">
        <f>IF(X3556=X3555,AF3555,0)+IF(ISNUMBER(I3556),IF(I3556&lt;1,I3556,I3556*VLOOKUP(J3556,Summary!$H$2:$I$9,2)),VLOOKUP(J3556,Summary!$J$2:$K$9,2)*IF(ISNUMBER(H3556),H3556,1))</f>
        <v>0.29513888888888884</v>
      </c>
      <c r="AG3556" s="305">
        <v>3555</v>
      </c>
      <c r="AH3556" s="94"/>
      <c r="AI3556" s="94"/>
      <c r="AJ3556" s="2"/>
    </row>
    <row r="3557" spans="1:36" s="43" customFormat="1" ht="12" customHeight="1" x14ac:dyDescent="0.25">
      <c r="A3557" s="578" t="s">
        <v>13834</v>
      </c>
      <c r="B3557" s="579" t="s">
        <v>13766</v>
      </c>
      <c r="C3557" s="578">
        <v>28</v>
      </c>
      <c r="D3557" s="580" t="s">
        <v>13892</v>
      </c>
      <c r="E3557" s="341" t="s">
        <v>13893</v>
      </c>
      <c r="F3557" s="175">
        <v>41305</v>
      </c>
      <c r="G3557" s="257"/>
      <c r="H3557" s="258" t="s">
        <v>461</v>
      </c>
      <c r="I3557" s="258"/>
      <c r="J3557" s="912" t="s">
        <v>2755</v>
      </c>
      <c r="K3557" s="259" t="s">
        <v>3787</v>
      </c>
      <c r="L3557" s="259" t="s">
        <v>461</v>
      </c>
      <c r="M3557" s="259"/>
      <c r="N3557" s="259" t="s">
        <v>11958</v>
      </c>
      <c r="O3557" s="259"/>
      <c r="P3557" s="255" t="s">
        <v>13778</v>
      </c>
      <c r="Q3557" s="259" t="s">
        <v>11587</v>
      </c>
      <c r="R3557" s="260" t="s">
        <v>13753</v>
      </c>
      <c r="S3557" s="401"/>
      <c r="T3557" s="255"/>
      <c r="U3557" s="255"/>
      <c r="V3557" s="255"/>
      <c r="W3557" s="341" t="s">
        <v>13893</v>
      </c>
      <c r="X3557" s="676" t="s">
        <v>13835</v>
      </c>
      <c r="Y3557" s="381"/>
      <c r="Z3557" s="382"/>
      <c r="AA3557" s="382"/>
      <c r="AB3557" s="145">
        <f t="shared" ca="1" si="86"/>
        <v>0.51702328689573041</v>
      </c>
      <c r="AC3557" s="840"/>
      <c r="AD3557" s="841"/>
      <c r="AE3557" s="961"/>
      <c r="AF3557" s="933">
        <f>IF(X3557=X3556,AF3556,0)+IF(ISNUMBER(I3557),IF(I3557&lt;1,I3557,I3557*VLOOKUP(J3557,Summary!$H$2:$I$9,2)),VLOOKUP(J3557,Summary!$J$2:$K$9,2)*IF(ISNUMBER(H3557),H3557,1))</f>
        <v>0.31249999999999994</v>
      </c>
      <c r="AG3557" s="305">
        <v>3556</v>
      </c>
      <c r="AH3557" s="94"/>
      <c r="AI3557" s="94"/>
      <c r="AJ3557" s="2"/>
    </row>
    <row r="3558" spans="1:36" s="2" customFormat="1" ht="12" customHeight="1" x14ac:dyDescent="0.25">
      <c r="A3558" s="578" t="s">
        <v>13834</v>
      </c>
      <c r="B3558" s="579" t="s">
        <v>13766</v>
      </c>
      <c r="C3558" s="578">
        <v>5.8</v>
      </c>
      <c r="D3558" s="434" t="s">
        <v>15192</v>
      </c>
      <c r="E3558" s="324" t="s">
        <v>15193</v>
      </c>
      <c r="F3558" s="174">
        <v>35674</v>
      </c>
      <c r="G3558" s="176"/>
      <c r="H3558" s="176" t="s">
        <v>461</v>
      </c>
      <c r="I3558" s="176"/>
      <c r="J3558" s="900" t="s">
        <v>2755</v>
      </c>
      <c r="K3558" s="157" t="s">
        <v>5809</v>
      </c>
      <c r="L3558" s="157" t="s">
        <v>461</v>
      </c>
      <c r="M3558" s="157"/>
      <c r="N3558" s="157" t="s">
        <v>15194</v>
      </c>
      <c r="O3558" s="157"/>
      <c r="P3558" s="173" t="s">
        <v>3718</v>
      </c>
      <c r="Q3558" s="157" t="s">
        <v>601</v>
      </c>
      <c r="R3558" s="179" t="s">
        <v>4598</v>
      </c>
      <c r="S3558" s="354"/>
      <c r="T3558" s="173"/>
      <c r="U3558" s="173"/>
      <c r="V3558" s="173"/>
      <c r="W3558" s="324" t="s">
        <v>15193</v>
      </c>
      <c r="X3558" s="676" t="s">
        <v>13835</v>
      </c>
      <c r="Y3558" s="363"/>
      <c r="Z3558" s="364"/>
      <c r="AA3558" s="364"/>
      <c r="AB3558" s="32">
        <f t="shared" ca="1" si="86"/>
        <v>0.15209727945248375</v>
      </c>
      <c r="AC3558" s="812"/>
      <c r="AD3558" s="763"/>
      <c r="AE3558" s="951"/>
      <c r="AF3558" s="921">
        <f>IF(X3558=X3557,AF3557,0)+IF(ISNUMBER(I3558),IF(I3558&lt;1,I3558,I3558*VLOOKUP(J3558,Summary!$H$2:$I$9,2)),VLOOKUP(J3558,Summary!$J$2:$K$9,2)*IF(ISNUMBER(H3558),H3558,1))</f>
        <v>0.32986111111111105</v>
      </c>
      <c r="AG3558" s="288">
        <v>3557</v>
      </c>
      <c r="AH3558" s="94"/>
      <c r="AI3558" s="94"/>
    </row>
    <row r="3559" spans="1:36" s="2" customFormat="1" ht="12" customHeight="1" x14ac:dyDescent="0.25">
      <c r="A3559" s="578" t="s">
        <v>13834</v>
      </c>
      <c r="B3559" s="579" t="s">
        <v>13766</v>
      </c>
      <c r="C3559" s="578">
        <v>29</v>
      </c>
      <c r="D3559" s="580" t="s">
        <v>13894</v>
      </c>
      <c r="E3559" s="341" t="s">
        <v>13895</v>
      </c>
      <c r="F3559" s="175">
        <v>41305</v>
      </c>
      <c r="G3559" s="257"/>
      <c r="H3559" s="258" t="s">
        <v>461</v>
      </c>
      <c r="I3559" s="258"/>
      <c r="J3559" s="912" t="s">
        <v>2755</v>
      </c>
      <c r="K3559" s="259" t="s">
        <v>5809</v>
      </c>
      <c r="L3559" s="259" t="s">
        <v>461</v>
      </c>
      <c r="M3559" s="259"/>
      <c r="N3559" s="259" t="s">
        <v>11958</v>
      </c>
      <c r="O3559" s="259"/>
      <c r="P3559" s="255" t="s">
        <v>13778</v>
      </c>
      <c r="Q3559" s="259" t="s">
        <v>11587</v>
      </c>
      <c r="R3559" s="260" t="s">
        <v>13753</v>
      </c>
      <c r="S3559" s="401"/>
      <c r="T3559" s="255"/>
      <c r="U3559" s="255"/>
      <c r="V3559" s="255"/>
      <c r="W3559" s="341" t="s">
        <v>13895</v>
      </c>
      <c r="X3559" s="676" t="s">
        <v>13835</v>
      </c>
      <c r="Y3559" s="381"/>
      <c r="Z3559" s="382"/>
      <c r="AA3559" s="382"/>
      <c r="AB3559" s="145">
        <f t="shared" ca="1" si="86"/>
        <v>0.66270722205764998</v>
      </c>
      <c r="AC3559" s="840"/>
      <c r="AD3559" s="841"/>
      <c r="AE3559" s="961"/>
      <c r="AF3559" s="933">
        <f>IF(X3559=X3558,AF3558,0)+IF(ISNUMBER(I3559),IF(I3559&lt;1,I3559,I3559*VLOOKUP(J3559,Summary!$H$2:$I$9,2)),VLOOKUP(J3559,Summary!$J$2:$K$9,2)*IF(ISNUMBER(H3559),H3559,1))</f>
        <v>0.34722222222222215</v>
      </c>
      <c r="AG3559" s="305">
        <v>3558</v>
      </c>
      <c r="AH3559" s="94"/>
      <c r="AI3559" s="94"/>
    </row>
    <row r="3560" spans="1:36" s="2" customFormat="1" ht="12" customHeight="1" x14ac:dyDescent="0.25">
      <c r="A3560" s="578" t="s">
        <v>13834</v>
      </c>
      <c r="B3560" s="579" t="s">
        <v>13766</v>
      </c>
      <c r="C3560" s="578">
        <v>30</v>
      </c>
      <c r="D3560" s="580" t="s">
        <v>13896</v>
      </c>
      <c r="E3560" s="341" t="s">
        <v>13897</v>
      </c>
      <c r="F3560" s="175">
        <v>41305</v>
      </c>
      <c r="G3560" s="257"/>
      <c r="H3560" s="258" t="s">
        <v>461</v>
      </c>
      <c r="I3560" s="258"/>
      <c r="J3560" s="912" t="s">
        <v>2755</v>
      </c>
      <c r="K3560" s="259" t="s">
        <v>13898</v>
      </c>
      <c r="L3560" s="259" t="s">
        <v>461</v>
      </c>
      <c r="M3560" s="259"/>
      <c r="N3560" s="259" t="s">
        <v>11958</v>
      </c>
      <c r="O3560" s="259"/>
      <c r="P3560" s="255" t="s">
        <v>13778</v>
      </c>
      <c r="Q3560" s="259" t="s">
        <v>11587</v>
      </c>
      <c r="R3560" s="260" t="s">
        <v>13753</v>
      </c>
      <c r="S3560" s="401"/>
      <c r="T3560" s="255"/>
      <c r="U3560" s="255"/>
      <c r="V3560" s="255"/>
      <c r="W3560" s="341" t="s">
        <v>13897</v>
      </c>
      <c r="X3560" s="676" t="s">
        <v>13835</v>
      </c>
      <c r="Y3560" s="381"/>
      <c r="Z3560" s="382"/>
      <c r="AA3560" s="382"/>
      <c r="AB3560" s="145">
        <f t="shared" ca="1" si="86"/>
        <v>0.24785315319020762</v>
      </c>
      <c r="AC3560" s="840"/>
      <c r="AD3560" s="841"/>
      <c r="AE3560" s="961"/>
      <c r="AF3560" s="933">
        <f>IF(X3560=X3559,AF3559,0)+IF(ISNUMBER(I3560),IF(I3560&lt;1,I3560,I3560*VLOOKUP(J3560,Summary!$H$2:$I$9,2)),VLOOKUP(J3560,Summary!$J$2:$K$9,2)*IF(ISNUMBER(H3560),H3560,1))</f>
        <v>0.36458333333333326</v>
      </c>
      <c r="AG3560" s="305">
        <v>3559</v>
      </c>
      <c r="AH3560" s="94"/>
      <c r="AI3560" s="94"/>
    </row>
    <row r="3561" spans="1:36" s="147" customFormat="1" ht="12" customHeight="1" x14ac:dyDescent="0.25">
      <c r="A3561" s="578" t="s">
        <v>13834</v>
      </c>
      <c r="B3561" s="579" t="s">
        <v>13766</v>
      </c>
      <c r="C3561" s="578">
        <v>31</v>
      </c>
      <c r="D3561" s="580" t="s">
        <v>13899</v>
      </c>
      <c r="E3561" s="341" t="s">
        <v>13900</v>
      </c>
      <c r="F3561" s="175">
        <v>41305</v>
      </c>
      <c r="G3561" s="257"/>
      <c r="H3561" s="258" t="s">
        <v>461</v>
      </c>
      <c r="I3561" s="258"/>
      <c r="J3561" s="912" t="s">
        <v>2755</v>
      </c>
      <c r="K3561" s="259" t="s">
        <v>13901</v>
      </c>
      <c r="L3561" s="259" t="s">
        <v>461</v>
      </c>
      <c r="M3561" s="259"/>
      <c r="N3561" s="259" t="s">
        <v>11958</v>
      </c>
      <c r="O3561" s="259"/>
      <c r="P3561" s="255" t="s">
        <v>13778</v>
      </c>
      <c r="Q3561" s="259" t="s">
        <v>11587</v>
      </c>
      <c r="R3561" s="260" t="s">
        <v>13753</v>
      </c>
      <c r="S3561" s="401"/>
      <c r="T3561" s="255"/>
      <c r="U3561" s="255"/>
      <c r="V3561" s="255"/>
      <c r="W3561" s="341" t="s">
        <v>13900</v>
      </c>
      <c r="X3561" s="676" t="s">
        <v>13835</v>
      </c>
      <c r="Y3561" s="381"/>
      <c r="Z3561" s="382"/>
      <c r="AA3561" s="382"/>
      <c r="AB3561" s="145">
        <f t="shared" ca="1" si="86"/>
        <v>0.13875764391879575</v>
      </c>
      <c r="AC3561" s="840"/>
      <c r="AD3561" s="841"/>
      <c r="AE3561" s="961"/>
      <c r="AF3561" s="933">
        <f>IF(X3561=X3560,AF3560,0)+IF(ISNUMBER(I3561),IF(I3561&lt;1,I3561,I3561*VLOOKUP(J3561,Summary!$H$2:$I$9,2)),VLOOKUP(J3561,Summary!$J$2:$K$9,2)*IF(ISNUMBER(H3561),H3561,1))</f>
        <v>0.38194444444444436</v>
      </c>
      <c r="AG3561" s="305">
        <v>3560</v>
      </c>
      <c r="AH3561" s="122"/>
      <c r="AI3561" s="122"/>
      <c r="AJ3561" s="146"/>
    </row>
    <row r="3562" spans="1:36" s="147" customFormat="1" ht="12" customHeight="1" x14ac:dyDescent="0.25">
      <c r="A3562" s="578" t="s">
        <v>13834</v>
      </c>
      <c r="B3562" s="579" t="s">
        <v>13766</v>
      </c>
      <c r="C3562" s="578">
        <v>32</v>
      </c>
      <c r="D3562" s="580" t="s">
        <v>13902</v>
      </c>
      <c r="E3562" s="341" t="s">
        <v>13903</v>
      </c>
      <c r="F3562" s="175">
        <v>41305</v>
      </c>
      <c r="G3562" s="257"/>
      <c r="H3562" s="258" t="s">
        <v>461</v>
      </c>
      <c r="I3562" s="258"/>
      <c r="J3562" s="912" t="s">
        <v>2755</v>
      </c>
      <c r="K3562" s="259" t="s">
        <v>11878</v>
      </c>
      <c r="L3562" s="259" t="s">
        <v>461</v>
      </c>
      <c r="M3562" s="259"/>
      <c r="N3562" s="259" t="s">
        <v>11958</v>
      </c>
      <c r="O3562" s="259"/>
      <c r="P3562" s="255" t="s">
        <v>13778</v>
      </c>
      <c r="Q3562" s="259" t="s">
        <v>11587</v>
      </c>
      <c r="R3562" s="260" t="s">
        <v>13753</v>
      </c>
      <c r="S3562" s="401"/>
      <c r="T3562" s="255"/>
      <c r="U3562" s="255"/>
      <c r="V3562" s="255"/>
      <c r="W3562" s="341" t="s">
        <v>13903</v>
      </c>
      <c r="X3562" s="676" t="s">
        <v>13835</v>
      </c>
      <c r="Y3562" s="381"/>
      <c r="Z3562" s="382"/>
      <c r="AA3562" s="382"/>
      <c r="AB3562" s="145">
        <f t="shared" ca="1" si="86"/>
        <v>0.90891236789783458</v>
      </c>
      <c r="AC3562" s="840"/>
      <c r="AD3562" s="841"/>
      <c r="AE3562" s="961"/>
      <c r="AF3562" s="933">
        <f>IF(X3562=X3561,AF3561,0)+IF(ISNUMBER(I3562),IF(I3562&lt;1,I3562,I3562*VLOOKUP(J3562,Summary!$H$2:$I$9,2)),VLOOKUP(J3562,Summary!$J$2:$K$9,2)*IF(ISNUMBER(H3562),H3562,1))</f>
        <v>0.39930555555555547</v>
      </c>
      <c r="AG3562" s="305">
        <v>3561</v>
      </c>
      <c r="AH3562" s="122"/>
      <c r="AI3562" s="122"/>
      <c r="AJ3562" s="146"/>
    </row>
    <row r="3563" spans="1:36" s="147" customFormat="1" ht="12" customHeight="1" x14ac:dyDescent="0.25">
      <c r="A3563" s="578" t="s">
        <v>13834</v>
      </c>
      <c r="B3563" s="579" t="s">
        <v>13766</v>
      </c>
      <c r="C3563" s="578">
        <v>33</v>
      </c>
      <c r="D3563" s="580" t="s">
        <v>13904</v>
      </c>
      <c r="E3563" s="341" t="s">
        <v>13905</v>
      </c>
      <c r="F3563" s="175">
        <v>41305</v>
      </c>
      <c r="G3563" s="257"/>
      <c r="H3563" s="258" t="s">
        <v>461</v>
      </c>
      <c r="I3563" s="258"/>
      <c r="J3563" s="912" t="s">
        <v>2755</v>
      </c>
      <c r="K3563" s="259" t="s">
        <v>4738</v>
      </c>
      <c r="L3563" s="259" t="s">
        <v>461</v>
      </c>
      <c r="M3563" s="259"/>
      <c r="N3563" s="259" t="s">
        <v>11958</v>
      </c>
      <c r="O3563" s="259"/>
      <c r="P3563" s="255" t="s">
        <v>13778</v>
      </c>
      <c r="Q3563" s="259" t="s">
        <v>11587</v>
      </c>
      <c r="R3563" s="260" t="s">
        <v>13753</v>
      </c>
      <c r="S3563" s="401"/>
      <c r="T3563" s="255"/>
      <c r="U3563" s="255"/>
      <c r="V3563" s="255"/>
      <c r="W3563" s="341" t="s">
        <v>13905</v>
      </c>
      <c r="X3563" s="676" t="s">
        <v>13835</v>
      </c>
      <c r="Y3563" s="381"/>
      <c r="Z3563" s="382"/>
      <c r="AA3563" s="382"/>
      <c r="AB3563" s="145">
        <f t="shared" ca="1" si="86"/>
        <v>1.3320631235373082E-2</v>
      </c>
      <c r="AC3563" s="840"/>
      <c r="AD3563" s="841"/>
      <c r="AE3563" s="961"/>
      <c r="AF3563" s="933">
        <f>IF(X3563=X3562,AF3562,0)+IF(ISNUMBER(I3563),IF(I3563&lt;1,I3563,I3563*VLOOKUP(J3563,Summary!$H$2:$I$9,2)),VLOOKUP(J3563,Summary!$J$2:$K$9,2)*IF(ISNUMBER(H3563),H3563,1))</f>
        <v>0.41666666666666657</v>
      </c>
      <c r="AG3563" s="305">
        <v>3562</v>
      </c>
      <c r="AH3563" s="122"/>
      <c r="AI3563" s="122"/>
      <c r="AJ3563" s="146"/>
    </row>
    <row r="3564" spans="1:36" s="147" customFormat="1" ht="12" customHeight="1" x14ac:dyDescent="0.25">
      <c r="A3564" s="578" t="s">
        <v>13834</v>
      </c>
      <c r="B3564" s="579" t="s">
        <v>13766</v>
      </c>
      <c r="C3564" s="578">
        <v>34</v>
      </c>
      <c r="D3564" s="580" t="s">
        <v>13906</v>
      </c>
      <c r="E3564" s="341" t="s">
        <v>13907</v>
      </c>
      <c r="F3564" s="175">
        <v>41305</v>
      </c>
      <c r="G3564" s="257"/>
      <c r="H3564" s="258" t="s">
        <v>461</v>
      </c>
      <c r="I3564" s="258"/>
      <c r="J3564" s="912" t="s">
        <v>2755</v>
      </c>
      <c r="K3564" s="259" t="s">
        <v>10454</v>
      </c>
      <c r="L3564" s="259" t="s">
        <v>461</v>
      </c>
      <c r="M3564" s="259"/>
      <c r="N3564" s="259" t="s">
        <v>11958</v>
      </c>
      <c r="O3564" s="259"/>
      <c r="P3564" s="255" t="s">
        <v>13778</v>
      </c>
      <c r="Q3564" s="259" t="s">
        <v>11587</v>
      </c>
      <c r="R3564" s="260" t="s">
        <v>13753</v>
      </c>
      <c r="S3564" s="401"/>
      <c r="T3564" s="255"/>
      <c r="U3564" s="255"/>
      <c r="V3564" s="255"/>
      <c r="W3564" s="341" t="s">
        <v>13907</v>
      </c>
      <c r="X3564" s="676" t="s">
        <v>13835</v>
      </c>
      <c r="Y3564" s="381"/>
      <c r="Z3564" s="382"/>
      <c r="AA3564" s="382"/>
      <c r="AB3564" s="145">
        <f t="shared" ca="1" si="86"/>
        <v>0.23267946560605435</v>
      </c>
      <c r="AC3564" s="840"/>
      <c r="AD3564" s="841"/>
      <c r="AE3564" s="961"/>
      <c r="AF3564" s="933">
        <f>IF(X3564=X3563,AF3563,0)+IF(ISNUMBER(I3564),IF(I3564&lt;1,I3564,I3564*VLOOKUP(J3564,Summary!$H$2:$I$9,2)),VLOOKUP(J3564,Summary!$J$2:$K$9,2)*IF(ISNUMBER(H3564),H3564,1))</f>
        <v>0.43402777777777768</v>
      </c>
      <c r="AG3564" s="305">
        <v>3563</v>
      </c>
      <c r="AH3564" s="122"/>
      <c r="AI3564" s="122"/>
      <c r="AJ3564" s="146"/>
    </row>
    <row r="3565" spans="1:36" s="147" customFormat="1" ht="12" customHeight="1" x14ac:dyDescent="0.25">
      <c r="A3565" s="578" t="s">
        <v>13834</v>
      </c>
      <c r="B3565" s="579" t="s">
        <v>13766</v>
      </c>
      <c r="C3565" s="578">
        <v>35</v>
      </c>
      <c r="D3565" s="580" t="s">
        <v>13908</v>
      </c>
      <c r="E3565" s="341" t="s">
        <v>13909</v>
      </c>
      <c r="F3565" s="175">
        <v>41305</v>
      </c>
      <c r="G3565" s="257"/>
      <c r="H3565" s="258" t="s">
        <v>461</v>
      </c>
      <c r="I3565" s="258"/>
      <c r="J3565" s="912" t="s">
        <v>2755</v>
      </c>
      <c r="K3565" s="259" t="s">
        <v>11880</v>
      </c>
      <c r="L3565" s="259" t="s">
        <v>461</v>
      </c>
      <c r="M3565" s="259"/>
      <c r="N3565" s="259" t="s">
        <v>11958</v>
      </c>
      <c r="O3565" s="259"/>
      <c r="P3565" s="255" t="s">
        <v>13778</v>
      </c>
      <c r="Q3565" s="259" t="s">
        <v>11587</v>
      </c>
      <c r="R3565" s="260" t="s">
        <v>13753</v>
      </c>
      <c r="S3565" s="401"/>
      <c r="T3565" s="255"/>
      <c r="U3565" s="255"/>
      <c r="V3565" s="255"/>
      <c r="W3565" s="341" t="s">
        <v>13909</v>
      </c>
      <c r="X3565" s="676" t="s">
        <v>13835</v>
      </c>
      <c r="Y3565" s="381"/>
      <c r="Z3565" s="382"/>
      <c r="AA3565" s="382"/>
      <c r="AB3565" s="145">
        <f t="shared" ca="1" si="86"/>
        <v>0.59703651426311222</v>
      </c>
      <c r="AC3565" s="840"/>
      <c r="AD3565" s="841"/>
      <c r="AE3565" s="961"/>
      <c r="AF3565" s="933">
        <f>IF(X3565=X3564,AF3564,0)+IF(ISNUMBER(I3565),IF(I3565&lt;1,I3565,I3565*VLOOKUP(J3565,Summary!$H$2:$I$9,2)),VLOOKUP(J3565,Summary!$J$2:$K$9,2)*IF(ISNUMBER(H3565),H3565,1))</f>
        <v>0.45138888888888878</v>
      </c>
      <c r="AG3565" s="305">
        <v>3564</v>
      </c>
      <c r="AH3565" s="122"/>
      <c r="AI3565" s="122"/>
      <c r="AJ3565" s="146"/>
    </row>
    <row r="3566" spans="1:36" s="147" customFormat="1" ht="12" customHeight="1" x14ac:dyDescent="0.25">
      <c r="A3566" s="578" t="s">
        <v>13834</v>
      </c>
      <c r="B3566" s="579" t="s">
        <v>13766</v>
      </c>
      <c r="C3566" s="578">
        <v>36</v>
      </c>
      <c r="D3566" s="580" t="s">
        <v>13910</v>
      </c>
      <c r="E3566" s="341" t="s">
        <v>13911</v>
      </c>
      <c r="F3566" s="175">
        <v>41305</v>
      </c>
      <c r="G3566" s="257"/>
      <c r="H3566" s="258" t="s">
        <v>461</v>
      </c>
      <c r="I3566" s="258"/>
      <c r="J3566" s="912" t="s">
        <v>2755</v>
      </c>
      <c r="K3566" s="259" t="s">
        <v>822</v>
      </c>
      <c r="L3566" s="259" t="s">
        <v>461</v>
      </c>
      <c r="M3566" s="259"/>
      <c r="N3566" s="259" t="s">
        <v>11958</v>
      </c>
      <c r="O3566" s="259"/>
      <c r="P3566" s="255" t="s">
        <v>13778</v>
      </c>
      <c r="Q3566" s="259" t="s">
        <v>11587</v>
      </c>
      <c r="R3566" s="260" t="s">
        <v>13753</v>
      </c>
      <c r="S3566" s="401"/>
      <c r="T3566" s="255"/>
      <c r="U3566" s="255"/>
      <c r="V3566" s="255"/>
      <c r="W3566" s="341" t="s">
        <v>13911</v>
      </c>
      <c r="X3566" s="676" t="s">
        <v>13835</v>
      </c>
      <c r="Y3566" s="381"/>
      <c r="Z3566" s="382"/>
      <c r="AA3566" s="382"/>
      <c r="AB3566" s="145">
        <f t="shared" ca="1" si="86"/>
        <v>9.8722217428637626E-2</v>
      </c>
      <c r="AC3566" s="840"/>
      <c r="AD3566" s="841"/>
      <c r="AE3566" s="961"/>
      <c r="AF3566" s="933">
        <f>IF(X3566=X3565,AF3565,0)+IF(ISNUMBER(I3566),IF(I3566&lt;1,I3566,I3566*VLOOKUP(J3566,Summary!$H$2:$I$9,2)),VLOOKUP(J3566,Summary!$J$2:$K$9,2)*IF(ISNUMBER(H3566),H3566,1))</f>
        <v>0.46874999999999989</v>
      </c>
      <c r="AG3566" s="305">
        <v>3565</v>
      </c>
      <c r="AH3566" s="122"/>
      <c r="AI3566" s="122"/>
      <c r="AJ3566" s="146"/>
    </row>
    <row r="3567" spans="1:36" s="147" customFormat="1" ht="12" customHeight="1" x14ac:dyDescent="0.25">
      <c r="A3567" s="578" t="s">
        <v>13834</v>
      </c>
      <c r="B3567" s="579" t="s">
        <v>13766</v>
      </c>
      <c r="C3567" s="578">
        <v>37</v>
      </c>
      <c r="D3567" s="580" t="s">
        <v>13912</v>
      </c>
      <c r="E3567" s="341" t="s">
        <v>13913</v>
      </c>
      <c r="F3567" s="175">
        <v>41305</v>
      </c>
      <c r="G3567" s="257"/>
      <c r="H3567" s="258" t="s">
        <v>461</v>
      </c>
      <c r="I3567" s="258"/>
      <c r="J3567" s="912" t="s">
        <v>2755</v>
      </c>
      <c r="K3567" s="259" t="s">
        <v>3324</v>
      </c>
      <c r="L3567" s="259" t="s">
        <v>461</v>
      </c>
      <c r="M3567" s="259"/>
      <c r="N3567" s="259" t="s">
        <v>11958</v>
      </c>
      <c r="O3567" s="259"/>
      <c r="P3567" s="255" t="s">
        <v>13778</v>
      </c>
      <c r="Q3567" s="259" t="s">
        <v>11587</v>
      </c>
      <c r="R3567" s="260" t="s">
        <v>13753</v>
      </c>
      <c r="S3567" s="401"/>
      <c r="T3567" s="255"/>
      <c r="U3567" s="255"/>
      <c r="V3567" s="255"/>
      <c r="W3567" s="341" t="s">
        <v>13913</v>
      </c>
      <c r="X3567" s="676" t="s">
        <v>13835</v>
      </c>
      <c r="Y3567" s="381"/>
      <c r="Z3567" s="382"/>
      <c r="AA3567" s="382"/>
      <c r="AB3567" s="145">
        <f t="shared" ca="1" si="86"/>
        <v>0.31850714123396162</v>
      </c>
      <c r="AC3567" s="840"/>
      <c r="AD3567" s="841"/>
      <c r="AE3567" s="961"/>
      <c r="AF3567" s="933">
        <f>IF(X3567=X3566,AF3566,0)+IF(ISNUMBER(I3567),IF(I3567&lt;1,I3567,I3567*VLOOKUP(J3567,Summary!$H$2:$I$9,2)),VLOOKUP(J3567,Summary!$J$2:$K$9,2)*IF(ISNUMBER(H3567),H3567,1))</f>
        <v>0.48611111111111099</v>
      </c>
      <c r="AG3567" s="305">
        <v>3566</v>
      </c>
      <c r="AH3567" s="122"/>
      <c r="AI3567" s="122"/>
      <c r="AJ3567" s="146"/>
    </row>
    <row r="3568" spans="1:36" s="147" customFormat="1" ht="12" customHeight="1" x14ac:dyDescent="0.25">
      <c r="A3568" s="474" t="s">
        <v>13834</v>
      </c>
      <c r="B3568" s="507" t="s">
        <v>13766</v>
      </c>
      <c r="C3568" s="474">
        <v>8</v>
      </c>
      <c r="D3568" s="417" t="s">
        <v>13837</v>
      </c>
      <c r="E3568" s="316" t="s">
        <v>13841</v>
      </c>
      <c r="F3568" s="187">
        <v>41334</v>
      </c>
      <c r="G3568" s="195"/>
      <c r="H3568" s="188" t="str">
        <f t="shared" ref="H3568:H3579" si="89">IF(J3568="Book","n/a","")</f>
        <v>n/a</v>
      </c>
      <c r="I3568" s="188">
        <v>304</v>
      </c>
      <c r="J3568" s="902" t="s">
        <v>6868</v>
      </c>
      <c r="K3568" s="162" t="s">
        <v>13846</v>
      </c>
      <c r="L3568" s="162" t="str">
        <f t="shared" ref="L3568:L3579" si="90">IF(J3568="Book","n/a","")</f>
        <v>n/a</v>
      </c>
      <c r="M3568" s="162"/>
      <c r="N3568" s="162"/>
      <c r="O3568" s="162"/>
      <c r="P3568" s="178" t="s">
        <v>13849</v>
      </c>
      <c r="Q3568" s="162" t="s">
        <v>11587</v>
      </c>
      <c r="R3568" s="189" t="s">
        <v>13754</v>
      </c>
      <c r="S3568" s="366"/>
      <c r="T3568" s="178"/>
      <c r="U3568" s="178"/>
      <c r="V3568" s="178"/>
      <c r="W3568" s="316" t="s">
        <v>13841</v>
      </c>
      <c r="X3568" s="648" t="s">
        <v>13835</v>
      </c>
      <c r="Y3568" s="356"/>
      <c r="Z3568" s="272"/>
      <c r="AA3568" s="272"/>
      <c r="AB3568" s="34">
        <f t="shared" ca="1" si="86"/>
        <v>0.8280239793163866</v>
      </c>
      <c r="AC3568" s="814"/>
      <c r="AD3568" s="815"/>
      <c r="AE3568" s="942"/>
      <c r="AF3568" s="923">
        <f>IF(X3568=X3567,AF3567,0)+IF(ISNUMBER(I3568),IF(I3568&lt;1,I3568,I3568*VLOOKUP(J3568,Summary!$H$2:$I$9,2)),VLOOKUP(J3568,Summary!$J$2:$K$9,2)*IF(ISNUMBER(H3568),H3568,1))</f>
        <v>0.69722222222222208</v>
      </c>
      <c r="AG3568" s="291">
        <v>3567</v>
      </c>
      <c r="AH3568" s="122"/>
      <c r="AI3568" s="122"/>
      <c r="AJ3568" s="146"/>
    </row>
    <row r="3569" spans="1:36" s="3" customFormat="1" ht="12" customHeight="1" x14ac:dyDescent="0.25">
      <c r="A3569" s="474" t="s">
        <v>13834</v>
      </c>
      <c r="B3569" s="507" t="s">
        <v>13766</v>
      </c>
      <c r="C3569" s="474">
        <v>9</v>
      </c>
      <c r="D3569" s="417" t="s">
        <v>13838</v>
      </c>
      <c r="E3569" s="316" t="s">
        <v>13842</v>
      </c>
      <c r="F3569" s="187">
        <v>41579</v>
      </c>
      <c r="G3569" s="195"/>
      <c r="H3569" s="188" t="str">
        <f t="shared" si="89"/>
        <v>n/a</v>
      </c>
      <c r="I3569" s="188"/>
      <c r="J3569" s="902" t="s">
        <v>6868</v>
      </c>
      <c r="K3569" s="162" t="s">
        <v>13847</v>
      </c>
      <c r="L3569" s="162" t="str">
        <f t="shared" si="90"/>
        <v>n/a</v>
      </c>
      <c r="M3569" s="162"/>
      <c r="N3569" s="162"/>
      <c r="O3569" s="162"/>
      <c r="P3569" s="178"/>
      <c r="Q3569" s="162" t="s">
        <v>11587</v>
      </c>
      <c r="R3569" s="189" t="s">
        <v>13754</v>
      </c>
      <c r="S3569" s="366"/>
      <c r="T3569" s="178"/>
      <c r="U3569" s="178"/>
      <c r="V3569" s="178"/>
      <c r="W3569" s="316" t="s">
        <v>13842</v>
      </c>
      <c r="X3569" s="648" t="s">
        <v>13835</v>
      </c>
      <c r="Y3569" s="356"/>
      <c r="Z3569" s="272"/>
      <c r="AA3569" s="272"/>
      <c r="AB3569" s="34">
        <f t="shared" ca="1" si="86"/>
        <v>0.24971076183615659</v>
      </c>
      <c r="AC3569" s="814"/>
      <c r="AD3569" s="815"/>
      <c r="AE3569" s="942"/>
      <c r="AF3569" s="923">
        <f>IF(X3569=X3568,AF3568,0)+IF(ISNUMBER(I3569),IF(I3569&lt;1,I3569,I3569*VLOOKUP(J3569,Summary!$H$2:$I$9,2)),VLOOKUP(J3569,Summary!$J$2:$K$9,2)*IF(ISNUMBER(H3569),H3569,1))</f>
        <v>0.82222222222222208</v>
      </c>
      <c r="AG3569" s="291">
        <v>3568</v>
      </c>
      <c r="AH3569" s="94"/>
      <c r="AI3569" s="94"/>
    </row>
    <row r="3570" spans="1:36" s="147" customFormat="1" ht="12" customHeight="1" x14ac:dyDescent="0.25">
      <c r="A3570" s="569" t="s">
        <v>1565</v>
      </c>
      <c r="B3570" s="569">
        <v>8</v>
      </c>
      <c r="C3570" s="569">
        <v>52</v>
      </c>
      <c r="D3570" s="417" t="s">
        <v>6357</v>
      </c>
      <c r="E3570" s="316" t="s">
        <v>6358</v>
      </c>
      <c r="F3570" s="187">
        <v>37257</v>
      </c>
      <c r="G3570" s="188"/>
      <c r="H3570" s="188" t="str">
        <f t="shared" si="89"/>
        <v>n/a</v>
      </c>
      <c r="I3570" s="188">
        <v>256</v>
      </c>
      <c r="J3570" s="902" t="s">
        <v>6868</v>
      </c>
      <c r="K3570" s="162" t="s">
        <v>5658</v>
      </c>
      <c r="L3570" s="162" t="str">
        <f t="shared" si="90"/>
        <v>n/a</v>
      </c>
      <c r="M3570" s="162"/>
      <c r="N3570" s="162"/>
      <c r="O3570" s="162"/>
      <c r="P3570" s="178" t="s">
        <v>9106</v>
      </c>
      <c r="Q3570" s="162" t="s">
        <v>3953</v>
      </c>
      <c r="R3570" s="189" t="s">
        <v>2714</v>
      </c>
      <c r="S3570" s="366" t="s">
        <v>3063</v>
      </c>
      <c r="T3570" s="178" t="s">
        <v>7322</v>
      </c>
      <c r="U3570" s="178"/>
      <c r="V3570" s="178" t="s">
        <v>3535</v>
      </c>
      <c r="W3570" s="316" t="s">
        <v>6358</v>
      </c>
      <c r="X3570" s="648" t="s">
        <v>12451</v>
      </c>
      <c r="Y3570" s="356"/>
      <c r="Z3570" s="272"/>
      <c r="AA3570" s="272"/>
      <c r="AB3570" s="34">
        <f t="shared" ca="1" si="86"/>
        <v>0.34283087648541788</v>
      </c>
      <c r="AC3570" s="814"/>
      <c r="AD3570" s="815" t="s">
        <v>16774</v>
      </c>
      <c r="AE3570" s="942"/>
      <c r="AF3570" s="923">
        <f>IF(X3570=X3569,AF3569,0)+IF(ISNUMBER(I3570),IF(I3570&lt;1,I3570,I3570*VLOOKUP(J3570,Summary!$H$2:$I$9,2)),VLOOKUP(J3570,Summary!$J$2:$K$9,2)*IF(ISNUMBER(H3570),H3570,1))</f>
        <v>0.17777777777777778</v>
      </c>
      <c r="AG3570" s="291">
        <v>3569</v>
      </c>
      <c r="AH3570" s="122"/>
      <c r="AI3570" s="122"/>
      <c r="AJ3570" s="146"/>
    </row>
    <row r="3571" spans="1:36" s="147" customFormat="1" ht="12" customHeight="1" x14ac:dyDescent="0.25">
      <c r="A3571" s="474" t="s">
        <v>1565</v>
      </c>
      <c r="B3571" s="507" t="s">
        <v>2650</v>
      </c>
      <c r="C3571" s="474"/>
      <c r="D3571" s="417"/>
      <c r="E3571" s="316" t="s">
        <v>14185</v>
      </c>
      <c r="F3571" s="195">
        <v>42887</v>
      </c>
      <c r="G3571" s="195"/>
      <c r="H3571" s="188" t="str">
        <f t="shared" si="89"/>
        <v>n/a</v>
      </c>
      <c r="I3571" s="188">
        <v>322</v>
      </c>
      <c r="J3571" s="902" t="s">
        <v>6868</v>
      </c>
      <c r="K3571" s="162" t="s">
        <v>5658</v>
      </c>
      <c r="L3571" s="162" t="str">
        <f t="shared" si="90"/>
        <v>n/a</v>
      </c>
      <c r="M3571" s="162"/>
      <c r="N3571" s="162"/>
      <c r="O3571" s="162"/>
      <c r="P3571" s="178" t="s">
        <v>14186</v>
      </c>
      <c r="Q3571" s="162" t="s">
        <v>11727</v>
      </c>
      <c r="R3571" s="189" t="s">
        <v>14187</v>
      </c>
      <c r="S3571" s="366"/>
      <c r="T3571" s="178"/>
      <c r="U3571" s="178"/>
      <c r="V3571" s="178"/>
      <c r="W3571" s="316" t="s">
        <v>14185</v>
      </c>
      <c r="X3571" s="648" t="s">
        <v>12451</v>
      </c>
      <c r="Y3571" s="356"/>
      <c r="Z3571" s="272"/>
      <c r="AA3571" s="272"/>
      <c r="AB3571" s="34">
        <f t="shared" ca="1" si="86"/>
        <v>0.11035554219630839</v>
      </c>
      <c r="AC3571" s="814"/>
      <c r="AD3571" s="815"/>
      <c r="AE3571" s="942"/>
      <c r="AF3571" s="923">
        <f>IF(X3571=X3570,AF3570,0)+IF(ISNUMBER(I3571),IF(I3571&lt;1,I3571,I3571*VLOOKUP(J3571,Summary!$H$2:$I$9,2)),VLOOKUP(J3571,Summary!$J$2:$K$9,2)*IF(ISNUMBER(H3571),H3571,1))</f>
        <v>0.40138888888888891</v>
      </c>
      <c r="AG3571" s="291">
        <v>3570</v>
      </c>
      <c r="AH3571" s="122"/>
      <c r="AI3571" s="122"/>
      <c r="AJ3571" s="146"/>
    </row>
    <row r="3572" spans="1:36" s="147" customFormat="1" ht="12" customHeight="1" x14ac:dyDescent="0.25">
      <c r="A3572" s="569" t="s">
        <v>1565</v>
      </c>
      <c r="B3572" s="569">
        <v>8</v>
      </c>
      <c r="C3572" s="569">
        <v>53</v>
      </c>
      <c r="D3572" s="417" t="s">
        <v>3770</v>
      </c>
      <c r="E3572" s="316" t="s">
        <v>7088</v>
      </c>
      <c r="F3572" s="187">
        <v>37288</v>
      </c>
      <c r="G3572" s="188"/>
      <c r="H3572" s="188" t="str">
        <f t="shared" si="89"/>
        <v>n/a</v>
      </c>
      <c r="I3572" s="188">
        <v>249</v>
      </c>
      <c r="J3572" s="902" t="s">
        <v>6868</v>
      </c>
      <c r="K3572" s="162" t="s">
        <v>340</v>
      </c>
      <c r="L3572" s="162" t="str">
        <f t="shared" si="90"/>
        <v>n/a</v>
      </c>
      <c r="M3572" s="162"/>
      <c r="N3572" s="162"/>
      <c r="O3572" s="162"/>
      <c r="P3572" s="178" t="s">
        <v>9107</v>
      </c>
      <c r="Q3572" s="162" t="s">
        <v>3953</v>
      </c>
      <c r="R3572" s="189" t="s">
        <v>2714</v>
      </c>
      <c r="S3572" s="366" t="s">
        <v>3063</v>
      </c>
      <c r="T3572" s="178" t="s">
        <v>7322</v>
      </c>
      <c r="U3572" s="178"/>
      <c r="V3572" s="178"/>
      <c r="W3572" s="316" t="s">
        <v>7088</v>
      </c>
      <c r="X3572" s="648" t="s">
        <v>12451</v>
      </c>
      <c r="Y3572" s="356"/>
      <c r="Z3572" s="272"/>
      <c r="AA3572" s="272"/>
      <c r="AB3572" s="34">
        <f t="shared" ca="1" si="86"/>
        <v>0.91451810448568827</v>
      </c>
      <c r="AC3572" s="814"/>
      <c r="AD3572" s="815"/>
      <c r="AE3572" s="942"/>
      <c r="AF3572" s="923">
        <f>IF(X3572=X3571,AF3571,0)+IF(ISNUMBER(I3572),IF(I3572&lt;1,I3572,I3572*VLOOKUP(J3572,Summary!$H$2:$I$9,2)),VLOOKUP(J3572,Summary!$J$2:$K$9,2)*IF(ISNUMBER(H3572),H3572,1))</f>
        <v>0.57430555555555562</v>
      </c>
      <c r="AG3572" s="291">
        <v>3571</v>
      </c>
      <c r="AH3572" s="122"/>
      <c r="AI3572" s="122"/>
      <c r="AJ3572" s="146"/>
    </row>
    <row r="3573" spans="1:36" s="147" customFormat="1" ht="12" customHeight="1" x14ac:dyDescent="0.25">
      <c r="A3573" s="569" t="s">
        <v>1565</v>
      </c>
      <c r="B3573" s="569">
        <v>8</v>
      </c>
      <c r="C3573" s="569">
        <v>54</v>
      </c>
      <c r="D3573" s="417" t="s">
        <v>7089</v>
      </c>
      <c r="E3573" s="316" t="s">
        <v>530</v>
      </c>
      <c r="F3573" s="195">
        <v>37319</v>
      </c>
      <c r="G3573" s="188"/>
      <c r="H3573" s="188" t="str">
        <f t="shared" si="89"/>
        <v>n/a</v>
      </c>
      <c r="I3573" s="188">
        <v>288</v>
      </c>
      <c r="J3573" s="902" t="s">
        <v>6868</v>
      </c>
      <c r="K3573" s="162" t="s">
        <v>177</v>
      </c>
      <c r="L3573" s="162" t="str">
        <f t="shared" si="90"/>
        <v>n/a</v>
      </c>
      <c r="M3573" s="162"/>
      <c r="N3573" s="162"/>
      <c r="O3573" s="162"/>
      <c r="P3573" s="178" t="s">
        <v>9108</v>
      </c>
      <c r="Q3573" s="162" t="s">
        <v>3953</v>
      </c>
      <c r="R3573" s="189" t="s">
        <v>2714</v>
      </c>
      <c r="S3573" s="366" t="s">
        <v>3063</v>
      </c>
      <c r="T3573" s="178" t="s">
        <v>7322</v>
      </c>
      <c r="U3573" s="178"/>
      <c r="V3573" s="178"/>
      <c r="W3573" s="316" t="s">
        <v>530</v>
      </c>
      <c r="X3573" s="648" t="s">
        <v>12451</v>
      </c>
      <c r="Y3573" s="356" t="s">
        <v>6868</v>
      </c>
      <c r="Z3573" s="272"/>
      <c r="AA3573" s="272"/>
      <c r="AB3573" s="34">
        <f t="shared" ca="1" si="86"/>
        <v>0.73369009806819463</v>
      </c>
      <c r="AC3573" s="814"/>
      <c r="AD3573" s="815"/>
      <c r="AE3573" s="942"/>
      <c r="AF3573" s="923">
        <f>IF(X3573=X3572,AF3572,0)+IF(ISNUMBER(I3573),IF(I3573&lt;1,I3573,I3573*VLOOKUP(J3573,Summary!$H$2:$I$9,2)),VLOOKUP(J3573,Summary!$J$2:$K$9,2)*IF(ISNUMBER(H3573),H3573,1))</f>
        <v>0.77430555555555558</v>
      </c>
      <c r="AG3573" s="291">
        <v>3572</v>
      </c>
      <c r="AH3573" s="122"/>
      <c r="AI3573" s="122"/>
      <c r="AJ3573" s="146"/>
    </row>
    <row r="3574" spans="1:36" s="147" customFormat="1" ht="12" customHeight="1" x14ac:dyDescent="0.25">
      <c r="A3574" s="569" t="s">
        <v>1565</v>
      </c>
      <c r="B3574" s="569">
        <v>8</v>
      </c>
      <c r="C3574" s="569">
        <v>55</v>
      </c>
      <c r="D3574" s="417" t="s">
        <v>531</v>
      </c>
      <c r="E3574" s="316" t="s">
        <v>532</v>
      </c>
      <c r="F3574" s="187">
        <v>37347</v>
      </c>
      <c r="G3574" s="188"/>
      <c r="H3574" s="188" t="str">
        <f t="shared" si="89"/>
        <v>n/a</v>
      </c>
      <c r="I3574" s="188">
        <v>249</v>
      </c>
      <c r="J3574" s="902" t="s">
        <v>6868</v>
      </c>
      <c r="K3574" s="162" t="s">
        <v>2311</v>
      </c>
      <c r="L3574" s="162" t="str">
        <f t="shared" si="90"/>
        <v>n/a</v>
      </c>
      <c r="M3574" s="162"/>
      <c r="N3574" s="162"/>
      <c r="O3574" s="162"/>
      <c r="P3574" s="178" t="s">
        <v>9109</v>
      </c>
      <c r="Q3574" s="162" t="s">
        <v>3953</v>
      </c>
      <c r="R3574" s="189" t="s">
        <v>2714</v>
      </c>
      <c r="S3574" s="366" t="s">
        <v>3063</v>
      </c>
      <c r="T3574" s="178" t="s">
        <v>7322</v>
      </c>
      <c r="U3574" s="178"/>
      <c r="V3574" s="178"/>
      <c r="W3574" s="316" t="s">
        <v>532</v>
      </c>
      <c r="X3574" s="648" t="s">
        <v>12451</v>
      </c>
      <c r="Y3574" s="356"/>
      <c r="Z3574" s="272">
        <v>113</v>
      </c>
      <c r="AA3574" s="272">
        <v>5</v>
      </c>
      <c r="AB3574" s="34">
        <f t="shared" ca="1" si="86"/>
        <v>0.81983750459569438</v>
      </c>
      <c r="AC3574" s="814"/>
      <c r="AD3574" s="815" t="s">
        <v>15154</v>
      </c>
      <c r="AE3574" s="942" t="s">
        <v>12543</v>
      </c>
      <c r="AF3574" s="923">
        <f>IF(X3574=X3573,AF3573,0)+IF(ISNUMBER(I3574),IF(I3574&lt;1,I3574,I3574*VLOOKUP(J3574,Summary!$H$2:$I$9,2)),VLOOKUP(J3574,Summary!$J$2:$K$9,2)*IF(ISNUMBER(H3574),H3574,1))</f>
        <v>0.94722222222222219</v>
      </c>
      <c r="AG3574" s="291">
        <v>3573</v>
      </c>
      <c r="AH3574" s="122"/>
      <c r="AI3574" s="122"/>
      <c r="AJ3574" s="146"/>
    </row>
    <row r="3575" spans="1:36" s="147" customFormat="1" ht="12" customHeight="1" x14ac:dyDescent="0.25">
      <c r="A3575" s="569" t="s">
        <v>1565</v>
      </c>
      <c r="B3575" s="569">
        <v>8</v>
      </c>
      <c r="C3575" s="569">
        <v>56</v>
      </c>
      <c r="D3575" s="417" t="s">
        <v>533</v>
      </c>
      <c r="E3575" s="316" t="s">
        <v>534</v>
      </c>
      <c r="F3575" s="187">
        <v>37377</v>
      </c>
      <c r="G3575" s="188"/>
      <c r="H3575" s="188" t="str">
        <f t="shared" si="89"/>
        <v>n/a</v>
      </c>
      <c r="I3575" s="188">
        <v>288</v>
      </c>
      <c r="J3575" s="902" t="s">
        <v>6868</v>
      </c>
      <c r="K3575" s="162" t="s">
        <v>341</v>
      </c>
      <c r="L3575" s="162" t="str">
        <f t="shared" si="90"/>
        <v>n/a</v>
      </c>
      <c r="M3575" s="162"/>
      <c r="N3575" s="162"/>
      <c r="O3575" s="162"/>
      <c r="P3575" s="178" t="s">
        <v>9110</v>
      </c>
      <c r="Q3575" s="162" t="s">
        <v>3953</v>
      </c>
      <c r="R3575" s="189" t="s">
        <v>2714</v>
      </c>
      <c r="S3575" s="366" t="s">
        <v>3063</v>
      </c>
      <c r="T3575" s="178" t="s">
        <v>7322</v>
      </c>
      <c r="U3575" s="178"/>
      <c r="V3575" s="178"/>
      <c r="W3575" s="316" t="s">
        <v>534</v>
      </c>
      <c r="X3575" s="648" t="s">
        <v>12451</v>
      </c>
      <c r="Y3575" s="356"/>
      <c r="Z3575" s="272"/>
      <c r="AA3575" s="272"/>
      <c r="AB3575" s="34">
        <f t="shared" ca="1" si="86"/>
        <v>0.46928916404488674</v>
      </c>
      <c r="AC3575" s="814"/>
      <c r="AD3575" s="815" t="s">
        <v>16398</v>
      </c>
      <c r="AE3575" s="942"/>
      <c r="AF3575" s="923">
        <f>IF(X3575=X3574,AF3574,0)+IF(ISNUMBER(I3575),IF(I3575&lt;1,I3575,I3575*VLOOKUP(J3575,Summary!$H$2:$I$9,2)),VLOOKUP(J3575,Summary!$J$2:$K$9,2)*IF(ISNUMBER(H3575),H3575,1))</f>
        <v>1.1472222222222221</v>
      </c>
      <c r="AG3575" s="291">
        <v>3574</v>
      </c>
      <c r="AH3575" s="122"/>
      <c r="AI3575" s="122"/>
      <c r="AJ3575" s="146"/>
    </row>
    <row r="3576" spans="1:36" s="147" customFormat="1" ht="12" customHeight="1" x14ac:dyDescent="0.25">
      <c r="A3576" s="569" t="s">
        <v>1565</v>
      </c>
      <c r="B3576" s="569">
        <v>8</v>
      </c>
      <c r="C3576" s="569">
        <v>57</v>
      </c>
      <c r="D3576" s="417" t="s">
        <v>7814</v>
      </c>
      <c r="E3576" s="316" t="s">
        <v>7815</v>
      </c>
      <c r="F3576" s="187">
        <v>37408</v>
      </c>
      <c r="G3576" s="188"/>
      <c r="H3576" s="188" t="str">
        <f t="shared" si="89"/>
        <v>n/a</v>
      </c>
      <c r="I3576" s="188">
        <v>252</v>
      </c>
      <c r="J3576" s="902" t="s">
        <v>6868</v>
      </c>
      <c r="K3576" s="162" t="s">
        <v>176</v>
      </c>
      <c r="L3576" s="162" t="str">
        <f t="shared" si="90"/>
        <v>n/a</v>
      </c>
      <c r="M3576" s="162"/>
      <c r="N3576" s="162"/>
      <c r="O3576" s="162"/>
      <c r="P3576" s="178" t="s">
        <v>9111</v>
      </c>
      <c r="Q3576" s="162" t="s">
        <v>3953</v>
      </c>
      <c r="R3576" s="189" t="s">
        <v>2714</v>
      </c>
      <c r="S3576" s="366" t="s">
        <v>3063</v>
      </c>
      <c r="T3576" s="178" t="s">
        <v>7322</v>
      </c>
      <c r="U3576" s="178"/>
      <c r="V3576" s="178"/>
      <c r="W3576" s="316" t="s">
        <v>7815</v>
      </c>
      <c r="X3576" s="648" t="s">
        <v>12451</v>
      </c>
      <c r="Y3576" s="356" t="s">
        <v>6868</v>
      </c>
      <c r="Z3576" s="272">
        <v>36</v>
      </c>
      <c r="AA3576" s="272">
        <v>7.5</v>
      </c>
      <c r="AB3576" s="34">
        <f t="shared" ca="1" si="86"/>
        <v>0.48352240700579741</v>
      </c>
      <c r="AC3576" s="814"/>
      <c r="AD3576" s="815" t="s">
        <v>461</v>
      </c>
      <c r="AE3576" s="942"/>
      <c r="AF3576" s="923">
        <f>IF(X3576=X3575,AF3575,0)+IF(ISNUMBER(I3576),IF(I3576&lt;1,I3576,I3576*VLOOKUP(J3576,Summary!$H$2:$I$9,2)),VLOOKUP(J3576,Summary!$J$2:$K$9,2)*IF(ISNUMBER(H3576),H3576,1))</f>
        <v>1.3222222222222222</v>
      </c>
      <c r="AG3576" s="291">
        <v>3575</v>
      </c>
      <c r="AH3576" s="122"/>
      <c r="AI3576" s="122"/>
      <c r="AJ3576" s="146"/>
    </row>
    <row r="3577" spans="1:36" s="147" customFormat="1" ht="12" customHeight="1" x14ac:dyDescent="0.25">
      <c r="A3577" s="569" t="s">
        <v>1565</v>
      </c>
      <c r="B3577" s="569">
        <v>8</v>
      </c>
      <c r="C3577" s="569">
        <v>58</v>
      </c>
      <c r="D3577" s="417" t="s">
        <v>2233</v>
      </c>
      <c r="E3577" s="316" t="s">
        <v>2234</v>
      </c>
      <c r="F3577" s="187">
        <v>37438</v>
      </c>
      <c r="G3577" s="188"/>
      <c r="H3577" s="188" t="str">
        <f t="shared" si="89"/>
        <v>n/a</v>
      </c>
      <c r="I3577" s="188">
        <v>288</v>
      </c>
      <c r="J3577" s="902" t="s">
        <v>6868</v>
      </c>
      <c r="K3577" s="162" t="s">
        <v>342</v>
      </c>
      <c r="L3577" s="162" t="str">
        <f t="shared" si="90"/>
        <v>n/a</v>
      </c>
      <c r="M3577" s="162"/>
      <c r="N3577" s="162"/>
      <c r="O3577" s="162"/>
      <c r="P3577" s="178" t="s">
        <v>9112</v>
      </c>
      <c r="Q3577" s="162" t="s">
        <v>3953</v>
      </c>
      <c r="R3577" s="189" t="s">
        <v>2714</v>
      </c>
      <c r="S3577" s="366" t="s">
        <v>3063</v>
      </c>
      <c r="T3577" s="178" t="s">
        <v>7322</v>
      </c>
      <c r="U3577" s="178"/>
      <c r="V3577" s="178"/>
      <c r="W3577" s="316" t="s">
        <v>2234</v>
      </c>
      <c r="X3577" s="648" t="s">
        <v>12451</v>
      </c>
      <c r="Y3577" s="356"/>
      <c r="Z3577" s="272"/>
      <c r="AA3577" s="272"/>
      <c r="AB3577" s="34">
        <f t="shared" ca="1" si="86"/>
        <v>0.79004054117373412</v>
      </c>
      <c r="AC3577" s="814"/>
      <c r="AD3577" s="815" t="s">
        <v>16716</v>
      </c>
      <c r="AE3577" s="942"/>
      <c r="AF3577" s="923">
        <f>IF(X3577=X3576,AF3576,0)+IF(ISNUMBER(I3577),IF(I3577&lt;1,I3577,I3577*VLOOKUP(J3577,Summary!$H$2:$I$9,2)),VLOOKUP(J3577,Summary!$J$2:$K$9,2)*IF(ISNUMBER(H3577),H3577,1))</f>
        <v>1.5222222222222221</v>
      </c>
      <c r="AG3577" s="291">
        <v>3576</v>
      </c>
      <c r="AH3577" s="122"/>
      <c r="AI3577" s="122"/>
      <c r="AJ3577" s="146"/>
    </row>
    <row r="3578" spans="1:36" s="147" customFormat="1" ht="12" customHeight="1" x14ac:dyDescent="0.25">
      <c r="A3578" s="569" t="s">
        <v>1565</v>
      </c>
      <c r="B3578" s="569">
        <v>8</v>
      </c>
      <c r="C3578" s="569">
        <v>59</v>
      </c>
      <c r="D3578" s="417" t="s">
        <v>2235</v>
      </c>
      <c r="E3578" s="316" t="s">
        <v>2236</v>
      </c>
      <c r="F3578" s="187">
        <v>37469</v>
      </c>
      <c r="G3578" s="188"/>
      <c r="H3578" s="188" t="str">
        <f t="shared" si="89"/>
        <v>n/a</v>
      </c>
      <c r="I3578" s="188">
        <v>280</v>
      </c>
      <c r="J3578" s="902" t="s">
        <v>6868</v>
      </c>
      <c r="K3578" s="162" t="s">
        <v>3238</v>
      </c>
      <c r="L3578" s="162" t="str">
        <f t="shared" si="90"/>
        <v>n/a</v>
      </c>
      <c r="M3578" s="162"/>
      <c r="N3578" s="162"/>
      <c r="O3578" s="162"/>
      <c r="P3578" s="178" t="s">
        <v>9113</v>
      </c>
      <c r="Q3578" s="162" t="s">
        <v>3953</v>
      </c>
      <c r="R3578" s="189" t="s">
        <v>2714</v>
      </c>
      <c r="S3578" s="366" t="s">
        <v>3063</v>
      </c>
      <c r="T3578" s="178" t="s">
        <v>7322</v>
      </c>
      <c r="U3578" s="178"/>
      <c r="V3578" s="178"/>
      <c r="W3578" s="316" t="s">
        <v>2236</v>
      </c>
      <c r="X3578" s="648" t="s">
        <v>12451</v>
      </c>
      <c r="Y3578" s="356"/>
      <c r="Z3578" s="272"/>
      <c r="AA3578" s="272"/>
      <c r="AB3578" s="34">
        <f t="shared" ca="1" si="86"/>
        <v>0.33393652575593447</v>
      </c>
      <c r="AC3578" s="814"/>
      <c r="AD3578" s="815" t="s">
        <v>16641</v>
      </c>
      <c r="AE3578" s="942"/>
      <c r="AF3578" s="923">
        <f>IF(X3578=X3577,AF3577,0)+IF(ISNUMBER(I3578),IF(I3578&lt;1,I3578,I3578*VLOOKUP(J3578,Summary!$H$2:$I$9,2)),VLOOKUP(J3578,Summary!$J$2:$K$9,2)*IF(ISNUMBER(H3578),H3578,1))</f>
        <v>1.7166666666666666</v>
      </c>
      <c r="AG3578" s="291">
        <v>3577</v>
      </c>
      <c r="AH3578" s="122"/>
      <c r="AI3578" s="122"/>
      <c r="AJ3578" s="146"/>
    </row>
    <row r="3579" spans="1:36" s="147" customFormat="1" ht="12" customHeight="1" x14ac:dyDescent="0.25">
      <c r="A3579" s="569" t="s">
        <v>1565</v>
      </c>
      <c r="B3579" s="569">
        <v>8</v>
      </c>
      <c r="C3579" s="569">
        <v>60</v>
      </c>
      <c r="D3579" s="417" t="s">
        <v>3556</v>
      </c>
      <c r="E3579" s="316" t="s">
        <v>3557</v>
      </c>
      <c r="F3579" s="187">
        <v>37500</v>
      </c>
      <c r="G3579" s="188"/>
      <c r="H3579" s="188" t="str">
        <f t="shared" si="89"/>
        <v>n/a</v>
      </c>
      <c r="I3579" s="188">
        <v>275</v>
      </c>
      <c r="J3579" s="902" t="s">
        <v>6868</v>
      </c>
      <c r="K3579" s="162" t="s">
        <v>543</v>
      </c>
      <c r="L3579" s="162" t="str">
        <f t="shared" si="90"/>
        <v>n/a</v>
      </c>
      <c r="M3579" s="162"/>
      <c r="N3579" s="162"/>
      <c r="O3579" s="162"/>
      <c r="P3579" s="178" t="s">
        <v>9114</v>
      </c>
      <c r="Q3579" s="162" t="s">
        <v>3953</v>
      </c>
      <c r="R3579" s="189" t="s">
        <v>2714</v>
      </c>
      <c r="S3579" s="366" t="s">
        <v>3063</v>
      </c>
      <c r="T3579" s="178" t="s">
        <v>7322</v>
      </c>
      <c r="U3579" s="178"/>
      <c r="V3579" s="178"/>
      <c r="W3579" s="316" t="s">
        <v>3557</v>
      </c>
      <c r="X3579" s="648" t="s">
        <v>12451</v>
      </c>
      <c r="Y3579" s="356"/>
      <c r="Z3579" s="272">
        <v>69</v>
      </c>
      <c r="AA3579" s="272">
        <v>6.5</v>
      </c>
      <c r="AB3579" s="34">
        <f t="shared" ca="1" si="86"/>
        <v>0.77047944776249244</v>
      </c>
      <c r="AC3579" s="814"/>
      <c r="AD3579" s="815" t="s">
        <v>16643</v>
      </c>
      <c r="AE3579" s="942"/>
      <c r="AF3579" s="923">
        <f>IF(X3579=X3578,AF3578,0)+IF(ISNUMBER(I3579),IF(I3579&lt;1,I3579,I3579*VLOOKUP(J3579,Summary!$H$2:$I$9,2)),VLOOKUP(J3579,Summary!$J$2:$K$9,2)*IF(ISNUMBER(H3579),H3579,1))</f>
        <v>1.9076388888888889</v>
      </c>
      <c r="AG3579" s="291">
        <v>3578</v>
      </c>
      <c r="AH3579" s="122"/>
      <c r="AI3579" s="122"/>
      <c r="AJ3579" s="146"/>
    </row>
    <row r="3580" spans="1:36" s="147" customFormat="1" ht="12" customHeight="1" x14ac:dyDescent="0.25">
      <c r="A3580" s="578" t="s">
        <v>13977</v>
      </c>
      <c r="B3580" s="579" t="s">
        <v>13766</v>
      </c>
      <c r="C3580" s="578">
        <v>38</v>
      </c>
      <c r="D3580" s="580" t="s">
        <v>13914</v>
      </c>
      <c r="E3580" s="341" t="s">
        <v>13915</v>
      </c>
      <c r="F3580" s="175">
        <v>42035</v>
      </c>
      <c r="G3580" s="257"/>
      <c r="H3580" s="258" t="s">
        <v>461</v>
      </c>
      <c r="I3580" s="258"/>
      <c r="J3580" s="912" t="s">
        <v>2755</v>
      </c>
      <c r="K3580" s="259" t="s">
        <v>7800</v>
      </c>
      <c r="L3580" s="259" t="s">
        <v>461</v>
      </c>
      <c r="M3580" s="259"/>
      <c r="N3580" s="259" t="s">
        <v>7800</v>
      </c>
      <c r="O3580" s="259"/>
      <c r="P3580" s="255"/>
      <c r="Q3580" s="259" t="s">
        <v>11587</v>
      </c>
      <c r="R3580" s="260" t="s">
        <v>13753</v>
      </c>
      <c r="S3580" s="401"/>
      <c r="T3580" s="255"/>
      <c r="U3580" s="255"/>
      <c r="V3580" s="255"/>
      <c r="W3580" s="341" t="s">
        <v>13915</v>
      </c>
      <c r="X3580" s="676" t="s">
        <v>13943</v>
      </c>
      <c r="Y3580" s="381"/>
      <c r="Z3580" s="382"/>
      <c r="AA3580" s="382"/>
      <c r="AB3580" s="145">
        <f t="shared" ca="1" si="86"/>
        <v>0.16407311636296884</v>
      </c>
      <c r="AC3580" s="840"/>
      <c r="AD3580" s="841"/>
      <c r="AE3580" s="961"/>
      <c r="AF3580" s="933">
        <f>IF(X3580=X3579,AF3579,0)+IF(ISNUMBER(I3580),IF(I3580&lt;1,I3580,I3580*VLOOKUP(J3580,Summary!$H$2:$I$9,2)),VLOOKUP(J3580,Summary!$J$2:$K$9,2)*IF(ISNUMBER(H3580),H3580,1))</f>
        <v>1.7361111111111112E-2</v>
      </c>
      <c r="AG3580" s="305">
        <v>3579</v>
      </c>
      <c r="AH3580" s="122"/>
      <c r="AI3580" s="122"/>
      <c r="AJ3580" s="146"/>
    </row>
    <row r="3581" spans="1:36" s="147" customFormat="1" ht="12" customHeight="1" x14ac:dyDescent="0.25">
      <c r="A3581" s="578" t="s">
        <v>13977</v>
      </c>
      <c r="B3581" s="579" t="s">
        <v>13766</v>
      </c>
      <c r="C3581" s="578">
        <v>39</v>
      </c>
      <c r="D3581" s="580" t="s">
        <v>13916</v>
      </c>
      <c r="E3581" s="341" t="s">
        <v>13917</v>
      </c>
      <c r="F3581" s="175">
        <v>42035</v>
      </c>
      <c r="G3581" s="257"/>
      <c r="H3581" s="258" t="s">
        <v>461</v>
      </c>
      <c r="I3581" s="258"/>
      <c r="J3581" s="912" t="s">
        <v>2755</v>
      </c>
      <c r="K3581" s="259" t="s">
        <v>13918</v>
      </c>
      <c r="L3581" s="259" t="s">
        <v>461</v>
      </c>
      <c r="M3581" s="259"/>
      <c r="N3581" s="259" t="s">
        <v>7800</v>
      </c>
      <c r="O3581" s="259"/>
      <c r="P3581" s="255"/>
      <c r="Q3581" s="259" t="s">
        <v>11587</v>
      </c>
      <c r="R3581" s="260" t="s">
        <v>13753</v>
      </c>
      <c r="S3581" s="401"/>
      <c r="T3581" s="255"/>
      <c r="U3581" s="255"/>
      <c r="V3581" s="255"/>
      <c r="W3581" s="341" t="s">
        <v>13917</v>
      </c>
      <c r="X3581" s="676" t="s">
        <v>13943</v>
      </c>
      <c r="Y3581" s="381"/>
      <c r="Z3581" s="382"/>
      <c r="AA3581" s="382"/>
      <c r="AB3581" s="145">
        <f t="shared" ca="1" si="86"/>
        <v>0.79740786767966931</v>
      </c>
      <c r="AC3581" s="840"/>
      <c r="AD3581" s="841"/>
      <c r="AE3581" s="961"/>
      <c r="AF3581" s="933">
        <f>IF(X3581=X3580,AF3580,0)+IF(ISNUMBER(I3581),IF(I3581&lt;1,I3581,I3581*VLOOKUP(J3581,Summary!$H$2:$I$9,2)),VLOOKUP(J3581,Summary!$J$2:$K$9,2)*IF(ISNUMBER(H3581),H3581,1))</f>
        <v>3.4722222222222224E-2</v>
      </c>
      <c r="AG3581" s="305">
        <v>3580</v>
      </c>
      <c r="AH3581" s="122"/>
      <c r="AI3581" s="122"/>
      <c r="AJ3581" s="146"/>
    </row>
    <row r="3582" spans="1:36" s="147" customFormat="1" ht="12" customHeight="1" x14ac:dyDescent="0.25">
      <c r="A3582" s="578" t="s">
        <v>13977</v>
      </c>
      <c r="B3582" s="579" t="s">
        <v>13766</v>
      </c>
      <c r="C3582" s="578">
        <v>40</v>
      </c>
      <c r="D3582" s="580" t="s">
        <v>13919</v>
      </c>
      <c r="E3582" s="341" t="s">
        <v>13920</v>
      </c>
      <c r="F3582" s="175">
        <v>42035</v>
      </c>
      <c r="G3582" s="257"/>
      <c r="H3582" s="258" t="s">
        <v>461</v>
      </c>
      <c r="I3582" s="258"/>
      <c r="J3582" s="912" t="s">
        <v>2755</v>
      </c>
      <c r="K3582" s="259" t="s">
        <v>13921</v>
      </c>
      <c r="L3582" s="259" t="s">
        <v>461</v>
      </c>
      <c r="M3582" s="259"/>
      <c r="N3582" s="259" t="s">
        <v>7800</v>
      </c>
      <c r="O3582" s="259"/>
      <c r="P3582" s="255"/>
      <c r="Q3582" s="259" t="s">
        <v>11587</v>
      </c>
      <c r="R3582" s="260" t="s">
        <v>13753</v>
      </c>
      <c r="S3582" s="401"/>
      <c r="T3582" s="255"/>
      <c r="U3582" s="255"/>
      <c r="V3582" s="255"/>
      <c r="W3582" s="341" t="s">
        <v>13920</v>
      </c>
      <c r="X3582" s="676" t="s">
        <v>13943</v>
      </c>
      <c r="Y3582" s="381"/>
      <c r="Z3582" s="382"/>
      <c r="AA3582" s="382"/>
      <c r="AB3582" s="145">
        <f t="shared" ca="1" si="86"/>
        <v>0.48764260428191286</v>
      </c>
      <c r="AC3582" s="840"/>
      <c r="AD3582" s="841"/>
      <c r="AE3582" s="961"/>
      <c r="AF3582" s="933">
        <f>IF(X3582=X3581,AF3581,0)+IF(ISNUMBER(I3582),IF(I3582&lt;1,I3582,I3582*VLOOKUP(J3582,Summary!$H$2:$I$9,2)),VLOOKUP(J3582,Summary!$J$2:$K$9,2)*IF(ISNUMBER(H3582),H3582,1))</f>
        <v>5.2083333333333336E-2</v>
      </c>
      <c r="AG3582" s="305">
        <v>3581</v>
      </c>
      <c r="AH3582" s="122"/>
      <c r="AI3582" s="122"/>
      <c r="AJ3582" s="146"/>
    </row>
    <row r="3583" spans="1:36" s="147" customFormat="1" ht="12" customHeight="1" x14ac:dyDescent="0.25">
      <c r="A3583" s="578" t="s">
        <v>13977</v>
      </c>
      <c r="B3583" s="579" t="s">
        <v>13766</v>
      </c>
      <c r="C3583" s="578">
        <v>41</v>
      </c>
      <c r="D3583" s="580" t="s">
        <v>13922</v>
      </c>
      <c r="E3583" s="341" t="s">
        <v>13923</v>
      </c>
      <c r="F3583" s="175">
        <v>42035</v>
      </c>
      <c r="G3583" s="257"/>
      <c r="H3583" s="258" t="s">
        <v>461</v>
      </c>
      <c r="I3583" s="258"/>
      <c r="J3583" s="912" t="s">
        <v>2755</v>
      </c>
      <c r="K3583" s="259" t="s">
        <v>11878</v>
      </c>
      <c r="L3583" s="259" t="s">
        <v>461</v>
      </c>
      <c r="M3583" s="259"/>
      <c r="N3583" s="259" t="s">
        <v>7800</v>
      </c>
      <c r="O3583" s="259"/>
      <c r="P3583" s="255"/>
      <c r="Q3583" s="259" t="s">
        <v>11587</v>
      </c>
      <c r="R3583" s="260" t="s">
        <v>13753</v>
      </c>
      <c r="S3583" s="401"/>
      <c r="T3583" s="255"/>
      <c r="U3583" s="255"/>
      <c r="V3583" s="255"/>
      <c r="W3583" s="341" t="s">
        <v>13923</v>
      </c>
      <c r="X3583" s="676" t="s">
        <v>13943</v>
      </c>
      <c r="Y3583" s="381"/>
      <c r="Z3583" s="382"/>
      <c r="AA3583" s="382"/>
      <c r="AB3583" s="145">
        <f t="shared" ca="1" si="86"/>
        <v>0.35595458441656158</v>
      </c>
      <c r="AC3583" s="840"/>
      <c r="AD3583" s="841"/>
      <c r="AE3583" s="961"/>
      <c r="AF3583" s="933">
        <f>IF(X3583=X3582,AF3582,0)+IF(ISNUMBER(I3583),IF(I3583&lt;1,I3583,I3583*VLOOKUP(J3583,Summary!$H$2:$I$9,2)),VLOOKUP(J3583,Summary!$J$2:$K$9,2)*IF(ISNUMBER(H3583),H3583,1))</f>
        <v>6.9444444444444448E-2</v>
      </c>
      <c r="AG3583" s="305">
        <v>3582</v>
      </c>
      <c r="AH3583" s="122"/>
      <c r="AI3583" s="122"/>
      <c r="AJ3583" s="146"/>
    </row>
    <row r="3584" spans="1:36" s="147" customFormat="1" ht="12" customHeight="1" x14ac:dyDescent="0.25">
      <c r="A3584" s="578" t="s">
        <v>13977</v>
      </c>
      <c r="B3584" s="579" t="s">
        <v>13766</v>
      </c>
      <c r="C3584" s="578">
        <v>42</v>
      </c>
      <c r="D3584" s="580" t="s">
        <v>13924</v>
      </c>
      <c r="E3584" s="341" t="s">
        <v>13925</v>
      </c>
      <c r="F3584" s="175">
        <v>42035</v>
      </c>
      <c r="G3584" s="257"/>
      <c r="H3584" s="258" t="s">
        <v>461</v>
      </c>
      <c r="I3584" s="258"/>
      <c r="J3584" s="912" t="s">
        <v>2755</v>
      </c>
      <c r="K3584" s="259" t="s">
        <v>13926</v>
      </c>
      <c r="L3584" s="259" t="s">
        <v>461</v>
      </c>
      <c r="M3584" s="259"/>
      <c r="N3584" s="259" t="s">
        <v>7800</v>
      </c>
      <c r="O3584" s="259"/>
      <c r="P3584" s="255"/>
      <c r="Q3584" s="259" t="s">
        <v>11587</v>
      </c>
      <c r="R3584" s="260" t="s">
        <v>13753</v>
      </c>
      <c r="S3584" s="401"/>
      <c r="T3584" s="255"/>
      <c r="U3584" s="255"/>
      <c r="V3584" s="255"/>
      <c r="W3584" s="341" t="s">
        <v>13925</v>
      </c>
      <c r="X3584" s="676" t="s">
        <v>13943</v>
      </c>
      <c r="Y3584" s="381"/>
      <c r="Z3584" s="382"/>
      <c r="AA3584" s="382"/>
      <c r="AB3584" s="145">
        <f t="shared" ca="1" si="86"/>
        <v>0.39265794342999438</v>
      </c>
      <c r="AC3584" s="840"/>
      <c r="AD3584" s="841"/>
      <c r="AE3584" s="961"/>
      <c r="AF3584" s="933">
        <f>IF(X3584=X3583,AF3583,0)+IF(ISNUMBER(I3584),IF(I3584&lt;1,I3584,I3584*VLOOKUP(J3584,Summary!$H$2:$I$9,2)),VLOOKUP(J3584,Summary!$J$2:$K$9,2)*IF(ISNUMBER(H3584),H3584,1))</f>
        <v>8.6805555555555552E-2</v>
      </c>
      <c r="AG3584" s="305">
        <v>3583</v>
      </c>
      <c r="AH3584" s="122"/>
      <c r="AI3584" s="122"/>
      <c r="AJ3584" s="146"/>
    </row>
    <row r="3585" spans="1:36" s="147" customFormat="1" ht="12" customHeight="1" x14ac:dyDescent="0.25">
      <c r="A3585" s="578" t="s">
        <v>13977</v>
      </c>
      <c r="B3585" s="579" t="s">
        <v>13766</v>
      </c>
      <c r="C3585" s="578">
        <v>43</v>
      </c>
      <c r="D3585" s="580" t="s">
        <v>13927</v>
      </c>
      <c r="E3585" s="341" t="s">
        <v>13928</v>
      </c>
      <c r="F3585" s="175">
        <v>42035</v>
      </c>
      <c r="G3585" s="257"/>
      <c r="H3585" s="258" t="s">
        <v>461</v>
      </c>
      <c r="I3585" s="258"/>
      <c r="J3585" s="912" t="s">
        <v>2755</v>
      </c>
      <c r="K3585" s="259" t="s">
        <v>3212</v>
      </c>
      <c r="L3585" s="259" t="s">
        <v>461</v>
      </c>
      <c r="M3585" s="259"/>
      <c r="N3585" s="259" t="s">
        <v>7800</v>
      </c>
      <c r="O3585" s="259"/>
      <c r="P3585" s="255"/>
      <c r="Q3585" s="259" t="s">
        <v>11587</v>
      </c>
      <c r="R3585" s="260" t="s">
        <v>13753</v>
      </c>
      <c r="S3585" s="401"/>
      <c r="T3585" s="255"/>
      <c r="U3585" s="255"/>
      <c r="V3585" s="255"/>
      <c r="W3585" s="341" t="s">
        <v>13928</v>
      </c>
      <c r="X3585" s="676" t="s">
        <v>13943</v>
      </c>
      <c r="Y3585" s="381"/>
      <c r="Z3585" s="382"/>
      <c r="AA3585" s="382"/>
      <c r="AB3585" s="145">
        <f t="shared" ca="1" si="86"/>
        <v>0.2601383771513669</v>
      </c>
      <c r="AC3585" s="840"/>
      <c r="AD3585" s="841"/>
      <c r="AE3585" s="961"/>
      <c r="AF3585" s="933">
        <f>IF(X3585=X3584,AF3584,0)+IF(ISNUMBER(I3585),IF(I3585&lt;1,I3585,I3585*VLOOKUP(J3585,Summary!$H$2:$I$9,2)),VLOOKUP(J3585,Summary!$J$2:$K$9,2)*IF(ISNUMBER(H3585),H3585,1))</f>
        <v>0.10416666666666666</v>
      </c>
      <c r="AG3585" s="305">
        <v>3584</v>
      </c>
      <c r="AH3585" s="122"/>
      <c r="AI3585" s="122"/>
      <c r="AJ3585" s="146"/>
    </row>
    <row r="3586" spans="1:36" s="147" customFormat="1" ht="12" customHeight="1" x14ac:dyDescent="0.25">
      <c r="A3586" s="578" t="s">
        <v>13977</v>
      </c>
      <c r="B3586" s="579" t="s">
        <v>13766</v>
      </c>
      <c r="C3586" s="578">
        <v>44</v>
      </c>
      <c r="D3586" s="580" t="s">
        <v>13929</v>
      </c>
      <c r="E3586" s="341" t="s">
        <v>13930</v>
      </c>
      <c r="F3586" s="175">
        <v>42035</v>
      </c>
      <c r="G3586" s="257"/>
      <c r="H3586" s="258" t="s">
        <v>461</v>
      </c>
      <c r="I3586" s="258"/>
      <c r="J3586" s="912" t="s">
        <v>2755</v>
      </c>
      <c r="K3586" s="259" t="s">
        <v>13931</v>
      </c>
      <c r="L3586" s="259" t="s">
        <v>461</v>
      </c>
      <c r="M3586" s="259"/>
      <c r="N3586" s="259" t="s">
        <v>7800</v>
      </c>
      <c r="O3586" s="259"/>
      <c r="P3586" s="255"/>
      <c r="Q3586" s="259" t="s">
        <v>11587</v>
      </c>
      <c r="R3586" s="260" t="s">
        <v>13753</v>
      </c>
      <c r="S3586" s="401"/>
      <c r="T3586" s="255"/>
      <c r="U3586" s="255"/>
      <c r="V3586" s="255"/>
      <c r="W3586" s="341" t="s">
        <v>13930</v>
      </c>
      <c r="X3586" s="676" t="s">
        <v>13943</v>
      </c>
      <c r="Y3586" s="381"/>
      <c r="Z3586" s="382"/>
      <c r="AA3586" s="382"/>
      <c r="AB3586" s="145">
        <f t="shared" ref="AB3586:AB3649" ca="1" si="91">RAND()</f>
        <v>0.25588763412546556</v>
      </c>
      <c r="AC3586" s="840"/>
      <c r="AD3586" s="841"/>
      <c r="AE3586" s="961"/>
      <c r="AF3586" s="933">
        <f>IF(X3586=X3585,AF3585,0)+IF(ISNUMBER(I3586),IF(I3586&lt;1,I3586,I3586*VLOOKUP(J3586,Summary!$H$2:$I$9,2)),VLOOKUP(J3586,Summary!$J$2:$K$9,2)*IF(ISNUMBER(H3586),H3586,1))</f>
        <v>0.12152777777777776</v>
      </c>
      <c r="AG3586" s="305">
        <v>3585</v>
      </c>
      <c r="AH3586" s="122"/>
      <c r="AI3586" s="122"/>
      <c r="AJ3586" s="146"/>
    </row>
    <row r="3587" spans="1:36" s="147" customFormat="1" ht="12" customHeight="1" x14ac:dyDescent="0.25">
      <c r="A3587" s="578" t="s">
        <v>13977</v>
      </c>
      <c r="B3587" s="579" t="s">
        <v>13766</v>
      </c>
      <c r="C3587" s="578">
        <v>45</v>
      </c>
      <c r="D3587" s="580" t="s">
        <v>13932</v>
      </c>
      <c r="E3587" s="341" t="s">
        <v>13933</v>
      </c>
      <c r="F3587" s="175">
        <v>42035</v>
      </c>
      <c r="G3587" s="257"/>
      <c r="H3587" s="258" t="s">
        <v>461</v>
      </c>
      <c r="I3587" s="258"/>
      <c r="J3587" s="912" t="s">
        <v>2755</v>
      </c>
      <c r="K3587" s="259" t="s">
        <v>13934</v>
      </c>
      <c r="L3587" s="259" t="s">
        <v>461</v>
      </c>
      <c r="M3587" s="259"/>
      <c r="N3587" s="259" t="s">
        <v>7800</v>
      </c>
      <c r="O3587" s="259"/>
      <c r="P3587" s="255"/>
      <c r="Q3587" s="259" t="s">
        <v>11587</v>
      </c>
      <c r="R3587" s="260" t="s">
        <v>13753</v>
      </c>
      <c r="S3587" s="401"/>
      <c r="T3587" s="255"/>
      <c r="U3587" s="255"/>
      <c r="V3587" s="255"/>
      <c r="W3587" s="341" t="s">
        <v>13933</v>
      </c>
      <c r="X3587" s="676" t="s">
        <v>13943</v>
      </c>
      <c r="Y3587" s="381"/>
      <c r="Z3587" s="382"/>
      <c r="AA3587" s="382"/>
      <c r="AB3587" s="145">
        <f t="shared" ca="1" si="91"/>
        <v>0.70028206886996824</v>
      </c>
      <c r="AC3587" s="840"/>
      <c r="AD3587" s="841"/>
      <c r="AE3587" s="961"/>
      <c r="AF3587" s="933">
        <f>IF(X3587=X3586,AF3586,0)+IF(ISNUMBER(I3587),IF(I3587&lt;1,I3587,I3587*VLOOKUP(J3587,Summary!$H$2:$I$9,2)),VLOOKUP(J3587,Summary!$J$2:$K$9,2)*IF(ISNUMBER(H3587),H3587,1))</f>
        <v>0.13888888888888887</v>
      </c>
      <c r="AG3587" s="305">
        <v>3586</v>
      </c>
      <c r="AH3587" s="122"/>
      <c r="AI3587" s="122"/>
      <c r="AJ3587" s="146"/>
    </row>
    <row r="3588" spans="1:36" s="1" customFormat="1" ht="12" customHeight="1" x14ac:dyDescent="0.25">
      <c r="A3588" s="578" t="s">
        <v>13977</v>
      </c>
      <c r="B3588" s="579" t="s">
        <v>13766</v>
      </c>
      <c r="C3588" s="578">
        <v>46</v>
      </c>
      <c r="D3588" s="580" t="s">
        <v>13935</v>
      </c>
      <c r="E3588" s="341" t="s">
        <v>13936</v>
      </c>
      <c r="F3588" s="175">
        <v>42035</v>
      </c>
      <c r="G3588" s="257"/>
      <c r="H3588" s="258" t="s">
        <v>461</v>
      </c>
      <c r="I3588" s="258"/>
      <c r="J3588" s="912" t="s">
        <v>2755</v>
      </c>
      <c r="K3588" s="259" t="s">
        <v>3787</v>
      </c>
      <c r="L3588" s="259" t="s">
        <v>461</v>
      </c>
      <c r="M3588" s="259"/>
      <c r="N3588" s="259" t="s">
        <v>7800</v>
      </c>
      <c r="O3588" s="259"/>
      <c r="P3588" s="255"/>
      <c r="Q3588" s="259" t="s">
        <v>11587</v>
      </c>
      <c r="R3588" s="260" t="s">
        <v>13753</v>
      </c>
      <c r="S3588" s="401"/>
      <c r="T3588" s="255"/>
      <c r="U3588" s="255"/>
      <c r="V3588" s="255"/>
      <c r="W3588" s="341" t="s">
        <v>13936</v>
      </c>
      <c r="X3588" s="676" t="s">
        <v>13943</v>
      </c>
      <c r="Y3588" s="381"/>
      <c r="Z3588" s="382"/>
      <c r="AA3588" s="382"/>
      <c r="AB3588" s="145">
        <f t="shared" ca="1" si="91"/>
        <v>0.26624807583889831</v>
      </c>
      <c r="AC3588" s="840"/>
      <c r="AD3588" s="841"/>
      <c r="AE3588" s="961"/>
      <c r="AF3588" s="933">
        <f>IF(X3588=X3587,AF3587,0)+IF(ISNUMBER(I3588),IF(I3588&lt;1,I3588,I3588*VLOOKUP(J3588,Summary!$H$2:$I$9,2)),VLOOKUP(J3588,Summary!$J$2:$K$9,2)*IF(ISNUMBER(H3588),H3588,1))</f>
        <v>0.15624999999999997</v>
      </c>
      <c r="AG3588" s="305">
        <v>3587</v>
      </c>
      <c r="AH3588" s="94"/>
      <c r="AI3588" s="94"/>
      <c r="AJ3588" s="43"/>
    </row>
    <row r="3589" spans="1:36" s="1" customFormat="1" ht="12" customHeight="1" x14ac:dyDescent="0.25">
      <c r="A3589" s="474" t="s">
        <v>13977</v>
      </c>
      <c r="B3589" s="507" t="s">
        <v>13766</v>
      </c>
      <c r="C3589" s="474">
        <v>10</v>
      </c>
      <c r="D3589" s="417" t="s">
        <v>13836</v>
      </c>
      <c r="E3589" s="316" t="s">
        <v>13843</v>
      </c>
      <c r="F3589" s="187">
        <v>42156</v>
      </c>
      <c r="G3589" s="195"/>
      <c r="H3589" s="188" t="str">
        <f>IF(J3589="Book","n/a","")</f>
        <v>n/a</v>
      </c>
      <c r="I3589" s="188">
        <v>240</v>
      </c>
      <c r="J3589" s="902" t="s">
        <v>6868</v>
      </c>
      <c r="K3589" s="162" t="s">
        <v>13848</v>
      </c>
      <c r="L3589" s="162" t="str">
        <f>IF(J3589="Book","n/a","")</f>
        <v>n/a</v>
      </c>
      <c r="M3589" s="162"/>
      <c r="N3589" s="162"/>
      <c r="O3589" s="162"/>
      <c r="P3589" s="178" t="s">
        <v>13850</v>
      </c>
      <c r="Q3589" s="162" t="s">
        <v>11587</v>
      </c>
      <c r="R3589" s="189" t="s">
        <v>13754</v>
      </c>
      <c r="S3589" s="366"/>
      <c r="T3589" s="178"/>
      <c r="U3589" s="178"/>
      <c r="V3589" s="178"/>
      <c r="W3589" s="316" t="s">
        <v>13843</v>
      </c>
      <c r="X3589" s="648" t="s">
        <v>13943</v>
      </c>
      <c r="Y3589" s="356"/>
      <c r="Z3589" s="272"/>
      <c r="AA3589" s="272"/>
      <c r="AB3589" s="34">
        <f t="shared" ca="1" si="91"/>
        <v>0.24387688809015762</v>
      </c>
      <c r="AC3589" s="814"/>
      <c r="AD3589" s="815"/>
      <c r="AE3589" s="942"/>
      <c r="AF3589" s="923">
        <f>IF(X3589=X3588,AF3588,0)+IF(ISNUMBER(I3589),IF(I3589&lt;1,I3589,I3589*VLOOKUP(J3589,Summary!$H$2:$I$9,2)),VLOOKUP(J3589,Summary!$J$2:$K$9,2)*IF(ISNUMBER(H3589),H3589,1))</f>
        <v>0.32291666666666663</v>
      </c>
      <c r="AG3589" s="291">
        <v>3588</v>
      </c>
      <c r="AH3589" s="94"/>
      <c r="AI3589" s="94"/>
      <c r="AJ3589" s="43"/>
    </row>
    <row r="3590" spans="1:36" s="2" customFormat="1" ht="12" customHeight="1" x14ac:dyDescent="0.25">
      <c r="A3590" s="474" t="s">
        <v>13977</v>
      </c>
      <c r="B3590" s="507" t="s">
        <v>13766</v>
      </c>
      <c r="C3590" s="474">
        <v>11</v>
      </c>
      <c r="D3590" s="417" t="s">
        <v>13840</v>
      </c>
      <c r="E3590" s="316" t="s">
        <v>13844</v>
      </c>
      <c r="F3590" s="195">
        <v>42752</v>
      </c>
      <c r="G3590" s="195"/>
      <c r="H3590" s="188" t="str">
        <f>IF(J3590="Book","n/a","")</f>
        <v>n/a</v>
      </c>
      <c r="I3590" s="188">
        <v>228</v>
      </c>
      <c r="J3590" s="902" t="s">
        <v>6868</v>
      </c>
      <c r="K3590" s="162" t="s">
        <v>11638</v>
      </c>
      <c r="L3590" s="162" t="str">
        <f>IF(J3590="Book","n/a","")</f>
        <v>n/a</v>
      </c>
      <c r="M3590" s="162"/>
      <c r="N3590" s="162"/>
      <c r="O3590" s="162"/>
      <c r="P3590" s="178"/>
      <c r="Q3590" s="162" t="s">
        <v>11587</v>
      </c>
      <c r="R3590" s="189" t="s">
        <v>13754</v>
      </c>
      <c r="S3590" s="366"/>
      <c r="T3590" s="178"/>
      <c r="U3590" s="178"/>
      <c r="V3590" s="178"/>
      <c r="W3590" s="316" t="s">
        <v>13844</v>
      </c>
      <c r="X3590" s="648" t="s">
        <v>13943</v>
      </c>
      <c r="Y3590" s="356"/>
      <c r="Z3590" s="272"/>
      <c r="AA3590" s="272"/>
      <c r="AB3590" s="34">
        <f t="shared" ca="1" si="91"/>
        <v>0.97425601124101169</v>
      </c>
      <c r="AC3590" s="814"/>
      <c r="AD3590" s="815"/>
      <c r="AE3590" s="942"/>
      <c r="AF3590" s="923">
        <f>IF(X3590=X3589,AF3589,0)+IF(ISNUMBER(I3590),IF(I3590&lt;1,I3590,I3590*VLOOKUP(J3590,Summary!$H$2:$I$9,2)),VLOOKUP(J3590,Summary!$J$2:$K$9,2)*IF(ISNUMBER(H3590),H3590,1))</f>
        <v>0.48124999999999996</v>
      </c>
      <c r="AG3590" s="291">
        <v>3589</v>
      </c>
      <c r="AH3590" s="94"/>
      <c r="AI3590" s="94"/>
    </row>
    <row r="3591" spans="1:36" s="1" customFormat="1" ht="12" customHeight="1" x14ac:dyDescent="0.25">
      <c r="A3591" s="474" t="s">
        <v>13977</v>
      </c>
      <c r="B3591" s="507" t="s">
        <v>13766</v>
      </c>
      <c r="C3591" s="474">
        <v>12</v>
      </c>
      <c r="D3591" s="417" t="s">
        <v>13839</v>
      </c>
      <c r="E3591" s="316" t="s">
        <v>13845</v>
      </c>
      <c r="F3591" s="195">
        <v>43064</v>
      </c>
      <c r="G3591" s="195"/>
      <c r="H3591" s="188" t="str">
        <f>IF(J3591="Book","n/a","")</f>
        <v>n/a</v>
      </c>
      <c r="I3591" s="188">
        <v>204</v>
      </c>
      <c r="J3591" s="902" t="s">
        <v>6868</v>
      </c>
      <c r="K3591" s="162" t="s">
        <v>4131</v>
      </c>
      <c r="L3591" s="162" t="str">
        <f>IF(J3591="Book","n/a","")</f>
        <v>n/a</v>
      </c>
      <c r="M3591" s="162"/>
      <c r="N3591" s="162"/>
      <c r="O3591" s="162"/>
      <c r="P3591" s="178"/>
      <c r="Q3591" s="162" t="s">
        <v>11587</v>
      </c>
      <c r="R3591" s="189" t="s">
        <v>13754</v>
      </c>
      <c r="S3591" s="366"/>
      <c r="T3591" s="178"/>
      <c r="U3591" s="178"/>
      <c r="V3591" s="178"/>
      <c r="W3591" s="316" t="s">
        <v>13845</v>
      </c>
      <c r="X3591" s="648" t="s">
        <v>13943</v>
      </c>
      <c r="Y3591" s="356"/>
      <c r="Z3591" s="272"/>
      <c r="AA3591" s="272"/>
      <c r="AB3591" s="34">
        <f t="shared" ca="1" si="91"/>
        <v>0.58190476988263784</v>
      </c>
      <c r="AC3591" s="814"/>
      <c r="AD3591" s="815"/>
      <c r="AE3591" s="942"/>
      <c r="AF3591" s="923">
        <f>IF(X3591=X3590,AF3590,0)+IF(ISNUMBER(I3591),IF(I3591&lt;1,I3591,I3591*VLOOKUP(J3591,Summary!$H$2:$I$9,2)),VLOOKUP(J3591,Summary!$J$2:$K$9,2)*IF(ISNUMBER(H3591),H3591,1))</f>
        <v>0.62291666666666656</v>
      </c>
      <c r="AG3591" s="291">
        <v>3590</v>
      </c>
      <c r="AH3591" s="94"/>
      <c r="AI3591" s="94"/>
      <c r="AJ3591" s="43"/>
    </row>
    <row r="3592" spans="1:36" s="43" customFormat="1" ht="12" customHeight="1" x14ac:dyDescent="0.25">
      <c r="A3592" s="578" t="s">
        <v>13977</v>
      </c>
      <c r="B3592" s="579" t="s">
        <v>13766</v>
      </c>
      <c r="C3592" s="578">
        <v>47</v>
      </c>
      <c r="D3592" s="580" t="s">
        <v>13937</v>
      </c>
      <c r="E3592" s="341" t="s">
        <v>13938</v>
      </c>
      <c r="F3592" s="175">
        <v>43125</v>
      </c>
      <c r="G3592" s="257"/>
      <c r="H3592" s="258" t="s">
        <v>461</v>
      </c>
      <c r="I3592" s="258"/>
      <c r="J3592" s="912" t="s">
        <v>2755</v>
      </c>
      <c r="K3592" s="259" t="s">
        <v>4738</v>
      </c>
      <c r="L3592" s="259" t="s">
        <v>461</v>
      </c>
      <c r="M3592" s="259"/>
      <c r="N3592" s="259" t="s">
        <v>4738</v>
      </c>
      <c r="O3592" s="259"/>
      <c r="P3592" s="255" t="s">
        <v>13976</v>
      </c>
      <c r="Q3592" s="259" t="s">
        <v>11587</v>
      </c>
      <c r="R3592" s="260" t="s">
        <v>13753</v>
      </c>
      <c r="S3592" s="401"/>
      <c r="T3592" s="255"/>
      <c r="U3592" s="255"/>
      <c r="V3592" s="255"/>
      <c r="W3592" s="341" t="s">
        <v>13938</v>
      </c>
      <c r="X3592" s="676" t="s">
        <v>13943</v>
      </c>
      <c r="Y3592" s="381"/>
      <c r="Z3592" s="382"/>
      <c r="AA3592" s="382"/>
      <c r="AB3592" s="145">
        <f t="shared" ca="1" si="91"/>
        <v>0.55230632940173396</v>
      </c>
      <c r="AC3592" s="840"/>
      <c r="AD3592" s="841"/>
      <c r="AE3592" s="961"/>
      <c r="AF3592" s="933">
        <f>IF(X3592=X3591,AF3591,0)+IF(ISNUMBER(I3592),IF(I3592&lt;1,I3592,I3592*VLOOKUP(J3592,Summary!$H$2:$I$9,2)),VLOOKUP(J3592,Summary!$J$2:$K$9,2)*IF(ISNUMBER(H3592),H3592,1))</f>
        <v>0.64027777777777772</v>
      </c>
      <c r="AG3592" s="305">
        <v>3591</v>
      </c>
      <c r="AH3592" s="94"/>
      <c r="AI3592" s="94"/>
      <c r="AJ3592" s="2"/>
    </row>
    <row r="3593" spans="1:36" s="43" customFormat="1" ht="12" customHeight="1" x14ac:dyDescent="0.25">
      <c r="A3593" s="578" t="s">
        <v>13977</v>
      </c>
      <c r="B3593" s="579" t="s">
        <v>13766</v>
      </c>
      <c r="C3593" s="578">
        <v>48</v>
      </c>
      <c r="D3593" s="580" t="s">
        <v>13939</v>
      </c>
      <c r="E3593" s="341" t="s">
        <v>13940</v>
      </c>
      <c r="F3593" s="175">
        <v>43125</v>
      </c>
      <c r="G3593" s="257"/>
      <c r="H3593" s="258" t="s">
        <v>461</v>
      </c>
      <c r="I3593" s="258"/>
      <c r="J3593" s="912" t="s">
        <v>2755</v>
      </c>
      <c r="K3593" s="259" t="s">
        <v>13941</v>
      </c>
      <c r="L3593" s="259" t="s">
        <v>461</v>
      </c>
      <c r="M3593" s="259"/>
      <c r="N3593" s="259" t="s">
        <v>4738</v>
      </c>
      <c r="O3593" s="259"/>
      <c r="P3593" s="255" t="s">
        <v>13976</v>
      </c>
      <c r="Q3593" s="259" t="s">
        <v>11587</v>
      </c>
      <c r="R3593" s="260" t="s">
        <v>13753</v>
      </c>
      <c r="S3593" s="401"/>
      <c r="T3593" s="255"/>
      <c r="U3593" s="255"/>
      <c r="V3593" s="255"/>
      <c r="W3593" s="341" t="s">
        <v>13940</v>
      </c>
      <c r="X3593" s="676" t="s">
        <v>13943</v>
      </c>
      <c r="Y3593" s="381"/>
      <c r="Z3593" s="382"/>
      <c r="AA3593" s="382"/>
      <c r="AB3593" s="145">
        <f t="shared" ca="1" si="91"/>
        <v>0.74374919588347488</v>
      </c>
      <c r="AC3593" s="840"/>
      <c r="AD3593" s="841"/>
      <c r="AE3593" s="961"/>
      <c r="AF3593" s="933">
        <f>IF(X3593=X3592,AF3592,0)+IF(ISNUMBER(I3593),IF(I3593&lt;1,I3593,I3593*VLOOKUP(J3593,Summary!$H$2:$I$9,2)),VLOOKUP(J3593,Summary!$J$2:$K$9,2)*IF(ISNUMBER(H3593),H3593,1))</f>
        <v>0.65763888888888888</v>
      </c>
      <c r="AG3593" s="305">
        <v>3592</v>
      </c>
      <c r="AH3593" s="94"/>
      <c r="AI3593" s="94"/>
      <c r="AJ3593" s="22"/>
    </row>
    <row r="3594" spans="1:36" s="43" customFormat="1" ht="12" customHeight="1" x14ac:dyDescent="0.25">
      <c r="A3594" s="578" t="s">
        <v>13977</v>
      </c>
      <c r="B3594" s="579" t="s">
        <v>13766</v>
      </c>
      <c r="C3594" s="578">
        <v>49</v>
      </c>
      <c r="D3594" s="580" t="s">
        <v>13942</v>
      </c>
      <c r="E3594" s="341" t="s">
        <v>13943</v>
      </c>
      <c r="F3594" s="175">
        <v>43125</v>
      </c>
      <c r="G3594" s="257"/>
      <c r="H3594" s="258" t="s">
        <v>461</v>
      </c>
      <c r="I3594" s="258"/>
      <c r="J3594" s="912" t="s">
        <v>2755</v>
      </c>
      <c r="K3594" s="259" t="s">
        <v>13848</v>
      </c>
      <c r="L3594" s="259" t="s">
        <v>461</v>
      </c>
      <c r="M3594" s="259"/>
      <c r="N3594" s="259" t="s">
        <v>4738</v>
      </c>
      <c r="O3594" s="259"/>
      <c r="P3594" s="255" t="s">
        <v>13976</v>
      </c>
      <c r="Q3594" s="259" t="s">
        <v>11587</v>
      </c>
      <c r="R3594" s="260" t="s">
        <v>13753</v>
      </c>
      <c r="S3594" s="401"/>
      <c r="T3594" s="255"/>
      <c r="U3594" s="255"/>
      <c r="V3594" s="255"/>
      <c r="W3594" s="341" t="s">
        <v>13943</v>
      </c>
      <c r="X3594" s="676" t="s">
        <v>13943</v>
      </c>
      <c r="Y3594" s="381"/>
      <c r="Z3594" s="382"/>
      <c r="AA3594" s="382"/>
      <c r="AB3594" s="145">
        <f t="shared" ca="1" si="91"/>
        <v>7.5146078071091749E-2</v>
      </c>
      <c r="AC3594" s="840"/>
      <c r="AD3594" s="841"/>
      <c r="AE3594" s="961"/>
      <c r="AF3594" s="933">
        <f>IF(X3594=X3593,AF3593,0)+IF(ISNUMBER(I3594),IF(I3594&lt;1,I3594,I3594*VLOOKUP(J3594,Summary!$H$2:$I$9,2)),VLOOKUP(J3594,Summary!$J$2:$K$9,2)*IF(ISNUMBER(H3594),H3594,1))</f>
        <v>0.67500000000000004</v>
      </c>
      <c r="AG3594" s="305">
        <v>3593</v>
      </c>
      <c r="AH3594" s="94"/>
      <c r="AI3594" s="94"/>
      <c r="AJ3594" s="2"/>
    </row>
    <row r="3595" spans="1:36" s="2" customFormat="1" ht="12" customHeight="1" x14ac:dyDescent="0.25">
      <c r="A3595" s="578" t="s">
        <v>13977</v>
      </c>
      <c r="B3595" s="579" t="s">
        <v>13766</v>
      </c>
      <c r="C3595" s="578">
        <v>50</v>
      </c>
      <c r="D3595" s="580" t="s">
        <v>13944</v>
      </c>
      <c r="E3595" s="341" t="s">
        <v>13945</v>
      </c>
      <c r="F3595" s="175">
        <v>43125</v>
      </c>
      <c r="G3595" s="257"/>
      <c r="H3595" s="258" t="s">
        <v>461</v>
      </c>
      <c r="I3595" s="258"/>
      <c r="J3595" s="912" t="s">
        <v>2755</v>
      </c>
      <c r="K3595" s="259" t="s">
        <v>3324</v>
      </c>
      <c r="L3595" s="259" t="s">
        <v>461</v>
      </c>
      <c r="M3595" s="259"/>
      <c r="N3595" s="259" t="s">
        <v>4738</v>
      </c>
      <c r="O3595" s="259"/>
      <c r="P3595" s="255" t="s">
        <v>13976</v>
      </c>
      <c r="Q3595" s="259" t="s">
        <v>11587</v>
      </c>
      <c r="R3595" s="260" t="s">
        <v>13753</v>
      </c>
      <c r="S3595" s="401"/>
      <c r="T3595" s="255"/>
      <c r="U3595" s="255"/>
      <c r="V3595" s="255"/>
      <c r="W3595" s="341" t="s">
        <v>13945</v>
      </c>
      <c r="X3595" s="676" t="s">
        <v>13943</v>
      </c>
      <c r="Y3595" s="381"/>
      <c r="Z3595" s="382"/>
      <c r="AA3595" s="382"/>
      <c r="AB3595" s="145">
        <f t="shared" ca="1" si="91"/>
        <v>0.71209964517654001</v>
      </c>
      <c r="AC3595" s="840"/>
      <c r="AD3595" s="841"/>
      <c r="AE3595" s="961"/>
      <c r="AF3595" s="933">
        <f>IF(X3595=X3594,AF3594,0)+IF(ISNUMBER(I3595),IF(I3595&lt;1,I3595,I3595*VLOOKUP(J3595,Summary!$H$2:$I$9,2)),VLOOKUP(J3595,Summary!$J$2:$K$9,2)*IF(ISNUMBER(H3595),H3595,1))</f>
        <v>0.6923611111111112</v>
      </c>
      <c r="AG3595" s="305">
        <v>3594</v>
      </c>
      <c r="AH3595" s="94"/>
      <c r="AI3595" s="94"/>
    </row>
    <row r="3596" spans="1:36" s="2" customFormat="1" ht="12" customHeight="1" x14ac:dyDescent="0.25">
      <c r="A3596" s="578" t="s">
        <v>13977</v>
      </c>
      <c r="B3596" s="579" t="s">
        <v>13766</v>
      </c>
      <c r="C3596" s="578">
        <v>51</v>
      </c>
      <c r="D3596" s="580" t="s">
        <v>13946</v>
      </c>
      <c r="E3596" s="341" t="s">
        <v>13947</v>
      </c>
      <c r="F3596" s="175">
        <v>43125</v>
      </c>
      <c r="G3596" s="257"/>
      <c r="H3596" s="258" t="s">
        <v>461</v>
      </c>
      <c r="I3596" s="258"/>
      <c r="J3596" s="912" t="s">
        <v>2755</v>
      </c>
      <c r="K3596" s="259" t="s">
        <v>4738</v>
      </c>
      <c r="L3596" s="259" t="s">
        <v>461</v>
      </c>
      <c r="M3596" s="259"/>
      <c r="N3596" s="259" t="s">
        <v>4738</v>
      </c>
      <c r="O3596" s="259"/>
      <c r="P3596" s="255" t="s">
        <v>13976</v>
      </c>
      <c r="Q3596" s="259" t="s">
        <v>11587</v>
      </c>
      <c r="R3596" s="260" t="s">
        <v>13753</v>
      </c>
      <c r="S3596" s="401"/>
      <c r="T3596" s="255"/>
      <c r="U3596" s="255"/>
      <c r="V3596" s="255"/>
      <c r="W3596" s="341" t="s">
        <v>13947</v>
      </c>
      <c r="X3596" s="676" t="s">
        <v>13943</v>
      </c>
      <c r="Y3596" s="381"/>
      <c r="Z3596" s="382"/>
      <c r="AA3596" s="382"/>
      <c r="AB3596" s="145">
        <f t="shared" ca="1" si="91"/>
        <v>9.0432825231079095E-2</v>
      </c>
      <c r="AC3596" s="840"/>
      <c r="AD3596" s="841"/>
      <c r="AE3596" s="961"/>
      <c r="AF3596" s="933">
        <f>IF(X3596=X3595,AF3595,0)+IF(ISNUMBER(I3596),IF(I3596&lt;1,I3596,I3596*VLOOKUP(J3596,Summary!$H$2:$I$9,2)),VLOOKUP(J3596,Summary!$J$2:$K$9,2)*IF(ISNUMBER(H3596),H3596,1))</f>
        <v>0.70972222222222237</v>
      </c>
      <c r="AG3596" s="305">
        <v>3595</v>
      </c>
      <c r="AH3596" s="94"/>
      <c r="AI3596" s="94"/>
      <c r="AJ3596" s="3"/>
    </row>
    <row r="3597" spans="1:36" s="2" customFormat="1" ht="12" customHeight="1" x14ac:dyDescent="0.25">
      <c r="A3597" s="578" t="s">
        <v>13977</v>
      </c>
      <c r="B3597" s="579" t="s">
        <v>13766</v>
      </c>
      <c r="C3597" s="578">
        <v>52</v>
      </c>
      <c r="D3597" s="580" t="s">
        <v>13948</v>
      </c>
      <c r="E3597" s="341" t="s">
        <v>13949</v>
      </c>
      <c r="F3597" s="175">
        <v>43125</v>
      </c>
      <c r="G3597" s="257"/>
      <c r="H3597" s="258" t="s">
        <v>461</v>
      </c>
      <c r="I3597" s="258"/>
      <c r="J3597" s="912" t="s">
        <v>2755</v>
      </c>
      <c r="K3597" s="259" t="s">
        <v>13950</v>
      </c>
      <c r="L3597" s="259" t="s">
        <v>461</v>
      </c>
      <c r="M3597" s="259"/>
      <c r="N3597" s="259" t="s">
        <v>4738</v>
      </c>
      <c r="O3597" s="259"/>
      <c r="P3597" s="255" t="s">
        <v>13976</v>
      </c>
      <c r="Q3597" s="259" t="s">
        <v>11587</v>
      </c>
      <c r="R3597" s="260" t="s">
        <v>13753</v>
      </c>
      <c r="S3597" s="401"/>
      <c r="T3597" s="255"/>
      <c r="U3597" s="255"/>
      <c r="V3597" s="255"/>
      <c r="W3597" s="341" t="s">
        <v>13949</v>
      </c>
      <c r="X3597" s="676" t="s">
        <v>13943</v>
      </c>
      <c r="Y3597" s="381"/>
      <c r="Z3597" s="382"/>
      <c r="AA3597" s="382"/>
      <c r="AB3597" s="145">
        <f t="shared" ca="1" si="91"/>
        <v>0.54540305413459023</v>
      </c>
      <c r="AC3597" s="840"/>
      <c r="AD3597" s="841"/>
      <c r="AE3597" s="961"/>
      <c r="AF3597" s="933">
        <f>IF(X3597=X3596,AF3596,0)+IF(ISNUMBER(I3597),IF(I3597&lt;1,I3597,I3597*VLOOKUP(J3597,Summary!$H$2:$I$9,2)),VLOOKUP(J3597,Summary!$J$2:$K$9,2)*IF(ISNUMBER(H3597),H3597,1))</f>
        <v>0.72708333333333353</v>
      </c>
      <c r="AG3597" s="305">
        <v>3596</v>
      </c>
      <c r="AH3597" s="94"/>
      <c r="AI3597" s="94"/>
    </row>
    <row r="3598" spans="1:36" s="43" customFormat="1" ht="12" customHeight="1" x14ac:dyDescent="0.25">
      <c r="A3598" s="578" t="s">
        <v>13977</v>
      </c>
      <c r="B3598" s="579" t="s">
        <v>13766</v>
      </c>
      <c r="C3598" s="578">
        <v>53</v>
      </c>
      <c r="D3598" s="580" t="s">
        <v>13951</v>
      </c>
      <c r="E3598" s="341" t="s">
        <v>13952</v>
      </c>
      <c r="F3598" s="175">
        <v>43125</v>
      </c>
      <c r="G3598" s="257"/>
      <c r="H3598" s="258" t="s">
        <v>461</v>
      </c>
      <c r="I3598" s="258"/>
      <c r="J3598" s="912" t="s">
        <v>2755</v>
      </c>
      <c r="K3598" s="259" t="s">
        <v>13953</v>
      </c>
      <c r="L3598" s="259" t="s">
        <v>461</v>
      </c>
      <c r="M3598" s="259"/>
      <c r="N3598" s="259" t="s">
        <v>4738</v>
      </c>
      <c r="O3598" s="259"/>
      <c r="P3598" s="255" t="s">
        <v>13976</v>
      </c>
      <c r="Q3598" s="259" t="s">
        <v>11587</v>
      </c>
      <c r="R3598" s="260" t="s">
        <v>13753</v>
      </c>
      <c r="S3598" s="401"/>
      <c r="T3598" s="255"/>
      <c r="U3598" s="255"/>
      <c r="V3598" s="255"/>
      <c r="W3598" s="341" t="s">
        <v>13952</v>
      </c>
      <c r="X3598" s="676" t="s">
        <v>13943</v>
      </c>
      <c r="Y3598" s="381"/>
      <c r="Z3598" s="382"/>
      <c r="AA3598" s="382"/>
      <c r="AB3598" s="145">
        <f t="shared" ca="1" si="91"/>
        <v>0.48206125341604056</v>
      </c>
      <c r="AC3598" s="840"/>
      <c r="AD3598" s="841"/>
      <c r="AE3598" s="961"/>
      <c r="AF3598" s="933">
        <f>IF(X3598=X3597,AF3597,0)+IF(ISNUMBER(I3598),IF(I3598&lt;1,I3598,I3598*VLOOKUP(J3598,Summary!$H$2:$I$9,2)),VLOOKUP(J3598,Summary!$J$2:$K$9,2)*IF(ISNUMBER(H3598),H3598,1))</f>
        <v>0.74444444444444469</v>
      </c>
      <c r="AG3598" s="305">
        <v>3597</v>
      </c>
      <c r="AH3598" s="94"/>
      <c r="AI3598" s="94"/>
      <c r="AJ3598" s="22"/>
    </row>
    <row r="3599" spans="1:36" s="43" customFormat="1" ht="12" customHeight="1" x14ac:dyDescent="0.25">
      <c r="A3599" s="578" t="s">
        <v>13977</v>
      </c>
      <c r="B3599" s="579" t="s">
        <v>13766</v>
      </c>
      <c r="C3599" s="578">
        <v>54</v>
      </c>
      <c r="D3599" s="580" t="s">
        <v>13954</v>
      </c>
      <c r="E3599" s="341" t="s">
        <v>13955</v>
      </c>
      <c r="F3599" s="175">
        <v>43125</v>
      </c>
      <c r="G3599" s="257"/>
      <c r="H3599" s="258" t="s">
        <v>461</v>
      </c>
      <c r="I3599" s="258"/>
      <c r="J3599" s="912" t="s">
        <v>2755</v>
      </c>
      <c r="K3599" s="259" t="s">
        <v>338</v>
      </c>
      <c r="L3599" s="259" t="s">
        <v>461</v>
      </c>
      <c r="M3599" s="259"/>
      <c r="N3599" s="259" t="s">
        <v>4738</v>
      </c>
      <c r="O3599" s="259"/>
      <c r="P3599" s="255" t="s">
        <v>13976</v>
      </c>
      <c r="Q3599" s="259" t="s">
        <v>11587</v>
      </c>
      <c r="R3599" s="260" t="s">
        <v>13753</v>
      </c>
      <c r="S3599" s="401"/>
      <c r="T3599" s="255"/>
      <c r="U3599" s="255"/>
      <c r="V3599" s="255"/>
      <c r="W3599" s="341" t="s">
        <v>13955</v>
      </c>
      <c r="X3599" s="676" t="s">
        <v>13943</v>
      </c>
      <c r="Y3599" s="381"/>
      <c r="Z3599" s="382"/>
      <c r="AA3599" s="382"/>
      <c r="AB3599" s="145">
        <f t="shared" ca="1" si="91"/>
        <v>0.96280362750164916</v>
      </c>
      <c r="AC3599" s="840"/>
      <c r="AD3599" s="841"/>
      <c r="AE3599" s="961"/>
      <c r="AF3599" s="933">
        <f>IF(X3599=X3598,AF3598,0)+IF(ISNUMBER(I3599),IF(I3599&lt;1,I3599,I3599*VLOOKUP(J3599,Summary!$H$2:$I$9,2)),VLOOKUP(J3599,Summary!$J$2:$K$9,2)*IF(ISNUMBER(H3599),H3599,1))</f>
        <v>0.76180555555555585</v>
      </c>
      <c r="AG3599" s="305">
        <v>3598</v>
      </c>
      <c r="AH3599" s="94"/>
      <c r="AI3599" s="94"/>
      <c r="AJ3599" s="2"/>
    </row>
    <row r="3600" spans="1:36" s="43" customFormat="1" ht="12" customHeight="1" x14ac:dyDescent="0.25">
      <c r="A3600" s="578" t="s">
        <v>13977</v>
      </c>
      <c r="B3600" s="579" t="s">
        <v>13766</v>
      </c>
      <c r="C3600" s="578">
        <v>55</v>
      </c>
      <c r="D3600" s="580" t="s">
        <v>13956</v>
      </c>
      <c r="E3600" s="341" t="s">
        <v>13957</v>
      </c>
      <c r="F3600" s="175">
        <v>43125</v>
      </c>
      <c r="G3600" s="257"/>
      <c r="H3600" s="258" t="s">
        <v>461</v>
      </c>
      <c r="I3600" s="258"/>
      <c r="J3600" s="912" t="s">
        <v>2755</v>
      </c>
      <c r="K3600" s="259" t="s">
        <v>13958</v>
      </c>
      <c r="L3600" s="259" t="s">
        <v>461</v>
      </c>
      <c r="M3600" s="259"/>
      <c r="N3600" s="259" t="s">
        <v>4738</v>
      </c>
      <c r="O3600" s="259"/>
      <c r="P3600" s="255" t="s">
        <v>13976</v>
      </c>
      <c r="Q3600" s="259" t="s">
        <v>11587</v>
      </c>
      <c r="R3600" s="260" t="s">
        <v>13753</v>
      </c>
      <c r="S3600" s="401"/>
      <c r="T3600" s="255"/>
      <c r="U3600" s="255"/>
      <c r="V3600" s="255"/>
      <c r="W3600" s="341" t="s">
        <v>13957</v>
      </c>
      <c r="X3600" s="676" t="s">
        <v>13943</v>
      </c>
      <c r="Y3600" s="381"/>
      <c r="Z3600" s="382"/>
      <c r="AA3600" s="382"/>
      <c r="AB3600" s="145">
        <f t="shared" ca="1" si="91"/>
        <v>0.10089998512443021</v>
      </c>
      <c r="AC3600" s="840"/>
      <c r="AD3600" s="841"/>
      <c r="AE3600" s="961"/>
      <c r="AF3600" s="933">
        <f>IF(X3600=X3599,AF3599,0)+IF(ISNUMBER(I3600),IF(I3600&lt;1,I3600,I3600*VLOOKUP(J3600,Summary!$H$2:$I$9,2)),VLOOKUP(J3600,Summary!$J$2:$K$9,2)*IF(ISNUMBER(H3600),H3600,1))</f>
        <v>0.77916666666666701</v>
      </c>
      <c r="AG3600" s="305">
        <v>3599</v>
      </c>
      <c r="AH3600" s="94"/>
      <c r="AI3600" s="94"/>
      <c r="AJ3600" s="2"/>
    </row>
    <row r="3601" spans="1:36" s="147" customFormat="1" ht="12" customHeight="1" x14ac:dyDescent="0.25">
      <c r="A3601" s="578" t="s">
        <v>13977</v>
      </c>
      <c r="B3601" s="579" t="s">
        <v>13766</v>
      </c>
      <c r="C3601" s="578">
        <v>56</v>
      </c>
      <c r="D3601" s="580" t="s">
        <v>13959</v>
      </c>
      <c r="E3601" s="341" t="s">
        <v>13960</v>
      </c>
      <c r="F3601" s="175">
        <v>43125</v>
      </c>
      <c r="G3601" s="257"/>
      <c r="H3601" s="258" t="s">
        <v>461</v>
      </c>
      <c r="I3601" s="258"/>
      <c r="J3601" s="912" t="s">
        <v>2755</v>
      </c>
      <c r="K3601" s="259" t="s">
        <v>13846</v>
      </c>
      <c r="L3601" s="259" t="s">
        <v>461</v>
      </c>
      <c r="M3601" s="259"/>
      <c r="N3601" s="259" t="s">
        <v>4738</v>
      </c>
      <c r="O3601" s="259"/>
      <c r="P3601" s="255" t="s">
        <v>13976</v>
      </c>
      <c r="Q3601" s="259" t="s">
        <v>11587</v>
      </c>
      <c r="R3601" s="260" t="s">
        <v>13753</v>
      </c>
      <c r="S3601" s="401"/>
      <c r="T3601" s="255"/>
      <c r="U3601" s="255"/>
      <c r="V3601" s="255"/>
      <c r="W3601" s="341" t="s">
        <v>13960</v>
      </c>
      <c r="X3601" s="676" t="s">
        <v>13943</v>
      </c>
      <c r="Y3601" s="381"/>
      <c r="Z3601" s="382"/>
      <c r="AA3601" s="382"/>
      <c r="AB3601" s="145">
        <f t="shared" ca="1" si="91"/>
        <v>0.91789180628842093</v>
      </c>
      <c r="AC3601" s="840"/>
      <c r="AD3601" s="841"/>
      <c r="AE3601" s="961"/>
      <c r="AF3601" s="933">
        <f>IF(X3601=X3600,AF3600,0)+IF(ISNUMBER(I3601),IF(I3601&lt;1,I3601,I3601*VLOOKUP(J3601,Summary!$H$2:$I$9,2)),VLOOKUP(J3601,Summary!$J$2:$K$9,2)*IF(ISNUMBER(H3601),H3601,1))</f>
        <v>0.79652777777777817</v>
      </c>
      <c r="AG3601" s="305">
        <v>3600</v>
      </c>
      <c r="AH3601" s="122"/>
      <c r="AI3601" s="122"/>
      <c r="AJ3601" s="146"/>
    </row>
    <row r="3602" spans="1:36" s="147" customFormat="1" ht="12" customHeight="1" x14ac:dyDescent="0.25">
      <c r="A3602" s="578" t="s">
        <v>13977</v>
      </c>
      <c r="B3602" s="579" t="s">
        <v>13766</v>
      </c>
      <c r="C3602" s="578">
        <v>57</v>
      </c>
      <c r="D3602" s="580" t="s">
        <v>13961</v>
      </c>
      <c r="E3602" s="341" t="s">
        <v>5761</v>
      </c>
      <c r="F3602" s="175">
        <v>43125</v>
      </c>
      <c r="G3602" s="257"/>
      <c r="H3602" s="258" t="s">
        <v>461</v>
      </c>
      <c r="I3602" s="258"/>
      <c r="J3602" s="912" t="s">
        <v>2755</v>
      </c>
      <c r="K3602" s="259" t="s">
        <v>13898</v>
      </c>
      <c r="L3602" s="259" t="s">
        <v>461</v>
      </c>
      <c r="M3602" s="259"/>
      <c r="N3602" s="259" t="s">
        <v>4738</v>
      </c>
      <c r="O3602" s="259"/>
      <c r="P3602" s="255" t="s">
        <v>13976</v>
      </c>
      <c r="Q3602" s="259" t="s">
        <v>11587</v>
      </c>
      <c r="R3602" s="260" t="s">
        <v>13753</v>
      </c>
      <c r="S3602" s="401"/>
      <c r="T3602" s="255"/>
      <c r="U3602" s="255"/>
      <c r="V3602" s="255"/>
      <c r="W3602" s="341" t="s">
        <v>5761</v>
      </c>
      <c r="X3602" s="676" t="s">
        <v>13943</v>
      </c>
      <c r="Y3602" s="381"/>
      <c r="Z3602" s="382"/>
      <c r="AA3602" s="382"/>
      <c r="AB3602" s="145">
        <f t="shared" ca="1" si="91"/>
        <v>0.9600167552040928</v>
      </c>
      <c r="AC3602" s="840"/>
      <c r="AD3602" s="841"/>
      <c r="AE3602" s="961"/>
      <c r="AF3602" s="933">
        <f>IF(X3602=X3601,AF3601,0)+IF(ISNUMBER(I3602),IF(I3602&lt;1,I3602,I3602*VLOOKUP(J3602,Summary!$H$2:$I$9,2)),VLOOKUP(J3602,Summary!$J$2:$K$9,2)*IF(ISNUMBER(H3602),H3602,1))</f>
        <v>0.81388888888888933</v>
      </c>
      <c r="AG3602" s="305">
        <v>3601</v>
      </c>
      <c r="AH3602" s="122"/>
      <c r="AI3602" s="122"/>
      <c r="AJ3602" s="146"/>
    </row>
    <row r="3603" spans="1:36" s="147" customFormat="1" ht="12" customHeight="1" x14ac:dyDescent="0.25">
      <c r="A3603" s="578" t="s">
        <v>13977</v>
      </c>
      <c r="B3603" s="579" t="s">
        <v>13766</v>
      </c>
      <c r="C3603" s="578">
        <v>58</v>
      </c>
      <c r="D3603" s="580" t="s">
        <v>13962</v>
      </c>
      <c r="E3603" s="341" t="s">
        <v>13963</v>
      </c>
      <c r="F3603" s="175">
        <v>43125</v>
      </c>
      <c r="G3603" s="257"/>
      <c r="H3603" s="258" t="s">
        <v>461</v>
      </c>
      <c r="I3603" s="258"/>
      <c r="J3603" s="912" t="s">
        <v>2755</v>
      </c>
      <c r="K3603" s="259" t="s">
        <v>4738</v>
      </c>
      <c r="L3603" s="259" t="s">
        <v>461</v>
      </c>
      <c r="M3603" s="259"/>
      <c r="N3603" s="259" t="s">
        <v>4738</v>
      </c>
      <c r="O3603" s="259"/>
      <c r="P3603" s="255" t="s">
        <v>13976</v>
      </c>
      <c r="Q3603" s="259" t="s">
        <v>11587</v>
      </c>
      <c r="R3603" s="260" t="s">
        <v>13753</v>
      </c>
      <c r="S3603" s="401"/>
      <c r="T3603" s="255"/>
      <c r="U3603" s="255"/>
      <c r="V3603" s="255"/>
      <c r="W3603" s="341" t="s">
        <v>13963</v>
      </c>
      <c r="X3603" s="676" t="s">
        <v>13943</v>
      </c>
      <c r="Y3603" s="381"/>
      <c r="Z3603" s="382"/>
      <c r="AA3603" s="382"/>
      <c r="AB3603" s="145">
        <f t="shared" ca="1" si="91"/>
        <v>0.19094976115271201</v>
      </c>
      <c r="AC3603" s="840"/>
      <c r="AD3603" s="841"/>
      <c r="AE3603" s="961"/>
      <c r="AF3603" s="933">
        <f>IF(X3603=X3602,AF3602,0)+IF(ISNUMBER(I3603),IF(I3603&lt;1,I3603,I3603*VLOOKUP(J3603,Summary!$H$2:$I$9,2)),VLOOKUP(J3603,Summary!$J$2:$K$9,2)*IF(ISNUMBER(H3603),H3603,1))</f>
        <v>0.83125000000000049</v>
      </c>
      <c r="AG3603" s="305">
        <v>3602</v>
      </c>
      <c r="AH3603" s="122"/>
      <c r="AI3603" s="122"/>
      <c r="AJ3603" s="146"/>
    </row>
    <row r="3604" spans="1:36" s="147" customFormat="1" ht="12" customHeight="1" x14ac:dyDescent="0.25">
      <c r="A3604" s="578" t="s">
        <v>13977</v>
      </c>
      <c r="B3604" s="579" t="s">
        <v>13766</v>
      </c>
      <c r="C3604" s="578">
        <v>59</v>
      </c>
      <c r="D3604" s="580" t="s">
        <v>13964</v>
      </c>
      <c r="E3604" s="341" t="s">
        <v>13965</v>
      </c>
      <c r="F3604" s="175">
        <v>43125</v>
      </c>
      <c r="G3604" s="257"/>
      <c r="H3604" s="258" t="s">
        <v>461</v>
      </c>
      <c r="I3604" s="258"/>
      <c r="J3604" s="912" t="s">
        <v>2755</v>
      </c>
      <c r="K3604" s="259" t="s">
        <v>13966</v>
      </c>
      <c r="L3604" s="259" t="s">
        <v>461</v>
      </c>
      <c r="M3604" s="259"/>
      <c r="N3604" s="259" t="s">
        <v>4738</v>
      </c>
      <c r="O3604" s="259"/>
      <c r="P3604" s="255" t="s">
        <v>13976</v>
      </c>
      <c r="Q3604" s="259" t="s">
        <v>11587</v>
      </c>
      <c r="R3604" s="260" t="s">
        <v>13753</v>
      </c>
      <c r="S3604" s="401"/>
      <c r="T3604" s="255"/>
      <c r="U3604" s="255"/>
      <c r="V3604" s="255"/>
      <c r="W3604" s="341" t="s">
        <v>13965</v>
      </c>
      <c r="X3604" s="676" t="s">
        <v>13943</v>
      </c>
      <c r="Y3604" s="381"/>
      <c r="Z3604" s="382"/>
      <c r="AA3604" s="382"/>
      <c r="AB3604" s="145">
        <f t="shared" ca="1" si="91"/>
        <v>0.91517444956262339</v>
      </c>
      <c r="AC3604" s="840"/>
      <c r="AD3604" s="841"/>
      <c r="AE3604" s="961"/>
      <c r="AF3604" s="933">
        <f>IF(X3604=X3603,AF3603,0)+IF(ISNUMBER(I3604),IF(I3604&lt;1,I3604,I3604*VLOOKUP(J3604,Summary!$H$2:$I$9,2)),VLOOKUP(J3604,Summary!$J$2:$K$9,2)*IF(ISNUMBER(H3604),H3604,1))</f>
        <v>0.84861111111111165</v>
      </c>
      <c r="AG3604" s="305">
        <v>3603</v>
      </c>
      <c r="AH3604" s="122"/>
      <c r="AI3604" s="122"/>
      <c r="AJ3604" s="146"/>
    </row>
    <row r="3605" spans="1:36" s="147" customFormat="1" ht="12" customHeight="1" x14ac:dyDescent="0.25">
      <c r="A3605" s="578" t="s">
        <v>13977</v>
      </c>
      <c r="B3605" s="579" t="s">
        <v>13766</v>
      </c>
      <c r="C3605" s="578">
        <v>60</v>
      </c>
      <c r="D3605" s="580" t="s">
        <v>13967</v>
      </c>
      <c r="E3605" s="341" t="s">
        <v>13968</v>
      </c>
      <c r="F3605" s="175">
        <v>43125</v>
      </c>
      <c r="G3605" s="257"/>
      <c r="H3605" s="258" t="s">
        <v>461</v>
      </c>
      <c r="I3605" s="258"/>
      <c r="J3605" s="912" t="s">
        <v>2755</v>
      </c>
      <c r="K3605" s="259" t="s">
        <v>4738</v>
      </c>
      <c r="L3605" s="259" t="s">
        <v>461</v>
      </c>
      <c r="M3605" s="259"/>
      <c r="N3605" s="259" t="s">
        <v>4738</v>
      </c>
      <c r="O3605" s="259"/>
      <c r="P3605" s="255" t="s">
        <v>13976</v>
      </c>
      <c r="Q3605" s="259" t="s">
        <v>11587</v>
      </c>
      <c r="R3605" s="260" t="s">
        <v>13753</v>
      </c>
      <c r="S3605" s="401"/>
      <c r="T3605" s="255"/>
      <c r="U3605" s="255"/>
      <c r="V3605" s="255"/>
      <c r="W3605" s="341" t="s">
        <v>13968</v>
      </c>
      <c r="X3605" s="676" t="s">
        <v>13943</v>
      </c>
      <c r="Y3605" s="381"/>
      <c r="Z3605" s="382"/>
      <c r="AA3605" s="382"/>
      <c r="AB3605" s="145">
        <f t="shared" ca="1" si="91"/>
        <v>0.78419594352419741</v>
      </c>
      <c r="AC3605" s="840"/>
      <c r="AD3605" s="841"/>
      <c r="AE3605" s="961"/>
      <c r="AF3605" s="933">
        <f>IF(X3605=X3604,AF3604,0)+IF(ISNUMBER(I3605),IF(I3605&lt;1,I3605,I3605*VLOOKUP(J3605,Summary!$H$2:$I$9,2)),VLOOKUP(J3605,Summary!$J$2:$K$9,2)*IF(ISNUMBER(H3605),H3605,1))</f>
        <v>0.86597222222222281</v>
      </c>
      <c r="AG3605" s="305">
        <v>3604</v>
      </c>
      <c r="AH3605" s="122"/>
      <c r="AI3605" s="122"/>
      <c r="AJ3605" s="146"/>
    </row>
    <row r="3606" spans="1:36" s="147" customFormat="1" ht="12" customHeight="1" x14ac:dyDescent="0.25">
      <c r="A3606" s="578" t="s">
        <v>13977</v>
      </c>
      <c r="B3606" s="579" t="s">
        <v>13766</v>
      </c>
      <c r="C3606" s="578">
        <v>61</v>
      </c>
      <c r="D3606" s="580" t="s">
        <v>13969</v>
      </c>
      <c r="E3606" s="341" t="s">
        <v>13970</v>
      </c>
      <c r="F3606" s="175">
        <v>43125</v>
      </c>
      <c r="G3606" s="257"/>
      <c r="H3606" s="258" t="s">
        <v>461</v>
      </c>
      <c r="I3606" s="258"/>
      <c r="J3606" s="912" t="s">
        <v>2755</v>
      </c>
      <c r="K3606" s="259" t="s">
        <v>11958</v>
      </c>
      <c r="L3606" s="259" t="s">
        <v>461</v>
      </c>
      <c r="M3606" s="259"/>
      <c r="N3606" s="259" t="s">
        <v>4738</v>
      </c>
      <c r="O3606" s="259"/>
      <c r="P3606" s="255" t="s">
        <v>13976</v>
      </c>
      <c r="Q3606" s="259" t="s">
        <v>11587</v>
      </c>
      <c r="R3606" s="260" t="s">
        <v>13753</v>
      </c>
      <c r="S3606" s="401"/>
      <c r="T3606" s="255"/>
      <c r="U3606" s="255"/>
      <c r="V3606" s="255"/>
      <c r="W3606" s="341" t="s">
        <v>13970</v>
      </c>
      <c r="X3606" s="676" t="s">
        <v>13943</v>
      </c>
      <c r="Y3606" s="381"/>
      <c r="Z3606" s="382"/>
      <c r="AA3606" s="382"/>
      <c r="AB3606" s="145">
        <f t="shared" ca="1" si="91"/>
        <v>0.82894972310474735</v>
      </c>
      <c r="AC3606" s="840"/>
      <c r="AD3606" s="841"/>
      <c r="AE3606" s="961"/>
      <c r="AF3606" s="933">
        <f>IF(X3606=X3605,AF3605,0)+IF(ISNUMBER(I3606),IF(I3606&lt;1,I3606,I3606*VLOOKUP(J3606,Summary!$H$2:$I$9,2)),VLOOKUP(J3606,Summary!$J$2:$K$9,2)*IF(ISNUMBER(H3606),H3606,1))</f>
        <v>0.88333333333333397</v>
      </c>
      <c r="AG3606" s="305">
        <v>3605</v>
      </c>
      <c r="AH3606" s="122"/>
      <c r="AI3606" s="122"/>
      <c r="AJ3606" s="146"/>
    </row>
    <row r="3607" spans="1:36" s="147" customFormat="1" ht="12" customHeight="1" x14ac:dyDescent="0.25">
      <c r="A3607" s="578" t="s">
        <v>13977</v>
      </c>
      <c r="B3607" s="579" t="s">
        <v>13766</v>
      </c>
      <c r="C3607" s="578">
        <v>62</v>
      </c>
      <c r="D3607" s="580" t="s">
        <v>13971</v>
      </c>
      <c r="E3607" s="341" t="s">
        <v>13972</v>
      </c>
      <c r="F3607" s="175">
        <v>43125</v>
      </c>
      <c r="G3607" s="257"/>
      <c r="H3607" s="258" t="s">
        <v>461</v>
      </c>
      <c r="I3607" s="258"/>
      <c r="J3607" s="912" t="s">
        <v>2755</v>
      </c>
      <c r="K3607" s="259" t="s">
        <v>4738</v>
      </c>
      <c r="L3607" s="259" t="s">
        <v>461</v>
      </c>
      <c r="M3607" s="259"/>
      <c r="N3607" s="259" t="s">
        <v>4738</v>
      </c>
      <c r="O3607" s="259"/>
      <c r="P3607" s="255" t="s">
        <v>13976</v>
      </c>
      <c r="Q3607" s="259" t="s">
        <v>11587</v>
      </c>
      <c r="R3607" s="260" t="s">
        <v>13753</v>
      </c>
      <c r="S3607" s="401"/>
      <c r="T3607" s="255"/>
      <c r="U3607" s="255"/>
      <c r="V3607" s="255"/>
      <c r="W3607" s="341" t="s">
        <v>13972</v>
      </c>
      <c r="X3607" s="676" t="s">
        <v>13943</v>
      </c>
      <c r="Y3607" s="381"/>
      <c r="Z3607" s="382"/>
      <c r="AA3607" s="382"/>
      <c r="AB3607" s="145">
        <f t="shared" ca="1" si="91"/>
        <v>0.27539120908653159</v>
      </c>
      <c r="AC3607" s="840"/>
      <c r="AD3607" s="841"/>
      <c r="AE3607" s="961"/>
      <c r="AF3607" s="933">
        <f>IF(X3607=X3606,AF3606,0)+IF(ISNUMBER(I3607),IF(I3607&lt;1,I3607,I3607*VLOOKUP(J3607,Summary!$H$2:$I$9,2)),VLOOKUP(J3607,Summary!$J$2:$K$9,2)*IF(ISNUMBER(H3607),H3607,1))</f>
        <v>0.90069444444444513</v>
      </c>
      <c r="AG3607" s="305">
        <v>3606</v>
      </c>
      <c r="AH3607" s="122"/>
      <c r="AI3607" s="122"/>
      <c r="AJ3607" s="146"/>
    </row>
    <row r="3608" spans="1:36" s="147" customFormat="1" ht="12" customHeight="1" x14ac:dyDescent="0.25">
      <c r="A3608" s="578" t="s">
        <v>13977</v>
      </c>
      <c r="B3608" s="579" t="s">
        <v>13766</v>
      </c>
      <c r="C3608" s="578">
        <v>63</v>
      </c>
      <c r="D3608" s="580" t="s">
        <v>13973</v>
      </c>
      <c r="E3608" s="341" t="s">
        <v>13974</v>
      </c>
      <c r="F3608" s="175">
        <v>43125</v>
      </c>
      <c r="G3608" s="257"/>
      <c r="H3608" s="258" t="s">
        <v>461</v>
      </c>
      <c r="I3608" s="258"/>
      <c r="J3608" s="912" t="s">
        <v>2755</v>
      </c>
      <c r="K3608" s="259" t="s">
        <v>13975</v>
      </c>
      <c r="L3608" s="259" t="s">
        <v>461</v>
      </c>
      <c r="M3608" s="259"/>
      <c r="N3608" s="259" t="s">
        <v>4738</v>
      </c>
      <c r="O3608" s="259"/>
      <c r="P3608" s="255" t="s">
        <v>13976</v>
      </c>
      <c r="Q3608" s="259" t="s">
        <v>11587</v>
      </c>
      <c r="R3608" s="260" t="s">
        <v>13753</v>
      </c>
      <c r="S3608" s="401"/>
      <c r="T3608" s="255"/>
      <c r="U3608" s="255"/>
      <c r="V3608" s="255"/>
      <c r="W3608" s="341" t="s">
        <v>13974</v>
      </c>
      <c r="X3608" s="676" t="s">
        <v>13943</v>
      </c>
      <c r="Y3608" s="381"/>
      <c r="Z3608" s="382"/>
      <c r="AA3608" s="382"/>
      <c r="AB3608" s="145">
        <f t="shared" ca="1" si="91"/>
        <v>0.18086199207252918</v>
      </c>
      <c r="AC3608" s="840"/>
      <c r="AD3608" s="841"/>
      <c r="AE3608" s="961"/>
      <c r="AF3608" s="933">
        <f>IF(X3608=X3607,AF3607,0)+IF(ISNUMBER(I3608),IF(I3608&lt;1,I3608,I3608*VLOOKUP(J3608,Summary!$H$2:$I$9,2)),VLOOKUP(J3608,Summary!$J$2:$K$9,2)*IF(ISNUMBER(H3608),H3608,1))</f>
        <v>0.91805555555555629</v>
      </c>
      <c r="AG3608" s="305">
        <v>3607</v>
      </c>
      <c r="AH3608" s="122"/>
      <c r="AI3608" s="122"/>
      <c r="AJ3608" s="146"/>
    </row>
    <row r="3609" spans="1:36" s="147" customFormat="1" ht="12" customHeight="1" x14ac:dyDescent="0.25">
      <c r="A3609" s="569" t="s">
        <v>1566</v>
      </c>
      <c r="B3609" s="569">
        <v>8</v>
      </c>
      <c r="C3609" s="569">
        <v>61</v>
      </c>
      <c r="D3609" s="417" t="s">
        <v>3558</v>
      </c>
      <c r="E3609" s="316" t="s">
        <v>3559</v>
      </c>
      <c r="F3609" s="187">
        <v>37561</v>
      </c>
      <c r="G3609" s="188"/>
      <c r="H3609" s="188" t="str">
        <f t="shared" ref="H3609:H3621" si="92">IF(J3609="Book","n/a","")</f>
        <v>n/a</v>
      </c>
      <c r="I3609" s="188">
        <v>288</v>
      </c>
      <c r="J3609" s="902" t="s">
        <v>6868</v>
      </c>
      <c r="K3609" s="162" t="s">
        <v>6356</v>
      </c>
      <c r="L3609" s="162" t="str">
        <f t="shared" ref="L3609:L3621" si="93">IF(J3609="Book","n/a","")</f>
        <v>n/a</v>
      </c>
      <c r="M3609" s="162"/>
      <c r="N3609" s="162"/>
      <c r="O3609" s="162"/>
      <c r="P3609" s="178" t="s">
        <v>9115</v>
      </c>
      <c r="Q3609" s="162" t="s">
        <v>3953</v>
      </c>
      <c r="R3609" s="189" t="s">
        <v>2714</v>
      </c>
      <c r="S3609" s="366" t="s">
        <v>3063</v>
      </c>
      <c r="T3609" s="178" t="s">
        <v>7322</v>
      </c>
      <c r="U3609" s="178"/>
      <c r="V3609" s="178"/>
      <c r="W3609" s="316" t="s">
        <v>3559</v>
      </c>
      <c r="X3609" s="648" t="s">
        <v>12448</v>
      </c>
      <c r="Y3609" s="356"/>
      <c r="Z3609" s="272">
        <v>79</v>
      </c>
      <c r="AA3609" s="272">
        <v>6</v>
      </c>
      <c r="AB3609" s="34">
        <f t="shared" ca="1" si="91"/>
        <v>4.978765812888486E-2</v>
      </c>
      <c r="AC3609" s="814"/>
      <c r="AD3609" s="815" t="s">
        <v>15861</v>
      </c>
      <c r="AE3609" s="950" t="s">
        <v>15859</v>
      </c>
      <c r="AF3609" s="923">
        <f>IF(X3609=X3608,AF3608,0)+IF(ISNUMBER(I3609),IF(I3609&lt;1,I3609,I3609*VLOOKUP(J3609,Summary!$H$2:$I$9,2)),VLOOKUP(J3609,Summary!$J$2:$K$9,2)*IF(ISNUMBER(H3609),H3609,1))</f>
        <v>0.2</v>
      </c>
      <c r="AG3609" s="291">
        <v>3608</v>
      </c>
      <c r="AH3609" s="122"/>
      <c r="AI3609" s="122"/>
      <c r="AJ3609" s="146"/>
    </row>
    <row r="3610" spans="1:36" s="1" customFormat="1" ht="12" customHeight="1" x14ac:dyDescent="0.25">
      <c r="A3610" s="569" t="s">
        <v>1566</v>
      </c>
      <c r="B3610" s="569">
        <v>8</v>
      </c>
      <c r="C3610" s="569">
        <v>62</v>
      </c>
      <c r="D3610" s="417" t="s">
        <v>3560</v>
      </c>
      <c r="E3610" s="316" t="s">
        <v>3561</v>
      </c>
      <c r="F3610" s="187">
        <v>37653</v>
      </c>
      <c r="G3610" s="188"/>
      <c r="H3610" s="188" t="str">
        <f t="shared" si="92"/>
        <v>n/a</v>
      </c>
      <c r="I3610" s="188">
        <v>278</v>
      </c>
      <c r="J3610" s="902" t="s">
        <v>6868</v>
      </c>
      <c r="K3610" s="162" t="s">
        <v>1746</v>
      </c>
      <c r="L3610" s="162" t="str">
        <f t="shared" si="93"/>
        <v>n/a</v>
      </c>
      <c r="M3610" s="162"/>
      <c r="N3610" s="162"/>
      <c r="O3610" s="162"/>
      <c r="P3610" s="178" t="s">
        <v>9116</v>
      </c>
      <c r="Q3610" s="162" t="s">
        <v>3953</v>
      </c>
      <c r="R3610" s="189" t="s">
        <v>2714</v>
      </c>
      <c r="S3610" s="366" t="s">
        <v>3063</v>
      </c>
      <c r="T3610" s="178" t="s">
        <v>7322</v>
      </c>
      <c r="U3610" s="178"/>
      <c r="V3610" s="178"/>
      <c r="W3610" s="316" t="s">
        <v>3561</v>
      </c>
      <c r="X3610" s="648" t="s">
        <v>12448</v>
      </c>
      <c r="Y3610" s="356"/>
      <c r="Z3610" s="272">
        <v>216</v>
      </c>
      <c r="AA3610" s="272">
        <v>3</v>
      </c>
      <c r="AB3610" s="34">
        <f t="shared" ca="1" si="91"/>
        <v>0.82440691910188579</v>
      </c>
      <c r="AC3610" s="814"/>
      <c r="AD3610" s="815" t="s">
        <v>15832</v>
      </c>
      <c r="AE3610" s="950" t="s">
        <v>15860</v>
      </c>
      <c r="AF3610" s="923">
        <f>IF(X3610=X3609,AF3609,0)+IF(ISNUMBER(I3610),IF(I3610&lt;1,I3610,I3610*VLOOKUP(J3610,Summary!$H$2:$I$9,2)),VLOOKUP(J3610,Summary!$J$2:$K$9,2)*IF(ISNUMBER(H3610),H3610,1))</f>
        <v>0.3930555555555556</v>
      </c>
      <c r="AG3610" s="291">
        <v>3609</v>
      </c>
      <c r="AH3610" s="94"/>
      <c r="AI3610" s="94"/>
      <c r="AJ3610" s="43"/>
    </row>
    <row r="3611" spans="1:36" s="1" customFormat="1" ht="12" customHeight="1" x14ac:dyDescent="0.25">
      <c r="A3611" s="569" t="s">
        <v>1566</v>
      </c>
      <c r="B3611" s="569">
        <v>8</v>
      </c>
      <c r="C3611" s="569">
        <v>63</v>
      </c>
      <c r="D3611" s="417" t="s">
        <v>3562</v>
      </c>
      <c r="E3611" s="316" t="s">
        <v>5027</v>
      </c>
      <c r="F3611" s="187">
        <v>37712</v>
      </c>
      <c r="G3611" s="188"/>
      <c r="H3611" s="188" t="str">
        <f t="shared" si="92"/>
        <v>n/a</v>
      </c>
      <c r="I3611" s="188">
        <v>270</v>
      </c>
      <c r="J3611" s="902" t="s">
        <v>6868</v>
      </c>
      <c r="K3611" s="162" t="s">
        <v>4034</v>
      </c>
      <c r="L3611" s="162" t="str">
        <f t="shared" si="93"/>
        <v>n/a</v>
      </c>
      <c r="M3611" s="162"/>
      <c r="N3611" s="162"/>
      <c r="O3611" s="162"/>
      <c r="P3611" s="178" t="s">
        <v>9117</v>
      </c>
      <c r="Q3611" s="162" t="s">
        <v>3953</v>
      </c>
      <c r="R3611" s="189" t="s">
        <v>2714</v>
      </c>
      <c r="S3611" s="366" t="s">
        <v>3063</v>
      </c>
      <c r="T3611" s="178" t="s">
        <v>7322</v>
      </c>
      <c r="U3611" s="178"/>
      <c r="V3611" s="178"/>
      <c r="W3611" s="316" t="s">
        <v>5027</v>
      </c>
      <c r="X3611" s="648" t="s">
        <v>12448</v>
      </c>
      <c r="Y3611" s="356"/>
      <c r="Z3611" s="272">
        <v>193</v>
      </c>
      <c r="AA3611" s="272">
        <v>3</v>
      </c>
      <c r="AB3611" s="34">
        <f t="shared" ca="1" si="91"/>
        <v>0.57488771881560041</v>
      </c>
      <c r="AC3611" s="814"/>
      <c r="AD3611" s="815" t="s">
        <v>16578</v>
      </c>
      <c r="AE3611" s="950" t="s">
        <v>16579</v>
      </c>
      <c r="AF3611" s="923">
        <f>IF(X3611=X3610,AF3610,0)+IF(ISNUMBER(I3611),IF(I3611&lt;1,I3611,I3611*VLOOKUP(J3611,Summary!$H$2:$I$9,2)),VLOOKUP(J3611,Summary!$J$2:$K$9,2)*IF(ISNUMBER(H3611),H3611,1))</f>
        <v>0.5805555555555556</v>
      </c>
      <c r="AG3611" s="291">
        <v>3610</v>
      </c>
      <c r="AH3611" s="94"/>
      <c r="AI3611" s="94"/>
      <c r="AJ3611" s="43"/>
    </row>
    <row r="3612" spans="1:36" s="1" customFormat="1" ht="12" customHeight="1" x14ac:dyDescent="0.25">
      <c r="A3612" s="569" t="s">
        <v>1566</v>
      </c>
      <c r="B3612" s="569">
        <v>8</v>
      </c>
      <c r="C3612" s="569">
        <v>64</v>
      </c>
      <c r="D3612" s="417" t="s">
        <v>5028</v>
      </c>
      <c r="E3612" s="316" t="s">
        <v>5029</v>
      </c>
      <c r="F3612" s="187">
        <v>37773</v>
      </c>
      <c r="G3612" s="188"/>
      <c r="H3612" s="188" t="str">
        <f t="shared" si="92"/>
        <v>n/a</v>
      </c>
      <c r="I3612" s="188">
        <v>288</v>
      </c>
      <c r="J3612" s="902" t="s">
        <v>6868</v>
      </c>
      <c r="K3612" s="162" t="s">
        <v>6232</v>
      </c>
      <c r="L3612" s="162" t="str">
        <f t="shared" si="93"/>
        <v>n/a</v>
      </c>
      <c r="M3612" s="162"/>
      <c r="N3612" s="162"/>
      <c r="O3612" s="162"/>
      <c r="P3612" s="178" t="s">
        <v>9118</v>
      </c>
      <c r="Q3612" s="162" t="s">
        <v>3953</v>
      </c>
      <c r="R3612" s="189" t="s">
        <v>2714</v>
      </c>
      <c r="S3612" s="366" t="s">
        <v>3063</v>
      </c>
      <c r="T3612" s="178" t="s">
        <v>7322</v>
      </c>
      <c r="U3612" s="178"/>
      <c r="V3612" s="178"/>
      <c r="W3612" s="316" t="s">
        <v>5029</v>
      </c>
      <c r="X3612" s="648" t="s">
        <v>12448</v>
      </c>
      <c r="Y3612" s="356"/>
      <c r="Z3612" s="272">
        <v>182</v>
      </c>
      <c r="AA3612" s="272">
        <v>3.5</v>
      </c>
      <c r="AB3612" s="34">
        <f t="shared" ca="1" si="91"/>
        <v>0.49636407036160013</v>
      </c>
      <c r="AC3612" s="814"/>
      <c r="AD3612" s="815" t="s">
        <v>15833</v>
      </c>
      <c r="AE3612" s="950" t="s">
        <v>15860</v>
      </c>
      <c r="AF3612" s="923">
        <f>IF(X3612=X3611,AF3611,0)+IF(ISNUMBER(I3612),IF(I3612&lt;1,I3612,I3612*VLOOKUP(J3612,Summary!$H$2:$I$9,2)),VLOOKUP(J3612,Summary!$J$2:$K$9,2)*IF(ISNUMBER(H3612),H3612,1))</f>
        <v>0.78055555555555567</v>
      </c>
      <c r="AG3612" s="291">
        <v>3611</v>
      </c>
      <c r="AH3612" s="94"/>
      <c r="AI3612" s="94"/>
      <c r="AJ3612" s="43"/>
    </row>
    <row r="3613" spans="1:36" s="147" customFormat="1" ht="12" customHeight="1" x14ac:dyDescent="0.25">
      <c r="A3613" s="569" t="s">
        <v>1566</v>
      </c>
      <c r="B3613" s="569">
        <v>8</v>
      </c>
      <c r="C3613" s="569">
        <v>65</v>
      </c>
      <c r="D3613" s="417" t="s">
        <v>5030</v>
      </c>
      <c r="E3613" s="316" t="s">
        <v>7534</v>
      </c>
      <c r="F3613" s="187">
        <v>37834</v>
      </c>
      <c r="G3613" s="188"/>
      <c r="H3613" s="188" t="str">
        <f t="shared" si="92"/>
        <v>n/a</v>
      </c>
      <c r="I3613" s="188">
        <v>288</v>
      </c>
      <c r="J3613" s="902" t="s">
        <v>6868</v>
      </c>
      <c r="K3613" s="162" t="s">
        <v>6237</v>
      </c>
      <c r="L3613" s="162" t="str">
        <f t="shared" si="93"/>
        <v>n/a</v>
      </c>
      <c r="M3613" s="162"/>
      <c r="N3613" s="162"/>
      <c r="O3613" s="162"/>
      <c r="P3613" s="178" t="s">
        <v>9119</v>
      </c>
      <c r="Q3613" s="162" t="s">
        <v>3953</v>
      </c>
      <c r="R3613" s="189" t="s">
        <v>2714</v>
      </c>
      <c r="S3613" s="366" t="s">
        <v>3063</v>
      </c>
      <c r="T3613" s="178" t="s">
        <v>7322</v>
      </c>
      <c r="U3613" s="178" t="s">
        <v>3064</v>
      </c>
      <c r="V3613" s="178"/>
      <c r="W3613" s="316" t="s">
        <v>7534</v>
      </c>
      <c r="X3613" s="648" t="s">
        <v>12448</v>
      </c>
      <c r="Y3613" s="356"/>
      <c r="Z3613" s="272">
        <v>88</v>
      </c>
      <c r="AA3613" s="272">
        <v>6</v>
      </c>
      <c r="AB3613" s="34">
        <f t="shared" ca="1" si="91"/>
        <v>0.24251568180039407</v>
      </c>
      <c r="AC3613" s="814"/>
      <c r="AD3613" s="818" t="s">
        <v>15032</v>
      </c>
      <c r="AE3613" s="942" t="s">
        <v>12543</v>
      </c>
      <c r="AF3613" s="923">
        <f>IF(X3613=X3612,AF3612,0)+IF(ISNUMBER(I3613),IF(I3613&lt;1,I3613,I3613*VLOOKUP(J3613,Summary!$H$2:$I$9,2)),VLOOKUP(J3613,Summary!$J$2:$K$9,2)*IF(ISNUMBER(H3613),H3613,1))</f>
        <v>0.98055555555555562</v>
      </c>
      <c r="AG3613" s="291">
        <v>3612</v>
      </c>
      <c r="AH3613" s="122"/>
      <c r="AI3613" s="122"/>
      <c r="AJ3613" s="146"/>
    </row>
    <row r="3614" spans="1:36" s="147" customFormat="1" ht="12" customHeight="1" x14ac:dyDescent="0.25">
      <c r="A3614" s="569" t="s">
        <v>1566</v>
      </c>
      <c r="B3614" s="569">
        <v>8</v>
      </c>
      <c r="C3614" s="569">
        <v>66</v>
      </c>
      <c r="D3614" s="417" t="s">
        <v>7535</v>
      </c>
      <c r="E3614" s="316" t="s">
        <v>7536</v>
      </c>
      <c r="F3614" s="187">
        <v>37895</v>
      </c>
      <c r="G3614" s="188"/>
      <c r="H3614" s="188" t="str">
        <f t="shared" si="92"/>
        <v>n/a</v>
      </c>
      <c r="I3614" s="188">
        <v>288</v>
      </c>
      <c r="J3614" s="902" t="s">
        <v>6868</v>
      </c>
      <c r="K3614" s="162" t="s">
        <v>2308</v>
      </c>
      <c r="L3614" s="162" t="str">
        <f t="shared" si="93"/>
        <v>n/a</v>
      </c>
      <c r="M3614" s="162"/>
      <c r="N3614" s="162"/>
      <c r="O3614" s="162"/>
      <c r="P3614" s="178" t="s">
        <v>9120</v>
      </c>
      <c r="Q3614" s="162" t="s">
        <v>3953</v>
      </c>
      <c r="R3614" s="189" t="s">
        <v>2714</v>
      </c>
      <c r="S3614" s="366"/>
      <c r="T3614" s="178" t="s">
        <v>7322</v>
      </c>
      <c r="U3614" s="178" t="s">
        <v>3064</v>
      </c>
      <c r="V3614" s="178"/>
      <c r="W3614" s="316" t="s">
        <v>7536</v>
      </c>
      <c r="X3614" s="648" t="s">
        <v>12448</v>
      </c>
      <c r="Y3614" s="356"/>
      <c r="Z3614" s="272">
        <v>138</v>
      </c>
      <c r="AA3614" s="272">
        <v>4.5</v>
      </c>
      <c r="AB3614" s="34">
        <f t="shared" ca="1" si="91"/>
        <v>0.81473882858455882</v>
      </c>
      <c r="AC3614" s="814"/>
      <c r="AD3614" s="815" t="s">
        <v>16562</v>
      </c>
      <c r="AE3614" s="942" t="s">
        <v>16253</v>
      </c>
      <c r="AF3614" s="923">
        <f>IF(X3614=X3613,AF3613,0)+IF(ISNUMBER(I3614),IF(I3614&lt;1,I3614,I3614*VLOOKUP(J3614,Summary!$H$2:$I$9,2)),VLOOKUP(J3614,Summary!$J$2:$K$9,2)*IF(ISNUMBER(H3614),H3614,1))</f>
        <v>1.1805555555555556</v>
      </c>
      <c r="AG3614" s="291">
        <v>3613</v>
      </c>
      <c r="AH3614" s="122"/>
      <c r="AI3614" s="122"/>
      <c r="AJ3614" s="146"/>
    </row>
    <row r="3615" spans="1:36" s="147" customFormat="1" ht="12" customHeight="1" x14ac:dyDescent="0.25">
      <c r="A3615" s="569" t="s">
        <v>1567</v>
      </c>
      <c r="B3615" s="569">
        <v>8</v>
      </c>
      <c r="C3615" s="569">
        <v>67</v>
      </c>
      <c r="D3615" s="417" t="s">
        <v>7537</v>
      </c>
      <c r="E3615" s="316" t="s">
        <v>5557</v>
      </c>
      <c r="F3615" s="187">
        <v>37987</v>
      </c>
      <c r="G3615" s="188"/>
      <c r="H3615" s="188" t="str">
        <f t="shared" si="92"/>
        <v>n/a</v>
      </c>
      <c r="I3615" s="188">
        <v>274</v>
      </c>
      <c r="J3615" s="902" t="s">
        <v>6868</v>
      </c>
      <c r="K3615" s="162" t="s">
        <v>543</v>
      </c>
      <c r="L3615" s="162" t="str">
        <f t="shared" si="93"/>
        <v>n/a</v>
      </c>
      <c r="M3615" s="162"/>
      <c r="N3615" s="162"/>
      <c r="O3615" s="162"/>
      <c r="P3615" s="178" t="s">
        <v>9121</v>
      </c>
      <c r="Q3615" s="162" t="s">
        <v>3953</v>
      </c>
      <c r="R3615" s="189" t="s">
        <v>2714</v>
      </c>
      <c r="S3615" s="366"/>
      <c r="T3615" s="178" t="s">
        <v>7322</v>
      </c>
      <c r="U3615" s="178" t="s">
        <v>3064</v>
      </c>
      <c r="V3615" s="178"/>
      <c r="W3615" s="316" t="s">
        <v>5557</v>
      </c>
      <c r="X3615" s="648" t="s">
        <v>12447</v>
      </c>
      <c r="Y3615" s="356"/>
      <c r="Z3615" s="272">
        <v>129</v>
      </c>
      <c r="AA3615" s="272">
        <v>5</v>
      </c>
      <c r="AB3615" s="34">
        <f t="shared" ca="1" si="91"/>
        <v>0.853411676125023</v>
      </c>
      <c r="AC3615" s="814"/>
      <c r="AD3615" s="815" t="s">
        <v>15854</v>
      </c>
      <c r="AE3615" s="942"/>
      <c r="AF3615" s="923">
        <f>IF(X3615=X3614,AF3614,0)+IF(ISNUMBER(I3615),IF(I3615&lt;1,I3615,I3615*VLOOKUP(J3615,Summary!$H$2:$I$9,2)),VLOOKUP(J3615,Summary!$J$2:$K$9,2)*IF(ISNUMBER(H3615),H3615,1))</f>
        <v>0.1902777777777778</v>
      </c>
      <c r="AG3615" s="291">
        <v>3614</v>
      </c>
      <c r="AH3615" s="122"/>
      <c r="AI3615" s="122"/>
      <c r="AJ3615" s="146"/>
    </row>
    <row r="3616" spans="1:36" s="147" customFormat="1" ht="12" customHeight="1" x14ac:dyDescent="0.25">
      <c r="A3616" s="569" t="s">
        <v>1567</v>
      </c>
      <c r="B3616" s="569">
        <v>8</v>
      </c>
      <c r="C3616" s="569">
        <v>68</v>
      </c>
      <c r="D3616" s="417" t="s">
        <v>7538</v>
      </c>
      <c r="E3616" s="316" t="s">
        <v>7539</v>
      </c>
      <c r="F3616" s="187">
        <v>38078</v>
      </c>
      <c r="G3616" s="188"/>
      <c r="H3616" s="188" t="str">
        <f t="shared" si="92"/>
        <v>n/a</v>
      </c>
      <c r="I3616" s="188">
        <v>274</v>
      </c>
      <c r="J3616" s="902" t="s">
        <v>6868</v>
      </c>
      <c r="K3616" s="162" t="s">
        <v>1936</v>
      </c>
      <c r="L3616" s="162" t="str">
        <f t="shared" si="93"/>
        <v>n/a</v>
      </c>
      <c r="M3616" s="162"/>
      <c r="N3616" s="162"/>
      <c r="O3616" s="162"/>
      <c r="P3616" s="178" t="s">
        <v>9122</v>
      </c>
      <c r="Q3616" s="162" t="s">
        <v>3953</v>
      </c>
      <c r="R3616" s="189" t="s">
        <v>2714</v>
      </c>
      <c r="S3616" s="366"/>
      <c r="T3616" s="178" t="s">
        <v>7322</v>
      </c>
      <c r="U3616" s="178" t="s">
        <v>3064</v>
      </c>
      <c r="V3616" s="178"/>
      <c r="W3616" s="316" t="s">
        <v>7539</v>
      </c>
      <c r="X3616" s="648" t="s">
        <v>12447</v>
      </c>
      <c r="Y3616" s="356"/>
      <c r="Z3616" s="272">
        <v>140</v>
      </c>
      <c r="AA3616" s="272">
        <v>4.5</v>
      </c>
      <c r="AB3616" s="34">
        <f t="shared" ca="1" si="91"/>
        <v>0.97948730395516481</v>
      </c>
      <c r="AC3616" s="814"/>
      <c r="AD3616" s="815" t="s">
        <v>16453</v>
      </c>
      <c r="AE3616" s="942" t="s">
        <v>12543</v>
      </c>
      <c r="AF3616" s="923">
        <f>IF(X3616=X3615,AF3615,0)+IF(ISNUMBER(I3616),IF(I3616&lt;1,I3616,I3616*VLOOKUP(J3616,Summary!$H$2:$I$9,2)),VLOOKUP(J3616,Summary!$J$2:$K$9,2)*IF(ISNUMBER(H3616),H3616,1))</f>
        <v>0.38055555555555559</v>
      </c>
      <c r="AG3616" s="291">
        <v>3615</v>
      </c>
      <c r="AH3616" s="122"/>
      <c r="AI3616" s="122"/>
      <c r="AJ3616" s="146"/>
    </row>
    <row r="3617" spans="1:36" s="147" customFormat="1" ht="12" customHeight="1" x14ac:dyDescent="0.25">
      <c r="A3617" s="569" t="s">
        <v>1567</v>
      </c>
      <c r="B3617" s="569">
        <v>8</v>
      </c>
      <c r="C3617" s="569">
        <v>69</v>
      </c>
      <c r="D3617" s="417" t="s">
        <v>7540</v>
      </c>
      <c r="E3617" s="316" t="s">
        <v>7541</v>
      </c>
      <c r="F3617" s="195">
        <v>38145</v>
      </c>
      <c r="G3617" s="188"/>
      <c r="H3617" s="188" t="str">
        <f t="shared" si="92"/>
        <v>n/a</v>
      </c>
      <c r="I3617" s="188">
        <v>280</v>
      </c>
      <c r="J3617" s="902" t="s">
        <v>6868</v>
      </c>
      <c r="K3617" s="162" t="s">
        <v>177</v>
      </c>
      <c r="L3617" s="162" t="str">
        <f t="shared" si="93"/>
        <v>n/a</v>
      </c>
      <c r="M3617" s="162"/>
      <c r="N3617" s="162"/>
      <c r="O3617" s="162"/>
      <c r="P3617" s="178" t="s">
        <v>9123</v>
      </c>
      <c r="Q3617" s="162" t="s">
        <v>3953</v>
      </c>
      <c r="R3617" s="189" t="s">
        <v>2714</v>
      </c>
      <c r="S3617" s="366"/>
      <c r="T3617" s="178" t="s">
        <v>7322</v>
      </c>
      <c r="U3617" s="178" t="s">
        <v>3064</v>
      </c>
      <c r="V3617" s="178"/>
      <c r="W3617" s="316" t="s">
        <v>7541</v>
      </c>
      <c r="X3617" s="648" t="s">
        <v>12447</v>
      </c>
      <c r="Y3617" s="356"/>
      <c r="Z3617" s="272">
        <v>128</v>
      </c>
      <c r="AA3617" s="272">
        <v>5</v>
      </c>
      <c r="AB3617" s="34">
        <f t="shared" ca="1" si="91"/>
        <v>0.74428037210235043</v>
      </c>
      <c r="AC3617" s="814"/>
      <c r="AD3617" s="815" t="s">
        <v>15855</v>
      </c>
      <c r="AE3617" s="942"/>
      <c r="AF3617" s="923">
        <f>IF(X3617=X3616,AF3616,0)+IF(ISNUMBER(I3617),IF(I3617&lt;1,I3617,I3617*VLOOKUP(J3617,Summary!$H$2:$I$9,2)),VLOOKUP(J3617,Summary!$J$2:$K$9,2)*IF(ISNUMBER(H3617),H3617,1))</f>
        <v>0.57500000000000007</v>
      </c>
      <c r="AG3617" s="291">
        <v>3616</v>
      </c>
      <c r="AH3617" s="122"/>
      <c r="AI3617" s="122"/>
      <c r="AJ3617" s="146"/>
    </row>
    <row r="3618" spans="1:36" s="147" customFormat="1" ht="12" customHeight="1" x14ac:dyDescent="0.25">
      <c r="A3618" s="569" t="s">
        <v>1567</v>
      </c>
      <c r="B3618" s="569">
        <v>8</v>
      </c>
      <c r="C3618" s="569">
        <v>70</v>
      </c>
      <c r="D3618" s="417" t="s">
        <v>7542</v>
      </c>
      <c r="E3618" s="316" t="s">
        <v>7543</v>
      </c>
      <c r="F3618" s="187">
        <v>38200</v>
      </c>
      <c r="G3618" s="188"/>
      <c r="H3618" s="188" t="str">
        <f t="shared" si="92"/>
        <v>n/a</v>
      </c>
      <c r="I3618" s="188">
        <v>281</v>
      </c>
      <c r="J3618" s="902" t="s">
        <v>6868</v>
      </c>
      <c r="K3618" s="162" t="s">
        <v>6235</v>
      </c>
      <c r="L3618" s="162" t="str">
        <f t="shared" si="93"/>
        <v>n/a</v>
      </c>
      <c r="M3618" s="162"/>
      <c r="N3618" s="162"/>
      <c r="O3618" s="162"/>
      <c r="P3618" s="178" t="s">
        <v>9124</v>
      </c>
      <c r="Q3618" s="162" t="s">
        <v>3953</v>
      </c>
      <c r="R3618" s="189" t="s">
        <v>2714</v>
      </c>
      <c r="S3618" s="366"/>
      <c r="T3618" s="178" t="s">
        <v>7322</v>
      </c>
      <c r="U3618" s="178" t="s">
        <v>3064</v>
      </c>
      <c r="V3618" s="178"/>
      <c r="W3618" s="316" t="s">
        <v>7543</v>
      </c>
      <c r="X3618" s="648" t="s">
        <v>12447</v>
      </c>
      <c r="Y3618" s="356"/>
      <c r="Z3618" s="272">
        <v>77</v>
      </c>
      <c r="AA3618" s="272">
        <v>6</v>
      </c>
      <c r="AB3618" s="34">
        <f t="shared" ca="1" si="91"/>
        <v>0.27998335706951472</v>
      </c>
      <c r="AC3618" s="814"/>
      <c r="AD3618" s="815" t="s">
        <v>16660</v>
      </c>
      <c r="AE3618" s="942" t="s">
        <v>12543</v>
      </c>
      <c r="AF3618" s="923">
        <f>IF(X3618=X3617,AF3617,0)+IF(ISNUMBER(I3618),IF(I3618&lt;1,I3618,I3618*VLOOKUP(J3618,Summary!$H$2:$I$9,2)),VLOOKUP(J3618,Summary!$J$2:$K$9,2)*IF(ISNUMBER(H3618),H3618,1))</f>
        <v>0.77013888888888893</v>
      </c>
      <c r="AG3618" s="291">
        <v>3617</v>
      </c>
      <c r="AH3618" s="122"/>
      <c r="AI3618" s="122"/>
      <c r="AJ3618" s="146"/>
    </row>
    <row r="3619" spans="1:36" s="147" customFormat="1" ht="12" customHeight="1" x14ac:dyDescent="0.25">
      <c r="A3619" s="569" t="s">
        <v>1567</v>
      </c>
      <c r="B3619" s="569">
        <v>8</v>
      </c>
      <c r="C3619" s="569">
        <v>71</v>
      </c>
      <c r="D3619" s="417" t="s">
        <v>7544</v>
      </c>
      <c r="E3619" s="316" t="s">
        <v>7545</v>
      </c>
      <c r="F3619" s="187">
        <v>38261</v>
      </c>
      <c r="G3619" s="188"/>
      <c r="H3619" s="188" t="str">
        <f t="shared" si="92"/>
        <v>n/a</v>
      </c>
      <c r="I3619" s="188">
        <v>280</v>
      </c>
      <c r="J3619" s="902" t="s">
        <v>6868</v>
      </c>
      <c r="K3619" s="162" t="s">
        <v>4032</v>
      </c>
      <c r="L3619" s="162" t="str">
        <f t="shared" si="93"/>
        <v>n/a</v>
      </c>
      <c r="M3619" s="162"/>
      <c r="N3619" s="162"/>
      <c r="O3619" s="162"/>
      <c r="P3619" s="178" t="s">
        <v>9125</v>
      </c>
      <c r="Q3619" s="162" t="s">
        <v>3953</v>
      </c>
      <c r="R3619" s="189" t="s">
        <v>2714</v>
      </c>
      <c r="S3619" s="366"/>
      <c r="T3619" s="178" t="s">
        <v>7322</v>
      </c>
      <c r="U3619" s="178" t="s">
        <v>3064</v>
      </c>
      <c r="V3619" s="178"/>
      <c r="W3619" s="316" t="s">
        <v>7545</v>
      </c>
      <c r="X3619" s="648" t="s">
        <v>12447</v>
      </c>
      <c r="Y3619" s="356"/>
      <c r="Z3619" s="272">
        <v>121</v>
      </c>
      <c r="AA3619" s="272">
        <v>5</v>
      </c>
      <c r="AB3619" s="34">
        <f t="shared" ca="1" si="91"/>
        <v>0.3456806160788447</v>
      </c>
      <c r="AC3619" s="814"/>
      <c r="AD3619" s="815" t="s">
        <v>15856</v>
      </c>
      <c r="AE3619" s="942" t="s">
        <v>12543</v>
      </c>
      <c r="AF3619" s="923">
        <f>IF(X3619=X3618,AF3618,0)+IF(ISNUMBER(I3619),IF(I3619&lt;1,I3619,I3619*VLOOKUP(J3619,Summary!$H$2:$I$9,2)),VLOOKUP(J3619,Summary!$J$2:$K$9,2)*IF(ISNUMBER(H3619),H3619,1))</f>
        <v>0.96458333333333335</v>
      </c>
      <c r="AG3619" s="291">
        <v>3618</v>
      </c>
      <c r="AH3619" s="122"/>
      <c r="AI3619" s="122"/>
      <c r="AJ3619" s="146"/>
    </row>
    <row r="3620" spans="1:36" s="147" customFormat="1" ht="12" customHeight="1" x14ac:dyDescent="0.25">
      <c r="A3620" s="569" t="s">
        <v>1567</v>
      </c>
      <c r="B3620" s="569">
        <v>8</v>
      </c>
      <c r="C3620" s="569">
        <v>72</v>
      </c>
      <c r="D3620" s="417" t="s">
        <v>7546</v>
      </c>
      <c r="E3620" s="316" t="s">
        <v>7547</v>
      </c>
      <c r="F3620" s="187">
        <v>38384</v>
      </c>
      <c r="G3620" s="188"/>
      <c r="H3620" s="188" t="str">
        <f t="shared" si="92"/>
        <v>n/a</v>
      </c>
      <c r="I3620" s="188">
        <v>274</v>
      </c>
      <c r="J3620" s="902" t="s">
        <v>6868</v>
      </c>
      <c r="K3620" s="162" t="s">
        <v>6237</v>
      </c>
      <c r="L3620" s="162" t="str">
        <f t="shared" si="93"/>
        <v>n/a</v>
      </c>
      <c r="M3620" s="162"/>
      <c r="N3620" s="162"/>
      <c r="O3620" s="162"/>
      <c r="P3620" s="178" t="s">
        <v>9126</v>
      </c>
      <c r="Q3620" s="162" t="s">
        <v>3953</v>
      </c>
      <c r="R3620" s="189" t="s">
        <v>2714</v>
      </c>
      <c r="S3620" s="366"/>
      <c r="T3620" s="178" t="s">
        <v>7322</v>
      </c>
      <c r="U3620" s="178" t="s">
        <v>3064</v>
      </c>
      <c r="V3620" s="178"/>
      <c r="W3620" s="316" t="s">
        <v>7547</v>
      </c>
      <c r="X3620" s="648" t="s">
        <v>12447</v>
      </c>
      <c r="Y3620" s="356"/>
      <c r="Z3620" s="272"/>
      <c r="AA3620" s="272"/>
      <c r="AB3620" s="34">
        <f t="shared" ca="1" si="91"/>
        <v>0.84762091485134383</v>
      </c>
      <c r="AC3620" s="814"/>
      <c r="AD3620" s="815" t="s">
        <v>16212</v>
      </c>
      <c r="AE3620" s="942" t="s">
        <v>12543</v>
      </c>
      <c r="AF3620" s="923">
        <f>IF(X3620=X3619,AF3619,0)+IF(ISNUMBER(I3620),IF(I3620&lt;1,I3620,I3620*VLOOKUP(J3620,Summary!$H$2:$I$9,2)),VLOOKUP(J3620,Summary!$J$2:$K$9,2)*IF(ISNUMBER(H3620),H3620,1))</f>
        <v>1.1548611111111111</v>
      </c>
      <c r="AG3620" s="291">
        <v>3619</v>
      </c>
      <c r="AH3620" s="122"/>
      <c r="AI3620" s="122"/>
      <c r="AJ3620" s="146"/>
    </row>
    <row r="3621" spans="1:36" s="147" customFormat="1" ht="12" customHeight="1" x14ac:dyDescent="0.25">
      <c r="A3621" s="569" t="s">
        <v>1567</v>
      </c>
      <c r="B3621" s="569">
        <v>8</v>
      </c>
      <c r="C3621" s="569">
        <v>73</v>
      </c>
      <c r="D3621" s="417" t="s">
        <v>7548</v>
      </c>
      <c r="E3621" s="316" t="s">
        <v>7549</v>
      </c>
      <c r="F3621" s="187">
        <v>38504</v>
      </c>
      <c r="G3621" s="188"/>
      <c r="H3621" s="188" t="str">
        <f t="shared" si="92"/>
        <v>n/a</v>
      </c>
      <c r="I3621" s="188">
        <v>283</v>
      </c>
      <c r="J3621" s="902" t="s">
        <v>6868</v>
      </c>
      <c r="K3621" s="162" t="s">
        <v>2311</v>
      </c>
      <c r="L3621" s="162" t="str">
        <f t="shared" si="93"/>
        <v>n/a</v>
      </c>
      <c r="M3621" s="162"/>
      <c r="N3621" s="162"/>
      <c r="O3621" s="162"/>
      <c r="P3621" s="178" t="s">
        <v>9127</v>
      </c>
      <c r="Q3621" s="162" t="s">
        <v>3953</v>
      </c>
      <c r="R3621" s="189" t="s">
        <v>2714</v>
      </c>
      <c r="S3621" s="366"/>
      <c r="T3621" s="178" t="s">
        <v>7322</v>
      </c>
      <c r="U3621" s="178" t="s">
        <v>3064</v>
      </c>
      <c r="V3621" s="178"/>
      <c r="W3621" s="316" t="s">
        <v>7549</v>
      </c>
      <c r="X3621" s="648" t="s">
        <v>12447</v>
      </c>
      <c r="Y3621" s="356"/>
      <c r="Z3621" s="272">
        <v>45</v>
      </c>
      <c r="AA3621" s="272">
        <v>7</v>
      </c>
      <c r="AB3621" s="34">
        <f t="shared" ca="1" si="91"/>
        <v>0.20198562127002961</v>
      </c>
      <c r="AC3621" s="814"/>
      <c r="AD3621" s="815" t="s">
        <v>15862</v>
      </c>
      <c r="AE3621" s="942"/>
      <c r="AF3621" s="923">
        <f>IF(X3621=X3620,AF3620,0)+IF(ISNUMBER(I3621),IF(I3621&lt;1,I3621,I3621*VLOOKUP(J3621,Summary!$H$2:$I$9,2)),VLOOKUP(J3621,Summary!$J$2:$K$9,2)*IF(ISNUMBER(H3621),H3621,1))</f>
        <v>1.351388888888889</v>
      </c>
      <c r="AG3621" s="291">
        <v>3620</v>
      </c>
      <c r="AH3621" s="122"/>
      <c r="AI3621" s="122"/>
      <c r="AJ3621" s="146"/>
    </row>
    <row r="3622" spans="1:36" s="147" customFormat="1" ht="12" customHeight="1" x14ac:dyDescent="0.25">
      <c r="A3622" s="578" t="s">
        <v>13757</v>
      </c>
      <c r="B3622" s="579" t="s">
        <v>13766</v>
      </c>
      <c r="C3622" s="578">
        <v>1</v>
      </c>
      <c r="D3622" s="580" t="s">
        <v>13979</v>
      </c>
      <c r="E3622" s="341" t="s">
        <v>13980</v>
      </c>
      <c r="F3622" s="175">
        <v>41061</v>
      </c>
      <c r="G3622" s="257"/>
      <c r="H3622" s="258" t="s">
        <v>461</v>
      </c>
      <c r="I3622" s="258"/>
      <c r="J3622" s="912" t="s">
        <v>2755</v>
      </c>
      <c r="K3622" s="259" t="s">
        <v>3324</v>
      </c>
      <c r="L3622" s="259" t="s">
        <v>461</v>
      </c>
      <c r="M3622" s="259"/>
      <c r="N3622" s="259" t="s">
        <v>3324</v>
      </c>
      <c r="O3622" s="259"/>
      <c r="P3622" s="255"/>
      <c r="Q3622" s="259" t="s">
        <v>11587</v>
      </c>
      <c r="R3622" s="260" t="s">
        <v>14082</v>
      </c>
      <c r="S3622" s="401"/>
      <c r="T3622" s="255"/>
      <c r="U3622" s="255"/>
      <c r="V3622" s="255"/>
      <c r="W3622" s="341" t="s">
        <v>13980</v>
      </c>
      <c r="X3622" s="676" t="s">
        <v>13978</v>
      </c>
      <c r="Y3622" s="381"/>
      <c r="Z3622" s="382"/>
      <c r="AA3622" s="382"/>
      <c r="AB3622" s="145">
        <f t="shared" ca="1" si="91"/>
        <v>2.2091979805870965E-2</v>
      </c>
      <c r="AC3622" s="840"/>
      <c r="AD3622" s="841"/>
      <c r="AE3622" s="961"/>
      <c r="AF3622" s="933">
        <f>IF(X3622=X3621,AF3621,0)+IF(ISNUMBER(I3622),IF(I3622&lt;1,I3622,I3622*VLOOKUP(J3622,Summary!$H$2:$I$9,2)),VLOOKUP(J3622,Summary!$J$2:$K$9,2)*IF(ISNUMBER(H3622),H3622,1))</f>
        <v>1.7361111111111112E-2</v>
      </c>
      <c r="AG3622" s="305">
        <v>3621</v>
      </c>
      <c r="AH3622" s="122"/>
      <c r="AI3622" s="122"/>
      <c r="AJ3622" s="146"/>
    </row>
    <row r="3623" spans="1:36" s="147" customFormat="1" ht="12" customHeight="1" x14ac:dyDescent="0.25">
      <c r="A3623" s="578" t="s">
        <v>13757</v>
      </c>
      <c r="B3623" s="579" t="s">
        <v>13766</v>
      </c>
      <c r="C3623" s="578">
        <v>2</v>
      </c>
      <c r="D3623" s="580" t="s">
        <v>13981</v>
      </c>
      <c r="E3623" s="341" t="s">
        <v>13982</v>
      </c>
      <c r="F3623" s="175">
        <v>41061</v>
      </c>
      <c r="G3623" s="257"/>
      <c r="H3623" s="258" t="s">
        <v>461</v>
      </c>
      <c r="I3623" s="258"/>
      <c r="J3623" s="912" t="s">
        <v>2755</v>
      </c>
      <c r="K3623" s="259" t="s">
        <v>11638</v>
      </c>
      <c r="L3623" s="259" t="s">
        <v>461</v>
      </c>
      <c r="M3623" s="259"/>
      <c r="N3623" s="259" t="s">
        <v>3324</v>
      </c>
      <c r="O3623" s="259"/>
      <c r="P3623" s="255"/>
      <c r="Q3623" s="259" t="s">
        <v>11587</v>
      </c>
      <c r="R3623" s="260" t="s">
        <v>14082</v>
      </c>
      <c r="S3623" s="401"/>
      <c r="T3623" s="255"/>
      <c r="U3623" s="255"/>
      <c r="V3623" s="255"/>
      <c r="W3623" s="341" t="s">
        <v>13982</v>
      </c>
      <c r="X3623" s="676" t="s">
        <v>13978</v>
      </c>
      <c r="Y3623" s="381"/>
      <c r="Z3623" s="382"/>
      <c r="AA3623" s="382"/>
      <c r="AB3623" s="145">
        <f t="shared" ca="1" si="91"/>
        <v>8.7521177803027372E-2</v>
      </c>
      <c r="AC3623" s="840"/>
      <c r="AD3623" s="841"/>
      <c r="AE3623" s="961"/>
      <c r="AF3623" s="933">
        <f>IF(X3623=X3622,AF3622,0)+IF(ISNUMBER(I3623),IF(I3623&lt;1,I3623,I3623*VLOOKUP(J3623,Summary!$H$2:$I$9,2)),VLOOKUP(J3623,Summary!$J$2:$K$9,2)*IF(ISNUMBER(H3623),H3623,1))</f>
        <v>3.4722222222222224E-2</v>
      </c>
      <c r="AG3623" s="305">
        <v>3622</v>
      </c>
      <c r="AH3623" s="122"/>
      <c r="AI3623" s="122"/>
      <c r="AJ3623" s="146"/>
    </row>
    <row r="3624" spans="1:36" s="147" customFormat="1" ht="12" customHeight="1" x14ac:dyDescent="0.25">
      <c r="A3624" s="578" t="s">
        <v>13757</v>
      </c>
      <c r="B3624" s="579" t="s">
        <v>13766</v>
      </c>
      <c r="C3624" s="578">
        <v>3</v>
      </c>
      <c r="D3624" s="580" t="s">
        <v>13983</v>
      </c>
      <c r="E3624" s="341" t="s">
        <v>13984</v>
      </c>
      <c r="F3624" s="175">
        <v>41061</v>
      </c>
      <c r="G3624" s="257"/>
      <c r="H3624" s="258" t="s">
        <v>461</v>
      </c>
      <c r="I3624" s="258"/>
      <c r="J3624" s="912" t="s">
        <v>2755</v>
      </c>
      <c r="K3624" s="259" t="s">
        <v>13883</v>
      </c>
      <c r="L3624" s="259" t="s">
        <v>461</v>
      </c>
      <c r="M3624" s="259"/>
      <c r="N3624" s="259" t="s">
        <v>3324</v>
      </c>
      <c r="O3624" s="259"/>
      <c r="P3624" s="255"/>
      <c r="Q3624" s="259" t="s">
        <v>11587</v>
      </c>
      <c r="R3624" s="260" t="s">
        <v>14082</v>
      </c>
      <c r="S3624" s="401"/>
      <c r="T3624" s="255"/>
      <c r="U3624" s="255"/>
      <c r="V3624" s="255"/>
      <c r="W3624" s="341" t="s">
        <v>13984</v>
      </c>
      <c r="X3624" s="676" t="s">
        <v>13978</v>
      </c>
      <c r="Y3624" s="381"/>
      <c r="Z3624" s="382"/>
      <c r="AA3624" s="382"/>
      <c r="AB3624" s="145">
        <f t="shared" ca="1" si="91"/>
        <v>0.27534459284446033</v>
      </c>
      <c r="AC3624" s="840"/>
      <c r="AD3624" s="841"/>
      <c r="AE3624" s="961"/>
      <c r="AF3624" s="933">
        <f>IF(X3624=X3623,AF3623,0)+IF(ISNUMBER(I3624),IF(I3624&lt;1,I3624,I3624*VLOOKUP(J3624,Summary!$H$2:$I$9,2)),VLOOKUP(J3624,Summary!$J$2:$K$9,2)*IF(ISNUMBER(H3624),H3624,1))</f>
        <v>5.2083333333333336E-2</v>
      </c>
      <c r="AG3624" s="305">
        <v>3623</v>
      </c>
      <c r="AH3624" s="122"/>
      <c r="AI3624" s="122"/>
      <c r="AJ3624" s="146"/>
    </row>
    <row r="3625" spans="1:36" s="147" customFormat="1" ht="12" customHeight="1" x14ac:dyDescent="0.25">
      <c r="A3625" s="578" t="s">
        <v>13757</v>
      </c>
      <c r="B3625" s="579" t="s">
        <v>13766</v>
      </c>
      <c r="C3625" s="578">
        <v>4</v>
      </c>
      <c r="D3625" s="580" t="s">
        <v>13985</v>
      </c>
      <c r="E3625" s="341" t="s">
        <v>13986</v>
      </c>
      <c r="F3625" s="175">
        <v>41061</v>
      </c>
      <c r="G3625" s="257"/>
      <c r="H3625" s="258" t="s">
        <v>461</v>
      </c>
      <c r="I3625" s="258"/>
      <c r="J3625" s="912" t="s">
        <v>2755</v>
      </c>
      <c r="K3625" s="259" t="s">
        <v>11878</v>
      </c>
      <c r="L3625" s="259" t="s">
        <v>461</v>
      </c>
      <c r="M3625" s="259"/>
      <c r="N3625" s="259" t="s">
        <v>3324</v>
      </c>
      <c r="O3625" s="259"/>
      <c r="P3625" s="255"/>
      <c r="Q3625" s="259" t="s">
        <v>11587</v>
      </c>
      <c r="R3625" s="260" t="s">
        <v>14082</v>
      </c>
      <c r="S3625" s="401"/>
      <c r="T3625" s="255"/>
      <c r="U3625" s="255"/>
      <c r="V3625" s="255"/>
      <c r="W3625" s="341" t="s">
        <v>13986</v>
      </c>
      <c r="X3625" s="676" t="s">
        <v>13978</v>
      </c>
      <c r="Y3625" s="381"/>
      <c r="Z3625" s="382"/>
      <c r="AA3625" s="382"/>
      <c r="AB3625" s="145">
        <f t="shared" ca="1" si="91"/>
        <v>0.23768931323784892</v>
      </c>
      <c r="AC3625" s="840"/>
      <c r="AD3625" s="841"/>
      <c r="AE3625" s="961"/>
      <c r="AF3625" s="933">
        <f>IF(X3625=X3624,AF3624,0)+IF(ISNUMBER(I3625),IF(I3625&lt;1,I3625,I3625*VLOOKUP(J3625,Summary!$H$2:$I$9,2)),VLOOKUP(J3625,Summary!$J$2:$K$9,2)*IF(ISNUMBER(H3625),H3625,1))</f>
        <v>6.9444444444444448E-2</v>
      </c>
      <c r="AG3625" s="305">
        <v>3624</v>
      </c>
      <c r="AH3625" s="122"/>
      <c r="AI3625" s="122"/>
      <c r="AJ3625" s="146"/>
    </row>
    <row r="3626" spans="1:36" s="147" customFormat="1" ht="12" customHeight="1" x14ac:dyDescent="0.25">
      <c r="A3626" s="578" t="s">
        <v>13757</v>
      </c>
      <c r="B3626" s="579" t="s">
        <v>13766</v>
      </c>
      <c r="C3626" s="578">
        <v>5</v>
      </c>
      <c r="D3626" s="580" t="s">
        <v>13987</v>
      </c>
      <c r="E3626" s="341" t="s">
        <v>13988</v>
      </c>
      <c r="F3626" s="175">
        <v>41061</v>
      </c>
      <c r="G3626" s="257"/>
      <c r="H3626" s="258" t="s">
        <v>461</v>
      </c>
      <c r="I3626" s="258"/>
      <c r="J3626" s="912" t="s">
        <v>2755</v>
      </c>
      <c r="K3626" s="259" t="s">
        <v>13898</v>
      </c>
      <c r="L3626" s="259" t="s">
        <v>461</v>
      </c>
      <c r="M3626" s="259"/>
      <c r="N3626" s="259" t="s">
        <v>3324</v>
      </c>
      <c r="O3626" s="259"/>
      <c r="P3626" s="255"/>
      <c r="Q3626" s="259" t="s">
        <v>11587</v>
      </c>
      <c r="R3626" s="260" t="s">
        <v>14082</v>
      </c>
      <c r="S3626" s="401"/>
      <c r="T3626" s="255"/>
      <c r="U3626" s="255"/>
      <c r="V3626" s="255"/>
      <c r="W3626" s="341" t="s">
        <v>13988</v>
      </c>
      <c r="X3626" s="676" t="s">
        <v>13978</v>
      </c>
      <c r="Y3626" s="381"/>
      <c r="Z3626" s="382"/>
      <c r="AA3626" s="382"/>
      <c r="AB3626" s="145">
        <f t="shared" ca="1" si="91"/>
        <v>0.5816019372491078</v>
      </c>
      <c r="AC3626" s="840"/>
      <c r="AD3626" s="841"/>
      <c r="AE3626" s="961"/>
      <c r="AF3626" s="933">
        <f>IF(X3626=X3625,AF3625,0)+IF(ISNUMBER(I3626),IF(I3626&lt;1,I3626,I3626*VLOOKUP(J3626,Summary!$H$2:$I$9,2)),VLOOKUP(J3626,Summary!$J$2:$K$9,2)*IF(ISNUMBER(H3626),H3626,1))</f>
        <v>8.6805555555555552E-2</v>
      </c>
      <c r="AG3626" s="305">
        <v>3625</v>
      </c>
      <c r="AH3626" s="122"/>
      <c r="AI3626" s="122"/>
      <c r="AJ3626" s="146"/>
    </row>
    <row r="3627" spans="1:36" s="147" customFormat="1" ht="12" customHeight="1" x14ac:dyDescent="0.25">
      <c r="A3627" s="578" t="s">
        <v>13757</v>
      </c>
      <c r="B3627" s="579" t="s">
        <v>13766</v>
      </c>
      <c r="C3627" s="578">
        <v>6</v>
      </c>
      <c r="D3627" s="580" t="s">
        <v>13989</v>
      </c>
      <c r="E3627" s="341" t="s">
        <v>13990</v>
      </c>
      <c r="F3627" s="175">
        <v>41061</v>
      </c>
      <c r="G3627" s="257"/>
      <c r="H3627" s="258" t="s">
        <v>461</v>
      </c>
      <c r="I3627" s="258"/>
      <c r="J3627" s="912" t="s">
        <v>2755</v>
      </c>
      <c r="K3627" s="259" t="s">
        <v>3529</v>
      </c>
      <c r="L3627" s="259" t="s">
        <v>461</v>
      </c>
      <c r="M3627" s="259"/>
      <c r="N3627" s="259" t="s">
        <v>3324</v>
      </c>
      <c r="O3627" s="259"/>
      <c r="P3627" s="255"/>
      <c r="Q3627" s="259" t="s">
        <v>11587</v>
      </c>
      <c r="R3627" s="260" t="s">
        <v>14082</v>
      </c>
      <c r="S3627" s="401"/>
      <c r="T3627" s="255"/>
      <c r="U3627" s="255"/>
      <c r="V3627" s="255"/>
      <c r="W3627" s="341" t="s">
        <v>13990</v>
      </c>
      <c r="X3627" s="676" t="s">
        <v>13978</v>
      </c>
      <c r="Y3627" s="381"/>
      <c r="Z3627" s="382"/>
      <c r="AA3627" s="382"/>
      <c r="AB3627" s="145">
        <f t="shared" ca="1" si="91"/>
        <v>0.86465548789621804</v>
      </c>
      <c r="AC3627" s="840"/>
      <c r="AD3627" s="841"/>
      <c r="AE3627" s="961"/>
      <c r="AF3627" s="933">
        <f>IF(X3627=X3626,AF3626,0)+IF(ISNUMBER(I3627),IF(I3627&lt;1,I3627,I3627*VLOOKUP(J3627,Summary!$H$2:$I$9,2)),VLOOKUP(J3627,Summary!$J$2:$K$9,2)*IF(ISNUMBER(H3627),H3627,1))</f>
        <v>0.10416666666666666</v>
      </c>
      <c r="AG3627" s="305">
        <v>3626</v>
      </c>
      <c r="AH3627" s="122"/>
      <c r="AI3627" s="122"/>
      <c r="AJ3627" s="146"/>
    </row>
    <row r="3628" spans="1:36" s="147" customFormat="1" ht="12" customHeight="1" x14ac:dyDescent="0.25">
      <c r="A3628" s="578" t="s">
        <v>13757</v>
      </c>
      <c r="B3628" s="579" t="s">
        <v>13766</v>
      </c>
      <c r="C3628" s="578">
        <v>7</v>
      </c>
      <c r="D3628" s="580" t="s">
        <v>13991</v>
      </c>
      <c r="E3628" s="341" t="s">
        <v>13992</v>
      </c>
      <c r="F3628" s="175">
        <v>41061</v>
      </c>
      <c r="G3628" s="257"/>
      <c r="H3628" s="258" t="s">
        <v>461</v>
      </c>
      <c r="I3628" s="258"/>
      <c r="J3628" s="912" t="s">
        <v>2755</v>
      </c>
      <c r="K3628" s="259" t="s">
        <v>4131</v>
      </c>
      <c r="L3628" s="259" t="s">
        <v>461</v>
      </c>
      <c r="M3628" s="259"/>
      <c r="N3628" s="259" t="s">
        <v>3324</v>
      </c>
      <c r="O3628" s="259"/>
      <c r="P3628" s="255"/>
      <c r="Q3628" s="259" t="s">
        <v>11587</v>
      </c>
      <c r="R3628" s="260" t="s">
        <v>14082</v>
      </c>
      <c r="S3628" s="401"/>
      <c r="T3628" s="255"/>
      <c r="U3628" s="255"/>
      <c r="V3628" s="255"/>
      <c r="W3628" s="341" t="s">
        <v>13992</v>
      </c>
      <c r="X3628" s="676" t="s">
        <v>13978</v>
      </c>
      <c r="Y3628" s="381"/>
      <c r="Z3628" s="382"/>
      <c r="AA3628" s="382"/>
      <c r="AB3628" s="145">
        <f t="shared" ca="1" si="91"/>
        <v>0.65525567918716421</v>
      </c>
      <c r="AC3628" s="840"/>
      <c r="AD3628" s="841"/>
      <c r="AE3628" s="961"/>
      <c r="AF3628" s="933">
        <f>IF(X3628=X3627,AF3627,0)+IF(ISNUMBER(I3628),IF(I3628&lt;1,I3628,I3628*VLOOKUP(J3628,Summary!$H$2:$I$9,2)),VLOOKUP(J3628,Summary!$J$2:$K$9,2)*IF(ISNUMBER(H3628),H3628,1))</f>
        <v>0.12152777777777776</v>
      </c>
      <c r="AG3628" s="305">
        <v>3627</v>
      </c>
      <c r="AH3628" s="122"/>
      <c r="AI3628" s="122"/>
      <c r="AJ3628" s="146"/>
    </row>
    <row r="3629" spans="1:36" s="147" customFormat="1" ht="12" customHeight="1" x14ac:dyDescent="0.25">
      <c r="A3629" s="578" t="s">
        <v>13757</v>
      </c>
      <c r="B3629" s="579" t="s">
        <v>13766</v>
      </c>
      <c r="C3629" s="578">
        <v>8</v>
      </c>
      <c r="D3629" s="580" t="s">
        <v>13993</v>
      </c>
      <c r="E3629" s="341" t="s">
        <v>13994</v>
      </c>
      <c r="F3629" s="175">
        <v>41061</v>
      </c>
      <c r="G3629" s="257"/>
      <c r="H3629" s="258" t="s">
        <v>461</v>
      </c>
      <c r="I3629" s="258"/>
      <c r="J3629" s="912" t="s">
        <v>2755</v>
      </c>
      <c r="K3629" s="259" t="s">
        <v>3324</v>
      </c>
      <c r="L3629" s="259" t="s">
        <v>461</v>
      </c>
      <c r="M3629" s="259"/>
      <c r="N3629" s="259" t="s">
        <v>3324</v>
      </c>
      <c r="O3629" s="259"/>
      <c r="P3629" s="255"/>
      <c r="Q3629" s="259" t="s">
        <v>11587</v>
      </c>
      <c r="R3629" s="260" t="s">
        <v>14082</v>
      </c>
      <c r="S3629" s="401"/>
      <c r="T3629" s="255"/>
      <c r="U3629" s="255"/>
      <c r="V3629" s="255"/>
      <c r="W3629" s="341" t="s">
        <v>13994</v>
      </c>
      <c r="X3629" s="676" t="s">
        <v>13978</v>
      </c>
      <c r="Y3629" s="381"/>
      <c r="Z3629" s="382"/>
      <c r="AA3629" s="382"/>
      <c r="AB3629" s="145">
        <f t="shared" ca="1" si="91"/>
        <v>0.68266643729161736</v>
      </c>
      <c r="AC3629" s="840"/>
      <c r="AD3629" s="841"/>
      <c r="AE3629" s="961"/>
      <c r="AF3629" s="933">
        <f>IF(X3629=X3628,AF3628,0)+IF(ISNUMBER(I3629),IF(I3629&lt;1,I3629,I3629*VLOOKUP(J3629,Summary!$H$2:$I$9,2)),VLOOKUP(J3629,Summary!$J$2:$K$9,2)*IF(ISNUMBER(H3629),H3629,1))</f>
        <v>0.13888888888888887</v>
      </c>
      <c r="AG3629" s="305">
        <v>3628</v>
      </c>
      <c r="AH3629" s="122"/>
      <c r="AI3629" s="122"/>
      <c r="AJ3629" s="146"/>
    </row>
    <row r="3630" spans="1:36" s="29" customFormat="1" ht="12" customHeight="1" x14ac:dyDescent="0.25">
      <c r="A3630" s="578" t="s">
        <v>13757</v>
      </c>
      <c r="B3630" s="579" t="s">
        <v>13766</v>
      </c>
      <c r="C3630" s="578">
        <v>9</v>
      </c>
      <c r="D3630" s="580" t="s">
        <v>13995</v>
      </c>
      <c r="E3630" s="341" t="s">
        <v>13996</v>
      </c>
      <c r="F3630" s="175">
        <v>41426</v>
      </c>
      <c r="G3630" s="257"/>
      <c r="H3630" s="258" t="s">
        <v>461</v>
      </c>
      <c r="I3630" s="258"/>
      <c r="J3630" s="912" t="s">
        <v>2755</v>
      </c>
      <c r="K3630" s="259" t="s">
        <v>3424</v>
      </c>
      <c r="L3630" s="259" t="s">
        <v>461</v>
      </c>
      <c r="M3630" s="259"/>
      <c r="N3630" s="259" t="s">
        <v>3324</v>
      </c>
      <c r="O3630" s="259"/>
      <c r="P3630" s="255"/>
      <c r="Q3630" s="259" t="s">
        <v>11587</v>
      </c>
      <c r="R3630" s="260" t="s">
        <v>14082</v>
      </c>
      <c r="S3630" s="401"/>
      <c r="T3630" s="255"/>
      <c r="U3630" s="255"/>
      <c r="V3630" s="255"/>
      <c r="W3630" s="341" t="s">
        <v>13996</v>
      </c>
      <c r="X3630" s="676" t="s">
        <v>13978</v>
      </c>
      <c r="Y3630" s="381"/>
      <c r="Z3630" s="382"/>
      <c r="AA3630" s="382"/>
      <c r="AB3630" s="145">
        <f t="shared" ca="1" si="91"/>
        <v>0.13032351278627941</v>
      </c>
      <c r="AC3630" s="840"/>
      <c r="AD3630" s="841"/>
      <c r="AE3630" s="961"/>
      <c r="AF3630" s="933">
        <f>IF(X3630=X3629,AF3629,0)+IF(ISNUMBER(I3630),IF(I3630&lt;1,I3630,I3630*VLOOKUP(J3630,Summary!$H$2:$I$9,2)),VLOOKUP(J3630,Summary!$J$2:$K$9,2)*IF(ISNUMBER(H3630),H3630,1))</f>
        <v>0.15624999999999997</v>
      </c>
      <c r="AG3630" s="305">
        <v>3629</v>
      </c>
      <c r="AH3630" s="94"/>
      <c r="AI3630" s="94"/>
      <c r="AJ3630" s="3"/>
    </row>
    <row r="3631" spans="1:36" s="43" customFormat="1" ht="12" customHeight="1" x14ac:dyDescent="0.25">
      <c r="A3631" s="578" t="s">
        <v>13757</v>
      </c>
      <c r="B3631" s="579" t="s">
        <v>13766</v>
      </c>
      <c r="C3631" s="578">
        <v>10</v>
      </c>
      <c r="D3631" s="580" t="s">
        <v>13997</v>
      </c>
      <c r="E3631" s="341" t="s">
        <v>13998</v>
      </c>
      <c r="F3631" s="175">
        <v>41426</v>
      </c>
      <c r="G3631" s="257"/>
      <c r="H3631" s="258" t="s">
        <v>461</v>
      </c>
      <c r="I3631" s="258"/>
      <c r="J3631" s="912" t="s">
        <v>2755</v>
      </c>
      <c r="K3631" s="259" t="s">
        <v>4738</v>
      </c>
      <c r="L3631" s="259" t="s">
        <v>461</v>
      </c>
      <c r="M3631" s="259"/>
      <c r="N3631" s="259" t="s">
        <v>3324</v>
      </c>
      <c r="O3631" s="259"/>
      <c r="P3631" s="255"/>
      <c r="Q3631" s="259" t="s">
        <v>11587</v>
      </c>
      <c r="R3631" s="260" t="s">
        <v>14082</v>
      </c>
      <c r="S3631" s="401"/>
      <c r="T3631" s="255"/>
      <c r="U3631" s="255"/>
      <c r="V3631" s="255"/>
      <c r="W3631" s="341" t="s">
        <v>13998</v>
      </c>
      <c r="X3631" s="676" t="s">
        <v>13978</v>
      </c>
      <c r="Y3631" s="381"/>
      <c r="Z3631" s="382"/>
      <c r="AA3631" s="382"/>
      <c r="AB3631" s="145">
        <f t="shared" ca="1" si="91"/>
        <v>0.78354053251141154</v>
      </c>
      <c r="AC3631" s="840"/>
      <c r="AD3631" s="841"/>
      <c r="AE3631" s="961"/>
      <c r="AF3631" s="933">
        <f>IF(X3631=X3630,AF3630,0)+IF(ISNUMBER(I3631),IF(I3631&lt;1,I3631,I3631*VLOOKUP(J3631,Summary!$H$2:$I$9,2)),VLOOKUP(J3631,Summary!$J$2:$K$9,2)*IF(ISNUMBER(H3631),H3631,1))</f>
        <v>0.17361111111111108</v>
      </c>
      <c r="AG3631" s="305">
        <v>3630</v>
      </c>
      <c r="AH3631" s="94"/>
      <c r="AI3631" s="94"/>
      <c r="AJ3631" s="2"/>
    </row>
    <row r="3632" spans="1:36" s="22" customFormat="1" ht="12" customHeight="1" x14ac:dyDescent="0.25">
      <c r="A3632" s="578" t="s">
        <v>13757</v>
      </c>
      <c r="B3632" s="579" t="s">
        <v>13766</v>
      </c>
      <c r="C3632" s="578">
        <v>11</v>
      </c>
      <c r="D3632" s="580" t="s">
        <v>13999</v>
      </c>
      <c r="E3632" s="341" t="s">
        <v>14000</v>
      </c>
      <c r="F3632" s="175">
        <v>41426</v>
      </c>
      <c r="G3632" s="257"/>
      <c r="H3632" s="258" t="s">
        <v>461</v>
      </c>
      <c r="I3632" s="258"/>
      <c r="J3632" s="912" t="s">
        <v>2755</v>
      </c>
      <c r="K3632" s="259" t="s">
        <v>907</v>
      </c>
      <c r="L3632" s="259" t="s">
        <v>461</v>
      </c>
      <c r="M3632" s="259"/>
      <c r="N3632" s="259" t="s">
        <v>3324</v>
      </c>
      <c r="O3632" s="259"/>
      <c r="P3632" s="255"/>
      <c r="Q3632" s="259" t="s">
        <v>11587</v>
      </c>
      <c r="R3632" s="260" t="s">
        <v>14082</v>
      </c>
      <c r="S3632" s="401"/>
      <c r="T3632" s="255"/>
      <c r="U3632" s="255"/>
      <c r="V3632" s="255"/>
      <c r="W3632" s="341" t="s">
        <v>14000</v>
      </c>
      <c r="X3632" s="676" t="s">
        <v>13978</v>
      </c>
      <c r="Y3632" s="381"/>
      <c r="Z3632" s="382"/>
      <c r="AA3632" s="382"/>
      <c r="AB3632" s="145">
        <f t="shared" ca="1" si="91"/>
        <v>0.39724480719193245</v>
      </c>
      <c r="AC3632" s="840"/>
      <c r="AD3632" s="841"/>
      <c r="AE3632" s="961"/>
      <c r="AF3632" s="933">
        <f>IF(X3632=X3631,AF3631,0)+IF(ISNUMBER(I3632),IF(I3632&lt;1,I3632,I3632*VLOOKUP(J3632,Summary!$H$2:$I$9,2)),VLOOKUP(J3632,Summary!$J$2:$K$9,2)*IF(ISNUMBER(H3632),H3632,1))</f>
        <v>0.19097222222222218</v>
      </c>
      <c r="AG3632" s="305">
        <v>3631</v>
      </c>
      <c r="AH3632" s="94"/>
      <c r="AI3632" s="94"/>
      <c r="AJ3632" s="1"/>
    </row>
    <row r="3633" spans="1:36" s="43" customFormat="1" ht="12" customHeight="1" x14ac:dyDescent="0.25">
      <c r="A3633" s="578" t="s">
        <v>13757</v>
      </c>
      <c r="B3633" s="579" t="s">
        <v>13766</v>
      </c>
      <c r="C3633" s="578">
        <v>12</v>
      </c>
      <c r="D3633" s="580" t="s">
        <v>14001</v>
      </c>
      <c r="E3633" s="341" t="s">
        <v>14002</v>
      </c>
      <c r="F3633" s="175">
        <v>41426</v>
      </c>
      <c r="G3633" s="257"/>
      <c r="H3633" s="258" t="s">
        <v>461</v>
      </c>
      <c r="I3633" s="258"/>
      <c r="J3633" s="912" t="s">
        <v>2755</v>
      </c>
      <c r="K3633" s="259" t="s">
        <v>11958</v>
      </c>
      <c r="L3633" s="259" t="s">
        <v>461</v>
      </c>
      <c r="M3633" s="259"/>
      <c r="N3633" s="259" t="s">
        <v>3324</v>
      </c>
      <c r="O3633" s="259"/>
      <c r="P3633" s="255"/>
      <c r="Q3633" s="259" t="s">
        <v>11587</v>
      </c>
      <c r="R3633" s="260" t="s">
        <v>14082</v>
      </c>
      <c r="S3633" s="401"/>
      <c r="T3633" s="255"/>
      <c r="U3633" s="255"/>
      <c r="V3633" s="255"/>
      <c r="W3633" s="341" t="s">
        <v>14002</v>
      </c>
      <c r="X3633" s="676" t="s">
        <v>13978</v>
      </c>
      <c r="Y3633" s="381"/>
      <c r="Z3633" s="382"/>
      <c r="AA3633" s="382"/>
      <c r="AB3633" s="145">
        <f t="shared" ca="1" si="91"/>
        <v>0.5051195449239646</v>
      </c>
      <c r="AC3633" s="840"/>
      <c r="AD3633" s="841"/>
      <c r="AE3633" s="961"/>
      <c r="AF3633" s="933">
        <f>IF(X3633=X3632,AF3632,0)+IF(ISNUMBER(I3633),IF(I3633&lt;1,I3633,I3633*VLOOKUP(J3633,Summary!$H$2:$I$9,2)),VLOOKUP(J3633,Summary!$J$2:$K$9,2)*IF(ISNUMBER(H3633),H3633,1))</f>
        <v>0.20833333333333329</v>
      </c>
      <c r="AG3633" s="305">
        <v>3632</v>
      </c>
      <c r="AH3633" s="94"/>
      <c r="AI3633" s="94"/>
      <c r="AJ3633" s="1"/>
    </row>
    <row r="3634" spans="1:36" s="3" customFormat="1" ht="12" customHeight="1" x14ac:dyDescent="0.25">
      <c r="A3634" s="578" t="s">
        <v>13757</v>
      </c>
      <c r="B3634" s="579" t="s">
        <v>13766</v>
      </c>
      <c r="C3634" s="578">
        <v>13</v>
      </c>
      <c r="D3634" s="580" t="s">
        <v>14003</v>
      </c>
      <c r="E3634" s="341" t="s">
        <v>14004</v>
      </c>
      <c r="F3634" s="175">
        <v>41426</v>
      </c>
      <c r="G3634" s="257"/>
      <c r="H3634" s="258" t="s">
        <v>461</v>
      </c>
      <c r="I3634" s="258"/>
      <c r="J3634" s="912" t="s">
        <v>2755</v>
      </c>
      <c r="K3634" s="259" t="s">
        <v>3786</v>
      </c>
      <c r="L3634" s="259" t="s">
        <v>461</v>
      </c>
      <c r="M3634" s="259"/>
      <c r="N3634" s="259" t="s">
        <v>3324</v>
      </c>
      <c r="O3634" s="259"/>
      <c r="P3634" s="255"/>
      <c r="Q3634" s="259" t="s">
        <v>11587</v>
      </c>
      <c r="R3634" s="260" t="s">
        <v>14082</v>
      </c>
      <c r="S3634" s="401"/>
      <c r="T3634" s="255"/>
      <c r="U3634" s="255"/>
      <c r="V3634" s="255"/>
      <c r="W3634" s="341" t="s">
        <v>14004</v>
      </c>
      <c r="X3634" s="676" t="s">
        <v>13978</v>
      </c>
      <c r="Y3634" s="381"/>
      <c r="Z3634" s="382"/>
      <c r="AA3634" s="382"/>
      <c r="AB3634" s="145">
        <f t="shared" ca="1" si="91"/>
        <v>0.20854022320103927</v>
      </c>
      <c r="AC3634" s="840"/>
      <c r="AD3634" s="841"/>
      <c r="AE3634" s="961"/>
      <c r="AF3634" s="933">
        <f>IF(X3634=X3633,AF3633,0)+IF(ISNUMBER(I3634),IF(I3634&lt;1,I3634,I3634*VLOOKUP(J3634,Summary!$H$2:$I$9,2)),VLOOKUP(J3634,Summary!$J$2:$K$9,2)*IF(ISNUMBER(H3634),H3634,1))</f>
        <v>0.22569444444444439</v>
      </c>
      <c r="AG3634" s="305">
        <v>3633</v>
      </c>
      <c r="AH3634" s="94"/>
      <c r="AI3634" s="94"/>
      <c r="AJ3634" s="1"/>
    </row>
    <row r="3635" spans="1:36" s="43" customFormat="1" ht="12" customHeight="1" x14ac:dyDescent="0.25">
      <c r="A3635" s="578" t="s">
        <v>13757</v>
      </c>
      <c r="B3635" s="579" t="s">
        <v>13766</v>
      </c>
      <c r="C3635" s="578">
        <v>14</v>
      </c>
      <c r="D3635" s="580" t="s">
        <v>14005</v>
      </c>
      <c r="E3635" s="341" t="s">
        <v>14006</v>
      </c>
      <c r="F3635" s="175">
        <v>41426</v>
      </c>
      <c r="G3635" s="257"/>
      <c r="H3635" s="258" t="s">
        <v>461</v>
      </c>
      <c r="I3635" s="258"/>
      <c r="J3635" s="912" t="s">
        <v>2755</v>
      </c>
      <c r="K3635" s="259" t="s">
        <v>3787</v>
      </c>
      <c r="L3635" s="259" t="s">
        <v>461</v>
      </c>
      <c r="M3635" s="259"/>
      <c r="N3635" s="259" t="s">
        <v>3324</v>
      </c>
      <c r="O3635" s="259"/>
      <c r="P3635" s="255"/>
      <c r="Q3635" s="259" t="s">
        <v>11587</v>
      </c>
      <c r="R3635" s="260" t="s">
        <v>14082</v>
      </c>
      <c r="S3635" s="401"/>
      <c r="T3635" s="255"/>
      <c r="U3635" s="255"/>
      <c r="V3635" s="255"/>
      <c r="W3635" s="341" t="s">
        <v>14006</v>
      </c>
      <c r="X3635" s="676" t="s">
        <v>13978</v>
      </c>
      <c r="Y3635" s="381"/>
      <c r="Z3635" s="382"/>
      <c r="AA3635" s="382"/>
      <c r="AB3635" s="145">
        <f t="shared" ca="1" si="91"/>
        <v>0.69248254128734077</v>
      </c>
      <c r="AC3635" s="840"/>
      <c r="AD3635" s="841"/>
      <c r="AE3635" s="961"/>
      <c r="AF3635" s="933">
        <f>IF(X3635=X3634,AF3634,0)+IF(ISNUMBER(I3635),IF(I3635&lt;1,I3635,I3635*VLOOKUP(J3635,Summary!$H$2:$I$9,2)),VLOOKUP(J3635,Summary!$J$2:$K$9,2)*IF(ISNUMBER(H3635),H3635,1))</f>
        <v>0.2430555555555555</v>
      </c>
      <c r="AG3635" s="305">
        <v>3634</v>
      </c>
      <c r="AH3635" s="94"/>
      <c r="AI3635" s="94"/>
      <c r="AJ3635" s="29"/>
    </row>
    <row r="3636" spans="1:36" s="43" customFormat="1" ht="12" customHeight="1" x14ac:dyDescent="0.25">
      <c r="A3636" s="578" t="s">
        <v>13757</v>
      </c>
      <c r="B3636" s="579" t="s">
        <v>13766</v>
      </c>
      <c r="C3636" s="578">
        <v>15</v>
      </c>
      <c r="D3636" s="580" t="s">
        <v>14007</v>
      </c>
      <c r="E3636" s="341" t="s">
        <v>14008</v>
      </c>
      <c r="F3636" s="175">
        <v>41426</v>
      </c>
      <c r="G3636" s="257"/>
      <c r="H3636" s="258" t="s">
        <v>461</v>
      </c>
      <c r="I3636" s="258"/>
      <c r="J3636" s="912" t="s">
        <v>2755</v>
      </c>
      <c r="K3636" s="259" t="s">
        <v>3324</v>
      </c>
      <c r="L3636" s="259" t="s">
        <v>461</v>
      </c>
      <c r="M3636" s="259"/>
      <c r="N3636" s="259" t="s">
        <v>3324</v>
      </c>
      <c r="O3636" s="259"/>
      <c r="P3636" s="255"/>
      <c r="Q3636" s="259" t="s">
        <v>11587</v>
      </c>
      <c r="R3636" s="260" t="s">
        <v>14082</v>
      </c>
      <c r="S3636" s="401"/>
      <c r="T3636" s="255"/>
      <c r="U3636" s="255"/>
      <c r="V3636" s="255"/>
      <c r="W3636" s="341" t="s">
        <v>14008</v>
      </c>
      <c r="X3636" s="676" t="s">
        <v>13978</v>
      </c>
      <c r="Y3636" s="381"/>
      <c r="Z3636" s="382"/>
      <c r="AA3636" s="382"/>
      <c r="AB3636" s="145">
        <f t="shared" ca="1" si="91"/>
        <v>0.81302006116570968</v>
      </c>
      <c r="AC3636" s="840"/>
      <c r="AD3636" s="841"/>
      <c r="AE3636" s="961"/>
      <c r="AF3636" s="933">
        <f>IF(X3636=X3635,AF3635,0)+IF(ISNUMBER(I3636),IF(I3636&lt;1,I3636,I3636*VLOOKUP(J3636,Summary!$H$2:$I$9,2)),VLOOKUP(J3636,Summary!$J$2:$K$9,2)*IF(ISNUMBER(H3636),H3636,1))</f>
        <v>0.26041666666666663</v>
      </c>
      <c r="AG3636" s="305">
        <v>3635</v>
      </c>
      <c r="AH3636" s="94"/>
      <c r="AI3636" s="94"/>
      <c r="AJ3636" s="29"/>
    </row>
    <row r="3637" spans="1:36" s="2" customFormat="1" ht="12" customHeight="1" x14ac:dyDescent="0.25">
      <c r="A3637" s="578" t="s">
        <v>13757</v>
      </c>
      <c r="B3637" s="579" t="s">
        <v>13766</v>
      </c>
      <c r="C3637" s="578">
        <v>16</v>
      </c>
      <c r="D3637" s="580" t="s">
        <v>14009</v>
      </c>
      <c r="E3637" s="341" t="s">
        <v>14010</v>
      </c>
      <c r="F3637" s="175">
        <v>41913</v>
      </c>
      <c r="G3637" s="257"/>
      <c r="H3637" s="258" t="s">
        <v>461</v>
      </c>
      <c r="I3637" s="258"/>
      <c r="J3637" s="912" t="s">
        <v>2755</v>
      </c>
      <c r="K3637" s="259" t="s">
        <v>3324</v>
      </c>
      <c r="L3637" s="259" t="s">
        <v>461</v>
      </c>
      <c r="M3637" s="259"/>
      <c r="N3637" s="259" t="s">
        <v>3324</v>
      </c>
      <c r="O3637" s="259"/>
      <c r="P3637" s="255"/>
      <c r="Q3637" s="259" t="s">
        <v>11587</v>
      </c>
      <c r="R3637" s="260" t="s">
        <v>14082</v>
      </c>
      <c r="S3637" s="401"/>
      <c r="T3637" s="255"/>
      <c r="U3637" s="255"/>
      <c r="V3637" s="255"/>
      <c r="W3637" s="341" t="s">
        <v>14010</v>
      </c>
      <c r="X3637" s="676" t="s">
        <v>13978</v>
      </c>
      <c r="Y3637" s="381"/>
      <c r="Z3637" s="382"/>
      <c r="AA3637" s="382"/>
      <c r="AB3637" s="145">
        <f t="shared" ca="1" si="91"/>
        <v>8.7814077259658729E-2</v>
      </c>
      <c r="AC3637" s="840"/>
      <c r="AD3637" s="841"/>
      <c r="AE3637" s="961"/>
      <c r="AF3637" s="933">
        <f>IF(X3637=X3636,AF3636,0)+IF(ISNUMBER(I3637),IF(I3637&lt;1,I3637,I3637*VLOOKUP(J3637,Summary!$H$2:$I$9,2)),VLOOKUP(J3637,Summary!$J$2:$K$9,2)*IF(ISNUMBER(H3637),H3637,1))</f>
        <v>0.27777777777777773</v>
      </c>
      <c r="AG3637" s="305">
        <v>3636</v>
      </c>
      <c r="AH3637" s="94"/>
      <c r="AI3637" s="94"/>
      <c r="AJ3637" s="43"/>
    </row>
    <row r="3638" spans="1:36" s="2" customFormat="1" ht="12" customHeight="1" x14ac:dyDescent="0.25">
      <c r="A3638" s="578" t="s">
        <v>13757</v>
      </c>
      <c r="B3638" s="579" t="s">
        <v>13766</v>
      </c>
      <c r="C3638" s="578">
        <v>17</v>
      </c>
      <c r="D3638" s="580" t="s">
        <v>14011</v>
      </c>
      <c r="E3638" s="341" t="s">
        <v>14012</v>
      </c>
      <c r="F3638" s="175">
        <v>41913</v>
      </c>
      <c r="G3638" s="257"/>
      <c r="H3638" s="258" t="s">
        <v>461</v>
      </c>
      <c r="I3638" s="258"/>
      <c r="J3638" s="912" t="s">
        <v>2755</v>
      </c>
      <c r="K3638" s="259" t="s">
        <v>5809</v>
      </c>
      <c r="L3638" s="259" t="s">
        <v>461</v>
      </c>
      <c r="M3638" s="259"/>
      <c r="N3638" s="259" t="s">
        <v>3324</v>
      </c>
      <c r="O3638" s="259"/>
      <c r="P3638" s="255"/>
      <c r="Q3638" s="259" t="s">
        <v>11587</v>
      </c>
      <c r="R3638" s="260" t="s">
        <v>14082</v>
      </c>
      <c r="S3638" s="401"/>
      <c r="T3638" s="255"/>
      <c r="U3638" s="255"/>
      <c r="V3638" s="255"/>
      <c r="W3638" s="341" t="s">
        <v>14012</v>
      </c>
      <c r="X3638" s="676" t="s">
        <v>13978</v>
      </c>
      <c r="Y3638" s="381"/>
      <c r="Z3638" s="382"/>
      <c r="AA3638" s="382"/>
      <c r="AB3638" s="145">
        <f t="shared" ca="1" si="91"/>
        <v>3.2401702158679768E-3</v>
      </c>
      <c r="AC3638" s="840"/>
      <c r="AD3638" s="841"/>
      <c r="AE3638" s="961"/>
      <c r="AF3638" s="933">
        <f>IF(X3638=X3637,AF3637,0)+IF(ISNUMBER(I3638),IF(I3638&lt;1,I3638,I3638*VLOOKUP(J3638,Summary!$H$2:$I$9,2)),VLOOKUP(J3638,Summary!$J$2:$K$9,2)*IF(ISNUMBER(H3638),H3638,1))</f>
        <v>0.29513888888888884</v>
      </c>
      <c r="AG3638" s="305">
        <v>3637</v>
      </c>
      <c r="AH3638" s="94"/>
      <c r="AI3638" s="94"/>
      <c r="AJ3638" s="3"/>
    </row>
    <row r="3639" spans="1:36" s="43" customFormat="1" ht="12" customHeight="1" x14ac:dyDescent="0.25">
      <c r="A3639" s="578" t="s">
        <v>13757</v>
      </c>
      <c r="B3639" s="579" t="s">
        <v>13766</v>
      </c>
      <c r="C3639" s="578">
        <v>18</v>
      </c>
      <c r="D3639" s="580" t="s">
        <v>14013</v>
      </c>
      <c r="E3639" s="341" t="s">
        <v>14014</v>
      </c>
      <c r="F3639" s="175">
        <v>41913</v>
      </c>
      <c r="G3639" s="257"/>
      <c r="H3639" s="258" t="s">
        <v>461</v>
      </c>
      <c r="I3639" s="258"/>
      <c r="J3639" s="912" t="s">
        <v>2755</v>
      </c>
      <c r="K3639" s="259" t="s">
        <v>14015</v>
      </c>
      <c r="L3639" s="259" t="s">
        <v>461</v>
      </c>
      <c r="M3639" s="259"/>
      <c r="N3639" s="259" t="s">
        <v>3324</v>
      </c>
      <c r="O3639" s="259"/>
      <c r="P3639" s="255"/>
      <c r="Q3639" s="259" t="s">
        <v>11587</v>
      </c>
      <c r="R3639" s="260" t="s">
        <v>14082</v>
      </c>
      <c r="S3639" s="401"/>
      <c r="T3639" s="255"/>
      <c r="U3639" s="255"/>
      <c r="V3639" s="255"/>
      <c r="W3639" s="341" t="s">
        <v>14014</v>
      </c>
      <c r="X3639" s="676" t="s">
        <v>13978</v>
      </c>
      <c r="Y3639" s="381"/>
      <c r="Z3639" s="382"/>
      <c r="AA3639" s="382"/>
      <c r="AB3639" s="145">
        <f t="shared" ca="1" si="91"/>
        <v>0.28867114554390561</v>
      </c>
      <c r="AC3639" s="840"/>
      <c r="AD3639" s="841"/>
      <c r="AE3639" s="961"/>
      <c r="AF3639" s="933">
        <f>IF(X3639=X3638,AF3638,0)+IF(ISNUMBER(I3639),IF(I3639&lt;1,I3639,I3639*VLOOKUP(J3639,Summary!$H$2:$I$9,2)),VLOOKUP(J3639,Summary!$J$2:$K$9,2)*IF(ISNUMBER(H3639),H3639,1))</f>
        <v>0.31249999999999994</v>
      </c>
      <c r="AG3639" s="305">
        <v>3638</v>
      </c>
      <c r="AH3639" s="94"/>
      <c r="AI3639" s="94"/>
      <c r="AJ3639" s="3"/>
    </row>
    <row r="3640" spans="1:36" s="29" customFormat="1" ht="12" customHeight="1" x14ac:dyDescent="0.25">
      <c r="A3640" s="578" t="s">
        <v>13757</v>
      </c>
      <c r="B3640" s="579" t="s">
        <v>13766</v>
      </c>
      <c r="C3640" s="578">
        <v>19</v>
      </c>
      <c r="D3640" s="580" t="s">
        <v>14016</v>
      </c>
      <c r="E3640" s="341" t="s">
        <v>14017</v>
      </c>
      <c r="F3640" s="175">
        <v>41913</v>
      </c>
      <c r="G3640" s="257"/>
      <c r="H3640" s="258" t="s">
        <v>461</v>
      </c>
      <c r="I3640" s="258"/>
      <c r="J3640" s="912" t="s">
        <v>2755</v>
      </c>
      <c r="K3640" s="259" t="s">
        <v>14018</v>
      </c>
      <c r="L3640" s="259" t="s">
        <v>461</v>
      </c>
      <c r="M3640" s="259"/>
      <c r="N3640" s="259" t="s">
        <v>3324</v>
      </c>
      <c r="O3640" s="259"/>
      <c r="P3640" s="255"/>
      <c r="Q3640" s="259" t="s">
        <v>11587</v>
      </c>
      <c r="R3640" s="260" t="s">
        <v>14082</v>
      </c>
      <c r="S3640" s="401"/>
      <c r="T3640" s="255"/>
      <c r="U3640" s="255"/>
      <c r="V3640" s="255"/>
      <c r="W3640" s="341" t="s">
        <v>14017</v>
      </c>
      <c r="X3640" s="676" t="s">
        <v>13978</v>
      </c>
      <c r="Y3640" s="381"/>
      <c r="Z3640" s="382"/>
      <c r="AA3640" s="382"/>
      <c r="AB3640" s="145">
        <f t="shared" ca="1" si="91"/>
        <v>0.2022872818375796</v>
      </c>
      <c r="AC3640" s="840"/>
      <c r="AD3640" s="841"/>
      <c r="AE3640" s="961"/>
      <c r="AF3640" s="933">
        <f>IF(X3640=X3639,AF3639,0)+IF(ISNUMBER(I3640),IF(I3640&lt;1,I3640,I3640*VLOOKUP(J3640,Summary!$H$2:$I$9,2)),VLOOKUP(J3640,Summary!$J$2:$K$9,2)*IF(ISNUMBER(H3640),H3640,1))</f>
        <v>0.32986111111111105</v>
      </c>
      <c r="AG3640" s="305">
        <v>3639</v>
      </c>
      <c r="AH3640" s="94"/>
      <c r="AI3640" s="94"/>
      <c r="AJ3640" s="3"/>
    </row>
    <row r="3641" spans="1:36" s="29" customFormat="1" ht="12" customHeight="1" x14ac:dyDescent="0.25">
      <c r="A3641" s="578" t="s">
        <v>13757</v>
      </c>
      <c r="B3641" s="579" t="s">
        <v>13766</v>
      </c>
      <c r="C3641" s="578">
        <v>20</v>
      </c>
      <c r="D3641" s="580" t="s">
        <v>14019</v>
      </c>
      <c r="E3641" s="341" t="s">
        <v>14020</v>
      </c>
      <c r="F3641" s="175">
        <v>41913</v>
      </c>
      <c r="G3641" s="257"/>
      <c r="H3641" s="258" t="s">
        <v>461</v>
      </c>
      <c r="I3641" s="258"/>
      <c r="J3641" s="912" t="s">
        <v>2755</v>
      </c>
      <c r="K3641" s="259" t="s">
        <v>3787</v>
      </c>
      <c r="L3641" s="259" t="s">
        <v>461</v>
      </c>
      <c r="M3641" s="259"/>
      <c r="N3641" s="259" t="s">
        <v>3324</v>
      </c>
      <c r="O3641" s="259"/>
      <c r="P3641" s="255"/>
      <c r="Q3641" s="259" t="s">
        <v>11587</v>
      </c>
      <c r="R3641" s="260" t="s">
        <v>14082</v>
      </c>
      <c r="S3641" s="401"/>
      <c r="T3641" s="255"/>
      <c r="U3641" s="255"/>
      <c r="V3641" s="255"/>
      <c r="W3641" s="341" t="s">
        <v>14020</v>
      </c>
      <c r="X3641" s="676" t="s">
        <v>13978</v>
      </c>
      <c r="Y3641" s="381"/>
      <c r="Z3641" s="382"/>
      <c r="AA3641" s="382"/>
      <c r="AB3641" s="145">
        <f t="shared" ca="1" si="91"/>
        <v>0.68325789602893772</v>
      </c>
      <c r="AC3641" s="840"/>
      <c r="AD3641" s="841"/>
      <c r="AE3641" s="961"/>
      <c r="AF3641" s="933">
        <f>IF(X3641=X3640,AF3640,0)+IF(ISNUMBER(I3641),IF(I3641&lt;1,I3641,I3641*VLOOKUP(J3641,Summary!$H$2:$I$9,2)),VLOOKUP(J3641,Summary!$J$2:$K$9,2)*IF(ISNUMBER(H3641),H3641,1))</f>
        <v>0.34722222222222215</v>
      </c>
      <c r="AG3641" s="305">
        <v>3640</v>
      </c>
      <c r="AH3641" s="94"/>
      <c r="AI3641" s="94"/>
      <c r="AJ3641" s="3"/>
    </row>
    <row r="3642" spans="1:36" s="29" customFormat="1" ht="12" customHeight="1" x14ac:dyDescent="0.25">
      <c r="A3642" s="578" t="s">
        <v>13757</v>
      </c>
      <c r="B3642" s="579" t="s">
        <v>13766</v>
      </c>
      <c r="C3642" s="578">
        <v>21</v>
      </c>
      <c r="D3642" s="580" t="s">
        <v>14021</v>
      </c>
      <c r="E3642" s="341" t="s">
        <v>14022</v>
      </c>
      <c r="F3642" s="175">
        <v>41913</v>
      </c>
      <c r="G3642" s="257"/>
      <c r="H3642" s="258" t="s">
        <v>461</v>
      </c>
      <c r="I3642" s="258"/>
      <c r="J3642" s="912" t="s">
        <v>2755</v>
      </c>
      <c r="K3642" s="259" t="s">
        <v>13848</v>
      </c>
      <c r="L3642" s="259" t="s">
        <v>461</v>
      </c>
      <c r="M3642" s="259"/>
      <c r="N3642" s="259" t="s">
        <v>3324</v>
      </c>
      <c r="O3642" s="259"/>
      <c r="P3642" s="255"/>
      <c r="Q3642" s="259" t="s">
        <v>11587</v>
      </c>
      <c r="R3642" s="260" t="s">
        <v>14082</v>
      </c>
      <c r="S3642" s="401"/>
      <c r="T3642" s="255"/>
      <c r="U3642" s="255"/>
      <c r="V3642" s="255"/>
      <c r="W3642" s="341" t="s">
        <v>14022</v>
      </c>
      <c r="X3642" s="676" t="s">
        <v>13978</v>
      </c>
      <c r="Y3642" s="381"/>
      <c r="Z3642" s="382"/>
      <c r="AA3642" s="382"/>
      <c r="AB3642" s="145">
        <f t="shared" ca="1" si="91"/>
        <v>0.81731986749512398</v>
      </c>
      <c r="AC3642" s="840"/>
      <c r="AD3642" s="841"/>
      <c r="AE3642" s="961"/>
      <c r="AF3642" s="933">
        <f>IF(X3642=X3641,AF3641,0)+IF(ISNUMBER(I3642),IF(I3642&lt;1,I3642,I3642*VLOOKUP(J3642,Summary!$H$2:$I$9,2)),VLOOKUP(J3642,Summary!$J$2:$K$9,2)*IF(ISNUMBER(H3642),H3642,1))</f>
        <v>0.36458333333333326</v>
      </c>
      <c r="AG3642" s="305">
        <v>3641</v>
      </c>
      <c r="AH3642" s="94"/>
      <c r="AI3642" s="94"/>
      <c r="AJ3642" s="3"/>
    </row>
    <row r="3643" spans="1:36" s="147" customFormat="1" ht="12" customHeight="1" x14ac:dyDescent="0.25">
      <c r="A3643" s="578" t="s">
        <v>13757</v>
      </c>
      <c r="B3643" s="579" t="s">
        <v>13766</v>
      </c>
      <c r="C3643" s="578">
        <v>22</v>
      </c>
      <c r="D3643" s="580" t="s">
        <v>14023</v>
      </c>
      <c r="E3643" s="341" t="s">
        <v>14024</v>
      </c>
      <c r="F3643" s="175">
        <v>41913</v>
      </c>
      <c r="G3643" s="257"/>
      <c r="H3643" s="258" t="s">
        <v>461</v>
      </c>
      <c r="I3643" s="258"/>
      <c r="J3643" s="912" t="s">
        <v>2755</v>
      </c>
      <c r="K3643" s="259" t="s">
        <v>13883</v>
      </c>
      <c r="L3643" s="259" t="s">
        <v>461</v>
      </c>
      <c r="M3643" s="259"/>
      <c r="N3643" s="259" t="s">
        <v>3324</v>
      </c>
      <c r="O3643" s="259"/>
      <c r="P3643" s="255"/>
      <c r="Q3643" s="259" t="s">
        <v>11587</v>
      </c>
      <c r="R3643" s="260" t="s">
        <v>14082</v>
      </c>
      <c r="S3643" s="401"/>
      <c r="T3643" s="255"/>
      <c r="U3643" s="255"/>
      <c r="V3643" s="255"/>
      <c r="W3643" s="341" t="s">
        <v>14024</v>
      </c>
      <c r="X3643" s="676" t="s">
        <v>13978</v>
      </c>
      <c r="Y3643" s="381"/>
      <c r="Z3643" s="382"/>
      <c r="AA3643" s="382"/>
      <c r="AB3643" s="145">
        <f t="shared" ca="1" si="91"/>
        <v>0.33011283429906069</v>
      </c>
      <c r="AC3643" s="840"/>
      <c r="AD3643" s="841"/>
      <c r="AE3643" s="961"/>
      <c r="AF3643" s="933">
        <f>IF(X3643=X3642,AF3642,0)+IF(ISNUMBER(I3643),IF(I3643&lt;1,I3643,I3643*VLOOKUP(J3643,Summary!$H$2:$I$9,2)),VLOOKUP(J3643,Summary!$J$2:$K$9,2)*IF(ISNUMBER(H3643),H3643,1))</f>
        <v>0.38194444444444436</v>
      </c>
      <c r="AG3643" s="305">
        <v>3642</v>
      </c>
      <c r="AH3643" s="122"/>
      <c r="AI3643" s="122"/>
      <c r="AJ3643" s="146"/>
    </row>
    <row r="3644" spans="1:36" s="147" customFormat="1" ht="12" customHeight="1" x14ac:dyDescent="0.25">
      <c r="A3644" s="578" t="s">
        <v>13757</v>
      </c>
      <c r="B3644" s="579" t="s">
        <v>13766</v>
      </c>
      <c r="C3644" s="578">
        <v>23</v>
      </c>
      <c r="D3644" s="580" t="s">
        <v>14025</v>
      </c>
      <c r="E3644" s="341" t="s">
        <v>14026</v>
      </c>
      <c r="F3644" s="175">
        <v>41913</v>
      </c>
      <c r="G3644" s="257"/>
      <c r="H3644" s="258" t="s">
        <v>461</v>
      </c>
      <c r="I3644" s="258"/>
      <c r="J3644" s="912" t="s">
        <v>2755</v>
      </c>
      <c r="K3644" s="259" t="s">
        <v>3324</v>
      </c>
      <c r="L3644" s="259" t="s">
        <v>461</v>
      </c>
      <c r="M3644" s="259"/>
      <c r="N3644" s="259" t="s">
        <v>3324</v>
      </c>
      <c r="O3644" s="259"/>
      <c r="P3644" s="255"/>
      <c r="Q3644" s="259" t="s">
        <v>11587</v>
      </c>
      <c r="R3644" s="260" t="s">
        <v>14082</v>
      </c>
      <c r="S3644" s="401"/>
      <c r="T3644" s="255"/>
      <c r="U3644" s="255"/>
      <c r="V3644" s="255"/>
      <c r="W3644" s="341" t="s">
        <v>14026</v>
      </c>
      <c r="X3644" s="676" t="s">
        <v>13978</v>
      </c>
      <c r="Y3644" s="381"/>
      <c r="Z3644" s="382"/>
      <c r="AA3644" s="382"/>
      <c r="AB3644" s="145">
        <f t="shared" ca="1" si="91"/>
        <v>0.99857713885558708</v>
      </c>
      <c r="AC3644" s="840"/>
      <c r="AD3644" s="841"/>
      <c r="AE3644" s="961"/>
      <c r="AF3644" s="933">
        <f>IF(X3644=X3643,AF3643,0)+IF(ISNUMBER(I3644),IF(I3644&lt;1,I3644,I3644*VLOOKUP(J3644,Summary!$H$2:$I$9,2)),VLOOKUP(J3644,Summary!$J$2:$K$9,2)*IF(ISNUMBER(H3644),H3644,1))</f>
        <v>0.39930555555555547</v>
      </c>
      <c r="AG3644" s="305">
        <v>3643</v>
      </c>
      <c r="AH3644" s="122"/>
      <c r="AI3644" s="122"/>
      <c r="AJ3644" s="146"/>
    </row>
    <row r="3645" spans="1:36" s="147" customFormat="1" ht="12" customHeight="1" x14ac:dyDescent="0.25">
      <c r="A3645" s="578" t="s">
        <v>13757</v>
      </c>
      <c r="B3645" s="579" t="s">
        <v>13766</v>
      </c>
      <c r="C3645" s="578">
        <v>24</v>
      </c>
      <c r="D3645" s="580" t="s">
        <v>14027</v>
      </c>
      <c r="E3645" s="341" t="s">
        <v>14028</v>
      </c>
      <c r="F3645" s="175">
        <v>42308</v>
      </c>
      <c r="G3645" s="257"/>
      <c r="H3645" s="258" t="s">
        <v>461</v>
      </c>
      <c r="I3645" s="258"/>
      <c r="J3645" s="912" t="s">
        <v>2755</v>
      </c>
      <c r="K3645" s="259" t="s">
        <v>3324</v>
      </c>
      <c r="L3645" s="259" t="s">
        <v>461</v>
      </c>
      <c r="M3645" s="259"/>
      <c r="N3645" s="259" t="s">
        <v>3324</v>
      </c>
      <c r="O3645" s="259"/>
      <c r="P3645" s="255"/>
      <c r="Q3645" s="259" t="s">
        <v>11587</v>
      </c>
      <c r="R3645" s="260" t="s">
        <v>14082</v>
      </c>
      <c r="S3645" s="401"/>
      <c r="T3645" s="255"/>
      <c r="U3645" s="255"/>
      <c r="V3645" s="255"/>
      <c r="W3645" s="341" t="s">
        <v>14028</v>
      </c>
      <c r="X3645" s="676" t="s">
        <v>13978</v>
      </c>
      <c r="Y3645" s="381"/>
      <c r="Z3645" s="382"/>
      <c r="AA3645" s="382"/>
      <c r="AB3645" s="145">
        <f t="shared" ca="1" si="91"/>
        <v>0.64547482602390949</v>
      </c>
      <c r="AC3645" s="840"/>
      <c r="AD3645" s="841"/>
      <c r="AE3645" s="961"/>
      <c r="AF3645" s="933">
        <f>IF(X3645=X3644,AF3644,0)+IF(ISNUMBER(I3645),IF(I3645&lt;1,I3645,I3645*VLOOKUP(J3645,Summary!$H$2:$I$9,2)),VLOOKUP(J3645,Summary!$J$2:$K$9,2)*IF(ISNUMBER(H3645),H3645,1))</f>
        <v>0.41666666666666657</v>
      </c>
      <c r="AG3645" s="305">
        <v>3644</v>
      </c>
      <c r="AH3645" s="122"/>
      <c r="AI3645" s="122"/>
      <c r="AJ3645" s="146"/>
    </row>
    <row r="3646" spans="1:36" s="147" customFormat="1" ht="12" customHeight="1" x14ac:dyDescent="0.25">
      <c r="A3646" s="578" t="s">
        <v>13757</v>
      </c>
      <c r="B3646" s="579" t="s">
        <v>13766</v>
      </c>
      <c r="C3646" s="578">
        <v>25</v>
      </c>
      <c r="D3646" s="580" t="s">
        <v>14029</v>
      </c>
      <c r="E3646" s="341" t="s">
        <v>14030</v>
      </c>
      <c r="F3646" s="175">
        <v>42308</v>
      </c>
      <c r="G3646" s="257"/>
      <c r="H3646" s="258" t="s">
        <v>461</v>
      </c>
      <c r="I3646" s="258"/>
      <c r="J3646" s="912" t="s">
        <v>2755</v>
      </c>
      <c r="K3646" s="259" t="s">
        <v>11878</v>
      </c>
      <c r="L3646" s="259" t="s">
        <v>461</v>
      </c>
      <c r="M3646" s="259"/>
      <c r="N3646" s="259" t="s">
        <v>3324</v>
      </c>
      <c r="O3646" s="259"/>
      <c r="P3646" s="255"/>
      <c r="Q3646" s="259" t="s">
        <v>11587</v>
      </c>
      <c r="R3646" s="260" t="s">
        <v>14082</v>
      </c>
      <c r="S3646" s="401"/>
      <c r="T3646" s="255"/>
      <c r="U3646" s="255"/>
      <c r="V3646" s="255"/>
      <c r="W3646" s="341" t="s">
        <v>14030</v>
      </c>
      <c r="X3646" s="676" t="s">
        <v>13978</v>
      </c>
      <c r="Y3646" s="381"/>
      <c r="Z3646" s="382"/>
      <c r="AA3646" s="382"/>
      <c r="AB3646" s="145">
        <f t="shared" ca="1" si="91"/>
        <v>0.37158010262701691</v>
      </c>
      <c r="AC3646" s="840"/>
      <c r="AD3646" s="841"/>
      <c r="AE3646" s="961"/>
      <c r="AF3646" s="933">
        <f>IF(X3646=X3645,AF3645,0)+IF(ISNUMBER(I3646),IF(I3646&lt;1,I3646,I3646*VLOOKUP(J3646,Summary!$H$2:$I$9,2)),VLOOKUP(J3646,Summary!$J$2:$K$9,2)*IF(ISNUMBER(H3646),H3646,1))</f>
        <v>0.43402777777777768</v>
      </c>
      <c r="AG3646" s="305">
        <v>3645</v>
      </c>
      <c r="AH3646" s="122"/>
      <c r="AI3646" s="122"/>
      <c r="AJ3646" s="146"/>
    </row>
    <row r="3647" spans="1:36" s="147" customFormat="1" ht="12" customHeight="1" x14ac:dyDescent="0.25">
      <c r="A3647" s="578" t="s">
        <v>13757</v>
      </c>
      <c r="B3647" s="579" t="s">
        <v>13766</v>
      </c>
      <c r="C3647" s="578">
        <v>26</v>
      </c>
      <c r="D3647" s="580" t="s">
        <v>14031</v>
      </c>
      <c r="E3647" s="341" t="s">
        <v>14032</v>
      </c>
      <c r="F3647" s="175">
        <v>42308</v>
      </c>
      <c r="G3647" s="257"/>
      <c r="H3647" s="258" t="s">
        <v>461</v>
      </c>
      <c r="I3647" s="258"/>
      <c r="J3647" s="912" t="s">
        <v>2755</v>
      </c>
      <c r="K3647" s="259" t="s">
        <v>13883</v>
      </c>
      <c r="L3647" s="259" t="s">
        <v>461</v>
      </c>
      <c r="M3647" s="259"/>
      <c r="N3647" s="259" t="s">
        <v>3324</v>
      </c>
      <c r="O3647" s="259"/>
      <c r="P3647" s="255"/>
      <c r="Q3647" s="259" t="s">
        <v>11587</v>
      </c>
      <c r="R3647" s="260" t="s">
        <v>14082</v>
      </c>
      <c r="S3647" s="401"/>
      <c r="T3647" s="255"/>
      <c r="U3647" s="255"/>
      <c r="V3647" s="255"/>
      <c r="W3647" s="341" t="s">
        <v>14032</v>
      </c>
      <c r="X3647" s="676" t="s">
        <v>13978</v>
      </c>
      <c r="Y3647" s="381"/>
      <c r="Z3647" s="382"/>
      <c r="AA3647" s="382"/>
      <c r="AB3647" s="145">
        <f t="shared" ca="1" si="91"/>
        <v>0.75153705941911553</v>
      </c>
      <c r="AC3647" s="840"/>
      <c r="AD3647" s="841"/>
      <c r="AE3647" s="961"/>
      <c r="AF3647" s="933">
        <f>IF(X3647=X3646,AF3646,0)+IF(ISNUMBER(I3647),IF(I3647&lt;1,I3647,I3647*VLOOKUP(J3647,Summary!$H$2:$I$9,2)),VLOOKUP(J3647,Summary!$J$2:$K$9,2)*IF(ISNUMBER(H3647),H3647,1))</f>
        <v>0.45138888888888878</v>
      </c>
      <c r="AG3647" s="305">
        <v>3646</v>
      </c>
      <c r="AH3647" s="122"/>
      <c r="AI3647" s="122"/>
      <c r="AJ3647" s="146"/>
    </row>
    <row r="3648" spans="1:36" s="147" customFormat="1" ht="12" customHeight="1" x14ac:dyDescent="0.25">
      <c r="A3648" s="578" t="s">
        <v>13757</v>
      </c>
      <c r="B3648" s="579" t="s">
        <v>13766</v>
      </c>
      <c r="C3648" s="578">
        <v>27</v>
      </c>
      <c r="D3648" s="580" t="s">
        <v>14033</v>
      </c>
      <c r="E3648" s="341" t="s">
        <v>14034</v>
      </c>
      <c r="F3648" s="175">
        <v>42308</v>
      </c>
      <c r="G3648" s="257"/>
      <c r="H3648" s="258" t="s">
        <v>461</v>
      </c>
      <c r="I3648" s="258"/>
      <c r="J3648" s="912" t="s">
        <v>2755</v>
      </c>
      <c r="K3648" s="259" t="s">
        <v>13846</v>
      </c>
      <c r="L3648" s="259" t="s">
        <v>461</v>
      </c>
      <c r="M3648" s="259"/>
      <c r="N3648" s="259" t="s">
        <v>3324</v>
      </c>
      <c r="O3648" s="259"/>
      <c r="P3648" s="255"/>
      <c r="Q3648" s="259" t="s">
        <v>11587</v>
      </c>
      <c r="R3648" s="260" t="s">
        <v>14082</v>
      </c>
      <c r="S3648" s="401"/>
      <c r="T3648" s="255"/>
      <c r="U3648" s="255"/>
      <c r="V3648" s="255"/>
      <c r="W3648" s="341" t="s">
        <v>14034</v>
      </c>
      <c r="X3648" s="676" t="s">
        <v>13978</v>
      </c>
      <c r="Y3648" s="381"/>
      <c r="Z3648" s="382"/>
      <c r="AA3648" s="382"/>
      <c r="AB3648" s="145">
        <f t="shared" ca="1" si="91"/>
        <v>0.69482757933752481</v>
      </c>
      <c r="AC3648" s="840"/>
      <c r="AD3648" s="841"/>
      <c r="AE3648" s="961"/>
      <c r="AF3648" s="933">
        <f>IF(X3648=X3647,AF3647,0)+IF(ISNUMBER(I3648),IF(I3648&lt;1,I3648,I3648*VLOOKUP(J3648,Summary!$H$2:$I$9,2)),VLOOKUP(J3648,Summary!$J$2:$K$9,2)*IF(ISNUMBER(H3648),H3648,1))</f>
        <v>0.46874999999999989</v>
      </c>
      <c r="AG3648" s="305">
        <v>3647</v>
      </c>
      <c r="AH3648" s="122"/>
      <c r="AI3648" s="122"/>
      <c r="AJ3648" s="146"/>
    </row>
    <row r="3649" spans="1:36" s="147" customFormat="1" ht="12" customHeight="1" x14ac:dyDescent="0.25">
      <c r="A3649" s="578" t="s">
        <v>13757</v>
      </c>
      <c r="B3649" s="579" t="s">
        <v>13766</v>
      </c>
      <c r="C3649" s="578">
        <v>28</v>
      </c>
      <c r="D3649" s="580" t="s">
        <v>14035</v>
      </c>
      <c r="E3649" s="341" t="s">
        <v>14036</v>
      </c>
      <c r="F3649" s="175">
        <v>42308</v>
      </c>
      <c r="G3649" s="257"/>
      <c r="H3649" s="258" t="s">
        <v>461</v>
      </c>
      <c r="I3649" s="258"/>
      <c r="J3649" s="912" t="s">
        <v>2755</v>
      </c>
      <c r="K3649" s="259" t="s">
        <v>14037</v>
      </c>
      <c r="L3649" s="259" t="s">
        <v>461</v>
      </c>
      <c r="M3649" s="259"/>
      <c r="N3649" s="259" t="s">
        <v>3324</v>
      </c>
      <c r="O3649" s="259"/>
      <c r="P3649" s="255"/>
      <c r="Q3649" s="259" t="s">
        <v>11587</v>
      </c>
      <c r="R3649" s="260" t="s">
        <v>14082</v>
      </c>
      <c r="S3649" s="401"/>
      <c r="T3649" s="255"/>
      <c r="U3649" s="255"/>
      <c r="V3649" s="255"/>
      <c r="W3649" s="341" t="s">
        <v>14036</v>
      </c>
      <c r="X3649" s="676" t="s">
        <v>13978</v>
      </c>
      <c r="Y3649" s="381"/>
      <c r="Z3649" s="382"/>
      <c r="AA3649" s="382"/>
      <c r="AB3649" s="145">
        <f t="shared" ca="1" si="91"/>
        <v>8.9358177940780048E-2</v>
      </c>
      <c r="AC3649" s="840"/>
      <c r="AD3649" s="841"/>
      <c r="AE3649" s="961"/>
      <c r="AF3649" s="933">
        <f>IF(X3649=X3648,AF3648,0)+IF(ISNUMBER(I3649),IF(I3649&lt;1,I3649,I3649*VLOOKUP(J3649,Summary!$H$2:$I$9,2)),VLOOKUP(J3649,Summary!$J$2:$K$9,2)*IF(ISNUMBER(H3649),H3649,1))</f>
        <v>0.48611111111111099</v>
      </c>
      <c r="AG3649" s="305">
        <v>3648</v>
      </c>
      <c r="AH3649" s="122"/>
      <c r="AI3649" s="122"/>
      <c r="AJ3649" s="146"/>
    </row>
    <row r="3650" spans="1:36" s="147" customFormat="1" ht="12" customHeight="1" x14ac:dyDescent="0.25">
      <c r="A3650" s="578" t="s">
        <v>13757</v>
      </c>
      <c r="B3650" s="579" t="s">
        <v>13766</v>
      </c>
      <c r="C3650" s="578">
        <v>29</v>
      </c>
      <c r="D3650" s="580" t="s">
        <v>14038</v>
      </c>
      <c r="E3650" s="341" t="s">
        <v>14039</v>
      </c>
      <c r="F3650" s="175">
        <v>42308</v>
      </c>
      <c r="G3650" s="257"/>
      <c r="H3650" s="258" t="s">
        <v>461</v>
      </c>
      <c r="I3650" s="258"/>
      <c r="J3650" s="912" t="s">
        <v>2755</v>
      </c>
      <c r="K3650" s="259" t="s">
        <v>14040</v>
      </c>
      <c r="L3650" s="259" t="s">
        <v>461</v>
      </c>
      <c r="M3650" s="259"/>
      <c r="N3650" s="259" t="s">
        <v>3324</v>
      </c>
      <c r="O3650" s="259"/>
      <c r="P3650" s="255"/>
      <c r="Q3650" s="259" t="s">
        <v>11587</v>
      </c>
      <c r="R3650" s="260" t="s">
        <v>14082</v>
      </c>
      <c r="S3650" s="401"/>
      <c r="T3650" s="255"/>
      <c r="U3650" s="255"/>
      <c r="V3650" s="255"/>
      <c r="W3650" s="341" t="s">
        <v>14039</v>
      </c>
      <c r="X3650" s="676" t="s">
        <v>13978</v>
      </c>
      <c r="Y3650" s="381"/>
      <c r="Z3650" s="382"/>
      <c r="AA3650" s="382"/>
      <c r="AB3650" s="145">
        <f t="shared" ref="AB3650:AB3713" ca="1" si="94">RAND()</f>
        <v>0.68698427965801956</v>
      </c>
      <c r="AC3650" s="840"/>
      <c r="AD3650" s="841"/>
      <c r="AE3650" s="961"/>
      <c r="AF3650" s="933">
        <f>IF(X3650=X3649,AF3649,0)+IF(ISNUMBER(I3650),IF(I3650&lt;1,I3650,I3650*VLOOKUP(J3650,Summary!$H$2:$I$9,2)),VLOOKUP(J3650,Summary!$J$2:$K$9,2)*IF(ISNUMBER(H3650),H3650,1))</f>
        <v>0.5034722222222221</v>
      </c>
      <c r="AG3650" s="305">
        <v>3649</v>
      </c>
      <c r="AH3650" s="122"/>
      <c r="AI3650" s="122"/>
      <c r="AJ3650" s="146"/>
    </row>
    <row r="3651" spans="1:36" s="147" customFormat="1" ht="12" customHeight="1" x14ac:dyDescent="0.25">
      <c r="A3651" s="578" t="s">
        <v>13757</v>
      </c>
      <c r="B3651" s="579" t="s">
        <v>13766</v>
      </c>
      <c r="C3651" s="578">
        <v>30</v>
      </c>
      <c r="D3651" s="580" t="s">
        <v>14041</v>
      </c>
      <c r="E3651" s="341" t="s">
        <v>14042</v>
      </c>
      <c r="F3651" s="175">
        <v>42308</v>
      </c>
      <c r="G3651" s="257"/>
      <c r="H3651" s="258" t="s">
        <v>461</v>
      </c>
      <c r="I3651" s="258"/>
      <c r="J3651" s="912" t="s">
        <v>2755</v>
      </c>
      <c r="K3651" s="259" t="s">
        <v>13898</v>
      </c>
      <c r="L3651" s="259" t="s">
        <v>461</v>
      </c>
      <c r="M3651" s="259"/>
      <c r="N3651" s="259" t="s">
        <v>3324</v>
      </c>
      <c r="O3651" s="259"/>
      <c r="P3651" s="255"/>
      <c r="Q3651" s="259" t="s">
        <v>11587</v>
      </c>
      <c r="R3651" s="260" t="s">
        <v>14082</v>
      </c>
      <c r="S3651" s="401"/>
      <c r="T3651" s="255"/>
      <c r="U3651" s="255"/>
      <c r="V3651" s="255"/>
      <c r="W3651" s="341" t="s">
        <v>14042</v>
      </c>
      <c r="X3651" s="676" t="s">
        <v>13978</v>
      </c>
      <c r="Y3651" s="381"/>
      <c r="Z3651" s="382"/>
      <c r="AA3651" s="382"/>
      <c r="AB3651" s="145">
        <f t="shared" ca="1" si="94"/>
        <v>0.55870486955491794</v>
      </c>
      <c r="AC3651" s="840"/>
      <c r="AD3651" s="841"/>
      <c r="AE3651" s="961"/>
      <c r="AF3651" s="933">
        <f>IF(X3651=X3650,AF3650,0)+IF(ISNUMBER(I3651),IF(I3651&lt;1,I3651,I3651*VLOOKUP(J3651,Summary!$H$2:$I$9,2)),VLOOKUP(J3651,Summary!$J$2:$K$9,2)*IF(ISNUMBER(H3651),H3651,1))</f>
        <v>0.52083333333333326</v>
      </c>
      <c r="AG3651" s="305">
        <v>3650</v>
      </c>
      <c r="AH3651" s="122"/>
      <c r="AI3651" s="122"/>
      <c r="AJ3651" s="146"/>
    </row>
    <row r="3652" spans="1:36" s="147" customFormat="1" ht="12" customHeight="1" x14ac:dyDescent="0.25">
      <c r="A3652" s="578" t="s">
        <v>13757</v>
      </c>
      <c r="B3652" s="579" t="s">
        <v>13766</v>
      </c>
      <c r="C3652" s="578">
        <v>31</v>
      </c>
      <c r="D3652" s="580" t="s">
        <v>14043</v>
      </c>
      <c r="E3652" s="341" t="s">
        <v>14044</v>
      </c>
      <c r="F3652" s="175">
        <v>42308</v>
      </c>
      <c r="G3652" s="257"/>
      <c r="H3652" s="258" t="s">
        <v>461</v>
      </c>
      <c r="I3652" s="258"/>
      <c r="J3652" s="912" t="s">
        <v>2755</v>
      </c>
      <c r="K3652" s="259" t="s">
        <v>3324</v>
      </c>
      <c r="L3652" s="259" t="s">
        <v>461</v>
      </c>
      <c r="M3652" s="259"/>
      <c r="N3652" s="259" t="s">
        <v>3324</v>
      </c>
      <c r="O3652" s="259"/>
      <c r="P3652" s="255"/>
      <c r="Q3652" s="259" t="s">
        <v>11587</v>
      </c>
      <c r="R3652" s="260" t="s">
        <v>14082</v>
      </c>
      <c r="S3652" s="401"/>
      <c r="T3652" s="255"/>
      <c r="U3652" s="255"/>
      <c r="V3652" s="255"/>
      <c r="W3652" s="341" t="s">
        <v>14044</v>
      </c>
      <c r="X3652" s="676" t="s">
        <v>13978</v>
      </c>
      <c r="Y3652" s="381"/>
      <c r="Z3652" s="382"/>
      <c r="AA3652" s="382"/>
      <c r="AB3652" s="145">
        <f t="shared" ca="1" si="94"/>
        <v>0.62051902299565931</v>
      </c>
      <c r="AC3652" s="840"/>
      <c r="AD3652" s="841"/>
      <c r="AE3652" s="961"/>
      <c r="AF3652" s="933">
        <f>IF(X3652=X3651,AF3651,0)+IF(ISNUMBER(I3652),IF(I3652&lt;1,I3652,I3652*VLOOKUP(J3652,Summary!$H$2:$I$9,2)),VLOOKUP(J3652,Summary!$J$2:$K$9,2)*IF(ISNUMBER(H3652),H3652,1))</f>
        <v>0.53819444444444442</v>
      </c>
      <c r="AG3652" s="305">
        <v>3651</v>
      </c>
      <c r="AH3652" s="122"/>
      <c r="AI3652" s="122"/>
      <c r="AJ3652" s="146"/>
    </row>
    <row r="3653" spans="1:36" s="147" customFormat="1" ht="12" customHeight="1" x14ac:dyDescent="0.25">
      <c r="A3653" s="578" t="s">
        <v>13763</v>
      </c>
      <c r="B3653" s="579" t="s">
        <v>13766</v>
      </c>
      <c r="C3653" s="578">
        <v>32</v>
      </c>
      <c r="D3653" s="580" t="s">
        <v>14045</v>
      </c>
      <c r="E3653" s="341" t="s">
        <v>14046</v>
      </c>
      <c r="F3653" s="175">
        <v>42776</v>
      </c>
      <c r="G3653" s="257"/>
      <c r="H3653" s="258" t="s">
        <v>461</v>
      </c>
      <c r="I3653" s="258"/>
      <c r="J3653" s="912" t="s">
        <v>2755</v>
      </c>
      <c r="K3653" s="259" t="s">
        <v>11961</v>
      </c>
      <c r="L3653" s="259" t="s">
        <v>461</v>
      </c>
      <c r="M3653" s="259"/>
      <c r="N3653" s="259" t="s">
        <v>3324</v>
      </c>
      <c r="O3653" s="259"/>
      <c r="P3653" s="255"/>
      <c r="Q3653" s="259" t="s">
        <v>11587</v>
      </c>
      <c r="R3653" s="260" t="s">
        <v>14082</v>
      </c>
      <c r="S3653" s="401"/>
      <c r="T3653" s="255"/>
      <c r="U3653" s="255"/>
      <c r="V3653" s="255"/>
      <c r="W3653" s="341" t="s">
        <v>14046</v>
      </c>
      <c r="X3653" s="676" t="s">
        <v>13978</v>
      </c>
      <c r="Y3653" s="381"/>
      <c r="Z3653" s="382"/>
      <c r="AA3653" s="382"/>
      <c r="AB3653" s="145">
        <f t="shared" ca="1" si="94"/>
        <v>0.75544594465022019</v>
      </c>
      <c r="AC3653" s="840"/>
      <c r="AD3653" s="841"/>
      <c r="AE3653" s="961"/>
      <c r="AF3653" s="933">
        <f>IF(X3653=X3652,AF3652,0)+IF(ISNUMBER(I3653),IF(I3653&lt;1,I3653,I3653*VLOOKUP(J3653,Summary!$H$2:$I$9,2)),VLOOKUP(J3653,Summary!$J$2:$K$9,2)*IF(ISNUMBER(H3653),H3653,1))</f>
        <v>0.55555555555555558</v>
      </c>
      <c r="AG3653" s="305">
        <v>3652</v>
      </c>
      <c r="AH3653" s="122"/>
      <c r="AI3653" s="122"/>
      <c r="AJ3653" s="146"/>
    </row>
    <row r="3654" spans="1:36" s="147" customFormat="1" ht="12" customHeight="1" x14ac:dyDescent="0.25">
      <c r="A3654" s="578" t="s">
        <v>13763</v>
      </c>
      <c r="B3654" s="579" t="s">
        <v>13766</v>
      </c>
      <c r="C3654" s="578">
        <v>33</v>
      </c>
      <c r="D3654" s="580" t="s">
        <v>14047</v>
      </c>
      <c r="E3654" s="341" t="s">
        <v>14048</v>
      </c>
      <c r="F3654" s="175">
        <v>42776</v>
      </c>
      <c r="G3654" s="257"/>
      <c r="H3654" s="258" t="s">
        <v>461</v>
      </c>
      <c r="I3654" s="258"/>
      <c r="J3654" s="912" t="s">
        <v>2755</v>
      </c>
      <c r="K3654" s="259" t="s">
        <v>3787</v>
      </c>
      <c r="L3654" s="259" t="s">
        <v>461</v>
      </c>
      <c r="M3654" s="259"/>
      <c r="N3654" s="259" t="s">
        <v>3324</v>
      </c>
      <c r="O3654" s="259"/>
      <c r="P3654" s="255"/>
      <c r="Q3654" s="259" t="s">
        <v>11587</v>
      </c>
      <c r="R3654" s="260" t="s">
        <v>14082</v>
      </c>
      <c r="S3654" s="401"/>
      <c r="T3654" s="255"/>
      <c r="U3654" s="255"/>
      <c r="V3654" s="255"/>
      <c r="W3654" s="341" t="s">
        <v>14048</v>
      </c>
      <c r="X3654" s="676" t="s">
        <v>13978</v>
      </c>
      <c r="Y3654" s="381"/>
      <c r="Z3654" s="382"/>
      <c r="AA3654" s="382"/>
      <c r="AB3654" s="145">
        <f t="shared" ca="1" si="94"/>
        <v>0.1596634307595477</v>
      </c>
      <c r="AC3654" s="840"/>
      <c r="AD3654" s="841"/>
      <c r="AE3654" s="961"/>
      <c r="AF3654" s="933">
        <f>IF(X3654=X3653,AF3653,0)+IF(ISNUMBER(I3654),IF(I3654&lt;1,I3654,I3654*VLOOKUP(J3654,Summary!$H$2:$I$9,2)),VLOOKUP(J3654,Summary!$J$2:$K$9,2)*IF(ISNUMBER(H3654),H3654,1))</f>
        <v>0.57291666666666674</v>
      </c>
      <c r="AG3654" s="305">
        <v>3653</v>
      </c>
      <c r="AH3654" s="122"/>
      <c r="AI3654" s="122"/>
      <c r="AJ3654" s="146"/>
    </row>
    <row r="3655" spans="1:36" s="147" customFormat="1" ht="12" customHeight="1" x14ac:dyDescent="0.25">
      <c r="A3655" s="578" t="s">
        <v>13763</v>
      </c>
      <c r="B3655" s="579" t="s">
        <v>13766</v>
      </c>
      <c r="C3655" s="578">
        <v>34</v>
      </c>
      <c r="D3655" s="580" t="s">
        <v>14049</v>
      </c>
      <c r="E3655" s="341" t="s">
        <v>14050</v>
      </c>
      <c r="F3655" s="175">
        <v>42776</v>
      </c>
      <c r="G3655" s="257"/>
      <c r="H3655" s="258" t="s">
        <v>461</v>
      </c>
      <c r="I3655" s="258"/>
      <c r="J3655" s="912" t="s">
        <v>2755</v>
      </c>
      <c r="K3655" s="259" t="s">
        <v>14040</v>
      </c>
      <c r="L3655" s="259" t="s">
        <v>461</v>
      </c>
      <c r="M3655" s="259"/>
      <c r="N3655" s="259" t="s">
        <v>3324</v>
      </c>
      <c r="O3655" s="259"/>
      <c r="P3655" s="255"/>
      <c r="Q3655" s="259" t="s">
        <v>11587</v>
      </c>
      <c r="R3655" s="260" t="s">
        <v>14082</v>
      </c>
      <c r="S3655" s="401"/>
      <c r="T3655" s="255"/>
      <c r="U3655" s="255"/>
      <c r="V3655" s="255"/>
      <c r="W3655" s="341" t="s">
        <v>14050</v>
      </c>
      <c r="X3655" s="676" t="s">
        <v>13978</v>
      </c>
      <c r="Y3655" s="381"/>
      <c r="Z3655" s="382"/>
      <c r="AA3655" s="382"/>
      <c r="AB3655" s="145">
        <f t="shared" ca="1" si="94"/>
        <v>0.36638868345911213</v>
      </c>
      <c r="AC3655" s="840"/>
      <c r="AD3655" s="841"/>
      <c r="AE3655" s="961"/>
      <c r="AF3655" s="933">
        <f>IF(X3655=X3654,AF3654,0)+IF(ISNUMBER(I3655),IF(I3655&lt;1,I3655,I3655*VLOOKUP(J3655,Summary!$H$2:$I$9,2)),VLOOKUP(J3655,Summary!$J$2:$K$9,2)*IF(ISNUMBER(H3655),H3655,1))</f>
        <v>0.5902777777777779</v>
      </c>
      <c r="AG3655" s="305">
        <v>3654</v>
      </c>
      <c r="AH3655" s="122"/>
      <c r="AI3655" s="122"/>
      <c r="AJ3655" s="146"/>
    </row>
    <row r="3656" spans="1:36" s="147" customFormat="1" ht="12" customHeight="1" x14ac:dyDescent="0.25">
      <c r="A3656" s="578" t="s">
        <v>13763</v>
      </c>
      <c r="B3656" s="579" t="s">
        <v>13766</v>
      </c>
      <c r="C3656" s="578">
        <v>35</v>
      </c>
      <c r="D3656" s="580" t="s">
        <v>14051</v>
      </c>
      <c r="E3656" s="341" t="s">
        <v>14052</v>
      </c>
      <c r="F3656" s="175">
        <v>42776</v>
      </c>
      <c r="G3656" s="257"/>
      <c r="H3656" s="258" t="s">
        <v>461</v>
      </c>
      <c r="I3656" s="258"/>
      <c r="J3656" s="912" t="s">
        <v>2755</v>
      </c>
      <c r="K3656" s="259" t="s">
        <v>13898</v>
      </c>
      <c r="L3656" s="259" t="s">
        <v>461</v>
      </c>
      <c r="M3656" s="259"/>
      <c r="N3656" s="259" t="s">
        <v>3324</v>
      </c>
      <c r="O3656" s="259"/>
      <c r="P3656" s="255"/>
      <c r="Q3656" s="259" t="s">
        <v>11587</v>
      </c>
      <c r="R3656" s="260" t="s">
        <v>14082</v>
      </c>
      <c r="S3656" s="401"/>
      <c r="T3656" s="255"/>
      <c r="U3656" s="255"/>
      <c r="V3656" s="255"/>
      <c r="W3656" s="341" t="s">
        <v>14052</v>
      </c>
      <c r="X3656" s="676" t="s">
        <v>13978</v>
      </c>
      <c r="Y3656" s="381"/>
      <c r="Z3656" s="382"/>
      <c r="AA3656" s="382"/>
      <c r="AB3656" s="145">
        <f t="shared" ca="1" si="94"/>
        <v>0.26918740601390367</v>
      </c>
      <c r="AC3656" s="840"/>
      <c r="AD3656" s="841"/>
      <c r="AE3656" s="961"/>
      <c r="AF3656" s="933">
        <f>IF(X3656=X3655,AF3655,0)+IF(ISNUMBER(I3656),IF(I3656&lt;1,I3656,I3656*VLOOKUP(J3656,Summary!$H$2:$I$9,2)),VLOOKUP(J3656,Summary!$J$2:$K$9,2)*IF(ISNUMBER(H3656),H3656,1))</f>
        <v>0.60763888888888906</v>
      </c>
      <c r="AG3656" s="305">
        <v>3655</v>
      </c>
      <c r="AH3656" s="122"/>
      <c r="AI3656" s="122"/>
      <c r="AJ3656" s="146"/>
    </row>
    <row r="3657" spans="1:36" s="147" customFormat="1" ht="12" customHeight="1" x14ac:dyDescent="0.25">
      <c r="A3657" s="578" t="s">
        <v>13763</v>
      </c>
      <c r="B3657" s="579" t="s">
        <v>13766</v>
      </c>
      <c r="C3657" s="578">
        <v>36</v>
      </c>
      <c r="D3657" s="580" t="s">
        <v>14053</v>
      </c>
      <c r="E3657" s="341" t="s">
        <v>14054</v>
      </c>
      <c r="F3657" s="175">
        <v>42776</v>
      </c>
      <c r="G3657" s="257"/>
      <c r="H3657" s="258" t="s">
        <v>461</v>
      </c>
      <c r="I3657" s="258"/>
      <c r="J3657" s="912" t="s">
        <v>2755</v>
      </c>
      <c r="K3657" s="259" t="s">
        <v>11878</v>
      </c>
      <c r="L3657" s="259" t="s">
        <v>461</v>
      </c>
      <c r="M3657" s="259"/>
      <c r="N3657" s="259" t="s">
        <v>3324</v>
      </c>
      <c r="O3657" s="259"/>
      <c r="P3657" s="255"/>
      <c r="Q3657" s="259" t="s">
        <v>11587</v>
      </c>
      <c r="R3657" s="260" t="s">
        <v>14082</v>
      </c>
      <c r="S3657" s="401"/>
      <c r="T3657" s="255"/>
      <c r="U3657" s="255"/>
      <c r="V3657" s="255"/>
      <c r="W3657" s="341" t="s">
        <v>14054</v>
      </c>
      <c r="X3657" s="676" t="s">
        <v>13978</v>
      </c>
      <c r="Y3657" s="381"/>
      <c r="Z3657" s="382"/>
      <c r="AA3657" s="382"/>
      <c r="AB3657" s="145">
        <f t="shared" ca="1" si="94"/>
        <v>0.93958976944635753</v>
      </c>
      <c r="AC3657" s="840"/>
      <c r="AD3657" s="841"/>
      <c r="AE3657" s="961"/>
      <c r="AF3657" s="933">
        <f>IF(X3657=X3656,AF3656,0)+IF(ISNUMBER(I3657),IF(I3657&lt;1,I3657,I3657*VLOOKUP(J3657,Summary!$H$2:$I$9,2)),VLOOKUP(J3657,Summary!$J$2:$K$9,2)*IF(ISNUMBER(H3657),H3657,1))</f>
        <v>0.62500000000000022</v>
      </c>
      <c r="AG3657" s="305">
        <v>3656</v>
      </c>
      <c r="AH3657" s="122"/>
      <c r="AI3657" s="122"/>
      <c r="AJ3657" s="146"/>
    </row>
    <row r="3658" spans="1:36" s="147" customFormat="1" ht="12" customHeight="1" x14ac:dyDescent="0.25">
      <c r="A3658" s="578" t="s">
        <v>13763</v>
      </c>
      <c r="B3658" s="579" t="s">
        <v>13766</v>
      </c>
      <c r="C3658" s="578">
        <v>37</v>
      </c>
      <c r="D3658" s="580" t="s">
        <v>14055</v>
      </c>
      <c r="E3658" s="341" t="s">
        <v>14056</v>
      </c>
      <c r="F3658" s="175">
        <v>42776</v>
      </c>
      <c r="G3658" s="257"/>
      <c r="H3658" s="258" t="s">
        <v>461</v>
      </c>
      <c r="I3658" s="258"/>
      <c r="J3658" s="912" t="s">
        <v>2755</v>
      </c>
      <c r="K3658" s="259" t="s">
        <v>11877</v>
      </c>
      <c r="L3658" s="259" t="s">
        <v>461</v>
      </c>
      <c r="M3658" s="259"/>
      <c r="N3658" s="259" t="s">
        <v>3324</v>
      </c>
      <c r="O3658" s="259"/>
      <c r="P3658" s="255"/>
      <c r="Q3658" s="259" t="s">
        <v>11587</v>
      </c>
      <c r="R3658" s="260" t="s">
        <v>14082</v>
      </c>
      <c r="S3658" s="401"/>
      <c r="T3658" s="255"/>
      <c r="U3658" s="255"/>
      <c r="V3658" s="255"/>
      <c r="W3658" s="341" t="s">
        <v>14056</v>
      </c>
      <c r="X3658" s="676" t="s">
        <v>13978</v>
      </c>
      <c r="Y3658" s="381"/>
      <c r="Z3658" s="382"/>
      <c r="AA3658" s="382"/>
      <c r="AB3658" s="145">
        <f t="shared" ca="1" si="94"/>
        <v>0.3373037093886383</v>
      </c>
      <c r="AC3658" s="840"/>
      <c r="AD3658" s="841"/>
      <c r="AE3658" s="961"/>
      <c r="AF3658" s="933">
        <f>IF(X3658=X3657,AF3657,0)+IF(ISNUMBER(I3658),IF(I3658&lt;1,I3658,I3658*VLOOKUP(J3658,Summary!$H$2:$I$9,2)),VLOOKUP(J3658,Summary!$J$2:$K$9,2)*IF(ISNUMBER(H3658),H3658,1))</f>
        <v>0.64236111111111138</v>
      </c>
      <c r="AG3658" s="305">
        <v>3657</v>
      </c>
      <c r="AH3658" s="122"/>
      <c r="AI3658" s="122"/>
      <c r="AJ3658" s="146"/>
    </row>
    <row r="3659" spans="1:36" s="147" customFormat="1" ht="12" customHeight="1" x14ac:dyDescent="0.25">
      <c r="A3659" s="578" t="s">
        <v>13763</v>
      </c>
      <c r="B3659" s="579" t="s">
        <v>13766</v>
      </c>
      <c r="C3659" s="578">
        <v>38</v>
      </c>
      <c r="D3659" s="580" t="s">
        <v>14057</v>
      </c>
      <c r="E3659" s="341" t="s">
        <v>14058</v>
      </c>
      <c r="F3659" s="175">
        <v>42776</v>
      </c>
      <c r="G3659" s="257"/>
      <c r="H3659" s="258" t="s">
        <v>461</v>
      </c>
      <c r="I3659" s="258"/>
      <c r="J3659" s="912" t="s">
        <v>2755</v>
      </c>
      <c r="K3659" s="259" t="s">
        <v>3324</v>
      </c>
      <c r="L3659" s="259" t="s">
        <v>461</v>
      </c>
      <c r="M3659" s="259"/>
      <c r="N3659" s="259" t="s">
        <v>3324</v>
      </c>
      <c r="O3659" s="259"/>
      <c r="P3659" s="255"/>
      <c r="Q3659" s="259" t="s">
        <v>11587</v>
      </c>
      <c r="R3659" s="260" t="s">
        <v>14082</v>
      </c>
      <c r="S3659" s="401"/>
      <c r="T3659" s="255"/>
      <c r="U3659" s="255"/>
      <c r="V3659" s="255"/>
      <c r="W3659" s="341" t="s">
        <v>14058</v>
      </c>
      <c r="X3659" s="676" t="s">
        <v>13978</v>
      </c>
      <c r="Y3659" s="381"/>
      <c r="Z3659" s="382"/>
      <c r="AA3659" s="382"/>
      <c r="AB3659" s="145">
        <f t="shared" ca="1" si="94"/>
        <v>0.40249102575529372</v>
      </c>
      <c r="AC3659" s="840"/>
      <c r="AD3659" s="841"/>
      <c r="AE3659" s="961"/>
      <c r="AF3659" s="933">
        <f>IF(X3659=X3658,AF3658,0)+IF(ISNUMBER(I3659),IF(I3659&lt;1,I3659,I3659*VLOOKUP(J3659,Summary!$H$2:$I$9,2)),VLOOKUP(J3659,Summary!$J$2:$K$9,2)*IF(ISNUMBER(H3659),H3659,1))</f>
        <v>0.65972222222222254</v>
      </c>
      <c r="AG3659" s="305">
        <v>3658</v>
      </c>
      <c r="AH3659" s="122"/>
      <c r="AI3659" s="122"/>
      <c r="AJ3659" s="146"/>
    </row>
    <row r="3660" spans="1:36" s="147" customFormat="1" ht="12" customHeight="1" x14ac:dyDescent="0.25">
      <c r="A3660" s="578" t="s">
        <v>13763</v>
      </c>
      <c r="B3660" s="579" t="s">
        <v>13766</v>
      </c>
      <c r="C3660" s="578">
        <v>39</v>
      </c>
      <c r="D3660" s="580" t="s">
        <v>14059</v>
      </c>
      <c r="E3660" s="341" t="s">
        <v>14060</v>
      </c>
      <c r="F3660" s="175">
        <v>43171</v>
      </c>
      <c r="G3660" s="257"/>
      <c r="H3660" s="258" t="s">
        <v>461</v>
      </c>
      <c r="I3660" s="258"/>
      <c r="J3660" s="912" t="s">
        <v>2755</v>
      </c>
      <c r="K3660" s="259" t="s">
        <v>14061</v>
      </c>
      <c r="L3660" s="259" t="s">
        <v>461</v>
      </c>
      <c r="M3660" s="259"/>
      <c r="N3660" s="259" t="s">
        <v>13883</v>
      </c>
      <c r="O3660" s="259"/>
      <c r="P3660" s="255"/>
      <c r="Q3660" s="259" t="s">
        <v>11587</v>
      </c>
      <c r="R3660" s="260" t="s">
        <v>14082</v>
      </c>
      <c r="S3660" s="401"/>
      <c r="T3660" s="255"/>
      <c r="U3660" s="255"/>
      <c r="V3660" s="255"/>
      <c r="W3660" s="341" t="s">
        <v>14060</v>
      </c>
      <c r="X3660" s="676" t="s">
        <v>13978</v>
      </c>
      <c r="Y3660" s="381"/>
      <c r="Z3660" s="382"/>
      <c r="AA3660" s="382"/>
      <c r="AB3660" s="145">
        <f t="shared" ca="1" si="94"/>
        <v>0.60985107021977303</v>
      </c>
      <c r="AC3660" s="840"/>
      <c r="AD3660" s="841"/>
      <c r="AE3660" s="961"/>
      <c r="AF3660" s="933">
        <f>IF(X3660=X3659,AF3659,0)+IF(ISNUMBER(I3660),IF(I3660&lt;1,I3660,I3660*VLOOKUP(J3660,Summary!$H$2:$I$9,2)),VLOOKUP(J3660,Summary!$J$2:$K$9,2)*IF(ISNUMBER(H3660),H3660,1))</f>
        <v>0.6770833333333337</v>
      </c>
      <c r="AG3660" s="305">
        <v>3659</v>
      </c>
      <c r="AH3660" s="122"/>
      <c r="AI3660" s="122"/>
      <c r="AJ3660" s="146"/>
    </row>
    <row r="3661" spans="1:36" s="147" customFormat="1" ht="12" customHeight="1" x14ac:dyDescent="0.25">
      <c r="A3661" s="578" t="s">
        <v>13763</v>
      </c>
      <c r="B3661" s="579" t="s">
        <v>13766</v>
      </c>
      <c r="C3661" s="578">
        <v>40</v>
      </c>
      <c r="D3661" s="580" t="s">
        <v>14062</v>
      </c>
      <c r="E3661" s="341" t="s">
        <v>14063</v>
      </c>
      <c r="F3661" s="175">
        <v>43171</v>
      </c>
      <c r="G3661" s="257"/>
      <c r="H3661" s="258" t="s">
        <v>461</v>
      </c>
      <c r="I3661" s="258"/>
      <c r="J3661" s="912" t="s">
        <v>2755</v>
      </c>
      <c r="K3661" s="259" t="s">
        <v>14064</v>
      </c>
      <c r="L3661" s="259" t="s">
        <v>461</v>
      </c>
      <c r="M3661" s="259"/>
      <c r="N3661" s="259" t="s">
        <v>13883</v>
      </c>
      <c r="O3661" s="259"/>
      <c r="P3661" s="255"/>
      <c r="Q3661" s="259" t="s">
        <v>11587</v>
      </c>
      <c r="R3661" s="260" t="s">
        <v>14082</v>
      </c>
      <c r="S3661" s="401"/>
      <c r="T3661" s="255"/>
      <c r="U3661" s="255"/>
      <c r="V3661" s="255"/>
      <c r="W3661" s="341" t="s">
        <v>14063</v>
      </c>
      <c r="X3661" s="676" t="s">
        <v>13978</v>
      </c>
      <c r="Y3661" s="381"/>
      <c r="Z3661" s="382"/>
      <c r="AA3661" s="382"/>
      <c r="AB3661" s="145">
        <f t="shared" ca="1" si="94"/>
        <v>7.5893041263550121E-2</v>
      </c>
      <c r="AC3661" s="840"/>
      <c r="AD3661" s="841"/>
      <c r="AE3661" s="961"/>
      <c r="AF3661" s="933">
        <f>IF(X3661=X3660,AF3660,0)+IF(ISNUMBER(I3661),IF(I3661&lt;1,I3661,I3661*VLOOKUP(J3661,Summary!$H$2:$I$9,2)),VLOOKUP(J3661,Summary!$J$2:$K$9,2)*IF(ISNUMBER(H3661),H3661,1))</f>
        <v>0.69444444444444486</v>
      </c>
      <c r="AG3661" s="305">
        <v>3660</v>
      </c>
      <c r="AH3661" s="122"/>
      <c r="AI3661" s="122"/>
      <c r="AJ3661" s="146"/>
    </row>
    <row r="3662" spans="1:36" s="147" customFormat="1" ht="12" customHeight="1" x14ac:dyDescent="0.25">
      <c r="A3662" s="578" t="s">
        <v>13763</v>
      </c>
      <c r="B3662" s="579" t="s">
        <v>13766</v>
      </c>
      <c r="C3662" s="578">
        <v>41</v>
      </c>
      <c r="D3662" s="580" t="s">
        <v>14065</v>
      </c>
      <c r="E3662" s="341" t="s">
        <v>14066</v>
      </c>
      <c r="F3662" s="175">
        <v>43171</v>
      </c>
      <c r="G3662" s="257"/>
      <c r="H3662" s="258" t="s">
        <v>461</v>
      </c>
      <c r="I3662" s="258"/>
      <c r="J3662" s="912" t="s">
        <v>2755</v>
      </c>
      <c r="K3662" s="259" t="s">
        <v>14037</v>
      </c>
      <c r="L3662" s="259" t="s">
        <v>461</v>
      </c>
      <c r="M3662" s="259"/>
      <c r="N3662" s="259" t="s">
        <v>13883</v>
      </c>
      <c r="O3662" s="259"/>
      <c r="P3662" s="255"/>
      <c r="Q3662" s="259" t="s">
        <v>11587</v>
      </c>
      <c r="R3662" s="260" t="s">
        <v>14082</v>
      </c>
      <c r="S3662" s="401"/>
      <c r="T3662" s="255"/>
      <c r="U3662" s="255"/>
      <c r="V3662" s="255"/>
      <c r="W3662" s="341" t="s">
        <v>14066</v>
      </c>
      <c r="X3662" s="676" t="s">
        <v>13978</v>
      </c>
      <c r="Y3662" s="381"/>
      <c r="Z3662" s="382"/>
      <c r="AA3662" s="382"/>
      <c r="AB3662" s="145">
        <f t="shared" ca="1" si="94"/>
        <v>0.52173255566991028</v>
      </c>
      <c r="AC3662" s="840"/>
      <c r="AD3662" s="841"/>
      <c r="AE3662" s="961"/>
      <c r="AF3662" s="933">
        <f>IF(X3662=X3661,AF3661,0)+IF(ISNUMBER(I3662),IF(I3662&lt;1,I3662,I3662*VLOOKUP(J3662,Summary!$H$2:$I$9,2)),VLOOKUP(J3662,Summary!$J$2:$K$9,2)*IF(ISNUMBER(H3662),H3662,1))</f>
        <v>0.71180555555555602</v>
      </c>
      <c r="AG3662" s="305">
        <v>3661</v>
      </c>
      <c r="AH3662" s="122"/>
      <c r="AI3662" s="122"/>
      <c r="AJ3662" s="146"/>
    </row>
    <row r="3663" spans="1:36" s="147" customFormat="1" ht="12" customHeight="1" x14ac:dyDescent="0.25">
      <c r="A3663" s="578" t="s">
        <v>13763</v>
      </c>
      <c r="B3663" s="579" t="s">
        <v>13766</v>
      </c>
      <c r="C3663" s="578">
        <v>42</v>
      </c>
      <c r="D3663" s="580" t="s">
        <v>14067</v>
      </c>
      <c r="E3663" s="341" t="s">
        <v>14068</v>
      </c>
      <c r="F3663" s="175">
        <v>43171</v>
      </c>
      <c r="G3663" s="257"/>
      <c r="H3663" s="258" t="s">
        <v>461</v>
      </c>
      <c r="I3663" s="258"/>
      <c r="J3663" s="912" t="s">
        <v>2755</v>
      </c>
      <c r="K3663" s="259" t="s">
        <v>3786</v>
      </c>
      <c r="L3663" s="259" t="s">
        <v>461</v>
      </c>
      <c r="M3663" s="259"/>
      <c r="N3663" s="259" t="s">
        <v>13883</v>
      </c>
      <c r="O3663" s="259"/>
      <c r="P3663" s="255"/>
      <c r="Q3663" s="259" t="s">
        <v>11587</v>
      </c>
      <c r="R3663" s="260" t="s">
        <v>14082</v>
      </c>
      <c r="S3663" s="401"/>
      <c r="T3663" s="255"/>
      <c r="U3663" s="255"/>
      <c r="V3663" s="255"/>
      <c r="W3663" s="341" t="s">
        <v>14068</v>
      </c>
      <c r="X3663" s="676" t="s">
        <v>13978</v>
      </c>
      <c r="Y3663" s="381"/>
      <c r="Z3663" s="382"/>
      <c r="AA3663" s="382"/>
      <c r="AB3663" s="145">
        <f t="shared" ca="1" si="94"/>
        <v>0.48725607554183259</v>
      </c>
      <c r="AC3663" s="840"/>
      <c r="AD3663" s="841"/>
      <c r="AE3663" s="961"/>
      <c r="AF3663" s="933">
        <f>IF(X3663=X3662,AF3662,0)+IF(ISNUMBER(I3663),IF(I3663&lt;1,I3663,I3663*VLOOKUP(J3663,Summary!$H$2:$I$9,2)),VLOOKUP(J3663,Summary!$J$2:$K$9,2)*IF(ISNUMBER(H3663),H3663,1))</f>
        <v>0.72916666666666718</v>
      </c>
      <c r="AG3663" s="305">
        <v>3662</v>
      </c>
      <c r="AH3663" s="122"/>
      <c r="AI3663" s="122"/>
      <c r="AJ3663" s="146"/>
    </row>
    <row r="3664" spans="1:36" s="147" customFormat="1" ht="12" customHeight="1" x14ac:dyDescent="0.25">
      <c r="A3664" s="578" t="s">
        <v>13763</v>
      </c>
      <c r="B3664" s="579" t="s">
        <v>13766</v>
      </c>
      <c r="C3664" s="578">
        <v>43</v>
      </c>
      <c r="D3664" s="580" t="s">
        <v>14069</v>
      </c>
      <c r="E3664" s="341" t="s">
        <v>14070</v>
      </c>
      <c r="F3664" s="175">
        <v>43171</v>
      </c>
      <c r="G3664" s="257"/>
      <c r="H3664" s="258" t="s">
        <v>461</v>
      </c>
      <c r="I3664" s="258"/>
      <c r="J3664" s="912" t="s">
        <v>2755</v>
      </c>
      <c r="K3664" s="259" t="s">
        <v>14071</v>
      </c>
      <c r="L3664" s="259" t="s">
        <v>461</v>
      </c>
      <c r="M3664" s="259"/>
      <c r="N3664" s="259" t="s">
        <v>13883</v>
      </c>
      <c r="O3664" s="259"/>
      <c r="P3664" s="255"/>
      <c r="Q3664" s="259" t="s">
        <v>11587</v>
      </c>
      <c r="R3664" s="260" t="s">
        <v>14082</v>
      </c>
      <c r="S3664" s="401"/>
      <c r="T3664" s="255"/>
      <c r="U3664" s="255"/>
      <c r="V3664" s="255"/>
      <c r="W3664" s="341" t="s">
        <v>14070</v>
      </c>
      <c r="X3664" s="676" t="s">
        <v>13978</v>
      </c>
      <c r="Y3664" s="381"/>
      <c r="Z3664" s="382"/>
      <c r="AA3664" s="382"/>
      <c r="AB3664" s="145">
        <f t="shared" ca="1" si="94"/>
        <v>0.1246286687936673</v>
      </c>
      <c r="AC3664" s="840"/>
      <c r="AD3664" s="841"/>
      <c r="AE3664" s="961"/>
      <c r="AF3664" s="933">
        <f>IF(X3664=X3663,AF3663,0)+IF(ISNUMBER(I3664),IF(I3664&lt;1,I3664,I3664*VLOOKUP(J3664,Summary!$H$2:$I$9,2)),VLOOKUP(J3664,Summary!$J$2:$K$9,2)*IF(ISNUMBER(H3664),H3664,1))</f>
        <v>0.74652777777777835</v>
      </c>
      <c r="AG3664" s="305">
        <v>3663</v>
      </c>
      <c r="AH3664" s="122"/>
      <c r="AI3664" s="122"/>
      <c r="AJ3664" s="146"/>
    </row>
    <row r="3665" spans="1:36" s="147" customFormat="1" ht="12" customHeight="1" x14ac:dyDescent="0.25">
      <c r="A3665" s="578" t="s">
        <v>13763</v>
      </c>
      <c r="B3665" s="579" t="s">
        <v>13766</v>
      </c>
      <c r="C3665" s="578">
        <v>44</v>
      </c>
      <c r="D3665" s="580" t="s">
        <v>14072</v>
      </c>
      <c r="E3665" s="341" t="s">
        <v>14073</v>
      </c>
      <c r="F3665" s="175">
        <v>43171</v>
      </c>
      <c r="G3665" s="257"/>
      <c r="H3665" s="258" t="s">
        <v>461</v>
      </c>
      <c r="I3665" s="258"/>
      <c r="J3665" s="912" t="s">
        <v>2755</v>
      </c>
      <c r="K3665" s="259" t="s">
        <v>11958</v>
      </c>
      <c r="L3665" s="259" t="s">
        <v>461</v>
      </c>
      <c r="M3665" s="259"/>
      <c r="N3665" s="259" t="s">
        <v>13883</v>
      </c>
      <c r="O3665" s="259"/>
      <c r="P3665" s="255"/>
      <c r="Q3665" s="259" t="s">
        <v>11587</v>
      </c>
      <c r="R3665" s="260" t="s">
        <v>14082</v>
      </c>
      <c r="S3665" s="401"/>
      <c r="T3665" s="255"/>
      <c r="U3665" s="255"/>
      <c r="V3665" s="255"/>
      <c r="W3665" s="341" t="s">
        <v>14073</v>
      </c>
      <c r="X3665" s="676" t="s">
        <v>13978</v>
      </c>
      <c r="Y3665" s="381"/>
      <c r="Z3665" s="382"/>
      <c r="AA3665" s="382"/>
      <c r="AB3665" s="145">
        <f t="shared" ca="1" si="94"/>
        <v>0.34766502938815669</v>
      </c>
      <c r="AC3665" s="840"/>
      <c r="AD3665" s="841"/>
      <c r="AE3665" s="961"/>
      <c r="AF3665" s="933">
        <f>IF(X3665=X3664,AF3664,0)+IF(ISNUMBER(I3665),IF(I3665&lt;1,I3665,I3665*VLOOKUP(J3665,Summary!$H$2:$I$9,2)),VLOOKUP(J3665,Summary!$J$2:$K$9,2)*IF(ISNUMBER(H3665),H3665,1))</f>
        <v>0.76388888888888951</v>
      </c>
      <c r="AG3665" s="305">
        <v>3664</v>
      </c>
      <c r="AH3665" s="122"/>
      <c r="AI3665" s="122"/>
      <c r="AJ3665" s="146"/>
    </row>
    <row r="3666" spans="1:36" s="147" customFormat="1" ht="12" customHeight="1" x14ac:dyDescent="0.25">
      <c r="A3666" s="578" t="s">
        <v>13763</v>
      </c>
      <c r="B3666" s="579" t="s">
        <v>13766</v>
      </c>
      <c r="C3666" s="578">
        <v>45</v>
      </c>
      <c r="D3666" s="580" t="s">
        <v>14074</v>
      </c>
      <c r="E3666" s="341" t="s">
        <v>14075</v>
      </c>
      <c r="F3666" s="175">
        <v>43171</v>
      </c>
      <c r="G3666" s="257"/>
      <c r="H3666" s="258" t="s">
        <v>461</v>
      </c>
      <c r="I3666" s="258"/>
      <c r="J3666" s="912" t="s">
        <v>2755</v>
      </c>
      <c r="K3666" s="259" t="s">
        <v>11961</v>
      </c>
      <c r="L3666" s="259" t="s">
        <v>461</v>
      </c>
      <c r="M3666" s="259"/>
      <c r="N3666" s="259" t="s">
        <v>13883</v>
      </c>
      <c r="O3666" s="259"/>
      <c r="P3666" s="255"/>
      <c r="Q3666" s="259" t="s">
        <v>11587</v>
      </c>
      <c r="R3666" s="260" t="s">
        <v>14082</v>
      </c>
      <c r="S3666" s="401"/>
      <c r="T3666" s="255"/>
      <c r="U3666" s="255"/>
      <c r="V3666" s="255"/>
      <c r="W3666" s="341" t="s">
        <v>14075</v>
      </c>
      <c r="X3666" s="676" t="s">
        <v>13978</v>
      </c>
      <c r="Y3666" s="381"/>
      <c r="Z3666" s="382"/>
      <c r="AA3666" s="382"/>
      <c r="AB3666" s="145">
        <f t="shared" ca="1" si="94"/>
        <v>0.93711601171212766</v>
      </c>
      <c r="AC3666" s="840"/>
      <c r="AD3666" s="841"/>
      <c r="AE3666" s="961"/>
      <c r="AF3666" s="933">
        <f>IF(X3666=X3665,AF3665,0)+IF(ISNUMBER(I3666),IF(I3666&lt;1,I3666,I3666*VLOOKUP(J3666,Summary!$H$2:$I$9,2)),VLOOKUP(J3666,Summary!$J$2:$K$9,2)*IF(ISNUMBER(H3666),H3666,1))</f>
        <v>0.78125000000000067</v>
      </c>
      <c r="AG3666" s="305">
        <v>3665</v>
      </c>
      <c r="AH3666" s="122"/>
      <c r="AI3666" s="122"/>
      <c r="AJ3666" s="146"/>
    </row>
    <row r="3667" spans="1:36" s="147" customFormat="1" ht="12" customHeight="1" x14ac:dyDescent="0.25">
      <c r="A3667" s="578" t="s">
        <v>13763</v>
      </c>
      <c r="B3667" s="579" t="s">
        <v>13766</v>
      </c>
      <c r="C3667" s="578">
        <v>46</v>
      </c>
      <c r="D3667" s="580" t="s">
        <v>14076</v>
      </c>
      <c r="E3667" s="341" t="s">
        <v>14008</v>
      </c>
      <c r="F3667" s="175">
        <v>43171</v>
      </c>
      <c r="G3667" s="257"/>
      <c r="H3667" s="258" t="s">
        <v>461</v>
      </c>
      <c r="I3667" s="258"/>
      <c r="J3667" s="912" t="s">
        <v>2755</v>
      </c>
      <c r="K3667" s="259" t="s">
        <v>13883</v>
      </c>
      <c r="L3667" s="259" t="s">
        <v>461</v>
      </c>
      <c r="M3667" s="259"/>
      <c r="N3667" s="259" t="s">
        <v>13883</v>
      </c>
      <c r="O3667" s="259"/>
      <c r="P3667" s="255"/>
      <c r="Q3667" s="259" t="s">
        <v>11587</v>
      </c>
      <c r="R3667" s="260" t="s">
        <v>14082</v>
      </c>
      <c r="S3667" s="401"/>
      <c r="T3667" s="255"/>
      <c r="U3667" s="255"/>
      <c r="V3667" s="255"/>
      <c r="W3667" s="341" t="s">
        <v>14008</v>
      </c>
      <c r="X3667" s="676" t="s">
        <v>13978</v>
      </c>
      <c r="Y3667" s="381"/>
      <c r="Z3667" s="382"/>
      <c r="AA3667" s="382"/>
      <c r="AB3667" s="145">
        <f t="shared" ca="1" si="94"/>
        <v>0.63160663265551475</v>
      </c>
      <c r="AC3667" s="840"/>
      <c r="AD3667" s="841"/>
      <c r="AE3667" s="961"/>
      <c r="AF3667" s="933">
        <f>IF(X3667=X3666,AF3666,0)+IF(ISNUMBER(I3667),IF(I3667&lt;1,I3667,I3667*VLOOKUP(J3667,Summary!$H$2:$I$9,2)),VLOOKUP(J3667,Summary!$J$2:$K$9,2)*IF(ISNUMBER(H3667),H3667,1))</f>
        <v>0.79861111111111183</v>
      </c>
      <c r="AG3667" s="305">
        <v>3666</v>
      </c>
      <c r="AH3667" s="122"/>
      <c r="AI3667" s="122"/>
      <c r="AJ3667" s="146"/>
    </row>
    <row r="3668" spans="1:36" s="147" customFormat="1" ht="12" customHeight="1" x14ac:dyDescent="0.25">
      <c r="A3668" s="578" t="s">
        <v>13763</v>
      </c>
      <c r="B3668" s="579" t="s">
        <v>13766</v>
      </c>
      <c r="C3668" s="578">
        <v>47</v>
      </c>
      <c r="D3668" s="580" t="s">
        <v>14077</v>
      </c>
      <c r="E3668" s="341" t="s">
        <v>14078</v>
      </c>
      <c r="F3668" s="175">
        <v>43171</v>
      </c>
      <c r="G3668" s="257"/>
      <c r="H3668" s="258" t="s">
        <v>461</v>
      </c>
      <c r="I3668" s="258"/>
      <c r="J3668" s="912" t="s">
        <v>2755</v>
      </c>
      <c r="K3668" s="259" t="s">
        <v>14079</v>
      </c>
      <c r="L3668" s="259" t="s">
        <v>461</v>
      </c>
      <c r="M3668" s="259"/>
      <c r="N3668" s="259" t="s">
        <v>13883</v>
      </c>
      <c r="O3668" s="259"/>
      <c r="P3668" s="255"/>
      <c r="Q3668" s="259" t="s">
        <v>11587</v>
      </c>
      <c r="R3668" s="260" t="s">
        <v>14082</v>
      </c>
      <c r="S3668" s="401"/>
      <c r="T3668" s="255"/>
      <c r="U3668" s="255"/>
      <c r="V3668" s="255"/>
      <c r="W3668" s="341" t="s">
        <v>14078</v>
      </c>
      <c r="X3668" s="676" t="s">
        <v>13978</v>
      </c>
      <c r="Y3668" s="381"/>
      <c r="Z3668" s="382"/>
      <c r="AA3668" s="382"/>
      <c r="AB3668" s="145">
        <f t="shared" ca="1" si="94"/>
        <v>0.27807523475396678</v>
      </c>
      <c r="AC3668" s="840"/>
      <c r="AD3668" s="841"/>
      <c r="AE3668" s="961"/>
      <c r="AF3668" s="933">
        <f>IF(X3668=X3667,AF3667,0)+IF(ISNUMBER(I3668),IF(I3668&lt;1,I3668,I3668*VLOOKUP(J3668,Summary!$H$2:$I$9,2)),VLOOKUP(J3668,Summary!$J$2:$K$9,2)*IF(ISNUMBER(H3668),H3668,1))</f>
        <v>0.81597222222222299</v>
      </c>
      <c r="AG3668" s="305">
        <v>3667</v>
      </c>
      <c r="AH3668" s="122"/>
      <c r="AI3668" s="122"/>
      <c r="AJ3668" s="146"/>
    </row>
    <row r="3669" spans="1:36" s="3" customFormat="1" ht="12" customHeight="1" x14ac:dyDescent="0.25">
      <c r="A3669" s="405"/>
      <c r="B3669" s="406" t="s">
        <v>2525</v>
      </c>
      <c r="C3669" s="405">
        <v>25</v>
      </c>
      <c r="D3669" s="407" t="s">
        <v>9492</v>
      </c>
      <c r="E3669" s="315" t="s">
        <v>9493</v>
      </c>
      <c r="F3669" s="169">
        <v>42036</v>
      </c>
      <c r="G3669" s="170"/>
      <c r="H3669" s="170">
        <v>4</v>
      </c>
      <c r="I3669" s="746">
        <f>TIME(1,46,21)</f>
        <v>7.3854166666666665E-2</v>
      </c>
      <c r="J3669" s="899" t="s">
        <v>4706</v>
      </c>
      <c r="K3669" s="167" t="s">
        <v>9494</v>
      </c>
      <c r="L3669" s="167" t="s">
        <v>179</v>
      </c>
      <c r="M3669" s="167"/>
      <c r="N3669" s="167"/>
      <c r="O3669" s="167"/>
      <c r="P3669" s="168" t="s">
        <v>9495</v>
      </c>
      <c r="Q3669" s="167" t="s">
        <v>3947</v>
      </c>
      <c r="R3669" s="172" t="s">
        <v>2237</v>
      </c>
      <c r="S3669" s="388" t="s">
        <v>2542</v>
      </c>
      <c r="T3669" s="168"/>
      <c r="U3669" s="168" t="s">
        <v>9490</v>
      </c>
      <c r="V3669" s="168"/>
      <c r="W3669" s="312" t="s">
        <v>15285</v>
      </c>
      <c r="X3669" s="647" t="s">
        <v>12986</v>
      </c>
      <c r="Y3669" s="352" t="s">
        <v>5643</v>
      </c>
      <c r="Z3669" s="353">
        <v>634</v>
      </c>
      <c r="AA3669" s="353">
        <v>3</v>
      </c>
      <c r="AB3669" s="31">
        <f t="shared" ca="1" si="94"/>
        <v>0.37123400038365495</v>
      </c>
      <c r="AC3669" s="810"/>
      <c r="AD3669" s="811" t="s">
        <v>461</v>
      </c>
      <c r="AE3669" s="940"/>
      <c r="AF3669" s="920">
        <f>IF(X3669=X3668,AF3668,0)+IF(ISNUMBER(I3669),IF(I3669&lt;1,I3669,I3669*VLOOKUP(J3669,Summary!$H$2:$I$9,2)),VLOOKUP(J3669,Summary!$J$2:$K$9,2)*IF(ISNUMBER(H3669),H3669,1))</f>
        <v>7.3854166666666665E-2</v>
      </c>
      <c r="AG3669" s="287">
        <v>3668</v>
      </c>
      <c r="AH3669" s="94"/>
      <c r="AI3669" s="94"/>
      <c r="AJ3669" s="2"/>
    </row>
    <row r="3670" spans="1:36" s="3" customFormat="1" ht="12" customHeight="1" x14ac:dyDescent="0.25">
      <c r="A3670" s="405"/>
      <c r="B3670" s="406" t="s">
        <v>2525</v>
      </c>
      <c r="C3670" s="405">
        <v>26</v>
      </c>
      <c r="D3670" s="407" t="s">
        <v>12845</v>
      </c>
      <c r="E3670" s="315" t="s">
        <v>12846</v>
      </c>
      <c r="F3670" s="196">
        <v>42514</v>
      </c>
      <c r="G3670" s="170"/>
      <c r="H3670" s="170">
        <v>6</v>
      </c>
      <c r="I3670" s="746">
        <f>TIME(3,0,41)</f>
        <v>0.12547453703703704</v>
      </c>
      <c r="J3670" s="899" t="s">
        <v>4706</v>
      </c>
      <c r="K3670" s="167" t="s">
        <v>4146</v>
      </c>
      <c r="L3670" s="167" t="s">
        <v>179</v>
      </c>
      <c r="M3670" s="167"/>
      <c r="N3670" s="167"/>
      <c r="O3670" s="167"/>
      <c r="P3670" s="168" t="s">
        <v>12847</v>
      </c>
      <c r="Q3670" s="167" t="s">
        <v>3947</v>
      </c>
      <c r="R3670" s="172" t="s">
        <v>2237</v>
      </c>
      <c r="S3670" s="388" t="s">
        <v>2608</v>
      </c>
      <c r="T3670" s="168" t="s">
        <v>2610</v>
      </c>
      <c r="U3670" s="168" t="s">
        <v>2542</v>
      </c>
      <c r="V3670" s="168"/>
      <c r="W3670" s="312" t="s">
        <v>15907</v>
      </c>
      <c r="X3670" s="647" t="s">
        <v>12986</v>
      </c>
      <c r="Y3670" s="352" t="s">
        <v>5643</v>
      </c>
      <c r="Z3670" s="353">
        <v>401</v>
      </c>
      <c r="AA3670" s="353">
        <v>5</v>
      </c>
      <c r="AB3670" s="31">
        <f t="shared" ca="1" si="94"/>
        <v>3.0579390421695218E-2</v>
      </c>
      <c r="AC3670" s="810"/>
      <c r="AD3670" s="811" t="s">
        <v>461</v>
      </c>
      <c r="AE3670" s="940"/>
      <c r="AF3670" s="920">
        <f>IF(X3670=X3669,AF3669,0)+IF(ISNUMBER(I3670),IF(I3670&lt;1,I3670,I3670*VLOOKUP(J3670,Summary!$H$2:$I$9,2)),VLOOKUP(J3670,Summary!$J$2:$K$9,2)*IF(ISNUMBER(H3670),H3670,1))</f>
        <v>0.1993287037037037</v>
      </c>
      <c r="AG3670" s="287">
        <v>3669</v>
      </c>
      <c r="AH3670" s="94"/>
      <c r="AI3670" s="94"/>
      <c r="AJ3670" s="57"/>
    </row>
    <row r="3671" spans="1:36" s="147" customFormat="1" ht="12" customHeight="1" x14ac:dyDescent="0.25">
      <c r="A3671" s="569" t="s">
        <v>12985</v>
      </c>
      <c r="B3671" s="569">
        <v>8</v>
      </c>
      <c r="C3671" s="569">
        <v>10</v>
      </c>
      <c r="D3671" s="417" t="s">
        <v>7550</v>
      </c>
      <c r="E3671" s="316" t="s">
        <v>5006</v>
      </c>
      <c r="F3671" s="187">
        <v>37834</v>
      </c>
      <c r="G3671" s="188"/>
      <c r="H3671" s="188" t="str">
        <f>IF(J3671="Book","n/a","")</f>
        <v>n/a</v>
      </c>
      <c r="I3671" s="188">
        <v>120</v>
      </c>
      <c r="J3671" s="902" t="s">
        <v>6868</v>
      </c>
      <c r="K3671" s="162" t="s">
        <v>5121</v>
      </c>
      <c r="L3671" s="162" t="str">
        <f>IF(J3671="Book","n/a","")</f>
        <v>n/a</v>
      </c>
      <c r="M3671" s="162"/>
      <c r="N3671" s="162"/>
      <c r="O3671" s="162"/>
      <c r="P3671" s="178" t="s">
        <v>8865</v>
      </c>
      <c r="Q3671" s="162" t="s">
        <v>6055</v>
      </c>
      <c r="R3671" s="189" t="s">
        <v>2718</v>
      </c>
      <c r="S3671" s="366"/>
      <c r="T3671" s="178"/>
      <c r="U3671" s="178"/>
      <c r="V3671" s="178"/>
      <c r="W3671" s="316" t="s">
        <v>5006</v>
      </c>
      <c r="X3671" s="648" t="s">
        <v>12986</v>
      </c>
      <c r="Y3671" s="356"/>
      <c r="Z3671" s="272">
        <v>24</v>
      </c>
      <c r="AA3671" s="272">
        <v>8.5</v>
      </c>
      <c r="AB3671" s="34">
        <f t="shared" ca="1" si="94"/>
        <v>0.12324600665411234</v>
      </c>
      <c r="AC3671" s="814"/>
      <c r="AD3671" s="818" t="s">
        <v>15042</v>
      </c>
      <c r="AE3671" s="942" t="s">
        <v>12543</v>
      </c>
      <c r="AF3671" s="923">
        <f>IF(X3671=X3670,AF3670,0)+IF(ISNUMBER(I3671),IF(I3671&lt;1,I3671,I3671*VLOOKUP(J3671,Summary!$H$2:$I$9,2)),VLOOKUP(J3671,Summary!$J$2:$K$9,2)*IF(ISNUMBER(H3671),H3671,1))</f>
        <v>0.28266203703703707</v>
      </c>
      <c r="AG3671" s="291">
        <v>3670</v>
      </c>
      <c r="AH3671" s="122"/>
      <c r="AI3671" s="122"/>
      <c r="AJ3671" s="146"/>
    </row>
    <row r="3672" spans="1:36" s="147" customFormat="1" ht="12" customHeight="1" x14ac:dyDescent="0.25">
      <c r="A3672" s="571" t="s">
        <v>12985</v>
      </c>
      <c r="B3672" s="571">
        <v>8</v>
      </c>
      <c r="C3672" s="574">
        <v>24.2</v>
      </c>
      <c r="D3672" s="434" t="s">
        <v>2399</v>
      </c>
      <c r="E3672" s="324" t="s">
        <v>6896</v>
      </c>
      <c r="F3672" s="174">
        <v>39264</v>
      </c>
      <c r="G3672" s="174"/>
      <c r="H3672" s="176">
        <v>1</v>
      </c>
      <c r="I3672" s="176">
        <v>16</v>
      </c>
      <c r="J3672" s="900" t="s">
        <v>2755</v>
      </c>
      <c r="K3672" s="164" t="s">
        <v>804</v>
      </c>
      <c r="L3672" s="164" t="s">
        <v>461</v>
      </c>
      <c r="M3672" s="164"/>
      <c r="N3672" s="164" t="s">
        <v>4425</v>
      </c>
      <c r="O3672" s="164"/>
      <c r="P3672" s="173" t="s">
        <v>5601</v>
      </c>
      <c r="Q3672" s="164" t="s">
        <v>3947</v>
      </c>
      <c r="R3672" s="179" t="s">
        <v>2723</v>
      </c>
      <c r="S3672" s="354"/>
      <c r="T3672" s="173"/>
      <c r="U3672" s="173"/>
      <c r="V3672" s="173"/>
      <c r="W3672" s="324" t="s">
        <v>6896</v>
      </c>
      <c r="X3672" s="656" t="s">
        <v>12986</v>
      </c>
      <c r="Y3672" s="363"/>
      <c r="Z3672" s="364"/>
      <c r="AA3672" s="364"/>
      <c r="AB3672" s="32">
        <f t="shared" ca="1" si="94"/>
        <v>0.52287946965063137</v>
      </c>
      <c r="AC3672" s="812"/>
      <c r="AD3672" s="763"/>
      <c r="AE3672" s="951"/>
      <c r="AF3672" s="921">
        <f>IF(X3672=X3671,AF3671,0)+IF(ISNUMBER(I3672),IF(I3672&lt;1,I3672,I3672*VLOOKUP(J3672,Summary!$H$2:$I$9,2)),VLOOKUP(J3672,Summary!$J$2:$K$9,2)*IF(ISNUMBER(H3672),H3672,1))</f>
        <v>0.2937731481481482</v>
      </c>
      <c r="AG3672" s="288">
        <v>3671</v>
      </c>
      <c r="AH3672" s="122"/>
      <c r="AI3672" s="122"/>
      <c r="AJ3672" s="146"/>
    </row>
    <row r="3673" spans="1:36" s="147" customFormat="1" ht="12" customHeight="1" x14ac:dyDescent="0.25">
      <c r="A3673" s="571" t="s">
        <v>12985</v>
      </c>
      <c r="B3673" s="571">
        <v>8</v>
      </c>
      <c r="C3673" s="571">
        <v>21.09</v>
      </c>
      <c r="D3673" s="434" t="s">
        <v>6438</v>
      </c>
      <c r="E3673" s="324" t="s">
        <v>7466</v>
      </c>
      <c r="F3673" s="174">
        <v>38991</v>
      </c>
      <c r="G3673" s="174"/>
      <c r="H3673" s="176">
        <v>1</v>
      </c>
      <c r="I3673" s="176">
        <v>18</v>
      </c>
      <c r="J3673" s="900" t="s">
        <v>2755</v>
      </c>
      <c r="K3673" s="164" t="s">
        <v>5664</v>
      </c>
      <c r="L3673" s="164" t="s">
        <v>461</v>
      </c>
      <c r="M3673" s="164"/>
      <c r="N3673" s="164" t="s">
        <v>5664</v>
      </c>
      <c r="O3673" s="164"/>
      <c r="P3673" s="173" t="s">
        <v>3325</v>
      </c>
      <c r="Q3673" s="164" t="s">
        <v>3947</v>
      </c>
      <c r="R3673" s="179" t="s">
        <v>2723</v>
      </c>
      <c r="S3673" s="354"/>
      <c r="T3673" s="173"/>
      <c r="U3673" s="173"/>
      <c r="V3673" s="173"/>
      <c r="W3673" s="324" t="s">
        <v>7466</v>
      </c>
      <c r="X3673" s="656" t="s">
        <v>12986</v>
      </c>
      <c r="Y3673" s="363"/>
      <c r="Z3673" s="364"/>
      <c r="AA3673" s="364"/>
      <c r="AB3673" s="32">
        <f t="shared" ca="1" si="94"/>
        <v>0.62466727973607195</v>
      </c>
      <c r="AC3673" s="812"/>
      <c r="AD3673" s="763"/>
      <c r="AE3673" s="951"/>
      <c r="AF3673" s="921">
        <f>IF(X3673=X3672,AF3672,0)+IF(ISNUMBER(I3673),IF(I3673&lt;1,I3673,I3673*VLOOKUP(J3673,Summary!$H$2:$I$9,2)),VLOOKUP(J3673,Summary!$J$2:$K$9,2)*IF(ISNUMBER(H3673),H3673,1))</f>
        <v>0.30627314814814821</v>
      </c>
      <c r="AG3673" s="288">
        <v>3672</v>
      </c>
      <c r="AH3673" s="122"/>
      <c r="AI3673" s="122"/>
      <c r="AJ3673" s="146"/>
    </row>
    <row r="3674" spans="1:36" s="147" customFormat="1" ht="12" customHeight="1" x14ac:dyDescent="0.25">
      <c r="A3674" s="572" t="s">
        <v>12985</v>
      </c>
      <c r="B3674" s="572">
        <v>8</v>
      </c>
      <c r="C3674" s="572">
        <v>112</v>
      </c>
      <c r="D3674" s="428" t="s">
        <v>4185</v>
      </c>
      <c r="E3674" s="325" t="s">
        <v>4338</v>
      </c>
      <c r="F3674" s="184">
        <v>37993</v>
      </c>
      <c r="G3674" s="184">
        <v>38105</v>
      </c>
      <c r="H3674" s="185">
        <v>5</v>
      </c>
      <c r="I3674" s="185">
        <v>36</v>
      </c>
      <c r="J3674" s="901" t="s">
        <v>1796</v>
      </c>
      <c r="K3674" s="158" t="s">
        <v>5251</v>
      </c>
      <c r="L3674" s="158" t="s">
        <v>6057</v>
      </c>
      <c r="M3674" s="158" t="s">
        <v>3551</v>
      </c>
      <c r="N3674" s="158" t="s">
        <v>4105</v>
      </c>
      <c r="O3674" s="158"/>
      <c r="P3674" s="182" t="s">
        <v>461</v>
      </c>
      <c r="Q3674" s="158" t="s">
        <v>4062</v>
      </c>
      <c r="R3674" s="207" t="s">
        <v>5266</v>
      </c>
      <c r="S3674" s="355"/>
      <c r="T3674" s="182"/>
      <c r="U3674" s="182" t="s">
        <v>5927</v>
      </c>
      <c r="V3674" s="182"/>
      <c r="W3674" s="321"/>
      <c r="X3674" s="653" t="s">
        <v>12986</v>
      </c>
      <c r="Y3674" s="361"/>
      <c r="Z3674" s="362"/>
      <c r="AA3674" s="362"/>
      <c r="AB3674" s="33">
        <f t="shared" ca="1" si="94"/>
        <v>0.30167771299260537</v>
      </c>
      <c r="AC3674" s="813"/>
      <c r="AD3674" s="211" t="s">
        <v>16620</v>
      </c>
      <c r="AE3674" s="949"/>
      <c r="AF3674" s="922">
        <f>IF(X3674=X3673,AF3673,0)+IF(ISNUMBER(I3674),IF(I3674&lt;1,I3674,I3674*VLOOKUP(J3674,Summary!$H$2:$I$9,2)),VLOOKUP(J3674,Summary!$J$2:$K$9,2)*IF(ISNUMBER(H3674),H3674,1))</f>
        <v>0.31877314814814822</v>
      </c>
      <c r="AG3674" s="295">
        <v>3673</v>
      </c>
      <c r="AH3674" s="122"/>
      <c r="AI3674" s="122"/>
      <c r="AJ3674" s="146"/>
    </row>
    <row r="3675" spans="1:36" s="147" customFormat="1" ht="12" customHeight="1" x14ac:dyDescent="0.25">
      <c r="A3675" s="572" t="s">
        <v>12985</v>
      </c>
      <c r="B3675" s="572">
        <v>8</v>
      </c>
      <c r="C3675" s="572">
        <v>113</v>
      </c>
      <c r="D3675" s="428" t="s">
        <v>4187</v>
      </c>
      <c r="E3675" s="325" t="s">
        <v>4339</v>
      </c>
      <c r="F3675" s="184">
        <v>38133</v>
      </c>
      <c r="G3675" s="184">
        <v>38189</v>
      </c>
      <c r="H3675" s="185">
        <v>3</v>
      </c>
      <c r="I3675" s="185">
        <v>21</v>
      </c>
      <c r="J3675" s="901" t="s">
        <v>1796</v>
      </c>
      <c r="K3675" s="158" t="s">
        <v>5251</v>
      </c>
      <c r="L3675" s="158" t="s">
        <v>3832</v>
      </c>
      <c r="M3675" s="158" t="s">
        <v>3551</v>
      </c>
      <c r="N3675" s="158" t="s">
        <v>4105</v>
      </c>
      <c r="O3675" s="158"/>
      <c r="P3675" s="182" t="s">
        <v>461</v>
      </c>
      <c r="Q3675" s="158" t="s">
        <v>4062</v>
      </c>
      <c r="R3675" s="207" t="s">
        <v>5266</v>
      </c>
      <c r="S3675" s="355"/>
      <c r="T3675" s="182"/>
      <c r="U3675" s="182" t="s">
        <v>5927</v>
      </c>
      <c r="V3675" s="182"/>
      <c r="W3675" s="321"/>
      <c r="X3675" s="653" t="s">
        <v>12986</v>
      </c>
      <c r="Y3675" s="361"/>
      <c r="Z3675" s="362"/>
      <c r="AA3675" s="362"/>
      <c r="AB3675" s="33">
        <f t="shared" ca="1" si="94"/>
        <v>0.63424403327761836</v>
      </c>
      <c r="AC3675" s="813"/>
      <c r="AD3675" s="211"/>
      <c r="AE3675" s="949"/>
      <c r="AF3675" s="922">
        <f>IF(X3675=X3674,AF3674,0)+IF(ISNUMBER(I3675),IF(I3675&lt;1,I3675,I3675*VLOOKUP(J3675,Summary!$H$2:$I$9,2)),VLOOKUP(J3675,Summary!$J$2:$K$9,2)*IF(ISNUMBER(H3675),H3675,1))</f>
        <v>0.32606481481481486</v>
      </c>
      <c r="AG3675" s="295">
        <v>3674</v>
      </c>
      <c r="AH3675" s="122"/>
      <c r="AI3675" s="122"/>
      <c r="AJ3675" s="146"/>
    </row>
    <row r="3676" spans="1:36" s="147" customFormat="1" ht="12" customHeight="1" x14ac:dyDescent="0.25">
      <c r="A3676" s="774" t="s">
        <v>12985</v>
      </c>
      <c r="B3676" s="774">
        <v>8</v>
      </c>
      <c r="C3676" s="774">
        <v>114</v>
      </c>
      <c r="D3676" s="493" t="s">
        <v>4186</v>
      </c>
      <c r="E3676" s="333" t="s">
        <v>4340</v>
      </c>
      <c r="F3676" s="233">
        <v>38217</v>
      </c>
      <c r="G3676" s="233">
        <v>38413</v>
      </c>
      <c r="H3676" s="226">
        <v>8</v>
      </c>
      <c r="I3676" s="226">
        <v>65</v>
      </c>
      <c r="J3676" s="907" t="s">
        <v>1796</v>
      </c>
      <c r="K3676" s="165" t="s">
        <v>5251</v>
      </c>
      <c r="L3676" s="165" t="s">
        <v>6057</v>
      </c>
      <c r="M3676" s="165" t="s">
        <v>3551</v>
      </c>
      <c r="N3676" s="165" t="s">
        <v>4105</v>
      </c>
      <c r="O3676" s="165"/>
      <c r="P3676" s="225" t="s">
        <v>461</v>
      </c>
      <c r="Q3676" s="165" t="s">
        <v>4062</v>
      </c>
      <c r="R3676" s="234" t="s">
        <v>5266</v>
      </c>
      <c r="S3676" s="369"/>
      <c r="T3676" s="225"/>
      <c r="U3676" s="225" t="s">
        <v>5927</v>
      </c>
      <c r="V3676" s="225"/>
      <c r="W3676" s="338"/>
      <c r="X3676" s="670" t="s">
        <v>12986</v>
      </c>
      <c r="Y3676" s="372"/>
      <c r="Z3676" s="269"/>
      <c r="AA3676" s="269"/>
      <c r="AB3676" s="38">
        <f t="shared" ca="1" si="94"/>
        <v>0.36139917613971395</v>
      </c>
      <c r="AC3676" s="830"/>
      <c r="AD3676" s="831" t="s">
        <v>14581</v>
      </c>
      <c r="AE3676" s="963" t="s">
        <v>12543</v>
      </c>
      <c r="AF3676" s="928">
        <f>IF(X3676=X3675,AF3675,0)+IF(ISNUMBER(I3676),IF(I3676&lt;1,I3676,I3676*VLOOKUP(J3676,Summary!$H$2:$I$9,2)),VLOOKUP(J3676,Summary!$J$2:$K$9,2)*IF(ISNUMBER(H3676),H3676,1))</f>
        <v>0.34863425925925928</v>
      </c>
      <c r="AG3676" s="304">
        <v>3675</v>
      </c>
      <c r="AH3676" s="122"/>
      <c r="AI3676" s="122"/>
      <c r="AJ3676" s="146"/>
    </row>
    <row r="3677" spans="1:36" s="147" customFormat="1" ht="12" customHeight="1" x14ac:dyDescent="0.25">
      <c r="A3677" s="570" t="s">
        <v>12985</v>
      </c>
      <c r="B3677" s="570">
        <v>8</v>
      </c>
      <c r="C3677" s="576">
        <v>4.08</v>
      </c>
      <c r="D3677" s="192" t="s">
        <v>411</v>
      </c>
      <c r="E3677" s="317" t="s">
        <v>425</v>
      </c>
      <c r="F3677" s="209">
        <v>40786</v>
      </c>
      <c r="G3677" s="209"/>
      <c r="H3677" s="192">
        <v>1</v>
      </c>
      <c r="I3677" s="753">
        <f>TIME(0,14,20)</f>
        <v>9.9537037037037042E-3</v>
      </c>
      <c r="J3677" s="903" t="s">
        <v>2755</v>
      </c>
      <c r="K3677" s="194" t="s">
        <v>412</v>
      </c>
      <c r="L3677" s="194" t="s">
        <v>3426</v>
      </c>
      <c r="M3677" s="194" t="s">
        <v>499</v>
      </c>
      <c r="N3677" s="194"/>
      <c r="O3677" s="194"/>
      <c r="P3677" s="190" t="s">
        <v>5598</v>
      </c>
      <c r="Q3677" s="194" t="s">
        <v>3947</v>
      </c>
      <c r="R3677" s="193" t="s">
        <v>2722</v>
      </c>
      <c r="S3677" s="357"/>
      <c r="T3677" s="190"/>
      <c r="U3677" s="190"/>
      <c r="V3677" s="190"/>
      <c r="W3677" s="317" t="s">
        <v>425</v>
      </c>
      <c r="X3677" s="649" t="s">
        <v>12986</v>
      </c>
      <c r="Y3677" s="357" t="s">
        <v>5643</v>
      </c>
      <c r="Z3677" s="192">
        <v>999</v>
      </c>
      <c r="AA3677" s="192"/>
      <c r="AB3677" s="37">
        <f t="shared" ca="1" si="94"/>
        <v>0.8317876495701868</v>
      </c>
      <c r="AC3677" s="816"/>
      <c r="AD3677" s="817"/>
      <c r="AE3677" s="943"/>
      <c r="AF3677" s="924">
        <f>IF(X3677=X3676,AF3676,0)+IF(ISNUMBER(I3677),IF(I3677&lt;1,I3677,I3677*VLOOKUP(J3677,Summary!$H$2:$I$9,2)),VLOOKUP(J3677,Summary!$J$2:$K$9,2)*IF(ISNUMBER(H3677),H3677,1))</f>
        <v>0.35858796296296297</v>
      </c>
      <c r="AG3677" s="292">
        <v>3676</v>
      </c>
      <c r="AH3677" s="122"/>
      <c r="AI3677" s="122"/>
      <c r="AJ3677" s="146"/>
    </row>
    <row r="3678" spans="1:36" s="147" customFormat="1" ht="12" customHeight="1" x14ac:dyDescent="0.25">
      <c r="A3678" s="571" t="s">
        <v>12985</v>
      </c>
      <c r="B3678" s="571">
        <v>8</v>
      </c>
      <c r="C3678" s="574">
        <v>6.15</v>
      </c>
      <c r="D3678" s="434" t="s">
        <v>3775</v>
      </c>
      <c r="E3678" s="324" t="s">
        <v>4346</v>
      </c>
      <c r="F3678" s="174">
        <v>37773</v>
      </c>
      <c r="G3678" s="174"/>
      <c r="H3678" s="176">
        <v>1</v>
      </c>
      <c r="I3678" s="176">
        <v>18</v>
      </c>
      <c r="J3678" s="900" t="s">
        <v>2755</v>
      </c>
      <c r="K3678" s="164" t="s">
        <v>2477</v>
      </c>
      <c r="L3678" s="164" t="s">
        <v>461</v>
      </c>
      <c r="M3678" s="164"/>
      <c r="N3678" s="164" t="s">
        <v>4996</v>
      </c>
      <c r="O3678" s="164"/>
      <c r="P3678" s="173" t="s">
        <v>4997</v>
      </c>
      <c r="Q3678" s="164" t="s">
        <v>3947</v>
      </c>
      <c r="R3678" s="179" t="s">
        <v>2723</v>
      </c>
      <c r="S3678" s="354"/>
      <c r="T3678" s="173"/>
      <c r="U3678" s="173"/>
      <c r="V3678" s="173"/>
      <c r="W3678" s="324" t="s">
        <v>4346</v>
      </c>
      <c r="X3678" s="656" t="s">
        <v>12986</v>
      </c>
      <c r="Y3678" s="363"/>
      <c r="Z3678" s="364">
        <v>999</v>
      </c>
      <c r="AA3678" s="364"/>
      <c r="AB3678" s="32">
        <f t="shared" ca="1" si="94"/>
        <v>0.52697952587206387</v>
      </c>
      <c r="AC3678" s="812"/>
      <c r="AD3678" s="763"/>
      <c r="AE3678" s="951"/>
      <c r="AF3678" s="921">
        <f>IF(X3678=X3677,AF3677,0)+IF(ISNUMBER(I3678),IF(I3678&lt;1,I3678,I3678*VLOOKUP(J3678,Summary!$H$2:$I$9,2)),VLOOKUP(J3678,Summary!$J$2:$K$9,2)*IF(ISNUMBER(H3678),H3678,1))</f>
        <v>0.37108796296296298</v>
      </c>
      <c r="AG3678" s="288">
        <v>3677</v>
      </c>
      <c r="AH3678" s="122"/>
      <c r="AI3678" s="122"/>
      <c r="AJ3678" s="146"/>
    </row>
    <row r="3679" spans="1:36" s="147" customFormat="1" ht="12" customHeight="1" x14ac:dyDescent="0.25">
      <c r="A3679" s="571" t="s">
        <v>12985</v>
      </c>
      <c r="B3679" s="571">
        <v>8</v>
      </c>
      <c r="C3679" s="574">
        <v>28.12</v>
      </c>
      <c r="D3679" s="434" t="s">
        <v>3788</v>
      </c>
      <c r="E3679" s="324" t="s">
        <v>4355</v>
      </c>
      <c r="F3679" s="174">
        <v>39630</v>
      </c>
      <c r="G3679" s="174"/>
      <c r="H3679" s="176" t="s">
        <v>461</v>
      </c>
      <c r="I3679" s="176">
        <v>12</v>
      </c>
      <c r="J3679" s="900" t="s">
        <v>2755</v>
      </c>
      <c r="K3679" s="164" t="s">
        <v>3787</v>
      </c>
      <c r="L3679" s="164" t="s">
        <v>461</v>
      </c>
      <c r="M3679" s="164"/>
      <c r="N3679" s="164" t="s">
        <v>185</v>
      </c>
      <c r="O3679" s="164"/>
      <c r="P3679" s="173" t="s">
        <v>6704</v>
      </c>
      <c r="Q3679" s="164" t="s">
        <v>3947</v>
      </c>
      <c r="R3679" s="179" t="s">
        <v>2723</v>
      </c>
      <c r="S3679" s="354"/>
      <c r="T3679" s="173"/>
      <c r="U3679" s="173"/>
      <c r="V3679" s="173"/>
      <c r="W3679" s="324" t="s">
        <v>4355</v>
      </c>
      <c r="X3679" s="656" t="s">
        <v>12986</v>
      </c>
      <c r="Y3679" s="363"/>
      <c r="Z3679" s="364"/>
      <c r="AA3679" s="364"/>
      <c r="AB3679" s="32">
        <f t="shared" ca="1" si="94"/>
        <v>0.15034487810431896</v>
      </c>
      <c r="AC3679" s="812"/>
      <c r="AD3679" s="763"/>
      <c r="AE3679" s="951"/>
      <c r="AF3679" s="921">
        <f>IF(X3679=X3678,AF3678,0)+IF(ISNUMBER(I3679),IF(I3679&lt;1,I3679,I3679*VLOOKUP(J3679,Summary!$H$2:$I$9,2)),VLOOKUP(J3679,Summary!$J$2:$K$9,2)*IF(ISNUMBER(H3679),H3679,1))</f>
        <v>0.37942129629629634</v>
      </c>
      <c r="AG3679" s="288">
        <v>3678</v>
      </c>
      <c r="AH3679" s="122"/>
      <c r="AI3679" s="122"/>
      <c r="AJ3679" s="146"/>
    </row>
    <row r="3680" spans="1:36" s="147" customFormat="1" ht="12" customHeight="1" x14ac:dyDescent="0.25">
      <c r="A3680" s="571" t="s">
        <v>12985</v>
      </c>
      <c r="B3680" s="571">
        <v>8</v>
      </c>
      <c r="C3680" s="571">
        <v>28.17</v>
      </c>
      <c r="D3680" s="434" t="s">
        <v>6439</v>
      </c>
      <c r="E3680" s="324" t="s">
        <v>7467</v>
      </c>
      <c r="F3680" s="174">
        <v>39630</v>
      </c>
      <c r="G3680" s="174"/>
      <c r="H3680" s="176" t="s">
        <v>461</v>
      </c>
      <c r="I3680" s="176">
        <v>20</v>
      </c>
      <c r="J3680" s="900" t="s">
        <v>2755</v>
      </c>
      <c r="K3680" s="164" t="s">
        <v>185</v>
      </c>
      <c r="L3680" s="164" t="s">
        <v>461</v>
      </c>
      <c r="M3680" s="164"/>
      <c r="N3680" s="164" t="s">
        <v>185</v>
      </c>
      <c r="O3680" s="164"/>
      <c r="P3680" s="173" t="s">
        <v>6704</v>
      </c>
      <c r="Q3680" s="164" t="s">
        <v>3947</v>
      </c>
      <c r="R3680" s="179" t="s">
        <v>2723</v>
      </c>
      <c r="S3680" s="354"/>
      <c r="T3680" s="173"/>
      <c r="U3680" s="173"/>
      <c r="V3680" s="173"/>
      <c r="W3680" s="324" t="s">
        <v>7467</v>
      </c>
      <c r="X3680" s="656" t="s">
        <v>12986</v>
      </c>
      <c r="Y3680" s="363"/>
      <c r="Z3680" s="364"/>
      <c r="AA3680" s="364"/>
      <c r="AB3680" s="32">
        <f t="shared" ca="1" si="94"/>
        <v>0.47313116793314558</v>
      </c>
      <c r="AC3680" s="812"/>
      <c r="AD3680" s="763"/>
      <c r="AE3680" s="951"/>
      <c r="AF3680" s="921">
        <f>IF(X3680=X3679,AF3679,0)+IF(ISNUMBER(I3680),IF(I3680&lt;1,I3680,I3680*VLOOKUP(J3680,Summary!$H$2:$I$9,2)),VLOOKUP(J3680,Summary!$J$2:$K$9,2)*IF(ISNUMBER(H3680),H3680,1))</f>
        <v>0.39331018518518523</v>
      </c>
      <c r="AG3680" s="288">
        <v>3679</v>
      </c>
      <c r="AH3680" s="122"/>
      <c r="AI3680" s="122"/>
      <c r="AJ3680" s="146"/>
    </row>
    <row r="3681" spans="1:36" s="147" customFormat="1" ht="12" customHeight="1" x14ac:dyDescent="0.25">
      <c r="A3681" s="571" t="s">
        <v>12985</v>
      </c>
      <c r="B3681" s="571">
        <v>8</v>
      </c>
      <c r="C3681" s="574">
        <v>10.130000000000001</v>
      </c>
      <c r="D3681" s="434" t="s">
        <v>3789</v>
      </c>
      <c r="E3681" s="324" t="s">
        <v>4356</v>
      </c>
      <c r="F3681" s="174">
        <v>38139</v>
      </c>
      <c r="G3681" s="174"/>
      <c r="H3681" s="176">
        <v>1</v>
      </c>
      <c r="I3681" s="176">
        <v>14</v>
      </c>
      <c r="J3681" s="900" t="s">
        <v>2755</v>
      </c>
      <c r="K3681" s="164" t="s">
        <v>4839</v>
      </c>
      <c r="L3681" s="164" t="s">
        <v>461</v>
      </c>
      <c r="M3681" s="164"/>
      <c r="N3681" s="164" t="s">
        <v>4996</v>
      </c>
      <c r="O3681" s="164"/>
      <c r="P3681" s="173" t="s">
        <v>5669</v>
      </c>
      <c r="Q3681" s="164" t="s">
        <v>3947</v>
      </c>
      <c r="R3681" s="179" t="s">
        <v>2723</v>
      </c>
      <c r="S3681" s="354"/>
      <c r="T3681" s="173"/>
      <c r="U3681" s="173"/>
      <c r="V3681" s="173"/>
      <c r="W3681" s="324" t="s">
        <v>4356</v>
      </c>
      <c r="X3681" s="656" t="s">
        <v>12986</v>
      </c>
      <c r="Y3681" s="363"/>
      <c r="Z3681" s="364">
        <v>999</v>
      </c>
      <c r="AA3681" s="364"/>
      <c r="AB3681" s="32">
        <f t="shared" ca="1" si="94"/>
        <v>0.35967166712952392</v>
      </c>
      <c r="AC3681" s="812"/>
      <c r="AD3681" s="763"/>
      <c r="AE3681" s="951"/>
      <c r="AF3681" s="921">
        <f>IF(X3681=X3680,AF3680,0)+IF(ISNUMBER(I3681),IF(I3681&lt;1,I3681,I3681*VLOOKUP(J3681,Summary!$H$2:$I$9,2)),VLOOKUP(J3681,Summary!$J$2:$K$9,2)*IF(ISNUMBER(H3681),H3681,1))</f>
        <v>0.40303240740740748</v>
      </c>
      <c r="AG3681" s="288">
        <v>3680</v>
      </c>
      <c r="AH3681" s="122"/>
      <c r="AI3681" s="122"/>
      <c r="AJ3681" s="146"/>
    </row>
    <row r="3682" spans="1:36" s="147" customFormat="1" ht="12" customHeight="1" x14ac:dyDescent="0.25">
      <c r="A3682" s="573" t="s">
        <v>3240</v>
      </c>
      <c r="B3682" s="573">
        <v>8</v>
      </c>
      <c r="C3682" s="573">
        <v>1.1000000000000001</v>
      </c>
      <c r="D3682" s="407" t="s">
        <v>7555</v>
      </c>
      <c r="E3682" s="315" t="s">
        <v>7556</v>
      </c>
      <c r="F3682" s="196">
        <v>39082</v>
      </c>
      <c r="G3682" s="196">
        <v>39089</v>
      </c>
      <c r="H3682" s="170">
        <v>2</v>
      </c>
      <c r="I3682" s="746">
        <f>TIME(1,43,13)</f>
        <v>7.1678240740740737E-2</v>
      </c>
      <c r="J3682" s="899" t="s">
        <v>4706</v>
      </c>
      <c r="K3682" s="167" t="s">
        <v>176</v>
      </c>
      <c r="L3682" s="167" t="s">
        <v>4549</v>
      </c>
      <c r="M3682" s="167"/>
      <c r="N3682" s="167"/>
      <c r="O3682" s="167"/>
      <c r="P3682" s="168" t="s">
        <v>9204</v>
      </c>
      <c r="Q3682" s="167" t="s">
        <v>3947</v>
      </c>
      <c r="R3682" s="172" t="s">
        <v>15463</v>
      </c>
      <c r="S3682" s="388" t="s">
        <v>7345</v>
      </c>
      <c r="T3682" s="168"/>
      <c r="U3682" s="168"/>
      <c r="V3682" s="168"/>
      <c r="W3682" s="312" t="s">
        <v>8663</v>
      </c>
      <c r="X3682" s="644" t="s">
        <v>12446</v>
      </c>
      <c r="Y3682" s="352" t="s">
        <v>5643</v>
      </c>
      <c r="Z3682" s="353">
        <v>178</v>
      </c>
      <c r="AA3682" s="353">
        <v>6</v>
      </c>
      <c r="AB3682" s="31">
        <f t="shared" ca="1" si="94"/>
        <v>7.7583472769459649E-2</v>
      </c>
      <c r="AC3682" s="810"/>
      <c r="AD3682" s="811"/>
      <c r="AE3682" s="940"/>
      <c r="AF3682" s="920">
        <f>IF(X3682=X3681,AF3681,0)+IF(ISNUMBER(I3682),IF(I3682&lt;1,I3682,I3682*VLOOKUP(J3682,Summary!$H$2:$I$9,2)),VLOOKUP(J3682,Summary!$J$2:$K$9,2)*IF(ISNUMBER(H3682),H3682,1))</f>
        <v>7.1678240740740737E-2</v>
      </c>
      <c r="AG3682" s="287">
        <v>3681</v>
      </c>
      <c r="AH3682" s="122"/>
      <c r="AI3682" s="122"/>
      <c r="AJ3682" s="146"/>
    </row>
    <row r="3683" spans="1:36" s="147" customFormat="1" ht="12" customHeight="1" x14ac:dyDescent="0.25">
      <c r="A3683" s="573" t="s">
        <v>3240</v>
      </c>
      <c r="B3683" s="573">
        <v>8</v>
      </c>
      <c r="C3683" s="573">
        <v>1.3</v>
      </c>
      <c r="D3683" s="407" t="s">
        <v>7557</v>
      </c>
      <c r="E3683" s="315" t="s">
        <v>4820</v>
      </c>
      <c r="F3683" s="196">
        <v>39096</v>
      </c>
      <c r="G3683" s="170"/>
      <c r="H3683" s="170">
        <v>1</v>
      </c>
      <c r="I3683" s="746">
        <f>TIME(0,49,8)</f>
        <v>3.412037037037037E-2</v>
      </c>
      <c r="J3683" s="899" t="s">
        <v>4706</v>
      </c>
      <c r="K3683" s="167" t="s">
        <v>5658</v>
      </c>
      <c r="L3683" s="167" t="s">
        <v>3296</v>
      </c>
      <c r="M3683" s="167"/>
      <c r="N3683" s="167"/>
      <c r="O3683" s="167"/>
      <c r="P3683" s="168" t="s">
        <v>9205</v>
      </c>
      <c r="Q3683" s="167" t="s">
        <v>3947</v>
      </c>
      <c r="R3683" s="172" t="s">
        <v>15463</v>
      </c>
      <c r="S3683" s="388" t="s">
        <v>7345</v>
      </c>
      <c r="T3683" s="168"/>
      <c r="U3683" s="168"/>
      <c r="V3683" s="168"/>
      <c r="W3683" s="315" t="s">
        <v>4820</v>
      </c>
      <c r="X3683" s="644" t="s">
        <v>12446</v>
      </c>
      <c r="Y3683" s="352" t="s">
        <v>5643</v>
      </c>
      <c r="Z3683" s="353">
        <v>364</v>
      </c>
      <c r="AA3683" s="353">
        <v>5</v>
      </c>
      <c r="AB3683" s="31">
        <f t="shared" ca="1" si="94"/>
        <v>1.0307546422948843E-2</v>
      </c>
      <c r="AC3683" s="810"/>
      <c r="AD3683" s="811" t="s">
        <v>16001</v>
      </c>
      <c r="AE3683" s="948"/>
      <c r="AF3683" s="920">
        <f>IF(X3683=X3682,AF3682,0)+IF(ISNUMBER(I3683),IF(I3683&lt;1,I3683,I3683*VLOOKUP(J3683,Summary!$H$2:$I$9,2)),VLOOKUP(J3683,Summary!$J$2:$K$9,2)*IF(ISNUMBER(H3683),H3683,1))</f>
        <v>0.10579861111111111</v>
      </c>
      <c r="AG3683" s="287">
        <v>3682</v>
      </c>
      <c r="AH3683" s="122"/>
      <c r="AI3683" s="122"/>
      <c r="AJ3683" s="146"/>
    </row>
    <row r="3684" spans="1:36" s="147" customFormat="1" ht="12" customHeight="1" x14ac:dyDescent="0.25">
      <c r="A3684" s="573" t="s">
        <v>3240</v>
      </c>
      <c r="B3684" s="573">
        <v>8</v>
      </c>
      <c r="C3684" s="573">
        <v>1.4</v>
      </c>
      <c r="D3684" s="407" t="s">
        <v>4821</v>
      </c>
      <c r="E3684" s="315" t="s">
        <v>5229</v>
      </c>
      <c r="F3684" s="196">
        <v>39103</v>
      </c>
      <c r="G3684" s="170"/>
      <c r="H3684" s="170">
        <v>1</v>
      </c>
      <c r="I3684" s="746">
        <f>TIME(0,49,36)</f>
        <v>3.4444444444444444E-2</v>
      </c>
      <c r="J3684" s="899" t="s">
        <v>4706</v>
      </c>
      <c r="K3684" s="167" t="s">
        <v>6352</v>
      </c>
      <c r="L3684" s="167" t="s">
        <v>6354</v>
      </c>
      <c r="M3684" s="167"/>
      <c r="N3684" s="167"/>
      <c r="O3684" s="167"/>
      <c r="P3684" s="168" t="s">
        <v>9206</v>
      </c>
      <c r="Q3684" s="167" t="s">
        <v>3947</v>
      </c>
      <c r="R3684" s="172" t="s">
        <v>15463</v>
      </c>
      <c r="S3684" s="388" t="s">
        <v>7345</v>
      </c>
      <c r="T3684" s="168"/>
      <c r="U3684" s="168"/>
      <c r="V3684" s="168"/>
      <c r="W3684" s="315" t="s">
        <v>5229</v>
      </c>
      <c r="X3684" s="644" t="s">
        <v>12446</v>
      </c>
      <c r="Y3684" s="352" t="s">
        <v>5643</v>
      </c>
      <c r="Z3684" s="353">
        <v>307</v>
      </c>
      <c r="AA3684" s="353">
        <v>5.5</v>
      </c>
      <c r="AB3684" s="31">
        <f t="shared" ca="1" si="94"/>
        <v>0.67574551505876634</v>
      </c>
      <c r="AC3684" s="810"/>
      <c r="AD3684" s="811"/>
      <c r="AE3684" s="948"/>
      <c r="AF3684" s="920">
        <f>IF(X3684=X3683,AF3683,0)+IF(ISNUMBER(I3684),IF(I3684&lt;1,I3684,I3684*VLOOKUP(J3684,Summary!$H$2:$I$9,2)),VLOOKUP(J3684,Summary!$J$2:$K$9,2)*IF(ISNUMBER(H3684),H3684,1))</f>
        <v>0.14024305555555555</v>
      </c>
      <c r="AG3684" s="287">
        <v>3683</v>
      </c>
      <c r="AH3684" s="122"/>
      <c r="AI3684" s="122"/>
      <c r="AJ3684" s="146"/>
    </row>
    <row r="3685" spans="1:36" s="147" customFormat="1" ht="12" customHeight="1" x14ac:dyDescent="0.25">
      <c r="A3685" s="573" t="s">
        <v>3240</v>
      </c>
      <c r="B3685" s="573">
        <v>8</v>
      </c>
      <c r="C3685" s="573">
        <v>1.5</v>
      </c>
      <c r="D3685" s="407" t="s">
        <v>5230</v>
      </c>
      <c r="E3685" s="315" t="s">
        <v>5231</v>
      </c>
      <c r="F3685" s="196">
        <v>39110</v>
      </c>
      <c r="G3685" s="170"/>
      <c r="H3685" s="170">
        <v>1</v>
      </c>
      <c r="I3685" s="746">
        <f>TIME(0,52,5)</f>
        <v>3.6168981481481483E-2</v>
      </c>
      <c r="J3685" s="899" t="s">
        <v>4706</v>
      </c>
      <c r="K3685" s="167" t="s">
        <v>6353</v>
      </c>
      <c r="L3685" s="167" t="s">
        <v>3296</v>
      </c>
      <c r="M3685" s="167"/>
      <c r="N3685" s="167"/>
      <c r="O3685" s="167"/>
      <c r="P3685" s="168" t="s">
        <v>9207</v>
      </c>
      <c r="Q3685" s="167" t="s">
        <v>3947</v>
      </c>
      <c r="R3685" s="172" t="s">
        <v>15463</v>
      </c>
      <c r="S3685" s="388" t="s">
        <v>7345</v>
      </c>
      <c r="T3685" s="168"/>
      <c r="U3685" s="168"/>
      <c r="V3685" s="168"/>
      <c r="W3685" s="315" t="s">
        <v>5231</v>
      </c>
      <c r="X3685" s="644" t="s">
        <v>12446</v>
      </c>
      <c r="Y3685" s="352" t="s">
        <v>5643</v>
      </c>
      <c r="Z3685" s="353">
        <v>642</v>
      </c>
      <c r="AA3685" s="353">
        <v>3</v>
      </c>
      <c r="AB3685" s="40">
        <f t="shared" ca="1" si="94"/>
        <v>0.30322271061201</v>
      </c>
      <c r="AC3685" s="810"/>
      <c r="AD3685" s="811" t="s">
        <v>16261</v>
      </c>
      <c r="AE3685" s="948"/>
      <c r="AF3685" s="920">
        <f>IF(X3685=X3684,AF3684,0)+IF(ISNUMBER(I3685),IF(I3685&lt;1,I3685,I3685*VLOOKUP(J3685,Summary!$H$2:$I$9,2)),VLOOKUP(J3685,Summary!$J$2:$K$9,2)*IF(ISNUMBER(H3685),H3685,1))</f>
        <v>0.17641203703703703</v>
      </c>
      <c r="AG3685" s="287">
        <v>3684</v>
      </c>
      <c r="AH3685" s="122"/>
      <c r="AI3685" s="122"/>
      <c r="AJ3685" s="146"/>
    </row>
    <row r="3686" spans="1:36" s="147" customFormat="1" ht="12" customHeight="1" x14ac:dyDescent="0.25">
      <c r="A3686" s="573" t="s">
        <v>3240</v>
      </c>
      <c r="B3686" s="573">
        <v>8</v>
      </c>
      <c r="C3686" s="573">
        <v>1.6</v>
      </c>
      <c r="D3686" s="407" t="s">
        <v>5232</v>
      </c>
      <c r="E3686" s="315" t="s">
        <v>5233</v>
      </c>
      <c r="F3686" s="196">
        <v>39117</v>
      </c>
      <c r="G3686" s="170"/>
      <c r="H3686" s="170">
        <v>1</v>
      </c>
      <c r="I3686" s="746">
        <f>TIME(0,49,26)</f>
        <v>3.4328703703703702E-2</v>
      </c>
      <c r="J3686" s="899" t="s">
        <v>4706</v>
      </c>
      <c r="K3686" s="167" t="s">
        <v>2911</v>
      </c>
      <c r="L3686" s="167" t="s">
        <v>3296</v>
      </c>
      <c r="M3686" s="167"/>
      <c r="N3686" s="167"/>
      <c r="O3686" s="167"/>
      <c r="P3686" s="168" t="s">
        <v>9208</v>
      </c>
      <c r="Q3686" s="167" t="s">
        <v>3947</v>
      </c>
      <c r="R3686" s="172" t="s">
        <v>15463</v>
      </c>
      <c r="S3686" s="388" t="s">
        <v>7345</v>
      </c>
      <c r="T3686" s="168"/>
      <c r="U3686" s="168"/>
      <c r="V3686" s="168"/>
      <c r="W3686" s="315" t="s">
        <v>5233</v>
      </c>
      <c r="X3686" s="644" t="s">
        <v>12446</v>
      </c>
      <c r="Y3686" s="352" t="s">
        <v>5643</v>
      </c>
      <c r="Z3686" s="353">
        <v>259</v>
      </c>
      <c r="AA3686" s="353">
        <v>5.5</v>
      </c>
      <c r="AB3686" s="31">
        <f t="shared" ca="1" si="94"/>
        <v>1.148704083662011E-2</v>
      </c>
      <c r="AC3686" s="810"/>
      <c r="AD3686" s="811" t="s">
        <v>16775</v>
      </c>
      <c r="AE3686" s="948"/>
      <c r="AF3686" s="920">
        <f>IF(X3686=X3685,AF3685,0)+IF(ISNUMBER(I3686),IF(I3686&lt;1,I3686,I3686*VLOOKUP(J3686,Summary!$H$2:$I$9,2)),VLOOKUP(J3686,Summary!$J$2:$K$9,2)*IF(ISNUMBER(H3686),H3686,1))</f>
        <v>0.21074074074074073</v>
      </c>
      <c r="AG3686" s="287">
        <v>3685</v>
      </c>
      <c r="AH3686" s="122"/>
      <c r="AI3686" s="122"/>
      <c r="AJ3686" s="146"/>
    </row>
    <row r="3687" spans="1:36" s="147" customFormat="1" ht="12" customHeight="1" x14ac:dyDescent="0.25">
      <c r="A3687" s="573" t="s">
        <v>3240</v>
      </c>
      <c r="B3687" s="573">
        <v>8</v>
      </c>
      <c r="C3687" s="573">
        <v>1.7</v>
      </c>
      <c r="D3687" s="407" t="s">
        <v>5234</v>
      </c>
      <c r="E3687" s="315" t="s">
        <v>5235</v>
      </c>
      <c r="F3687" s="196">
        <v>39124</v>
      </c>
      <c r="G3687" s="196">
        <v>39131</v>
      </c>
      <c r="H3687" s="170">
        <v>2</v>
      </c>
      <c r="I3687" s="746">
        <f>TIME(0,96,58)</f>
        <v>6.7337962962962961E-2</v>
      </c>
      <c r="J3687" s="899" t="s">
        <v>4706</v>
      </c>
      <c r="K3687" s="167" t="s">
        <v>6353</v>
      </c>
      <c r="L3687" s="167" t="s">
        <v>4549</v>
      </c>
      <c r="M3687" s="167"/>
      <c r="N3687" s="167"/>
      <c r="O3687" s="167"/>
      <c r="P3687" s="168" t="s">
        <v>9209</v>
      </c>
      <c r="Q3687" s="167" t="s">
        <v>3947</v>
      </c>
      <c r="R3687" s="172" t="s">
        <v>15463</v>
      </c>
      <c r="S3687" s="388" t="s">
        <v>7345</v>
      </c>
      <c r="T3687" s="168"/>
      <c r="U3687" s="168"/>
      <c r="V3687" s="168"/>
      <c r="W3687" s="315" t="s">
        <v>8727</v>
      </c>
      <c r="X3687" s="644" t="s">
        <v>12446</v>
      </c>
      <c r="Y3687" s="352" t="s">
        <v>5643</v>
      </c>
      <c r="Z3687" s="353">
        <v>167</v>
      </c>
      <c r="AA3687" s="353">
        <v>6.5</v>
      </c>
      <c r="AB3687" s="31">
        <f t="shared" ca="1" si="94"/>
        <v>0.71948908457872518</v>
      </c>
      <c r="AC3687" s="810"/>
      <c r="AD3687" s="825" t="s">
        <v>14582</v>
      </c>
      <c r="AE3687" s="948"/>
      <c r="AF3687" s="920">
        <f>IF(X3687=X3686,AF3686,0)+IF(ISNUMBER(I3687),IF(I3687&lt;1,I3687,I3687*VLOOKUP(J3687,Summary!$H$2:$I$9,2)),VLOOKUP(J3687,Summary!$J$2:$K$9,2)*IF(ISNUMBER(H3687),H3687,1))</f>
        <v>0.27807870370370369</v>
      </c>
      <c r="AG3687" s="287">
        <v>3686</v>
      </c>
      <c r="AH3687" s="122"/>
      <c r="AI3687" s="122"/>
      <c r="AJ3687" s="146"/>
    </row>
    <row r="3688" spans="1:36" s="147" customFormat="1" ht="12" customHeight="1" x14ac:dyDescent="0.25">
      <c r="A3688" s="571" t="s">
        <v>3240</v>
      </c>
      <c r="B3688" s="571">
        <v>8</v>
      </c>
      <c r="C3688" s="574">
        <v>24.1</v>
      </c>
      <c r="D3688" s="434" t="s">
        <v>3771</v>
      </c>
      <c r="E3688" s="324" t="s">
        <v>6898</v>
      </c>
      <c r="F3688" s="174">
        <v>39264</v>
      </c>
      <c r="G3688" s="174"/>
      <c r="H3688" s="176">
        <v>1</v>
      </c>
      <c r="I3688" s="176">
        <v>21</v>
      </c>
      <c r="J3688" s="900" t="s">
        <v>2755</v>
      </c>
      <c r="K3688" s="164" t="s">
        <v>6353</v>
      </c>
      <c r="L3688" s="164" t="s">
        <v>461</v>
      </c>
      <c r="M3688" s="164"/>
      <c r="N3688" s="164" t="s">
        <v>4425</v>
      </c>
      <c r="O3688" s="164"/>
      <c r="P3688" s="173" t="s">
        <v>5601</v>
      </c>
      <c r="Q3688" s="164" t="s">
        <v>3947</v>
      </c>
      <c r="R3688" s="179" t="s">
        <v>2723</v>
      </c>
      <c r="S3688" s="354" t="s">
        <v>7345</v>
      </c>
      <c r="T3688" s="173"/>
      <c r="U3688" s="173"/>
      <c r="V3688" s="173"/>
      <c r="W3688" s="324" t="s">
        <v>6898</v>
      </c>
      <c r="X3688" s="656" t="s">
        <v>14267</v>
      </c>
      <c r="Y3688" s="363"/>
      <c r="Z3688" s="364"/>
      <c r="AA3688" s="364"/>
      <c r="AB3688" s="32">
        <f t="shared" ca="1" si="94"/>
        <v>0.6808209716205289</v>
      </c>
      <c r="AC3688" s="812"/>
      <c r="AD3688" s="763"/>
      <c r="AE3688" s="951"/>
      <c r="AF3688" s="921">
        <f>IF(X3688=X3687,AF3687,0)+IF(ISNUMBER(I3688),IF(I3688&lt;1,I3688,I3688*VLOOKUP(J3688,Summary!$H$2:$I$9,2)),VLOOKUP(J3688,Summary!$J$2:$K$9,2)*IF(ISNUMBER(H3688),H3688,1))</f>
        <v>1.4583333333333334E-2</v>
      </c>
      <c r="AG3688" s="288">
        <v>3687</v>
      </c>
      <c r="AH3688" s="122"/>
      <c r="AI3688" s="122"/>
      <c r="AJ3688" s="146"/>
    </row>
    <row r="3689" spans="1:36" s="147" customFormat="1" ht="12" customHeight="1" x14ac:dyDescent="0.25">
      <c r="A3689" s="571" t="s">
        <v>3240</v>
      </c>
      <c r="B3689" s="571">
        <v>8</v>
      </c>
      <c r="C3689" s="574">
        <v>25.21</v>
      </c>
      <c r="D3689" s="434" t="s">
        <v>3772</v>
      </c>
      <c r="E3689" s="324" t="s">
        <v>6899</v>
      </c>
      <c r="F3689" s="174">
        <v>39417</v>
      </c>
      <c r="G3689" s="174"/>
      <c r="H3689" s="176">
        <v>1</v>
      </c>
      <c r="I3689" s="176">
        <v>13</v>
      </c>
      <c r="J3689" s="900" t="s">
        <v>2755</v>
      </c>
      <c r="K3689" s="164" t="s">
        <v>6353</v>
      </c>
      <c r="L3689" s="164" t="s">
        <v>461</v>
      </c>
      <c r="M3689" s="164"/>
      <c r="N3689" s="164" t="s">
        <v>5146</v>
      </c>
      <c r="O3689" s="164"/>
      <c r="P3689" s="173" t="s">
        <v>6701</v>
      </c>
      <c r="Q3689" s="164" t="s">
        <v>3947</v>
      </c>
      <c r="R3689" s="179" t="s">
        <v>2723</v>
      </c>
      <c r="S3689" s="354" t="s">
        <v>7345</v>
      </c>
      <c r="T3689" s="173"/>
      <c r="U3689" s="173"/>
      <c r="V3689" s="173"/>
      <c r="W3689" s="324" t="s">
        <v>6899</v>
      </c>
      <c r="X3689" s="656" t="s">
        <v>14267</v>
      </c>
      <c r="Y3689" s="363"/>
      <c r="Z3689" s="364"/>
      <c r="AA3689" s="364"/>
      <c r="AB3689" s="32">
        <f t="shared" ca="1" si="94"/>
        <v>0.34330642404917266</v>
      </c>
      <c r="AC3689" s="812"/>
      <c r="AD3689" s="763"/>
      <c r="AE3689" s="951"/>
      <c r="AF3689" s="921">
        <f>IF(X3689=X3688,AF3688,0)+IF(ISNUMBER(I3689),IF(I3689&lt;1,I3689,I3689*VLOOKUP(J3689,Summary!$H$2:$I$9,2)),VLOOKUP(J3689,Summary!$J$2:$K$9,2)*IF(ISNUMBER(H3689),H3689,1))</f>
        <v>2.361111111111111E-2</v>
      </c>
      <c r="AG3689" s="288">
        <v>3688</v>
      </c>
      <c r="AH3689" s="122"/>
      <c r="AI3689" s="122"/>
      <c r="AJ3689" s="146"/>
    </row>
    <row r="3690" spans="1:36" s="147" customFormat="1" ht="12" customHeight="1" x14ac:dyDescent="0.25">
      <c r="A3690" s="573" t="s">
        <v>1560</v>
      </c>
      <c r="B3690" s="573">
        <v>8</v>
      </c>
      <c r="C3690" s="573">
        <v>1.1000000000000001</v>
      </c>
      <c r="D3690" s="407" t="s">
        <v>15255</v>
      </c>
      <c r="E3690" s="315" t="s">
        <v>3518</v>
      </c>
      <c r="F3690" s="169" t="s">
        <v>11072</v>
      </c>
      <c r="G3690" s="170"/>
      <c r="H3690" s="170">
        <v>1</v>
      </c>
      <c r="I3690" s="747">
        <f>TIME(0,60,0)</f>
        <v>4.1666666666666664E-2</v>
      </c>
      <c r="J3690" s="899" t="s">
        <v>4706</v>
      </c>
      <c r="K3690" s="167" t="s">
        <v>4549</v>
      </c>
      <c r="L3690" s="167" t="s">
        <v>4549</v>
      </c>
      <c r="M3690" s="167"/>
      <c r="N3690" s="167"/>
      <c r="O3690" s="167" t="s">
        <v>179</v>
      </c>
      <c r="P3690" s="168"/>
      <c r="Q3690" s="167" t="s">
        <v>3947</v>
      </c>
      <c r="R3690" s="172" t="s">
        <v>15262</v>
      </c>
      <c r="S3690" s="388" t="s">
        <v>7345</v>
      </c>
      <c r="T3690" s="168"/>
      <c r="U3690" s="168"/>
      <c r="V3690" s="168"/>
      <c r="W3690" s="315" t="s">
        <v>3518</v>
      </c>
      <c r="X3690" s="644" t="s">
        <v>14267</v>
      </c>
      <c r="Y3690" s="352"/>
      <c r="Z3690" s="353"/>
      <c r="AA3690" s="353"/>
      <c r="AB3690" s="31">
        <f t="shared" ca="1" si="94"/>
        <v>0.73323487265490916</v>
      </c>
      <c r="AC3690" s="810"/>
      <c r="AD3690" s="811"/>
      <c r="AE3690" s="948"/>
      <c r="AF3690" s="920">
        <f>IF(X3690=X3689,AF3689,0)+IF(ISNUMBER(I3690),IF(I3690&lt;1,I3690,I3690*VLOOKUP(J3690,Summary!$H$2:$I$9,2)),VLOOKUP(J3690,Summary!$J$2:$K$9,2)*IF(ISNUMBER(H3690),H3690,1))</f>
        <v>6.5277777777777768E-2</v>
      </c>
      <c r="AG3690" s="287">
        <v>3689</v>
      </c>
      <c r="AH3690" s="122"/>
      <c r="AI3690" s="122"/>
      <c r="AJ3690" s="146"/>
    </row>
    <row r="3691" spans="1:36" s="147" customFormat="1" ht="12" customHeight="1" x14ac:dyDescent="0.25">
      <c r="A3691" s="573" t="s">
        <v>1560</v>
      </c>
      <c r="B3691" s="573">
        <v>8</v>
      </c>
      <c r="C3691" s="573">
        <v>1.2</v>
      </c>
      <c r="D3691" s="407" t="s">
        <v>15256</v>
      </c>
      <c r="E3691" s="315" t="s">
        <v>15259</v>
      </c>
      <c r="F3691" s="169" t="s">
        <v>11072</v>
      </c>
      <c r="G3691" s="170"/>
      <c r="H3691" s="170">
        <v>1</v>
      </c>
      <c r="I3691" s="747">
        <f>TIME(0,60,0)</f>
        <v>4.1666666666666664E-2</v>
      </c>
      <c r="J3691" s="899" t="s">
        <v>4706</v>
      </c>
      <c r="K3691" s="167" t="s">
        <v>12999</v>
      </c>
      <c r="L3691" s="167" t="s">
        <v>4549</v>
      </c>
      <c r="M3691" s="167"/>
      <c r="N3691" s="167"/>
      <c r="O3691" s="167" t="s">
        <v>179</v>
      </c>
      <c r="P3691" s="168"/>
      <c r="Q3691" s="167" t="s">
        <v>3947</v>
      </c>
      <c r="R3691" s="172" t="s">
        <v>15262</v>
      </c>
      <c r="S3691" s="388" t="s">
        <v>7345</v>
      </c>
      <c r="T3691" s="168"/>
      <c r="U3691" s="168"/>
      <c r="V3691" s="168"/>
      <c r="W3691" s="315" t="s">
        <v>15259</v>
      </c>
      <c r="X3691" s="644" t="s">
        <v>14267</v>
      </c>
      <c r="Y3691" s="352"/>
      <c r="Z3691" s="353"/>
      <c r="AA3691" s="353"/>
      <c r="AB3691" s="31">
        <f t="shared" ca="1" si="94"/>
        <v>0.70535764269430068</v>
      </c>
      <c r="AC3691" s="810"/>
      <c r="AD3691" s="811"/>
      <c r="AE3691" s="948"/>
      <c r="AF3691" s="920">
        <f>IF(X3691=X3690,AF3690,0)+IF(ISNUMBER(I3691),IF(I3691&lt;1,I3691,I3691*VLOOKUP(J3691,Summary!$H$2:$I$9,2)),VLOOKUP(J3691,Summary!$J$2:$K$9,2)*IF(ISNUMBER(H3691),H3691,1))</f>
        <v>0.10694444444444443</v>
      </c>
      <c r="AG3691" s="287">
        <v>3690</v>
      </c>
      <c r="AH3691" s="122"/>
      <c r="AI3691" s="122"/>
      <c r="AJ3691" s="146"/>
    </row>
    <row r="3692" spans="1:36" s="147" customFormat="1" ht="12" customHeight="1" x14ac:dyDescent="0.25">
      <c r="A3692" s="573" t="s">
        <v>1560</v>
      </c>
      <c r="B3692" s="573">
        <v>8</v>
      </c>
      <c r="C3692" s="573">
        <v>1.3</v>
      </c>
      <c r="D3692" s="407" t="s">
        <v>15257</v>
      </c>
      <c r="E3692" s="315" t="s">
        <v>15260</v>
      </c>
      <c r="F3692" s="169" t="s">
        <v>11072</v>
      </c>
      <c r="G3692" s="170"/>
      <c r="H3692" s="170">
        <v>1</v>
      </c>
      <c r="I3692" s="747">
        <f>TIME(0,60,0)</f>
        <v>4.1666666666666664E-2</v>
      </c>
      <c r="J3692" s="899" t="s">
        <v>4706</v>
      </c>
      <c r="K3692" s="167" t="s">
        <v>6353</v>
      </c>
      <c r="L3692" s="167" t="s">
        <v>4549</v>
      </c>
      <c r="M3692" s="167"/>
      <c r="N3692" s="167"/>
      <c r="O3692" s="167" t="s">
        <v>179</v>
      </c>
      <c r="P3692" s="168"/>
      <c r="Q3692" s="167" t="s">
        <v>3947</v>
      </c>
      <c r="R3692" s="172" t="s">
        <v>15262</v>
      </c>
      <c r="S3692" s="388" t="s">
        <v>7345</v>
      </c>
      <c r="T3692" s="168"/>
      <c r="U3692" s="168"/>
      <c r="V3692" s="168"/>
      <c r="W3692" s="315" t="s">
        <v>15260</v>
      </c>
      <c r="X3692" s="644" t="s">
        <v>14267</v>
      </c>
      <c r="Y3692" s="352"/>
      <c r="Z3692" s="353"/>
      <c r="AA3692" s="353"/>
      <c r="AB3692" s="31">
        <f t="shared" ca="1" si="94"/>
        <v>0.52588478658028248</v>
      </c>
      <c r="AC3692" s="810"/>
      <c r="AD3692" s="825" t="s">
        <v>14904</v>
      </c>
      <c r="AE3692" s="948"/>
      <c r="AF3692" s="920">
        <f>IF(X3692=X3691,AF3691,0)+IF(ISNUMBER(I3692),IF(I3692&lt;1,I3692,I3692*VLOOKUP(J3692,Summary!$H$2:$I$9,2)),VLOOKUP(J3692,Summary!$J$2:$K$9,2)*IF(ISNUMBER(H3692),H3692,1))</f>
        <v>0.14861111111111108</v>
      </c>
      <c r="AG3692" s="287">
        <v>3691</v>
      </c>
      <c r="AH3692" s="122"/>
      <c r="AI3692" s="122"/>
      <c r="AJ3692" s="146"/>
    </row>
    <row r="3693" spans="1:36" s="29" customFormat="1" ht="12" customHeight="1" x14ac:dyDescent="0.25">
      <c r="A3693" s="573" t="s">
        <v>1560</v>
      </c>
      <c r="B3693" s="573">
        <v>8</v>
      </c>
      <c r="C3693" s="573">
        <v>1.4</v>
      </c>
      <c r="D3693" s="407" t="s">
        <v>15258</v>
      </c>
      <c r="E3693" s="315" t="s">
        <v>15261</v>
      </c>
      <c r="F3693" s="169" t="s">
        <v>11072</v>
      </c>
      <c r="G3693" s="170"/>
      <c r="H3693" s="170">
        <v>1</v>
      </c>
      <c r="I3693" s="747">
        <f>TIME(0,60,0)</f>
        <v>4.1666666666666664E-2</v>
      </c>
      <c r="J3693" s="899" t="s">
        <v>4706</v>
      </c>
      <c r="K3693" s="167" t="s">
        <v>7374</v>
      </c>
      <c r="L3693" s="167" t="s">
        <v>4549</v>
      </c>
      <c r="M3693" s="167"/>
      <c r="N3693" s="167"/>
      <c r="O3693" s="167" t="s">
        <v>179</v>
      </c>
      <c r="P3693" s="168"/>
      <c r="Q3693" s="167" t="s">
        <v>3947</v>
      </c>
      <c r="R3693" s="172" t="s">
        <v>15262</v>
      </c>
      <c r="S3693" s="388" t="s">
        <v>7345</v>
      </c>
      <c r="T3693" s="168"/>
      <c r="U3693" s="168"/>
      <c r="V3693" s="168"/>
      <c r="W3693" s="315" t="s">
        <v>15261</v>
      </c>
      <c r="X3693" s="644" t="s">
        <v>14267</v>
      </c>
      <c r="Y3693" s="352"/>
      <c r="Z3693" s="353"/>
      <c r="AA3693" s="353"/>
      <c r="AB3693" s="31">
        <f t="shared" ca="1" si="94"/>
        <v>0.99412179743978357</v>
      </c>
      <c r="AC3693" s="810"/>
      <c r="AD3693" s="811"/>
      <c r="AE3693" s="948"/>
      <c r="AF3693" s="920">
        <f>IF(X3693=X3692,AF3692,0)+IF(ISNUMBER(I3693),IF(I3693&lt;1,I3693,I3693*VLOOKUP(J3693,Summary!$H$2:$I$9,2)),VLOOKUP(J3693,Summary!$J$2:$K$9,2)*IF(ISNUMBER(H3693),H3693,1))</f>
        <v>0.19027777777777774</v>
      </c>
      <c r="AG3693" s="287">
        <v>3692</v>
      </c>
      <c r="AH3693" s="94"/>
      <c r="AI3693" s="94"/>
      <c r="AJ3693" s="3"/>
    </row>
    <row r="3694" spans="1:36" s="29" customFormat="1" ht="12" customHeight="1" x14ac:dyDescent="0.25">
      <c r="A3694" s="573" t="s">
        <v>1560</v>
      </c>
      <c r="B3694" s="573">
        <v>8</v>
      </c>
      <c r="C3694" s="573">
        <v>2.1</v>
      </c>
      <c r="D3694" s="407" t="s">
        <v>5237</v>
      </c>
      <c r="E3694" s="315" t="s">
        <v>5238</v>
      </c>
      <c r="F3694" s="169">
        <v>39448</v>
      </c>
      <c r="G3694" s="170"/>
      <c r="H3694" s="170">
        <v>1</v>
      </c>
      <c r="I3694" s="746">
        <f>TIME(0,48,46)</f>
        <v>3.3865740740740738E-2</v>
      </c>
      <c r="J3694" s="899" t="s">
        <v>4706</v>
      </c>
      <c r="K3694" s="167" t="s">
        <v>2306</v>
      </c>
      <c r="L3694" s="167" t="s">
        <v>3296</v>
      </c>
      <c r="M3694" s="167"/>
      <c r="N3694" s="167"/>
      <c r="O3694" s="167"/>
      <c r="P3694" s="168" t="s">
        <v>9210</v>
      </c>
      <c r="Q3694" s="167" t="s">
        <v>3947</v>
      </c>
      <c r="R3694" s="172" t="s">
        <v>15463</v>
      </c>
      <c r="S3694" s="388" t="s">
        <v>7345</v>
      </c>
      <c r="T3694" s="168"/>
      <c r="U3694" s="168"/>
      <c r="V3694" s="168"/>
      <c r="W3694" s="315" t="s">
        <v>5238</v>
      </c>
      <c r="X3694" s="644" t="s">
        <v>14267</v>
      </c>
      <c r="Y3694" s="352" t="s">
        <v>5643</v>
      </c>
      <c r="Z3694" s="353">
        <v>344</v>
      </c>
      <c r="AA3694" s="353">
        <v>5</v>
      </c>
      <c r="AB3694" s="31">
        <f t="shared" ca="1" si="94"/>
        <v>0.30961764325379271</v>
      </c>
      <c r="AC3694" s="810"/>
      <c r="AD3694" s="811" t="s">
        <v>461</v>
      </c>
      <c r="AE3694" s="948"/>
      <c r="AF3694" s="920">
        <f>IF(X3694=X3693,AF3693,0)+IF(ISNUMBER(I3694),IF(I3694&lt;1,I3694,I3694*VLOOKUP(J3694,Summary!$H$2:$I$9,2)),VLOOKUP(J3694,Summary!$J$2:$K$9,2)*IF(ISNUMBER(H3694),H3694,1))</f>
        <v>0.22414351851851849</v>
      </c>
      <c r="AG3694" s="287">
        <v>3693</v>
      </c>
      <c r="AH3694" s="94"/>
      <c r="AI3694" s="94"/>
      <c r="AJ3694" s="44"/>
    </row>
    <row r="3695" spans="1:36" s="29" customFormat="1" ht="12" customHeight="1" x14ac:dyDescent="0.25">
      <c r="A3695" s="573" t="s">
        <v>1560</v>
      </c>
      <c r="B3695" s="573">
        <v>8</v>
      </c>
      <c r="C3695" s="573">
        <v>2.2000000000000002</v>
      </c>
      <c r="D3695" s="407" t="s">
        <v>5239</v>
      </c>
      <c r="E3695" s="315" t="s">
        <v>5240</v>
      </c>
      <c r="F3695" s="169">
        <v>39479</v>
      </c>
      <c r="G3695" s="170"/>
      <c r="H3695" s="170">
        <v>1</v>
      </c>
      <c r="I3695" s="746">
        <f>TIME(0,52,31)</f>
        <v>3.6469907407407402E-2</v>
      </c>
      <c r="J3695" s="899" t="s">
        <v>4706</v>
      </c>
      <c r="K3695" s="167" t="s">
        <v>177</v>
      </c>
      <c r="L3695" s="167" t="s">
        <v>3296</v>
      </c>
      <c r="M3695" s="167"/>
      <c r="N3695" s="167"/>
      <c r="O3695" s="167"/>
      <c r="P3695" s="168" t="s">
        <v>9211</v>
      </c>
      <c r="Q3695" s="167" t="s">
        <v>3947</v>
      </c>
      <c r="R3695" s="172" t="s">
        <v>15463</v>
      </c>
      <c r="S3695" s="388" t="s">
        <v>7345</v>
      </c>
      <c r="T3695" s="168"/>
      <c r="U3695" s="168"/>
      <c r="V3695" s="168"/>
      <c r="W3695" s="315" t="s">
        <v>5240</v>
      </c>
      <c r="X3695" s="644" t="s">
        <v>14267</v>
      </c>
      <c r="Y3695" s="352" t="s">
        <v>5643</v>
      </c>
      <c r="Z3695" s="353">
        <v>96</v>
      </c>
      <c r="AA3695" s="353">
        <v>7.5</v>
      </c>
      <c r="AB3695" s="31">
        <f t="shared" ca="1" si="94"/>
        <v>0.34113310357471183</v>
      </c>
      <c r="AC3695" s="810"/>
      <c r="AD3695" s="811" t="s">
        <v>16395</v>
      </c>
      <c r="AE3695" s="948" t="s">
        <v>3365</v>
      </c>
      <c r="AF3695" s="920">
        <f>IF(X3695=X3694,AF3694,0)+IF(ISNUMBER(I3695),IF(I3695&lt;1,I3695,I3695*VLOOKUP(J3695,Summary!$H$2:$I$9,2)),VLOOKUP(J3695,Summary!$J$2:$K$9,2)*IF(ISNUMBER(H3695),H3695,1))</f>
        <v>0.2606134259259259</v>
      </c>
      <c r="AG3695" s="287">
        <v>3694</v>
      </c>
      <c r="AH3695" s="94"/>
      <c r="AI3695" s="94"/>
      <c r="AJ3695" s="3"/>
    </row>
    <row r="3696" spans="1:36" s="29" customFormat="1" ht="12" customHeight="1" x14ac:dyDescent="0.25">
      <c r="A3696" s="573" t="s">
        <v>1560</v>
      </c>
      <c r="B3696" s="573">
        <v>8</v>
      </c>
      <c r="C3696" s="573">
        <v>2.2999999999999998</v>
      </c>
      <c r="D3696" s="407" t="s">
        <v>5241</v>
      </c>
      <c r="E3696" s="315" t="s">
        <v>5242</v>
      </c>
      <c r="F3696" s="169">
        <v>39508</v>
      </c>
      <c r="G3696" s="170"/>
      <c r="H3696" s="170">
        <v>1</v>
      </c>
      <c r="I3696" s="746">
        <f>TIME(0,48,45)</f>
        <v>3.3854166666666664E-2</v>
      </c>
      <c r="J3696" s="899" t="s">
        <v>4706</v>
      </c>
      <c r="K3696" s="167" t="s">
        <v>6352</v>
      </c>
      <c r="L3696" s="167" t="s">
        <v>3296</v>
      </c>
      <c r="M3696" s="167"/>
      <c r="N3696" s="167"/>
      <c r="O3696" s="167"/>
      <c r="P3696" s="168" t="s">
        <v>9212</v>
      </c>
      <c r="Q3696" s="167" t="s">
        <v>3947</v>
      </c>
      <c r="R3696" s="172" t="s">
        <v>15463</v>
      </c>
      <c r="S3696" s="388" t="s">
        <v>7345</v>
      </c>
      <c r="T3696" s="168"/>
      <c r="U3696" s="168"/>
      <c r="V3696" s="168"/>
      <c r="W3696" s="315" t="s">
        <v>5242</v>
      </c>
      <c r="X3696" s="644" t="s">
        <v>14267</v>
      </c>
      <c r="Y3696" s="352" t="s">
        <v>5643</v>
      </c>
      <c r="Z3696" s="353">
        <v>15</v>
      </c>
      <c r="AA3696" s="353">
        <v>9.5</v>
      </c>
      <c r="AB3696" s="31">
        <f t="shared" ca="1" si="94"/>
        <v>0.33766690180678072</v>
      </c>
      <c r="AC3696" s="810"/>
      <c r="AD3696" s="825" t="s">
        <v>14904</v>
      </c>
      <c r="AE3696" s="948"/>
      <c r="AF3696" s="920">
        <f>IF(X3696=X3695,AF3695,0)+IF(ISNUMBER(I3696),IF(I3696&lt;1,I3696,I3696*VLOOKUP(J3696,Summary!$H$2:$I$9,2)),VLOOKUP(J3696,Summary!$J$2:$K$9,2)*IF(ISNUMBER(H3696),H3696,1))</f>
        <v>0.29446759259259259</v>
      </c>
      <c r="AG3696" s="287">
        <v>3695</v>
      </c>
      <c r="AH3696" s="94"/>
      <c r="AI3696" s="94"/>
      <c r="AJ3696" s="3"/>
    </row>
    <row r="3697" spans="1:36" s="29" customFormat="1" ht="12" customHeight="1" x14ac:dyDescent="0.25">
      <c r="A3697" s="573" t="s">
        <v>1560</v>
      </c>
      <c r="B3697" s="573">
        <v>8</v>
      </c>
      <c r="C3697" s="573">
        <v>2.4</v>
      </c>
      <c r="D3697" s="407" t="s">
        <v>5243</v>
      </c>
      <c r="E3697" s="315" t="s">
        <v>5244</v>
      </c>
      <c r="F3697" s="169">
        <v>39539</v>
      </c>
      <c r="G3697" s="170"/>
      <c r="H3697" s="170">
        <v>1</v>
      </c>
      <c r="I3697" s="746">
        <f>TIME(0,51,59)</f>
        <v>3.6099537037037034E-2</v>
      </c>
      <c r="J3697" s="899" t="s">
        <v>4706</v>
      </c>
      <c r="K3697" s="167" t="s">
        <v>941</v>
      </c>
      <c r="L3697" s="167" t="s">
        <v>3296</v>
      </c>
      <c r="M3697" s="167"/>
      <c r="N3697" s="167"/>
      <c r="O3697" s="167"/>
      <c r="P3697" s="168" t="s">
        <v>9213</v>
      </c>
      <c r="Q3697" s="167" t="s">
        <v>3947</v>
      </c>
      <c r="R3697" s="172" t="s">
        <v>15463</v>
      </c>
      <c r="S3697" s="388" t="s">
        <v>7345</v>
      </c>
      <c r="T3697" s="168"/>
      <c r="U3697" s="168"/>
      <c r="V3697" s="168"/>
      <c r="W3697" s="315" t="s">
        <v>5244</v>
      </c>
      <c r="X3697" s="644" t="s">
        <v>14267</v>
      </c>
      <c r="Y3697" s="352" t="s">
        <v>5643</v>
      </c>
      <c r="Z3697" s="353">
        <v>685</v>
      </c>
      <c r="AA3697" s="353">
        <v>1.5</v>
      </c>
      <c r="AB3697" s="31">
        <f t="shared" ca="1" si="94"/>
        <v>0.34714381163243846</v>
      </c>
      <c r="AC3697" s="810"/>
      <c r="AD3697" s="811" t="s">
        <v>16458</v>
      </c>
      <c r="AE3697" s="948" t="s">
        <v>3365</v>
      </c>
      <c r="AF3697" s="920">
        <f>IF(X3697=X3696,AF3696,0)+IF(ISNUMBER(I3697),IF(I3697&lt;1,I3697,I3697*VLOOKUP(J3697,Summary!$H$2:$I$9,2)),VLOOKUP(J3697,Summary!$J$2:$K$9,2)*IF(ISNUMBER(H3697),H3697,1))</f>
        <v>0.33056712962962964</v>
      </c>
      <c r="AG3697" s="287">
        <v>3696</v>
      </c>
      <c r="AH3697" s="94"/>
      <c r="AI3697" s="94"/>
      <c r="AJ3697" s="3"/>
    </row>
    <row r="3698" spans="1:36" s="29" customFormat="1" ht="12" customHeight="1" x14ac:dyDescent="0.25">
      <c r="A3698" s="570" t="s">
        <v>1560</v>
      </c>
      <c r="B3698" s="570">
        <v>8</v>
      </c>
      <c r="C3698" s="576">
        <v>7.07</v>
      </c>
      <c r="D3698" s="192" t="s">
        <v>12993</v>
      </c>
      <c r="E3698" s="317" t="s">
        <v>4773</v>
      </c>
      <c r="F3698" s="209">
        <v>42929</v>
      </c>
      <c r="G3698" s="191"/>
      <c r="H3698" s="192">
        <v>1</v>
      </c>
      <c r="I3698" s="753">
        <f>TIME(0,33,58)</f>
        <v>2.3587962962962963E-2</v>
      </c>
      <c r="J3698" s="903" t="s">
        <v>2755</v>
      </c>
      <c r="K3698" s="194" t="s">
        <v>6970</v>
      </c>
      <c r="L3698" s="194" t="s">
        <v>5662</v>
      </c>
      <c r="M3698" s="194" t="s">
        <v>12994</v>
      </c>
      <c r="N3698" s="194"/>
      <c r="O3698" s="194"/>
      <c r="P3698" s="190" t="s">
        <v>12995</v>
      </c>
      <c r="Q3698" s="194" t="s">
        <v>3947</v>
      </c>
      <c r="R3698" s="193" t="s">
        <v>2722</v>
      </c>
      <c r="S3698" s="357" t="s">
        <v>7345</v>
      </c>
      <c r="T3698" s="190"/>
      <c r="U3698" s="190"/>
      <c r="V3698" s="190"/>
      <c r="W3698" s="317" t="s">
        <v>4773</v>
      </c>
      <c r="X3698" s="662" t="s">
        <v>14267</v>
      </c>
      <c r="Y3698" s="357" t="s">
        <v>5643</v>
      </c>
      <c r="Z3698" s="192"/>
      <c r="AA3698" s="192"/>
      <c r="AB3698" s="37">
        <f t="shared" ca="1" si="94"/>
        <v>0.68617522682249676</v>
      </c>
      <c r="AC3698" s="816"/>
      <c r="AD3698" s="817"/>
      <c r="AE3698" s="943"/>
      <c r="AF3698" s="924">
        <f>IF(X3698=X3697,AF3697,0)+IF(ISNUMBER(I3698),IF(I3698&lt;1,I3698,I3698*VLOOKUP(J3698,Summary!$H$2:$I$9,2)),VLOOKUP(J3698,Summary!$J$2:$K$9,2)*IF(ISNUMBER(H3698),H3698,1))</f>
        <v>0.35415509259259259</v>
      </c>
      <c r="AG3698" s="292">
        <v>3697</v>
      </c>
      <c r="AH3698" s="94"/>
      <c r="AI3698" s="94"/>
      <c r="AJ3698" s="3"/>
    </row>
    <row r="3699" spans="1:36" s="29" customFormat="1" ht="12" customHeight="1" x14ac:dyDescent="0.25">
      <c r="A3699" s="570" t="s">
        <v>1560</v>
      </c>
      <c r="B3699" s="570">
        <v>8</v>
      </c>
      <c r="C3699" s="576">
        <v>0.14000000000000001</v>
      </c>
      <c r="D3699" s="192" t="s">
        <v>9284</v>
      </c>
      <c r="E3699" s="317" t="s">
        <v>12996</v>
      </c>
      <c r="F3699" s="191">
        <v>42036</v>
      </c>
      <c r="G3699" s="191"/>
      <c r="H3699" s="192" t="s">
        <v>461</v>
      </c>
      <c r="I3699" s="753">
        <f>TIME(0,39,37)</f>
        <v>2.7511574074074074E-2</v>
      </c>
      <c r="J3699" s="903" t="s">
        <v>2755</v>
      </c>
      <c r="K3699" s="194" t="s">
        <v>12999</v>
      </c>
      <c r="L3699" s="194" t="s">
        <v>10635</v>
      </c>
      <c r="M3699" s="194" t="s">
        <v>9290</v>
      </c>
      <c r="N3699" s="194"/>
      <c r="O3699" s="194"/>
      <c r="P3699" s="190" t="s">
        <v>12998</v>
      </c>
      <c r="Q3699" s="194" t="s">
        <v>3947</v>
      </c>
      <c r="R3699" s="193" t="s">
        <v>2722</v>
      </c>
      <c r="S3699" s="357" t="s">
        <v>7345</v>
      </c>
      <c r="T3699" s="190"/>
      <c r="U3699" s="190"/>
      <c r="V3699" s="190"/>
      <c r="W3699" s="317" t="s">
        <v>12996</v>
      </c>
      <c r="X3699" s="662" t="s">
        <v>14267</v>
      </c>
      <c r="Y3699" s="357" t="s">
        <v>5643</v>
      </c>
      <c r="Z3699" s="192">
        <v>999</v>
      </c>
      <c r="AA3699" s="192"/>
      <c r="AB3699" s="37">
        <f t="shared" ca="1" si="94"/>
        <v>0.31366155336278057</v>
      </c>
      <c r="AC3699" s="816"/>
      <c r="AD3699" s="817"/>
      <c r="AE3699" s="943"/>
      <c r="AF3699" s="924">
        <f>IF(X3699=X3698,AF3698,0)+IF(ISNUMBER(I3699),IF(I3699&lt;1,I3699,I3699*VLOOKUP(J3699,Summary!$H$2:$I$9,2)),VLOOKUP(J3699,Summary!$J$2:$K$9,2)*IF(ISNUMBER(H3699),H3699,1))</f>
        <v>0.38166666666666665</v>
      </c>
      <c r="AG3699" s="292">
        <v>3698</v>
      </c>
      <c r="AH3699" s="94"/>
      <c r="AI3699" s="94"/>
      <c r="AJ3699" s="3"/>
    </row>
    <row r="3700" spans="1:36" s="43" customFormat="1" ht="12" customHeight="1" x14ac:dyDescent="0.25">
      <c r="A3700" s="570" t="s">
        <v>1560</v>
      </c>
      <c r="B3700" s="570">
        <v>8</v>
      </c>
      <c r="C3700" s="576">
        <v>0.25</v>
      </c>
      <c r="D3700" s="192" t="s">
        <v>13138</v>
      </c>
      <c r="E3700" s="317" t="s">
        <v>12997</v>
      </c>
      <c r="F3700" s="191">
        <v>42339</v>
      </c>
      <c r="G3700" s="191"/>
      <c r="H3700" s="192" t="s">
        <v>461</v>
      </c>
      <c r="I3700" s="753"/>
      <c r="J3700" s="903" t="s">
        <v>2755</v>
      </c>
      <c r="K3700" s="194" t="s">
        <v>12999</v>
      </c>
      <c r="L3700" s="194" t="s">
        <v>3365</v>
      </c>
      <c r="M3700" s="194" t="s">
        <v>9290</v>
      </c>
      <c r="N3700" s="194"/>
      <c r="O3700" s="194"/>
      <c r="P3700" s="190" t="s">
        <v>461</v>
      </c>
      <c r="Q3700" s="194" t="s">
        <v>3947</v>
      </c>
      <c r="R3700" s="193" t="s">
        <v>2722</v>
      </c>
      <c r="S3700" s="357" t="s">
        <v>7345</v>
      </c>
      <c r="T3700" s="190"/>
      <c r="U3700" s="190"/>
      <c r="V3700" s="190"/>
      <c r="W3700" s="317" t="s">
        <v>12997</v>
      </c>
      <c r="X3700" s="662" t="s">
        <v>14267</v>
      </c>
      <c r="Y3700" s="357"/>
      <c r="Z3700" s="192"/>
      <c r="AA3700" s="192"/>
      <c r="AB3700" s="37">
        <f t="shared" ca="1" si="94"/>
        <v>0.52122032432195897</v>
      </c>
      <c r="AC3700" s="816"/>
      <c r="AD3700" s="817"/>
      <c r="AE3700" s="943"/>
      <c r="AF3700" s="924">
        <f>IF(X3700=X3699,AF3699,0)+IF(ISNUMBER(I3700),IF(I3700&lt;1,I3700,I3700*VLOOKUP(J3700,Summary!$H$2:$I$9,2)),VLOOKUP(J3700,Summary!$J$2:$K$9,2)*IF(ISNUMBER(H3700),H3700,1))</f>
        <v>0.39902777777777776</v>
      </c>
      <c r="AG3700" s="292">
        <v>3699</v>
      </c>
      <c r="AH3700" s="94"/>
      <c r="AI3700" s="94"/>
      <c r="AJ3700" s="44"/>
    </row>
    <row r="3701" spans="1:36" s="43" customFormat="1" ht="12" customHeight="1" x14ac:dyDescent="0.25">
      <c r="A3701" s="571" t="s">
        <v>1560</v>
      </c>
      <c r="B3701" s="571">
        <v>8</v>
      </c>
      <c r="C3701" s="574">
        <v>26.1</v>
      </c>
      <c r="D3701" s="434" t="s">
        <v>3773</v>
      </c>
      <c r="E3701" s="324" t="s">
        <v>6900</v>
      </c>
      <c r="F3701" s="174">
        <v>39508</v>
      </c>
      <c r="G3701" s="174"/>
      <c r="H3701" s="176">
        <v>1</v>
      </c>
      <c r="I3701" s="176">
        <v>6</v>
      </c>
      <c r="J3701" s="900" t="s">
        <v>2755</v>
      </c>
      <c r="K3701" s="164" t="s">
        <v>5664</v>
      </c>
      <c r="L3701" s="164" t="s">
        <v>461</v>
      </c>
      <c r="M3701" s="164"/>
      <c r="N3701" s="164" t="s">
        <v>7381</v>
      </c>
      <c r="O3701" s="164"/>
      <c r="P3701" s="173" t="s">
        <v>6706</v>
      </c>
      <c r="Q3701" s="164" t="s">
        <v>3947</v>
      </c>
      <c r="R3701" s="179" t="s">
        <v>2723</v>
      </c>
      <c r="S3701" s="354" t="s">
        <v>7345</v>
      </c>
      <c r="T3701" s="173"/>
      <c r="U3701" s="173"/>
      <c r="V3701" s="173"/>
      <c r="W3701" s="324" t="s">
        <v>6900</v>
      </c>
      <c r="X3701" s="656" t="s">
        <v>14267</v>
      </c>
      <c r="Y3701" s="363"/>
      <c r="Z3701" s="364"/>
      <c r="AA3701" s="364"/>
      <c r="AB3701" s="32">
        <f t="shared" ca="1" si="94"/>
        <v>0.61117717162555674</v>
      </c>
      <c r="AC3701" s="812"/>
      <c r="AD3701" s="763"/>
      <c r="AE3701" s="951"/>
      <c r="AF3701" s="921">
        <f>IF(X3701=X3700,AF3700,0)+IF(ISNUMBER(I3701),IF(I3701&lt;1,I3701,I3701*VLOOKUP(J3701,Summary!$H$2:$I$9,2)),VLOOKUP(J3701,Summary!$J$2:$K$9,2)*IF(ISNUMBER(H3701),H3701,1))</f>
        <v>0.40319444444444441</v>
      </c>
      <c r="AG3701" s="288">
        <v>3700</v>
      </c>
      <c r="AH3701" s="94"/>
      <c r="AI3701" s="94"/>
    </row>
    <row r="3702" spans="1:36" s="43" customFormat="1" ht="12" customHeight="1" x14ac:dyDescent="0.25">
      <c r="A3702" s="573" t="s">
        <v>1560</v>
      </c>
      <c r="B3702" s="573">
        <v>8</v>
      </c>
      <c r="C3702" s="573">
        <v>2.5</v>
      </c>
      <c r="D3702" s="407" t="s">
        <v>5245</v>
      </c>
      <c r="E3702" s="315" t="s">
        <v>5060</v>
      </c>
      <c r="F3702" s="169">
        <v>39569</v>
      </c>
      <c r="G3702" s="170"/>
      <c r="H3702" s="170">
        <v>1</v>
      </c>
      <c r="I3702" s="746">
        <f>TIME(0,48,7)</f>
        <v>3.3414351851851855E-2</v>
      </c>
      <c r="J3702" s="899" t="s">
        <v>4706</v>
      </c>
      <c r="K3702" s="167" t="s">
        <v>6353</v>
      </c>
      <c r="L3702" s="167" t="s">
        <v>3296</v>
      </c>
      <c r="M3702" s="167"/>
      <c r="N3702" s="167"/>
      <c r="O3702" s="167"/>
      <c r="P3702" s="168" t="s">
        <v>9214</v>
      </c>
      <c r="Q3702" s="167" t="s">
        <v>3947</v>
      </c>
      <c r="R3702" s="172" t="s">
        <v>15463</v>
      </c>
      <c r="S3702" s="388" t="s">
        <v>7345</v>
      </c>
      <c r="T3702" s="168"/>
      <c r="U3702" s="168"/>
      <c r="V3702" s="168"/>
      <c r="W3702" s="315" t="s">
        <v>5060</v>
      </c>
      <c r="X3702" s="644" t="s">
        <v>14267</v>
      </c>
      <c r="Y3702" s="352" t="s">
        <v>5643</v>
      </c>
      <c r="Z3702" s="353">
        <v>27</v>
      </c>
      <c r="AA3702" s="353">
        <v>9</v>
      </c>
      <c r="AB3702" s="31">
        <f t="shared" ca="1" si="94"/>
        <v>0.79718591756320611</v>
      </c>
      <c r="AC3702" s="810"/>
      <c r="AD3702" s="811" t="s">
        <v>16650</v>
      </c>
      <c r="AE3702" s="948"/>
      <c r="AF3702" s="920">
        <f>IF(X3702=X3701,AF3701,0)+IF(ISNUMBER(I3702),IF(I3702&lt;1,I3702,I3702*VLOOKUP(J3702,Summary!$H$2:$I$9,2)),VLOOKUP(J3702,Summary!$J$2:$K$9,2)*IF(ISNUMBER(H3702),H3702,1))</f>
        <v>0.43660879629629629</v>
      </c>
      <c r="AG3702" s="287">
        <v>3701</v>
      </c>
      <c r="AH3702" s="94"/>
      <c r="AI3702" s="94"/>
      <c r="AJ3702" s="3"/>
    </row>
    <row r="3703" spans="1:36" s="43" customFormat="1" ht="12" customHeight="1" x14ac:dyDescent="0.25">
      <c r="A3703" s="573" t="s">
        <v>1560</v>
      </c>
      <c r="B3703" s="573">
        <v>8</v>
      </c>
      <c r="C3703" s="573">
        <v>2.6</v>
      </c>
      <c r="D3703" s="407" t="s">
        <v>5061</v>
      </c>
      <c r="E3703" s="315" t="s">
        <v>5062</v>
      </c>
      <c r="F3703" s="169">
        <v>39600</v>
      </c>
      <c r="G3703" s="170"/>
      <c r="H3703" s="170">
        <v>1</v>
      </c>
      <c r="I3703" s="746">
        <f>TIME(0,51,58)</f>
        <v>3.6087962962962968E-2</v>
      </c>
      <c r="J3703" s="899" t="s">
        <v>4706</v>
      </c>
      <c r="K3703" s="167" t="s">
        <v>5658</v>
      </c>
      <c r="L3703" s="167" t="s">
        <v>3296</v>
      </c>
      <c r="M3703" s="167"/>
      <c r="N3703" s="167"/>
      <c r="O3703" s="167"/>
      <c r="P3703" s="168" t="s">
        <v>9215</v>
      </c>
      <c r="Q3703" s="167" t="s">
        <v>3947</v>
      </c>
      <c r="R3703" s="172" t="s">
        <v>15463</v>
      </c>
      <c r="S3703" s="388" t="s">
        <v>7345</v>
      </c>
      <c r="T3703" s="168"/>
      <c r="U3703" s="168"/>
      <c r="V3703" s="168"/>
      <c r="W3703" s="315" t="s">
        <v>5062</v>
      </c>
      <c r="X3703" s="644" t="s">
        <v>14267</v>
      </c>
      <c r="Y3703" s="352" t="s">
        <v>5643</v>
      </c>
      <c r="Z3703" s="353">
        <v>166</v>
      </c>
      <c r="AA3703" s="353">
        <v>6.5</v>
      </c>
      <c r="AB3703" s="31">
        <f t="shared" ca="1" si="94"/>
        <v>0.43524780635009674</v>
      </c>
      <c r="AC3703" s="810"/>
      <c r="AD3703" s="811" t="s">
        <v>15085</v>
      </c>
      <c r="AE3703" s="948"/>
      <c r="AF3703" s="920">
        <f>IF(X3703=X3702,AF3702,0)+IF(ISNUMBER(I3703),IF(I3703&lt;1,I3703,I3703*VLOOKUP(J3703,Summary!$H$2:$I$9,2)),VLOOKUP(J3703,Summary!$J$2:$K$9,2)*IF(ISNUMBER(H3703),H3703,1))</f>
        <v>0.47269675925925925</v>
      </c>
      <c r="AG3703" s="287">
        <v>3702</v>
      </c>
      <c r="AH3703" s="94"/>
      <c r="AI3703" s="94"/>
      <c r="AJ3703" s="3"/>
    </row>
    <row r="3704" spans="1:36" s="43" customFormat="1" ht="12" customHeight="1" x14ac:dyDescent="0.25">
      <c r="A3704" s="573" t="s">
        <v>1560</v>
      </c>
      <c r="B3704" s="573">
        <v>8</v>
      </c>
      <c r="C3704" s="573">
        <v>2.7</v>
      </c>
      <c r="D3704" s="407" t="s">
        <v>5654</v>
      </c>
      <c r="E3704" s="315" t="s">
        <v>9554</v>
      </c>
      <c r="F3704" s="169">
        <v>39630</v>
      </c>
      <c r="G3704" s="169">
        <v>39661</v>
      </c>
      <c r="H3704" s="170">
        <v>2</v>
      </c>
      <c r="I3704" s="746">
        <f>TIME(0,48,29)+TIME(0,49,36)</f>
        <v>6.8113425925925924E-2</v>
      </c>
      <c r="J3704" s="899" t="s">
        <v>4706</v>
      </c>
      <c r="K3704" s="167" t="s">
        <v>4549</v>
      </c>
      <c r="L3704" s="167" t="s">
        <v>4549</v>
      </c>
      <c r="M3704" s="167"/>
      <c r="N3704" s="167"/>
      <c r="O3704" s="167"/>
      <c r="P3704" s="168" t="s">
        <v>9216</v>
      </c>
      <c r="Q3704" s="167" t="s">
        <v>3947</v>
      </c>
      <c r="R3704" s="172" t="s">
        <v>15463</v>
      </c>
      <c r="S3704" s="388" t="s">
        <v>7345</v>
      </c>
      <c r="T3704" s="168"/>
      <c r="U3704" s="168"/>
      <c r="V3704" s="168"/>
      <c r="W3704" s="312" t="s">
        <v>8443</v>
      </c>
      <c r="X3704" s="644" t="s">
        <v>14267</v>
      </c>
      <c r="Y3704" s="352" t="s">
        <v>5643</v>
      </c>
      <c r="Z3704" s="353">
        <v>79</v>
      </c>
      <c r="AA3704" s="353">
        <v>7.5</v>
      </c>
      <c r="AB3704" s="31">
        <f t="shared" ca="1" si="94"/>
        <v>0.82593251719749128</v>
      </c>
      <c r="AC3704" s="810"/>
      <c r="AD3704" s="811" t="s">
        <v>16368</v>
      </c>
      <c r="AE3704" s="940" t="s">
        <v>15062</v>
      </c>
      <c r="AF3704" s="920">
        <f>IF(X3704=X3703,AF3703,0)+IF(ISNUMBER(I3704),IF(I3704&lt;1,I3704,I3704*VLOOKUP(J3704,Summary!$H$2:$I$9,2)),VLOOKUP(J3704,Summary!$J$2:$K$9,2)*IF(ISNUMBER(H3704),H3704,1))</f>
        <v>0.5408101851851852</v>
      </c>
      <c r="AG3704" s="287">
        <v>3703</v>
      </c>
      <c r="AH3704" s="94"/>
      <c r="AI3704" s="94"/>
      <c r="AJ3704" s="3"/>
    </row>
    <row r="3705" spans="1:36" s="43" customFormat="1" ht="12" customHeight="1" x14ac:dyDescent="0.25">
      <c r="A3705" s="573" t="s">
        <v>1561</v>
      </c>
      <c r="B3705" s="573">
        <v>8</v>
      </c>
      <c r="C3705" s="573">
        <v>3.1</v>
      </c>
      <c r="D3705" s="407" t="s">
        <v>3351</v>
      </c>
      <c r="E3705" s="315" t="s">
        <v>3352</v>
      </c>
      <c r="F3705" s="196">
        <v>39903</v>
      </c>
      <c r="G3705" s="170"/>
      <c r="H3705" s="170">
        <v>2</v>
      </c>
      <c r="I3705" s="746">
        <f>TIME(1,0,18)</f>
        <v>4.1874999999999996E-2</v>
      </c>
      <c r="J3705" s="899" t="s">
        <v>4706</v>
      </c>
      <c r="K3705" s="167" t="s">
        <v>5247</v>
      </c>
      <c r="L3705" s="167" t="s">
        <v>3296</v>
      </c>
      <c r="M3705" s="167"/>
      <c r="N3705" s="167"/>
      <c r="O3705" s="167"/>
      <c r="P3705" s="168" t="s">
        <v>9217</v>
      </c>
      <c r="Q3705" s="167" t="s">
        <v>3947</v>
      </c>
      <c r="R3705" s="172" t="s">
        <v>15463</v>
      </c>
      <c r="S3705" s="388" t="s">
        <v>7345</v>
      </c>
      <c r="T3705" s="168"/>
      <c r="U3705" s="168"/>
      <c r="V3705" s="168"/>
      <c r="W3705" s="315" t="s">
        <v>9537</v>
      </c>
      <c r="X3705" s="647" t="s">
        <v>12444</v>
      </c>
      <c r="Y3705" s="352" t="s">
        <v>5643</v>
      </c>
      <c r="Z3705" s="353">
        <v>179</v>
      </c>
      <c r="AA3705" s="353">
        <v>6</v>
      </c>
      <c r="AB3705" s="31">
        <f t="shared" ca="1" si="94"/>
        <v>0.16113951742031918</v>
      </c>
      <c r="AC3705" s="810"/>
      <c r="AD3705" s="811" t="s">
        <v>16403</v>
      </c>
      <c r="AE3705" s="948" t="s">
        <v>15062</v>
      </c>
      <c r="AF3705" s="920">
        <f>IF(X3705=X3704,AF3704,0)+IF(ISNUMBER(I3705),IF(I3705&lt;1,I3705,I3705*VLOOKUP(J3705,Summary!$H$2:$I$9,2)),VLOOKUP(J3705,Summary!$J$2:$K$9,2)*IF(ISNUMBER(H3705),H3705,1))</f>
        <v>4.1874999999999996E-2</v>
      </c>
      <c r="AG3705" s="287">
        <v>3704</v>
      </c>
      <c r="AH3705" s="94"/>
      <c r="AI3705" s="94"/>
    </row>
    <row r="3706" spans="1:36" s="43" customFormat="1" ht="12" customHeight="1" x14ac:dyDescent="0.25">
      <c r="A3706" s="573" t="s">
        <v>1561</v>
      </c>
      <c r="B3706" s="573">
        <v>8</v>
      </c>
      <c r="C3706" s="573">
        <v>3.2</v>
      </c>
      <c r="D3706" s="407" t="s">
        <v>3353</v>
      </c>
      <c r="E3706" s="315" t="s">
        <v>3354</v>
      </c>
      <c r="F3706" s="196">
        <v>39933</v>
      </c>
      <c r="G3706" s="170"/>
      <c r="H3706" s="170">
        <v>2</v>
      </c>
      <c r="I3706" s="746">
        <f>TIME(1,1,28)</f>
        <v>4.2685185185185187E-2</v>
      </c>
      <c r="J3706" s="899" t="s">
        <v>4706</v>
      </c>
      <c r="K3706" s="167" t="s">
        <v>177</v>
      </c>
      <c r="L3706" s="167" t="s">
        <v>3296</v>
      </c>
      <c r="M3706" s="167"/>
      <c r="N3706" s="167"/>
      <c r="O3706" s="167"/>
      <c r="P3706" s="168" t="s">
        <v>9218</v>
      </c>
      <c r="Q3706" s="167" t="s">
        <v>3947</v>
      </c>
      <c r="R3706" s="172" t="s">
        <v>15463</v>
      </c>
      <c r="S3706" s="388" t="s">
        <v>7345</v>
      </c>
      <c r="T3706" s="168"/>
      <c r="U3706" s="168"/>
      <c r="V3706" s="168"/>
      <c r="W3706" s="315" t="s">
        <v>9538</v>
      </c>
      <c r="X3706" s="647" t="s">
        <v>12444</v>
      </c>
      <c r="Y3706" s="352" t="s">
        <v>5643</v>
      </c>
      <c r="Z3706" s="353">
        <v>511</v>
      </c>
      <c r="AA3706" s="353">
        <v>4</v>
      </c>
      <c r="AB3706" s="31">
        <f t="shared" ca="1" si="94"/>
        <v>0.67981101659983878</v>
      </c>
      <c r="AC3706" s="810"/>
      <c r="AD3706" s="811" t="s">
        <v>16092</v>
      </c>
      <c r="AE3706" s="948" t="s">
        <v>12543</v>
      </c>
      <c r="AF3706" s="920">
        <f>IF(X3706=X3705,AF3705,0)+IF(ISNUMBER(I3706),IF(I3706&lt;1,I3706,I3706*VLOOKUP(J3706,Summary!$H$2:$I$9,2)),VLOOKUP(J3706,Summary!$J$2:$K$9,2)*IF(ISNUMBER(H3706),H3706,1))</f>
        <v>8.4560185185185183E-2</v>
      </c>
      <c r="AG3706" s="287">
        <v>3705</v>
      </c>
      <c r="AH3706" s="94"/>
      <c r="AI3706" s="94"/>
      <c r="AJ3706" s="3"/>
    </row>
    <row r="3707" spans="1:36" s="43" customFormat="1" ht="12" customHeight="1" x14ac:dyDescent="0.25">
      <c r="A3707" s="570" t="s">
        <v>1561</v>
      </c>
      <c r="B3707" s="570">
        <v>8</v>
      </c>
      <c r="C3707" s="576">
        <v>0.19</v>
      </c>
      <c r="D3707" s="192" t="s">
        <v>13134</v>
      </c>
      <c r="E3707" s="317" t="s">
        <v>13000</v>
      </c>
      <c r="F3707" s="209">
        <v>41992</v>
      </c>
      <c r="G3707" s="191"/>
      <c r="H3707" s="192" t="s">
        <v>461</v>
      </c>
      <c r="I3707" s="753"/>
      <c r="J3707" s="903" t="s">
        <v>2755</v>
      </c>
      <c r="K3707" s="194" t="s">
        <v>6452</v>
      </c>
      <c r="L3707" s="194" t="s">
        <v>3365</v>
      </c>
      <c r="M3707" s="194" t="s">
        <v>9287</v>
      </c>
      <c r="N3707" s="194"/>
      <c r="O3707" s="194"/>
      <c r="P3707" s="190" t="s">
        <v>461</v>
      </c>
      <c r="Q3707" s="194" t="s">
        <v>3947</v>
      </c>
      <c r="R3707" s="193" t="s">
        <v>2722</v>
      </c>
      <c r="S3707" s="357" t="s">
        <v>7345</v>
      </c>
      <c r="T3707" s="190"/>
      <c r="U3707" s="190"/>
      <c r="V3707" s="190"/>
      <c r="W3707" s="317" t="s">
        <v>13000</v>
      </c>
      <c r="X3707" s="662" t="s">
        <v>12444</v>
      </c>
      <c r="Y3707" s="357"/>
      <c r="Z3707" s="192"/>
      <c r="AA3707" s="192"/>
      <c r="AB3707" s="37">
        <f t="shared" ca="1" si="94"/>
        <v>0.55199993735955666</v>
      </c>
      <c r="AC3707" s="816"/>
      <c r="AD3707" s="817"/>
      <c r="AE3707" s="943"/>
      <c r="AF3707" s="924">
        <f>IF(X3707=X3706,AF3706,0)+IF(ISNUMBER(I3707),IF(I3707&lt;1,I3707,I3707*VLOOKUP(J3707,Summary!$H$2:$I$9,2)),VLOOKUP(J3707,Summary!$J$2:$K$9,2)*IF(ISNUMBER(H3707),H3707,1))</f>
        <v>0.10192129629629629</v>
      </c>
      <c r="AG3707" s="292">
        <v>3706</v>
      </c>
      <c r="AH3707" s="94"/>
      <c r="AI3707" s="94"/>
      <c r="AJ3707" s="3"/>
    </row>
    <row r="3708" spans="1:36" s="43" customFormat="1" ht="12" customHeight="1" x14ac:dyDescent="0.25">
      <c r="A3708" s="573" t="s">
        <v>1561</v>
      </c>
      <c r="B3708" s="573">
        <v>8</v>
      </c>
      <c r="C3708" s="573">
        <v>3.3</v>
      </c>
      <c r="D3708" s="407" t="s">
        <v>3355</v>
      </c>
      <c r="E3708" s="315" t="s">
        <v>3356</v>
      </c>
      <c r="F3708" s="196">
        <v>39964</v>
      </c>
      <c r="G3708" s="170"/>
      <c r="H3708" s="170">
        <v>2</v>
      </c>
      <c r="I3708" s="746">
        <f>TIME(0,59,22)</f>
        <v>4.1226851851851855E-2</v>
      </c>
      <c r="J3708" s="899" t="s">
        <v>4706</v>
      </c>
      <c r="K3708" s="167" t="s">
        <v>3296</v>
      </c>
      <c r="L3708" s="167" t="s">
        <v>3296</v>
      </c>
      <c r="M3708" s="167"/>
      <c r="N3708" s="167"/>
      <c r="O3708" s="167"/>
      <c r="P3708" s="168" t="s">
        <v>9219</v>
      </c>
      <c r="Q3708" s="167" t="s">
        <v>3947</v>
      </c>
      <c r="R3708" s="172" t="s">
        <v>15463</v>
      </c>
      <c r="S3708" s="388" t="s">
        <v>7345</v>
      </c>
      <c r="T3708" s="168"/>
      <c r="U3708" s="168"/>
      <c r="V3708" s="168"/>
      <c r="W3708" s="315" t="s">
        <v>9539</v>
      </c>
      <c r="X3708" s="647" t="s">
        <v>12444</v>
      </c>
      <c r="Y3708" s="352" t="s">
        <v>5643</v>
      </c>
      <c r="Z3708" s="353">
        <v>678</v>
      </c>
      <c r="AA3708" s="353">
        <v>2</v>
      </c>
      <c r="AB3708" s="31">
        <f t="shared" ca="1" si="94"/>
        <v>0.35946502390592316</v>
      </c>
      <c r="AC3708" s="810"/>
      <c r="AD3708" s="811" t="s">
        <v>16573</v>
      </c>
      <c r="AE3708" s="948"/>
      <c r="AF3708" s="920">
        <f>IF(X3708=X3707,AF3707,0)+IF(ISNUMBER(I3708),IF(I3708&lt;1,I3708,I3708*VLOOKUP(J3708,Summary!$H$2:$I$9,2)),VLOOKUP(J3708,Summary!$J$2:$K$9,2)*IF(ISNUMBER(H3708),H3708,1))</f>
        <v>0.14314814814814814</v>
      </c>
      <c r="AG3708" s="287">
        <v>3707</v>
      </c>
      <c r="AH3708" s="94"/>
      <c r="AI3708" s="94"/>
      <c r="AJ3708" s="3"/>
    </row>
    <row r="3709" spans="1:36" s="43" customFormat="1" ht="12" customHeight="1" x14ac:dyDescent="0.25">
      <c r="A3709" s="573" t="s">
        <v>1561</v>
      </c>
      <c r="B3709" s="573">
        <v>8</v>
      </c>
      <c r="C3709" s="573">
        <v>3.4</v>
      </c>
      <c r="D3709" s="407" t="s">
        <v>3357</v>
      </c>
      <c r="E3709" s="315" t="s">
        <v>1845</v>
      </c>
      <c r="F3709" s="196">
        <v>39994</v>
      </c>
      <c r="G3709" s="170"/>
      <c r="H3709" s="170">
        <v>2</v>
      </c>
      <c r="I3709" s="746">
        <f>TIME(0,58,23)</f>
        <v>4.0543981481481479E-2</v>
      </c>
      <c r="J3709" s="899" t="s">
        <v>4706</v>
      </c>
      <c r="K3709" s="167" t="s">
        <v>4549</v>
      </c>
      <c r="L3709" s="167" t="s">
        <v>4549</v>
      </c>
      <c r="M3709" s="167"/>
      <c r="N3709" s="167"/>
      <c r="O3709" s="167"/>
      <c r="P3709" s="168" t="s">
        <v>9220</v>
      </c>
      <c r="Q3709" s="167" t="s">
        <v>3947</v>
      </c>
      <c r="R3709" s="172" t="s">
        <v>15463</v>
      </c>
      <c r="S3709" s="388" t="s">
        <v>7345</v>
      </c>
      <c r="T3709" s="168"/>
      <c r="U3709" s="168"/>
      <c r="V3709" s="168"/>
      <c r="W3709" s="315" t="s">
        <v>9540</v>
      </c>
      <c r="X3709" s="647" t="s">
        <v>12444</v>
      </c>
      <c r="Y3709" s="352" t="s">
        <v>5643</v>
      </c>
      <c r="Z3709" s="353">
        <v>535</v>
      </c>
      <c r="AA3709" s="353">
        <v>4</v>
      </c>
      <c r="AB3709" s="31">
        <f t="shared" ca="1" si="94"/>
        <v>0.55115641770978674</v>
      </c>
      <c r="AC3709" s="810"/>
      <c r="AD3709" s="811" t="s">
        <v>16456</v>
      </c>
      <c r="AE3709" s="948" t="s">
        <v>3365</v>
      </c>
      <c r="AF3709" s="920">
        <f>IF(X3709=X3708,AF3708,0)+IF(ISNUMBER(I3709),IF(I3709&lt;1,I3709,I3709*VLOOKUP(J3709,Summary!$H$2:$I$9,2)),VLOOKUP(J3709,Summary!$J$2:$K$9,2)*IF(ISNUMBER(H3709),H3709,1))</f>
        <v>0.18369212962962961</v>
      </c>
      <c r="AG3709" s="287">
        <v>3708</v>
      </c>
      <c r="AH3709" s="94"/>
      <c r="AI3709" s="94"/>
      <c r="AJ3709" s="3"/>
    </row>
    <row r="3710" spans="1:36" s="43" customFormat="1" ht="12" customHeight="1" x14ac:dyDescent="0.25">
      <c r="A3710" s="573" t="s">
        <v>1561</v>
      </c>
      <c r="B3710" s="573">
        <v>8</v>
      </c>
      <c r="C3710" s="573">
        <v>3.5</v>
      </c>
      <c r="D3710" s="407" t="s">
        <v>3358</v>
      </c>
      <c r="E3710" s="315" t="s">
        <v>3359</v>
      </c>
      <c r="F3710" s="196">
        <v>40025</v>
      </c>
      <c r="G3710" s="170"/>
      <c r="H3710" s="170">
        <v>2</v>
      </c>
      <c r="I3710" s="746">
        <f>TIME(1,7,17)</f>
        <v>4.6724537037037044E-2</v>
      </c>
      <c r="J3710" s="899" t="s">
        <v>4706</v>
      </c>
      <c r="K3710" s="167" t="s">
        <v>2306</v>
      </c>
      <c r="L3710" s="167" t="s">
        <v>4549</v>
      </c>
      <c r="M3710" s="167"/>
      <c r="N3710" s="167"/>
      <c r="O3710" s="167"/>
      <c r="P3710" s="168" t="s">
        <v>9221</v>
      </c>
      <c r="Q3710" s="167" t="s">
        <v>3947</v>
      </c>
      <c r="R3710" s="172" t="s">
        <v>15463</v>
      </c>
      <c r="S3710" s="388" t="s">
        <v>7345</v>
      </c>
      <c r="T3710" s="168"/>
      <c r="U3710" s="168"/>
      <c r="V3710" s="168"/>
      <c r="W3710" s="315" t="s">
        <v>9541</v>
      </c>
      <c r="X3710" s="647" t="s">
        <v>12444</v>
      </c>
      <c r="Y3710" s="352" t="s">
        <v>5643</v>
      </c>
      <c r="Z3710" s="353">
        <v>655</v>
      </c>
      <c r="AA3710" s="353">
        <v>3</v>
      </c>
      <c r="AB3710" s="31">
        <f t="shared" ca="1" si="94"/>
        <v>0.39217403460772371</v>
      </c>
      <c r="AC3710" s="810"/>
      <c r="AD3710" s="811" t="s">
        <v>16736</v>
      </c>
      <c r="AE3710" s="948" t="s">
        <v>12543</v>
      </c>
      <c r="AF3710" s="920">
        <f>IF(X3710=X3709,AF3709,0)+IF(ISNUMBER(I3710),IF(I3710&lt;1,I3710,I3710*VLOOKUP(J3710,Summary!$H$2:$I$9,2)),VLOOKUP(J3710,Summary!$J$2:$K$9,2)*IF(ISNUMBER(H3710),H3710,1))</f>
        <v>0.23041666666666666</v>
      </c>
      <c r="AG3710" s="287">
        <v>3709</v>
      </c>
      <c r="AH3710" s="94"/>
      <c r="AI3710" s="94"/>
      <c r="AJ3710" s="3"/>
    </row>
    <row r="3711" spans="1:36" s="43" customFormat="1" ht="12" customHeight="1" x14ac:dyDescent="0.25">
      <c r="A3711" s="573" t="s">
        <v>1561</v>
      </c>
      <c r="B3711" s="573">
        <v>8</v>
      </c>
      <c r="C3711" s="573">
        <v>3.6</v>
      </c>
      <c r="D3711" s="407" t="s">
        <v>3360</v>
      </c>
      <c r="E3711" s="315" t="s">
        <v>3361</v>
      </c>
      <c r="F3711" s="196">
        <v>40056</v>
      </c>
      <c r="G3711" s="170"/>
      <c r="H3711" s="170">
        <v>2</v>
      </c>
      <c r="I3711" s="746">
        <f>TIME(1,0,39)</f>
        <v>4.2118055555555554E-2</v>
      </c>
      <c r="J3711" s="899" t="s">
        <v>4706</v>
      </c>
      <c r="K3711" s="167" t="s">
        <v>177</v>
      </c>
      <c r="L3711" s="167" t="s">
        <v>6354</v>
      </c>
      <c r="M3711" s="167"/>
      <c r="N3711" s="167"/>
      <c r="O3711" s="167"/>
      <c r="P3711" s="168" t="s">
        <v>9222</v>
      </c>
      <c r="Q3711" s="167" t="s">
        <v>3947</v>
      </c>
      <c r="R3711" s="172" t="s">
        <v>15463</v>
      </c>
      <c r="S3711" s="388" t="s">
        <v>7345</v>
      </c>
      <c r="T3711" s="168"/>
      <c r="U3711" s="168"/>
      <c r="V3711" s="168"/>
      <c r="W3711" s="315" t="s">
        <v>9542</v>
      </c>
      <c r="X3711" s="647" t="s">
        <v>12444</v>
      </c>
      <c r="Y3711" s="352" t="s">
        <v>5643</v>
      </c>
      <c r="Z3711" s="353">
        <v>665</v>
      </c>
      <c r="AA3711" s="353">
        <v>2.5</v>
      </c>
      <c r="AB3711" s="31">
        <f t="shared" ca="1" si="94"/>
        <v>0.48785856863156285</v>
      </c>
      <c r="AC3711" s="810"/>
      <c r="AD3711" s="811"/>
      <c r="AE3711" s="948"/>
      <c r="AF3711" s="920">
        <f>IF(X3711=X3710,AF3710,0)+IF(ISNUMBER(I3711),IF(I3711&lt;1,I3711,I3711*VLOOKUP(J3711,Summary!$H$2:$I$9,2)),VLOOKUP(J3711,Summary!$J$2:$K$9,2)*IF(ISNUMBER(H3711),H3711,1))</f>
        <v>0.27253472222222219</v>
      </c>
      <c r="AG3711" s="287">
        <v>3710</v>
      </c>
      <c r="AH3711" s="94"/>
      <c r="AI3711" s="94"/>
      <c r="AJ3711" s="3"/>
    </row>
    <row r="3712" spans="1:36" s="43" customFormat="1" ht="12" customHeight="1" x14ac:dyDescent="0.25">
      <c r="A3712" s="570" t="s">
        <v>1561</v>
      </c>
      <c r="B3712" s="570">
        <v>8</v>
      </c>
      <c r="C3712" s="576">
        <v>6.04</v>
      </c>
      <c r="D3712" s="192" t="s">
        <v>13001</v>
      </c>
      <c r="E3712" s="317" t="s">
        <v>13002</v>
      </c>
      <c r="F3712" s="191">
        <v>40664</v>
      </c>
      <c r="G3712" s="191"/>
      <c r="H3712" s="192">
        <v>1</v>
      </c>
      <c r="I3712" s="753">
        <f>TIME(0,33,50)</f>
        <v>2.3495370370370371E-2</v>
      </c>
      <c r="J3712" s="903" t="s">
        <v>2755</v>
      </c>
      <c r="K3712" s="194" t="s">
        <v>12999</v>
      </c>
      <c r="L3712" s="194" t="s">
        <v>5662</v>
      </c>
      <c r="M3712" s="194" t="s">
        <v>12994</v>
      </c>
      <c r="N3712" s="194"/>
      <c r="O3712" s="194"/>
      <c r="P3712" s="190" t="s">
        <v>13003</v>
      </c>
      <c r="Q3712" s="194" t="s">
        <v>3947</v>
      </c>
      <c r="R3712" s="193" t="s">
        <v>2722</v>
      </c>
      <c r="S3712" s="357" t="s">
        <v>7345</v>
      </c>
      <c r="T3712" s="190"/>
      <c r="U3712" s="190"/>
      <c r="V3712" s="190"/>
      <c r="W3712" s="317" t="s">
        <v>13002</v>
      </c>
      <c r="X3712" s="662" t="s">
        <v>12444</v>
      </c>
      <c r="Y3712" s="357" t="s">
        <v>5643</v>
      </c>
      <c r="Z3712" s="192">
        <v>999</v>
      </c>
      <c r="AA3712" s="192"/>
      <c r="AB3712" s="37">
        <f t="shared" ca="1" si="94"/>
        <v>0.69774432922472596</v>
      </c>
      <c r="AC3712" s="816"/>
      <c r="AD3712" s="817"/>
      <c r="AE3712" s="943"/>
      <c r="AF3712" s="924">
        <f>IF(X3712=X3711,AF3711,0)+IF(ISNUMBER(I3712),IF(I3712&lt;1,I3712,I3712*VLOOKUP(J3712,Summary!$H$2:$I$9,2)),VLOOKUP(J3712,Summary!$J$2:$K$9,2)*IF(ISNUMBER(H3712),H3712,1))</f>
        <v>0.29603009259259255</v>
      </c>
      <c r="AG3712" s="292">
        <v>3711</v>
      </c>
      <c r="AH3712" s="94"/>
      <c r="AI3712" s="94"/>
      <c r="AJ3712" s="3"/>
    </row>
    <row r="3713" spans="1:36" s="43" customFormat="1" ht="12" customHeight="1" x14ac:dyDescent="0.25">
      <c r="A3713" s="570" t="s">
        <v>1561</v>
      </c>
      <c r="B3713" s="570">
        <v>8</v>
      </c>
      <c r="C3713" s="576">
        <v>3.08</v>
      </c>
      <c r="D3713" s="192" t="s">
        <v>5168</v>
      </c>
      <c r="E3713" s="317" t="s">
        <v>426</v>
      </c>
      <c r="F3713" s="191">
        <v>40664</v>
      </c>
      <c r="G3713" s="191"/>
      <c r="H3713" s="192">
        <v>1</v>
      </c>
      <c r="I3713" s="753">
        <f>TIME(0,12,36)</f>
        <v>8.7499999999999991E-3</v>
      </c>
      <c r="J3713" s="903" t="s">
        <v>2755</v>
      </c>
      <c r="K3713" s="194" t="s">
        <v>2699</v>
      </c>
      <c r="L3713" s="194"/>
      <c r="M3713" s="194" t="s">
        <v>499</v>
      </c>
      <c r="N3713" s="194"/>
      <c r="O3713" s="194"/>
      <c r="P3713" s="190" t="s">
        <v>5600</v>
      </c>
      <c r="Q3713" s="194" t="s">
        <v>3947</v>
      </c>
      <c r="R3713" s="193" t="s">
        <v>2722</v>
      </c>
      <c r="S3713" s="357" t="s">
        <v>7345</v>
      </c>
      <c r="T3713" s="190"/>
      <c r="U3713" s="190"/>
      <c r="V3713" s="190"/>
      <c r="W3713" s="317" t="s">
        <v>426</v>
      </c>
      <c r="X3713" s="662" t="s">
        <v>12444</v>
      </c>
      <c r="Y3713" s="357" t="s">
        <v>5643</v>
      </c>
      <c r="Z3713" s="192">
        <v>999</v>
      </c>
      <c r="AA3713" s="192"/>
      <c r="AB3713" s="37">
        <f t="shared" ca="1" si="94"/>
        <v>0.38386394144169012</v>
      </c>
      <c r="AC3713" s="816"/>
      <c r="AD3713" s="817"/>
      <c r="AE3713" s="943"/>
      <c r="AF3713" s="924">
        <f>IF(X3713=X3712,AF3712,0)+IF(ISNUMBER(I3713),IF(I3713&lt;1,I3713,I3713*VLOOKUP(J3713,Summary!$H$2:$I$9,2)),VLOOKUP(J3713,Summary!$J$2:$K$9,2)*IF(ISNUMBER(H3713),H3713,1))</f>
        <v>0.30478009259259253</v>
      </c>
      <c r="AG3713" s="292">
        <v>3712</v>
      </c>
      <c r="AH3713" s="94"/>
      <c r="AI3713" s="94"/>
      <c r="AJ3713" s="3"/>
    </row>
    <row r="3714" spans="1:36" s="43" customFormat="1" ht="12" customHeight="1" x14ac:dyDescent="0.25">
      <c r="A3714" s="573" t="s">
        <v>1561</v>
      </c>
      <c r="B3714" s="573">
        <v>8</v>
      </c>
      <c r="C3714" s="573">
        <v>3.7</v>
      </c>
      <c r="D3714" s="407" t="s">
        <v>5246</v>
      </c>
      <c r="E3714" s="315" t="s">
        <v>3362</v>
      </c>
      <c r="F3714" s="196">
        <v>40086</v>
      </c>
      <c r="G3714" s="196">
        <v>40117</v>
      </c>
      <c r="H3714" s="170">
        <v>4</v>
      </c>
      <c r="I3714" s="746">
        <f>TIME(0,54,21)+TIME(1,0,26)</f>
        <v>7.9710648148148155E-2</v>
      </c>
      <c r="J3714" s="899" t="s">
        <v>4706</v>
      </c>
      <c r="K3714" s="167" t="s">
        <v>6353</v>
      </c>
      <c r="L3714" s="167" t="s">
        <v>4549</v>
      </c>
      <c r="M3714" s="167"/>
      <c r="N3714" s="167"/>
      <c r="O3714" s="167"/>
      <c r="P3714" s="168" t="s">
        <v>9223</v>
      </c>
      <c r="Q3714" s="167" t="s">
        <v>3947</v>
      </c>
      <c r="R3714" s="172" t="s">
        <v>15463</v>
      </c>
      <c r="S3714" s="388" t="s">
        <v>7345</v>
      </c>
      <c r="T3714" s="168"/>
      <c r="U3714" s="168"/>
      <c r="V3714" s="168"/>
      <c r="W3714" s="312" t="s">
        <v>9543</v>
      </c>
      <c r="X3714" s="647" t="s">
        <v>12444</v>
      </c>
      <c r="Y3714" s="352" t="s">
        <v>5643</v>
      </c>
      <c r="Z3714" s="353">
        <v>369</v>
      </c>
      <c r="AA3714" s="353">
        <v>5</v>
      </c>
      <c r="AB3714" s="31">
        <f t="shared" ref="AB3714:AB3777" ca="1" si="95">RAND()</f>
        <v>0.91628603583464929</v>
      </c>
      <c r="AC3714" s="810"/>
      <c r="AD3714" s="811" t="s">
        <v>16081</v>
      </c>
      <c r="AE3714" s="940"/>
      <c r="AF3714" s="920">
        <f>IF(X3714=X3713,AF3713,0)+IF(ISNUMBER(I3714),IF(I3714&lt;1,I3714,I3714*VLOOKUP(J3714,Summary!$H$2:$I$9,2)),VLOOKUP(J3714,Summary!$J$2:$K$9,2)*IF(ISNUMBER(H3714),H3714,1))</f>
        <v>0.38449074074074069</v>
      </c>
      <c r="AG3714" s="287">
        <v>3713</v>
      </c>
      <c r="AH3714" s="94"/>
      <c r="AI3714" s="94"/>
      <c r="AJ3714" s="3"/>
    </row>
    <row r="3715" spans="1:36" s="43" customFormat="1" ht="12" customHeight="1" x14ac:dyDescent="0.25">
      <c r="A3715" s="573" t="s">
        <v>1562</v>
      </c>
      <c r="B3715" s="573">
        <v>8</v>
      </c>
      <c r="C3715" s="573">
        <v>4.0999999999999996</v>
      </c>
      <c r="D3715" s="407" t="s">
        <v>3363</v>
      </c>
      <c r="E3715" s="315" t="s">
        <v>3364</v>
      </c>
      <c r="F3715" s="196">
        <v>40178</v>
      </c>
      <c r="G3715" s="170"/>
      <c r="H3715" s="170">
        <v>2</v>
      </c>
      <c r="I3715" s="746">
        <f>TIME(0,58,55)</f>
        <v>4.0914351851851848E-2</v>
      </c>
      <c r="J3715" s="899" t="s">
        <v>4706</v>
      </c>
      <c r="K3715" s="167" t="s">
        <v>7374</v>
      </c>
      <c r="L3715" s="167" t="s">
        <v>3296</v>
      </c>
      <c r="M3715" s="167"/>
      <c r="N3715" s="167"/>
      <c r="O3715" s="167"/>
      <c r="P3715" s="168" t="s">
        <v>9224</v>
      </c>
      <c r="Q3715" s="167" t="s">
        <v>3947</v>
      </c>
      <c r="R3715" s="172" t="s">
        <v>15463</v>
      </c>
      <c r="S3715" s="388" t="s">
        <v>7345</v>
      </c>
      <c r="T3715" s="168"/>
      <c r="U3715" s="168"/>
      <c r="V3715" s="168"/>
      <c r="W3715" s="315" t="s">
        <v>9544</v>
      </c>
      <c r="X3715" s="647" t="s">
        <v>12445</v>
      </c>
      <c r="Y3715" s="352" t="s">
        <v>5643</v>
      </c>
      <c r="Z3715" s="353">
        <v>140</v>
      </c>
      <c r="AA3715" s="353">
        <v>6.5</v>
      </c>
      <c r="AB3715" s="31">
        <f t="shared" ca="1" si="95"/>
        <v>0.52401332162669234</v>
      </c>
      <c r="AC3715" s="810"/>
      <c r="AD3715" s="825" t="s">
        <v>14905</v>
      </c>
      <c r="AE3715" s="948"/>
      <c r="AF3715" s="920">
        <f>IF(X3715=X3714,AF3714,0)+IF(ISNUMBER(I3715),IF(I3715&lt;1,I3715,I3715*VLOOKUP(J3715,Summary!$H$2:$I$9,2)),VLOOKUP(J3715,Summary!$J$2:$K$9,2)*IF(ISNUMBER(H3715),H3715,1))</f>
        <v>4.0914351851851848E-2</v>
      </c>
      <c r="AG3715" s="287">
        <v>3714</v>
      </c>
      <c r="AH3715" s="94"/>
      <c r="AI3715" s="94"/>
      <c r="AJ3715" s="3"/>
    </row>
    <row r="3716" spans="1:36" s="43" customFormat="1" ht="12" customHeight="1" x14ac:dyDescent="0.25">
      <c r="A3716" s="573" t="s">
        <v>1562</v>
      </c>
      <c r="B3716" s="573">
        <v>8</v>
      </c>
      <c r="C3716" s="573">
        <v>8</v>
      </c>
      <c r="D3716" s="407" t="s">
        <v>11116</v>
      </c>
      <c r="E3716" s="315" t="s">
        <v>5307</v>
      </c>
      <c r="F3716" s="169">
        <v>40148</v>
      </c>
      <c r="G3716" s="170"/>
      <c r="H3716" s="170">
        <v>1</v>
      </c>
      <c r="I3716" s="746">
        <f>TIME(0,67,18)</f>
        <v>4.673611111111111E-2</v>
      </c>
      <c r="J3716" s="899" t="s">
        <v>4706</v>
      </c>
      <c r="K3716" s="167" t="s">
        <v>941</v>
      </c>
      <c r="L3716" s="167" t="s">
        <v>4549</v>
      </c>
      <c r="M3716" s="167"/>
      <c r="N3716" s="167"/>
      <c r="O3716" s="167"/>
      <c r="P3716" s="168" t="s">
        <v>8638</v>
      </c>
      <c r="Q3716" s="167" t="s">
        <v>3947</v>
      </c>
      <c r="R3716" s="172" t="s">
        <v>576</v>
      </c>
      <c r="S3716" s="388"/>
      <c r="T3716" s="168" t="s">
        <v>2326</v>
      </c>
      <c r="U3716" s="168"/>
      <c r="V3716" s="168" t="s">
        <v>3065</v>
      </c>
      <c r="W3716" s="312" t="s">
        <v>5307</v>
      </c>
      <c r="X3716" s="647" t="s">
        <v>12445</v>
      </c>
      <c r="Y3716" s="352" t="s">
        <v>5398</v>
      </c>
      <c r="Z3716" s="353">
        <v>224</v>
      </c>
      <c r="AA3716" s="353">
        <v>6</v>
      </c>
      <c r="AB3716" s="31">
        <f t="shared" ca="1" si="95"/>
        <v>0.69409122011570501</v>
      </c>
      <c r="AC3716" s="810"/>
      <c r="AD3716" s="811" t="s">
        <v>16138</v>
      </c>
      <c r="AE3716" s="940" t="s">
        <v>12543</v>
      </c>
      <c r="AF3716" s="920">
        <f>IF(X3716=X3715,AF3715,0)+IF(ISNUMBER(I3716),IF(I3716&lt;1,I3716,I3716*VLOOKUP(J3716,Summary!$H$2:$I$9,2)),VLOOKUP(J3716,Summary!$J$2:$K$9,2)*IF(ISNUMBER(H3716),H3716,1))</f>
        <v>8.7650462962962958E-2</v>
      </c>
      <c r="AG3716" s="287">
        <v>3715</v>
      </c>
      <c r="AH3716" s="94"/>
      <c r="AI3716" s="94"/>
      <c r="AJ3716" s="3"/>
    </row>
    <row r="3717" spans="1:36" s="43" customFormat="1" ht="12" customHeight="1" x14ac:dyDescent="0.25">
      <c r="A3717" s="570" t="s">
        <v>1562</v>
      </c>
      <c r="B3717" s="570">
        <v>8</v>
      </c>
      <c r="C3717" s="576">
        <v>1.08</v>
      </c>
      <c r="D3717" s="192" t="s">
        <v>3853</v>
      </c>
      <c r="E3717" s="317" t="s">
        <v>1976</v>
      </c>
      <c r="F3717" s="191">
        <v>40483</v>
      </c>
      <c r="G3717" s="191"/>
      <c r="H3717" s="192">
        <v>1</v>
      </c>
      <c r="I3717" s="753">
        <f>TIME(0,16,14)</f>
        <v>1.1273148148148148E-2</v>
      </c>
      <c r="J3717" s="903" t="s">
        <v>2755</v>
      </c>
      <c r="K3717" s="194" t="s">
        <v>1985</v>
      </c>
      <c r="L3717" s="194" t="s">
        <v>3426</v>
      </c>
      <c r="M3717" s="194" t="s">
        <v>499</v>
      </c>
      <c r="N3717" s="194"/>
      <c r="O3717" s="194"/>
      <c r="P3717" s="190" t="s">
        <v>5599</v>
      </c>
      <c r="Q3717" s="194" t="s">
        <v>3947</v>
      </c>
      <c r="R3717" s="193" t="s">
        <v>2722</v>
      </c>
      <c r="S3717" s="357"/>
      <c r="T3717" s="190"/>
      <c r="U3717" s="190"/>
      <c r="V3717" s="190"/>
      <c r="W3717" s="317" t="s">
        <v>1976</v>
      </c>
      <c r="X3717" s="662" t="s">
        <v>12445</v>
      </c>
      <c r="Y3717" s="357" t="s">
        <v>5643</v>
      </c>
      <c r="Z3717" s="192">
        <v>999</v>
      </c>
      <c r="AA3717" s="192"/>
      <c r="AB3717" s="37">
        <f t="shared" ca="1" si="95"/>
        <v>0.27122856997840905</v>
      </c>
      <c r="AC3717" s="816"/>
      <c r="AD3717" s="817"/>
      <c r="AE3717" s="943"/>
      <c r="AF3717" s="924">
        <f>IF(X3717=X3716,AF3716,0)+IF(ISNUMBER(I3717),IF(I3717&lt;1,I3717,I3717*VLOOKUP(J3717,Summary!$H$2:$I$9,2)),VLOOKUP(J3717,Summary!$J$2:$K$9,2)*IF(ISNUMBER(H3717),H3717,1))</f>
        <v>9.8923611111111101E-2</v>
      </c>
      <c r="AG3717" s="292">
        <v>3716</v>
      </c>
      <c r="AH3717" s="94"/>
      <c r="AI3717" s="94"/>
    </row>
    <row r="3718" spans="1:36" s="9" customFormat="1" ht="12" customHeight="1" x14ac:dyDescent="0.25">
      <c r="A3718" s="573" t="s">
        <v>1562</v>
      </c>
      <c r="B3718" s="573">
        <v>8</v>
      </c>
      <c r="C3718" s="573">
        <v>4.2</v>
      </c>
      <c r="D3718" s="407" t="s">
        <v>6625</v>
      </c>
      <c r="E3718" s="315" t="s">
        <v>7427</v>
      </c>
      <c r="F3718" s="169">
        <v>40360</v>
      </c>
      <c r="G3718" s="170"/>
      <c r="H3718" s="170">
        <v>2</v>
      </c>
      <c r="I3718" s="746">
        <f>TIME(1,1,28)</f>
        <v>4.2685185185185187E-2</v>
      </c>
      <c r="J3718" s="899" t="s">
        <v>4706</v>
      </c>
      <c r="K3718" s="167" t="s">
        <v>6353</v>
      </c>
      <c r="L3718" s="167" t="s">
        <v>4549</v>
      </c>
      <c r="M3718" s="167"/>
      <c r="N3718" s="167"/>
      <c r="O3718" s="167" t="s">
        <v>2302</v>
      </c>
      <c r="P3718" s="168" t="s">
        <v>9225</v>
      </c>
      <c r="Q3718" s="167" t="s">
        <v>3947</v>
      </c>
      <c r="R3718" s="172" t="s">
        <v>15463</v>
      </c>
      <c r="S3718" s="388"/>
      <c r="T3718" s="168"/>
      <c r="U3718" s="168"/>
      <c r="V3718" s="168"/>
      <c r="W3718" s="315" t="s">
        <v>9545</v>
      </c>
      <c r="X3718" s="647" t="s">
        <v>12445</v>
      </c>
      <c r="Y3718" s="352" t="s">
        <v>5643</v>
      </c>
      <c r="Z3718" s="353">
        <v>231</v>
      </c>
      <c r="AA3718" s="353">
        <v>6</v>
      </c>
      <c r="AB3718" s="31">
        <f t="shared" ca="1" si="95"/>
        <v>0.46897413127835708</v>
      </c>
      <c r="AC3718" s="810"/>
      <c r="AD3718" s="811" t="s">
        <v>15875</v>
      </c>
      <c r="AE3718" s="948"/>
      <c r="AF3718" s="920">
        <f>IF(X3718=X3717,AF3717,0)+IF(ISNUMBER(I3718),IF(I3718&lt;1,I3718,I3718*VLOOKUP(J3718,Summary!$H$2:$I$9,2)),VLOOKUP(J3718,Summary!$J$2:$K$9,2)*IF(ISNUMBER(H3718),H3718,1))</f>
        <v>0.1416087962962963</v>
      </c>
      <c r="AG3718" s="287">
        <v>3717</v>
      </c>
      <c r="AH3718" s="94"/>
      <c r="AI3718" s="94"/>
      <c r="AJ3718" s="3"/>
    </row>
    <row r="3719" spans="1:36" s="2" customFormat="1" ht="12" customHeight="1" x14ac:dyDescent="0.25">
      <c r="A3719" s="573" t="s">
        <v>1562</v>
      </c>
      <c r="B3719" s="573">
        <v>8</v>
      </c>
      <c r="C3719" s="573">
        <v>4.3</v>
      </c>
      <c r="D3719" s="407" t="s">
        <v>6626</v>
      </c>
      <c r="E3719" s="315" t="s">
        <v>7428</v>
      </c>
      <c r="F3719" s="169">
        <v>40391</v>
      </c>
      <c r="G3719" s="170"/>
      <c r="H3719" s="170">
        <v>2</v>
      </c>
      <c r="I3719" s="746">
        <f>TIME(1,3,22)</f>
        <v>4.4004629629629623E-2</v>
      </c>
      <c r="J3719" s="899" t="s">
        <v>4706</v>
      </c>
      <c r="K3719" s="167" t="s">
        <v>7374</v>
      </c>
      <c r="L3719" s="167" t="s">
        <v>3296</v>
      </c>
      <c r="M3719" s="167"/>
      <c r="N3719" s="167"/>
      <c r="O3719" s="167" t="s">
        <v>2302</v>
      </c>
      <c r="P3719" s="168" t="s">
        <v>9226</v>
      </c>
      <c r="Q3719" s="167" t="s">
        <v>3947</v>
      </c>
      <c r="R3719" s="172" t="s">
        <v>15463</v>
      </c>
      <c r="S3719" s="388"/>
      <c r="T3719" s="168"/>
      <c r="U3719" s="168" t="s">
        <v>3066</v>
      </c>
      <c r="V3719" s="168"/>
      <c r="W3719" s="315" t="s">
        <v>9547</v>
      </c>
      <c r="X3719" s="647" t="s">
        <v>12445</v>
      </c>
      <c r="Y3719" s="352" t="s">
        <v>5643</v>
      </c>
      <c r="Z3719" s="353">
        <v>585</v>
      </c>
      <c r="AA3719" s="353">
        <v>3.5</v>
      </c>
      <c r="AB3719" s="31">
        <f t="shared" ca="1" si="95"/>
        <v>0.31662658329594695</v>
      </c>
      <c r="AC3719" s="810"/>
      <c r="AD3719" s="811" t="s">
        <v>16581</v>
      </c>
      <c r="AE3719" s="948"/>
      <c r="AF3719" s="920">
        <f>IF(X3719=X3718,AF3718,0)+IF(ISNUMBER(I3719),IF(I3719&lt;1,I3719,I3719*VLOOKUP(J3719,Summary!$H$2:$I$9,2)),VLOOKUP(J3719,Summary!$J$2:$K$9,2)*IF(ISNUMBER(H3719),H3719,1))</f>
        <v>0.18561342592592592</v>
      </c>
      <c r="AG3719" s="287">
        <v>3718</v>
      </c>
      <c r="AH3719" s="94"/>
      <c r="AI3719" s="94"/>
      <c r="AJ3719" s="3"/>
    </row>
    <row r="3720" spans="1:36" s="2" customFormat="1" ht="12" customHeight="1" x14ac:dyDescent="0.25">
      <c r="A3720" s="573" t="s">
        <v>1562</v>
      </c>
      <c r="B3720" s="573">
        <v>8</v>
      </c>
      <c r="C3720" s="573">
        <v>4.4000000000000004</v>
      </c>
      <c r="D3720" s="407" t="s">
        <v>6627</v>
      </c>
      <c r="E3720" s="315" t="s">
        <v>7429</v>
      </c>
      <c r="F3720" s="169">
        <v>40422</v>
      </c>
      <c r="G3720" s="170"/>
      <c r="H3720" s="170">
        <v>2</v>
      </c>
      <c r="I3720" s="746">
        <f>TIME(1,2,15)</f>
        <v>4.3229166666666673E-2</v>
      </c>
      <c r="J3720" s="899" t="s">
        <v>4706</v>
      </c>
      <c r="K3720" s="167" t="s">
        <v>3296</v>
      </c>
      <c r="L3720" s="167" t="s">
        <v>3296</v>
      </c>
      <c r="M3720" s="167"/>
      <c r="N3720" s="167"/>
      <c r="O3720" s="167"/>
      <c r="P3720" s="168" t="s">
        <v>9227</v>
      </c>
      <c r="Q3720" s="167" t="s">
        <v>3947</v>
      </c>
      <c r="R3720" s="172" t="s">
        <v>15463</v>
      </c>
      <c r="S3720" s="388" t="s">
        <v>7345</v>
      </c>
      <c r="T3720" s="168"/>
      <c r="U3720" s="168" t="s">
        <v>3066</v>
      </c>
      <c r="V3720" s="168"/>
      <c r="W3720" s="315" t="s">
        <v>9548</v>
      </c>
      <c r="X3720" s="647" t="s">
        <v>12445</v>
      </c>
      <c r="Y3720" s="352" t="s">
        <v>5643</v>
      </c>
      <c r="Z3720" s="353">
        <v>446</v>
      </c>
      <c r="AA3720" s="353">
        <v>4.5</v>
      </c>
      <c r="AB3720" s="31">
        <f t="shared" ca="1" si="95"/>
        <v>0.85714917330629947</v>
      </c>
      <c r="AC3720" s="810"/>
      <c r="AD3720" s="825" t="s">
        <v>15071</v>
      </c>
      <c r="AE3720" s="948"/>
      <c r="AF3720" s="920">
        <f>IF(X3720=X3719,AF3719,0)+IF(ISNUMBER(I3720),IF(I3720&lt;1,I3720,I3720*VLOOKUP(J3720,Summary!$H$2:$I$9,2)),VLOOKUP(J3720,Summary!$J$2:$K$9,2)*IF(ISNUMBER(H3720),H3720,1))</f>
        <v>0.2288425925925926</v>
      </c>
      <c r="AG3720" s="287">
        <v>3719</v>
      </c>
      <c r="AH3720" s="94"/>
      <c r="AI3720" s="94"/>
      <c r="AJ3720" s="3"/>
    </row>
    <row r="3721" spans="1:36" s="2" customFormat="1" ht="12" customHeight="1" x14ac:dyDescent="0.25">
      <c r="A3721" s="573" t="s">
        <v>1562</v>
      </c>
      <c r="B3721" s="573">
        <v>8</v>
      </c>
      <c r="C3721" s="573">
        <v>4.5</v>
      </c>
      <c r="D3721" s="407" t="s">
        <v>6628</v>
      </c>
      <c r="E3721" s="315" t="s">
        <v>7430</v>
      </c>
      <c r="F3721" s="169">
        <v>40452</v>
      </c>
      <c r="G3721" s="169">
        <v>40483</v>
      </c>
      <c r="H3721" s="170">
        <v>4</v>
      </c>
      <c r="I3721" s="746">
        <f>TIME(0,56,16)+TIME(0,56,9)</f>
        <v>7.8067129629629625E-2</v>
      </c>
      <c r="J3721" s="899" t="s">
        <v>4706</v>
      </c>
      <c r="K3721" s="167" t="s">
        <v>177</v>
      </c>
      <c r="L3721" s="167" t="s">
        <v>3296</v>
      </c>
      <c r="M3721" s="167"/>
      <c r="N3721" s="167"/>
      <c r="O3721" s="167"/>
      <c r="P3721" s="168" t="s">
        <v>9228</v>
      </c>
      <c r="Q3721" s="167" t="s">
        <v>3947</v>
      </c>
      <c r="R3721" s="172" t="s">
        <v>15463</v>
      </c>
      <c r="S3721" s="388" t="s">
        <v>7345</v>
      </c>
      <c r="T3721" s="168"/>
      <c r="U3721" s="168" t="s">
        <v>3066</v>
      </c>
      <c r="V3721" s="168"/>
      <c r="W3721" s="312" t="s">
        <v>9549</v>
      </c>
      <c r="X3721" s="647" t="s">
        <v>12445</v>
      </c>
      <c r="Y3721" s="352" t="s">
        <v>5643</v>
      </c>
      <c r="Z3721" s="353">
        <v>572</v>
      </c>
      <c r="AA3721" s="353">
        <v>3.5</v>
      </c>
      <c r="AB3721" s="31">
        <f t="shared" ca="1" si="95"/>
        <v>0.73006306524716746</v>
      </c>
      <c r="AC3721" s="810"/>
      <c r="AD3721" s="811" t="s">
        <v>16373</v>
      </c>
      <c r="AE3721" s="940" t="s">
        <v>16126</v>
      </c>
      <c r="AF3721" s="920">
        <f>IF(X3721=X3720,AF3720,0)+IF(ISNUMBER(I3721),IF(I3721&lt;1,I3721,I3721*VLOOKUP(J3721,Summary!$H$2:$I$9,2)),VLOOKUP(J3721,Summary!$J$2:$K$9,2)*IF(ISNUMBER(H3721),H3721,1))</f>
        <v>0.30690972222222224</v>
      </c>
      <c r="AG3721" s="287">
        <v>3720</v>
      </c>
      <c r="AH3721" s="94"/>
      <c r="AI3721" s="94"/>
      <c r="AJ3721" s="3"/>
    </row>
    <row r="3722" spans="1:36" s="43" customFormat="1" ht="12" customHeight="1" x14ac:dyDescent="0.25">
      <c r="A3722" s="573" t="s">
        <v>1562</v>
      </c>
      <c r="B3722" s="573">
        <v>8</v>
      </c>
      <c r="C3722" s="573">
        <v>4.7</v>
      </c>
      <c r="D3722" s="407" t="s">
        <v>6629</v>
      </c>
      <c r="E3722" s="315" t="s">
        <v>1846</v>
      </c>
      <c r="F3722" s="169">
        <v>40513</v>
      </c>
      <c r="G3722" s="170"/>
      <c r="H3722" s="170">
        <v>2</v>
      </c>
      <c r="I3722" s="746">
        <f>TIME(0,59,6)</f>
        <v>4.1041666666666664E-2</v>
      </c>
      <c r="J3722" s="899" t="s">
        <v>4706</v>
      </c>
      <c r="K3722" s="167" t="s">
        <v>941</v>
      </c>
      <c r="L3722" s="167" t="s">
        <v>3296</v>
      </c>
      <c r="M3722" s="167"/>
      <c r="N3722" s="167"/>
      <c r="O3722" s="167"/>
      <c r="P3722" s="168" t="s">
        <v>9229</v>
      </c>
      <c r="Q3722" s="167" t="s">
        <v>3947</v>
      </c>
      <c r="R3722" s="172" t="s">
        <v>15463</v>
      </c>
      <c r="S3722" s="388" t="s">
        <v>7345</v>
      </c>
      <c r="T3722" s="168" t="s">
        <v>2326</v>
      </c>
      <c r="U3722" s="168"/>
      <c r="V3722" s="168" t="s">
        <v>3065</v>
      </c>
      <c r="W3722" s="315" t="s">
        <v>9550</v>
      </c>
      <c r="X3722" s="647" t="s">
        <v>12445</v>
      </c>
      <c r="Y3722" s="352" t="s">
        <v>5643</v>
      </c>
      <c r="Z3722" s="353">
        <v>95</v>
      </c>
      <c r="AA3722" s="353">
        <v>7.5</v>
      </c>
      <c r="AB3722" s="31">
        <f t="shared" ca="1" si="95"/>
        <v>0.29827508195681496</v>
      </c>
      <c r="AC3722" s="810"/>
      <c r="AD3722" s="811" t="s">
        <v>16139</v>
      </c>
      <c r="AE3722" s="948" t="s">
        <v>12543</v>
      </c>
      <c r="AF3722" s="920">
        <f>IF(X3722=X3721,AF3721,0)+IF(ISNUMBER(I3722),IF(I3722&lt;1,I3722,I3722*VLOOKUP(J3722,Summary!$H$2:$I$9,2)),VLOOKUP(J3722,Summary!$J$2:$K$9,2)*IF(ISNUMBER(H3722),H3722,1))</f>
        <v>0.34795138888888888</v>
      </c>
      <c r="AG3722" s="287">
        <v>3721</v>
      </c>
      <c r="AH3722" s="94"/>
      <c r="AI3722" s="94"/>
      <c r="AJ3722" s="22"/>
    </row>
    <row r="3723" spans="1:36" s="2" customFormat="1" ht="12" customHeight="1" x14ac:dyDescent="0.25">
      <c r="A3723" s="573" t="s">
        <v>1562</v>
      </c>
      <c r="B3723" s="573">
        <v>8</v>
      </c>
      <c r="C3723" s="573">
        <v>9</v>
      </c>
      <c r="D3723" s="407" t="s">
        <v>11115</v>
      </c>
      <c r="E3723" s="315" t="s">
        <v>5145</v>
      </c>
      <c r="F3723" s="169">
        <v>40513</v>
      </c>
      <c r="G3723" s="170"/>
      <c r="H3723" s="170">
        <v>4</v>
      </c>
      <c r="I3723" s="746">
        <f>TIME(0,71,48)</f>
        <v>4.9861111111111106E-2</v>
      </c>
      <c r="J3723" s="899" t="s">
        <v>4706</v>
      </c>
      <c r="K3723" s="167" t="s">
        <v>4551</v>
      </c>
      <c r="L3723" s="167" t="s">
        <v>3426</v>
      </c>
      <c r="M3723" s="167"/>
      <c r="N3723" s="167"/>
      <c r="O3723" s="167"/>
      <c r="P3723" s="168" t="s">
        <v>461</v>
      </c>
      <c r="Q3723" s="167" t="s">
        <v>3947</v>
      </c>
      <c r="R3723" s="172" t="s">
        <v>576</v>
      </c>
      <c r="S3723" s="388"/>
      <c r="T3723" s="168">
        <v>5</v>
      </c>
      <c r="U3723" s="168">
        <v>6</v>
      </c>
      <c r="V3723" s="168">
        <v>7</v>
      </c>
      <c r="W3723" s="312" t="s">
        <v>8438</v>
      </c>
      <c r="X3723" s="647" t="s">
        <v>12445</v>
      </c>
      <c r="Y3723" s="352" t="s">
        <v>5643</v>
      </c>
      <c r="Z3723" s="353">
        <v>479</v>
      </c>
      <c r="AA3723" s="353">
        <v>4</v>
      </c>
      <c r="AB3723" s="40">
        <f t="shared" ca="1" si="95"/>
        <v>0.94187603280098475</v>
      </c>
      <c r="AC3723" s="810"/>
      <c r="AD3723" s="811" t="s">
        <v>16585</v>
      </c>
      <c r="AE3723" s="940"/>
      <c r="AF3723" s="920">
        <f>IF(X3723=X3722,AF3722,0)+IF(ISNUMBER(I3723),IF(I3723&lt;1,I3723,I3723*VLOOKUP(J3723,Summary!$H$2:$I$9,2)),VLOOKUP(J3723,Summary!$J$2:$K$9,2)*IF(ISNUMBER(H3723),H3723,1))</f>
        <v>0.39781250000000001</v>
      </c>
      <c r="AG3723" s="287">
        <v>3722</v>
      </c>
      <c r="AH3723" s="94"/>
      <c r="AI3723" s="94"/>
      <c r="AJ3723" s="3"/>
    </row>
    <row r="3724" spans="1:36" s="2" customFormat="1" ht="12" customHeight="1" x14ac:dyDescent="0.25">
      <c r="A3724" s="573" t="s">
        <v>1562</v>
      </c>
      <c r="B3724" s="573">
        <v>8</v>
      </c>
      <c r="C3724" s="573">
        <v>4.8</v>
      </c>
      <c r="D3724" s="407" t="s">
        <v>1848</v>
      </c>
      <c r="E3724" s="315" t="s">
        <v>1847</v>
      </c>
      <c r="F3724" s="169">
        <v>40544</v>
      </c>
      <c r="G3724" s="170"/>
      <c r="H3724" s="170">
        <v>2</v>
      </c>
      <c r="I3724" s="746">
        <f>TIME(0,48,15)</f>
        <v>3.3506944444444443E-2</v>
      </c>
      <c r="J3724" s="899" t="s">
        <v>4706</v>
      </c>
      <c r="K3724" s="167" t="s">
        <v>6353</v>
      </c>
      <c r="L3724" s="167" t="s">
        <v>6354</v>
      </c>
      <c r="M3724" s="167"/>
      <c r="N3724" s="167"/>
      <c r="O3724" s="167"/>
      <c r="P3724" s="168" t="s">
        <v>9230</v>
      </c>
      <c r="Q3724" s="167" t="s">
        <v>3947</v>
      </c>
      <c r="R3724" s="172" t="s">
        <v>15463</v>
      </c>
      <c r="S3724" s="388"/>
      <c r="T3724" s="168"/>
      <c r="U3724" s="168"/>
      <c r="V3724" s="168"/>
      <c r="W3724" s="315" t="s">
        <v>9551</v>
      </c>
      <c r="X3724" s="647" t="s">
        <v>12445</v>
      </c>
      <c r="Y3724" s="352" t="s">
        <v>5643</v>
      </c>
      <c r="Z3724" s="353">
        <v>345</v>
      </c>
      <c r="AA3724" s="353">
        <v>5</v>
      </c>
      <c r="AB3724" s="31">
        <f t="shared" ca="1" si="95"/>
        <v>7.1965217205706034E-2</v>
      </c>
      <c r="AC3724" s="810"/>
      <c r="AD3724" s="811"/>
      <c r="AE3724" s="948"/>
      <c r="AF3724" s="920">
        <f>IF(X3724=X3723,AF3723,0)+IF(ISNUMBER(I3724),IF(I3724&lt;1,I3724,I3724*VLOOKUP(J3724,Summary!$H$2:$I$9,2)),VLOOKUP(J3724,Summary!$J$2:$K$9,2)*IF(ISNUMBER(H3724),H3724,1))</f>
        <v>0.43131944444444448</v>
      </c>
      <c r="AG3724" s="287">
        <v>3723</v>
      </c>
      <c r="AH3724" s="94"/>
      <c r="AI3724" s="94"/>
      <c r="AJ3724" s="3"/>
    </row>
    <row r="3725" spans="1:36" s="2" customFormat="1" ht="12" customHeight="1" x14ac:dyDescent="0.25">
      <c r="A3725" s="573" t="s">
        <v>1562</v>
      </c>
      <c r="B3725" s="573">
        <v>8</v>
      </c>
      <c r="C3725" s="573">
        <v>4.9000000000000004</v>
      </c>
      <c r="D3725" s="407" t="s">
        <v>6624</v>
      </c>
      <c r="E3725" s="315" t="s">
        <v>9553</v>
      </c>
      <c r="F3725" s="169">
        <v>40575</v>
      </c>
      <c r="G3725" s="169">
        <v>40603</v>
      </c>
      <c r="H3725" s="170">
        <v>4</v>
      </c>
      <c r="I3725" s="746">
        <f>TIME(0,53,12)+TIME(0,57,3)</f>
        <v>7.6562500000000006E-2</v>
      </c>
      <c r="J3725" s="899" t="s">
        <v>4706</v>
      </c>
      <c r="K3725" s="167" t="s">
        <v>4549</v>
      </c>
      <c r="L3725" s="167" t="s">
        <v>4549</v>
      </c>
      <c r="M3725" s="167"/>
      <c r="N3725" s="167"/>
      <c r="O3725" s="167"/>
      <c r="P3725" s="168" t="s">
        <v>9231</v>
      </c>
      <c r="Q3725" s="167" t="s">
        <v>3947</v>
      </c>
      <c r="R3725" s="172" t="s">
        <v>15463</v>
      </c>
      <c r="S3725" s="388" t="s">
        <v>7345</v>
      </c>
      <c r="T3725" s="168"/>
      <c r="U3725" s="168" t="s">
        <v>3066</v>
      </c>
      <c r="V3725" s="168" t="s">
        <v>3065</v>
      </c>
      <c r="W3725" s="312" t="s">
        <v>9552</v>
      </c>
      <c r="X3725" s="647" t="s">
        <v>12445</v>
      </c>
      <c r="Y3725" s="352" t="s">
        <v>5643</v>
      </c>
      <c r="Z3725" s="353">
        <v>25</v>
      </c>
      <c r="AA3725" s="353">
        <v>9</v>
      </c>
      <c r="AB3725" s="31">
        <f t="shared" ca="1" si="95"/>
        <v>0.90345512992034005</v>
      </c>
      <c r="AC3725" s="810"/>
      <c r="AD3725" s="811" t="s">
        <v>16140</v>
      </c>
      <c r="AE3725" s="940" t="s">
        <v>12543</v>
      </c>
      <c r="AF3725" s="920">
        <f>IF(X3725=X3724,AF3724,0)+IF(ISNUMBER(I3725),IF(I3725&lt;1,I3725,I3725*VLOOKUP(J3725,Summary!$H$2:$I$9,2)),VLOOKUP(J3725,Summary!$J$2:$K$9,2)*IF(ISNUMBER(H3725),H3725,1))</f>
        <v>0.50788194444444446</v>
      </c>
      <c r="AG3725" s="287">
        <v>3724</v>
      </c>
      <c r="AH3725" s="94"/>
      <c r="AI3725" s="94"/>
      <c r="AJ3725" s="3"/>
    </row>
    <row r="3726" spans="1:36" s="2" customFormat="1" ht="12" customHeight="1" x14ac:dyDescent="0.25">
      <c r="A3726" s="573" t="s">
        <v>7744</v>
      </c>
      <c r="B3726" s="573">
        <v>8</v>
      </c>
      <c r="C3726" s="573">
        <v>5.0999999999999996</v>
      </c>
      <c r="D3726" s="407" t="s">
        <v>10799</v>
      </c>
      <c r="E3726" s="315" t="s">
        <v>4518</v>
      </c>
      <c r="F3726" s="169">
        <v>41214</v>
      </c>
      <c r="G3726" s="169"/>
      <c r="H3726" s="170">
        <v>1</v>
      </c>
      <c r="I3726" s="746">
        <f>TIME(0,53,50)</f>
        <v>3.7384259259259263E-2</v>
      </c>
      <c r="J3726" s="899" t="s">
        <v>4706</v>
      </c>
      <c r="K3726" s="167" t="s">
        <v>4549</v>
      </c>
      <c r="L3726" s="167" t="s">
        <v>4549</v>
      </c>
      <c r="M3726" s="167"/>
      <c r="N3726" s="167"/>
      <c r="O3726" s="167" t="s">
        <v>2500</v>
      </c>
      <c r="P3726" s="168" t="s">
        <v>7745</v>
      </c>
      <c r="Q3726" s="167" t="s">
        <v>3947</v>
      </c>
      <c r="R3726" s="172" t="s">
        <v>15463</v>
      </c>
      <c r="S3726" s="388" t="s">
        <v>4517</v>
      </c>
      <c r="T3726" s="168"/>
      <c r="U3726" s="168"/>
      <c r="V3726" s="168"/>
      <c r="W3726" s="315" t="s">
        <v>4518</v>
      </c>
      <c r="X3726" s="647" t="s">
        <v>12442</v>
      </c>
      <c r="Y3726" s="352" t="s">
        <v>5643</v>
      </c>
      <c r="Z3726" s="353">
        <v>66</v>
      </c>
      <c r="AA3726" s="353">
        <v>8</v>
      </c>
      <c r="AB3726" s="31">
        <f t="shared" ca="1" si="95"/>
        <v>0.19761724663564562</v>
      </c>
      <c r="AC3726" s="810"/>
      <c r="AD3726" s="811"/>
      <c r="AE3726" s="948"/>
      <c r="AF3726" s="920">
        <f>IF(X3726=X3725,AF3725,0)+IF(ISNUMBER(I3726),IF(I3726&lt;1,I3726,I3726*VLOOKUP(J3726,Summary!$H$2:$I$9,2)),VLOOKUP(J3726,Summary!$J$2:$K$9,2)*IF(ISNUMBER(H3726),H3726,1))</f>
        <v>3.7384259259259263E-2</v>
      </c>
      <c r="AG3726" s="287">
        <v>3725</v>
      </c>
      <c r="AH3726" s="94"/>
      <c r="AI3726" s="94"/>
    </row>
    <row r="3727" spans="1:36" s="2" customFormat="1" ht="12" customHeight="1" x14ac:dyDescent="0.25">
      <c r="A3727" s="573" t="s">
        <v>7744</v>
      </c>
      <c r="B3727" s="573">
        <v>8</v>
      </c>
      <c r="C3727" s="573">
        <v>5.2</v>
      </c>
      <c r="D3727" s="407" t="s">
        <v>10800</v>
      </c>
      <c r="E3727" s="315" t="s">
        <v>4519</v>
      </c>
      <c r="F3727" s="169">
        <v>41214</v>
      </c>
      <c r="G3727" s="169"/>
      <c r="H3727" s="170">
        <v>1</v>
      </c>
      <c r="I3727" s="746">
        <f>TIME(0,50,17)</f>
        <v>3.4918981481481481E-2</v>
      </c>
      <c r="J3727" s="899" t="s">
        <v>4706</v>
      </c>
      <c r="K3727" s="167" t="s">
        <v>4549</v>
      </c>
      <c r="L3727" s="167" t="s">
        <v>4549</v>
      </c>
      <c r="M3727" s="167"/>
      <c r="N3727" s="167"/>
      <c r="O3727" s="167" t="s">
        <v>2500</v>
      </c>
      <c r="P3727" s="168" t="s">
        <v>7745</v>
      </c>
      <c r="Q3727" s="167" t="s">
        <v>3947</v>
      </c>
      <c r="R3727" s="172" t="s">
        <v>15463</v>
      </c>
      <c r="S3727" s="388" t="s">
        <v>4517</v>
      </c>
      <c r="T3727" s="168"/>
      <c r="U3727" s="168"/>
      <c r="V3727" s="168"/>
      <c r="W3727" s="315" t="s">
        <v>4519</v>
      </c>
      <c r="X3727" s="647" t="s">
        <v>12442</v>
      </c>
      <c r="Y3727" s="352" t="s">
        <v>5643</v>
      </c>
      <c r="Z3727" s="353">
        <v>574</v>
      </c>
      <c r="AA3727" s="353">
        <v>3.5</v>
      </c>
      <c r="AB3727" s="31">
        <f t="shared" ca="1" si="95"/>
        <v>0.58297545093150704</v>
      </c>
      <c r="AC3727" s="810"/>
      <c r="AD3727" s="811"/>
      <c r="AE3727" s="948"/>
      <c r="AF3727" s="920">
        <f>IF(X3727=X3726,AF3726,0)+IF(ISNUMBER(I3727),IF(I3727&lt;1,I3727,I3727*VLOOKUP(J3727,Summary!$H$2:$I$9,2)),VLOOKUP(J3727,Summary!$J$2:$K$9,2)*IF(ISNUMBER(H3727),H3727,1))</f>
        <v>7.2303240740740737E-2</v>
      </c>
      <c r="AG3727" s="287">
        <v>3726</v>
      </c>
      <c r="AH3727" s="94"/>
      <c r="AI3727" s="94"/>
    </row>
    <row r="3728" spans="1:36" s="3" customFormat="1" ht="12" customHeight="1" x14ac:dyDescent="0.25">
      <c r="A3728" s="573" t="s">
        <v>7744</v>
      </c>
      <c r="B3728" s="573">
        <v>8</v>
      </c>
      <c r="C3728" s="573">
        <v>5.3</v>
      </c>
      <c r="D3728" s="407" t="s">
        <v>10801</v>
      </c>
      <c r="E3728" s="315" t="s">
        <v>4520</v>
      </c>
      <c r="F3728" s="169">
        <v>41214</v>
      </c>
      <c r="G3728" s="169"/>
      <c r="H3728" s="170">
        <v>1</v>
      </c>
      <c r="I3728" s="746">
        <f>TIME(0,57,12)</f>
        <v>3.9722222222222221E-2</v>
      </c>
      <c r="J3728" s="899" t="s">
        <v>4706</v>
      </c>
      <c r="K3728" s="167" t="s">
        <v>4549</v>
      </c>
      <c r="L3728" s="167" t="s">
        <v>4549</v>
      </c>
      <c r="M3728" s="167"/>
      <c r="N3728" s="167"/>
      <c r="O3728" s="167" t="s">
        <v>2500</v>
      </c>
      <c r="P3728" s="168" t="s">
        <v>7745</v>
      </c>
      <c r="Q3728" s="167" t="s">
        <v>3947</v>
      </c>
      <c r="R3728" s="172" t="s">
        <v>15463</v>
      </c>
      <c r="S3728" s="388" t="s">
        <v>4517</v>
      </c>
      <c r="T3728" s="168"/>
      <c r="U3728" s="168"/>
      <c r="V3728" s="168"/>
      <c r="W3728" s="315" t="s">
        <v>4520</v>
      </c>
      <c r="X3728" s="647" t="s">
        <v>12442</v>
      </c>
      <c r="Y3728" s="352" t="s">
        <v>5643</v>
      </c>
      <c r="Z3728" s="353">
        <v>264</v>
      </c>
      <c r="AA3728" s="353">
        <v>5.5</v>
      </c>
      <c r="AB3728" s="31">
        <f t="shared" ca="1" si="95"/>
        <v>0.23983325808918177</v>
      </c>
      <c r="AC3728" s="810"/>
      <c r="AD3728" s="811"/>
      <c r="AE3728" s="948"/>
      <c r="AF3728" s="920">
        <f>IF(X3728=X3727,AF3727,0)+IF(ISNUMBER(I3728),IF(I3728&lt;1,I3728,I3728*VLOOKUP(J3728,Summary!$H$2:$I$9,2)),VLOOKUP(J3728,Summary!$J$2:$K$9,2)*IF(ISNUMBER(H3728),H3728,1))</f>
        <v>0.11202546296296295</v>
      </c>
      <c r="AG3728" s="287">
        <v>3727</v>
      </c>
      <c r="AH3728" s="94"/>
      <c r="AI3728" s="94"/>
      <c r="AJ3728" s="1"/>
    </row>
    <row r="3729" spans="1:36" s="43" customFormat="1" ht="12" customHeight="1" x14ac:dyDescent="0.25">
      <c r="A3729" s="573" t="s">
        <v>7744</v>
      </c>
      <c r="B3729" s="573">
        <v>8</v>
      </c>
      <c r="C3729" s="573">
        <v>5.4</v>
      </c>
      <c r="D3729" s="407" t="s">
        <v>10802</v>
      </c>
      <c r="E3729" s="336" t="s">
        <v>4521</v>
      </c>
      <c r="F3729" s="169">
        <v>41214</v>
      </c>
      <c r="G3729" s="169"/>
      <c r="H3729" s="170">
        <v>1</v>
      </c>
      <c r="I3729" s="746">
        <f>TIME(0,59,8)</f>
        <v>4.1064814814814811E-2</v>
      </c>
      <c r="J3729" s="899" t="s">
        <v>4706</v>
      </c>
      <c r="K3729" s="167" t="s">
        <v>4549</v>
      </c>
      <c r="L3729" s="167" t="s">
        <v>4549</v>
      </c>
      <c r="M3729" s="167"/>
      <c r="N3729" s="167"/>
      <c r="O3729" s="167" t="s">
        <v>2500</v>
      </c>
      <c r="P3729" s="168" t="s">
        <v>7745</v>
      </c>
      <c r="Q3729" s="167" t="s">
        <v>3947</v>
      </c>
      <c r="R3729" s="172" t="s">
        <v>15463</v>
      </c>
      <c r="S3729" s="388" t="s">
        <v>4517</v>
      </c>
      <c r="T3729" s="168"/>
      <c r="U3729" s="168"/>
      <c r="V3729" s="168"/>
      <c r="W3729" s="336" t="s">
        <v>4521</v>
      </c>
      <c r="X3729" s="647" t="s">
        <v>12442</v>
      </c>
      <c r="Y3729" s="352" t="s">
        <v>5643</v>
      </c>
      <c r="Z3729" s="353">
        <v>629</v>
      </c>
      <c r="AA3729" s="353">
        <v>3</v>
      </c>
      <c r="AB3729" s="31">
        <f t="shared" ca="1" si="95"/>
        <v>0.47403379629163178</v>
      </c>
      <c r="AC3729" s="810"/>
      <c r="AD3729" s="811"/>
      <c r="AE3729" s="945"/>
      <c r="AF3729" s="920">
        <f>IF(X3729=X3728,AF3728,0)+IF(ISNUMBER(I3729),IF(I3729&lt;1,I3729,I3729*VLOOKUP(J3729,Summary!$H$2:$I$9,2)),VLOOKUP(J3729,Summary!$J$2:$K$9,2)*IF(ISNUMBER(H3729),H3729,1))</f>
        <v>0.15309027777777776</v>
      </c>
      <c r="AG3729" s="287">
        <v>3728</v>
      </c>
      <c r="AH3729" s="94"/>
      <c r="AI3729" s="94"/>
    </row>
    <row r="3730" spans="1:36" s="43" customFormat="1" ht="12" customHeight="1" x14ac:dyDescent="0.25">
      <c r="A3730" s="573" t="s">
        <v>8518</v>
      </c>
      <c r="B3730" s="573">
        <v>8</v>
      </c>
      <c r="C3730" s="573">
        <v>6.1</v>
      </c>
      <c r="D3730" s="407" t="s">
        <v>10803</v>
      </c>
      <c r="E3730" s="315" t="s">
        <v>2251</v>
      </c>
      <c r="F3730" s="196">
        <v>41682</v>
      </c>
      <c r="G3730" s="169"/>
      <c r="H3730" s="170">
        <v>1</v>
      </c>
      <c r="I3730" s="746">
        <f>TIME(1,6,47)</f>
        <v>4.6377314814814809E-2</v>
      </c>
      <c r="J3730" s="899" t="s">
        <v>4706</v>
      </c>
      <c r="K3730" s="167" t="s">
        <v>4549</v>
      </c>
      <c r="L3730" s="167" t="s">
        <v>4549</v>
      </c>
      <c r="M3730" s="167"/>
      <c r="N3730" s="167"/>
      <c r="O3730" s="167" t="s">
        <v>2500</v>
      </c>
      <c r="P3730" s="168" t="s">
        <v>8517</v>
      </c>
      <c r="Q3730" s="167" t="s">
        <v>3947</v>
      </c>
      <c r="R3730" s="172" t="s">
        <v>15463</v>
      </c>
      <c r="S3730" s="388"/>
      <c r="T3730" s="168" t="s">
        <v>8516</v>
      </c>
      <c r="U3730" s="168"/>
      <c r="V3730" s="168"/>
      <c r="W3730" s="315" t="s">
        <v>2251</v>
      </c>
      <c r="X3730" s="647" t="s">
        <v>12442</v>
      </c>
      <c r="Y3730" s="352" t="s">
        <v>5643</v>
      </c>
      <c r="Z3730" s="353">
        <v>496</v>
      </c>
      <c r="AA3730" s="353">
        <v>4</v>
      </c>
      <c r="AB3730" s="31">
        <f t="shared" ca="1" si="95"/>
        <v>0.8442579372581146</v>
      </c>
      <c r="AC3730" s="810" t="s">
        <v>11125</v>
      </c>
      <c r="AD3730" s="811"/>
      <c r="AE3730" s="948"/>
      <c r="AF3730" s="920">
        <f>IF(X3730=X3729,AF3729,0)+IF(ISNUMBER(I3730),IF(I3730&lt;1,I3730,I3730*VLOOKUP(J3730,Summary!$H$2:$I$9,2)),VLOOKUP(J3730,Summary!$J$2:$K$9,2)*IF(ISNUMBER(H3730),H3730,1))</f>
        <v>0.19946759259259256</v>
      </c>
      <c r="AG3730" s="287">
        <v>3729</v>
      </c>
      <c r="AH3730" s="94"/>
      <c r="AI3730" s="94"/>
    </row>
    <row r="3731" spans="1:36" s="43" customFormat="1" ht="12" customHeight="1" x14ac:dyDescent="0.25">
      <c r="A3731" s="573" t="s">
        <v>8518</v>
      </c>
      <c r="B3731" s="573">
        <v>8</v>
      </c>
      <c r="C3731" s="573">
        <v>6.2</v>
      </c>
      <c r="D3731" s="407" t="s">
        <v>10804</v>
      </c>
      <c r="E3731" s="315" t="s">
        <v>8513</v>
      </c>
      <c r="F3731" s="196">
        <v>41682</v>
      </c>
      <c r="G3731" s="169"/>
      <c r="H3731" s="170">
        <v>1</v>
      </c>
      <c r="I3731" s="746">
        <f>TIME(0,57,56)</f>
        <v>4.0231481481481479E-2</v>
      </c>
      <c r="J3731" s="899" t="s">
        <v>4706</v>
      </c>
      <c r="K3731" s="167" t="s">
        <v>7374</v>
      </c>
      <c r="L3731" s="167" t="s">
        <v>4549</v>
      </c>
      <c r="M3731" s="167"/>
      <c r="N3731" s="167"/>
      <c r="O3731" s="167" t="s">
        <v>2500</v>
      </c>
      <c r="P3731" s="168" t="s">
        <v>8517</v>
      </c>
      <c r="Q3731" s="167" t="s">
        <v>3947</v>
      </c>
      <c r="R3731" s="172" t="s">
        <v>15463</v>
      </c>
      <c r="S3731" s="388" t="s">
        <v>4517</v>
      </c>
      <c r="T3731" s="168"/>
      <c r="U3731" s="168"/>
      <c r="V3731" s="168"/>
      <c r="W3731" s="315" t="s">
        <v>8513</v>
      </c>
      <c r="X3731" s="647" t="s">
        <v>12442</v>
      </c>
      <c r="Y3731" s="352" t="s">
        <v>5643</v>
      </c>
      <c r="Z3731" s="353">
        <v>418</v>
      </c>
      <c r="AA3731" s="353">
        <v>4.5</v>
      </c>
      <c r="AB3731" s="31">
        <f t="shared" ca="1" si="95"/>
        <v>0.689749110831818</v>
      </c>
      <c r="AC3731" s="810"/>
      <c r="AD3731" s="811"/>
      <c r="AE3731" s="948"/>
      <c r="AF3731" s="920">
        <f>IF(X3731=X3730,AF3730,0)+IF(ISNUMBER(I3731),IF(I3731&lt;1,I3731,I3731*VLOOKUP(J3731,Summary!$H$2:$I$9,2)),VLOOKUP(J3731,Summary!$J$2:$K$9,2)*IF(ISNUMBER(H3731),H3731,1))</f>
        <v>0.23969907407407404</v>
      </c>
      <c r="AG3731" s="287">
        <v>3730</v>
      </c>
      <c r="AH3731" s="94"/>
      <c r="AI3731" s="94"/>
    </row>
    <row r="3732" spans="1:36" s="29" customFormat="1" ht="12" customHeight="1" x14ac:dyDescent="0.25">
      <c r="A3732" s="573" t="s">
        <v>8518</v>
      </c>
      <c r="B3732" s="573">
        <v>8</v>
      </c>
      <c r="C3732" s="573">
        <v>6.3</v>
      </c>
      <c r="D3732" s="407" t="s">
        <v>10805</v>
      </c>
      <c r="E3732" s="315" t="s">
        <v>8514</v>
      </c>
      <c r="F3732" s="196">
        <v>41682</v>
      </c>
      <c r="G3732" s="169"/>
      <c r="H3732" s="170">
        <v>1</v>
      </c>
      <c r="I3732" s="746">
        <f>TIME(1,4,18)</f>
        <v>4.4652777777777784E-2</v>
      </c>
      <c r="J3732" s="899" t="s">
        <v>4706</v>
      </c>
      <c r="K3732" s="167" t="s">
        <v>6452</v>
      </c>
      <c r="L3732" s="167" t="s">
        <v>4549</v>
      </c>
      <c r="M3732" s="167"/>
      <c r="N3732" s="167"/>
      <c r="O3732" s="167" t="s">
        <v>2500</v>
      </c>
      <c r="P3732" s="168" t="s">
        <v>8517</v>
      </c>
      <c r="Q3732" s="167" t="s">
        <v>3947</v>
      </c>
      <c r="R3732" s="172" t="s">
        <v>15463</v>
      </c>
      <c r="S3732" s="388" t="s">
        <v>4517</v>
      </c>
      <c r="T3732" s="168" t="s">
        <v>8516</v>
      </c>
      <c r="U3732" s="168"/>
      <c r="V3732" s="168"/>
      <c r="W3732" s="315" t="s">
        <v>8514</v>
      </c>
      <c r="X3732" s="647" t="s">
        <v>12442</v>
      </c>
      <c r="Y3732" s="352" t="s">
        <v>5643</v>
      </c>
      <c r="Z3732" s="353">
        <v>500</v>
      </c>
      <c r="AA3732" s="353">
        <v>4</v>
      </c>
      <c r="AB3732" s="31">
        <f t="shared" ca="1" si="95"/>
        <v>0.14043234532024396</v>
      </c>
      <c r="AC3732" s="810"/>
      <c r="AD3732" s="811"/>
      <c r="AE3732" s="948"/>
      <c r="AF3732" s="920">
        <f>IF(X3732=X3731,AF3731,0)+IF(ISNUMBER(I3732),IF(I3732&lt;1,I3732,I3732*VLOOKUP(J3732,Summary!$H$2:$I$9,2)),VLOOKUP(J3732,Summary!$J$2:$K$9,2)*IF(ISNUMBER(H3732),H3732,1))</f>
        <v>0.2843518518518518</v>
      </c>
      <c r="AG3732" s="287">
        <v>3731</v>
      </c>
      <c r="AH3732" s="94"/>
      <c r="AI3732" s="94"/>
      <c r="AJ3732" s="43"/>
    </row>
    <row r="3733" spans="1:36" s="2" customFormat="1" ht="12" customHeight="1" x14ac:dyDescent="0.25">
      <c r="A3733" s="573" t="s">
        <v>8518</v>
      </c>
      <c r="B3733" s="573">
        <v>8</v>
      </c>
      <c r="C3733" s="573">
        <v>6.4</v>
      </c>
      <c r="D3733" s="407" t="s">
        <v>10806</v>
      </c>
      <c r="E3733" s="336" t="s">
        <v>8515</v>
      </c>
      <c r="F3733" s="196">
        <v>41682</v>
      </c>
      <c r="G3733" s="169"/>
      <c r="H3733" s="170">
        <v>1</v>
      </c>
      <c r="I3733" s="746">
        <f>TIME(1,4,26)</f>
        <v>4.4745370370370373E-2</v>
      </c>
      <c r="J3733" s="899" t="s">
        <v>4706</v>
      </c>
      <c r="K3733" s="167" t="s">
        <v>6452</v>
      </c>
      <c r="L3733" s="167" t="s">
        <v>4549</v>
      </c>
      <c r="M3733" s="167"/>
      <c r="N3733" s="167"/>
      <c r="O3733" s="167" t="s">
        <v>2500</v>
      </c>
      <c r="P3733" s="168" t="s">
        <v>8517</v>
      </c>
      <c r="Q3733" s="167" t="s">
        <v>3947</v>
      </c>
      <c r="R3733" s="172" t="s">
        <v>15463</v>
      </c>
      <c r="S3733" s="388" t="s">
        <v>4517</v>
      </c>
      <c r="T3733" s="168" t="s">
        <v>8516</v>
      </c>
      <c r="U3733" s="168"/>
      <c r="V3733" s="168"/>
      <c r="W3733" s="336" t="s">
        <v>8515</v>
      </c>
      <c r="X3733" s="647" t="s">
        <v>12442</v>
      </c>
      <c r="Y3733" s="352" t="s">
        <v>5643</v>
      </c>
      <c r="Z3733" s="353">
        <v>247</v>
      </c>
      <c r="AA3733" s="353">
        <v>5.5</v>
      </c>
      <c r="AB3733" s="31">
        <f t="shared" ca="1" si="95"/>
        <v>0.91274821864091082</v>
      </c>
      <c r="AC3733" s="810"/>
      <c r="AD3733" s="811"/>
      <c r="AE3733" s="945"/>
      <c r="AF3733" s="920">
        <f>IF(X3733=X3732,AF3732,0)+IF(ISNUMBER(I3733),IF(I3733&lt;1,I3733,I3733*VLOOKUP(J3733,Summary!$H$2:$I$9,2)),VLOOKUP(J3733,Summary!$J$2:$K$9,2)*IF(ISNUMBER(H3733),H3733,1))</f>
        <v>0.32909722222222215</v>
      </c>
      <c r="AG3733" s="287">
        <v>3732</v>
      </c>
      <c r="AH3733" s="94"/>
      <c r="AI3733" s="94"/>
      <c r="AJ3733" s="3"/>
    </row>
    <row r="3734" spans="1:36" s="3" customFormat="1" ht="12" customHeight="1" x14ac:dyDescent="0.25">
      <c r="A3734" s="570" t="s">
        <v>9497</v>
      </c>
      <c r="B3734" s="570">
        <v>8</v>
      </c>
      <c r="C3734" s="576">
        <v>7.01</v>
      </c>
      <c r="D3734" s="192" t="s">
        <v>13004</v>
      </c>
      <c r="E3734" s="317" t="s">
        <v>13005</v>
      </c>
      <c r="F3734" s="209">
        <v>42766</v>
      </c>
      <c r="G3734" s="191"/>
      <c r="H3734" s="192">
        <v>1</v>
      </c>
      <c r="I3734" s="753">
        <f>TIME(0,34,26)</f>
        <v>2.3912037037037034E-2</v>
      </c>
      <c r="J3734" s="903" t="s">
        <v>2755</v>
      </c>
      <c r="K3734" s="194" t="s">
        <v>8131</v>
      </c>
      <c r="L3734" s="194" t="s">
        <v>5662</v>
      </c>
      <c r="M3734" s="194" t="s">
        <v>13006</v>
      </c>
      <c r="N3734" s="194"/>
      <c r="O3734" s="194"/>
      <c r="P3734" s="190" t="s">
        <v>13007</v>
      </c>
      <c r="Q3734" s="194" t="s">
        <v>3947</v>
      </c>
      <c r="R3734" s="193" t="s">
        <v>2722</v>
      </c>
      <c r="S3734" s="357" t="s">
        <v>4517</v>
      </c>
      <c r="T3734" s="190" t="s">
        <v>8516</v>
      </c>
      <c r="U3734" s="190"/>
      <c r="V3734" s="190"/>
      <c r="W3734" s="317" t="s">
        <v>13005</v>
      </c>
      <c r="X3734" s="662" t="s">
        <v>12442</v>
      </c>
      <c r="Y3734" s="357" t="s">
        <v>5643</v>
      </c>
      <c r="Z3734" s="192"/>
      <c r="AA3734" s="192"/>
      <c r="AB3734" s="37">
        <f t="shared" ca="1" si="95"/>
        <v>0.98050670018642228</v>
      </c>
      <c r="AC3734" s="816"/>
      <c r="AD3734" s="817"/>
      <c r="AE3734" s="943"/>
      <c r="AF3734" s="924">
        <f>IF(X3734=X3733,AF3733,0)+IF(ISNUMBER(I3734),IF(I3734&lt;1,I3734,I3734*VLOOKUP(J3734,Summary!$H$2:$I$9,2)),VLOOKUP(J3734,Summary!$J$2:$K$9,2)*IF(ISNUMBER(H3734),H3734,1))</f>
        <v>0.35300925925925919</v>
      </c>
      <c r="AG3734" s="292">
        <v>3733</v>
      </c>
      <c r="AH3734" s="94"/>
      <c r="AI3734" s="94"/>
      <c r="AJ3734" s="43"/>
    </row>
    <row r="3735" spans="1:36" s="2" customFormat="1" ht="12" customHeight="1" x14ac:dyDescent="0.25">
      <c r="A3735" s="573" t="s">
        <v>9497</v>
      </c>
      <c r="B3735" s="573">
        <v>8</v>
      </c>
      <c r="C3735" s="573">
        <v>7.1</v>
      </c>
      <c r="D3735" s="407" t="s">
        <v>10807</v>
      </c>
      <c r="E3735" s="336" t="s">
        <v>9496</v>
      </c>
      <c r="F3735" s="196">
        <v>41960</v>
      </c>
      <c r="G3735" s="169"/>
      <c r="H3735" s="170">
        <v>1</v>
      </c>
      <c r="I3735" s="746">
        <f>TIME(0,53,37)</f>
        <v>3.72337962962963E-2</v>
      </c>
      <c r="J3735" s="899" t="s">
        <v>4706</v>
      </c>
      <c r="K3735" s="167" t="s">
        <v>6452</v>
      </c>
      <c r="L3735" s="167" t="s">
        <v>2313</v>
      </c>
      <c r="M3735" s="167"/>
      <c r="N3735" s="167"/>
      <c r="O3735" s="167" t="s">
        <v>2500</v>
      </c>
      <c r="P3735" s="168" t="s">
        <v>9498</v>
      </c>
      <c r="Q3735" s="167" t="s">
        <v>3947</v>
      </c>
      <c r="R3735" s="172" t="s">
        <v>15463</v>
      </c>
      <c r="S3735" s="388" t="s">
        <v>4517</v>
      </c>
      <c r="T3735" s="168" t="s">
        <v>8516</v>
      </c>
      <c r="U3735" s="168"/>
      <c r="V3735" s="168"/>
      <c r="W3735" s="336" t="s">
        <v>9496</v>
      </c>
      <c r="X3735" s="647" t="s">
        <v>12442</v>
      </c>
      <c r="Y3735" s="352" t="s">
        <v>5643</v>
      </c>
      <c r="Z3735" s="353">
        <v>493</v>
      </c>
      <c r="AA3735" s="353">
        <v>4</v>
      </c>
      <c r="AB3735" s="31">
        <f t="shared" ca="1" si="95"/>
        <v>0.68795955343725956</v>
      </c>
      <c r="AC3735" s="810"/>
      <c r="AD3735" s="811"/>
      <c r="AE3735" s="945"/>
      <c r="AF3735" s="920">
        <f>IF(X3735=X3734,AF3734,0)+IF(ISNUMBER(I3735),IF(I3735&lt;1,I3735,I3735*VLOOKUP(J3735,Summary!$H$2:$I$9,2)),VLOOKUP(J3735,Summary!$J$2:$K$9,2)*IF(ISNUMBER(H3735),H3735,1))</f>
        <v>0.3902430555555555</v>
      </c>
      <c r="AG3735" s="287">
        <v>3734</v>
      </c>
      <c r="AH3735" s="94"/>
      <c r="AI3735" s="94"/>
      <c r="AJ3735" s="3"/>
    </row>
    <row r="3736" spans="1:36" s="2" customFormat="1" ht="12" customHeight="1" x14ac:dyDescent="0.25">
      <c r="A3736" s="573" t="s">
        <v>9497</v>
      </c>
      <c r="B3736" s="573">
        <v>8</v>
      </c>
      <c r="C3736" s="573">
        <v>7.2</v>
      </c>
      <c r="D3736" s="407" t="s">
        <v>10808</v>
      </c>
      <c r="E3736" s="336" t="s">
        <v>9499</v>
      </c>
      <c r="F3736" s="196">
        <v>41960</v>
      </c>
      <c r="G3736" s="169"/>
      <c r="H3736" s="170">
        <v>1</v>
      </c>
      <c r="I3736" s="746">
        <f>TIME(0,57,38)</f>
        <v>4.0023148148148148E-2</v>
      </c>
      <c r="J3736" s="899" t="s">
        <v>4706</v>
      </c>
      <c r="K3736" s="167" t="s">
        <v>6452</v>
      </c>
      <c r="L3736" s="167" t="s">
        <v>2313</v>
      </c>
      <c r="M3736" s="167"/>
      <c r="N3736" s="167"/>
      <c r="O3736" s="167" t="s">
        <v>2500</v>
      </c>
      <c r="P3736" s="168" t="s">
        <v>9498</v>
      </c>
      <c r="Q3736" s="167" t="s">
        <v>3947</v>
      </c>
      <c r="R3736" s="172" t="s">
        <v>15463</v>
      </c>
      <c r="S3736" s="388" t="s">
        <v>4517</v>
      </c>
      <c r="T3736" s="168" t="s">
        <v>8516</v>
      </c>
      <c r="U3736" s="168"/>
      <c r="V3736" s="168"/>
      <c r="W3736" s="336" t="s">
        <v>9499</v>
      </c>
      <c r="X3736" s="647" t="s">
        <v>12442</v>
      </c>
      <c r="Y3736" s="352" t="s">
        <v>5643</v>
      </c>
      <c r="Z3736" s="353">
        <v>558</v>
      </c>
      <c r="AA3736" s="353">
        <v>3.5</v>
      </c>
      <c r="AB3736" s="31">
        <f t="shared" ca="1" si="95"/>
        <v>0.66399535057354264</v>
      </c>
      <c r="AC3736" s="810"/>
      <c r="AD3736" s="811"/>
      <c r="AE3736" s="945"/>
      <c r="AF3736" s="920">
        <f>IF(X3736=X3735,AF3735,0)+IF(ISNUMBER(I3736),IF(I3736&lt;1,I3736,I3736*VLOOKUP(J3736,Summary!$H$2:$I$9,2)),VLOOKUP(J3736,Summary!$J$2:$K$9,2)*IF(ISNUMBER(H3736),H3736,1))</f>
        <v>0.43026620370370366</v>
      </c>
      <c r="AG3736" s="287">
        <v>3735</v>
      </c>
      <c r="AH3736" s="94"/>
      <c r="AI3736" s="94"/>
      <c r="AJ3736" s="43"/>
    </row>
    <row r="3737" spans="1:36" s="2" customFormat="1" ht="12" customHeight="1" x14ac:dyDescent="0.25">
      <c r="A3737" s="573" t="s">
        <v>9497</v>
      </c>
      <c r="B3737" s="573">
        <v>8</v>
      </c>
      <c r="C3737" s="573">
        <v>7.3</v>
      </c>
      <c r="D3737" s="407" t="s">
        <v>10809</v>
      </c>
      <c r="E3737" s="336" t="s">
        <v>9500</v>
      </c>
      <c r="F3737" s="196">
        <v>41960</v>
      </c>
      <c r="G3737" s="169"/>
      <c r="H3737" s="170">
        <v>1</v>
      </c>
      <c r="I3737" s="746">
        <f>TIME(0,58,32)</f>
        <v>4.0648148148148149E-2</v>
      </c>
      <c r="J3737" s="899" t="s">
        <v>4706</v>
      </c>
      <c r="K3737" s="167" t="s">
        <v>6452</v>
      </c>
      <c r="L3737" s="167" t="s">
        <v>2313</v>
      </c>
      <c r="M3737" s="167"/>
      <c r="N3737" s="167"/>
      <c r="O3737" s="167" t="s">
        <v>2500</v>
      </c>
      <c r="P3737" s="168" t="s">
        <v>9498</v>
      </c>
      <c r="Q3737" s="167" t="s">
        <v>3947</v>
      </c>
      <c r="R3737" s="172" t="s">
        <v>15463</v>
      </c>
      <c r="S3737" s="388" t="s">
        <v>4517</v>
      </c>
      <c r="T3737" s="168" t="s">
        <v>8516</v>
      </c>
      <c r="U3737" s="168"/>
      <c r="V3737" s="168"/>
      <c r="W3737" s="336" t="s">
        <v>9500</v>
      </c>
      <c r="X3737" s="647" t="s">
        <v>12442</v>
      </c>
      <c r="Y3737" s="352" t="s">
        <v>5643</v>
      </c>
      <c r="Z3737" s="353">
        <v>489</v>
      </c>
      <c r="AA3737" s="353">
        <v>4</v>
      </c>
      <c r="AB3737" s="31">
        <f t="shared" ca="1" si="95"/>
        <v>0.51768619751184175</v>
      </c>
      <c r="AC3737" s="810"/>
      <c r="AD3737" s="811"/>
      <c r="AE3737" s="945"/>
      <c r="AF3737" s="920">
        <f>IF(X3737=X3736,AF3736,0)+IF(ISNUMBER(I3737),IF(I3737&lt;1,I3737,I3737*VLOOKUP(J3737,Summary!$H$2:$I$9,2)),VLOOKUP(J3737,Summary!$J$2:$K$9,2)*IF(ISNUMBER(H3737),H3737,1))</f>
        <v>0.47091435185185182</v>
      </c>
      <c r="AG3737" s="287">
        <v>3736</v>
      </c>
      <c r="AH3737" s="94"/>
      <c r="AI3737" s="94"/>
      <c r="AJ3737" s="3"/>
    </row>
    <row r="3738" spans="1:36" s="2" customFormat="1" ht="12" customHeight="1" x14ac:dyDescent="0.25">
      <c r="A3738" s="573" t="s">
        <v>9497</v>
      </c>
      <c r="B3738" s="573">
        <v>8</v>
      </c>
      <c r="C3738" s="573">
        <v>7.4</v>
      </c>
      <c r="D3738" s="407" t="s">
        <v>10810</v>
      </c>
      <c r="E3738" s="336" t="s">
        <v>9501</v>
      </c>
      <c r="F3738" s="196">
        <v>41960</v>
      </c>
      <c r="G3738" s="169"/>
      <c r="H3738" s="170">
        <v>1</v>
      </c>
      <c r="I3738" s="746">
        <f>TIME(1,0,3)</f>
        <v>4.1701388888888885E-2</v>
      </c>
      <c r="J3738" s="899" t="s">
        <v>4706</v>
      </c>
      <c r="K3738" s="167" t="s">
        <v>6452</v>
      </c>
      <c r="L3738" s="167" t="s">
        <v>2313</v>
      </c>
      <c r="M3738" s="167"/>
      <c r="N3738" s="167"/>
      <c r="O3738" s="167" t="s">
        <v>2500</v>
      </c>
      <c r="P3738" s="168" t="s">
        <v>9498</v>
      </c>
      <c r="Q3738" s="167" t="s">
        <v>3947</v>
      </c>
      <c r="R3738" s="172" t="s">
        <v>15463</v>
      </c>
      <c r="S3738" s="388" t="s">
        <v>4517</v>
      </c>
      <c r="T3738" s="168" t="s">
        <v>8516</v>
      </c>
      <c r="U3738" s="168"/>
      <c r="V3738" s="168"/>
      <c r="W3738" s="336" t="s">
        <v>9501</v>
      </c>
      <c r="X3738" s="647" t="s">
        <v>12442</v>
      </c>
      <c r="Y3738" s="352" t="s">
        <v>5643</v>
      </c>
      <c r="Z3738" s="353">
        <v>494</v>
      </c>
      <c r="AA3738" s="353">
        <v>4</v>
      </c>
      <c r="AB3738" s="31">
        <f t="shared" ca="1" si="95"/>
        <v>0.73486750295439929</v>
      </c>
      <c r="AC3738" s="810"/>
      <c r="AD3738" s="811"/>
      <c r="AE3738" s="945"/>
      <c r="AF3738" s="920">
        <f>IF(X3738=X3737,AF3737,0)+IF(ISNUMBER(I3738),IF(I3738&lt;1,I3738,I3738*VLOOKUP(J3738,Summary!$H$2:$I$9,2)),VLOOKUP(J3738,Summary!$J$2:$K$9,2)*IF(ISNUMBER(H3738),H3738,1))</f>
        <v>0.51261574074074068</v>
      </c>
      <c r="AG3738" s="287">
        <v>3737</v>
      </c>
      <c r="AH3738" s="94"/>
      <c r="AI3738" s="94"/>
    </row>
    <row r="3739" spans="1:36" s="2" customFormat="1" ht="12" customHeight="1" x14ac:dyDescent="0.25">
      <c r="A3739" s="573" t="s">
        <v>10035</v>
      </c>
      <c r="B3739" s="573">
        <v>8</v>
      </c>
      <c r="C3739" s="573">
        <v>8.1</v>
      </c>
      <c r="D3739" s="407" t="s">
        <v>10811</v>
      </c>
      <c r="E3739" s="336" t="s">
        <v>3004</v>
      </c>
      <c r="F3739" s="196">
        <v>42065</v>
      </c>
      <c r="G3739" s="169"/>
      <c r="H3739" s="170">
        <v>1</v>
      </c>
      <c r="I3739" s="746">
        <f>TIME(0,46,11)</f>
        <v>3.2071759259259258E-2</v>
      </c>
      <c r="J3739" s="899" t="s">
        <v>4706</v>
      </c>
      <c r="K3739" s="167" t="s">
        <v>9502</v>
      </c>
      <c r="L3739" s="167" t="s">
        <v>2313</v>
      </c>
      <c r="M3739" s="167"/>
      <c r="N3739" s="167"/>
      <c r="O3739" s="167" t="s">
        <v>2500</v>
      </c>
      <c r="P3739" s="168" t="s">
        <v>9503</v>
      </c>
      <c r="Q3739" s="167" t="s">
        <v>3947</v>
      </c>
      <c r="R3739" s="172" t="s">
        <v>15463</v>
      </c>
      <c r="S3739" s="388"/>
      <c r="T3739" s="168" t="s">
        <v>8516</v>
      </c>
      <c r="U3739" s="168"/>
      <c r="V3739" s="168"/>
      <c r="W3739" s="336" t="s">
        <v>3004</v>
      </c>
      <c r="X3739" s="647" t="s">
        <v>12442</v>
      </c>
      <c r="Y3739" s="352" t="s">
        <v>5643</v>
      </c>
      <c r="Z3739" s="353">
        <v>47</v>
      </c>
      <c r="AA3739" s="353">
        <v>8.5</v>
      </c>
      <c r="AB3739" s="31">
        <f t="shared" ca="1" si="95"/>
        <v>0.32768389900182771</v>
      </c>
      <c r="AC3739" s="810"/>
      <c r="AD3739" s="811"/>
      <c r="AE3739" s="945"/>
      <c r="AF3739" s="920">
        <f>IF(X3739=X3738,AF3738,0)+IF(ISNUMBER(I3739),IF(I3739&lt;1,I3739,I3739*VLOOKUP(J3739,Summary!$H$2:$I$9,2)),VLOOKUP(J3739,Summary!$J$2:$K$9,2)*IF(ISNUMBER(H3739),H3739,1))</f>
        <v>0.54468749999999999</v>
      </c>
      <c r="AG3739" s="287">
        <v>3738</v>
      </c>
      <c r="AH3739" s="94"/>
      <c r="AI3739" s="94"/>
      <c r="AJ3739" s="3"/>
    </row>
    <row r="3740" spans="1:36" s="2" customFormat="1" ht="12" customHeight="1" x14ac:dyDescent="0.25">
      <c r="A3740" s="573" t="s">
        <v>10035</v>
      </c>
      <c r="B3740" s="573">
        <v>8</v>
      </c>
      <c r="C3740" s="573">
        <v>8.1999999999999993</v>
      </c>
      <c r="D3740" s="407" t="s">
        <v>10812</v>
      </c>
      <c r="E3740" s="336" t="s">
        <v>9504</v>
      </c>
      <c r="F3740" s="196">
        <v>42065</v>
      </c>
      <c r="G3740" s="169"/>
      <c r="H3740" s="170">
        <v>1</v>
      </c>
      <c r="I3740" s="746">
        <f>TIME(0,55,10)</f>
        <v>3.8310185185185183E-2</v>
      </c>
      <c r="J3740" s="899" t="s">
        <v>4706</v>
      </c>
      <c r="K3740" s="167" t="s">
        <v>9502</v>
      </c>
      <c r="L3740" s="167" t="s">
        <v>2313</v>
      </c>
      <c r="M3740" s="167"/>
      <c r="N3740" s="167"/>
      <c r="O3740" s="167" t="s">
        <v>2500</v>
      </c>
      <c r="P3740" s="168" t="s">
        <v>9503</v>
      </c>
      <c r="Q3740" s="167" t="s">
        <v>3947</v>
      </c>
      <c r="R3740" s="172" t="s">
        <v>15463</v>
      </c>
      <c r="S3740" s="388"/>
      <c r="T3740" s="168" t="s">
        <v>8516</v>
      </c>
      <c r="U3740" s="168"/>
      <c r="V3740" s="168"/>
      <c r="W3740" s="336" t="s">
        <v>9504</v>
      </c>
      <c r="X3740" s="647" t="s">
        <v>12442</v>
      </c>
      <c r="Y3740" s="352" t="s">
        <v>5643</v>
      </c>
      <c r="Z3740" s="353">
        <v>589</v>
      </c>
      <c r="AA3740" s="353">
        <v>3.5</v>
      </c>
      <c r="AB3740" s="31">
        <f t="shared" ca="1" si="95"/>
        <v>0.49386986668669597</v>
      </c>
      <c r="AC3740" s="810"/>
      <c r="AD3740" s="811"/>
      <c r="AE3740" s="945"/>
      <c r="AF3740" s="920">
        <f>IF(X3740=X3739,AF3739,0)+IF(ISNUMBER(I3740),IF(I3740&lt;1,I3740,I3740*VLOOKUP(J3740,Summary!$H$2:$I$9,2)),VLOOKUP(J3740,Summary!$J$2:$K$9,2)*IF(ISNUMBER(H3740),H3740,1))</f>
        <v>0.58299768518518513</v>
      </c>
      <c r="AG3740" s="287">
        <v>3739</v>
      </c>
      <c r="AH3740" s="94"/>
      <c r="AI3740" s="94"/>
    </row>
    <row r="3741" spans="1:36" s="2" customFormat="1" ht="12" customHeight="1" x14ac:dyDescent="0.25">
      <c r="A3741" s="573" t="s">
        <v>10035</v>
      </c>
      <c r="B3741" s="573">
        <v>8</v>
      </c>
      <c r="C3741" s="573">
        <v>8.3000000000000007</v>
      </c>
      <c r="D3741" s="407" t="s">
        <v>10813</v>
      </c>
      <c r="E3741" s="336" t="s">
        <v>9505</v>
      </c>
      <c r="F3741" s="196">
        <v>42065</v>
      </c>
      <c r="G3741" s="169"/>
      <c r="H3741" s="170">
        <v>1</v>
      </c>
      <c r="I3741" s="746">
        <f>TIME(0,56,21)</f>
        <v>3.9131944444444448E-2</v>
      </c>
      <c r="J3741" s="899" t="s">
        <v>4706</v>
      </c>
      <c r="K3741" s="167" t="s">
        <v>9502</v>
      </c>
      <c r="L3741" s="167" t="s">
        <v>2313</v>
      </c>
      <c r="M3741" s="167"/>
      <c r="N3741" s="167"/>
      <c r="O3741" s="167" t="s">
        <v>2500</v>
      </c>
      <c r="P3741" s="168" t="s">
        <v>9503</v>
      </c>
      <c r="Q3741" s="167" t="s">
        <v>3947</v>
      </c>
      <c r="R3741" s="172" t="s">
        <v>15463</v>
      </c>
      <c r="S3741" s="388" t="s">
        <v>4517</v>
      </c>
      <c r="T3741" s="168" t="s">
        <v>8516</v>
      </c>
      <c r="U3741" s="168"/>
      <c r="V3741" s="168"/>
      <c r="W3741" s="336" t="s">
        <v>9505</v>
      </c>
      <c r="X3741" s="647" t="s">
        <v>12442</v>
      </c>
      <c r="Y3741" s="352" t="s">
        <v>5643</v>
      </c>
      <c r="Z3741" s="353">
        <v>547</v>
      </c>
      <c r="AA3741" s="353">
        <v>3.5</v>
      </c>
      <c r="AB3741" s="31">
        <f t="shared" ca="1" si="95"/>
        <v>0.69778699802411115</v>
      </c>
      <c r="AC3741" s="810"/>
      <c r="AD3741" s="811"/>
      <c r="AE3741" s="945"/>
      <c r="AF3741" s="920">
        <f>IF(X3741=X3740,AF3740,0)+IF(ISNUMBER(I3741),IF(I3741&lt;1,I3741,I3741*VLOOKUP(J3741,Summary!$H$2:$I$9,2)),VLOOKUP(J3741,Summary!$J$2:$K$9,2)*IF(ISNUMBER(H3741),H3741,1))</f>
        <v>0.62212962962962959</v>
      </c>
      <c r="AG3741" s="287">
        <v>3740</v>
      </c>
      <c r="AH3741" s="94"/>
      <c r="AI3741" s="94"/>
      <c r="AJ3741" s="43"/>
    </row>
    <row r="3742" spans="1:36" s="43" customFormat="1" ht="12" customHeight="1" x14ac:dyDescent="0.25">
      <c r="A3742" s="573" t="s">
        <v>10035</v>
      </c>
      <c r="B3742" s="573">
        <v>8</v>
      </c>
      <c r="C3742" s="573">
        <v>8.4</v>
      </c>
      <c r="D3742" s="407" t="s">
        <v>10814</v>
      </c>
      <c r="E3742" s="336" t="s">
        <v>9506</v>
      </c>
      <c r="F3742" s="196">
        <v>42065</v>
      </c>
      <c r="G3742" s="169"/>
      <c r="H3742" s="170">
        <v>1</v>
      </c>
      <c r="I3742" s="746">
        <f>TIME(0,58,37)</f>
        <v>4.0706018518518523E-2</v>
      </c>
      <c r="J3742" s="899" t="s">
        <v>4706</v>
      </c>
      <c r="K3742" s="167" t="s">
        <v>9502</v>
      </c>
      <c r="L3742" s="167" t="s">
        <v>2313</v>
      </c>
      <c r="M3742" s="167"/>
      <c r="N3742" s="167"/>
      <c r="O3742" s="167" t="s">
        <v>2500</v>
      </c>
      <c r="P3742" s="168" t="s">
        <v>9503</v>
      </c>
      <c r="Q3742" s="167" t="s">
        <v>3947</v>
      </c>
      <c r="R3742" s="172" t="s">
        <v>15463</v>
      </c>
      <c r="S3742" s="388" t="s">
        <v>4517</v>
      </c>
      <c r="T3742" s="168" t="s">
        <v>8516</v>
      </c>
      <c r="U3742" s="168"/>
      <c r="V3742" s="168"/>
      <c r="W3742" s="336" t="s">
        <v>9506</v>
      </c>
      <c r="X3742" s="647" t="s">
        <v>12442</v>
      </c>
      <c r="Y3742" s="352" t="s">
        <v>5643</v>
      </c>
      <c r="Z3742" s="353">
        <v>555</v>
      </c>
      <c r="AA3742" s="353">
        <v>3.5</v>
      </c>
      <c r="AB3742" s="31">
        <f t="shared" ca="1" si="95"/>
        <v>0.1695684766082689</v>
      </c>
      <c r="AC3742" s="810"/>
      <c r="AD3742" s="811"/>
      <c r="AE3742" s="945"/>
      <c r="AF3742" s="920">
        <f>IF(X3742=X3741,AF3741,0)+IF(ISNUMBER(I3742),IF(I3742&lt;1,I3742,I3742*VLOOKUP(J3742,Summary!$H$2:$I$9,2)),VLOOKUP(J3742,Summary!$J$2:$K$9,2)*IF(ISNUMBER(H3742),H3742,1))</f>
        <v>0.6628356481481481</v>
      </c>
      <c r="AG3742" s="287">
        <v>3741</v>
      </c>
      <c r="AH3742" s="94"/>
      <c r="AI3742" s="94"/>
      <c r="AJ3742" s="22"/>
    </row>
    <row r="3743" spans="1:36" s="43" customFormat="1" ht="12" customHeight="1" x14ac:dyDescent="0.25">
      <c r="A3743" s="573" t="s">
        <v>10034</v>
      </c>
      <c r="B3743" s="573">
        <v>8</v>
      </c>
      <c r="C3743" s="573">
        <v>9.1</v>
      </c>
      <c r="D3743" s="407" t="s">
        <v>10815</v>
      </c>
      <c r="E3743" s="336" t="s">
        <v>10036</v>
      </c>
      <c r="F3743" s="196">
        <v>42289</v>
      </c>
      <c r="G3743" s="169"/>
      <c r="H3743" s="170">
        <v>1</v>
      </c>
      <c r="I3743" s="747">
        <f t="shared" ref="I3743:I3766" si="96">TIME(0,60,0)</f>
        <v>4.1666666666666664E-2</v>
      </c>
      <c r="J3743" s="899" t="s">
        <v>4706</v>
      </c>
      <c r="K3743" s="167" t="s">
        <v>6452</v>
      </c>
      <c r="L3743" s="167" t="s">
        <v>2313</v>
      </c>
      <c r="M3743" s="167"/>
      <c r="N3743" s="167" t="s">
        <v>2313</v>
      </c>
      <c r="O3743" s="167" t="s">
        <v>3295</v>
      </c>
      <c r="P3743" s="168" t="s">
        <v>10037</v>
      </c>
      <c r="Q3743" s="167" t="s">
        <v>3947</v>
      </c>
      <c r="R3743" s="172" t="s">
        <v>15463</v>
      </c>
      <c r="S3743" s="388"/>
      <c r="T3743" s="168" t="s">
        <v>8516</v>
      </c>
      <c r="U3743" s="168"/>
      <c r="V3743" s="168"/>
      <c r="W3743" s="336" t="s">
        <v>10036</v>
      </c>
      <c r="X3743" s="668" t="s">
        <v>12443</v>
      </c>
      <c r="Y3743" s="352" t="s">
        <v>5643</v>
      </c>
      <c r="Z3743" s="353"/>
      <c r="AA3743" s="353"/>
      <c r="AB3743" s="31">
        <f t="shared" ca="1" si="95"/>
        <v>0.56852490085130269</v>
      </c>
      <c r="AC3743" s="810"/>
      <c r="AD3743" s="811"/>
      <c r="AE3743" s="945"/>
      <c r="AF3743" s="920">
        <f>IF(X3743=X3742,AF3742,0)+IF(ISNUMBER(I3743),IF(I3743&lt;1,I3743,I3743*VLOOKUP(J3743,Summary!$H$2:$I$9,2)),VLOOKUP(J3743,Summary!$J$2:$K$9,2)*IF(ISNUMBER(H3743),H3743,1))</f>
        <v>4.1666666666666664E-2</v>
      </c>
      <c r="AG3743" s="287">
        <v>3742</v>
      </c>
      <c r="AH3743" s="94"/>
      <c r="AI3743" s="94"/>
    </row>
    <row r="3744" spans="1:36" s="2" customFormat="1" ht="12" customHeight="1" x14ac:dyDescent="0.25">
      <c r="A3744" s="573" t="s">
        <v>10034</v>
      </c>
      <c r="B3744" s="573">
        <v>8</v>
      </c>
      <c r="C3744" s="573">
        <v>9.1999999999999993</v>
      </c>
      <c r="D3744" s="407" t="s">
        <v>10816</v>
      </c>
      <c r="E3744" s="336" t="s">
        <v>10038</v>
      </c>
      <c r="F3744" s="196">
        <v>42289</v>
      </c>
      <c r="G3744" s="169"/>
      <c r="H3744" s="170">
        <v>1</v>
      </c>
      <c r="I3744" s="747">
        <f t="shared" si="96"/>
        <v>4.1666666666666664E-2</v>
      </c>
      <c r="J3744" s="899" t="s">
        <v>4706</v>
      </c>
      <c r="K3744" s="167" t="s">
        <v>5666</v>
      </c>
      <c r="L3744" s="167" t="s">
        <v>2313</v>
      </c>
      <c r="M3744" s="167"/>
      <c r="N3744" s="167" t="s">
        <v>2313</v>
      </c>
      <c r="O3744" s="167" t="s">
        <v>3295</v>
      </c>
      <c r="P3744" s="168" t="s">
        <v>10037</v>
      </c>
      <c r="Q3744" s="167" t="s">
        <v>3947</v>
      </c>
      <c r="R3744" s="172" t="s">
        <v>15463</v>
      </c>
      <c r="S3744" s="388"/>
      <c r="T3744" s="168" t="s">
        <v>8516</v>
      </c>
      <c r="U3744" s="168"/>
      <c r="V3744" s="168" t="s">
        <v>1767</v>
      </c>
      <c r="W3744" s="336" t="s">
        <v>10038</v>
      </c>
      <c r="X3744" s="668" t="s">
        <v>12443</v>
      </c>
      <c r="Y3744" s="352" t="s">
        <v>5643</v>
      </c>
      <c r="Z3744" s="353"/>
      <c r="AA3744" s="353"/>
      <c r="AB3744" s="31">
        <f t="shared" ca="1" si="95"/>
        <v>0.72928395332629026</v>
      </c>
      <c r="AC3744" s="810"/>
      <c r="AD3744" s="811"/>
      <c r="AE3744" s="945"/>
      <c r="AF3744" s="920">
        <f>IF(X3744=X3743,AF3743,0)+IF(ISNUMBER(I3744),IF(I3744&lt;1,I3744,I3744*VLOOKUP(J3744,Summary!$H$2:$I$9,2)),VLOOKUP(J3744,Summary!$J$2:$K$9,2)*IF(ISNUMBER(H3744),H3744,1))</f>
        <v>8.3333333333333329E-2</v>
      </c>
      <c r="AG3744" s="287">
        <v>3743</v>
      </c>
      <c r="AH3744" s="94"/>
      <c r="AI3744" s="94"/>
    </row>
    <row r="3745" spans="1:36" s="2" customFormat="1" ht="12" customHeight="1" x14ac:dyDescent="0.25">
      <c r="A3745" s="573" t="s">
        <v>10034</v>
      </c>
      <c r="B3745" s="573">
        <v>8</v>
      </c>
      <c r="C3745" s="573">
        <v>9.3000000000000007</v>
      </c>
      <c r="D3745" s="407" t="s">
        <v>10817</v>
      </c>
      <c r="E3745" s="336" t="s">
        <v>10039</v>
      </c>
      <c r="F3745" s="196">
        <v>42289</v>
      </c>
      <c r="G3745" s="169"/>
      <c r="H3745" s="170">
        <v>1</v>
      </c>
      <c r="I3745" s="747">
        <f t="shared" si="96"/>
        <v>4.1666666666666664E-2</v>
      </c>
      <c r="J3745" s="899" t="s">
        <v>4706</v>
      </c>
      <c r="K3745" s="167" t="s">
        <v>941</v>
      </c>
      <c r="L3745" s="167" t="s">
        <v>2313</v>
      </c>
      <c r="M3745" s="167"/>
      <c r="N3745" s="167" t="s">
        <v>2313</v>
      </c>
      <c r="O3745" s="167" t="s">
        <v>3295</v>
      </c>
      <c r="P3745" s="168" t="s">
        <v>10037</v>
      </c>
      <c r="Q3745" s="167" t="s">
        <v>3947</v>
      </c>
      <c r="R3745" s="172" t="s">
        <v>15463</v>
      </c>
      <c r="S3745" s="388"/>
      <c r="T3745" s="168" t="s">
        <v>8516</v>
      </c>
      <c r="U3745" s="168"/>
      <c r="V3745" s="168" t="s">
        <v>1767</v>
      </c>
      <c r="W3745" s="336" t="s">
        <v>10039</v>
      </c>
      <c r="X3745" s="668" t="s">
        <v>12443</v>
      </c>
      <c r="Y3745" s="352" t="s">
        <v>5643</v>
      </c>
      <c r="Z3745" s="353"/>
      <c r="AA3745" s="353"/>
      <c r="AB3745" s="31">
        <f t="shared" ca="1" si="95"/>
        <v>0.85627755978978271</v>
      </c>
      <c r="AC3745" s="810"/>
      <c r="AD3745" s="811"/>
      <c r="AE3745" s="945"/>
      <c r="AF3745" s="920">
        <f>IF(X3745=X3744,AF3744,0)+IF(ISNUMBER(I3745),IF(I3745&lt;1,I3745,I3745*VLOOKUP(J3745,Summary!$H$2:$I$9,2)),VLOOKUP(J3745,Summary!$J$2:$K$9,2)*IF(ISNUMBER(H3745),H3745,1))</f>
        <v>0.125</v>
      </c>
      <c r="AG3745" s="287">
        <v>3744</v>
      </c>
      <c r="AH3745" s="94"/>
      <c r="AI3745" s="94"/>
    </row>
    <row r="3746" spans="1:36" s="2" customFormat="1" ht="12" customHeight="1" x14ac:dyDescent="0.25">
      <c r="A3746" s="573" t="s">
        <v>10034</v>
      </c>
      <c r="B3746" s="573">
        <v>8</v>
      </c>
      <c r="C3746" s="573">
        <v>9.4</v>
      </c>
      <c r="D3746" s="407" t="s">
        <v>10818</v>
      </c>
      <c r="E3746" s="336" t="s">
        <v>10040</v>
      </c>
      <c r="F3746" s="196">
        <v>42289</v>
      </c>
      <c r="G3746" s="169"/>
      <c r="H3746" s="170">
        <v>1</v>
      </c>
      <c r="I3746" s="747">
        <f t="shared" si="96"/>
        <v>4.1666666666666664E-2</v>
      </c>
      <c r="J3746" s="899" t="s">
        <v>4706</v>
      </c>
      <c r="K3746" s="167" t="s">
        <v>10041</v>
      </c>
      <c r="L3746" s="167" t="s">
        <v>2313</v>
      </c>
      <c r="M3746" s="167"/>
      <c r="N3746" s="167" t="s">
        <v>2313</v>
      </c>
      <c r="O3746" s="167" t="s">
        <v>3295</v>
      </c>
      <c r="P3746" s="168" t="s">
        <v>10037</v>
      </c>
      <c r="Q3746" s="167" t="s">
        <v>3947</v>
      </c>
      <c r="R3746" s="172" t="s">
        <v>15463</v>
      </c>
      <c r="S3746" s="388"/>
      <c r="T3746" s="168" t="s">
        <v>8516</v>
      </c>
      <c r="U3746" s="168"/>
      <c r="V3746" s="168" t="s">
        <v>1767</v>
      </c>
      <c r="W3746" s="336" t="s">
        <v>10040</v>
      </c>
      <c r="X3746" s="668" t="s">
        <v>12443</v>
      </c>
      <c r="Y3746" s="352" t="s">
        <v>5643</v>
      </c>
      <c r="Z3746" s="353"/>
      <c r="AA3746" s="353"/>
      <c r="AB3746" s="31">
        <f t="shared" ca="1" si="95"/>
        <v>0.57186792557269173</v>
      </c>
      <c r="AC3746" s="810"/>
      <c r="AD3746" s="811"/>
      <c r="AE3746" s="945"/>
      <c r="AF3746" s="920">
        <f>IF(X3746=X3745,AF3745,0)+IF(ISNUMBER(I3746),IF(I3746&lt;1,I3746,I3746*VLOOKUP(J3746,Summary!$H$2:$I$9,2)),VLOOKUP(J3746,Summary!$J$2:$K$9,2)*IF(ISNUMBER(H3746),H3746,1))</f>
        <v>0.16666666666666666</v>
      </c>
      <c r="AG3746" s="287">
        <v>3745</v>
      </c>
      <c r="AH3746" s="94"/>
      <c r="AI3746" s="94"/>
      <c r="AJ3746" s="43"/>
    </row>
    <row r="3747" spans="1:36" s="2" customFormat="1" ht="12" customHeight="1" x14ac:dyDescent="0.25">
      <c r="A3747" s="573" t="s">
        <v>10042</v>
      </c>
      <c r="B3747" s="573">
        <v>8</v>
      </c>
      <c r="C3747" s="573">
        <v>10.1</v>
      </c>
      <c r="D3747" s="407" t="s">
        <v>10819</v>
      </c>
      <c r="E3747" s="336" t="s">
        <v>10043</v>
      </c>
      <c r="F3747" s="196">
        <v>42432</v>
      </c>
      <c r="G3747" s="169"/>
      <c r="H3747" s="170">
        <v>1</v>
      </c>
      <c r="I3747" s="747">
        <f t="shared" si="96"/>
        <v>4.1666666666666664E-2</v>
      </c>
      <c r="J3747" s="899" t="s">
        <v>4706</v>
      </c>
      <c r="K3747" s="167" t="s">
        <v>4549</v>
      </c>
      <c r="L3747" s="167" t="s">
        <v>2313</v>
      </c>
      <c r="M3747" s="167"/>
      <c r="N3747" s="167" t="s">
        <v>2313</v>
      </c>
      <c r="O3747" s="167" t="s">
        <v>3295</v>
      </c>
      <c r="P3747" s="168" t="s">
        <v>10044</v>
      </c>
      <c r="Q3747" s="167" t="s">
        <v>3947</v>
      </c>
      <c r="R3747" s="172" t="s">
        <v>15463</v>
      </c>
      <c r="S3747" s="388"/>
      <c r="T3747" s="168" t="s">
        <v>8516</v>
      </c>
      <c r="U3747" s="168"/>
      <c r="V3747" s="168" t="s">
        <v>1767</v>
      </c>
      <c r="W3747" s="336" t="s">
        <v>10043</v>
      </c>
      <c r="X3747" s="668" t="s">
        <v>12443</v>
      </c>
      <c r="Y3747" s="352"/>
      <c r="Z3747" s="353"/>
      <c r="AA3747" s="353"/>
      <c r="AB3747" s="31">
        <f t="shared" ca="1" si="95"/>
        <v>0.85982339710149014</v>
      </c>
      <c r="AC3747" s="810"/>
      <c r="AD3747" s="811"/>
      <c r="AE3747" s="945"/>
      <c r="AF3747" s="920">
        <f>IF(X3747=X3746,AF3746,0)+IF(ISNUMBER(I3747),IF(I3747&lt;1,I3747,I3747*VLOOKUP(J3747,Summary!$H$2:$I$9,2)),VLOOKUP(J3747,Summary!$J$2:$K$9,2)*IF(ISNUMBER(H3747),H3747,1))</f>
        <v>0.20833333333333331</v>
      </c>
      <c r="AG3747" s="287">
        <v>3746</v>
      </c>
      <c r="AH3747" s="94"/>
      <c r="AI3747" s="94"/>
      <c r="AJ3747" s="43"/>
    </row>
    <row r="3748" spans="1:36" s="2" customFormat="1" ht="12" customHeight="1" x14ac:dyDescent="0.25">
      <c r="A3748" s="573" t="s">
        <v>10042</v>
      </c>
      <c r="B3748" s="573">
        <v>8</v>
      </c>
      <c r="C3748" s="573">
        <v>10.199999999999999</v>
      </c>
      <c r="D3748" s="407" t="s">
        <v>10820</v>
      </c>
      <c r="E3748" s="336" t="s">
        <v>10045</v>
      </c>
      <c r="F3748" s="196">
        <v>42432</v>
      </c>
      <c r="G3748" s="169"/>
      <c r="H3748" s="170">
        <v>1</v>
      </c>
      <c r="I3748" s="747">
        <f t="shared" si="96"/>
        <v>4.1666666666666664E-2</v>
      </c>
      <c r="J3748" s="899" t="s">
        <v>4706</v>
      </c>
      <c r="K3748" s="167" t="s">
        <v>5666</v>
      </c>
      <c r="L3748" s="167" t="s">
        <v>2313</v>
      </c>
      <c r="M3748" s="167"/>
      <c r="N3748" s="167" t="s">
        <v>2313</v>
      </c>
      <c r="O3748" s="167" t="s">
        <v>3295</v>
      </c>
      <c r="P3748" s="168" t="s">
        <v>10044</v>
      </c>
      <c r="Q3748" s="167" t="s">
        <v>3947</v>
      </c>
      <c r="R3748" s="172" t="s">
        <v>15463</v>
      </c>
      <c r="S3748" s="388"/>
      <c r="T3748" s="168" t="s">
        <v>8516</v>
      </c>
      <c r="U3748" s="168"/>
      <c r="V3748" s="168" t="s">
        <v>1767</v>
      </c>
      <c r="W3748" s="336" t="s">
        <v>10045</v>
      </c>
      <c r="X3748" s="668" t="s">
        <v>12443</v>
      </c>
      <c r="Y3748" s="352"/>
      <c r="Z3748" s="353"/>
      <c r="AA3748" s="353"/>
      <c r="AB3748" s="31">
        <f t="shared" ca="1" si="95"/>
        <v>0.79443225990192223</v>
      </c>
      <c r="AC3748" s="810"/>
      <c r="AD3748" s="811"/>
      <c r="AE3748" s="945"/>
      <c r="AF3748" s="920">
        <f>IF(X3748=X3747,AF3747,0)+IF(ISNUMBER(I3748),IF(I3748&lt;1,I3748,I3748*VLOOKUP(J3748,Summary!$H$2:$I$9,2)),VLOOKUP(J3748,Summary!$J$2:$K$9,2)*IF(ISNUMBER(H3748),H3748,1))</f>
        <v>0.24999999999999997</v>
      </c>
      <c r="AG3748" s="287">
        <v>3747</v>
      </c>
      <c r="AH3748" s="94"/>
      <c r="AI3748" s="94"/>
    </row>
    <row r="3749" spans="1:36" s="3" customFormat="1" ht="12" customHeight="1" x14ac:dyDescent="0.25">
      <c r="A3749" s="573" t="s">
        <v>10042</v>
      </c>
      <c r="B3749" s="573">
        <v>8</v>
      </c>
      <c r="C3749" s="573">
        <v>10.3</v>
      </c>
      <c r="D3749" s="407" t="s">
        <v>10821</v>
      </c>
      <c r="E3749" s="336" t="s">
        <v>6409</v>
      </c>
      <c r="F3749" s="196">
        <v>42432</v>
      </c>
      <c r="G3749" s="169"/>
      <c r="H3749" s="170">
        <v>1</v>
      </c>
      <c r="I3749" s="747">
        <f t="shared" si="96"/>
        <v>4.1666666666666664E-2</v>
      </c>
      <c r="J3749" s="899" t="s">
        <v>4706</v>
      </c>
      <c r="K3749" s="167" t="s">
        <v>941</v>
      </c>
      <c r="L3749" s="167" t="s">
        <v>2313</v>
      </c>
      <c r="M3749" s="167"/>
      <c r="N3749" s="167" t="s">
        <v>2313</v>
      </c>
      <c r="O3749" s="167" t="s">
        <v>3295</v>
      </c>
      <c r="P3749" s="168" t="s">
        <v>10044</v>
      </c>
      <c r="Q3749" s="167" t="s">
        <v>3947</v>
      </c>
      <c r="R3749" s="172" t="s">
        <v>15463</v>
      </c>
      <c r="S3749" s="388"/>
      <c r="T3749" s="168" t="s">
        <v>8516</v>
      </c>
      <c r="U3749" s="168"/>
      <c r="V3749" s="168" t="s">
        <v>1767</v>
      </c>
      <c r="W3749" s="336" t="s">
        <v>6409</v>
      </c>
      <c r="X3749" s="668" t="s">
        <v>12443</v>
      </c>
      <c r="Y3749" s="352"/>
      <c r="Z3749" s="353"/>
      <c r="AA3749" s="353"/>
      <c r="AB3749" s="31">
        <f t="shared" ca="1" si="95"/>
        <v>0.55738600380855552</v>
      </c>
      <c r="AC3749" s="810"/>
      <c r="AD3749" s="811"/>
      <c r="AE3749" s="945"/>
      <c r="AF3749" s="920">
        <f>IF(X3749=X3748,AF3748,0)+IF(ISNUMBER(I3749),IF(I3749&lt;1,I3749,I3749*VLOOKUP(J3749,Summary!$H$2:$I$9,2)),VLOOKUP(J3749,Summary!$J$2:$K$9,2)*IF(ISNUMBER(H3749),H3749,1))</f>
        <v>0.29166666666666663</v>
      </c>
      <c r="AG3749" s="287">
        <v>3748</v>
      </c>
      <c r="AH3749" s="94"/>
      <c r="AI3749" s="94"/>
      <c r="AJ3749" s="43"/>
    </row>
    <row r="3750" spans="1:36" s="3" customFormat="1" ht="12" customHeight="1" x14ac:dyDescent="0.25">
      <c r="A3750" s="573" t="s">
        <v>10042</v>
      </c>
      <c r="B3750" s="573">
        <v>8</v>
      </c>
      <c r="C3750" s="573">
        <v>10.4</v>
      </c>
      <c r="D3750" s="407" t="s">
        <v>10822</v>
      </c>
      <c r="E3750" s="336" t="s">
        <v>10046</v>
      </c>
      <c r="F3750" s="196">
        <v>42432</v>
      </c>
      <c r="G3750" s="169"/>
      <c r="H3750" s="170">
        <v>1</v>
      </c>
      <c r="I3750" s="747">
        <f t="shared" si="96"/>
        <v>4.1666666666666664E-2</v>
      </c>
      <c r="J3750" s="899" t="s">
        <v>4706</v>
      </c>
      <c r="K3750" s="167" t="s">
        <v>6452</v>
      </c>
      <c r="L3750" s="167" t="s">
        <v>2313</v>
      </c>
      <c r="M3750" s="167"/>
      <c r="N3750" s="167" t="s">
        <v>2313</v>
      </c>
      <c r="O3750" s="167" t="s">
        <v>3295</v>
      </c>
      <c r="P3750" s="168" t="s">
        <v>10044</v>
      </c>
      <c r="Q3750" s="167" t="s">
        <v>3947</v>
      </c>
      <c r="R3750" s="172" t="s">
        <v>15463</v>
      </c>
      <c r="S3750" s="388"/>
      <c r="T3750" s="168" t="s">
        <v>8516</v>
      </c>
      <c r="U3750" s="168" t="s">
        <v>7344</v>
      </c>
      <c r="V3750" s="168" t="s">
        <v>1767</v>
      </c>
      <c r="W3750" s="336" t="s">
        <v>10046</v>
      </c>
      <c r="X3750" s="668" t="s">
        <v>12443</v>
      </c>
      <c r="Y3750" s="352"/>
      <c r="Z3750" s="353"/>
      <c r="AA3750" s="353"/>
      <c r="AB3750" s="31">
        <f t="shared" ca="1" si="95"/>
        <v>0.40461072057557135</v>
      </c>
      <c r="AC3750" s="810"/>
      <c r="AD3750" s="811"/>
      <c r="AE3750" s="945"/>
      <c r="AF3750" s="920">
        <f>IF(X3750=X3749,AF3749,0)+IF(ISNUMBER(I3750),IF(I3750&lt;1,I3750,I3750*VLOOKUP(J3750,Summary!$H$2:$I$9,2)),VLOOKUP(J3750,Summary!$J$2:$K$9,2)*IF(ISNUMBER(H3750),H3750,1))</f>
        <v>0.33333333333333331</v>
      </c>
      <c r="AG3750" s="287">
        <v>3749</v>
      </c>
      <c r="AH3750" s="94"/>
      <c r="AI3750" s="94"/>
      <c r="AJ3750" s="29"/>
    </row>
    <row r="3751" spans="1:36" s="3" customFormat="1" ht="12" customHeight="1" x14ac:dyDescent="0.25">
      <c r="A3751" s="573" t="s">
        <v>10798</v>
      </c>
      <c r="B3751" s="573">
        <v>8</v>
      </c>
      <c r="C3751" s="573">
        <v>11.1</v>
      </c>
      <c r="D3751" s="407" t="s">
        <v>10823</v>
      </c>
      <c r="E3751" s="336" t="s">
        <v>10827</v>
      </c>
      <c r="F3751" s="196">
        <v>42635</v>
      </c>
      <c r="G3751" s="169"/>
      <c r="H3751" s="170">
        <v>1</v>
      </c>
      <c r="I3751" s="747">
        <f t="shared" si="96"/>
        <v>4.1666666666666664E-2</v>
      </c>
      <c r="J3751" s="899" t="s">
        <v>4706</v>
      </c>
      <c r="K3751" s="167" t="s">
        <v>5666</v>
      </c>
      <c r="L3751" s="167" t="s">
        <v>2313</v>
      </c>
      <c r="M3751" s="167"/>
      <c r="N3751" s="167" t="s">
        <v>2313</v>
      </c>
      <c r="O3751" s="167" t="s">
        <v>3295</v>
      </c>
      <c r="P3751" s="168" t="s">
        <v>10831</v>
      </c>
      <c r="Q3751" s="167" t="s">
        <v>3947</v>
      </c>
      <c r="R3751" s="172" t="s">
        <v>15463</v>
      </c>
      <c r="S3751" s="388"/>
      <c r="T3751" s="168" t="s">
        <v>8516</v>
      </c>
      <c r="U3751" s="168"/>
      <c r="V3751" s="168" t="s">
        <v>1767</v>
      </c>
      <c r="W3751" s="336" t="s">
        <v>10827</v>
      </c>
      <c r="X3751" s="668" t="s">
        <v>12443</v>
      </c>
      <c r="Y3751" s="352"/>
      <c r="Z3751" s="353"/>
      <c r="AA3751" s="353"/>
      <c r="AB3751" s="31">
        <f t="shared" ca="1" si="95"/>
        <v>0.83849741702140246</v>
      </c>
      <c r="AC3751" s="810"/>
      <c r="AD3751" s="811"/>
      <c r="AE3751" s="945"/>
      <c r="AF3751" s="920">
        <f>IF(X3751=X3750,AF3750,0)+IF(ISNUMBER(I3751),IF(I3751&lt;1,I3751,I3751*VLOOKUP(J3751,Summary!$H$2:$I$9,2)),VLOOKUP(J3751,Summary!$J$2:$K$9,2)*IF(ISNUMBER(H3751),H3751,1))</f>
        <v>0.375</v>
      </c>
      <c r="AG3751" s="287">
        <v>3750</v>
      </c>
      <c r="AH3751" s="94"/>
      <c r="AI3751" s="94"/>
      <c r="AJ3751" s="29"/>
    </row>
    <row r="3752" spans="1:36" s="3" customFormat="1" ht="12" customHeight="1" x14ac:dyDescent="0.25">
      <c r="A3752" s="573" t="s">
        <v>10798</v>
      </c>
      <c r="B3752" s="573">
        <v>8</v>
      </c>
      <c r="C3752" s="573">
        <v>11.2</v>
      </c>
      <c r="D3752" s="407" t="s">
        <v>10824</v>
      </c>
      <c r="E3752" s="336" t="s">
        <v>10828</v>
      </c>
      <c r="F3752" s="196">
        <v>42635</v>
      </c>
      <c r="G3752" s="169"/>
      <c r="H3752" s="170">
        <v>1</v>
      </c>
      <c r="I3752" s="747">
        <f t="shared" si="96"/>
        <v>4.1666666666666664E-2</v>
      </c>
      <c r="J3752" s="899" t="s">
        <v>4706</v>
      </c>
      <c r="K3752" s="167" t="s">
        <v>6452</v>
      </c>
      <c r="L3752" s="167" t="s">
        <v>2313</v>
      </c>
      <c r="M3752" s="167"/>
      <c r="N3752" s="167" t="s">
        <v>2313</v>
      </c>
      <c r="O3752" s="167" t="s">
        <v>3295</v>
      </c>
      <c r="P3752" s="168" t="s">
        <v>10831</v>
      </c>
      <c r="Q3752" s="167" t="s">
        <v>3947</v>
      </c>
      <c r="R3752" s="172" t="s">
        <v>15463</v>
      </c>
      <c r="S3752" s="388"/>
      <c r="T3752" s="168" t="s">
        <v>8516</v>
      </c>
      <c r="U3752" s="168" t="s">
        <v>7344</v>
      </c>
      <c r="V3752" s="168" t="s">
        <v>1767</v>
      </c>
      <c r="W3752" s="336" t="s">
        <v>10828</v>
      </c>
      <c r="X3752" s="668" t="s">
        <v>12443</v>
      </c>
      <c r="Y3752" s="352"/>
      <c r="Z3752" s="353"/>
      <c r="AA3752" s="353"/>
      <c r="AB3752" s="31">
        <f t="shared" ca="1" si="95"/>
        <v>0.4463094509317328</v>
      </c>
      <c r="AC3752" s="810"/>
      <c r="AD3752" s="811"/>
      <c r="AE3752" s="945"/>
      <c r="AF3752" s="920">
        <f>IF(X3752=X3751,AF3751,0)+IF(ISNUMBER(I3752),IF(I3752&lt;1,I3752,I3752*VLOOKUP(J3752,Summary!$H$2:$I$9,2)),VLOOKUP(J3752,Summary!$J$2:$K$9,2)*IF(ISNUMBER(H3752),H3752,1))</f>
        <v>0.41666666666666669</v>
      </c>
      <c r="AG3752" s="287">
        <v>3751</v>
      </c>
      <c r="AH3752" s="94"/>
      <c r="AI3752" s="94"/>
      <c r="AJ3752" s="29"/>
    </row>
    <row r="3753" spans="1:36" s="2" customFormat="1" ht="12" customHeight="1" x14ac:dyDescent="0.25">
      <c r="A3753" s="573" t="s">
        <v>10798</v>
      </c>
      <c r="B3753" s="573">
        <v>8</v>
      </c>
      <c r="C3753" s="573">
        <v>11.3</v>
      </c>
      <c r="D3753" s="407" t="s">
        <v>10825</v>
      </c>
      <c r="E3753" s="336" t="s">
        <v>10829</v>
      </c>
      <c r="F3753" s="196">
        <v>42635</v>
      </c>
      <c r="G3753" s="169"/>
      <c r="H3753" s="170">
        <v>1</v>
      </c>
      <c r="I3753" s="747">
        <f t="shared" si="96"/>
        <v>4.1666666666666664E-2</v>
      </c>
      <c r="J3753" s="899" t="s">
        <v>4706</v>
      </c>
      <c r="K3753" s="167" t="s">
        <v>6452</v>
      </c>
      <c r="L3753" s="167" t="s">
        <v>2313</v>
      </c>
      <c r="M3753" s="167"/>
      <c r="N3753" s="167" t="s">
        <v>2313</v>
      </c>
      <c r="O3753" s="167" t="s">
        <v>3295</v>
      </c>
      <c r="P3753" s="168" t="s">
        <v>10831</v>
      </c>
      <c r="Q3753" s="167" t="s">
        <v>3947</v>
      </c>
      <c r="R3753" s="172" t="s">
        <v>15463</v>
      </c>
      <c r="S3753" s="388"/>
      <c r="T3753" s="168" t="s">
        <v>8516</v>
      </c>
      <c r="U3753" s="168" t="s">
        <v>7344</v>
      </c>
      <c r="V3753" s="168" t="s">
        <v>1767</v>
      </c>
      <c r="W3753" s="336" t="s">
        <v>10829</v>
      </c>
      <c r="X3753" s="668" t="s">
        <v>12443</v>
      </c>
      <c r="Y3753" s="352"/>
      <c r="Z3753" s="353"/>
      <c r="AA3753" s="353"/>
      <c r="AB3753" s="31">
        <f t="shared" ca="1" si="95"/>
        <v>0.54910975273468754</v>
      </c>
      <c r="AC3753" s="810"/>
      <c r="AD3753" s="811"/>
      <c r="AE3753" s="945"/>
      <c r="AF3753" s="920">
        <f>IF(X3753=X3752,AF3752,0)+IF(ISNUMBER(I3753),IF(I3753&lt;1,I3753,I3753*VLOOKUP(J3753,Summary!$H$2:$I$9,2)),VLOOKUP(J3753,Summary!$J$2:$K$9,2)*IF(ISNUMBER(H3753),H3753,1))</f>
        <v>0.45833333333333337</v>
      </c>
      <c r="AG3753" s="287">
        <v>3752</v>
      </c>
      <c r="AH3753" s="94"/>
      <c r="AI3753" s="94"/>
    </row>
    <row r="3754" spans="1:36" s="3" customFormat="1" ht="12" customHeight="1" x14ac:dyDescent="0.25">
      <c r="A3754" s="573" t="s">
        <v>10798</v>
      </c>
      <c r="B3754" s="573">
        <v>8</v>
      </c>
      <c r="C3754" s="573">
        <v>11.4</v>
      </c>
      <c r="D3754" s="407" t="s">
        <v>10826</v>
      </c>
      <c r="E3754" s="336" t="s">
        <v>10830</v>
      </c>
      <c r="F3754" s="196">
        <v>42635</v>
      </c>
      <c r="G3754" s="169"/>
      <c r="H3754" s="170">
        <v>1</v>
      </c>
      <c r="I3754" s="747">
        <f t="shared" si="96"/>
        <v>4.1666666666666664E-2</v>
      </c>
      <c r="J3754" s="899" t="s">
        <v>4706</v>
      </c>
      <c r="K3754" s="167" t="s">
        <v>6452</v>
      </c>
      <c r="L3754" s="167" t="s">
        <v>2313</v>
      </c>
      <c r="M3754" s="167"/>
      <c r="N3754" s="167" t="s">
        <v>2313</v>
      </c>
      <c r="O3754" s="167" t="s">
        <v>3295</v>
      </c>
      <c r="P3754" s="168" t="s">
        <v>10831</v>
      </c>
      <c r="Q3754" s="167" t="s">
        <v>3947</v>
      </c>
      <c r="R3754" s="172" t="s">
        <v>15463</v>
      </c>
      <c r="S3754" s="388"/>
      <c r="T3754" s="168" t="s">
        <v>8516</v>
      </c>
      <c r="U3754" s="168" t="s">
        <v>7344</v>
      </c>
      <c r="V3754" s="168" t="s">
        <v>1767</v>
      </c>
      <c r="W3754" s="336" t="s">
        <v>10830</v>
      </c>
      <c r="X3754" s="668" t="s">
        <v>12443</v>
      </c>
      <c r="Y3754" s="352"/>
      <c r="Z3754" s="353"/>
      <c r="AA3754" s="353"/>
      <c r="AB3754" s="31">
        <f t="shared" ca="1" si="95"/>
        <v>0.45092517159030066</v>
      </c>
      <c r="AC3754" s="810"/>
      <c r="AD3754" s="811"/>
      <c r="AE3754" s="945"/>
      <c r="AF3754" s="920">
        <f>IF(X3754=X3753,AF3753,0)+IF(ISNUMBER(I3754),IF(I3754&lt;1,I3754,I3754*VLOOKUP(J3754,Summary!$H$2:$I$9,2)),VLOOKUP(J3754,Summary!$J$2:$K$9,2)*IF(ISNUMBER(H3754),H3754,1))</f>
        <v>0.5</v>
      </c>
      <c r="AG3754" s="287">
        <v>3753</v>
      </c>
      <c r="AH3754" s="94"/>
      <c r="AI3754" s="94"/>
      <c r="AJ3754" s="43"/>
    </row>
    <row r="3755" spans="1:36" s="43" customFormat="1" ht="12" customHeight="1" x14ac:dyDescent="0.25">
      <c r="A3755" s="573" t="s">
        <v>12867</v>
      </c>
      <c r="B3755" s="573">
        <v>8</v>
      </c>
      <c r="C3755" s="573">
        <v>12.1</v>
      </c>
      <c r="D3755" s="407" t="s">
        <v>12869</v>
      </c>
      <c r="E3755" s="336" t="s">
        <v>12873</v>
      </c>
      <c r="F3755" s="196">
        <v>42801</v>
      </c>
      <c r="G3755" s="169"/>
      <c r="H3755" s="170">
        <v>1</v>
      </c>
      <c r="I3755" s="747">
        <f t="shared" si="96"/>
        <v>4.1666666666666664E-2</v>
      </c>
      <c r="J3755" s="899" t="s">
        <v>4706</v>
      </c>
      <c r="K3755" s="167" t="s">
        <v>5666</v>
      </c>
      <c r="L3755" s="167" t="s">
        <v>2313</v>
      </c>
      <c r="M3755" s="167"/>
      <c r="N3755" s="167" t="s">
        <v>2313</v>
      </c>
      <c r="O3755" s="167" t="s">
        <v>3295</v>
      </c>
      <c r="P3755" s="168" t="s">
        <v>12868</v>
      </c>
      <c r="Q3755" s="167" t="s">
        <v>3947</v>
      </c>
      <c r="R3755" s="172" t="s">
        <v>15463</v>
      </c>
      <c r="S3755" s="388"/>
      <c r="T3755" s="168" t="s">
        <v>8516</v>
      </c>
      <c r="U3755" s="168"/>
      <c r="V3755" s="168" t="s">
        <v>1767</v>
      </c>
      <c r="W3755" s="336" t="s">
        <v>12873</v>
      </c>
      <c r="X3755" s="668" t="s">
        <v>12443</v>
      </c>
      <c r="Y3755" s="352"/>
      <c r="Z3755" s="353"/>
      <c r="AA3755" s="353"/>
      <c r="AB3755" s="31">
        <f t="shared" ca="1" si="95"/>
        <v>0.89904381368037334</v>
      </c>
      <c r="AC3755" s="810"/>
      <c r="AD3755" s="811"/>
      <c r="AE3755" s="945"/>
      <c r="AF3755" s="920">
        <f>IF(X3755=X3754,AF3754,0)+IF(ISNUMBER(I3755),IF(I3755&lt;1,I3755,I3755*VLOOKUP(J3755,Summary!$H$2:$I$9,2)),VLOOKUP(J3755,Summary!$J$2:$K$9,2)*IF(ISNUMBER(H3755),H3755,1))</f>
        <v>0.54166666666666663</v>
      </c>
      <c r="AG3755" s="287">
        <v>3754</v>
      </c>
      <c r="AH3755" s="94"/>
      <c r="AI3755" s="94"/>
    </row>
    <row r="3756" spans="1:36" s="43" customFormat="1" ht="12" customHeight="1" x14ac:dyDescent="0.25">
      <c r="A3756" s="573" t="s">
        <v>12867</v>
      </c>
      <c r="B3756" s="573">
        <v>8</v>
      </c>
      <c r="C3756" s="573">
        <v>12.2</v>
      </c>
      <c r="D3756" s="407" t="s">
        <v>12870</v>
      </c>
      <c r="E3756" s="336" t="s">
        <v>12874</v>
      </c>
      <c r="F3756" s="196">
        <v>42801</v>
      </c>
      <c r="G3756" s="169"/>
      <c r="H3756" s="170">
        <v>1</v>
      </c>
      <c r="I3756" s="747">
        <f t="shared" si="96"/>
        <v>4.1666666666666664E-2</v>
      </c>
      <c r="J3756" s="899" t="s">
        <v>4706</v>
      </c>
      <c r="K3756" s="167" t="s">
        <v>6452</v>
      </c>
      <c r="L3756" s="167" t="s">
        <v>2313</v>
      </c>
      <c r="M3756" s="167"/>
      <c r="N3756" s="167" t="s">
        <v>2313</v>
      </c>
      <c r="O3756" s="167" t="s">
        <v>3295</v>
      </c>
      <c r="P3756" s="168" t="s">
        <v>12868</v>
      </c>
      <c r="Q3756" s="167" t="s">
        <v>3947</v>
      </c>
      <c r="R3756" s="172" t="s">
        <v>15463</v>
      </c>
      <c r="S3756" s="388"/>
      <c r="T3756" s="168" t="s">
        <v>8516</v>
      </c>
      <c r="U3756" s="168" t="s">
        <v>7344</v>
      </c>
      <c r="V3756" s="168" t="s">
        <v>1767</v>
      </c>
      <c r="W3756" s="336" t="s">
        <v>12874</v>
      </c>
      <c r="X3756" s="668" t="s">
        <v>12443</v>
      </c>
      <c r="Y3756" s="352"/>
      <c r="Z3756" s="353"/>
      <c r="AA3756" s="353"/>
      <c r="AB3756" s="31">
        <f t="shared" ca="1" si="95"/>
        <v>0.14304708147661382</v>
      </c>
      <c r="AC3756" s="810"/>
      <c r="AD3756" s="811"/>
      <c r="AE3756" s="945"/>
      <c r="AF3756" s="920">
        <f>IF(X3756=X3755,AF3755,0)+IF(ISNUMBER(I3756),IF(I3756&lt;1,I3756,I3756*VLOOKUP(J3756,Summary!$H$2:$I$9,2)),VLOOKUP(J3756,Summary!$J$2:$K$9,2)*IF(ISNUMBER(H3756),H3756,1))</f>
        <v>0.58333333333333326</v>
      </c>
      <c r="AG3756" s="287">
        <v>3755</v>
      </c>
      <c r="AH3756" s="94"/>
      <c r="AI3756" s="94"/>
      <c r="AJ3756" s="22"/>
    </row>
    <row r="3757" spans="1:36" s="1" customFormat="1" ht="12" customHeight="1" x14ac:dyDescent="0.25">
      <c r="A3757" s="573" t="s">
        <v>12867</v>
      </c>
      <c r="B3757" s="573">
        <v>8</v>
      </c>
      <c r="C3757" s="573">
        <v>12.3</v>
      </c>
      <c r="D3757" s="407" t="s">
        <v>12871</v>
      </c>
      <c r="E3757" s="336" t="s">
        <v>12875</v>
      </c>
      <c r="F3757" s="196">
        <v>42801</v>
      </c>
      <c r="G3757" s="169"/>
      <c r="H3757" s="170">
        <v>1</v>
      </c>
      <c r="I3757" s="747">
        <f t="shared" si="96"/>
        <v>4.1666666666666664E-2</v>
      </c>
      <c r="J3757" s="899" t="s">
        <v>4706</v>
      </c>
      <c r="K3757" s="167" t="s">
        <v>6452</v>
      </c>
      <c r="L3757" s="167" t="s">
        <v>2313</v>
      </c>
      <c r="M3757" s="167"/>
      <c r="N3757" s="167" t="s">
        <v>2313</v>
      </c>
      <c r="O3757" s="167" t="s">
        <v>3295</v>
      </c>
      <c r="P3757" s="168" t="s">
        <v>12868</v>
      </c>
      <c r="Q3757" s="167" t="s">
        <v>3947</v>
      </c>
      <c r="R3757" s="172" t="s">
        <v>15463</v>
      </c>
      <c r="S3757" s="388"/>
      <c r="T3757" s="168" t="s">
        <v>8516</v>
      </c>
      <c r="U3757" s="168"/>
      <c r="V3757" s="168" t="s">
        <v>1767</v>
      </c>
      <c r="W3757" s="336" t="s">
        <v>12875</v>
      </c>
      <c r="X3757" s="668" t="s">
        <v>12443</v>
      </c>
      <c r="Y3757" s="352"/>
      <c r="Z3757" s="353"/>
      <c r="AA3757" s="353"/>
      <c r="AB3757" s="31">
        <f t="shared" ca="1" si="95"/>
        <v>0.24147160923075561</v>
      </c>
      <c r="AC3757" s="810"/>
      <c r="AD3757" s="811"/>
      <c r="AE3757" s="945"/>
      <c r="AF3757" s="920">
        <f>IF(X3757=X3756,AF3756,0)+IF(ISNUMBER(I3757),IF(I3757&lt;1,I3757,I3757*VLOOKUP(J3757,Summary!$H$2:$I$9,2)),VLOOKUP(J3757,Summary!$J$2:$K$9,2)*IF(ISNUMBER(H3757),H3757,1))</f>
        <v>0.62499999999999989</v>
      </c>
      <c r="AG3757" s="287">
        <v>3756</v>
      </c>
      <c r="AH3757" s="94"/>
      <c r="AI3757" s="94"/>
      <c r="AJ3757" s="43"/>
    </row>
    <row r="3758" spans="1:36" s="1" customFormat="1" ht="12" customHeight="1" x14ac:dyDescent="0.25">
      <c r="A3758" s="573" t="s">
        <v>12867</v>
      </c>
      <c r="B3758" s="573">
        <v>8</v>
      </c>
      <c r="C3758" s="573">
        <v>12.4</v>
      </c>
      <c r="D3758" s="407" t="s">
        <v>12872</v>
      </c>
      <c r="E3758" s="336" t="s">
        <v>12876</v>
      </c>
      <c r="F3758" s="196">
        <v>42801</v>
      </c>
      <c r="G3758" s="169"/>
      <c r="H3758" s="170">
        <v>1</v>
      </c>
      <c r="I3758" s="747">
        <f t="shared" si="96"/>
        <v>4.1666666666666664E-2</v>
      </c>
      <c r="J3758" s="899" t="s">
        <v>4706</v>
      </c>
      <c r="K3758" s="167" t="s">
        <v>5666</v>
      </c>
      <c r="L3758" s="167" t="s">
        <v>2313</v>
      </c>
      <c r="M3758" s="167"/>
      <c r="N3758" s="167" t="s">
        <v>2313</v>
      </c>
      <c r="O3758" s="167" t="s">
        <v>3295</v>
      </c>
      <c r="P3758" s="168" t="s">
        <v>12868</v>
      </c>
      <c r="Q3758" s="167" t="s">
        <v>3947</v>
      </c>
      <c r="R3758" s="172" t="s">
        <v>15463</v>
      </c>
      <c r="S3758" s="388"/>
      <c r="T3758" s="168" t="s">
        <v>8516</v>
      </c>
      <c r="U3758" s="168"/>
      <c r="V3758" s="168" t="s">
        <v>1767</v>
      </c>
      <c r="W3758" s="336" t="s">
        <v>12876</v>
      </c>
      <c r="X3758" s="668" t="s">
        <v>12443</v>
      </c>
      <c r="Y3758" s="352"/>
      <c r="Z3758" s="353"/>
      <c r="AA3758" s="353"/>
      <c r="AB3758" s="31">
        <f t="shared" ca="1" si="95"/>
        <v>5.8002685540347376E-2</v>
      </c>
      <c r="AC3758" s="810"/>
      <c r="AD3758" s="811"/>
      <c r="AE3758" s="945"/>
      <c r="AF3758" s="920">
        <f>IF(X3758=X3757,AF3757,0)+IF(ISNUMBER(I3758),IF(I3758&lt;1,I3758,I3758*VLOOKUP(J3758,Summary!$H$2:$I$9,2)),VLOOKUP(J3758,Summary!$J$2:$K$9,2)*IF(ISNUMBER(H3758),H3758,1))</f>
        <v>0.66666666666666652</v>
      </c>
      <c r="AG3758" s="287">
        <v>3757</v>
      </c>
      <c r="AH3758" s="94"/>
      <c r="AI3758" s="94"/>
      <c r="AJ3758" s="3"/>
    </row>
    <row r="3759" spans="1:36" s="3" customFormat="1" ht="12" customHeight="1" x14ac:dyDescent="0.25">
      <c r="A3759" s="573" t="s">
        <v>14282</v>
      </c>
      <c r="B3759" s="573">
        <v>8</v>
      </c>
      <c r="C3759" s="573">
        <v>13.1</v>
      </c>
      <c r="D3759" s="407" t="s">
        <v>14283</v>
      </c>
      <c r="E3759" s="336" t="s">
        <v>14284</v>
      </c>
      <c r="F3759" s="196">
        <v>43200</v>
      </c>
      <c r="G3759" s="169"/>
      <c r="H3759" s="170">
        <v>1</v>
      </c>
      <c r="I3759" s="747">
        <f t="shared" si="96"/>
        <v>4.1666666666666664E-2</v>
      </c>
      <c r="J3759" s="899" t="s">
        <v>4706</v>
      </c>
      <c r="K3759" s="167" t="s">
        <v>5666</v>
      </c>
      <c r="L3759" s="167" t="s">
        <v>2313</v>
      </c>
      <c r="M3759" s="167"/>
      <c r="N3759" s="167" t="s">
        <v>2313</v>
      </c>
      <c r="O3759" s="167" t="s">
        <v>3295</v>
      </c>
      <c r="P3759" s="168" t="s">
        <v>14285</v>
      </c>
      <c r="Q3759" s="167" t="s">
        <v>3947</v>
      </c>
      <c r="R3759" s="172" t="s">
        <v>15463</v>
      </c>
      <c r="S3759" s="388"/>
      <c r="T3759" s="168" t="s">
        <v>8516</v>
      </c>
      <c r="U3759" s="168"/>
      <c r="V3759" s="168" t="s">
        <v>1767</v>
      </c>
      <c r="W3759" s="336" t="s">
        <v>14284</v>
      </c>
      <c r="X3759" s="668" t="s">
        <v>14286</v>
      </c>
      <c r="Y3759" s="352"/>
      <c r="Z3759" s="353"/>
      <c r="AA3759" s="353"/>
      <c r="AB3759" s="31">
        <f t="shared" ca="1" si="95"/>
        <v>0.3865018400791681</v>
      </c>
      <c r="AC3759" s="810"/>
      <c r="AD3759" s="811"/>
      <c r="AE3759" s="945"/>
      <c r="AF3759" s="920">
        <f>IF(X3759=X3758,AF3758,0)+IF(ISNUMBER(I3759),IF(I3759&lt;1,I3759,I3759*VLOOKUP(J3759,Summary!$H$2:$I$9,2)),VLOOKUP(J3759,Summary!$J$2:$K$9,2)*IF(ISNUMBER(H3759),H3759,1))</f>
        <v>4.1666666666666664E-2</v>
      </c>
      <c r="AG3759" s="287">
        <v>3758</v>
      </c>
      <c r="AH3759" s="94"/>
      <c r="AI3759" s="94"/>
      <c r="AJ3759" s="29"/>
    </row>
    <row r="3760" spans="1:36" s="27" customFormat="1" ht="12" customHeight="1" x14ac:dyDescent="0.25">
      <c r="A3760" s="573" t="s">
        <v>14282</v>
      </c>
      <c r="B3760" s="573">
        <v>8</v>
      </c>
      <c r="C3760" s="573">
        <v>13.2</v>
      </c>
      <c r="D3760" s="407" t="s">
        <v>14287</v>
      </c>
      <c r="E3760" s="336" t="s">
        <v>14290</v>
      </c>
      <c r="F3760" s="196">
        <v>43200</v>
      </c>
      <c r="G3760" s="169"/>
      <c r="H3760" s="170">
        <v>1</v>
      </c>
      <c r="I3760" s="747">
        <f t="shared" si="96"/>
        <v>4.1666666666666664E-2</v>
      </c>
      <c r="J3760" s="899" t="s">
        <v>4706</v>
      </c>
      <c r="K3760" s="167" t="s">
        <v>5666</v>
      </c>
      <c r="L3760" s="167" t="s">
        <v>2313</v>
      </c>
      <c r="M3760" s="167"/>
      <c r="N3760" s="167" t="s">
        <v>2313</v>
      </c>
      <c r="O3760" s="167" t="s">
        <v>3295</v>
      </c>
      <c r="P3760" s="168" t="s">
        <v>14285</v>
      </c>
      <c r="Q3760" s="167" t="s">
        <v>3947</v>
      </c>
      <c r="R3760" s="172" t="s">
        <v>15463</v>
      </c>
      <c r="S3760" s="388"/>
      <c r="T3760" s="168" t="s">
        <v>8516</v>
      </c>
      <c r="U3760" s="168"/>
      <c r="V3760" s="168" t="s">
        <v>1767</v>
      </c>
      <c r="W3760" s="336" t="s">
        <v>14290</v>
      </c>
      <c r="X3760" s="668" t="s">
        <v>14286</v>
      </c>
      <c r="Y3760" s="352"/>
      <c r="Z3760" s="353"/>
      <c r="AA3760" s="353"/>
      <c r="AB3760" s="31">
        <f t="shared" ca="1" si="95"/>
        <v>0.67188105695373967</v>
      </c>
      <c r="AC3760" s="810"/>
      <c r="AD3760" s="811"/>
      <c r="AE3760" s="945"/>
      <c r="AF3760" s="920">
        <f>IF(X3760=X3759,AF3759,0)+IF(ISNUMBER(I3760),IF(I3760&lt;1,I3760,I3760*VLOOKUP(J3760,Summary!$H$2:$I$9,2)),VLOOKUP(J3760,Summary!$J$2:$K$9,2)*IF(ISNUMBER(H3760),H3760,1))</f>
        <v>8.3333333333333329E-2</v>
      </c>
      <c r="AG3760" s="287">
        <v>3759</v>
      </c>
      <c r="AH3760" s="94"/>
      <c r="AI3760" s="94"/>
    </row>
    <row r="3761" spans="1:36" s="1" customFormat="1" ht="12" customHeight="1" x14ac:dyDescent="0.25">
      <c r="A3761" s="573" t="s">
        <v>14282</v>
      </c>
      <c r="B3761" s="573">
        <v>8</v>
      </c>
      <c r="C3761" s="573">
        <v>13.3</v>
      </c>
      <c r="D3761" s="407" t="s">
        <v>14288</v>
      </c>
      <c r="E3761" s="336" t="s">
        <v>14291</v>
      </c>
      <c r="F3761" s="196">
        <v>43200</v>
      </c>
      <c r="G3761" s="169"/>
      <c r="H3761" s="170">
        <v>1</v>
      </c>
      <c r="I3761" s="747">
        <f t="shared" si="96"/>
        <v>4.1666666666666664E-2</v>
      </c>
      <c r="J3761" s="899" t="s">
        <v>4706</v>
      </c>
      <c r="K3761" s="167" t="s">
        <v>6452</v>
      </c>
      <c r="L3761" s="167" t="s">
        <v>2313</v>
      </c>
      <c r="M3761" s="167"/>
      <c r="N3761" s="167" t="s">
        <v>2313</v>
      </c>
      <c r="O3761" s="167" t="s">
        <v>3295</v>
      </c>
      <c r="P3761" s="168" t="s">
        <v>14285</v>
      </c>
      <c r="Q3761" s="167" t="s">
        <v>3947</v>
      </c>
      <c r="R3761" s="172" t="s">
        <v>15463</v>
      </c>
      <c r="S3761" s="388"/>
      <c r="T3761" s="168" t="s">
        <v>8516</v>
      </c>
      <c r="U3761" s="168"/>
      <c r="V3761" s="168" t="s">
        <v>1767</v>
      </c>
      <c r="W3761" s="336" t="s">
        <v>14291</v>
      </c>
      <c r="X3761" s="668" t="s">
        <v>14286</v>
      </c>
      <c r="Y3761" s="352"/>
      <c r="Z3761" s="353"/>
      <c r="AA3761" s="353"/>
      <c r="AB3761" s="31">
        <f t="shared" ca="1" si="95"/>
        <v>0.37680988941879834</v>
      </c>
      <c r="AC3761" s="810"/>
      <c r="AD3761" s="811"/>
      <c r="AE3761" s="945"/>
      <c r="AF3761" s="920">
        <f>IF(X3761=X3760,AF3760,0)+IF(ISNUMBER(I3761),IF(I3761&lt;1,I3761,I3761*VLOOKUP(J3761,Summary!$H$2:$I$9,2)),VLOOKUP(J3761,Summary!$J$2:$K$9,2)*IF(ISNUMBER(H3761),H3761,1))</f>
        <v>0.125</v>
      </c>
      <c r="AG3761" s="287">
        <v>3760</v>
      </c>
      <c r="AH3761" s="94"/>
      <c r="AI3761" s="94"/>
      <c r="AJ3761" s="2"/>
    </row>
    <row r="3762" spans="1:36" s="3" customFormat="1" ht="12" customHeight="1" x14ac:dyDescent="0.25">
      <c r="A3762" s="573" t="s">
        <v>14282</v>
      </c>
      <c r="B3762" s="573">
        <v>8</v>
      </c>
      <c r="C3762" s="573">
        <v>13.4</v>
      </c>
      <c r="D3762" s="407" t="s">
        <v>14289</v>
      </c>
      <c r="E3762" s="336" t="s">
        <v>14292</v>
      </c>
      <c r="F3762" s="196">
        <v>43200</v>
      </c>
      <c r="G3762" s="169"/>
      <c r="H3762" s="170">
        <v>1</v>
      </c>
      <c r="I3762" s="747">
        <f t="shared" si="96"/>
        <v>4.1666666666666664E-2</v>
      </c>
      <c r="J3762" s="899" t="s">
        <v>4706</v>
      </c>
      <c r="K3762" s="167" t="s">
        <v>6452</v>
      </c>
      <c r="L3762" s="167" t="s">
        <v>2313</v>
      </c>
      <c r="M3762" s="167"/>
      <c r="N3762" s="167" t="s">
        <v>2313</v>
      </c>
      <c r="O3762" s="167" t="s">
        <v>3295</v>
      </c>
      <c r="P3762" s="168" t="s">
        <v>14285</v>
      </c>
      <c r="Q3762" s="167" t="s">
        <v>3947</v>
      </c>
      <c r="R3762" s="172" t="s">
        <v>15463</v>
      </c>
      <c r="S3762" s="388"/>
      <c r="T3762" s="168" t="s">
        <v>8516</v>
      </c>
      <c r="U3762" s="168"/>
      <c r="V3762" s="168" t="s">
        <v>1767</v>
      </c>
      <c r="W3762" s="336" t="s">
        <v>14292</v>
      </c>
      <c r="X3762" s="668" t="s">
        <v>14286</v>
      </c>
      <c r="Y3762" s="352"/>
      <c r="Z3762" s="353"/>
      <c r="AA3762" s="353"/>
      <c r="AB3762" s="31">
        <f t="shared" ca="1" si="95"/>
        <v>0.16573108492451005</v>
      </c>
      <c r="AC3762" s="810"/>
      <c r="AD3762" s="811"/>
      <c r="AE3762" s="945"/>
      <c r="AF3762" s="920">
        <f>IF(X3762=X3761,AF3761,0)+IF(ISNUMBER(I3762),IF(I3762&lt;1,I3762,I3762*VLOOKUP(J3762,Summary!$H$2:$I$9,2)),VLOOKUP(J3762,Summary!$J$2:$K$9,2)*IF(ISNUMBER(H3762),H3762,1))</f>
        <v>0.16666666666666666</v>
      </c>
      <c r="AG3762" s="287">
        <v>3761</v>
      </c>
      <c r="AH3762" s="94"/>
      <c r="AI3762" s="94"/>
      <c r="AJ3762" s="2"/>
    </row>
    <row r="3763" spans="1:36" s="3" customFormat="1" ht="12" customHeight="1" x14ac:dyDescent="0.25">
      <c r="A3763" s="573" t="s">
        <v>15331</v>
      </c>
      <c r="B3763" s="573">
        <v>8</v>
      </c>
      <c r="C3763" s="573">
        <v>14.1</v>
      </c>
      <c r="D3763" s="407" t="s">
        <v>15332</v>
      </c>
      <c r="E3763" s="336" t="s">
        <v>15336</v>
      </c>
      <c r="F3763" s="196">
        <v>43382</v>
      </c>
      <c r="G3763" s="169"/>
      <c r="H3763" s="170">
        <v>1</v>
      </c>
      <c r="I3763" s="747">
        <f t="shared" si="96"/>
        <v>4.1666666666666664E-2</v>
      </c>
      <c r="J3763" s="899" t="s">
        <v>4706</v>
      </c>
      <c r="K3763" s="167" t="s">
        <v>6452</v>
      </c>
      <c r="L3763" s="167" t="s">
        <v>2313</v>
      </c>
      <c r="M3763" s="167"/>
      <c r="N3763" s="167" t="s">
        <v>2313</v>
      </c>
      <c r="O3763" s="167" t="s">
        <v>3295</v>
      </c>
      <c r="P3763" s="168" t="s">
        <v>15340</v>
      </c>
      <c r="Q3763" s="167" t="s">
        <v>3947</v>
      </c>
      <c r="R3763" s="172" t="s">
        <v>15463</v>
      </c>
      <c r="S3763" s="388"/>
      <c r="T3763" s="168" t="s">
        <v>8516</v>
      </c>
      <c r="U3763" s="168"/>
      <c r="V3763" s="168" t="s">
        <v>1767</v>
      </c>
      <c r="W3763" s="336" t="s">
        <v>15336</v>
      </c>
      <c r="X3763" s="668" t="s">
        <v>14286</v>
      </c>
      <c r="Y3763" s="352"/>
      <c r="Z3763" s="353"/>
      <c r="AA3763" s="353"/>
      <c r="AB3763" s="31">
        <f t="shared" ca="1" si="95"/>
        <v>0.49884737190239403</v>
      </c>
      <c r="AC3763" s="810"/>
      <c r="AD3763" s="811"/>
      <c r="AE3763" s="945"/>
      <c r="AF3763" s="920">
        <f>IF(X3763=X3762,AF3762,0)+IF(ISNUMBER(I3763),IF(I3763&lt;1,I3763,I3763*VLOOKUP(J3763,Summary!$H$2:$I$9,2)),VLOOKUP(J3763,Summary!$J$2:$K$9,2)*IF(ISNUMBER(H3763),H3763,1))</f>
        <v>0.20833333333333331</v>
      </c>
      <c r="AG3763" s="287">
        <v>3762</v>
      </c>
      <c r="AH3763" s="94"/>
      <c r="AI3763" s="94"/>
      <c r="AJ3763" s="43"/>
    </row>
    <row r="3764" spans="1:36" s="3" customFormat="1" ht="12" customHeight="1" x14ac:dyDescent="0.25">
      <c r="A3764" s="573" t="s">
        <v>15331</v>
      </c>
      <c r="B3764" s="573">
        <v>8</v>
      </c>
      <c r="C3764" s="573">
        <v>14.2</v>
      </c>
      <c r="D3764" s="407" t="s">
        <v>15333</v>
      </c>
      <c r="E3764" s="336" t="s">
        <v>15337</v>
      </c>
      <c r="F3764" s="196">
        <v>43382</v>
      </c>
      <c r="G3764" s="169"/>
      <c r="H3764" s="170">
        <v>1</v>
      </c>
      <c r="I3764" s="747">
        <f t="shared" si="96"/>
        <v>4.1666666666666664E-2</v>
      </c>
      <c r="J3764" s="899" t="s">
        <v>4706</v>
      </c>
      <c r="K3764" s="167" t="s">
        <v>5666</v>
      </c>
      <c r="L3764" s="167" t="s">
        <v>2313</v>
      </c>
      <c r="M3764" s="167"/>
      <c r="N3764" s="167" t="s">
        <v>2313</v>
      </c>
      <c r="O3764" s="167" t="s">
        <v>3295</v>
      </c>
      <c r="P3764" s="168" t="s">
        <v>15340</v>
      </c>
      <c r="Q3764" s="167" t="s">
        <v>3947</v>
      </c>
      <c r="R3764" s="172" t="s">
        <v>15463</v>
      </c>
      <c r="S3764" s="388"/>
      <c r="T3764" s="168" t="s">
        <v>8516</v>
      </c>
      <c r="U3764" s="168"/>
      <c r="V3764" s="168" t="s">
        <v>1767</v>
      </c>
      <c r="W3764" s="336" t="s">
        <v>15337</v>
      </c>
      <c r="X3764" s="668" t="s">
        <v>14286</v>
      </c>
      <c r="Y3764" s="352"/>
      <c r="Z3764" s="353"/>
      <c r="AA3764" s="353"/>
      <c r="AB3764" s="31">
        <f t="shared" ca="1" si="95"/>
        <v>8.7404190490290246E-2</v>
      </c>
      <c r="AC3764" s="810"/>
      <c r="AD3764" s="811"/>
      <c r="AE3764" s="945"/>
      <c r="AF3764" s="920">
        <f>IF(X3764=X3763,AF3763,0)+IF(ISNUMBER(I3764),IF(I3764&lt;1,I3764,I3764*VLOOKUP(J3764,Summary!$H$2:$I$9,2)),VLOOKUP(J3764,Summary!$J$2:$K$9,2)*IF(ISNUMBER(H3764),H3764,1))</f>
        <v>0.24999999999999997</v>
      </c>
      <c r="AG3764" s="287">
        <v>3763</v>
      </c>
      <c r="AH3764" s="94"/>
      <c r="AI3764" s="94"/>
      <c r="AJ3764" s="29"/>
    </row>
    <row r="3765" spans="1:36" s="3" customFormat="1" ht="12" customHeight="1" x14ac:dyDescent="0.25">
      <c r="A3765" s="573" t="s">
        <v>15331</v>
      </c>
      <c r="B3765" s="573">
        <v>8</v>
      </c>
      <c r="C3765" s="573">
        <v>14.3</v>
      </c>
      <c r="D3765" s="407" t="s">
        <v>15334</v>
      </c>
      <c r="E3765" s="336" t="s">
        <v>15338</v>
      </c>
      <c r="F3765" s="196">
        <v>43382</v>
      </c>
      <c r="G3765" s="169"/>
      <c r="H3765" s="170">
        <v>1</v>
      </c>
      <c r="I3765" s="747">
        <f t="shared" si="96"/>
        <v>4.1666666666666664E-2</v>
      </c>
      <c r="J3765" s="899" t="s">
        <v>4706</v>
      </c>
      <c r="K3765" s="167" t="s">
        <v>5666</v>
      </c>
      <c r="L3765" s="167" t="s">
        <v>2313</v>
      </c>
      <c r="M3765" s="167"/>
      <c r="N3765" s="167" t="s">
        <v>2313</v>
      </c>
      <c r="O3765" s="167" t="s">
        <v>3295</v>
      </c>
      <c r="P3765" s="168" t="s">
        <v>15340</v>
      </c>
      <c r="Q3765" s="167" t="s">
        <v>3947</v>
      </c>
      <c r="R3765" s="172" t="s">
        <v>15463</v>
      </c>
      <c r="S3765" s="388"/>
      <c r="T3765" s="168" t="s">
        <v>8516</v>
      </c>
      <c r="U3765" s="168"/>
      <c r="V3765" s="168" t="s">
        <v>1767</v>
      </c>
      <c r="W3765" s="336" t="s">
        <v>15338</v>
      </c>
      <c r="X3765" s="668" t="s">
        <v>14286</v>
      </c>
      <c r="Y3765" s="352"/>
      <c r="Z3765" s="353"/>
      <c r="AA3765" s="353"/>
      <c r="AB3765" s="31">
        <f t="shared" ca="1" si="95"/>
        <v>4.0868313216822716E-2</v>
      </c>
      <c r="AC3765" s="810"/>
      <c r="AD3765" s="811"/>
      <c r="AE3765" s="945"/>
      <c r="AF3765" s="920">
        <f>IF(X3765=X3764,AF3764,0)+IF(ISNUMBER(I3765),IF(I3765&lt;1,I3765,I3765*VLOOKUP(J3765,Summary!$H$2:$I$9,2)),VLOOKUP(J3765,Summary!$J$2:$K$9,2)*IF(ISNUMBER(H3765),H3765,1))</f>
        <v>0.29166666666666663</v>
      </c>
      <c r="AG3765" s="287">
        <v>3764</v>
      </c>
      <c r="AH3765" s="94"/>
      <c r="AI3765" s="94"/>
      <c r="AJ3765" s="29"/>
    </row>
    <row r="3766" spans="1:36" s="3" customFormat="1" ht="12" customHeight="1" x14ac:dyDescent="0.25">
      <c r="A3766" s="573" t="s">
        <v>15331</v>
      </c>
      <c r="B3766" s="573">
        <v>8</v>
      </c>
      <c r="C3766" s="573">
        <v>14.4</v>
      </c>
      <c r="D3766" s="407" t="s">
        <v>15335</v>
      </c>
      <c r="E3766" s="336" t="s">
        <v>15339</v>
      </c>
      <c r="F3766" s="196">
        <v>43382</v>
      </c>
      <c r="G3766" s="169"/>
      <c r="H3766" s="170">
        <v>1</v>
      </c>
      <c r="I3766" s="747">
        <f t="shared" si="96"/>
        <v>4.1666666666666664E-2</v>
      </c>
      <c r="J3766" s="899" t="s">
        <v>4706</v>
      </c>
      <c r="K3766" s="167" t="s">
        <v>1826</v>
      </c>
      <c r="L3766" s="167" t="s">
        <v>2313</v>
      </c>
      <c r="M3766" s="167"/>
      <c r="N3766" s="167" t="s">
        <v>2313</v>
      </c>
      <c r="O3766" s="167" t="s">
        <v>3295</v>
      </c>
      <c r="P3766" s="168" t="s">
        <v>15340</v>
      </c>
      <c r="Q3766" s="167" t="s">
        <v>3947</v>
      </c>
      <c r="R3766" s="172" t="s">
        <v>15463</v>
      </c>
      <c r="S3766" s="388"/>
      <c r="T3766" s="168" t="s">
        <v>8516</v>
      </c>
      <c r="U3766" s="168"/>
      <c r="V3766" s="168" t="s">
        <v>1767</v>
      </c>
      <c r="W3766" s="336" t="s">
        <v>15339</v>
      </c>
      <c r="X3766" s="668" t="s">
        <v>14286</v>
      </c>
      <c r="Y3766" s="352"/>
      <c r="Z3766" s="353"/>
      <c r="AA3766" s="353"/>
      <c r="AB3766" s="31">
        <f t="shared" ca="1" si="95"/>
        <v>0.68558563907417591</v>
      </c>
      <c r="AC3766" s="810"/>
      <c r="AD3766" s="811"/>
      <c r="AE3766" s="945"/>
      <c r="AF3766" s="920">
        <f>IF(X3766=X3765,AF3765,0)+IF(ISNUMBER(I3766),IF(I3766&lt;1,I3766,I3766*VLOOKUP(J3766,Summary!$H$2:$I$9,2)),VLOOKUP(J3766,Summary!$J$2:$K$9,2)*IF(ISNUMBER(H3766),H3766,1))</f>
        <v>0.33333333333333331</v>
      </c>
      <c r="AG3766" s="287">
        <v>3765</v>
      </c>
      <c r="AH3766" s="94"/>
      <c r="AI3766" s="94"/>
      <c r="AJ3766" s="29"/>
    </row>
    <row r="3767" spans="1:36" s="3" customFormat="1" ht="12" customHeight="1" x14ac:dyDescent="0.25">
      <c r="A3767" s="572" t="s">
        <v>4918</v>
      </c>
      <c r="B3767" s="572">
        <v>8</v>
      </c>
      <c r="C3767" s="581">
        <v>0.1</v>
      </c>
      <c r="D3767" s="185" t="s">
        <v>11092</v>
      </c>
      <c r="E3767" s="314" t="s">
        <v>11097</v>
      </c>
      <c r="F3767" s="184">
        <v>42312</v>
      </c>
      <c r="G3767" s="184"/>
      <c r="H3767" s="185">
        <v>1</v>
      </c>
      <c r="I3767" s="185">
        <v>22</v>
      </c>
      <c r="J3767" s="901" t="s">
        <v>1796</v>
      </c>
      <c r="K3767" s="163" t="s">
        <v>2310</v>
      </c>
      <c r="L3767" s="163" t="s">
        <v>11090</v>
      </c>
      <c r="M3767" s="163" t="s">
        <v>10920</v>
      </c>
      <c r="N3767" s="163" t="s">
        <v>10882</v>
      </c>
      <c r="O3767" s="163"/>
      <c r="P3767" s="182" t="s">
        <v>461</v>
      </c>
      <c r="Q3767" s="163" t="s">
        <v>7076</v>
      </c>
      <c r="R3767" s="186" t="s">
        <v>10875</v>
      </c>
      <c r="S3767" s="355"/>
      <c r="T3767" s="182" t="s">
        <v>11091</v>
      </c>
      <c r="U3767" s="182"/>
      <c r="V3767" s="182"/>
      <c r="W3767" s="314" t="s">
        <v>11097</v>
      </c>
      <c r="X3767" s="646" t="s">
        <v>12491</v>
      </c>
      <c r="Y3767" s="355" t="s">
        <v>6000</v>
      </c>
      <c r="Z3767" s="185"/>
      <c r="AA3767" s="185"/>
      <c r="AB3767" s="33">
        <f t="shared" ca="1" si="95"/>
        <v>0.77701346498985369</v>
      </c>
      <c r="AC3767" s="813"/>
      <c r="AD3767" s="211"/>
      <c r="AE3767" s="941"/>
      <c r="AF3767" s="922">
        <f>IF(X3767=X3766,AF3766,0)+IF(ISNUMBER(I3767),IF(I3767&lt;1,I3767,I3767*VLOOKUP(J3767,Summary!$H$2:$I$9,2)),VLOOKUP(J3767,Summary!$J$2:$K$9,2)*IF(ISNUMBER(H3767),H3767,1))</f>
        <v>7.6388888888888895E-3</v>
      </c>
      <c r="AG3767" s="290">
        <v>3766</v>
      </c>
      <c r="AH3767" s="94"/>
      <c r="AI3767" s="94"/>
      <c r="AJ3767" s="43"/>
    </row>
    <row r="3768" spans="1:36" s="3" customFormat="1" ht="12" customHeight="1" x14ac:dyDescent="0.25">
      <c r="A3768" s="572" t="s">
        <v>4918</v>
      </c>
      <c r="B3768" s="572">
        <v>8</v>
      </c>
      <c r="C3768" s="581">
        <v>0.2</v>
      </c>
      <c r="D3768" s="185" t="s">
        <v>11093</v>
      </c>
      <c r="E3768" s="314" t="s">
        <v>11098</v>
      </c>
      <c r="F3768" s="184">
        <v>42347</v>
      </c>
      <c r="G3768" s="184"/>
      <c r="H3768" s="185">
        <v>1</v>
      </c>
      <c r="I3768" s="185">
        <v>22</v>
      </c>
      <c r="J3768" s="901" t="s">
        <v>1796</v>
      </c>
      <c r="K3768" s="163" t="s">
        <v>2310</v>
      </c>
      <c r="L3768" s="163" t="s">
        <v>11090</v>
      </c>
      <c r="M3768" s="163" t="s">
        <v>10920</v>
      </c>
      <c r="N3768" s="163" t="s">
        <v>10882</v>
      </c>
      <c r="O3768" s="163"/>
      <c r="P3768" s="182" t="s">
        <v>461</v>
      </c>
      <c r="Q3768" s="163" t="s">
        <v>7076</v>
      </c>
      <c r="R3768" s="186" t="s">
        <v>10875</v>
      </c>
      <c r="S3768" s="355"/>
      <c r="T3768" s="182" t="s">
        <v>11091</v>
      </c>
      <c r="U3768" s="182"/>
      <c r="V3768" s="182"/>
      <c r="W3768" s="314" t="s">
        <v>11098</v>
      </c>
      <c r="X3768" s="646" t="s">
        <v>12491</v>
      </c>
      <c r="Y3768" s="355" t="s">
        <v>6000</v>
      </c>
      <c r="Z3768" s="185"/>
      <c r="AA3768" s="185"/>
      <c r="AB3768" s="33">
        <f t="shared" ca="1" si="95"/>
        <v>7.1328607384590792E-2</v>
      </c>
      <c r="AC3768" s="813"/>
      <c r="AD3768" s="211"/>
      <c r="AE3768" s="941"/>
      <c r="AF3768" s="922">
        <f>IF(X3768=X3767,AF3767,0)+IF(ISNUMBER(I3768),IF(I3768&lt;1,I3768,I3768*VLOOKUP(J3768,Summary!$H$2:$I$9,2)),VLOOKUP(J3768,Summary!$J$2:$K$9,2)*IF(ISNUMBER(H3768),H3768,1))</f>
        <v>1.5277777777777779E-2</v>
      </c>
      <c r="AG3768" s="290">
        <v>3767</v>
      </c>
      <c r="AH3768" s="94"/>
      <c r="AI3768" s="94"/>
      <c r="AJ3768" s="29"/>
    </row>
    <row r="3769" spans="1:36" s="3" customFormat="1" ht="12" customHeight="1" x14ac:dyDescent="0.25">
      <c r="A3769" s="572" t="s">
        <v>4918</v>
      </c>
      <c r="B3769" s="572">
        <v>8</v>
      </c>
      <c r="C3769" s="581">
        <v>0.3</v>
      </c>
      <c r="D3769" s="185" t="s">
        <v>11094</v>
      </c>
      <c r="E3769" s="314" t="s">
        <v>11099</v>
      </c>
      <c r="F3769" s="184">
        <v>42382</v>
      </c>
      <c r="G3769" s="184"/>
      <c r="H3769" s="185">
        <v>1</v>
      </c>
      <c r="I3769" s="185">
        <v>22</v>
      </c>
      <c r="J3769" s="901" t="s">
        <v>1796</v>
      </c>
      <c r="K3769" s="163" t="s">
        <v>2310</v>
      </c>
      <c r="L3769" s="163" t="s">
        <v>11090</v>
      </c>
      <c r="M3769" s="163" t="s">
        <v>10920</v>
      </c>
      <c r="N3769" s="163" t="s">
        <v>10882</v>
      </c>
      <c r="O3769" s="163"/>
      <c r="P3769" s="182" t="s">
        <v>461</v>
      </c>
      <c r="Q3769" s="163" t="s">
        <v>7076</v>
      </c>
      <c r="R3769" s="186" t="s">
        <v>10875</v>
      </c>
      <c r="S3769" s="355"/>
      <c r="T3769" s="182" t="s">
        <v>11091</v>
      </c>
      <c r="U3769" s="182"/>
      <c r="V3769" s="182"/>
      <c r="W3769" s="314" t="s">
        <v>11099</v>
      </c>
      <c r="X3769" s="646" t="s">
        <v>12491</v>
      </c>
      <c r="Y3769" s="355" t="s">
        <v>6000</v>
      </c>
      <c r="Z3769" s="185"/>
      <c r="AA3769" s="185"/>
      <c r="AB3769" s="33">
        <f t="shared" ca="1" si="95"/>
        <v>0.18748376191763494</v>
      </c>
      <c r="AC3769" s="813"/>
      <c r="AD3769" s="211"/>
      <c r="AE3769" s="941"/>
      <c r="AF3769" s="922">
        <f>IF(X3769=X3768,AF3768,0)+IF(ISNUMBER(I3769),IF(I3769&lt;1,I3769,I3769*VLOOKUP(J3769,Summary!$H$2:$I$9,2)),VLOOKUP(J3769,Summary!$J$2:$K$9,2)*IF(ISNUMBER(H3769),H3769,1))</f>
        <v>2.2916666666666669E-2</v>
      </c>
      <c r="AG3769" s="290">
        <v>3768</v>
      </c>
      <c r="AH3769" s="94"/>
      <c r="AI3769" s="94"/>
      <c r="AJ3769" s="29"/>
    </row>
    <row r="3770" spans="1:36" s="3" customFormat="1" ht="12" customHeight="1" x14ac:dyDescent="0.25">
      <c r="A3770" s="572" t="s">
        <v>4918</v>
      </c>
      <c r="B3770" s="572">
        <v>8</v>
      </c>
      <c r="C3770" s="581">
        <v>0.4</v>
      </c>
      <c r="D3770" s="185" t="s">
        <v>11095</v>
      </c>
      <c r="E3770" s="314" t="s">
        <v>11100</v>
      </c>
      <c r="F3770" s="184">
        <v>42417</v>
      </c>
      <c r="G3770" s="184"/>
      <c r="H3770" s="185">
        <v>1</v>
      </c>
      <c r="I3770" s="185">
        <v>22</v>
      </c>
      <c r="J3770" s="901" t="s">
        <v>1796</v>
      </c>
      <c r="K3770" s="163" t="s">
        <v>2310</v>
      </c>
      <c r="L3770" s="163" t="s">
        <v>11090</v>
      </c>
      <c r="M3770" s="163" t="s">
        <v>10920</v>
      </c>
      <c r="N3770" s="163" t="s">
        <v>10882</v>
      </c>
      <c r="O3770" s="163"/>
      <c r="P3770" s="182" t="s">
        <v>461</v>
      </c>
      <c r="Q3770" s="163" t="s">
        <v>7076</v>
      </c>
      <c r="R3770" s="186" t="s">
        <v>10875</v>
      </c>
      <c r="S3770" s="355" t="s">
        <v>6923</v>
      </c>
      <c r="T3770" s="182" t="s">
        <v>11091</v>
      </c>
      <c r="U3770" s="182"/>
      <c r="V3770" s="182">
        <v>12</v>
      </c>
      <c r="W3770" s="314" t="s">
        <v>11100</v>
      </c>
      <c r="X3770" s="646" t="s">
        <v>12491</v>
      </c>
      <c r="Y3770" s="355" t="s">
        <v>6000</v>
      </c>
      <c r="Z3770" s="185"/>
      <c r="AA3770" s="185"/>
      <c r="AB3770" s="33">
        <f t="shared" ca="1" si="95"/>
        <v>0.74576337684537153</v>
      </c>
      <c r="AC3770" s="813"/>
      <c r="AD3770" s="211"/>
      <c r="AE3770" s="941"/>
      <c r="AF3770" s="922">
        <f>IF(X3770=X3769,AF3769,0)+IF(ISNUMBER(I3770),IF(I3770&lt;1,I3770,I3770*VLOOKUP(J3770,Summary!$H$2:$I$9,2)),VLOOKUP(J3770,Summary!$J$2:$K$9,2)*IF(ISNUMBER(H3770),H3770,1))</f>
        <v>3.0555555555555558E-2</v>
      </c>
      <c r="AG3770" s="290">
        <v>3769</v>
      </c>
      <c r="AH3770" s="94"/>
      <c r="AI3770" s="94"/>
      <c r="AJ3770" s="29"/>
    </row>
    <row r="3771" spans="1:36" s="43" customFormat="1" ht="12" customHeight="1" x14ac:dyDescent="0.25">
      <c r="A3771" s="572" t="s">
        <v>4918</v>
      </c>
      <c r="B3771" s="572">
        <v>8</v>
      </c>
      <c r="C3771" s="581">
        <v>0.5</v>
      </c>
      <c r="D3771" s="185" t="s">
        <v>11096</v>
      </c>
      <c r="E3771" s="314" t="s">
        <v>6903</v>
      </c>
      <c r="F3771" s="184">
        <v>42445</v>
      </c>
      <c r="G3771" s="184"/>
      <c r="H3771" s="185">
        <v>1</v>
      </c>
      <c r="I3771" s="185">
        <v>22</v>
      </c>
      <c r="J3771" s="901" t="s">
        <v>1796</v>
      </c>
      <c r="K3771" s="163" t="s">
        <v>2310</v>
      </c>
      <c r="L3771" s="163" t="s">
        <v>11090</v>
      </c>
      <c r="M3771" s="163" t="s">
        <v>10920</v>
      </c>
      <c r="N3771" s="163" t="s">
        <v>10882</v>
      </c>
      <c r="O3771" s="163"/>
      <c r="P3771" s="182" t="s">
        <v>461</v>
      </c>
      <c r="Q3771" s="163" t="s">
        <v>7076</v>
      </c>
      <c r="R3771" s="186" t="s">
        <v>10875</v>
      </c>
      <c r="S3771" s="355" t="s">
        <v>6923</v>
      </c>
      <c r="T3771" s="182" t="s">
        <v>11091</v>
      </c>
      <c r="U3771" s="182"/>
      <c r="V3771" s="182">
        <v>12</v>
      </c>
      <c r="W3771" s="314" t="s">
        <v>6903</v>
      </c>
      <c r="X3771" s="646" t="s">
        <v>12491</v>
      </c>
      <c r="Y3771" s="355" t="s">
        <v>6000</v>
      </c>
      <c r="Z3771" s="185"/>
      <c r="AA3771" s="185"/>
      <c r="AB3771" s="33">
        <f t="shared" ca="1" si="95"/>
        <v>0.29581503939897302</v>
      </c>
      <c r="AC3771" s="813"/>
      <c r="AD3771" s="211"/>
      <c r="AE3771" s="941"/>
      <c r="AF3771" s="922">
        <f>IF(X3771=X3770,AF3770,0)+IF(ISNUMBER(I3771),IF(I3771&lt;1,I3771,I3771*VLOOKUP(J3771,Summary!$H$2:$I$9,2)),VLOOKUP(J3771,Summary!$J$2:$K$9,2)*IF(ISNUMBER(H3771),H3771,1))</f>
        <v>3.8194444444444448E-2</v>
      </c>
      <c r="AG3771" s="290">
        <v>3770</v>
      </c>
      <c r="AH3771" s="94"/>
      <c r="AI3771" s="94"/>
      <c r="AJ3771" s="29"/>
    </row>
    <row r="3772" spans="1:36" s="3" customFormat="1" ht="12" customHeight="1" x14ac:dyDescent="0.25">
      <c r="A3772" s="572" t="s">
        <v>4918</v>
      </c>
      <c r="B3772" s="572">
        <v>8</v>
      </c>
      <c r="C3772" s="582">
        <v>0.08</v>
      </c>
      <c r="D3772" s="185" t="s">
        <v>15389</v>
      </c>
      <c r="E3772" s="314" t="s">
        <v>15390</v>
      </c>
      <c r="F3772" s="184">
        <v>43369</v>
      </c>
      <c r="G3772" s="184"/>
      <c r="H3772" s="185">
        <v>1</v>
      </c>
      <c r="I3772" s="185">
        <v>4</v>
      </c>
      <c r="J3772" s="901" t="s">
        <v>1796</v>
      </c>
      <c r="K3772" s="163" t="s">
        <v>2675</v>
      </c>
      <c r="L3772" s="163" t="s">
        <v>3365</v>
      </c>
      <c r="M3772" s="163" t="s">
        <v>3365</v>
      </c>
      <c r="N3772" s="163"/>
      <c r="O3772" s="163"/>
      <c r="P3772" s="182" t="s">
        <v>461</v>
      </c>
      <c r="Q3772" s="163" t="s">
        <v>7076</v>
      </c>
      <c r="R3772" s="186" t="s">
        <v>10875</v>
      </c>
      <c r="S3772" s="355"/>
      <c r="T3772" s="182" t="s">
        <v>11091</v>
      </c>
      <c r="U3772" s="182"/>
      <c r="V3772" s="182"/>
      <c r="W3772" s="314" t="s">
        <v>15390</v>
      </c>
      <c r="X3772" s="646" t="s">
        <v>12491</v>
      </c>
      <c r="Y3772" s="355"/>
      <c r="Z3772" s="185"/>
      <c r="AA3772" s="185"/>
      <c r="AB3772" s="33">
        <f t="shared" ca="1" si="95"/>
        <v>0.6219820989747632</v>
      </c>
      <c r="AC3772" s="813"/>
      <c r="AD3772" s="819"/>
      <c r="AE3772" s="875"/>
      <c r="AF3772" s="922">
        <f>IF(X3772=X3771,AF3771,0)+IF(ISNUMBER(I3772),IF(I3772&lt;1,I3772,I3772*VLOOKUP(J3772,Summary!$H$2:$I$9,2)),VLOOKUP(J3772,Summary!$J$2:$K$9,2)*IF(ISNUMBER(H3772),H3772,1))</f>
        <v>3.9583333333333338E-2</v>
      </c>
      <c r="AG3772" s="290">
        <v>3771</v>
      </c>
      <c r="AH3772" s="94"/>
      <c r="AI3772" s="94"/>
      <c r="AJ3772" s="29"/>
    </row>
    <row r="3773" spans="1:36" s="3" customFormat="1" ht="12" customHeight="1" x14ac:dyDescent="0.25">
      <c r="A3773" s="571" t="s">
        <v>4918</v>
      </c>
      <c r="B3773" s="571">
        <v>8</v>
      </c>
      <c r="C3773" s="575">
        <v>8</v>
      </c>
      <c r="D3773" s="176" t="s">
        <v>13288</v>
      </c>
      <c r="E3773" s="313" t="s">
        <v>13289</v>
      </c>
      <c r="F3773" s="175">
        <v>42649</v>
      </c>
      <c r="G3773" s="174"/>
      <c r="H3773" s="176" t="s">
        <v>461</v>
      </c>
      <c r="I3773" s="176"/>
      <c r="J3773" s="900" t="s">
        <v>2755</v>
      </c>
      <c r="K3773" s="164" t="s">
        <v>179</v>
      </c>
      <c r="L3773" s="164" t="s">
        <v>13290</v>
      </c>
      <c r="M3773" s="164"/>
      <c r="N3773" s="164"/>
      <c r="O3773" s="164"/>
      <c r="P3773" s="173" t="s">
        <v>12400</v>
      </c>
      <c r="Q3773" s="164" t="s">
        <v>3953</v>
      </c>
      <c r="R3773" s="177" t="s">
        <v>13260</v>
      </c>
      <c r="S3773" s="354" t="s">
        <v>2326</v>
      </c>
      <c r="T3773" s="173"/>
      <c r="U3773" s="173"/>
      <c r="V3773" s="173"/>
      <c r="W3773" s="313" t="s">
        <v>13289</v>
      </c>
      <c r="X3773" s="645" t="s">
        <v>12491</v>
      </c>
      <c r="Y3773" s="354"/>
      <c r="Z3773" s="176"/>
      <c r="AA3773" s="176"/>
      <c r="AB3773" s="32">
        <f t="shared" ca="1" si="95"/>
        <v>0.50253747974389773</v>
      </c>
      <c r="AC3773" s="812"/>
      <c r="AD3773" s="763"/>
      <c r="AE3773" s="807"/>
      <c r="AF3773" s="921">
        <f>IF(X3773=X3772,AF3772,0)+IF(ISNUMBER(I3773),IF(I3773&lt;1,I3773,I3773*VLOOKUP(J3773,Summary!$H$2:$I$9,2)),VLOOKUP(J3773,Summary!$J$2:$K$9,2)*IF(ISNUMBER(H3773),H3773,1))</f>
        <v>5.694444444444445E-2</v>
      </c>
      <c r="AG3773" s="289">
        <v>3772</v>
      </c>
      <c r="AH3773" s="94"/>
      <c r="AI3773" s="94"/>
      <c r="AJ3773" s="29"/>
    </row>
    <row r="3774" spans="1:36" s="3" customFormat="1" ht="12" customHeight="1" x14ac:dyDescent="0.25">
      <c r="A3774" s="405" t="s">
        <v>4918</v>
      </c>
      <c r="B3774" s="406" t="s">
        <v>2650</v>
      </c>
      <c r="C3774" s="405">
        <v>1.1000000000000001</v>
      </c>
      <c r="D3774" s="407" t="s">
        <v>10092</v>
      </c>
      <c r="E3774" s="336" t="s">
        <v>10096</v>
      </c>
      <c r="F3774" s="196">
        <v>42363</v>
      </c>
      <c r="G3774" s="169"/>
      <c r="H3774" s="170">
        <v>1</v>
      </c>
      <c r="I3774" s="747">
        <f>TIME(0,60,0)</f>
        <v>4.1666666666666664E-2</v>
      </c>
      <c r="J3774" s="899" t="s">
        <v>4706</v>
      </c>
      <c r="K3774" s="167" t="s">
        <v>10100</v>
      </c>
      <c r="L3774" s="167" t="s">
        <v>2313</v>
      </c>
      <c r="M3774" s="167"/>
      <c r="N3774" s="167"/>
      <c r="O3774" s="167" t="s">
        <v>2500</v>
      </c>
      <c r="P3774" s="168" t="s">
        <v>10101</v>
      </c>
      <c r="Q3774" s="167" t="s">
        <v>3947</v>
      </c>
      <c r="R3774" s="172" t="s">
        <v>10102</v>
      </c>
      <c r="S3774" s="388"/>
      <c r="T3774" s="168"/>
      <c r="U3774" s="168" t="s">
        <v>7344</v>
      </c>
      <c r="V3774" s="168"/>
      <c r="W3774" s="336" t="s">
        <v>10096</v>
      </c>
      <c r="X3774" s="668" t="s">
        <v>12491</v>
      </c>
      <c r="Y3774" s="352"/>
      <c r="Z3774" s="353"/>
      <c r="AA3774" s="353"/>
      <c r="AB3774" s="31">
        <f t="shared" ca="1" si="95"/>
        <v>0.21058201632743823</v>
      </c>
      <c r="AC3774" s="810"/>
      <c r="AD3774" s="811"/>
      <c r="AE3774" s="945"/>
      <c r="AF3774" s="920">
        <f>IF(X3774=X3773,AF3773,0)+IF(ISNUMBER(I3774),IF(I3774&lt;1,I3774,I3774*VLOOKUP(J3774,Summary!$H$2:$I$9,2)),VLOOKUP(J3774,Summary!$J$2:$K$9,2)*IF(ISNUMBER(H3774),H3774,1))</f>
        <v>9.8611111111111122E-2</v>
      </c>
      <c r="AG3774" s="287">
        <v>3773</v>
      </c>
      <c r="AH3774" s="94"/>
      <c r="AI3774" s="94"/>
      <c r="AJ3774" s="29"/>
    </row>
    <row r="3775" spans="1:36" s="3" customFormat="1" ht="12" customHeight="1" x14ac:dyDescent="0.25">
      <c r="A3775" s="405" t="s">
        <v>4918</v>
      </c>
      <c r="B3775" s="406" t="s">
        <v>2650</v>
      </c>
      <c r="C3775" s="405">
        <v>1.2</v>
      </c>
      <c r="D3775" s="407" t="s">
        <v>10093</v>
      </c>
      <c r="E3775" s="336" t="s">
        <v>10097</v>
      </c>
      <c r="F3775" s="196">
        <v>42363</v>
      </c>
      <c r="G3775" s="169"/>
      <c r="H3775" s="170">
        <v>1</v>
      </c>
      <c r="I3775" s="747">
        <f>TIME(0,60,0)</f>
        <v>4.1666666666666664E-2</v>
      </c>
      <c r="J3775" s="899" t="s">
        <v>4706</v>
      </c>
      <c r="K3775" s="167" t="s">
        <v>543</v>
      </c>
      <c r="L3775" s="167" t="s">
        <v>2313</v>
      </c>
      <c r="M3775" s="167"/>
      <c r="N3775" s="167"/>
      <c r="O3775" s="167" t="s">
        <v>2500</v>
      </c>
      <c r="P3775" s="168" t="s">
        <v>10101</v>
      </c>
      <c r="Q3775" s="167" t="s">
        <v>3947</v>
      </c>
      <c r="R3775" s="172" t="s">
        <v>10102</v>
      </c>
      <c r="S3775" s="388"/>
      <c r="T3775" s="168"/>
      <c r="U3775" s="168" t="s">
        <v>7344</v>
      </c>
      <c r="V3775" s="168"/>
      <c r="W3775" s="336" t="s">
        <v>10097</v>
      </c>
      <c r="X3775" s="668" t="s">
        <v>12491</v>
      </c>
      <c r="Y3775" s="352"/>
      <c r="Z3775" s="353"/>
      <c r="AA3775" s="353"/>
      <c r="AB3775" s="31">
        <f t="shared" ca="1" si="95"/>
        <v>0.4341258984935733</v>
      </c>
      <c r="AC3775" s="810"/>
      <c r="AD3775" s="811"/>
      <c r="AE3775" s="945"/>
      <c r="AF3775" s="920">
        <f>IF(X3775=X3774,AF3774,0)+IF(ISNUMBER(I3775),IF(I3775&lt;1,I3775,I3775*VLOOKUP(J3775,Summary!$H$2:$I$9,2)),VLOOKUP(J3775,Summary!$J$2:$K$9,2)*IF(ISNUMBER(H3775),H3775,1))</f>
        <v>0.14027777777777778</v>
      </c>
      <c r="AG3775" s="287">
        <v>3774</v>
      </c>
      <c r="AH3775" s="94"/>
      <c r="AI3775" s="94"/>
      <c r="AJ3775" s="29"/>
    </row>
    <row r="3776" spans="1:36" s="22" customFormat="1" ht="12" customHeight="1" x14ac:dyDescent="0.2">
      <c r="A3776" s="405" t="s">
        <v>4918</v>
      </c>
      <c r="B3776" s="406" t="s">
        <v>2650</v>
      </c>
      <c r="C3776" s="405">
        <v>1.3</v>
      </c>
      <c r="D3776" s="407" t="s">
        <v>10094</v>
      </c>
      <c r="E3776" s="336" t="s">
        <v>10098</v>
      </c>
      <c r="F3776" s="196">
        <v>42363</v>
      </c>
      <c r="G3776" s="169"/>
      <c r="H3776" s="170">
        <v>1</v>
      </c>
      <c r="I3776" s="747">
        <f>TIME(0,60,0)</f>
        <v>4.1666666666666664E-2</v>
      </c>
      <c r="J3776" s="899" t="s">
        <v>4706</v>
      </c>
      <c r="K3776" s="167" t="s">
        <v>1643</v>
      </c>
      <c r="L3776" s="167" t="s">
        <v>2313</v>
      </c>
      <c r="M3776" s="167"/>
      <c r="N3776" s="167"/>
      <c r="O3776" s="167" t="s">
        <v>2500</v>
      </c>
      <c r="P3776" s="168" t="s">
        <v>10101</v>
      </c>
      <c r="Q3776" s="167" t="s">
        <v>3947</v>
      </c>
      <c r="R3776" s="172" t="s">
        <v>10102</v>
      </c>
      <c r="S3776" s="388"/>
      <c r="T3776" s="168"/>
      <c r="U3776" s="168" t="s">
        <v>7344</v>
      </c>
      <c r="V3776" s="168"/>
      <c r="W3776" s="336" t="s">
        <v>10098</v>
      </c>
      <c r="X3776" s="668" t="s">
        <v>12491</v>
      </c>
      <c r="Y3776" s="352"/>
      <c r="Z3776" s="353"/>
      <c r="AA3776" s="353"/>
      <c r="AB3776" s="31">
        <f t="shared" ca="1" si="95"/>
        <v>4.0184371923807305E-2</v>
      </c>
      <c r="AC3776" s="810"/>
      <c r="AD3776" s="811"/>
      <c r="AE3776" s="945"/>
      <c r="AF3776" s="920">
        <f>IF(X3776=X3775,AF3775,0)+IF(ISNUMBER(I3776),IF(I3776&lt;1,I3776,I3776*VLOOKUP(J3776,Summary!$H$2:$I$9,2)),VLOOKUP(J3776,Summary!$J$2:$K$9,2)*IF(ISNUMBER(H3776),H3776,1))</f>
        <v>0.18194444444444444</v>
      </c>
      <c r="AG3776" s="287">
        <v>3775</v>
      </c>
      <c r="AH3776" s="94"/>
      <c r="AI3776" s="94"/>
    </row>
    <row r="3777" spans="1:36" s="3" customFormat="1" ht="12" customHeight="1" x14ac:dyDescent="0.25">
      <c r="A3777" s="573" t="s">
        <v>4918</v>
      </c>
      <c r="B3777" s="573">
        <v>8</v>
      </c>
      <c r="C3777" s="573">
        <v>1.4</v>
      </c>
      <c r="D3777" s="407" t="s">
        <v>10095</v>
      </c>
      <c r="E3777" s="336" t="s">
        <v>10099</v>
      </c>
      <c r="F3777" s="196">
        <v>42363</v>
      </c>
      <c r="G3777" s="169"/>
      <c r="H3777" s="170">
        <v>1</v>
      </c>
      <c r="I3777" s="747">
        <f>TIME(0,60,0)</f>
        <v>4.1666666666666664E-2</v>
      </c>
      <c r="J3777" s="899" t="s">
        <v>4706</v>
      </c>
      <c r="K3777" s="167" t="s">
        <v>6452</v>
      </c>
      <c r="L3777" s="167" t="s">
        <v>2313</v>
      </c>
      <c r="M3777" s="167"/>
      <c r="N3777" s="167"/>
      <c r="O3777" s="167" t="s">
        <v>2500</v>
      </c>
      <c r="P3777" s="168" t="s">
        <v>10101</v>
      </c>
      <c r="Q3777" s="167" t="s">
        <v>3947</v>
      </c>
      <c r="R3777" s="172" t="s">
        <v>10102</v>
      </c>
      <c r="S3777" s="388"/>
      <c r="T3777" s="168"/>
      <c r="U3777" s="168" t="s">
        <v>7344</v>
      </c>
      <c r="V3777" s="168"/>
      <c r="W3777" s="336" t="s">
        <v>10099</v>
      </c>
      <c r="X3777" s="668" t="s">
        <v>12491</v>
      </c>
      <c r="Y3777" s="352"/>
      <c r="Z3777" s="353"/>
      <c r="AA3777" s="353"/>
      <c r="AB3777" s="31">
        <f t="shared" ca="1" si="95"/>
        <v>0.40964583428651191</v>
      </c>
      <c r="AC3777" s="810"/>
      <c r="AD3777" s="811"/>
      <c r="AE3777" s="945"/>
      <c r="AF3777" s="920">
        <f>IF(X3777=X3776,AF3776,0)+IF(ISNUMBER(I3777),IF(I3777&lt;1,I3777,I3777*VLOOKUP(J3777,Summary!$H$2:$I$9,2)),VLOOKUP(J3777,Summary!$J$2:$K$9,2)*IF(ISNUMBER(H3777),H3777,1))</f>
        <v>0.22361111111111109</v>
      </c>
      <c r="AG3777" s="287">
        <v>3776</v>
      </c>
      <c r="AH3777" s="94"/>
      <c r="AI3777" s="94"/>
      <c r="AJ3777" s="29"/>
    </row>
    <row r="3778" spans="1:36" s="1" customFormat="1" ht="12" customHeight="1" x14ac:dyDescent="0.25">
      <c r="A3778" s="405" t="s">
        <v>4918</v>
      </c>
      <c r="B3778" s="406" t="s">
        <v>2650</v>
      </c>
      <c r="C3778" s="551">
        <v>1.1000000000000001</v>
      </c>
      <c r="D3778" s="407" t="s">
        <v>16966</v>
      </c>
      <c r="E3778" s="315" t="s">
        <v>12065</v>
      </c>
      <c r="F3778" s="196">
        <v>43532</v>
      </c>
      <c r="G3778" s="170"/>
      <c r="H3778" s="170">
        <v>1</v>
      </c>
      <c r="I3778" s="747">
        <f>TIME(0,60,0)</f>
        <v>4.1666666666666664E-2</v>
      </c>
      <c r="J3778" s="899" t="s">
        <v>4706</v>
      </c>
      <c r="K3778" s="167" t="s">
        <v>15725</v>
      </c>
      <c r="L3778" s="167" t="s">
        <v>12662</v>
      </c>
      <c r="M3778" s="167"/>
      <c r="N3778" s="167" t="s">
        <v>6452</v>
      </c>
      <c r="O3778" s="167" t="s">
        <v>16961</v>
      </c>
      <c r="P3778" s="168" t="s">
        <v>16962</v>
      </c>
      <c r="Q3778" s="167" t="s">
        <v>3947</v>
      </c>
      <c r="R3778" s="172" t="s">
        <v>16960</v>
      </c>
      <c r="S3778" s="388" t="s">
        <v>2608</v>
      </c>
      <c r="T3778" s="168"/>
      <c r="U3778" s="168" t="s">
        <v>7344</v>
      </c>
      <c r="V3778" s="168"/>
      <c r="W3778" s="315" t="s">
        <v>12065</v>
      </c>
      <c r="X3778" s="668" t="s">
        <v>12491</v>
      </c>
      <c r="Y3778" s="352"/>
      <c r="Z3778" s="353"/>
      <c r="AA3778" s="353"/>
      <c r="AB3778" s="31">
        <f t="shared" ref="AB3778:AB3841" ca="1" si="97">RAND()</f>
        <v>0.12825730498284393</v>
      </c>
      <c r="AC3778" s="810"/>
      <c r="AD3778" s="811"/>
      <c r="AE3778" s="940"/>
      <c r="AF3778" s="920">
        <f>IF(X3778=X3777,AF3777,0)+IF(ISNUMBER(I3778),IF(I3778&lt;1,I3778,I3778*VLOOKUP(J3778,Summary!$H$2:$I$9,2)),VLOOKUP(J3778,Summary!$J$2:$K$9,2)*IF(ISNUMBER(H3778),H3778,1))</f>
        <v>0.26527777777777778</v>
      </c>
      <c r="AG3778" s="287">
        <v>3777</v>
      </c>
      <c r="AH3778" s="94"/>
      <c r="AI3778" s="94"/>
    </row>
    <row r="3779" spans="1:36" s="3" customFormat="1" ht="12" customHeight="1" x14ac:dyDescent="0.25">
      <c r="A3779" s="570" t="s">
        <v>4918</v>
      </c>
      <c r="B3779" s="570">
        <v>8</v>
      </c>
      <c r="C3779" s="576">
        <v>7.09</v>
      </c>
      <c r="D3779" s="192" t="s">
        <v>13008</v>
      </c>
      <c r="E3779" s="317" t="s">
        <v>13009</v>
      </c>
      <c r="F3779" s="209">
        <v>43005</v>
      </c>
      <c r="G3779" s="191"/>
      <c r="H3779" s="192">
        <v>1</v>
      </c>
      <c r="I3779" s="753">
        <f>TIME(0,34,52)</f>
        <v>2.4212962962962964E-2</v>
      </c>
      <c r="J3779" s="903" t="s">
        <v>2755</v>
      </c>
      <c r="K3779" s="194" t="s">
        <v>10216</v>
      </c>
      <c r="L3779" s="194" t="s">
        <v>5662</v>
      </c>
      <c r="M3779" s="194" t="s">
        <v>9420</v>
      </c>
      <c r="N3779" s="194"/>
      <c r="O3779" s="194"/>
      <c r="P3779" s="190" t="s">
        <v>13010</v>
      </c>
      <c r="Q3779" s="194" t="s">
        <v>3947</v>
      </c>
      <c r="R3779" s="193" t="s">
        <v>2722</v>
      </c>
      <c r="S3779" s="357" t="s">
        <v>2607</v>
      </c>
      <c r="T3779" s="190"/>
      <c r="U3779" s="190"/>
      <c r="V3779" s="190"/>
      <c r="W3779" s="317" t="s">
        <v>13009</v>
      </c>
      <c r="X3779" s="662" t="s">
        <v>12491</v>
      </c>
      <c r="Y3779" s="357" t="s">
        <v>5643</v>
      </c>
      <c r="Z3779" s="192"/>
      <c r="AA3779" s="192"/>
      <c r="AB3779" s="37">
        <f t="shared" ca="1" si="97"/>
        <v>0.33802467689879301</v>
      </c>
      <c r="AC3779" s="816"/>
      <c r="AD3779" s="817"/>
      <c r="AE3779" s="943"/>
      <c r="AF3779" s="924">
        <f>IF(X3779=X3778,AF3778,0)+IF(ISNUMBER(I3779),IF(I3779&lt;1,I3779,I3779*VLOOKUP(J3779,Summary!$H$2:$I$9,2)),VLOOKUP(J3779,Summary!$J$2:$K$9,2)*IF(ISNUMBER(H3779),H3779,1))</f>
        <v>0.28949074074074077</v>
      </c>
      <c r="AG3779" s="292">
        <v>3778</v>
      </c>
      <c r="AH3779" s="94"/>
      <c r="AI3779" s="94"/>
      <c r="AJ3779" s="29"/>
    </row>
    <row r="3780" spans="1:36" s="43" customFormat="1" ht="12" customHeight="1" x14ac:dyDescent="0.25">
      <c r="A3780" s="571" t="s">
        <v>4918</v>
      </c>
      <c r="B3780" s="571">
        <v>8</v>
      </c>
      <c r="C3780" s="575">
        <v>9</v>
      </c>
      <c r="D3780" s="176" t="s">
        <v>9783</v>
      </c>
      <c r="E3780" s="313" t="s">
        <v>9782</v>
      </c>
      <c r="F3780" s="175">
        <v>42159</v>
      </c>
      <c r="G3780" s="174"/>
      <c r="H3780" s="176" t="s">
        <v>461</v>
      </c>
      <c r="I3780" s="176"/>
      <c r="J3780" s="900" t="s">
        <v>2755</v>
      </c>
      <c r="K3780" s="164" t="s">
        <v>543</v>
      </c>
      <c r="L3780" s="164" t="s">
        <v>461</v>
      </c>
      <c r="M3780" s="164"/>
      <c r="N3780" s="164"/>
      <c r="O3780" s="164"/>
      <c r="P3780" s="173" t="s">
        <v>9509</v>
      </c>
      <c r="Q3780" s="164" t="s">
        <v>3953</v>
      </c>
      <c r="R3780" s="177" t="s">
        <v>9510</v>
      </c>
      <c r="S3780" s="354"/>
      <c r="T3780" s="173"/>
      <c r="U3780" s="173"/>
      <c r="V3780" s="173"/>
      <c r="W3780" s="313" t="s">
        <v>9782</v>
      </c>
      <c r="X3780" s="645" t="s">
        <v>12491</v>
      </c>
      <c r="Y3780" s="354"/>
      <c r="Z3780" s="157"/>
      <c r="AA3780" s="176"/>
      <c r="AB3780" s="32">
        <f t="shared" ca="1" si="97"/>
        <v>0.56658788591225029</v>
      </c>
      <c r="AC3780" s="812"/>
      <c r="AD3780" s="763"/>
      <c r="AE3780" s="807"/>
      <c r="AF3780" s="921">
        <f>IF(X3780=X3779,AF3779,0)+IF(ISNUMBER(I3780),IF(I3780&lt;1,I3780,I3780*VLOOKUP(J3780,Summary!$H$2:$I$9,2)),VLOOKUP(J3780,Summary!$J$2:$K$9,2)*IF(ISNUMBER(H3780),H3780,1))</f>
        <v>0.30685185185185188</v>
      </c>
      <c r="AG3780" s="289">
        <v>3779</v>
      </c>
      <c r="AH3780" s="94"/>
      <c r="AI3780" s="94"/>
    </row>
    <row r="3781" spans="1:36" s="29" customFormat="1" ht="12" customHeight="1" x14ac:dyDescent="0.25">
      <c r="A3781" s="572" t="s">
        <v>4918</v>
      </c>
      <c r="B3781" s="572">
        <v>8</v>
      </c>
      <c r="C3781" s="582">
        <v>2.5099999999999998</v>
      </c>
      <c r="D3781" s="428" t="s">
        <v>3966</v>
      </c>
      <c r="E3781" s="325" t="s">
        <v>3967</v>
      </c>
      <c r="F3781" s="183">
        <v>39783</v>
      </c>
      <c r="G3781" s="183"/>
      <c r="H3781" s="185">
        <v>1</v>
      </c>
      <c r="I3781" s="185">
        <v>7</v>
      </c>
      <c r="J3781" s="901" t="s">
        <v>1796</v>
      </c>
      <c r="K3781" s="163" t="s">
        <v>3303</v>
      </c>
      <c r="L3781" s="163" t="s">
        <v>6572</v>
      </c>
      <c r="M3781" s="158" t="s">
        <v>6567</v>
      </c>
      <c r="N3781" s="158" t="s">
        <v>5717</v>
      </c>
      <c r="O3781" s="158"/>
      <c r="P3781" s="182" t="s">
        <v>461</v>
      </c>
      <c r="Q3781" s="158" t="s">
        <v>5719</v>
      </c>
      <c r="R3781" s="207" t="s">
        <v>5718</v>
      </c>
      <c r="S3781" s="355"/>
      <c r="T3781" s="182"/>
      <c r="U3781" s="182"/>
      <c r="V3781" s="182"/>
      <c r="W3781" s="321"/>
      <c r="X3781" s="653" t="s">
        <v>12491</v>
      </c>
      <c r="Y3781" s="355" t="s">
        <v>6000</v>
      </c>
      <c r="Z3781" s="362">
        <v>999</v>
      </c>
      <c r="AA3781" s="362"/>
      <c r="AB3781" s="33">
        <f t="shared" ca="1" si="97"/>
        <v>1.5331736990661482E-2</v>
      </c>
      <c r="AC3781" s="813"/>
      <c r="AD3781" s="211"/>
      <c r="AE3781" s="949"/>
      <c r="AF3781" s="922">
        <f>IF(X3781=X3780,AF3780,0)+IF(ISNUMBER(I3781),IF(I3781&lt;1,I3781,I3781*VLOOKUP(J3781,Summary!$H$2:$I$9,2)),VLOOKUP(J3781,Summary!$J$2:$K$9,2)*IF(ISNUMBER(H3781),H3781,1))</f>
        <v>0.30928240740740742</v>
      </c>
      <c r="AG3781" s="295">
        <v>3780</v>
      </c>
      <c r="AH3781" s="94"/>
      <c r="AI3781" s="94"/>
    </row>
    <row r="3782" spans="1:36" s="3" customFormat="1" ht="12" customHeight="1" x14ac:dyDescent="0.25">
      <c r="A3782" s="571" t="s">
        <v>4918</v>
      </c>
      <c r="B3782" s="571">
        <v>8</v>
      </c>
      <c r="C3782" s="574">
        <v>24.13</v>
      </c>
      <c r="D3782" s="434" t="s">
        <v>3781</v>
      </c>
      <c r="E3782" s="324" t="s">
        <v>4352</v>
      </c>
      <c r="F3782" s="174">
        <v>39264</v>
      </c>
      <c r="G3782" s="174"/>
      <c r="H3782" s="176">
        <v>1</v>
      </c>
      <c r="I3782" s="176">
        <v>15</v>
      </c>
      <c r="J3782" s="900" t="s">
        <v>2755</v>
      </c>
      <c r="K3782" s="164" t="s">
        <v>3782</v>
      </c>
      <c r="L3782" s="164" t="s">
        <v>461</v>
      </c>
      <c r="M3782" s="164"/>
      <c r="N3782" s="164" t="s">
        <v>4425</v>
      </c>
      <c r="O3782" s="164"/>
      <c r="P3782" s="173" t="s">
        <v>5601</v>
      </c>
      <c r="Q3782" s="164" t="s">
        <v>3947</v>
      </c>
      <c r="R3782" s="179" t="s">
        <v>2723</v>
      </c>
      <c r="S3782" s="354"/>
      <c r="T3782" s="173"/>
      <c r="U3782" s="173"/>
      <c r="V3782" s="173"/>
      <c r="W3782" s="324" t="s">
        <v>4352</v>
      </c>
      <c r="X3782" s="656" t="s">
        <v>12491</v>
      </c>
      <c r="Y3782" s="363"/>
      <c r="Z3782" s="364"/>
      <c r="AA3782" s="364"/>
      <c r="AB3782" s="32">
        <f t="shared" ca="1" si="97"/>
        <v>0.36204575631843183</v>
      </c>
      <c r="AC3782" s="812"/>
      <c r="AD3782" s="763"/>
      <c r="AE3782" s="951"/>
      <c r="AF3782" s="921">
        <f>IF(X3782=X3781,AF3781,0)+IF(ISNUMBER(I3782),IF(I3782&lt;1,I3782,I3782*VLOOKUP(J3782,Summary!$H$2:$I$9,2)),VLOOKUP(J3782,Summary!$J$2:$K$9,2)*IF(ISNUMBER(H3782),H3782,1))</f>
        <v>0.31969907407407411</v>
      </c>
      <c r="AG3782" s="288">
        <v>3781</v>
      </c>
      <c r="AH3782" s="94"/>
      <c r="AI3782" s="94"/>
      <c r="AJ3782" s="43"/>
    </row>
    <row r="3783" spans="1:36" s="3" customFormat="1" ht="12" customHeight="1" x14ac:dyDescent="0.25">
      <c r="A3783" s="570" t="s">
        <v>4918</v>
      </c>
      <c r="B3783" s="570">
        <v>8</v>
      </c>
      <c r="C3783" s="576">
        <v>7.1</v>
      </c>
      <c r="D3783" s="192" t="s">
        <v>13011</v>
      </c>
      <c r="E3783" s="317" t="s">
        <v>13012</v>
      </c>
      <c r="F3783" s="209">
        <v>43011</v>
      </c>
      <c r="G3783" s="191"/>
      <c r="H3783" s="192">
        <v>1</v>
      </c>
      <c r="I3783" s="753">
        <f>TIME(0,33,47)</f>
        <v>2.3460648148148147E-2</v>
      </c>
      <c r="J3783" s="903" t="s">
        <v>2755</v>
      </c>
      <c r="K3783" s="194" t="s">
        <v>6353</v>
      </c>
      <c r="L3783" s="194" t="s">
        <v>5662</v>
      </c>
      <c r="M3783" s="194" t="s">
        <v>13013</v>
      </c>
      <c r="N3783" s="194"/>
      <c r="O3783" s="194"/>
      <c r="P3783" s="190" t="s">
        <v>12706</v>
      </c>
      <c r="Q3783" s="194" t="s">
        <v>3947</v>
      </c>
      <c r="R3783" s="193" t="s">
        <v>2722</v>
      </c>
      <c r="S3783" s="357" t="s">
        <v>2326</v>
      </c>
      <c r="T3783" s="190"/>
      <c r="U3783" s="190"/>
      <c r="V3783" s="190"/>
      <c r="W3783" s="317" t="s">
        <v>13012</v>
      </c>
      <c r="X3783" s="662" t="s">
        <v>12491</v>
      </c>
      <c r="Y3783" s="357" t="s">
        <v>5643</v>
      </c>
      <c r="Z3783" s="192"/>
      <c r="AA3783" s="192"/>
      <c r="AB3783" s="37">
        <f t="shared" ca="1" si="97"/>
        <v>0.81772884088082975</v>
      </c>
      <c r="AC3783" s="816"/>
      <c r="AD3783" s="817"/>
      <c r="AE3783" s="943"/>
      <c r="AF3783" s="924">
        <f>IF(X3783=X3782,AF3782,0)+IF(ISNUMBER(I3783),IF(I3783&lt;1,I3783,I3783*VLOOKUP(J3783,Summary!$H$2:$I$9,2)),VLOOKUP(J3783,Summary!$J$2:$K$9,2)*IF(ISNUMBER(H3783),H3783,1))</f>
        <v>0.34315972222222224</v>
      </c>
      <c r="AG3783" s="292">
        <v>3782</v>
      </c>
      <c r="AH3783" s="94"/>
      <c r="AI3783" s="94"/>
      <c r="AJ3783" s="43"/>
    </row>
    <row r="3784" spans="1:36" s="3" customFormat="1" ht="12" customHeight="1" x14ac:dyDescent="0.25">
      <c r="A3784" s="570" t="s">
        <v>4918</v>
      </c>
      <c r="B3784" s="570">
        <v>8</v>
      </c>
      <c r="C3784" s="576">
        <v>22.1</v>
      </c>
      <c r="D3784" s="463" t="s">
        <v>3780</v>
      </c>
      <c r="E3784" s="330" t="s">
        <v>4351</v>
      </c>
      <c r="F3784" s="191">
        <v>39052</v>
      </c>
      <c r="G3784" s="191"/>
      <c r="H3784" s="192">
        <v>1</v>
      </c>
      <c r="I3784" s="753">
        <f>TIME(0,43, 5)</f>
        <v>2.991898148148148E-2</v>
      </c>
      <c r="J3784" s="903" t="s">
        <v>2755</v>
      </c>
      <c r="K3784" s="194" t="s">
        <v>178</v>
      </c>
      <c r="L3784" s="194" t="s">
        <v>4549</v>
      </c>
      <c r="M3784" s="194" t="s">
        <v>4549</v>
      </c>
      <c r="N3784" s="194" t="s">
        <v>4549</v>
      </c>
      <c r="O3784" s="194"/>
      <c r="P3784" s="190" t="s">
        <v>522</v>
      </c>
      <c r="Q3784" s="194" t="s">
        <v>3947</v>
      </c>
      <c r="R3784" s="221" t="s">
        <v>2723</v>
      </c>
      <c r="S3784" s="357"/>
      <c r="T3784" s="190"/>
      <c r="U3784" s="190"/>
      <c r="V3784" s="190"/>
      <c r="W3784" s="330" t="s">
        <v>4351</v>
      </c>
      <c r="X3784" s="662" t="s">
        <v>12491</v>
      </c>
      <c r="Y3784" s="357" t="s">
        <v>5643</v>
      </c>
      <c r="Z3784" s="192">
        <v>999</v>
      </c>
      <c r="AA3784" s="367"/>
      <c r="AB3784" s="37">
        <f t="shared" ca="1" si="97"/>
        <v>0.34819006631573712</v>
      </c>
      <c r="AC3784" s="816"/>
      <c r="AD3784" s="817"/>
      <c r="AE3784" s="955"/>
      <c r="AF3784" s="924">
        <f>IF(X3784=X3783,AF3783,0)+IF(ISNUMBER(I3784),IF(I3784&lt;1,I3784,I3784*VLOOKUP(J3784,Summary!$H$2:$I$9,2)),VLOOKUP(J3784,Summary!$J$2:$K$9,2)*IF(ISNUMBER(H3784),H3784,1))</f>
        <v>0.37307870370370372</v>
      </c>
      <c r="AG3784" s="298">
        <v>3783</v>
      </c>
      <c r="AH3784" s="94"/>
      <c r="AI3784" s="94"/>
      <c r="AJ3784" s="43"/>
    </row>
    <row r="3785" spans="1:36" s="43" customFormat="1" ht="12" customHeight="1" x14ac:dyDescent="0.25">
      <c r="A3785" s="478" t="s">
        <v>4918</v>
      </c>
      <c r="B3785" s="478" t="s">
        <v>2650</v>
      </c>
      <c r="C3785" s="478">
        <v>14</v>
      </c>
      <c r="D3785" s="192" t="s">
        <v>13432</v>
      </c>
      <c r="E3785" s="317" t="s">
        <v>13433</v>
      </c>
      <c r="F3785" s="209">
        <v>42278</v>
      </c>
      <c r="G3785" s="209"/>
      <c r="H3785" s="192">
        <v>1</v>
      </c>
      <c r="I3785" s="192"/>
      <c r="J3785" s="903" t="s">
        <v>2755</v>
      </c>
      <c r="K3785" s="194" t="s">
        <v>543</v>
      </c>
      <c r="L3785" s="194" t="s">
        <v>13401</v>
      </c>
      <c r="M3785" s="194" t="s">
        <v>4933</v>
      </c>
      <c r="N3785" s="194"/>
      <c r="O3785" s="194"/>
      <c r="P3785" s="190" t="s">
        <v>13331</v>
      </c>
      <c r="Q3785" s="194" t="s">
        <v>3953</v>
      </c>
      <c r="R3785" s="193" t="s">
        <v>11447</v>
      </c>
      <c r="S3785" s="357"/>
      <c r="T3785" s="190"/>
      <c r="U3785" s="190"/>
      <c r="V3785" s="190"/>
      <c r="W3785" s="317" t="s">
        <v>13433</v>
      </c>
      <c r="X3785" s="662" t="s">
        <v>12491</v>
      </c>
      <c r="Y3785" s="357"/>
      <c r="Z3785" s="192"/>
      <c r="AA3785" s="192"/>
      <c r="AB3785" s="37">
        <f t="shared" ca="1" si="97"/>
        <v>0.71040922834343656</v>
      </c>
      <c r="AC3785" s="816"/>
      <c r="AD3785" s="817"/>
      <c r="AE3785" s="943"/>
      <c r="AF3785" s="924">
        <f>IF(X3785=X3784,AF3784,0)+IF(ISNUMBER(I3785),IF(I3785&lt;1,I3785,I3785*VLOOKUP(J3785,Summary!$H$2:$I$9,2)),VLOOKUP(J3785,Summary!$J$2:$K$9,2)*IF(ISNUMBER(H3785),H3785,1))</f>
        <v>0.39043981481481482</v>
      </c>
      <c r="AG3785" s="292">
        <v>3784</v>
      </c>
      <c r="AH3785" s="94"/>
      <c r="AI3785" s="94"/>
    </row>
    <row r="3786" spans="1:36" s="43" customFormat="1" ht="12" customHeight="1" x14ac:dyDescent="0.25">
      <c r="A3786" s="573" t="s">
        <v>4918</v>
      </c>
      <c r="B3786" s="573">
        <v>8</v>
      </c>
      <c r="C3786" s="573">
        <v>1.4</v>
      </c>
      <c r="D3786" s="407" t="s">
        <v>10832</v>
      </c>
      <c r="E3786" s="336" t="s">
        <v>10833</v>
      </c>
      <c r="F3786" s="196">
        <v>42579</v>
      </c>
      <c r="G3786" s="169"/>
      <c r="H3786" s="170">
        <v>1</v>
      </c>
      <c r="I3786" s="746">
        <f>TIME(0,54,47)</f>
        <v>3.8043981481481477E-2</v>
      </c>
      <c r="J3786" s="899" t="s">
        <v>4706</v>
      </c>
      <c r="K3786" s="167" t="s">
        <v>6970</v>
      </c>
      <c r="L3786" s="167" t="s">
        <v>3296</v>
      </c>
      <c r="M3786" s="167"/>
      <c r="N3786" s="167"/>
      <c r="O3786" s="167"/>
      <c r="P3786" s="168" t="s">
        <v>10834</v>
      </c>
      <c r="Q3786" s="167" t="s">
        <v>3947</v>
      </c>
      <c r="R3786" s="172" t="s">
        <v>14260</v>
      </c>
      <c r="S3786" s="388"/>
      <c r="T3786" s="168"/>
      <c r="U3786" s="168"/>
      <c r="V3786" s="168"/>
      <c r="W3786" s="336" t="s">
        <v>10833</v>
      </c>
      <c r="X3786" s="668" t="s">
        <v>12491</v>
      </c>
      <c r="Y3786" s="352" t="s">
        <v>5643</v>
      </c>
      <c r="Z3786" s="353">
        <v>145</v>
      </c>
      <c r="AA3786" s="353">
        <v>6.5</v>
      </c>
      <c r="AB3786" s="31">
        <f t="shared" ca="1" si="97"/>
        <v>8.7294161973136775E-2</v>
      </c>
      <c r="AC3786" s="810"/>
      <c r="AD3786" s="811"/>
      <c r="AE3786" s="945"/>
      <c r="AF3786" s="920">
        <f>IF(X3786=X3785,AF3785,0)+IF(ISNUMBER(I3786),IF(I3786&lt;1,I3786,I3786*VLOOKUP(J3786,Summary!$H$2:$I$9,2)),VLOOKUP(J3786,Summary!$J$2:$K$9,2)*IF(ISNUMBER(H3786),H3786,1))</f>
        <v>0.42848379629629629</v>
      </c>
      <c r="AG3786" s="287">
        <v>3785</v>
      </c>
      <c r="AH3786" s="94"/>
      <c r="AI3786" s="94"/>
    </row>
    <row r="3787" spans="1:36" s="43" customFormat="1" ht="12" customHeight="1" x14ac:dyDescent="0.25">
      <c r="A3787" s="573" t="s">
        <v>4918</v>
      </c>
      <c r="B3787" s="573">
        <v>8</v>
      </c>
      <c r="C3787" s="573">
        <v>2.4</v>
      </c>
      <c r="D3787" s="407" t="s">
        <v>12843</v>
      </c>
      <c r="E3787" s="315" t="s">
        <v>12844</v>
      </c>
      <c r="F3787" s="196">
        <v>42943</v>
      </c>
      <c r="G3787" s="170"/>
      <c r="H3787" s="170">
        <v>1</v>
      </c>
      <c r="I3787" s="747">
        <f t="shared" ref="I3787:I3802" si="98">TIME(0,60,0)</f>
        <v>4.1666666666666664E-2</v>
      </c>
      <c r="J3787" s="899" t="s">
        <v>4706</v>
      </c>
      <c r="K3787" s="167" t="s">
        <v>6452</v>
      </c>
      <c r="L3787" s="167" t="s">
        <v>3296</v>
      </c>
      <c r="M3787" s="162"/>
      <c r="N3787" s="167"/>
      <c r="O3787" s="167" t="s">
        <v>3295</v>
      </c>
      <c r="P3787" s="168" t="s">
        <v>12696</v>
      </c>
      <c r="Q3787" s="167" t="s">
        <v>3947</v>
      </c>
      <c r="R3787" s="172" t="s">
        <v>14260</v>
      </c>
      <c r="S3787" s="388"/>
      <c r="T3787" s="168"/>
      <c r="U3787" s="168"/>
      <c r="V3787" s="168"/>
      <c r="W3787" s="312" t="s">
        <v>12844</v>
      </c>
      <c r="X3787" s="668" t="s">
        <v>12491</v>
      </c>
      <c r="Y3787" s="352"/>
      <c r="Z3787" s="353"/>
      <c r="AA3787" s="353"/>
      <c r="AB3787" s="31">
        <f t="shared" ca="1" si="97"/>
        <v>0.38891944853201366</v>
      </c>
      <c r="AC3787" s="810"/>
      <c r="AD3787" s="811"/>
      <c r="AE3787" s="940"/>
      <c r="AF3787" s="920">
        <f>IF(X3787=X3786,AF3786,0)+IF(ISNUMBER(I3787),IF(I3787&lt;1,I3787,I3787*VLOOKUP(J3787,Summary!$H$2:$I$9,2)),VLOOKUP(J3787,Summary!$J$2:$K$9,2)*IF(ISNUMBER(H3787),H3787,1))</f>
        <v>0.47015046296296298</v>
      </c>
      <c r="AG3787" s="287">
        <v>3786</v>
      </c>
      <c r="AH3787" s="94"/>
      <c r="AI3787" s="94"/>
    </row>
    <row r="3788" spans="1:36" s="43" customFormat="1" ht="12" customHeight="1" x14ac:dyDescent="0.25">
      <c r="A3788" s="573" t="s">
        <v>4918</v>
      </c>
      <c r="B3788" s="573">
        <v>8</v>
      </c>
      <c r="C3788" s="573">
        <v>1.1000000000000001</v>
      </c>
      <c r="D3788" s="407" t="s">
        <v>12913</v>
      </c>
      <c r="E3788" s="336" t="s">
        <v>12914</v>
      </c>
      <c r="F3788" s="196">
        <v>43034</v>
      </c>
      <c r="G3788" s="169"/>
      <c r="H3788" s="170">
        <v>1</v>
      </c>
      <c r="I3788" s="747">
        <f t="shared" si="98"/>
        <v>4.1666666666666664E-2</v>
      </c>
      <c r="J3788" s="899" t="s">
        <v>4706</v>
      </c>
      <c r="K3788" s="167" t="s">
        <v>5666</v>
      </c>
      <c r="L3788" s="167" t="s">
        <v>2313</v>
      </c>
      <c r="M3788" s="167"/>
      <c r="N3788" s="167"/>
      <c r="O3788" s="167" t="s">
        <v>2500</v>
      </c>
      <c r="P3788" s="168" t="s">
        <v>12915</v>
      </c>
      <c r="Q3788" s="167" t="s">
        <v>3947</v>
      </c>
      <c r="R3788" s="172" t="s">
        <v>15464</v>
      </c>
      <c r="S3788" s="388"/>
      <c r="T3788" s="168"/>
      <c r="U3788" s="168" t="s">
        <v>12919</v>
      </c>
      <c r="V3788" s="168" t="s">
        <v>12920</v>
      </c>
      <c r="W3788" s="336" t="s">
        <v>12914</v>
      </c>
      <c r="X3788" s="668" t="s">
        <v>12491</v>
      </c>
      <c r="Y3788" s="352" t="s">
        <v>2798</v>
      </c>
      <c r="Z3788" s="353"/>
      <c r="AA3788" s="353"/>
      <c r="AB3788" s="31">
        <f t="shared" ca="1" si="97"/>
        <v>0.68397965484725409</v>
      </c>
      <c r="AC3788" s="810"/>
      <c r="AD3788" s="811"/>
      <c r="AE3788" s="945"/>
      <c r="AF3788" s="920">
        <f>IF(X3788=X3787,AF3787,0)+IF(ISNUMBER(I3788),IF(I3788&lt;1,I3788,I3788*VLOOKUP(J3788,Summary!$H$2:$I$9,2)),VLOOKUP(J3788,Summary!$J$2:$K$9,2)*IF(ISNUMBER(H3788),H3788,1))</f>
        <v>0.51181712962962966</v>
      </c>
      <c r="AG3788" s="287">
        <v>3787</v>
      </c>
      <c r="AH3788" s="94"/>
      <c r="AI3788" s="94"/>
    </row>
    <row r="3789" spans="1:36" s="43" customFormat="1" ht="12" customHeight="1" x14ac:dyDescent="0.25">
      <c r="A3789" s="573" t="s">
        <v>4918</v>
      </c>
      <c r="B3789" s="573">
        <v>8</v>
      </c>
      <c r="C3789" s="573">
        <v>1.2</v>
      </c>
      <c r="D3789" s="407" t="s">
        <v>12916</v>
      </c>
      <c r="E3789" s="336" t="s">
        <v>12921</v>
      </c>
      <c r="F3789" s="196">
        <v>43034</v>
      </c>
      <c r="G3789" s="169"/>
      <c r="H3789" s="170">
        <v>1</v>
      </c>
      <c r="I3789" s="747">
        <f t="shared" si="98"/>
        <v>4.1666666666666664E-2</v>
      </c>
      <c r="J3789" s="899" t="s">
        <v>4706</v>
      </c>
      <c r="K3789" s="167" t="s">
        <v>6452</v>
      </c>
      <c r="L3789" s="167" t="s">
        <v>2313</v>
      </c>
      <c r="M3789" s="167"/>
      <c r="N3789" s="167"/>
      <c r="O3789" s="167" t="s">
        <v>2500</v>
      </c>
      <c r="P3789" s="168" t="s">
        <v>12915</v>
      </c>
      <c r="Q3789" s="167" t="s">
        <v>3947</v>
      </c>
      <c r="R3789" s="172" t="s">
        <v>15464</v>
      </c>
      <c r="S3789" s="388"/>
      <c r="T3789" s="168"/>
      <c r="U3789" s="168"/>
      <c r="V3789" s="168" t="s">
        <v>12920</v>
      </c>
      <c r="W3789" s="336" t="s">
        <v>12921</v>
      </c>
      <c r="X3789" s="668" t="s">
        <v>12491</v>
      </c>
      <c r="Y3789" s="352" t="s">
        <v>2798</v>
      </c>
      <c r="Z3789" s="353"/>
      <c r="AA3789" s="353"/>
      <c r="AB3789" s="31">
        <f t="shared" ca="1" si="97"/>
        <v>0.276532528877518</v>
      </c>
      <c r="AC3789" s="810"/>
      <c r="AD3789" s="811"/>
      <c r="AE3789" s="945"/>
      <c r="AF3789" s="920">
        <f>IF(X3789=X3788,AF3788,0)+IF(ISNUMBER(I3789),IF(I3789&lt;1,I3789,I3789*VLOOKUP(J3789,Summary!$H$2:$I$9,2)),VLOOKUP(J3789,Summary!$J$2:$K$9,2)*IF(ISNUMBER(H3789),H3789,1))</f>
        <v>0.55348379629629629</v>
      </c>
      <c r="AG3789" s="287">
        <v>3788</v>
      </c>
      <c r="AH3789" s="94"/>
      <c r="AI3789" s="94"/>
    </row>
    <row r="3790" spans="1:36" s="3" customFormat="1" ht="12" customHeight="1" x14ac:dyDescent="0.25">
      <c r="A3790" s="573" t="s">
        <v>4918</v>
      </c>
      <c r="B3790" s="573">
        <v>8</v>
      </c>
      <c r="C3790" s="573">
        <v>1.3</v>
      </c>
      <c r="D3790" s="407" t="s">
        <v>12917</v>
      </c>
      <c r="E3790" s="336" t="s">
        <v>12922</v>
      </c>
      <c r="F3790" s="196">
        <v>43034</v>
      </c>
      <c r="G3790" s="169"/>
      <c r="H3790" s="170">
        <v>1</v>
      </c>
      <c r="I3790" s="747">
        <f t="shared" si="98"/>
        <v>4.1666666666666664E-2</v>
      </c>
      <c r="J3790" s="899" t="s">
        <v>4706</v>
      </c>
      <c r="K3790" s="167" t="s">
        <v>6452</v>
      </c>
      <c r="L3790" s="167" t="s">
        <v>2313</v>
      </c>
      <c r="M3790" s="167"/>
      <c r="N3790" s="167"/>
      <c r="O3790" s="167" t="s">
        <v>2500</v>
      </c>
      <c r="P3790" s="168" t="s">
        <v>12915</v>
      </c>
      <c r="Q3790" s="167" t="s">
        <v>3947</v>
      </c>
      <c r="R3790" s="172" t="s">
        <v>15464</v>
      </c>
      <c r="S3790" s="388"/>
      <c r="T3790" s="168"/>
      <c r="U3790" s="168"/>
      <c r="V3790" s="168" t="s">
        <v>12920</v>
      </c>
      <c r="W3790" s="336" t="s">
        <v>12922</v>
      </c>
      <c r="X3790" s="668" t="s">
        <v>12491</v>
      </c>
      <c r="Y3790" s="352" t="s">
        <v>2798</v>
      </c>
      <c r="Z3790" s="353"/>
      <c r="AA3790" s="353"/>
      <c r="AB3790" s="31">
        <f t="shared" ca="1" si="97"/>
        <v>0.21750317899145177</v>
      </c>
      <c r="AC3790" s="810"/>
      <c r="AD3790" s="811"/>
      <c r="AE3790" s="945"/>
      <c r="AF3790" s="920">
        <f>IF(X3790=X3789,AF3789,0)+IF(ISNUMBER(I3790),IF(I3790&lt;1,I3790,I3790*VLOOKUP(J3790,Summary!$H$2:$I$9,2)),VLOOKUP(J3790,Summary!$J$2:$K$9,2)*IF(ISNUMBER(H3790),H3790,1))</f>
        <v>0.59515046296296292</v>
      </c>
      <c r="AG3790" s="287">
        <v>3789</v>
      </c>
      <c r="AH3790" s="94"/>
      <c r="AI3790" s="94"/>
      <c r="AJ3790" s="43"/>
    </row>
    <row r="3791" spans="1:36" s="3" customFormat="1" ht="12" customHeight="1" x14ac:dyDescent="0.25">
      <c r="A3791" s="573" t="s">
        <v>4918</v>
      </c>
      <c r="B3791" s="573">
        <v>8</v>
      </c>
      <c r="C3791" s="573">
        <v>1.4</v>
      </c>
      <c r="D3791" s="407" t="s">
        <v>12918</v>
      </c>
      <c r="E3791" s="336" t="s">
        <v>12923</v>
      </c>
      <c r="F3791" s="196">
        <v>43034</v>
      </c>
      <c r="G3791" s="169"/>
      <c r="H3791" s="170">
        <v>1</v>
      </c>
      <c r="I3791" s="747">
        <f t="shared" si="98"/>
        <v>4.1666666666666664E-2</v>
      </c>
      <c r="J3791" s="899" t="s">
        <v>4706</v>
      </c>
      <c r="K3791" s="167" t="s">
        <v>5666</v>
      </c>
      <c r="L3791" s="167" t="s">
        <v>2313</v>
      </c>
      <c r="M3791" s="167"/>
      <c r="N3791" s="167"/>
      <c r="O3791" s="167" t="s">
        <v>2500</v>
      </c>
      <c r="P3791" s="168" t="s">
        <v>12915</v>
      </c>
      <c r="Q3791" s="167" t="s">
        <v>3947</v>
      </c>
      <c r="R3791" s="172" t="s">
        <v>15464</v>
      </c>
      <c r="S3791" s="388"/>
      <c r="T3791" s="168"/>
      <c r="U3791" s="168"/>
      <c r="V3791" s="168" t="s">
        <v>12920</v>
      </c>
      <c r="W3791" s="336" t="s">
        <v>12923</v>
      </c>
      <c r="X3791" s="668" t="s">
        <v>12491</v>
      </c>
      <c r="Y3791" s="352" t="s">
        <v>2798</v>
      </c>
      <c r="Z3791" s="353"/>
      <c r="AA3791" s="353"/>
      <c r="AB3791" s="31">
        <f t="shared" ca="1" si="97"/>
        <v>0.27259620100842585</v>
      </c>
      <c r="AC3791" s="810"/>
      <c r="AD3791" s="811"/>
      <c r="AE3791" s="945"/>
      <c r="AF3791" s="920">
        <f>IF(X3791=X3790,AF3790,0)+IF(ISNUMBER(I3791),IF(I3791&lt;1,I3791,I3791*VLOOKUP(J3791,Summary!$H$2:$I$9,2)),VLOOKUP(J3791,Summary!$J$2:$K$9,2)*IF(ISNUMBER(H3791),H3791,1))</f>
        <v>0.63681712962962955</v>
      </c>
      <c r="AG3791" s="287">
        <v>3790</v>
      </c>
      <c r="AH3791" s="94"/>
      <c r="AI3791" s="94"/>
      <c r="AJ3791" s="43"/>
    </row>
    <row r="3792" spans="1:36" s="3" customFormat="1" ht="12" customHeight="1" x14ac:dyDescent="0.25">
      <c r="A3792" s="573" t="s">
        <v>4918</v>
      </c>
      <c r="B3792" s="573">
        <v>8</v>
      </c>
      <c r="C3792" s="573">
        <v>2.1</v>
      </c>
      <c r="D3792" s="407" t="s">
        <v>14592</v>
      </c>
      <c r="E3792" s="336" t="s">
        <v>14596</v>
      </c>
      <c r="F3792" s="196">
        <v>43291</v>
      </c>
      <c r="G3792" s="169"/>
      <c r="H3792" s="170">
        <v>1</v>
      </c>
      <c r="I3792" s="747">
        <f t="shared" si="98"/>
        <v>4.1666666666666664E-2</v>
      </c>
      <c r="J3792" s="899" t="s">
        <v>4706</v>
      </c>
      <c r="K3792" s="167" t="s">
        <v>177</v>
      </c>
      <c r="L3792" s="167" t="s">
        <v>2313</v>
      </c>
      <c r="M3792" s="167"/>
      <c r="N3792" s="167"/>
      <c r="O3792" s="167" t="s">
        <v>2500</v>
      </c>
      <c r="P3792" s="168" t="s">
        <v>14591</v>
      </c>
      <c r="Q3792" s="167" t="s">
        <v>3947</v>
      </c>
      <c r="R3792" s="172" t="s">
        <v>15464</v>
      </c>
      <c r="S3792" s="388"/>
      <c r="T3792" s="168"/>
      <c r="U3792" s="168"/>
      <c r="V3792" s="168" t="s">
        <v>12920</v>
      </c>
      <c r="W3792" s="312" t="s">
        <v>14596</v>
      </c>
      <c r="X3792" s="668" t="s">
        <v>12491</v>
      </c>
      <c r="Y3792" s="352"/>
      <c r="Z3792" s="353"/>
      <c r="AA3792" s="353"/>
      <c r="AB3792" s="31">
        <f t="shared" ca="1" si="97"/>
        <v>0.10811759129871301</v>
      </c>
      <c r="AC3792" s="810"/>
      <c r="AD3792" s="811"/>
      <c r="AE3792" s="945"/>
      <c r="AF3792" s="920">
        <f>IF(X3792=X3791,AF3791,0)+IF(ISNUMBER(I3792),IF(I3792&lt;1,I3792,I3792*VLOOKUP(J3792,Summary!$H$2:$I$9,2)),VLOOKUP(J3792,Summary!$J$2:$K$9,2)*IF(ISNUMBER(H3792),H3792,1))</f>
        <v>0.67848379629629618</v>
      </c>
      <c r="AG3792" s="287">
        <v>3791</v>
      </c>
      <c r="AH3792" s="94"/>
      <c r="AI3792" s="94"/>
      <c r="AJ3792" s="43"/>
    </row>
    <row r="3793" spans="1:36" s="3" customFormat="1" ht="12" customHeight="1" x14ac:dyDescent="0.25">
      <c r="A3793" s="573" t="s">
        <v>4918</v>
      </c>
      <c r="B3793" s="573">
        <v>8</v>
      </c>
      <c r="C3793" s="573">
        <v>2.2000000000000002</v>
      </c>
      <c r="D3793" s="407" t="s">
        <v>14593</v>
      </c>
      <c r="E3793" s="336" t="s">
        <v>14597</v>
      </c>
      <c r="F3793" s="196">
        <v>43291</v>
      </c>
      <c r="G3793" s="169"/>
      <c r="H3793" s="170">
        <v>1</v>
      </c>
      <c r="I3793" s="747">
        <f t="shared" si="98"/>
        <v>4.1666666666666664E-2</v>
      </c>
      <c r="J3793" s="899" t="s">
        <v>4706</v>
      </c>
      <c r="K3793" s="167" t="s">
        <v>1826</v>
      </c>
      <c r="L3793" s="167" t="s">
        <v>2313</v>
      </c>
      <c r="M3793" s="167"/>
      <c r="N3793" s="167"/>
      <c r="O3793" s="167" t="s">
        <v>2500</v>
      </c>
      <c r="P3793" s="168" t="s">
        <v>14591</v>
      </c>
      <c r="Q3793" s="167" t="s">
        <v>3947</v>
      </c>
      <c r="R3793" s="172" t="s">
        <v>15464</v>
      </c>
      <c r="S3793" s="388"/>
      <c r="T3793" s="168"/>
      <c r="U3793" s="168"/>
      <c r="V3793" s="168" t="s">
        <v>12920</v>
      </c>
      <c r="W3793" s="312" t="s">
        <v>14597</v>
      </c>
      <c r="X3793" s="668" t="s">
        <v>12491</v>
      </c>
      <c r="Y3793" s="352"/>
      <c r="Z3793" s="353"/>
      <c r="AA3793" s="353"/>
      <c r="AB3793" s="31">
        <f t="shared" ca="1" si="97"/>
        <v>0.73655575943470319</v>
      </c>
      <c r="AC3793" s="810"/>
      <c r="AD3793" s="811"/>
      <c r="AE3793" s="945"/>
      <c r="AF3793" s="920">
        <f>IF(X3793=X3792,AF3792,0)+IF(ISNUMBER(I3793),IF(I3793&lt;1,I3793,I3793*VLOOKUP(J3793,Summary!$H$2:$I$9,2)),VLOOKUP(J3793,Summary!$J$2:$K$9,2)*IF(ISNUMBER(H3793),H3793,1))</f>
        <v>0.72015046296296281</v>
      </c>
      <c r="AG3793" s="287">
        <v>3792</v>
      </c>
      <c r="AH3793" s="94"/>
      <c r="AI3793" s="94"/>
      <c r="AJ3793" s="43"/>
    </row>
    <row r="3794" spans="1:36" s="29" customFormat="1" ht="12" customHeight="1" x14ac:dyDescent="0.25">
      <c r="A3794" s="573" t="s">
        <v>4918</v>
      </c>
      <c r="B3794" s="573">
        <v>8</v>
      </c>
      <c r="C3794" s="573">
        <v>2.2999999999999998</v>
      </c>
      <c r="D3794" s="407" t="s">
        <v>14594</v>
      </c>
      <c r="E3794" s="336" t="s">
        <v>14598</v>
      </c>
      <c r="F3794" s="196">
        <v>43291</v>
      </c>
      <c r="G3794" s="169"/>
      <c r="H3794" s="170">
        <v>1</v>
      </c>
      <c r="I3794" s="747">
        <f t="shared" si="98"/>
        <v>4.1666666666666664E-2</v>
      </c>
      <c r="J3794" s="899" t="s">
        <v>4706</v>
      </c>
      <c r="K3794" s="167" t="s">
        <v>1826</v>
      </c>
      <c r="L3794" s="167" t="s">
        <v>2313</v>
      </c>
      <c r="M3794" s="167"/>
      <c r="N3794" s="167"/>
      <c r="O3794" s="167" t="s">
        <v>2500</v>
      </c>
      <c r="P3794" s="168" t="s">
        <v>14591</v>
      </c>
      <c r="Q3794" s="167" t="s">
        <v>3947</v>
      </c>
      <c r="R3794" s="172" t="s">
        <v>15464</v>
      </c>
      <c r="S3794" s="388"/>
      <c r="T3794" s="168"/>
      <c r="U3794" s="168"/>
      <c r="V3794" s="168" t="s">
        <v>12920</v>
      </c>
      <c r="W3794" s="312" t="s">
        <v>14598</v>
      </c>
      <c r="X3794" s="668" t="s">
        <v>12491</v>
      </c>
      <c r="Y3794" s="352"/>
      <c r="Z3794" s="353"/>
      <c r="AA3794" s="353"/>
      <c r="AB3794" s="31">
        <f t="shared" ca="1" si="97"/>
        <v>0.63689091030015033</v>
      </c>
      <c r="AC3794" s="810"/>
      <c r="AD3794" s="811"/>
      <c r="AE3794" s="945"/>
      <c r="AF3794" s="920">
        <f>IF(X3794=X3793,AF3793,0)+IF(ISNUMBER(I3794),IF(I3794&lt;1,I3794,I3794*VLOOKUP(J3794,Summary!$H$2:$I$9,2)),VLOOKUP(J3794,Summary!$J$2:$K$9,2)*IF(ISNUMBER(H3794),H3794,1))</f>
        <v>0.76181712962962944</v>
      </c>
      <c r="AG3794" s="287">
        <v>3793</v>
      </c>
      <c r="AH3794" s="94"/>
      <c r="AI3794" s="94"/>
      <c r="AJ3794" s="43"/>
    </row>
    <row r="3795" spans="1:36" s="29" customFormat="1" ht="12" customHeight="1" x14ac:dyDescent="0.25">
      <c r="A3795" s="573" t="s">
        <v>4918</v>
      </c>
      <c r="B3795" s="573">
        <v>8</v>
      </c>
      <c r="C3795" s="573">
        <v>2.4</v>
      </c>
      <c r="D3795" s="407" t="s">
        <v>14595</v>
      </c>
      <c r="E3795" s="336" t="s">
        <v>4349</v>
      </c>
      <c r="F3795" s="196">
        <v>43291</v>
      </c>
      <c r="G3795" s="169"/>
      <c r="H3795" s="170">
        <v>1</v>
      </c>
      <c r="I3795" s="747">
        <f t="shared" si="98"/>
        <v>4.1666666666666664E-2</v>
      </c>
      <c r="J3795" s="899" t="s">
        <v>4706</v>
      </c>
      <c r="K3795" s="167" t="s">
        <v>12672</v>
      </c>
      <c r="L3795" s="167" t="s">
        <v>2313</v>
      </c>
      <c r="M3795" s="167"/>
      <c r="N3795" s="167"/>
      <c r="O3795" s="167" t="s">
        <v>2500</v>
      </c>
      <c r="P3795" s="168" t="s">
        <v>14591</v>
      </c>
      <c r="Q3795" s="167" t="s">
        <v>3947</v>
      </c>
      <c r="R3795" s="172" t="s">
        <v>15464</v>
      </c>
      <c r="S3795" s="388"/>
      <c r="T3795" s="168"/>
      <c r="U3795" s="168"/>
      <c r="V3795" s="168" t="s">
        <v>12920</v>
      </c>
      <c r="W3795" s="312" t="s">
        <v>4349</v>
      </c>
      <c r="X3795" s="668" t="s">
        <v>12491</v>
      </c>
      <c r="Y3795" s="352"/>
      <c r="Z3795" s="353"/>
      <c r="AA3795" s="353"/>
      <c r="AB3795" s="31">
        <f t="shared" ca="1" si="97"/>
        <v>0.53926775825057749</v>
      </c>
      <c r="AC3795" s="810"/>
      <c r="AD3795" s="811"/>
      <c r="AE3795" s="945"/>
      <c r="AF3795" s="920">
        <f>IF(X3795=X3794,AF3794,0)+IF(ISNUMBER(I3795),IF(I3795&lt;1,I3795,I3795*VLOOKUP(J3795,Summary!$H$2:$I$9,2)),VLOOKUP(J3795,Summary!$J$2:$K$9,2)*IF(ISNUMBER(H3795),H3795,1))</f>
        <v>0.80348379629629607</v>
      </c>
      <c r="AG3795" s="287">
        <v>3794</v>
      </c>
      <c r="AH3795" s="94"/>
      <c r="AI3795" s="94"/>
      <c r="AJ3795" s="2"/>
    </row>
    <row r="3796" spans="1:36" s="3" customFormat="1" ht="12" customHeight="1" x14ac:dyDescent="0.25">
      <c r="A3796" s="405" t="s">
        <v>4918</v>
      </c>
      <c r="B3796" s="406" t="s">
        <v>2650</v>
      </c>
      <c r="C3796" s="405">
        <v>2.1</v>
      </c>
      <c r="D3796" s="407" t="s">
        <v>15760</v>
      </c>
      <c r="E3796" s="315" t="s">
        <v>15768</v>
      </c>
      <c r="F3796" s="196">
        <v>43439</v>
      </c>
      <c r="G3796" s="170"/>
      <c r="H3796" s="170">
        <v>1</v>
      </c>
      <c r="I3796" s="747">
        <f t="shared" si="98"/>
        <v>4.1666666666666664E-2</v>
      </c>
      <c r="J3796" s="899" t="s">
        <v>4706</v>
      </c>
      <c r="K3796" s="167" t="s">
        <v>1643</v>
      </c>
      <c r="L3796" s="167" t="s">
        <v>179</v>
      </c>
      <c r="M3796" s="167"/>
      <c r="N3796" s="167" t="s">
        <v>4549</v>
      </c>
      <c r="O3796" s="167" t="s">
        <v>179</v>
      </c>
      <c r="P3796" s="168" t="s">
        <v>15761</v>
      </c>
      <c r="Q3796" s="167" t="s">
        <v>3947</v>
      </c>
      <c r="R3796" s="172" t="s">
        <v>14383</v>
      </c>
      <c r="S3796" s="388"/>
      <c r="T3796" s="168"/>
      <c r="U3796" s="168"/>
      <c r="V3796" s="168"/>
      <c r="W3796" s="312" t="s">
        <v>15765</v>
      </c>
      <c r="X3796" s="644" t="s">
        <v>12491</v>
      </c>
      <c r="Y3796" s="352"/>
      <c r="Z3796" s="353"/>
      <c r="AA3796" s="353"/>
      <c r="AB3796" s="31">
        <f t="shared" ca="1" si="97"/>
        <v>0.36107643656730126</v>
      </c>
      <c r="AC3796" s="810"/>
      <c r="AD3796" s="811"/>
      <c r="AE3796" s="940"/>
      <c r="AF3796" s="920">
        <f>IF(X3796=X3795,AF3795,0)+IF(ISNUMBER(I3796),IF(I3796&lt;1,I3796,I3796*VLOOKUP(J3796,Summary!$H$2:$I$9,2)),VLOOKUP(J3796,Summary!$J$2:$K$9,2)*IF(ISNUMBER(H3796),H3796,1))</f>
        <v>0.8451504629629627</v>
      </c>
      <c r="AG3796" s="287">
        <v>3795</v>
      </c>
      <c r="AH3796" s="94"/>
      <c r="AI3796" s="94"/>
      <c r="AJ3796" s="29"/>
    </row>
    <row r="3797" spans="1:36" s="3" customFormat="1" ht="12" customHeight="1" x14ac:dyDescent="0.25">
      <c r="A3797" s="405" t="s">
        <v>4918</v>
      </c>
      <c r="B3797" s="406" t="s">
        <v>2650</v>
      </c>
      <c r="C3797" s="405">
        <v>2.2000000000000002</v>
      </c>
      <c r="D3797" s="407" t="s">
        <v>15762</v>
      </c>
      <c r="E3797" s="805" t="s">
        <v>15769</v>
      </c>
      <c r="F3797" s="196">
        <v>43439</v>
      </c>
      <c r="G3797" s="170"/>
      <c r="H3797" s="170">
        <v>1</v>
      </c>
      <c r="I3797" s="747">
        <f t="shared" si="98"/>
        <v>4.1666666666666664E-2</v>
      </c>
      <c r="J3797" s="899" t="s">
        <v>4706</v>
      </c>
      <c r="K3797" s="167" t="s">
        <v>1643</v>
      </c>
      <c r="L3797" s="167" t="s">
        <v>179</v>
      </c>
      <c r="M3797" s="167"/>
      <c r="N3797" s="167" t="s">
        <v>4549</v>
      </c>
      <c r="O3797" s="167" t="s">
        <v>179</v>
      </c>
      <c r="P3797" s="168" t="s">
        <v>15761</v>
      </c>
      <c r="Q3797" s="167" t="s">
        <v>3947</v>
      </c>
      <c r="R3797" s="172" t="s">
        <v>14383</v>
      </c>
      <c r="S3797" s="388"/>
      <c r="T3797" s="168"/>
      <c r="U3797" s="168"/>
      <c r="V3797" s="168"/>
      <c r="W3797" s="312" t="s">
        <v>15766</v>
      </c>
      <c r="X3797" s="644" t="s">
        <v>12491</v>
      </c>
      <c r="Y3797" s="352"/>
      <c r="Z3797" s="353"/>
      <c r="AA3797" s="353"/>
      <c r="AB3797" s="31">
        <f t="shared" ca="1" si="97"/>
        <v>0.7686386505919337</v>
      </c>
      <c r="AC3797" s="810"/>
      <c r="AD3797" s="811"/>
      <c r="AE3797" s="940"/>
      <c r="AF3797" s="920">
        <f>IF(X3797=X3796,AF3796,0)+IF(ISNUMBER(I3797),IF(I3797&lt;1,I3797,I3797*VLOOKUP(J3797,Summary!$H$2:$I$9,2)),VLOOKUP(J3797,Summary!$J$2:$K$9,2)*IF(ISNUMBER(H3797),H3797,1))</f>
        <v>0.88681712962962933</v>
      </c>
      <c r="AG3797" s="287">
        <v>3796</v>
      </c>
      <c r="AH3797" s="94"/>
      <c r="AI3797" s="94"/>
      <c r="AJ3797" s="43"/>
    </row>
    <row r="3798" spans="1:36" s="3" customFormat="1" ht="12" customHeight="1" x14ac:dyDescent="0.25">
      <c r="A3798" s="405" t="s">
        <v>4918</v>
      </c>
      <c r="B3798" s="406" t="s">
        <v>2650</v>
      </c>
      <c r="C3798" s="405">
        <v>2.2999999999999998</v>
      </c>
      <c r="D3798" s="407" t="s">
        <v>15763</v>
      </c>
      <c r="E3798" s="805" t="s">
        <v>15770</v>
      </c>
      <c r="F3798" s="196">
        <v>43439</v>
      </c>
      <c r="G3798" s="170"/>
      <c r="H3798" s="170">
        <v>1</v>
      </c>
      <c r="I3798" s="747">
        <f t="shared" si="98"/>
        <v>4.1666666666666664E-2</v>
      </c>
      <c r="J3798" s="899" t="s">
        <v>4706</v>
      </c>
      <c r="K3798" s="167" t="s">
        <v>1826</v>
      </c>
      <c r="L3798" s="167" t="s">
        <v>179</v>
      </c>
      <c r="M3798" s="167"/>
      <c r="N3798" s="167" t="s">
        <v>4549</v>
      </c>
      <c r="O3798" s="167" t="s">
        <v>179</v>
      </c>
      <c r="P3798" s="168" t="s">
        <v>15761</v>
      </c>
      <c r="Q3798" s="167" t="s">
        <v>3947</v>
      </c>
      <c r="R3798" s="172" t="s">
        <v>14383</v>
      </c>
      <c r="S3798" s="388"/>
      <c r="T3798" s="168"/>
      <c r="U3798" s="168"/>
      <c r="V3798" s="168"/>
      <c r="W3798" s="312" t="s">
        <v>15767</v>
      </c>
      <c r="X3798" s="644" t="s">
        <v>12491</v>
      </c>
      <c r="Y3798" s="352"/>
      <c r="Z3798" s="353"/>
      <c r="AA3798" s="353"/>
      <c r="AB3798" s="31">
        <f t="shared" ca="1" si="97"/>
        <v>0.75637290964250603</v>
      </c>
      <c r="AC3798" s="810"/>
      <c r="AD3798" s="811"/>
      <c r="AE3798" s="940"/>
      <c r="AF3798" s="920">
        <f>IF(X3798=X3797,AF3797,0)+IF(ISNUMBER(I3798),IF(I3798&lt;1,I3798,I3798*VLOOKUP(J3798,Summary!$H$2:$I$9,2)),VLOOKUP(J3798,Summary!$J$2:$K$9,2)*IF(ISNUMBER(H3798),H3798,1))</f>
        <v>0.92848379629629596</v>
      </c>
      <c r="AG3798" s="287">
        <v>3797</v>
      </c>
      <c r="AH3798" s="94"/>
      <c r="AI3798" s="94"/>
      <c r="AJ3798" s="43"/>
    </row>
    <row r="3799" spans="1:36" s="3" customFormat="1" ht="12" customHeight="1" x14ac:dyDescent="0.25">
      <c r="A3799" s="405" t="s">
        <v>4918</v>
      </c>
      <c r="B3799" s="406" t="s">
        <v>2650</v>
      </c>
      <c r="C3799" s="405">
        <v>2.4</v>
      </c>
      <c r="D3799" s="407" t="s">
        <v>15764</v>
      </c>
      <c r="E3799" s="805" t="s">
        <v>15771</v>
      </c>
      <c r="F3799" s="196">
        <v>43439</v>
      </c>
      <c r="G3799" s="170"/>
      <c r="H3799" s="170">
        <v>1</v>
      </c>
      <c r="I3799" s="747">
        <f t="shared" si="98"/>
        <v>4.1666666666666664E-2</v>
      </c>
      <c r="J3799" s="899" t="s">
        <v>4706</v>
      </c>
      <c r="K3799" s="167" t="s">
        <v>1826</v>
      </c>
      <c r="L3799" s="167" t="s">
        <v>179</v>
      </c>
      <c r="M3799" s="167"/>
      <c r="N3799" s="167" t="s">
        <v>4549</v>
      </c>
      <c r="O3799" s="167" t="s">
        <v>179</v>
      </c>
      <c r="P3799" s="168" t="s">
        <v>15761</v>
      </c>
      <c r="Q3799" s="167" t="s">
        <v>3947</v>
      </c>
      <c r="R3799" s="172" t="s">
        <v>14383</v>
      </c>
      <c r="S3799" s="388"/>
      <c r="T3799" s="168"/>
      <c r="U3799" s="168"/>
      <c r="V3799" s="168"/>
      <c r="W3799" s="312" t="s">
        <v>4339</v>
      </c>
      <c r="X3799" s="644" t="s">
        <v>12491</v>
      </c>
      <c r="Y3799" s="352"/>
      <c r="Z3799" s="353"/>
      <c r="AA3799" s="353"/>
      <c r="AB3799" s="31">
        <f t="shared" ca="1" si="97"/>
        <v>0.96547248090164384</v>
      </c>
      <c r="AC3799" s="810"/>
      <c r="AD3799" s="811"/>
      <c r="AE3799" s="940"/>
      <c r="AF3799" s="920">
        <f>IF(X3799=X3798,AF3798,0)+IF(ISNUMBER(I3799),IF(I3799&lt;1,I3799,I3799*VLOOKUP(J3799,Summary!$H$2:$I$9,2)),VLOOKUP(J3799,Summary!$J$2:$K$9,2)*IF(ISNUMBER(H3799),H3799,1))</f>
        <v>0.97015046296296259</v>
      </c>
      <c r="AG3799" s="287">
        <v>3798</v>
      </c>
      <c r="AH3799" s="94"/>
      <c r="AI3799" s="94"/>
      <c r="AJ3799" s="43"/>
    </row>
    <row r="3800" spans="1:36" s="3" customFormat="1" ht="12" customHeight="1" x14ac:dyDescent="0.25">
      <c r="A3800" s="405" t="s">
        <v>4918</v>
      </c>
      <c r="B3800" s="406" t="s">
        <v>2650</v>
      </c>
      <c r="C3800" s="405">
        <v>5.4</v>
      </c>
      <c r="D3800" s="407" t="s">
        <v>15786</v>
      </c>
      <c r="E3800" s="336" t="s">
        <v>15787</v>
      </c>
      <c r="F3800" s="196">
        <v>43487</v>
      </c>
      <c r="G3800" s="169"/>
      <c r="H3800" s="170">
        <v>1</v>
      </c>
      <c r="I3800" s="747">
        <f t="shared" si="98"/>
        <v>4.1666666666666664E-2</v>
      </c>
      <c r="J3800" s="899" t="s">
        <v>4706</v>
      </c>
      <c r="K3800" s="167" t="s">
        <v>179</v>
      </c>
      <c r="L3800" s="167" t="s">
        <v>2313</v>
      </c>
      <c r="M3800" s="167"/>
      <c r="N3800" s="167" t="s">
        <v>6452</v>
      </c>
      <c r="O3800" s="167" t="s">
        <v>3295</v>
      </c>
      <c r="P3800" s="168" t="s">
        <v>15785</v>
      </c>
      <c r="Q3800" s="167" t="s">
        <v>3947</v>
      </c>
      <c r="R3800" s="172" t="s">
        <v>10102</v>
      </c>
      <c r="S3800" s="388"/>
      <c r="T3800" s="168"/>
      <c r="U3800" s="168" t="s">
        <v>7344</v>
      </c>
      <c r="V3800" s="168"/>
      <c r="W3800" s="336" t="s">
        <v>15787</v>
      </c>
      <c r="X3800" s="644" t="s">
        <v>12491</v>
      </c>
      <c r="Y3800" s="352"/>
      <c r="Z3800" s="353"/>
      <c r="AA3800" s="353"/>
      <c r="AB3800" s="31">
        <f t="shared" ca="1" si="97"/>
        <v>0.16352219491081577</v>
      </c>
      <c r="AC3800" s="810"/>
      <c r="AD3800" s="811"/>
      <c r="AE3800" s="945"/>
      <c r="AF3800" s="920">
        <f>IF(X3800=X3799,AF3799,0)+IF(ISNUMBER(I3800),IF(I3800&lt;1,I3800,I3800*VLOOKUP(J3800,Summary!$H$2:$I$9,2)),VLOOKUP(J3800,Summary!$J$2:$K$9,2)*IF(ISNUMBER(H3800),H3800,1))</f>
        <v>1.0118171296296292</v>
      </c>
      <c r="AG3800" s="287">
        <v>3799</v>
      </c>
      <c r="AH3800" s="94"/>
      <c r="AI3800" s="94"/>
      <c r="AJ3800" s="43"/>
    </row>
    <row r="3801" spans="1:36" s="3" customFormat="1" ht="12" customHeight="1" x14ac:dyDescent="0.25">
      <c r="A3801" s="405" t="s">
        <v>4918</v>
      </c>
      <c r="B3801" s="406" t="s">
        <v>2525</v>
      </c>
      <c r="C3801" s="405">
        <v>27</v>
      </c>
      <c r="D3801" s="407" t="s">
        <v>12848</v>
      </c>
      <c r="E3801" s="315" t="s">
        <v>12850</v>
      </c>
      <c r="F3801" s="196">
        <v>43153</v>
      </c>
      <c r="G3801" s="170"/>
      <c r="H3801" s="170">
        <v>1</v>
      </c>
      <c r="I3801" s="747">
        <f t="shared" si="98"/>
        <v>4.1666666666666664E-2</v>
      </c>
      <c r="J3801" s="899" t="s">
        <v>4706</v>
      </c>
      <c r="K3801" s="167" t="s">
        <v>4146</v>
      </c>
      <c r="L3801" s="167" t="s">
        <v>179</v>
      </c>
      <c r="M3801" s="167"/>
      <c r="N3801" s="167"/>
      <c r="O3801" s="167" t="s">
        <v>179</v>
      </c>
      <c r="P3801" s="168" t="s">
        <v>12849</v>
      </c>
      <c r="Q3801" s="167" t="s">
        <v>3947</v>
      </c>
      <c r="R3801" s="172" t="s">
        <v>2237</v>
      </c>
      <c r="S3801" s="388" t="s">
        <v>2608</v>
      </c>
      <c r="T3801" s="168" t="s">
        <v>2610</v>
      </c>
      <c r="U3801" s="168" t="s">
        <v>2542</v>
      </c>
      <c r="V3801" s="168"/>
      <c r="W3801" s="312" t="s">
        <v>12850</v>
      </c>
      <c r="X3801" s="644" t="s">
        <v>12491</v>
      </c>
      <c r="Y3801" s="352" t="s">
        <v>2798</v>
      </c>
      <c r="Z3801" s="353">
        <v>999</v>
      </c>
      <c r="AA3801" s="353"/>
      <c r="AB3801" s="31">
        <f t="shared" ca="1" si="97"/>
        <v>0.73534504220877028</v>
      </c>
      <c r="AC3801" s="810"/>
      <c r="AD3801" s="811"/>
      <c r="AE3801" s="940"/>
      <c r="AF3801" s="920">
        <f>IF(X3801=X3800,AF3800,0)+IF(ISNUMBER(I3801),IF(I3801&lt;1,I3801,I3801*VLOOKUP(J3801,Summary!$H$2:$I$9,2)),VLOOKUP(J3801,Summary!$J$2:$K$9,2)*IF(ISNUMBER(H3801),H3801,1))</f>
        <v>1.053483796296296</v>
      </c>
      <c r="AG3801" s="287">
        <v>3800</v>
      </c>
      <c r="AH3801" s="94"/>
      <c r="AI3801" s="94"/>
      <c r="AJ3801" s="43"/>
    </row>
    <row r="3802" spans="1:36" s="3" customFormat="1" ht="12" customHeight="1" x14ac:dyDescent="0.25">
      <c r="A3802" s="405" t="s">
        <v>4918</v>
      </c>
      <c r="B3802" s="406" t="s">
        <v>2525</v>
      </c>
      <c r="C3802" s="405">
        <v>28</v>
      </c>
      <c r="D3802" s="407" t="s">
        <v>12851</v>
      </c>
      <c r="E3802" s="315" t="s">
        <v>12854</v>
      </c>
      <c r="F3802" s="196">
        <v>43153</v>
      </c>
      <c r="G3802" s="170"/>
      <c r="H3802" s="170">
        <v>1</v>
      </c>
      <c r="I3802" s="747">
        <f t="shared" si="98"/>
        <v>4.1666666666666664E-2</v>
      </c>
      <c r="J3802" s="899" t="s">
        <v>4706</v>
      </c>
      <c r="K3802" s="167" t="s">
        <v>12857</v>
      </c>
      <c r="L3802" s="167" t="s">
        <v>179</v>
      </c>
      <c r="M3802" s="167"/>
      <c r="N3802" s="167"/>
      <c r="O3802" s="167" t="s">
        <v>179</v>
      </c>
      <c r="P3802" s="168" t="s">
        <v>12849</v>
      </c>
      <c r="Q3802" s="167" t="s">
        <v>3947</v>
      </c>
      <c r="R3802" s="172" t="s">
        <v>2237</v>
      </c>
      <c r="S3802" s="388" t="s">
        <v>2608</v>
      </c>
      <c r="T3802" s="168" t="s">
        <v>2610</v>
      </c>
      <c r="U3802" s="168" t="s">
        <v>2542</v>
      </c>
      <c r="V3802" s="168"/>
      <c r="W3802" s="312" t="s">
        <v>12854</v>
      </c>
      <c r="X3802" s="644" t="s">
        <v>12491</v>
      </c>
      <c r="Y3802" s="352" t="s">
        <v>2798</v>
      </c>
      <c r="Z3802" s="353">
        <v>999</v>
      </c>
      <c r="AA3802" s="353"/>
      <c r="AB3802" s="31">
        <f t="shared" ca="1" si="97"/>
        <v>0.1254401308013271</v>
      </c>
      <c r="AC3802" s="810"/>
      <c r="AD3802" s="811"/>
      <c r="AE3802" s="940"/>
      <c r="AF3802" s="920">
        <f>IF(X3802=X3801,AF3801,0)+IF(ISNUMBER(I3802),IF(I3802&lt;1,I3802,I3802*VLOOKUP(J3802,Summary!$H$2:$I$9,2)),VLOOKUP(J3802,Summary!$J$2:$K$9,2)*IF(ISNUMBER(H3802),H3802,1))</f>
        <v>1.0951504629629627</v>
      </c>
      <c r="AG3802" s="287">
        <v>3801</v>
      </c>
      <c r="AH3802" s="94"/>
      <c r="AI3802" s="94"/>
      <c r="AJ3802" s="43"/>
    </row>
    <row r="3803" spans="1:36" s="3" customFormat="1" ht="12" customHeight="1" x14ac:dyDescent="0.25">
      <c r="A3803" s="405" t="s">
        <v>4918</v>
      </c>
      <c r="B3803" s="406" t="s">
        <v>2650</v>
      </c>
      <c r="C3803" s="405">
        <v>1.1000000000000001</v>
      </c>
      <c r="D3803" s="407" t="s">
        <v>102</v>
      </c>
      <c r="E3803" s="315" t="s">
        <v>14392</v>
      </c>
      <c r="F3803" s="196">
        <v>43083</v>
      </c>
      <c r="G3803" s="170"/>
      <c r="H3803" s="170">
        <v>1</v>
      </c>
      <c r="I3803" s="746">
        <f>TIME(0,54,27)</f>
        <v>3.7812500000000006E-2</v>
      </c>
      <c r="J3803" s="899" t="s">
        <v>4706</v>
      </c>
      <c r="K3803" s="167" t="s">
        <v>4549</v>
      </c>
      <c r="L3803" s="167" t="s">
        <v>179</v>
      </c>
      <c r="M3803" s="167"/>
      <c r="N3803" s="167"/>
      <c r="O3803" s="167" t="s">
        <v>1643</v>
      </c>
      <c r="P3803" s="168" t="s">
        <v>14382</v>
      </c>
      <c r="Q3803" s="167" t="s">
        <v>3947</v>
      </c>
      <c r="R3803" s="172" t="s">
        <v>14383</v>
      </c>
      <c r="S3803" s="388"/>
      <c r="T3803" s="168"/>
      <c r="U3803" s="168"/>
      <c r="V3803" s="168"/>
      <c r="W3803" s="312" t="s">
        <v>14388</v>
      </c>
      <c r="X3803" s="644" t="s">
        <v>12491</v>
      </c>
      <c r="Y3803" s="352" t="s">
        <v>5398</v>
      </c>
      <c r="Z3803" s="353">
        <v>322</v>
      </c>
      <c r="AA3803" s="353">
        <v>5</v>
      </c>
      <c r="AB3803" s="31">
        <f t="shared" ca="1" si="97"/>
        <v>0.13732396702548599</v>
      </c>
      <c r="AC3803" s="810"/>
      <c r="AD3803" s="811"/>
      <c r="AE3803" s="940"/>
      <c r="AF3803" s="920">
        <f>IF(X3803=X3802,AF3802,0)+IF(ISNUMBER(I3803),IF(I3803&lt;1,I3803,I3803*VLOOKUP(J3803,Summary!$H$2:$I$9,2)),VLOOKUP(J3803,Summary!$J$2:$K$9,2)*IF(ISNUMBER(H3803),H3803,1))</f>
        <v>1.1329629629629627</v>
      </c>
      <c r="AG3803" s="287">
        <v>3802</v>
      </c>
      <c r="AH3803" s="94"/>
      <c r="AI3803" s="94"/>
      <c r="AJ3803" s="43"/>
    </row>
    <row r="3804" spans="1:36" s="22" customFormat="1" ht="12" customHeight="1" x14ac:dyDescent="0.2">
      <c r="A3804" s="405" t="s">
        <v>4918</v>
      </c>
      <c r="B3804" s="406" t="s">
        <v>2525</v>
      </c>
      <c r="C3804" s="405">
        <v>29</v>
      </c>
      <c r="D3804" s="407" t="s">
        <v>12852</v>
      </c>
      <c r="E3804" s="315" t="s">
        <v>12855</v>
      </c>
      <c r="F3804" s="196">
        <v>43153</v>
      </c>
      <c r="G3804" s="170"/>
      <c r="H3804" s="170">
        <v>1</v>
      </c>
      <c r="I3804" s="747">
        <f t="shared" ref="I3804:I3809" si="99">TIME(0,60,0)</f>
        <v>4.1666666666666664E-2</v>
      </c>
      <c r="J3804" s="899" t="s">
        <v>4706</v>
      </c>
      <c r="K3804" s="167" t="s">
        <v>179</v>
      </c>
      <c r="L3804" s="167" t="s">
        <v>179</v>
      </c>
      <c r="M3804" s="167"/>
      <c r="N3804" s="167"/>
      <c r="O3804" s="167" t="s">
        <v>179</v>
      </c>
      <c r="P3804" s="168" t="s">
        <v>12849</v>
      </c>
      <c r="Q3804" s="167" t="s">
        <v>3947</v>
      </c>
      <c r="R3804" s="172" t="s">
        <v>2237</v>
      </c>
      <c r="S3804" s="388" t="s">
        <v>2608</v>
      </c>
      <c r="T3804" s="168" t="s">
        <v>2610</v>
      </c>
      <c r="U3804" s="168" t="s">
        <v>2542</v>
      </c>
      <c r="V3804" s="168"/>
      <c r="W3804" s="312" t="s">
        <v>12855</v>
      </c>
      <c r="X3804" s="644" t="s">
        <v>12491</v>
      </c>
      <c r="Y3804" s="352" t="s">
        <v>2798</v>
      </c>
      <c r="Z3804" s="353">
        <v>999</v>
      </c>
      <c r="AA3804" s="353"/>
      <c r="AB3804" s="31">
        <f t="shared" ca="1" si="97"/>
        <v>0.43548987138626594</v>
      </c>
      <c r="AC3804" s="810"/>
      <c r="AD3804" s="811"/>
      <c r="AE3804" s="940"/>
      <c r="AF3804" s="920">
        <f>IF(X3804=X3803,AF3803,0)+IF(ISNUMBER(I3804),IF(I3804&lt;1,I3804,I3804*VLOOKUP(J3804,Summary!$H$2:$I$9,2)),VLOOKUP(J3804,Summary!$J$2:$K$9,2)*IF(ISNUMBER(H3804),H3804,1))</f>
        <v>1.1746296296296295</v>
      </c>
      <c r="AG3804" s="287">
        <v>3803</v>
      </c>
      <c r="AH3804" s="94"/>
      <c r="AI3804" s="94"/>
    </row>
    <row r="3805" spans="1:36" s="3" customFormat="1" ht="12" customHeight="1" x14ac:dyDescent="0.25">
      <c r="A3805" s="405" t="s">
        <v>4918</v>
      </c>
      <c r="B3805" s="406" t="s">
        <v>2525</v>
      </c>
      <c r="C3805" s="405">
        <v>30</v>
      </c>
      <c r="D3805" s="407" t="s">
        <v>12853</v>
      </c>
      <c r="E3805" s="315" t="s">
        <v>12856</v>
      </c>
      <c r="F3805" s="196">
        <v>43153</v>
      </c>
      <c r="G3805" s="170"/>
      <c r="H3805" s="170">
        <v>1</v>
      </c>
      <c r="I3805" s="747">
        <f t="shared" si="99"/>
        <v>4.1666666666666664E-2</v>
      </c>
      <c r="J3805" s="899" t="s">
        <v>4706</v>
      </c>
      <c r="K3805" s="167" t="s">
        <v>6452</v>
      </c>
      <c r="L3805" s="167" t="s">
        <v>179</v>
      </c>
      <c r="M3805" s="167"/>
      <c r="N3805" s="167"/>
      <c r="O3805" s="167" t="s">
        <v>179</v>
      </c>
      <c r="P3805" s="168" t="s">
        <v>12849</v>
      </c>
      <c r="Q3805" s="167" t="s">
        <v>3947</v>
      </c>
      <c r="R3805" s="172" t="s">
        <v>2237</v>
      </c>
      <c r="S3805" s="388" t="s">
        <v>2608</v>
      </c>
      <c r="T3805" s="168" t="s">
        <v>2610</v>
      </c>
      <c r="U3805" s="168" t="s">
        <v>2542</v>
      </c>
      <c r="V3805" s="168"/>
      <c r="W3805" s="312" t="s">
        <v>12856</v>
      </c>
      <c r="X3805" s="644" t="s">
        <v>12491</v>
      </c>
      <c r="Y3805" s="352" t="s">
        <v>2798</v>
      </c>
      <c r="Z3805" s="353">
        <v>999</v>
      </c>
      <c r="AA3805" s="353"/>
      <c r="AB3805" s="31">
        <f t="shared" ca="1" si="97"/>
        <v>0.75605564667209135</v>
      </c>
      <c r="AC3805" s="810"/>
      <c r="AD3805" s="811"/>
      <c r="AE3805" s="940"/>
      <c r="AF3805" s="920">
        <f>IF(X3805=X3804,AF3804,0)+IF(ISNUMBER(I3805),IF(I3805&lt;1,I3805,I3805*VLOOKUP(J3805,Summary!$H$2:$I$9,2)),VLOOKUP(J3805,Summary!$J$2:$K$9,2)*IF(ISNUMBER(H3805),H3805,1))</f>
        <v>1.2162962962962962</v>
      </c>
      <c r="AG3805" s="287">
        <v>3804</v>
      </c>
      <c r="AH3805" s="94"/>
      <c r="AI3805" s="94"/>
      <c r="AJ3805" s="2"/>
    </row>
    <row r="3806" spans="1:36" s="22" customFormat="1" ht="12" customHeight="1" x14ac:dyDescent="0.2">
      <c r="A3806" s="405" t="s">
        <v>4918</v>
      </c>
      <c r="B3806" s="406" t="s">
        <v>2525</v>
      </c>
      <c r="C3806" s="405">
        <v>31</v>
      </c>
      <c r="D3806" s="407" t="s">
        <v>15717</v>
      </c>
      <c r="E3806" s="315" t="s">
        <v>15721</v>
      </c>
      <c r="F3806" s="196" t="s">
        <v>11072</v>
      </c>
      <c r="G3806" s="170"/>
      <c r="H3806" s="170">
        <v>1</v>
      </c>
      <c r="I3806" s="747">
        <f t="shared" si="99"/>
        <v>4.1666666666666664E-2</v>
      </c>
      <c r="J3806" s="899" t="s">
        <v>4706</v>
      </c>
      <c r="K3806" s="167" t="s">
        <v>4146</v>
      </c>
      <c r="L3806" s="167" t="s">
        <v>179</v>
      </c>
      <c r="M3806" s="167"/>
      <c r="N3806" s="167" t="s">
        <v>6452</v>
      </c>
      <c r="O3806" s="167" t="s">
        <v>179</v>
      </c>
      <c r="P3806" s="168" t="s">
        <v>15716</v>
      </c>
      <c r="Q3806" s="167" t="s">
        <v>3947</v>
      </c>
      <c r="R3806" s="172" t="s">
        <v>2237</v>
      </c>
      <c r="S3806" s="388"/>
      <c r="T3806" s="168" t="s">
        <v>2610</v>
      </c>
      <c r="U3806" s="168"/>
      <c r="V3806" s="168"/>
      <c r="W3806" s="312" t="s">
        <v>15721</v>
      </c>
      <c r="X3806" s="644" t="s">
        <v>12491</v>
      </c>
      <c r="Y3806" s="352"/>
      <c r="Z3806" s="353"/>
      <c r="AA3806" s="353"/>
      <c r="AB3806" s="31">
        <f t="shared" ca="1" si="97"/>
        <v>0.26943065806747168</v>
      </c>
      <c r="AC3806" s="810"/>
      <c r="AD3806" s="811"/>
      <c r="AE3806" s="940"/>
      <c r="AF3806" s="920">
        <f>IF(X3806=X3805,AF3805,0)+IF(ISNUMBER(I3806),IF(I3806&lt;1,I3806,I3806*VLOOKUP(J3806,Summary!$H$2:$I$9,2)),VLOOKUP(J3806,Summary!$J$2:$K$9,2)*IF(ISNUMBER(H3806),H3806,1))</f>
        <v>1.2579629629629629</v>
      </c>
      <c r="AG3806" s="287">
        <v>3805</v>
      </c>
      <c r="AH3806" s="94"/>
      <c r="AI3806" s="94"/>
    </row>
    <row r="3807" spans="1:36" s="2" customFormat="1" ht="12" customHeight="1" x14ac:dyDescent="0.25">
      <c r="A3807" s="405" t="s">
        <v>4918</v>
      </c>
      <c r="B3807" s="406" t="s">
        <v>2525</v>
      </c>
      <c r="C3807" s="405">
        <v>32</v>
      </c>
      <c r="D3807" s="407" t="s">
        <v>15718</v>
      </c>
      <c r="E3807" s="315" t="s">
        <v>15722</v>
      </c>
      <c r="F3807" s="196" t="s">
        <v>11072</v>
      </c>
      <c r="G3807" s="170"/>
      <c r="H3807" s="170">
        <v>1</v>
      </c>
      <c r="I3807" s="747">
        <f t="shared" si="99"/>
        <v>4.1666666666666664E-2</v>
      </c>
      <c r="J3807" s="899" t="s">
        <v>4706</v>
      </c>
      <c r="K3807" s="167" t="s">
        <v>7797</v>
      </c>
      <c r="L3807" s="167" t="s">
        <v>179</v>
      </c>
      <c r="M3807" s="167"/>
      <c r="N3807" s="167" t="s">
        <v>6452</v>
      </c>
      <c r="O3807" s="167" t="s">
        <v>179</v>
      </c>
      <c r="P3807" s="168" t="s">
        <v>15716</v>
      </c>
      <c r="Q3807" s="167" t="s">
        <v>3947</v>
      </c>
      <c r="R3807" s="172" t="s">
        <v>2237</v>
      </c>
      <c r="S3807" s="388"/>
      <c r="T3807" s="168" t="s">
        <v>2610</v>
      </c>
      <c r="U3807" s="168"/>
      <c r="V3807" s="168"/>
      <c r="W3807" s="312" t="s">
        <v>15722</v>
      </c>
      <c r="X3807" s="644" t="s">
        <v>12491</v>
      </c>
      <c r="Y3807" s="352"/>
      <c r="Z3807" s="353"/>
      <c r="AA3807" s="353"/>
      <c r="AB3807" s="31">
        <f t="shared" ca="1" si="97"/>
        <v>0.99672012715012492</v>
      </c>
      <c r="AC3807" s="810"/>
      <c r="AD3807" s="811"/>
      <c r="AE3807" s="940"/>
      <c r="AF3807" s="920">
        <f>IF(X3807=X3806,AF3806,0)+IF(ISNUMBER(I3807),IF(I3807&lt;1,I3807,I3807*VLOOKUP(J3807,Summary!$H$2:$I$9,2)),VLOOKUP(J3807,Summary!$J$2:$K$9,2)*IF(ISNUMBER(H3807),H3807,1))</f>
        <v>1.2996296296296297</v>
      </c>
      <c r="AG3807" s="287">
        <v>3806</v>
      </c>
      <c r="AH3807" s="94"/>
      <c r="AI3807" s="94"/>
    </row>
    <row r="3808" spans="1:36" s="3" customFormat="1" ht="12" customHeight="1" x14ac:dyDescent="0.25">
      <c r="A3808" s="405" t="s">
        <v>4918</v>
      </c>
      <c r="B3808" s="406" t="s">
        <v>2525</v>
      </c>
      <c r="C3808" s="405">
        <v>33</v>
      </c>
      <c r="D3808" s="407" t="s">
        <v>15719</v>
      </c>
      <c r="E3808" s="315" t="s">
        <v>15723</v>
      </c>
      <c r="F3808" s="196" t="s">
        <v>11072</v>
      </c>
      <c r="G3808" s="170"/>
      <c r="H3808" s="170">
        <v>1</v>
      </c>
      <c r="I3808" s="747">
        <f t="shared" si="99"/>
        <v>4.1666666666666664E-2</v>
      </c>
      <c r="J3808" s="899" t="s">
        <v>4706</v>
      </c>
      <c r="K3808" s="167" t="s">
        <v>15725</v>
      </c>
      <c r="L3808" s="167" t="s">
        <v>179</v>
      </c>
      <c r="M3808" s="167"/>
      <c r="N3808" s="167" t="s">
        <v>6452</v>
      </c>
      <c r="O3808" s="167" t="s">
        <v>179</v>
      </c>
      <c r="P3808" s="168" t="s">
        <v>15716</v>
      </c>
      <c r="Q3808" s="167" t="s">
        <v>3947</v>
      </c>
      <c r="R3808" s="172" t="s">
        <v>2237</v>
      </c>
      <c r="S3808" s="388"/>
      <c r="T3808" s="168" t="s">
        <v>2610</v>
      </c>
      <c r="U3808" s="168"/>
      <c r="V3808" s="168"/>
      <c r="W3808" s="312" t="s">
        <v>15723</v>
      </c>
      <c r="X3808" s="644" t="s">
        <v>12491</v>
      </c>
      <c r="Y3808" s="352"/>
      <c r="Z3808" s="353"/>
      <c r="AA3808" s="353"/>
      <c r="AB3808" s="31">
        <f t="shared" ca="1" si="97"/>
        <v>0.54127338566318206</v>
      </c>
      <c r="AC3808" s="810"/>
      <c r="AD3808" s="811"/>
      <c r="AE3808" s="940"/>
      <c r="AF3808" s="920">
        <f>IF(X3808=X3807,AF3807,0)+IF(ISNUMBER(I3808),IF(I3808&lt;1,I3808,I3808*VLOOKUP(J3808,Summary!$H$2:$I$9,2)),VLOOKUP(J3808,Summary!$J$2:$K$9,2)*IF(ISNUMBER(H3808),H3808,1))</f>
        <v>1.3412962962962964</v>
      </c>
      <c r="AG3808" s="287">
        <v>3807</v>
      </c>
      <c r="AH3808" s="94"/>
      <c r="AI3808" s="94"/>
      <c r="AJ3808" s="2"/>
    </row>
    <row r="3809" spans="1:36" s="3" customFormat="1" ht="12" customHeight="1" x14ac:dyDescent="0.25">
      <c r="A3809" s="405" t="s">
        <v>4918</v>
      </c>
      <c r="B3809" s="406" t="s">
        <v>2525</v>
      </c>
      <c r="C3809" s="405">
        <v>34</v>
      </c>
      <c r="D3809" s="407" t="s">
        <v>15720</v>
      </c>
      <c r="E3809" s="315" t="s">
        <v>15724</v>
      </c>
      <c r="F3809" s="196" t="s">
        <v>11072</v>
      </c>
      <c r="G3809" s="170"/>
      <c r="H3809" s="170">
        <v>1</v>
      </c>
      <c r="I3809" s="747">
        <f t="shared" si="99"/>
        <v>4.1666666666666664E-2</v>
      </c>
      <c r="J3809" s="899" t="s">
        <v>4706</v>
      </c>
      <c r="K3809" s="167" t="s">
        <v>6452</v>
      </c>
      <c r="L3809" s="167" t="s">
        <v>179</v>
      </c>
      <c r="M3809" s="167"/>
      <c r="N3809" s="167" t="s">
        <v>6452</v>
      </c>
      <c r="O3809" s="167" t="s">
        <v>179</v>
      </c>
      <c r="P3809" s="168" t="s">
        <v>15716</v>
      </c>
      <c r="Q3809" s="167" t="s">
        <v>3947</v>
      </c>
      <c r="R3809" s="172" t="s">
        <v>2237</v>
      </c>
      <c r="S3809" s="388"/>
      <c r="T3809" s="168" t="s">
        <v>2610</v>
      </c>
      <c r="U3809" s="168"/>
      <c r="V3809" s="168"/>
      <c r="W3809" s="312" t="s">
        <v>15724</v>
      </c>
      <c r="X3809" s="644" t="s">
        <v>12491</v>
      </c>
      <c r="Y3809" s="352"/>
      <c r="Z3809" s="353"/>
      <c r="AA3809" s="353"/>
      <c r="AB3809" s="31">
        <f t="shared" ca="1" si="97"/>
        <v>0.14728054202771057</v>
      </c>
      <c r="AC3809" s="810"/>
      <c r="AD3809" s="811"/>
      <c r="AE3809" s="940"/>
      <c r="AF3809" s="920">
        <f>IF(X3809=X3808,AF3808,0)+IF(ISNUMBER(I3809),IF(I3809&lt;1,I3809,I3809*VLOOKUP(J3809,Summary!$H$2:$I$9,2)),VLOOKUP(J3809,Summary!$J$2:$K$9,2)*IF(ISNUMBER(H3809),H3809,1))</f>
        <v>1.3829629629629632</v>
      </c>
      <c r="AG3809" s="287">
        <v>3808</v>
      </c>
      <c r="AH3809" s="94"/>
      <c r="AI3809" s="94"/>
      <c r="AJ3809" s="2"/>
    </row>
    <row r="3810" spans="1:36" s="3" customFormat="1" ht="12" customHeight="1" x14ac:dyDescent="0.25">
      <c r="A3810" s="405" t="s">
        <v>4918</v>
      </c>
      <c r="B3810" s="406" t="s">
        <v>2650</v>
      </c>
      <c r="C3810" s="405">
        <v>1.2</v>
      </c>
      <c r="D3810" s="407" t="s">
        <v>14384</v>
      </c>
      <c r="E3810" s="315" t="s">
        <v>14393</v>
      </c>
      <c r="F3810" s="196">
        <v>43083</v>
      </c>
      <c r="G3810" s="170"/>
      <c r="H3810" s="170">
        <v>1</v>
      </c>
      <c r="I3810" s="746">
        <f>TIME(1,0,12)</f>
        <v>4.1805555555555561E-2</v>
      </c>
      <c r="J3810" s="899" t="s">
        <v>4706</v>
      </c>
      <c r="K3810" s="167" t="s">
        <v>14387</v>
      </c>
      <c r="L3810" s="167" t="s">
        <v>179</v>
      </c>
      <c r="M3810" s="167"/>
      <c r="N3810" s="167"/>
      <c r="O3810" s="167" t="s">
        <v>1643</v>
      </c>
      <c r="P3810" s="168" t="s">
        <v>14382</v>
      </c>
      <c r="Q3810" s="167" t="s">
        <v>3947</v>
      </c>
      <c r="R3810" s="172" t="s">
        <v>14383</v>
      </c>
      <c r="S3810" s="388"/>
      <c r="T3810" s="168"/>
      <c r="U3810" s="168"/>
      <c r="V3810" s="168"/>
      <c r="W3810" s="312" t="s">
        <v>14389</v>
      </c>
      <c r="X3810" s="644" t="s">
        <v>12491</v>
      </c>
      <c r="Y3810" s="352" t="s">
        <v>5398</v>
      </c>
      <c r="Z3810" s="353">
        <v>457</v>
      </c>
      <c r="AA3810" s="353">
        <v>4.5</v>
      </c>
      <c r="AB3810" s="31">
        <f t="shared" ca="1" si="97"/>
        <v>0.16942870553719869</v>
      </c>
      <c r="AC3810" s="810"/>
      <c r="AD3810" s="811"/>
      <c r="AE3810" s="940"/>
      <c r="AF3810" s="920">
        <f>IF(X3810=X3809,AF3809,0)+IF(ISNUMBER(I3810),IF(I3810&lt;1,I3810,I3810*VLOOKUP(J3810,Summary!$H$2:$I$9,2)),VLOOKUP(J3810,Summary!$J$2:$K$9,2)*IF(ISNUMBER(H3810),H3810,1))</f>
        <v>1.4247685185185188</v>
      </c>
      <c r="AG3810" s="287">
        <v>3809</v>
      </c>
      <c r="AH3810" s="94"/>
      <c r="AI3810" s="94"/>
      <c r="AJ3810" s="2"/>
    </row>
    <row r="3811" spans="1:36" s="3" customFormat="1" ht="12" customHeight="1" x14ac:dyDescent="0.25">
      <c r="A3811" s="405" t="s">
        <v>4918</v>
      </c>
      <c r="B3811" s="406" t="s">
        <v>2650</v>
      </c>
      <c r="C3811" s="405">
        <v>1.3</v>
      </c>
      <c r="D3811" s="407" t="s">
        <v>14385</v>
      </c>
      <c r="E3811" s="315" t="s">
        <v>14394</v>
      </c>
      <c r="F3811" s="196">
        <v>43083</v>
      </c>
      <c r="G3811" s="170"/>
      <c r="H3811" s="170">
        <v>1</v>
      </c>
      <c r="I3811" s="746">
        <f>TIME(1,9,32)</f>
        <v>4.8287037037037038E-2</v>
      </c>
      <c r="J3811" s="899" t="s">
        <v>4706</v>
      </c>
      <c r="K3811" s="167" t="s">
        <v>1643</v>
      </c>
      <c r="L3811" s="167" t="s">
        <v>179</v>
      </c>
      <c r="M3811" s="167"/>
      <c r="N3811" s="167"/>
      <c r="O3811" s="167" t="s">
        <v>1643</v>
      </c>
      <c r="P3811" s="168" t="s">
        <v>14382</v>
      </c>
      <c r="Q3811" s="167" t="s">
        <v>3947</v>
      </c>
      <c r="R3811" s="172" t="s">
        <v>14383</v>
      </c>
      <c r="S3811" s="388"/>
      <c r="T3811" s="168"/>
      <c r="U3811" s="168"/>
      <c r="V3811" s="168"/>
      <c r="W3811" s="312" t="s">
        <v>14390</v>
      </c>
      <c r="X3811" s="644" t="s">
        <v>12491</v>
      </c>
      <c r="Y3811" s="352" t="s">
        <v>5398</v>
      </c>
      <c r="Z3811" s="353">
        <v>148</v>
      </c>
      <c r="AA3811" s="353">
        <v>6.5</v>
      </c>
      <c r="AB3811" s="31">
        <f t="shared" ca="1" si="97"/>
        <v>0.8021162107445311</v>
      </c>
      <c r="AC3811" s="810"/>
      <c r="AD3811" s="811"/>
      <c r="AE3811" s="940"/>
      <c r="AF3811" s="920">
        <f>IF(X3811=X3810,AF3810,0)+IF(ISNUMBER(I3811),IF(I3811&lt;1,I3811,I3811*VLOOKUP(J3811,Summary!$H$2:$I$9,2)),VLOOKUP(J3811,Summary!$J$2:$K$9,2)*IF(ISNUMBER(H3811),H3811,1))</f>
        <v>1.4730555555555558</v>
      </c>
      <c r="AG3811" s="287">
        <v>3810</v>
      </c>
      <c r="AH3811" s="94"/>
      <c r="AI3811" s="94"/>
      <c r="AJ3811" s="2"/>
    </row>
    <row r="3812" spans="1:36" s="3" customFormat="1" ht="12" customHeight="1" x14ac:dyDescent="0.25">
      <c r="A3812" s="405" t="s">
        <v>4918</v>
      </c>
      <c r="B3812" s="406" t="s">
        <v>2650</v>
      </c>
      <c r="C3812" s="405">
        <v>1.4</v>
      </c>
      <c r="D3812" s="407" t="s">
        <v>14386</v>
      </c>
      <c r="E3812" s="315" t="s">
        <v>14395</v>
      </c>
      <c r="F3812" s="196">
        <v>43083</v>
      </c>
      <c r="G3812" s="170"/>
      <c r="H3812" s="170">
        <v>1</v>
      </c>
      <c r="I3812" s="746">
        <f>TIME(0,52,34)</f>
        <v>3.650462962962963E-2</v>
      </c>
      <c r="J3812" s="899" t="s">
        <v>4706</v>
      </c>
      <c r="K3812" s="167" t="s">
        <v>1826</v>
      </c>
      <c r="L3812" s="167" t="s">
        <v>179</v>
      </c>
      <c r="M3812" s="167"/>
      <c r="N3812" s="167"/>
      <c r="O3812" s="167" t="s">
        <v>1643</v>
      </c>
      <c r="P3812" s="168" t="s">
        <v>14382</v>
      </c>
      <c r="Q3812" s="167" t="s">
        <v>3947</v>
      </c>
      <c r="R3812" s="172" t="s">
        <v>14383</v>
      </c>
      <c r="S3812" s="388"/>
      <c r="T3812" s="168"/>
      <c r="U3812" s="168"/>
      <c r="V3812" s="168"/>
      <c r="W3812" s="312" t="s">
        <v>14391</v>
      </c>
      <c r="X3812" s="644" t="s">
        <v>12491</v>
      </c>
      <c r="Y3812" s="352" t="s">
        <v>5398</v>
      </c>
      <c r="Z3812" s="353">
        <v>195</v>
      </c>
      <c r="AA3812" s="353">
        <v>6</v>
      </c>
      <c r="AB3812" s="31">
        <f t="shared" ca="1" si="97"/>
        <v>0.67854882247586079</v>
      </c>
      <c r="AC3812" s="810"/>
      <c r="AD3812" s="811"/>
      <c r="AE3812" s="940"/>
      <c r="AF3812" s="920">
        <f>IF(X3812=X3811,AF3811,0)+IF(ISNUMBER(I3812),IF(I3812&lt;1,I3812,I3812*VLOOKUP(J3812,Summary!$H$2:$I$9,2)),VLOOKUP(J3812,Summary!$J$2:$K$9,2)*IF(ISNUMBER(H3812),H3812,1))</f>
        <v>1.5095601851851854</v>
      </c>
      <c r="AG3812" s="287">
        <v>3811</v>
      </c>
      <c r="AH3812" s="94"/>
      <c r="AI3812" s="94"/>
      <c r="AJ3812" s="2"/>
    </row>
    <row r="3813" spans="1:36" s="3" customFormat="1" ht="12" customHeight="1" x14ac:dyDescent="0.25">
      <c r="A3813" s="583" t="s">
        <v>4918</v>
      </c>
      <c r="B3813" s="583">
        <v>8</v>
      </c>
      <c r="C3813" s="583"/>
      <c r="D3813" s="509" t="s">
        <v>3112</v>
      </c>
      <c r="E3813" s="335" t="s">
        <v>7984</v>
      </c>
      <c r="F3813" s="223">
        <v>41592</v>
      </c>
      <c r="G3813" s="223"/>
      <c r="H3813" s="242">
        <v>1</v>
      </c>
      <c r="I3813" s="792">
        <f>TIME(0,7, 17)</f>
        <v>5.0578703703703706E-3</v>
      </c>
      <c r="J3813" s="909" t="s">
        <v>1588</v>
      </c>
      <c r="K3813" s="243" t="s">
        <v>3810</v>
      </c>
      <c r="L3813" s="243" t="s">
        <v>7985</v>
      </c>
      <c r="M3813" s="243"/>
      <c r="N3813" s="243" t="s">
        <v>3810</v>
      </c>
      <c r="O3813" s="243" t="s">
        <v>7986</v>
      </c>
      <c r="P3813" s="241" t="s">
        <v>461</v>
      </c>
      <c r="Q3813" s="243" t="s">
        <v>3946</v>
      </c>
      <c r="R3813" s="244" t="s">
        <v>7896</v>
      </c>
      <c r="S3813" s="395"/>
      <c r="T3813" s="241"/>
      <c r="U3813" s="241"/>
      <c r="V3813" s="241"/>
      <c r="W3813" s="335" t="s">
        <v>7984</v>
      </c>
      <c r="X3813" s="667" t="s">
        <v>12441</v>
      </c>
      <c r="Y3813" s="375" t="s">
        <v>7018</v>
      </c>
      <c r="Z3813" s="377">
        <v>20</v>
      </c>
      <c r="AA3813" s="377">
        <v>9.5</v>
      </c>
      <c r="AB3813" s="55">
        <f t="shared" ca="1" si="97"/>
        <v>0.17698882449667419</v>
      </c>
      <c r="AC3813" s="834"/>
      <c r="AD3813" s="835"/>
      <c r="AE3813" s="957"/>
      <c r="AF3813" s="930">
        <f>IF(X3813=X3812,AF3812,0)+IF(ISNUMBER(I3813),IF(I3813&lt;1,I3813,I3813*VLOOKUP(J3813,Summary!$H$2:$I$9,2)),VLOOKUP(J3813,Summary!$J$2:$K$9,2)*IF(ISNUMBER(H3813),H3813,1))</f>
        <v>5.0578703703703706E-3</v>
      </c>
      <c r="AG3813" s="302">
        <v>3812</v>
      </c>
      <c r="AH3813" s="94"/>
      <c r="AI3813" s="94"/>
      <c r="AJ3813" s="2"/>
    </row>
    <row r="3814" spans="1:36" s="3" customFormat="1" ht="12" customHeight="1" x14ac:dyDescent="0.25">
      <c r="A3814" s="584" t="s">
        <v>8153</v>
      </c>
      <c r="B3814" s="584" t="s">
        <v>8003</v>
      </c>
      <c r="C3814" s="584"/>
      <c r="D3814" s="185"/>
      <c r="E3814" s="314" t="s">
        <v>13015</v>
      </c>
      <c r="F3814" s="184">
        <v>43034</v>
      </c>
      <c r="G3814" s="183"/>
      <c r="H3814" s="185">
        <v>1</v>
      </c>
      <c r="I3814" s="185"/>
      <c r="J3814" s="901" t="s">
        <v>1796</v>
      </c>
      <c r="K3814" s="163" t="s">
        <v>2310</v>
      </c>
      <c r="L3814" s="163" t="s">
        <v>461</v>
      </c>
      <c r="M3814" s="163"/>
      <c r="N3814" s="163"/>
      <c r="O3814" s="163"/>
      <c r="P3814" s="182" t="s">
        <v>13016</v>
      </c>
      <c r="Q3814" s="163" t="s">
        <v>13017</v>
      </c>
      <c r="R3814" s="186" t="s">
        <v>13014</v>
      </c>
      <c r="S3814" s="355"/>
      <c r="T3814" s="182"/>
      <c r="U3814" s="182"/>
      <c r="V3814" s="182"/>
      <c r="W3814" s="314" t="s">
        <v>13015</v>
      </c>
      <c r="X3814" s="646" t="s">
        <v>12441</v>
      </c>
      <c r="Y3814" s="355"/>
      <c r="Z3814" s="185"/>
      <c r="AA3814" s="185"/>
      <c r="AB3814" s="33">
        <f t="shared" ca="1" si="97"/>
        <v>0.88477833379936566</v>
      </c>
      <c r="AC3814" s="813"/>
      <c r="AD3814" s="211"/>
      <c r="AE3814" s="941"/>
      <c r="AF3814" s="922">
        <f>IF(X3814=X3813,AF3813,0)+IF(ISNUMBER(I3814),IF(I3814&lt;1,I3814,I3814*VLOOKUP(J3814,Summary!$H$2:$I$9,2)),VLOOKUP(J3814,Summary!$J$2:$K$9,2)*IF(ISNUMBER(H3814),H3814,1))</f>
        <v>8.5300925925925926E-3</v>
      </c>
      <c r="AG3814" s="290">
        <v>3813</v>
      </c>
      <c r="AH3814" s="94"/>
      <c r="AI3814" s="94"/>
      <c r="AJ3814" s="43"/>
    </row>
    <row r="3815" spans="1:36" s="142" customFormat="1" ht="12" customHeight="1" x14ac:dyDescent="0.25">
      <c r="A3815" s="585" t="s">
        <v>8153</v>
      </c>
      <c r="B3815" s="585" t="s">
        <v>8003</v>
      </c>
      <c r="C3815" s="585">
        <v>15</v>
      </c>
      <c r="D3815" s="417" t="s">
        <v>3555</v>
      </c>
      <c r="E3815" s="316" t="s">
        <v>3370</v>
      </c>
      <c r="F3815" s="187">
        <v>38047</v>
      </c>
      <c r="G3815" s="188"/>
      <c r="H3815" s="188" t="str">
        <f>IF(J3815="Book","n/a","")</f>
        <v>n/a</v>
      </c>
      <c r="I3815" s="188">
        <v>139</v>
      </c>
      <c r="J3815" s="902" t="s">
        <v>6868</v>
      </c>
      <c r="K3815" s="162" t="s">
        <v>1934</v>
      </c>
      <c r="L3815" s="162" t="str">
        <f>IF(J3815="Book","n/a","")</f>
        <v>n/a</v>
      </c>
      <c r="M3815" s="162"/>
      <c r="N3815" s="162"/>
      <c r="O3815" s="162"/>
      <c r="P3815" s="178" t="s">
        <v>8870</v>
      </c>
      <c r="Q3815" s="162" t="s">
        <v>6055</v>
      </c>
      <c r="R3815" s="189" t="s">
        <v>2718</v>
      </c>
      <c r="S3815" s="366"/>
      <c r="T3815" s="178"/>
      <c r="U3815" s="178"/>
      <c r="V3815" s="178"/>
      <c r="W3815" s="316" t="s">
        <v>3370</v>
      </c>
      <c r="X3815" s="648" t="s">
        <v>12441</v>
      </c>
      <c r="Y3815" s="356"/>
      <c r="Z3815" s="272">
        <v>11</v>
      </c>
      <c r="AA3815" s="272">
        <v>9.5</v>
      </c>
      <c r="AB3815" s="34">
        <f t="shared" ca="1" si="97"/>
        <v>0.32890566515375641</v>
      </c>
      <c r="AC3815" s="814"/>
      <c r="AD3815" s="815" t="s">
        <v>16356</v>
      </c>
      <c r="AE3815" s="942" t="s">
        <v>12543</v>
      </c>
      <c r="AF3815" s="923">
        <f>IF(X3815=X3814,AF3814,0)+IF(ISNUMBER(I3815),IF(I3815&lt;1,I3815,I3815*VLOOKUP(J3815,Summary!$H$2:$I$9,2)),VLOOKUP(J3815,Summary!$J$2:$K$9,2)*IF(ISNUMBER(H3815),H3815,1))</f>
        <v>0.10505787037037037</v>
      </c>
      <c r="AG3815" s="291">
        <v>3814</v>
      </c>
      <c r="AH3815" s="94"/>
      <c r="AI3815" s="94"/>
    </row>
    <row r="3816" spans="1:36" s="3" customFormat="1" ht="12" customHeight="1" x14ac:dyDescent="0.25">
      <c r="A3816" s="586" t="s">
        <v>8153</v>
      </c>
      <c r="B3816" s="586" t="s">
        <v>8003</v>
      </c>
      <c r="C3816" s="586">
        <v>11</v>
      </c>
      <c r="D3816" s="176" t="s">
        <v>15543</v>
      </c>
      <c r="E3816" s="313" t="s">
        <v>15544</v>
      </c>
      <c r="F3816" s="175">
        <v>43384</v>
      </c>
      <c r="G3816" s="174"/>
      <c r="H3816" s="176">
        <v>1</v>
      </c>
      <c r="I3816" s="176"/>
      <c r="J3816" s="900" t="s">
        <v>2755</v>
      </c>
      <c r="K3816" s="164" t="s">
        <v>15498</v>
      </c>
      <c r="L3816" s="164" t="s">
        <v>461</v>
      </c>
      <c r="M3816" s="164"/>
      <c r="N3816" s="164"/>
      <c r="O3816" s="164"/>
      <c r="P3816" s="173" t="s">
        <v>15499</v>
      </c>
      <c r="Q3816" s="164" t="s">
        <v>3953</v>
      </c>
      <c r="R3816" s="179" t="s">
        <v>15500</v>
      </c>
      <c r="S3816" s="354"/>
      <c r="T3816" s="173"/>
      <c r="U3816" s="173"/>
      <c r="V3816" s="173"/>
      <c r="W3816" s="313" t="s">
        <v>15544</v>
      </c>
      <c r="X3816" s="645" t="s">
        <v>12441</v>
      </c>
      <c r="Y3816" s="354"/>
      <c r="Z3816" s="176"/>
      <c r="AA3816" s="176"/>
      <c r="AB3816" s="32">
        <f t="shared" ca="1" si="97"/>
        <v>0.1443061312344045</v>
      </c>
      <c r="AC3816" s="812"/>
      <c r="AD3816" s="763"/>
      <c r="AE3816" s="807"/>
      <c r="AF3816" s="921">
        <f>IF(X3816=X3815,AF3815,0)+IF(ISNUMBER(I3816),IF(I3816&lt;1,I3816,I3816*VLOOKUP(J3816,Summary!$H$2:$I$9,2)),VLOOKUP(J3816,Summary!$J$2:$K$9,2)*IF(ISNUMBER(H3816),H3816,1))</f>
        <v>0.12241898148148148</v>
      </c>
      <c r="AG3816" s="288">
        <v>3815</v>
      </c>
      <c r="AH3816" s="94"/>
      <c r="AI3816" s="94"/>
      <c r="AJ3816" s="2"/>
    </row>
    <row r="3817" spans="1:36" s="3" customFormat="1" ht="12" customHeight="1" x14ac:dyDescent="0.25">
      <c r="A3817" s="586" t="s">
        <v>8153</v>
      </c>
      <c r="B3817" s="586" t="s">
        <v>8003</v>
      </c>
      <c r="C3817" s="586">
        <v>1</v>
      </c>
      <c r="D3817" s="176" t="s">
        <v>10081</v>
      </c>
      <c r="E3817" s="313" t="s">
        <v>10082</v>
      </c>
      <c r="F3817" s="175">
        <v>42222</v>
      </c>
      <c r="G3817" s="174"/>
      <c r="H3817" s="176" t="s">
        <v>461</v>
      </c>
      <c r="I3817" s="176"/>
      <c r="J3817" s="900" t="s">
        <v>2755</v>
      </c>
      <c r="K3817" s="164" t="s">
        <v>7375</v>
      </c>
      <c r="L3817" s="164" t="s">
        <v>461</v>
      </c>
      <c r="M3817" s="164"/>
      <c r="N3817" s="164"/>
      <c r="O3817" s="164"/>
      <c r="P3817" s="173" t="s">
        <v>10083</v>
      </c>
      <c r="Q3817" s="164" t="s">
        <v>3953</v>
      </c>
      <c r="R3817" s="177" t="s">
        <v>10084</v>
      </c>
      <c r="S3817" s="354"/>
      <c r="T3817" s="173"/>
      <c r="U3817" s="173"/>
      <c r="V3817" s="173"/>
      <c r="W3817" s="313" t="s">
        <v>10082</v>
      </c>
      <c r="X3817" s="645" t="s">
        <v>12441</v>
      </c>
      <c r="Y3817" s="354"/>
      <c r="Z3817" s="176"/>
      <c r="AA3817" s="176"/>
      <c r="AB3817" s="32">
        <f t="shared" ca="1" si="97"/>
        <v>0.49217852965576858</v>
      </c>
      <c r="AC3817" s="812"/>
      <c r="AD3817" s="763"/>
      <c r="AE3817" s="807"/>
      <c r="AF3817" s="921">
        <f>IF(X3817=X3816,AF3816,0)+IF(ISNUMBER(I3817),IF(I3817&lt;1,I3817,I3817*VLOOKUP(J3817,Summary!$H$2:$I$9,2)),VLOOKUP(J3817,Summary!$J$2:$K$9,2)*IF(ISNUMBER(H3817),H3817,1))</f>
        <v>0.13978009259259258</v>
      </c>
      <c r="AG3817" s="289">
        <v>3816</v>
      </c>
      <c r="AH3817" s="94"/>
      <c r="AI3817" s="94"/>
      <c r="AJ3817" s="2"/>
    </row>
    <row r="3818" spans="1:36" s="3" customFormat="1" ht="12" customHeight="1" x14ac:dyDescent="0.25">
      <c r="A3818" s="587" t="s">
        <v>8153</v>
      </c>
      <c r="B3818" s="587" t="s">
        <v>8003</v>
      </c>
      <c r="C3818" s="587">
        <v>1.1000000000000001</v>
      </c>
      <c r="D3818" s="407" t="s">
        <v>10063</v>
      </c>
      <c r="E3818" s="336" t="s">
        <v>10072</v>
      </c>
      <c r="F3818" s="196">
        <v>42352</v>
      </c>
      <c r="G3818" s="169"/>
      <c r="H3818" s="170">
        <v>1</v>
      </c>
      <c r="I3818" s="747">
        <f t="shared" ref="I3818:I3829" si="100">TIME(0,60,0)</f>
        <v>4.1666666666666664E-2</v>
      </c>
      <c r="J3818" s="899" t="s">
        <v>4706</v>
      </c>
      <c r="K3818" s="167" t="s">
        <v>4549</v>
      </c>
      <c r="L3818" s="167" t="s">
        <v>4549</v>
      </c>
      <c r="M3818" s="167"/>
      <c r="N3818" s="167"/>
      <c r="O3818" s="167" t="s">
        <v>2500</v>
      </c>
      <c r="P3818" s="168" t="s">
        <v>10064</v>
      </c>
      <c r="Q3818" s="167" t="s">
        <v>3947</v>
      </c>
      <c r="R3818" s="172" t="s">
        <v>8152</v>
      </c>
      <c r="S3818" s="388"/>
      <c r="T3818" s="168"/>
      <c r="U3818" s="168"/>
      <c r="V3818" s="168"/>
      <c r="W3818" s="336" t="s">
        <v>10067</v>
      </c>
      <c r="X3818" s="668" t="s">
        <v>12441</v>
      </c>
      <c r="Y3818" s="352" t="s">
        <v>5643</v>
      </c>
      <c r="Z3818" s="353">
        <v>430</v>
      </c>
      <c r="AA3818" s="353">
        <v>4.5</v>
      </c>
      <c r="AB3818" s="31">
        <f t="shared" ca="1" si="97"/>
        <v>0.23383184916745703</v>
      </c>
      <c r="AC3818" s="810"/>
      <c r="AD3818" s="811"/>
      <c r="AE3818" s="945"/>
      <c r="AF3818" s="920">
        <f>IF(X3818=X3817,AF3817,0)+IF(ISNUMBER(I3818),IF(I3818&lt;1,I3818,I3818*VLOOKUP(J3818,Summary!$H$2:$I$9,2)),VLOOKUP(J3818,Summary!$J$2:$K$9,2)*IF(ISNUMBER(H3818),H3818,1))</f>
        <v>0.18144675925925924</v>
      </c>
      <c r="AG3818" s="287">
        <v>3817</v>
      </c>
      <c r="AH3818" s="94"/>
      <c r="AI3818" s="94"/>
      <c r="AJ3818" s="2"/>
    </row>
    <row r="3819" spans="1:36" s="3" customFormat="1" ht="12" customHeight="1" x14ac:dyDescent="0.25">
      <c r="A3819" s="587" t="s">
        <v>8153</v>
      </c>
      <c r="B3819" s="587" t="s">
        <v>8003</v>
      </c>
      <c r="C3819" s="587">
        <v>1.2</v>
      </c>
      <c r="D3819" s="407" t="s">
        <v>10065</v>
      </c>
      <c r="E3819" s="336" t="s">
        <v>10071</v>
      </c>
      <c r="F3819" s="196">
        <v>42352</v>
      </c>
      <c r="G3819" s="169"/>
      <c r="H3819" s="170">
        <v>1</v>
      </c>
      <c r="I3819" s="747">
        <f t="shared" si="100"/>
        <v>4.1666666666666664E-2</v>
      </c>
      <c r="J3819" s="899" t="s">
        <v>4706</v>
      </c>
      <c r="K3819" s="167" t="s">
        <v>4549</v>
      </c>
      <c r="L3819" s="167" t="s">
        <v>4549</v>
      </c>
      <c r="M3819" s="167"/>
      <c r="N3819" s="167"/>
      <c r="O3819" s="167" t="s">
        <v>2500</v>
      </c>
      <c r="P3819" s="168" t="s">
        <v>10064</v>
      </c>
      <c r="Q3819" s="167" t="s">
        <v>3947</v>
      </c>
      <c r="R3819" s="172" t="s">
        <v>8152</v>
      </c>
      <c r="S3819" s="388"/>
      <c r="T3819" s="168"/>
      <c r="U3819" s="168"/>
      <c r="V3819" s="168"/>
      <c r="W3819" s="336" t="s">
        <v>10068</v>
      </c>
      <c r="X3819" s="668" t="s">
        <v>12441</v>
      </c>
      <c r="Y3819" s="352" t="s">
        <v>11456</v>
      </c>
      <c r="Z3819" s="353"/>
      <c r="AA3819" s="353"/>
      <c r="AB3819" s="31">
        <f t="shared" ca="1" si="97"/>
        <v>0.55367733013982567</v>
      </c>
      <c r="AC3819" s="810"/>
      <c r="AD3819" s="811"/>
      <c r="AE3819" s="945"/>
      <c r="AF3819" s="920">
        <f>IF(X3819=X3818,AF3818,0)+IF(ISNUMBER(I3819),IF(I3819&lt;1,I3819,I3819*VLOOKUP(J3819,Summary!$H$2:$I$9,2)),VLOOKUP(J3819,Summary!$J$2:$K$9,2)*IF(ISNUMBER(H3819),H3819,1))</f>
        <v>0.2231134259259259</v>
      </c>
      <c r="AG3819" s="287">
        <v>3818</v>
      </c>
      <c r="AH3819" s="94"/>
      <c r="AI3819" s="94"/>
      <c r="AJ3819" s="2"/>
    </row>
    <row r="3820" spans="1:36" s="22" customFormat="1" ht="12" customHeight="1" x14ac:dyDescent="0.2">
      <c r="A3820" s="587" t="s">
        <v>8153</v>
      </c>
      <c r="B3820" s="587" t="s">
        <v>8003</v>
      </c>
      <c r="C3820" s="587">
        <v>1.3</v>
      </c>
      <c r="D3820" s="407" t="s">
        <v>10066</v>
      </c>
      <c r="E3820" s="336" t="s">
        <v>10070</v>
      </c>
      <c r="F3820" s="196">
        <v>42352</v>
      </c>
      <c r="G3820" s="169"/>
      <c r="H3820" s="170">
        <v>1</v>
      </c>
      <c r="I3820" s="747">
        <f t="shared" si="100"/>
        <v>4.1666666666666664E-2</v>
      </c>
      <c r="J3820" s="899" t="s">
        <v>4706</v>
      </c>
      <c r="K3820" s="167" t="s">
        <v>4549</v>
      </c>
      <c r="L3820" s="167" t="s">
        <v>4549</v>
      </c>
      <c r="M3820" s="167"/>
      <c r="N3820" s="167"/>
      <c r="O3820" s="167" t="s">
        <v>2500</v>
      </c>
      <c r="P3820" s="168" t="s">
        <v>10064</v>
      </c>
      <c r="Q3820" s="167" t="s">
        <v>3947</v>
      </c>
      <c r="R3820" s="172" t="s">
        <v>8152</v>
      </c>
      <c r="S3820" s="388"/>
      <c r="T3820" s="168"/>
      <c r="U3820" s="168"/>
      <c r="V3820" s="168"/>
      <c r="W3820" s="336" t="s">
        <v>10069</v>
      </c>
      <c r="X3820" s="668" t="s">
        <v>12441</v>
      </c>
      <c r="Y3820" s="352" t="s">
        <v>11456</v>
      </c>
      <c r="Z3820" s="353"/>
      <c r="AA3820" s="353"/>
      <c r="AB3820" s="31">
        <f t="shared" ca="1" si="97"/>
        <v>0.84108420922333871</v>
      </c>
      <c r="AC3820" s="810"/>
      <c r="AD3820" s="811"/>
      <c r="AE3820" s="945"/>
      <c r="AF3820" s="920">
        <f>IF(X3820=X3819,AF3819,0)+IF(ISNUMBER(I3820),IF(I3820&lt;1,I3820,I3820*VLOOKUP(J3820,Summary!$H$2:$I$9,2)),VLOOKUP(J3820,Summary!$J$2:$K$9,2)*IF(ISNUMBER(H3820),H3820,1))</f>
        <v>0.26478009259259255</v>
      </c>
      <c r="AG3820" s="287">
        <v>3819</v>
      </c>
      <c r="AH3820" s="94"/>
      <c r="AI3820" s="94"/>
    </row>
    <row r="3821" spans="1:36" s="3" customFormat="1" ht="12" customHeight="1" x14ac:dyDescent="0.25">
      <c r="A3821" s="587" t="s">
        <v>8153</v>
      </c>
      <c r="B3821" s="587" t="s">
        <v>8003</v>
      </c>
      <c r="C3821" s="587">
        <v>2.1</v>
      </c>
      <c r="D3821" s="407" t="s">
        <v>10073</v>
      </c>
      <c r="E3821" s="336" t="s">
        <v>10076</v>
      </c>
      <c r="F3821" s="196">
        <v>42422</v>
      </c>
      <c r="G3821" s="169"/>
      <c r="H3821" s="170">
        <v>1</v>
      </c>
      <c r="I3821" s="747">
        <f t="shared" si="100"/>
        <v>4.1666666666666664E-2</v>
      </c>
      <c r="J3821" s="899" t="s">
        <v>4706</v>
      </c>
      <c r="K3821" s="167" t="s">
        <v>5666</v>
      </c>
      <c r="L3821" s="167" t="s">
        <v>4549</v>
      </c>
      <c r="M3821" s="167"/>
      <c r="N3821" s="167"/>
      <c r="O3821" s="167" t="s">
        <v>2500</v>
      </c>
      <c r="P3821" s="168" t="s">
        <v>10080</v>
      </c>
      <c r="Q3821" s="167" t="s">
        <v>3947</v>
      </c>
      <c r="R3821" s="172" t="s">
        <v>8152</v>
      </c>
      <c r="S3821" s="388"/>
      <c r="T3821" s="168"/>
      <c r="U3821" s="168"/>
      <c r="V3821" s="168"/>
      <c r="W3821" s="336" t="s">
        <v>10192</v>
      </c>
      <c r="X3821" s="668" t="s">
        <v>12441</v>
      </c>
      <c r="Y3821" s="352"/>
      <c r="Z3821" s="353"/>
      <c r="AA3821" s="353"/>
      <c r="AB3821" s="31">
        <f t="shared" ca="1" si="97"/>
        <v>4.914731784751214E-3</v>
      </c>
      <c r="AC3821" s="810"/>
      <c r="AD3821" s="811"/>
      <c r="AE3821" s="945"/>
      <c r="AF3821" s="920">
        <f>IF(X3821=X3820,AF3820,0)+IF(ISNUMBER(I3821),IF(I3821&lt;1,I3821,I3821*VLOOKUP(J3821,Summary!$H$2:$I$9,2)),VLOOKUP(J3821,Summary!$J$2:$K$9,2)*IF(ISNUMBER(H3821),H3821,1))</f>
        <v>0.30644675925925924</v>
      </c>
      <c r="AG3821" s="287">
        <v>3820</v>
      </c>
      <c r="AH3821" s="94"/>
      <c r="AI3821" s="94"/>
      <c r="AJ3821" s="2"/>
    </row>
    <row r="3822" spans="1:36" s="3" customFormat="1" ht="12" customHeight="1" x14ac:dyDescent="0.25">
      <c r="A3822" s="587" t="s">
        <v>8153</v>
      </c>
      <c r="B3822" s="587" t="s">
        <v>8003</v>
      </c>
      <c r="C3822" s="587">
        <v>2.2000000000000002</v>
      </c>
      <c r="D3822" s="407" t="s">
        <v>10074</v>
      </c>
      <c r="E3822" s="336" t="s">
        <v>10077</v>
      </c>
      <c r="F3822" s="196">
        <v>42422</v>
      </c>
      <c r="G3822" s="169"/>
      <c r="H3822" s="170">
        <v>1</v>
      </c>
      <c r="I3822" s="747">
        <f t="shared" si="100"/>
        <v>4.1666666666666664E-2</v>
      </c>
      <c r="J3822" s="899" t="s">
        <v>4706</v>
      </c>
      <c r="K3822" s="167" t="s">
        <v>10079</v>
      </c>
      <c r="L3822" s="167" t="s">
        <v>4549</v>
      </c>
      <c r="M3822" s="167"/>
      <c r="N3822" s="167"/>
      <c r="O3822" s="167" t="s">
        <v>2500</v>
      </c>
      <c r="P3822" s="168" t="s">
        <v>10080</v>
      </c>
      <c r="Q3822" s="167" t="s">
        <v>3947</v>
      </c>
      <c r="R3822" s="172" t="s">
        <v>8152</v>
      </c>
      <c r="S3822" s="388"/>
      <c r="T3822" s="168"/>
      <c r="U3822" s="168"/>
      <c r="V3822" s="168"/>
      <c r="W3822" s="336" t="s">
        <v>10193</v>
      </c>
      <c r="X3822" s="668" t="s">
        <v>12441</v>
      </c>
      <c r="Y3822" s="352"/>
      <c r="Z3822" s="353"/>
      <c r="AA3822" s="353"/>
      <c r="AB3822" s="31">
        <f t="shared" ca="1" si="97"/>
        <v>0.25601196083796773</v>
      </c>
      <c r="AC3822" s="810"/>
      <c r="AD3822" s="811"/>
      <c r="AE3822" s="945"/>
      <c r="AF3822" s="920">
        <f>IF(X3822=X3821,AF3821,0)+IF(ISNUMBER(I3822),IF(I3822&lt;1,I3822,I3822*VLOOKUP(J3822,Summary!$H$2:$I$9,2)),VLOOKUP(J3822,Summary!$J$2:$K$9,2)*IF(ISNUMBER(H3822),H3822,1))</f>
        <v>0.34811342592592592</v>
      </c>
      <c r="AG3822" s="287">
        <v>3821</v>
      </c>
      <c r="AH3822" s="94"/>
      <c r="AI3822" s="94"/>
      <c r="AJ3822" s="2"/>
    </row>
    <row r="3823" spans="1:36" s="3" customFormat="1" ht="12" customHeight="1" x14ac:dyDescent="0.25">
      <c r="A3823" s="587" t="s">
        <v>8153</v>
      </c>
      <c r="B3823" s="587" t="s">
        <v>8003</v>
      </c>
      <c r="C3823" s="587">
        <v>2.2999999999999998</v>
      </c>
      <c r="D3823" s="407" t="s">
        <v>10075</v>
      </c>
      <c r="E3823" s="336" t="s">
        <v>10078</v>
      </c>
      <c r="F3823" s="196">
        <v>42422</v>
      </c>
      <c r="G3823" s="169"/>
      <c r="H3823" s="170">
        <v>1</v>
      </c>
      <c r="I3823" s="747">
        <f t="shared" si="100"/>
        <v>4.1666666666666664E-2</v>
      </c>
      <c r="J3823" s="899" t="s">
        <v>4706</v>
      </c>
      <c r="K3823" s="167" t="s">
        <v>6452</v>
      </c>
      <c r="L3823" s="167" t="s">
        <v>4549</v>
      </c>
      <c r="M3823" s="167"/>
      <c r="N3823" s="167"/>
      <c r="O3823" s="167" t="s">
        <v>2500</v>
      </c>
      <c r="P3823" s="168" t="s">
        <v>10080</v>
      </c>
      <c r="Q3823" s="167" t="s">
        <v>3947</v>
      </c>
      <c r="R3823" s="172" t="s">
        <v>8152</v>
      </c>
      <c r="S3823" s="388"/>
      <c r="T3823" s="168"/>
      <c r="U3823" s="168"/>
      <c r="V3823" s="168"/>
      <c r="W3823" s="336" t="s">
        <v>10194</v>
      </c>
      <c r="X3823" s="668" t="s">
        <v>12441</v>
      </c>
      <c r="Y3823" s="352"/>
      <c r="Z3823" s="353"/>
      <c r="AA3823" s="353"/>
      <c r="AB3823" s="31">
        <f t="shared" ca="1" si="97"/>
        <v>6.9010564136187558E-2</v>
      </c>
      <c r="AC3823" s="810"/>
      <c r="AD3823" s="811"/>
      <c r="AE3823" s="945"/>
      <c r="AF3823" s="920">
        <f>IF(X3823=X3822,AF3822,0)+IF(ISNUMBER(I3823),IF(I3823&lt;1,I3823,I3823*VLOOKUP(J3823,Summary!$H$2:$I$9,2)),VLOOKUP(J3823,Summary!$J$2:$K$9,2)*IF(ISNUMBER(H3823),H3823,1))</f>
        <v>0.38978009259259261</v>
      </c>
      <c r="AG3823" s="287">
        <v>3822</v>
      </c>
      <c r="AH3823" s="94"/>
      <c r="AI3823" s="94"/>
      <c r="AJ3823" s="2"/>
    </row>
    <row r="3824" spans="1:36" s="3" customFormat="1" ht="12" customHeight="1" x14ac:dyDescent="0.25">
      <c r="A3824" s="587" t="s">
        <v>8153</v>
      </c>
      <c r="B3824" s="587" t="s">
        <v>8003</v>
      </c>
      <c r="C3824" s="587">
        <v>3.1</v>
      </c>
      <c r="D3824" s="407" t="s">
        <v>12421</v>
      </c>
      <c r="E3824" s="336" t="s">
        <v>12427</v>
      </c>
      <c r="F3824" s="196">
        <v>42649</v>
      </c>
      <c r="G3824" s="169"/>
      <c r="H3824" s="170">
        <v>1</v>
      </c>
      <c r="I3824" s="747">
        <f t="shared" si="100"/>
        <v>4.1666666666666664E-2</v>
      </c>
      <c r="J3824" s="899" t="s">
        <v>4706</v>
      </c>
      <c r="K3824" s="167" t="s">
        <v>4146</v>
      </c>
      <c r="L3824" s="167" t="s">
        <v>4549</v>
      </c>
      <c r="M3824" s="167"/>
      <c r="N3824" s="167"/>
      <c r="O3824" s="167" t="s">
        <v>2500</v>
      </c>
      <c r="P3824" s="168" t="s">
        <v>12430</v>
      </c>
      <c r="Q3824" s="167" t="s">
        <v>3947</v>
      </c>
      <c r="R3824" s="172" t="s">
        <v>8152</v>
      </c>
      <c r="S3824" s="388"/>
      <c r="T3824" s="168"/>
      <c r="U3824" s="168"/>
      <c r="V3824" s="168"/>
      <c r="W3824" s="336" t="s">
        <v>12435</v>
      </c>
      <c r="X3824" s="668" t="s">
        <v>12441</v>
      </c>
      <c r="Y3824" s="352"/>
      <c r="Z3824" s="353"/>
      <c r="AA3824" s="353"/>
      <c r="AB3824" s="31">
        <f t="shared" ca="1" si="97"/>
        <v>0.15993120970737673</v>
      </c>
      <c r="AC3824" s="810"/>
      <c r="AD3824" s="811"/>
      <c r="AE3824" s="945"/>
      <c r="AF3824" s="920">
        <f>IF(X3824=X3823,AF3823,0)+IF(ISNUMBER(I3824),IF(I3824&lt;1,I3824,I3824*VLOOKUP(J3824,Summary!$H$2:$I$9,2)),VLOOKUP(J3824,Summary!$J$2:$K$9,2)*IF(ISNUMBER(H3824),H3824,1))</f>
        <v>0.43144675925925929</v>
      </c>
      <c r="AG3824" s="287">
        <v>3823</v>
      </c>
      <c r="AH3824" s="94"/>
      <c r="AI3824" s="94"/>
      <c r="AJ3824" s="2"/>
    </row>
    <row r="3825" spans="1:36" s="3" customFormat="1" ht="12" customHeight="1" x14ac:dyDescent="0.25">
      <c r="A3825" s="587" t="s">
        <v>8153</v>
      </c>
      <c r="B3825" s="587" t="s">
        <v>8003</v>
      </c>
      <c r="C3825" s="587">
        <v>3.2</v>
      </c>
      <c r="D3825" s="407" t="s">
        <v>12422</v>
      </c>
      <c r="E3825" s="336" t="s">
        <v>12428</v>
      </c>
      <c r="F3825" s="196">
        <v>42649</v>
      </c>
      <c r="G3825" s="169"/>
      <c r="H3825" s="170">
        <v>1</v>
      </c>
      <c r="I3825" s="747">
        <f t="shared" si="100"/>
        <v>4.1666666666666664E-2</v>
      </c>
      <c r="J3825" s="899" t="s">
        <v>4706</v>
      </c>
      <c r="K3825" s="167" t="s">
        <v>6970</v>
      </c>
      <c r="L3825" s="167" t="s">
        <v>4549</v>
      </c>
      <c r="M3825" s="167"/>
      <c r="N3825" s="167"/>
      <c r="O3825" s="167" t="s">
        <v>2500</v>
      </c>
      <c r="P3825" s="168" t="s">
        <v>12430</v>
      </c>
      <c r="Q3825" s="167" t="s">
        <v>3947</v>
      </c>
      <c r="R3825" s="172" t="s">
        <v>8152</v>
      </c>
      <c r="S3825" s="388"/>
      <c r="T3825" s="168"/>
      <c r="U3825" s="168"/>
      <c r="V3825" s="168"/>
      <c r="W3825" s="336" t="s">
        <v>12436</v>
      </c>
      <c r="X3825" s="668" t="s">
        <v>12441</v>
      </c>
      <c r="Y3825" s="352"/>
      <c r="Z3825" s="353"/>
      <c r="AA3825" s="353"/>
      <c r="AB3825" s="31">
        <f t="shared" ca="1" si="97"/>
        <v>0.56840200066854196</v>
      </c>
      <c r="AC3825" s="810"/>
      <c r="AD3825" s="811"/>
      <c r="AE3825" s="945"/>
      <c r="AF3825" s="920">
        <f>IF(X3825=X3824,AF3824,0)+IF(ISNUMBER(I3825),IF(I3825&lt;1,I3825,I3825*VLOOKUP(J3825,Summary!$H$2:$I$9,2)),VLOOKUP(J3825,Summary!$J$2:$K$9,2)*IF(ISNUMBER(H3825),H3825,1))</f>
        <v>0.47311342592592598</v>
      </c>
      <c r="AG3825" s="287">
        <v>3824</v>
      </c>
      <c r="AH3825" s="94"/>
      <c r="AI3825" s="94"/>
      <c r="AJ3825" s="2"/>
    </row>
    <row r="3826" spans="1:36" s="3" customFormat="1" ht="12" customHeight="1" x14ac:dyDescent="0.25">
      <c r="A3826" s="587" t="s">
        <v>8153</v>
      </c>
      <c r="B3826" s="587" t="s">
        <v>8003</v>
      </c>
      <c r="C3826" s="587">
        <v>3.3</v>
      </c>
      <c r="D3826" s="407" t="s">
        <v>12423</v>
      </c>
      <c r="E3826" s="336" t="s">
        <v>12429</v>
      </c>
      <c r="F3826" s="196">
        <v>42649</v>
      </c>
      <c r="G3826" s="169"/>
      <c r="H3826" s="170">
        <v>1</v>
      </c>
      <c r="I3826" s="747">
        <f t="shared" si="100"/>
        <v>4.1666666666666664E-2</v>
      </c>
      <c r="J3826" s="899" t="s">
        <v>4706</v>
      </c>
      <c r="K3826" s="167" t="s">
        <v>2313</v>
      </c>
      <c r="L3826" s="167" t="s">
        <v>4549</v>
      </c>
      <c r="M3826" s="167"/>
      <c r="N3826" s="167"/>
      <c r="O3826" s="167" t="s">
        <v>2500</v>
      </c>
      <c r="P3826" s="168" t="s">
        <v>12430</v>
      </c>
      <c r="Q3826" s="167" t="s">
        <v>3947</v>
      </c>
      <c r="R3826" s="172" t="s">
        <v>8152</v>
      </c>
      <c r="S3826" s="388"/>
      <c r="T3826" s="168"/>
      <c r="U3826" s="168"/>
      <c r="V3826" s="168"/>
      <c r="W3826" s="336" t="s">
        <v>12437</v>
      </c>
      <c r="X3826" s="668" t="s">
        <v>12441</v>
      </c>
      <c r="Y3826" s="352"/>
      <c r="Z3826" s="353"/>
      <c r="AA3826" s="353"/>
      <c r="AB3826" s="31">
        <f t="shared" ca="1" si="97"/>
        <v>0.1960883675840146</v>
      </c>
      <c r="AC3826" s="810"/>
      <c r="AD3826" s="811"/>
      <c r="AE3826" s="945"/>
      <c r="AF3826" s="920">
        <f>IF(X3826=X3825,AF3825,0)+IF(ISNUMBER(I3826),IF(I3826&lt;1,I3826,I3826*VLOOKUP(J3826,Summary!$H$2:$I$9,2)),VLOOKUP(J3826,Summary!$J$2:$K$9,2)*IF(ISNUMBER(H3826),H3826,1))</f>
        <v>0.51478009259259261</v>
      </c>
      <c r="AG3826" s="287">
        <v>3825</v>
      </c>
      <c r="AH3826" s="94"/>
      <c r="AI3826" s="94"/>
      <c r="AJ3826" s="2"/>
    </row>
    <row r="3827" spans="1:36" s="3" customFormat="1" ht="12" customHeight="1" x14ac:dyDescent="0.25">
      <c r="A3827" s="587" t="s">
        <v>8153</v>
      </c>
      <c r="B3827" s="587" t="s">
        <v>8003</v>
      </c>
      <c r="C3827" s="587">
        <v>4.0999999999999996</v>
      </c>
      <c r="D3827" s="407" t="s">
        <v>12424</v>
      </c>
      <c r="E3827" s="336" t="s">
        <v>12438</v>
      </c>
      <c r="F3827" s="196">
        <v>42789</v>
      </c>
      <c r="G3827" s="169"/>
      <c r="H3827" s="170">
        <v>1</v>
      </c>
      <c r="I3827" s="747">
        <f t="shared" si="100"/>
        <v>4.1666666666666664E-2</v>
      </c>
      <c r="J3827" s="899" t="s">
        <v>4706</v>
      </c>
      <c r="K3827" s="167" t="s">
        <v>1826</v>
      </c>
      <c r="L3827" s="167" t="s">
        <v>4549</v>
      </c>
      <c r="M3827" s="167"/>
      <c r="N3827" s="167"/>
      <c r="O3827" s="167" t="s">
        <v>2500</v>
      </c>
      <c r="P3827" s="168" t="s">
        <v>12431</v>
      </c>
      <c r="Q3827" s="167" t="s">
        <v>3947</v>
      </c>
      <c r="R3827" s="172" t="s">
        <v>8152</v>
      </c>
      <c r="S3827" s="388" t="s">
        <v>2608</v>
      </c>
      <c r="T3827" s="168"/>
      <c r="U3827" s="168"/>
      <c r="V3827" s="168"/>
      <c r="W3827" s="336" t="s">
        <v>12432</v>
      </c>
      <c r="X3827" s="668" t="s">
        <v>12441</v>
      </c>
      <c r="Y3827" s="352"/>
      <c r="Z3827" s="353"/>
      <c r="AA3827" s="353"/>
      <c r="AB3827" s="31">
        <f t="shared" ca="1" si="97"/>
        <v>0.72562720936348502</v>
      </c>
      <c r="AC3827" s="810"/>
      <c r="AD3827" s="811"/>
      <c r="AE3827" s="945"/>
      <c r="AF3827" s="920">
        <f>IF(X3827=X3826,AF3826,0)+IF(ISNUMBER(I3827),IF(I3827&lt;1,I3827,I3827*VLOOKUP(J3827,Summary!$H$2:$I$9,2)),VLOOKUP(J3827,Summary!$J$2:$K$9,2)*IF(ISNUMBER(H3827),H3827,1))</f>
        <v>0.55644675925925924</v>
      </c>
      <c r="AG3827" s="287">
        <v>3826</v>
      </c>
      <c r="AH3827" s="94"/>
      <c r="AI3827" s="94"/>
      <c r="AJ3827" s="2"/>
    </row>
    <row r="3828" spans="1:36" s="3" customFormat="1" ht="12" customHeight="1" x14ac:dyDescent="0.25">
      <c r="A3828" s="587" t="s">
        <v>8153</v>
      </c>
      <c r="B3828" s="587" t="s">
        <v>8003</v>
      </c>
      <c r="C3828" s="587">
        <v>4.2</v>
      </c>
      <c r="D3828" s="407" t="s">
        <v>12425</v>
      </c>
      <c r="E3828" s="336" t="s">
        <v>12439</v>
      </c>
      <c r="F3828" s="196">
        <v>42789</v>
      </c>
      <c r="G3828" s="169"/>
      <c r="H3828" s="170">
        <v>1</v>
      </c>
      <c r="I3828" s="747">
        <f t="shared" si="100"/>
        <v>4.1666666666666664E-2</v>
      </c>
      <c r="J3828" s="899" t="s">
        <v>4706</v>
      </c>
      <c r="K3828" s="167" t="s">
        <v>6970</v>
      </c>
      <c r="L3828" s="167" t="s">
        <v>4549</v>
      </c>
      <c r="M3828" s="167"/>
      <c r="N3828" s="167"/>
      <c r="O3828" s="167" t="s">
        <v>2500</v>
      </c>
      <c r="P3828" s="168" t="s">
        <v>12431</v>
      </c>
      <c r="Q3828" s="167" t="s">
        <v>3947</v>
      </c>
      <c r="R3828" s="172" t="s">
        <v>8152</v>
      </c>
      <c r="S3828" s="388" t="s">
        <v>2608</v>
      </c>
      <c r="T3828" s="168"/>
      <c r="U3828" s="168"/>
      <c r="V3828" s="168"/>
      <c r="W3828" s="336" t="s">
        <v>12433</v>
      </c>
      <c r="X3828" s="668" t="s">
        <v>12441</v>
      </c>
      <c r="Y3828" s="352"/>
      <c r="Z3828" s="353"/>
      <c r="AA3828" s="353"/>
      <c r="AB3828" s="31">
        <f t="shared" ca="1" si="97"/>
        <v>0.10540218908035948</v>
      </c>
      <c r="AC3828" s="810"/>
      <c r="AD3828" s="811"/>
      <c r="AE3828" s="945"/>
      <c r="AF3828" s="920">
        <f>IF(X3828=X3827,AF3827,0)+IF(ISNUMBER(I3828),IF(I3828&lt;1,I3828,I3828*VLOOKUP(J3828,Summary!$H$2:$I$9,2)),VLOOKUP(J3828,Summary!$J$2:$K$9,2)*IF(ISNUMBER(H3828),H3828,1))</f>
        <v>0.59811342592592587</v>
      </c>
      <c r="AG3828" s="287">
        <v>3827</v>
      </c>
      <c r="AH3828" s="94"/>
      <c r="AI3828" s="94"/>
      <c r="AJ3828" s="2"/>
    </row>
    <row r="3829" spans="1:36" s="3" customFormat="1" ht="12" customHeight="1" x14ac:dyDescent="0.25">
      <c r="A3829" s="587" t="s">
        <v>8153</v>
      </c>
      <c r="B3829" s="587" t="s">
        <v>8003</v>
      </c>
      <c r="C3829" s="587">
        <v>4.3</v>
      </c>
      <c r="D3829" s="407" t="s">
        <v>12426</v>
      </c>
      <c r="E3829" s="336" t="s">
        <v>12440</v>
      </c>
      <c r="F3829" s="196">
        <v>42789</v>
      </c>
      <c r="G3829" s="169"/>
      <c r="H3829" s="170">
        <v>1</v>
      </c>
      <c r="I3829" s="747">
        <f t="shared" si="100"/>
        <v>4.1666666666666664E-2</v>
      </c>
      <c r="J3829" s="899" t="s">
        <v>4706</v>
      </c>
      <c r="K3829" s="167" t="s">
        <v>4549</v>
      </c>
      <c r="L3829" s="167" t="s">
        <v>4549</v>
      </c>
      <c r="M3829" s="167"/>
      <c r="N3829" s="167"/>
      <c r="O3829" s="167" t="s">
        <v>2500</v>
      </c>
      <c r="P3829" s="168" t="s">
        <v>12431</v>
      </c>
      <c r="Q3829" s="167" t="s">
        <v>3947</v>
      </c>
      <c r="R3829" s="172" t="s">
        <v>8152</v>
      </c>
      <c r="S3829" s="388" t="s">
        <v>2608</v>
      </c>
      <c r="T3829" s="168"/>
      <c r="U3829" s="168"/>
      <c r="V3829" s="168"/>
      <c r="W3829" s="336" t="s">
        <v>12434</v>
      </c>
      <c r="X3829" s="668" t="s">
        <v>12441</v>
      </c>
      <c r="Y3829" s="352"/>
      <c r="Z3829" s="353"/>
      <c r="AA3829" s="353"/>
      <c r="AB3829" s="31">
        <f t="shared" ca="1" si="97"/>
        <v>0.19837137440645758</v>
      </c>
      <c r="AC3829" s="810"/>
      <c r="AD3829" s="811"/>
      <c r="AE3829" s="945"/>
      <c r="AF3829" s="920">
        <f>IF(X3829=X3828,AF3828,0)+IF(ISNUMBER(I3829),IF(I3829&lt;1,I3829,I3829*VLOOKUP(J3829,Summary!$H$2:$I$9,2)),VLOOKUP(J3829,Summary!$J$2:$K$9,2)*IF(ISNUMBER(H3829),H3829,1))</f>
        <v>0.6397800925925925</v>
      </c>
      <c r="AG3829" s="287">
        <v>3828</v>
      </c>
      <c r="AH3829" s="94"/>
      <c r="AI3829" s="94"/>
      <c r="AJ3829" s="2"/>
    </row>
    <row r="3830" spans="1:36" s="3" customFormat="1" ht="12" customHeight="1" x14ac:dyDescent="0.25">
      <c r="A3830" s="586" t="s">
        <v>8153</v>
      </c>
      <c r="B3830" s="586" t="s">
        <v>8003</v>
      </c>
      <c r="C3830" s="586">
        <v>7</v>
      </c>
      <c r="D3830" s="176" t="s">
        <v>9825</v>
      </c>
      <c r="E3830" s="313" t="s">
        <v>9826</v>
      </c>
      <c r="F3830" s="175">
        <v>41802</v>
      </c>
      <c r="G3830" s="174"/>
      <c r="H3830" s="176">
        <v>1</v>
      </c>
      <c r="I3830" s="176">
        <v>2</v>
      </c>
      <c r="J3830" s="900" t="s">
        <v>2755</v>
      </c>
      <c r="K3830" s="164" t="s">
        <v>9281</v>
      </c>
      <c r="L3830" s="164" t="s">
        <v>461</v>
      </c>
      <c r="M3830" s="164"/>
      <c r="N3830" s="164" t="s">
        <v>543</v>
      </c>
      <c r="O3830" s="164"/>
      <c r="P3830" s="173" t="s">
        <v>9278</v>
      </c>
      <c r="Q3830" s="164" t="s">
        <v>3953</v>
      </c>
      <c r="R3830" s="177" t="s">
        <v>9279</v>
      </c>
      <c r="S3830" s="354"/>
      <c r="T3830" s="173"/>
      <c r="U3830" s="173"/>
      <c r="V3830" s="173"/>
      <c r="W3830" s="313" t="s">
        <v>9826</v>
      </c>
      <c r="X3830" s="645" t="s">
        <v>12441</v>
      </c>
      <c r="Y3830" s="354" t="s">
        <v>6868</v>
      </c>
      <c r="Z3830" s="176"/>
      <c r="AA3830" s="176"/>
      <c r="AB3830" s="32">
        <f t="shared" ca="1" si="97"/>
        <v>0.78415757947122022</v>
      </c>
      <c r="AC3830" s="812"/>
      <c r="AD3830" s="763"/>
      <c r="AE3830" s="807"/>
      <c r="AF3830" s="921">
        <f>IF(X3830=X3829,AF3829,0)+IF(ISNUMBER(I3830),IF(I3830&lt;1,I3830,I3830*VLOOKUP(J3830,Summary!$H$2:$I$9,2)),VLOOKUP(J3830,Summary!$J$2:$K$9,2)*IF(ISNUMBER(H3830),H3830,1))</f>
        <v>0.64116898148148138</v>
      </c>
      <c r="AG3830" s="289">
        <v>3829</v>
      </c>
      <c r="AH3830" s="94"/>
      <c r="AI3830" s="94"/>
      <c r="AJ3830" s="2"/>
    </row>
    <row r="3831" spans="1:36" s="3" customFormat="1" ht="12" customHeight="1" x14ac:dyDescent="0.25">
      <c r="A3831" s="584" t="s">
        <v>8153</v>
      </c>
      <c r="B3831" s="584" t="s">
        <v>8003</v>
      </c>
      <c r="C3831" s="584" t="s">
        <v>15391</v>
      </c>
      <c r="D3831" s="185" t="s">
        <v>15392</v>
      </c>
      <c r="E3831" s="314" t="s">
        <v>15393</v>
      </c>
      <c r="F3831" s="184">
        <v>43369</v>
      </c>
      <c r="G3831" s="184"/>
      <c r="H3831" s="185">
        <v>1</v>
      </c>
      <c r="I3831" s="185">
        <v>4</v>
      </c>
      <c r="J3831" s="901" t="s">
        <v>1796</v>
      </c>
      <c r="K3831" s="163" t="s">
        <v>2675</v>
      </c>
      <c r="L3831" s="163" t="s">
        <v>3365</v>
      </c>
      <c r="M3831" s="163" t="s">
        <v>3365</v>
      </c>
      <c r="N3831" s="163"/>
      <c r="O3831" s="163"/>
      <c r="P3831" s="182" t="s">
        <v>461</v>
      </c>
      <c r="Q3831" s="163" t="s">
        <v>7076</v>
      </c>
      <c r="R3831" s="186" t="s">
        <v>15394</v>
      </c>
      <c r="S3831" s="355"/>
      <c r="T3831" s="182"/>
      <c r="U3831" s="182"/>
      <c r="V3831" s="182"/>
      <c r="W3831" s="314" t="s">
        <v>15393</v>
      </c>
      <c r="X3831" s="667" t="s">
        <v>12441</v>
      </c>
      <c r="Y3831" s="355"/>
      <c r="Z3831" s="185"/>
      <c r="AA3831" s="185"/>
      <c r="AB3831" s="33">
        <f t="shared" ca="1" si="97"/>
        <v>0.53703968528100432</v>
      </c>
      <c r="AC3831" s="813"/>
      <c r="AD3831" s="819"/>
      <c r="AE3831" s="875"/>
      <c r="AF3831" s="922">
        <f>IF(X3831=X3830,AF3830,0)+IF(ISNUMBER(I3831),IF(I3831&lt;1,I3831,I3831*VLOOKUP(J3831,Summary!$H$2:$I$9,2)),VLOOKUP(J3831,Summary!$J$2:$K$9,2)*IF(ISNUMBER(H3831),H3831,1))</f>
        <v>0.64255787037037027</v>
      </c>
      <c r="AG3831" s="290">
        <v>3830</v>
      </c>
      <c r="AH3831" s="94"/>
      <c r="AI3831" s="94"/>
      <c r="AJ3831" s="2"/>
    </row>
    <row r="3832" spans="1:36" s="3" customFormat="1" ht="12" customHeight="1" x14ac:dyDescent="0.25">
      <c r="A3832" s="585" t="s">
        <v>8153</v>
      </c>
      <c r="B3832" s="585" t="s">
        <v>8003</v>
      </c>
      <c r="C3832" s="585">
        <v>79</v>
      </c>
      <c r="D3832" s="417" t="s">
        <v>8372</v>
      </c>
      <c r="E3832" s="316" t="s">
        <v>8370</v>
      </c>
      <c r="F3832" s="195">
        <v>41851</v>
      </c>
      <c r="G3832" s="188"/>
      <c r="H3832" s="188">
        <v>3</v>
      </c>
      <c r="I3832" s="188">
        <v>320</v>
      </c>
      <c r="J3832" s="902" t="s">
        <v>6868</v>
      </c>
      <c r="K3832" s="162" t="s">
        <v>2310</v>
      </c>
      <c r="L3832" s="162" t="str">
        <f>IF(J3832="Book","n/a","")</f>
        <v>n/a</v>
      </c>
      <c r="M3832" s="162"/>
      <c r="N3832" s="162"/>
      <c r="O3832" s="162"/>
      <c r="P3832" s="178" t="s">
        <v>8371</v>
      </c>
      <c r="Q3832" s="162" t="s">
        <v>3953</v>
      </c>
      <c r="R3832" s="189" t="s">
        <v>2717</v>
      </c>
      <c r="S3832" s="366"/>
      <c r="T3832" s="178"/>
      <c r="U3832" s="178"/>
      <c r="V3832" s="178"/>
      <c r="W3832" s="316" t="s">
        <v>12310</v>
      </c>
      <c r="X3832" s="648" t="s">
        <v>12441</v>
      </c>
      <c r="Y3832" s="356"/>
      <c r="Z3832" s="272">
        <v>86</v>
      </c>
      <c r="AA3832" s="272">
        <v>6</v>
      </c>
      <c r="AB3832" s="34">
        <f t="shared" ca="1" si="97"/>
        <v>0.50299128635011126</v>
      </c>
      <c r="AC3832" s="814"/>
      <c r="AD3832" s="815"/>
      <c r="AE3832" s="942"/>
      <c r="AF3832" s="923">
        <f>IF(X3832=X3831,AF3831,0)+IF(ISNUMBER(I3832),IF(I3832&lt;1,I3832,I3832*VLOOKUP(J3832,Summary!$H$2:$I$9,2)),VLOOKUP(J3832,Summary!$J$2:$K$9,2)*IF(ISNUMBER(H3832),H3832,1))</f>
        <v>0.86478009259259248</v>
      </c>
      <c r="AG3832" s="291">
        <v>3831</v>
      </c>
      <c r="AH3832" s="94"/>
      <c r="AI3832" s="94"/>
      <c r="AJ3832" s="2"/>
    </row>
    <row r="3833" spans="1:36" s="3" customFormat="1" ht="12" customHeight="1" x14ac:dyDescent="0.25">
      <c r="A3833" s="588"/>
      <c r="B3833" s="589" t="s">
        <v>2650</v>
      </c>
      <c r="C3833" s="588"/>
      <c r="D3833" s="509" t="s">
        <v>3112</v>
      </c>
      <c r="E3833" s="335" t="s">
        <v>7987</v>
      </c>
      <c r="F3833" s="223">
        <v>41598</v>
      </c>
      <c r="G3833" s="223"/>
      <c r="H3833" s="242">
        <v>1</v>
      </c>
      <c r="I3833" s="792">
        <f>TIME(0,3,19)</f>
        <v>2.3032407407407407E-3</v>
      </c>
      <c r="J3833" s="909" t="s">
        <v>1588</v>
      </c>
      <c r="K3833" s="243" t="s">
        <v>3810</v>
      </c>
      <c r="L3833" s="243" t="s">
        <v>7988</v>
      </c>
      <c r="M3833" s="243"/>
      <c r="N3833" s="243" t="s">
        <v>3810</v>
      </c>
      <c r="O3833" s="243" t="s">
        <v>7986</v>
      </c>
      <c r="P3833" s="241" t="s">
        <v>461</v>
      </c>
      <c r="Q3833" s="243" t="s">
        <v>3946</v>
      </c>
      <c r="R3833" s="244" t="s">
        <v>7896</v>
      </c>
      <c r="S3833" s="395"/>
      <c r="T3833" s="241"/>
      <c r="U3833" s="241"/>
      <c r="V3833" s="241"/>
      <c r="W3833" s="335" t="s">
        <v>7987</v>
      </c>
      <c r="X3833" s="667" t="s">
        <v>12441</v>
      </c>
      <c r="Y3833" s="375"/>
      <c r="Z3833" s="377"/>
      <c r="AA3833" s="377"/>
      <c r="AB3833" s="55">
        <f t="shared" ca="1" si="97"/>
        <v>0.88794903452397655</v>
      </c>
      <c r="AC3833" s="834"/>
      <c r="AD3833" s="835"/>
      <c r="AE3833" s="957"/>
      <c r="AF3833" s="930">
        <f>IF(X3833=X3832,AF3832,0)+IF(ISNUMBER(I3833),IF(I3833&lt;1,I3833,I3833*VLOOKUP(J3833,Summary!$H$2:$I$9,2)),VLOOKUP(J3833,Summary!$J$2:$K$9,2)*IF(ISNUMBER(H3833),H3833,1))</f>
        <v>0.86708333333333321</v>
      </c>
      <c r="AG3833" s="302">
        <v>3832</v>
      </c>
      <c r="AH3833" s="94"/>
      <c r="AI3833" s="94"/>
      <c r="AJ3833" s="2"/>
    </row>
    <row r="3834" spans="1:36" s="3" customFormat="1" ht="12" customHeight="1" x14ac:dyDescent="0.25">
      <c r="A3834" s="408"/>
      <c r="B3834" s="408" t="s">
        <v>2650</v>
      </c>
      <c r="C3834" s="408">
        <v>7</v>
      </c>
      <c r="D3834" s="176" t="s">
        <v>12600</v>
      </c>
      <c r="E3834" s="313" t="s">
        <v>12599</v>
      </c>
      <c r="F3834" s="175">
        <v>42915</v>
      </c>
      <c r="G3834" s="174"/>
      <c r="H3834" s="176" t="s">
        <v>461</v>
      </c>
      <c r="I3834" s="176"/>
      <c r="J3834" s="900" t="s">
        <v>2755</v>
      </c>
      <c r="K3834" s="164" t="s">
        <v>2675</v>
      </c>
      <c r="L3834" s="164" t="s">
        <v>3551</v>
      </c>
      <c r="M3834" s="164"/>
      <c r="N3834" s="164"/>
      <c r="O3834" s="164"/>
      <c r="P3834" s="173" t="s">
        <v>12587</v>
      </c>
      <c r="Q3834" s="164" t="s">
        <v>3953</v>
      </c>
      <c r="R3834" s="177" t="s">
        <v>12588</v>
      </c>
      <c r="S3834" s="354"/>
      <c r="T3834" s="173"/>
      <c r="U3834" s="173"/>
      <c r="V3834" s="173"/>
      <c r="W3834" s="313" t="s">
        <v>12599</v>
      </c>
      <c r="X3834" s="645" t="s">
        <v>12441</v>
      </c>
      <c r="Y3834" s="354"/>
      <c r="Z3834" s="176"/>
      <c r="AA3834" s="176"/>
      <c r="AB3834" s="32">
        <f t="shared" ca="1" si="97"/>
        <v>0.4115453107256869</v>
      </c>
      <c r="AC3834" s="812"/>
      <c r="AD3834" s="763"/>
      <c r="AE3834" s="807"/>
      <c r="AF3834" s="921">
        <f>IF(X3834=X3833,AF3833,0)+IF(ISNUMBER(I3834),IF(I3834&lt;1,I3834,I3834*VLOOKUP(J3834,Summary!$H$2:$I$9,2)),VLOOKUP(J3834,Summary!$J$2:$K$9,2)*IF(ISNUMBER(H3834),H3834,1))</f>
        <v>0.88444444444444437</v>
      </c>
      <c r="AG3834" s="289">
        <v>3833</v>
      </c>
      <c r="AH3834" s="94"/>
      <c r="AI3834" s="94"/>
      <c r="AJ3834" s="2"/>
    </row>
    <row r="3835" spans="1:36" s="22" customFormat="1" ht="12" customHeight="1" x14ac:dyDescent="0.25">
      <c r="A3835" s="590"/>
      <c r="B3835" s="590" t="s">
        <v>5649</v>
      </c>
      <c r="C3835" s="590">
        <v>2</v>
      </c>
      <c r="D3835" s="424" t="s">
        <v>2819</v>
      </c>
      <c r="E3835" s="319" t="s">
        <v>2820</v>
      </c>
      <c r="F3835" s="198">
        <v>37938</v>
      </c>
      <c r="G3835" s="198">
        <v>37973</v>
      </c>
      <c r="H3835" s="199">
        <v>6</v>
      </c>
      <c r="I3835" s="754">
        <f>TIME(0,90,0)</f>
        <v>6.25E-2</v>
      </c>
      <c r="J3835" s="904" t="s">
        <v>1588</v>
      </c>
      <c r="K3835" s="200" t="s">
        <v>3807</v>
      </c>
      <c r="L3835" s="200" t="s">
        <v>2821</v>
      </c>
      <c r="M3835" s="200"/>
      <c r="N3835" s="200"/>
      <c r="O3835" s="200" t="s">
        <v>2822</v>
      </c>
      <c r="P3835" s="178" t="s">
        <v>8988</v>
      </c>
      <c r="Q3835" s="200" t="s">
        <v>3946</v>
      </c>
      <c r="R3835" s="201" t="s">
        <v>5278</v>
      </c>
      <c r="S3835" s="390" t="s">
        <v>3070</v>
      </c>
      <c r="T3835" s="197"/>
      <c r="U3835" s="197"/>
      <c r="V3835" s="197"/>
      <c r="W3835" s="318" t="s">
        <v>8444</v>
      </c>
      <c r="X3835" s="650" t="s">
        <v>12342</v>
      </c>
      <c r="Y3835" s="358" t="s">
        <v>5655</v>
      </c>
      <c r="Z3835" s="253">
        <v>319</v>
      </c>
      <c r="AA3835" s="253">
        <v>0.5</v>
      </c>
      <c r="AB3835" s="35">
        <f t="shared" ca="1" si="97"/>
        <v>0.60497173183629094</v>
      </c>
      <c r="AC3835" s="820"/>
      <c r="AD3835" s="821" t="s">
        <v>15833</v>
      </c>
      <c r="AE3835" s="944"/>
      <c r="AF3835" s="925">
        <f>IF(X3835=X3834,AF3834,0)+IF(ISNUMBER(I3835),IF(I3835&lt;1,I3835,I3835*VLOOKUP(J3835,Summary!$H$2:$I$9,2)),VLOOKUP(J3835,Summary!$J$2:$K$9,2)*IF(ISNUMBER(H3835),H3835,1))</f>
        <v>6.25E-2</v>
      </c>
      <c r="AG3835" s="293">
        <v>3834</v>
      </c>
      <c r="AH3835" s="94"/>
      <c r="AI3835" s="94"/>
    </row>
    <row r="3836" spans="1:36" s="3" customFormat="1" ht="12" customHeight="1" x14ac:dyDescent="0.25">
      <c r="A3836" s="591"/>
      <c r="B3836" s="591" t="s">
        <v>5649</v>
      </c>
      <c r="C3836" s="591"/>
      <c r="D3836" s="176" t="s">
        <v>3112</v>
      </c>
      <c r="E3836" s="313" t="s">
        <v>11264</v>
      </c>
      <c r="F3836" s="175">
        <v>42159</v>
      </c>
      <c r="G3836" s="174"/>
      <c r="H3836" s="176">
        <v>1</v>
      </c>
      <c r="I3836" s="176">
        <v>13</v>
      </c>
      <c r="J3836" s="900" t="s">
        <v>2755</v>
      </c>
      <c r="K3836" s="164" t="s">
        <v>5146</v>
      </c>
      <c r="L3836" s="164" t="s">
        <v>461</v>
      </c>
      <c r="M3836" s="164"/>
      <c r="N3836" s="164"/>
      <c r="O3836" s="164"/>
      <c r="P3836" s="173"/>
      <c r="Q3836" s="164" t="s">
        <v>3946</v>
      </c>
      <c r="R3836" s="177" t="s">
        <v>7896</v>
      </c>
      <c r="S3836" s="354" t="s">
        <v>3070</v>
      </c>
      <c r="T3836" s="173"/>
      <c r="U3836" s="173"/>
      <c r="V3836" s="173"/>
      <c r="W3836" s="313" t="s">
        <v>11264</v>
      </c>
      <c r="X3836" s="645" t="s">
        <v>12342</v>
      </c>
      <c r="Y3836" s="354" t="s">
        <v>4707</v>
      </c>
      <c r="Z3836" s="157"/>
      <c r="AA3836" s="176"/>
      <c r="AB3836" s="32">
        <f t="shared" ca="1" si="97"/>
        <v>0.64070531292649913</v>
      </c>
      <c r="AC3836" s="812"/>
      <c r="AD3836" s="763"/>
      <c r="AE3836" s="807"/>
      <c r="AF3836" s="921">
        <f>IF(X3836=X3835,AF3835,0)+IF(ISNUMBER(I3836),IF(I3836&lt;1,I3836,I3836*VLOOKUP(J3836,Summary!$H$2:$I$9,2)),VLOOKUP(J3836,Summary!$J$2:$K$9,2)*IF(ISNUMBER(H3836),H3836,1))</f>
        <v>7.1527777777777773E-2</v>
      </c>
      <c r="AG3836" s="289">
        <v>3835</v>
      </c>
      <c r="AH3836" s="94"/>
      <c r="AI3836" s="94"/>
      <c r="AJ3836" s="43"/>
    </row>
    <row r="3837" spans="1:36" s="22" customFormat="1" ht="12" customHeight="1" x14ac:dyDescent="0.25">
      <c r="A3837" s="590"/>
      <c r="B3837" s="590" t="s">
        <v>11263</v>
      </c>
      <c r="C3837" s="590">
        <v>0</v>
      </c>
      <c r="D3837" s="424" t="s">
        <v>2817</v>
      </c>
      <c r="E3837" s="319" t="s">
        <v>5650</v>
      </c>
      <c r="F3837" s="198">
        <v>36231</v>
      </c>
      <c r="G3837" s="198"/>
      <c r="H3837" s="199">
        <v>4</v>
      </c>
      <c r="I3837" s="791">
        <f>TIME(0,21,17)</f>
        <v>1.4780092592592595E-2</v>
      </c>
      <c r="J3837" s="904" t="s">
        <v>1588</v>
      </c>
      <c r="K3837" s="200" t="s">
        <v>3810</v>
      </c>
      <c r="L3837" s="200" t="s">
        <v>5248</v>
      </c>
      <c r="M3837" s="200"/>
      <c r="N3837" s="200"/>
      <c r="O3837" s="200" t="s">
        <v>5249</v>
      </c>
      <c r="P3837" s="197" t="s">
        <v>461</v>
      </c>
      <c r="Q3837" s="200" t="s">
        <v>3946</v>
      </c>
      <c r="R3837" s="201" t="s">
        <v>5270</v>
      </c>
      <c r="S3837" s="390" t="s">
        <v>3067</v>
      </c>
      <c r="T3837" s="197"/>
      <c r="U3837" s="197"/>
      <c r="V3837" s="197"/>
      <c r="W3837" s="318"/>
      <c r="X3837" s="650" t="s">
        <v>12342</v>
      </c>
      <c r="Y3837" s="358"/>
      <c r="Z3837" s="253">
        <v>228</v>
      </c>
      <c r="AA3837" s="253">
        <v>4</v>
      </c>
      <c r="AB3837" s="35">
        <f t="shared" ca="1" si="97"/>
        <v>0.13676154374228822</v>
      </c>
      <c r="AC3837" s="820"/>
      <c r="AD3837" s="845"/>
      <c r="AE3837" s="944"/>
      <c r="AF3837" s="925">
        <f>IF(X3837=X3836,AF3836,0)+IF(ISNUMBER(I3837),IF(I3837&lt;1,I3837,I3837*VLOOKUP(J3837,Summary!$H$2:$I$9,2)),VLOOKUP(J3837,Summary!$J$2:$K$9,2)*IF(ISNUMBER(H3837),H3837,1))</f>
        <v>8.6307870370370368E-2</v>
      </c>
      <c r="AG3837" s="293">
        <v>3836</v>
      </c>
      <c r="AH3837" s="94"/>
      <c r="AI3837" s="94"/>
    </row>
    <row r="3838" spans="1:36" s="22" customFormat="1" ht="12" customHeight="1" x14ac:dyDescent="0.2">
      <c r="A3838" s="592" t="s">
        <v>14562</v>
      </c>
      <c r="B3838" s="592">
        <v>9</v>
      </c>
      <c r="C3838" s="592">
        <v>1.1000000000000001</v>
      </c>
      <c r="D3838" s="407" t="s">
        <v>13018</v>
      </c>
      <c r="E3838" s="315" t="s">
        <v>13019</v>
      </c>
      <c r="F3838" s="196">
        <v>42859</v>
      </c>
      <c r="G3838" s="170"/>
      <c r="H3838" s="170">
        <v>1</v>
      </c>
      <c r="I3838" s="747">
        <f>TIME(0,60,0)</f>
        <v>4.1666666666666664E-2</v>
      </c>
      <c r="J3838" s="899" t="s">
        <v>4706</v>
      </c>
      <c r="K3838" s="167" t="s">
        <v>2479</v>
      </c>
      <c r="L3838" s="167" t="s">
        <v>12662</v>
      </c>
      <c r="M3838" s="167" t="s">
        <v>13020</v>
      </c>
      <c r="N3838" s="167"/>
      <c r="O3838" s="167"/>
      <c r="P3838" s="168" t="s">
        <v>13021</v>
      </c>
      <c r="Q3838" s="167" t="s">
        <v>3947</v>
      </c>
      <c r="R3838" s="172" t="s">
        <v>13022</v>
      </c>
      <c r="S3838" s="388"/>
      <c r="T3838" s="168"/>
      <c r="U3838" s="168"/>
      <c r="V3838" s="168"/>
      <c r="W3838" s="312" t="s">
        <v>13019</v>
      </c>
      <c r="X3838" s="644" t="s">
        <v>12342</v>
      </c>
      <c r="Y3838" s="352"/>
      <c r="Z3838" s="353"/>
      <c r="AA3838" s="353"/>
      <c r="AB3838" s="31">
        <f t="shared" ca="1" si="97"/>
        <v>0.53205838045067433</v>
      </c>
      <c r="AC3838" s="810"/>
      <c r="AD3838" s="846"/>
      <c r="AE3838" s="940"/>
      <c r="AF3838" s="920">
        <f>IF(X3838=X3837,AF3837,0)+IF(ISNUMBER(I3838),IF(I3838&lt;1,I3838,I3838*VLOOKUP(J3838,Summary!$H$2:$I$9,2)),VLOOKUP(J3838,Summary!$J$2:$K$9,2)*IF(ISNUMBER(H3838),H3838,1))</f>
        <v>0.12797453703703704</v>
      </c>
      <c r="AG3838" s="287">
        <v>3837</v>
      </c>
      <c r="AH3838" s="94"/>
      <c r="AI3838" s="94"/>
    </row>
    <row r="3839" spans="1:36" s="22" customFormat="1" ht="12" customHeight="1" x14ac:dyDescent="0.2">
      <c r="A3839" s="592" t="s">
        <v>14562</v>
      </c>
      <c r="B3839" s="592">
        <v>9</v>
      </c>
      <c r="C3839" s="592">
        <v>1.1000000000000001</v>
      </c>
      <c r="D3839" s="407" t="s">
        <v>13031</v>
      </c>
      <c r="E3839" s="315" t="s">
        <v>13032</v>
      </c>
      <c r="F3839" s="196">
        <v>42383</v>
      </c>
      <c r="G3839" s="170"/>
      <c r="H3839" s="170">
        <v>1</v>
      </c>
      <c r="I3839" s="746">
        <f>TIME(0,59,11)</f>
        <v>4.1099537037037039E-2</v>
      </c>
      <c r="J3839" s="899" t="s">
        <v>4706</v>
      </c>
      <c r="K3839" s="167" t="s">
        <v>10079</v>
      </c>
      <c r="L3839" s="167" t="s">
        <v>2313</v>
      </c>
      <c r="M3839" s="167"/>
      <c r="N3839" s="167"/>
      <c r="O3839" s="167"/>
      <c r="P3839" s="168" t="s">
        <v>13033</v>
      </c>
      <c r="Q3839" s="167" t="s">
        <v>3947</v>
      </c>
      <c r="R3839" s="172" t="s">
        <v>11446</v>
      </c>
      <c r="S3839" s="388"/>
      <c r="T3839" s="168"/>
      <c r="U3839" s="168"/>
      <c r="V3839" s="168"/>
      <c r="W3839" s="312" t="s">
        <v>13032</v>
      </c>
      <c r="X3839" s="644" t="s">
        <v>12342</v>
      </c>
      <c r="Y3839" s="352"/>
      <c r="Z3839" s="353"/>
      <c r="AA3839" s="353"/>
      <c r="AB3839" s="31">
        <f t="shared" ca="1" si="97"/>
        <v>0.74501001850527537</v>
      </c>
      <c r="AC3839" s="810"/>
      <c r="AD3839" s="846" t="s">
        <v>16786</v>
      </c>
      <c r="AE3839" s="940"/>
      <c r="AF3839" s="920">
        <f>IF(X3839=X3838,AF3838,0)+IF(ISNUMBER(I3839),IF(I3839&lt;1,I3839,I3839*VLOOKUP(J3839,Summary!$H$2:$I$9,2)),VLOOKUP(J3839,Summary!$J$2:$K$9,2)*IF(ISNUMBER(H3839),H3839,1))</f>
        <v>0.16907407407407407</v>
      </c>
      <c r="AG3839" s="287">
        <v>3838</v>
      </c>
      <c r="AH3839" s="94"/>
      <c r="AI3839" s="94"/>
    </row>
    <row r="3840" spans="1:36" s="22" customFormat="1" ht="12" customHeight="1" x14ac:dyDescent="0.25">
      <c r="A3840" s="593" t="s">
        <v>14562</v>
      </c>
      <c r="B3840" s="593">
        <v>9</v>
      </c>
      <c r="C3840" s="593">
        <v>9</v>
      </c>
      <c r="D3840" s="192" t="s">
        <v>12650</v>
      </c>
      <c r="E3840" s="317" t="s">
        <v>12651</v>
      </c>
      <c r="F3840" s="209">
        <v>42985</v>
      </c>
      <c r="G3840" s="192"/>
      <c r="H3840" s="192" t="s">
        <v>461</v>
      </c>
      <c r="I3840" s="192"/>
      <c r="J3840" s="903" t="s">
        <v>2755</v>
      </c>
      <c r="K3840" s="194" t="s">
        <v>179</v>
      </c>
      <c r="L3840" s="194" t="s">
        <v>12629</v>
      </c>
      <c r="M3840" s="194" t="s">
        <v>12635</v>
      </c>
      <c r="N3840" s="194"/>
      <c r="O3840" s="194"/>
      <c r="P3840" s="190" t="s">
        <v>12632</v>
      </c>
      <c r="Q3840" s="194" t="s">
        <v>3954</v>
      </c>
      <c r="R3840" s="193" t="s">
        <v>12631</v>
      </c>
      <c r="S3840" s="357"/>
      <c r="T3840" s="190"/>
      <c r="U3840" s="190"/>
      <c r="V3840" s="190"/>
      <c r="W3840" s="317" t="s">
        <v>12651</v>
      </c>
      <c r="X3840" s="649" t="s">
        <v>12342</v>
      </c>
      <c r="Y3840" s="357"/>
      <c r="Z3840" s="192"/>
      <c r="AA3840" s="192"/>
      <c r="AB3840" s="37">
        <f t="shared" ca="1" si="97"/>
        <v>0.8070740799375743</v>
      </c>
      <c r="AC3840" s="816"/>
      <c r="AD3840" s="893"/>
      <c r="AE3840" s="943"/>
      <c r="AF3840" s="924">
        <f>IF(X3840=X3839,AF3839,0)+IF(ISNUMBER(I3840),IF(I3840&lt;1,I3840,I3840*VLOOKUP(J3840,Summary!$H$2:$I$9,2)),VLOOKUP(J3840,Summary!$J$2:$K$9,2)*IF(ISNUMBER(H3840),H3840,1))</f>
        <v>0.18643518518518518</v>
      </c>
      <c r="AG3840" s="292">
        <v>3839</v>
      </c>
      <c r="AH3840" s="94"/>
      <c r="AI3840" s="94"/>
    </row>
    <row r="3841" spans="1:36" s="3" customFormat="1" ht="12" customHeight="1" x14ac:dyDescent="0.25">
      <c r="A3841" s="591" t="s">
        <v>14562</v>
      </c>
      <c r="B3841" s="591">
        <v>9</v>
      </c>
      <c r="C3841" s="591">
        <v>4</v>
      </c>
      <c r="D3841" s="176" t="s">
        <v>9784</v>
      </c>
      <c r="E3841" s="313" t="s">
        <v>9785</v>
      </c>
      <c r="F3841" s="175">
        <v>42159</v>
      </c>
      <c r="G3841" s="174"/>
      <c r="H3841" s="176" t="s">
        <v>461</v>
      </c>
      <c r="I3841" s="176"/>
      <c r="J3841" s="900" t="s">
        <v>2755</v>
      </c>
      <c r="K3841" s="164" t="s">
        <v>177</v>
      </c>
      <c r="L3841" s="164" t="s">
        <v>461</v>
      </c>
      <c r="M3841" s="164"/>
      <c r="N3841" s="164"/>
      <c r="O3841" s="164"/>
      <c r="P3841" s="173" t="s">
        <v>9509</v>
      </c>
      <c r="Q3841" s="164" t="s">
        <v>3953</v>
      </c>
      <c r="R3841" s="177" t="s">
        <v>9510</v>
      </c>
      <c r="S3841" s="354"/>
      <c r="T3841" s="173"/>
      <c r="U3841" s="173"/>
      <c r="V3841" s="173"/>
      <c r="W3841" s="313" t="s">
        <v>9785</v>
      </c>
      <c r="X3841" s="645" t="s">
        <v>12342</v>
      </c>
      <c r="Y3841" s="354"/>
      <c r="Z3841" s="157"/>
      <c r="AA3841" s="176"/>
      <c r="AB3841" s="32">
        <f t="shared" ca="1" si="97"/>
        <v>0.20611375363482942</v>
      </c>
      <c r="AC3841" s="812"/>
      <c r="AD3841" s="763"/>
      <c r="AE3841" s="807"/>
      <c r="AF3841" s="921">
        <f>IF(X3841=X3840,AF3840,0)+IF(ISNUMBER(I3841),IF(I3841&lt;1,I3841,I3841*VLOOKUP(J3841,Summary!$H$2:$I$9,2)),VLOOKUP(J3841,Summary!$J$2:$K$9,2)*IF(ISNUMBER(H3841),H3841,1))</f>
        <v>0.20379629629629628</v>
      </c>
      <c r="AG3841" s="289">
        <v>3840</v>
      </c>
      <c r="AH3841" s="94"/>
      <c r="AI3841" s="94"/>
      <c r="AJ3841" s="43"/>
    </row>
    <row r="3842" spans="1:36" s="3" customFormat="1" ht="12" customHeight="1" x14ac:dyDescent="0.25">
      <c r="A3842" s="592" t="s">
        <v>14562</v>
      </c>
      <c r="B3842" s="592">
        <v>9</v>
      </c>
      <c r="C3842" s="592">
        <v>2.2999999999999998</v>
      </c>
      <c r="D3842" s="407" t="s">
        <v>13036</v>
      </c>
      <c r="E3842" s="315" t="s">
        <v>13035</v>
      </c>
      <c r="F3842" s="196">
        <v>43146</v>
      </c>
      <c r="G3842" s="170"/>
      <c r="H3842" s="170">
        <v>1</v>
      </c>
      <c r="I3842" s="747">
        <f>TIME(0,60,0)</f>
        <v>4.1666666666666664E-2</v>
      </c>
      <c r="J3842" s="899" t="s">
        <v>4706</v>
      </c>
      <c r="K3842" s="167" t="s">
        <v>7374</v>
      </c>
      <c r="L3842" s="167" t="s">
        <v>2313</v>
      </c>
      <c r="M3842" s="167"/>
      <c r="N3842" s="167"/>
      <c r="O3842" s="167"/>
      <c r="P3842" s="168" t="s">
        <v>13037</v>
      </c>
      <c r="Q3842" s="167" t="s">
        <v>3947</v>
      </c>
      <c r="R3842" s="172" t="s">
        <v>11446</v>
      </c>
      <c r="S3842" s="388"/>
      <c r="T3842" s="168"/>
      <c r="U3842" s="168"/>
      <c r="V3842" s="168"/>
      <c r="W3842" s="312" t="s">
        <v>13035</v>
      </c>
      <c r="X3842" s="644" t="s">
        <v>12342</v>
      </c>
      <c r="Y3842" s="352"/>
      <c r="Z3842" s="353"/>
      <c r="AA3842" s="353"/>
      <c r="AB3842" s="31">
        <f t="shared" ref="AB3842:AB3905" ca="1" si="101">RAND()</f>
        <v>0.80663092757718735</v>
      </c>
      <c r="AC3842" s="810"/>
      <c r="AD3842" s="811" t="s">
        <v>16736</v>
      </c>
      <c r="AE3842" s="940"/>
      <c r="AF3842" s="920">
        <f>IF(X3842=X3841,AF3841,0)+IF(ISNUMBER(I3842),IF(I3842&lt;1,I3842,I3842*VLOOKUP(J3842,Summary!$H$2:$I$9,2)),VLOOKUP(J3842,Summary!$J$2:$K$9,2)*IF(ISNUMBER(H3842),H3842,1))</f>
        <v>0.24546296296296294</v>
      </c>
      <c r="AG3842" s="287">
        <v>3841</v>
      </c>
      <c r="AH3842" s="94"/>
      <c r="AI3842" s="94"/>
      <c r="AJ3842" s="2"/>
    </row>
    <row r="3843" spans="1:36" s="3" customFormat="1" ht="12" customHeight="1" x14ac:dyDescent="0.25">
      <c r="A3843" s="591" t="s">
        <v>14562</v>
      </c>
      <c r="B3843" s="591">
        <v>9</v>
      </c>
      <c r="C3843" s="591">
        <v>19</v>
      </c>
      <c r="D3843" s="176" t="s">
        <v>9802</v>
      </c>
      <c r="E3843" s="313" t="s">
        <v>9801</v>
      </c>
      <c r="F3843" s="175">
        <v>41802</v>
      </c>
      <c r="G3843" s="174"/>
      <c r="H3843" s="176">
        <v>1</v>
      </c>
      <c r="I3843" s="176">
        <v>9</v>
      </c>
      <c r="J3843" s="900" t="s">
        <v>2755</v>
      </c>
      <c r="K3843" s="164" t="s">
        <v>9281</v>
      </c>
      <c r="L3843" s="164" t="s">
        <v>461</v>
      </c>
      <c r="M3843" s="164"/>
      <c r="N3843" s="164" t="s">
        <v>543</v>
      </c>
      <c r="O3843" s="164"/>
      <c r="P3843" s="173" t="s">
        <v>9278</v>
      </c>
      <c r="Q3843" s="164" t="s">
        <v>3953</v>
      </c>
      <c r="R3843" s="177" t="s">
        <v>9279</v>
      </c>
      <c r="S3843" s="354"/>
      <c r="T3843" s="173"/>
      <c r="U3843" s="173"/>
      <c r="V3843" s="173"/>
      <c r="W3843" s="313" t="s">
        <v>9801</v>
      </c>
      <c r="X3843" s="645" t="s">
        <v>12342</v>
      </c>
      <c r="Y3843" s="354" t="s">
        <v>6868</v>
      </c>
      <c r="Z3843" s="176"/>
      <c r="AA3843" s="176"/>
      <c r="AB3843" s="32">
        <f t="shared" ca="1" si="101"/>
        <v>0.86918618370115219</v>
      </c>
      <c r="AC3843" s="812"/>
      <c r="AD3843" s="763" t="s">
        <v>16787</v>
      </c>
      <c r="AE3843" s="807"/>
      <c r="AF3843" s="921">
        <f>IF(X3843=X3842,AF3842,0)+IF(ISNUMBER(I3843),IF(I3843&lt;1,I3843,I3843*VLOOKUP(J3843,Summary!$H$2:$I$9,2)),VLOOKUP(J3843,Summary!$J$2:$K$9,2)*IF(ISNUMBER(H3843),H3843,1))</f>
        <v>0.25171296296296292</v>
      </c>
      <c r="AG3843" s="289">
        <v>3842</v>
      </c>
      <c r="AH3843" s="94"/>
      <c r="AI3843" s="94"/>
      <c r="AJ3843" s="2"/>
    </row>
    <row r="3844" spans="1:36" s="3" customFormat="1" ht="12" customHeight="1" x14ac:dyDescent="0.25">
      <c r="A3844" s="591" t="s">
        <v>14562</v>
      </c>
      <c r="B3844" s="591">
        <v>9</v>
      </c>
      <c r="C3844" s="591"/>
      <c r="D3844" s="176" t="s">
        <v>3830</v>
      </c>
      <c r="E3844" s="313" t="s">
        <v>3838</v>
      </c>
      <c r="F3844" s="174">
        <v>38596</v>
      </c>
      <c r="G3844" s="181"/>
      <c r="H3844" s="176">
        <v>1</v>
      </c>
      <c r="I3844" s="176">
        <v>7</v>
      </c>
      <c r="J3844" s="900" t="s">
        <v>2755</v>
      </c>
      <c r="K3844" s="164" t="s">
        <v>3810</v>
      </c>
      <c r="L3844" s="164" t="s">
        <v>3835</v>
      </c>
      <c r="M3844" s="164"/>
      <c r="N3844" s="164" t="s">
        <v>4105</v>
      </c>
      <c r="O3844" s="164"/>
      <c r="P3844" s="173" t="s">
        <v>8623</v>
      </c>
      <c r="Q3844" s="164" t="s">
        <v>3833</v>
      </c>
      <c r="R3844" s="177" t="s">
        <v>4600</v>
      </c>
      <c r="S3844" s="354"/>
      <c r="T3844" s="173"/>
      <c r="U3844" s="173"/>
      <c r="V3844" s="173"/>
      <c r="W3844" s="313" t="s">
        <v>3838</v>
      </c>
      <c r="X3844" s="645" t="s">
        <v>12342</v>
      </c>
      <c r="Y3844" s="354" t="s">
        <v>6868</v>
      </c>
      <c r="Z3844" s="176">
        <v>999</v>
      </c>
      <c r="AA3844" s="176"/>
      <c r="AB3844" s="32">
        <f t="shared" ca="1" si="101"/>
        <v>0.82018418373224677</v>
      </c>
      <c r="AC3844" s="812"/>
      <c r="AD3844" s="763" t="s">
        <v>14581</v>
      </c>
      <c r="AE3844" s="807"/>
      <c r="AF3844" s="921">
        <f>IF(X3844=X3843,AF3843,0)+IF(ISNUMBER(I3844),IF(I3844&lt;1,I3844,I3844*VLOOKUP(J3844,Summary!$H$2:$I$9,2)),VLOOKUP(J3844,Summary!$J$2:$K$9,2)*IF(ISNUMBER(H3844),H3844,1))</f>
        <v>0.25657407407407401</v>
      </c>
      <c r="AG3844" s="289">
        <v>3843</v>
      </c>
      <c r="AH3844" s="94"/>
      <c r="AI3844" s="94"/>
      <c r="AJ3844" s="2"/>
    </row>
    <row r="3845" spans="1:36" s="3" customFormat="1" ht="12" customHeight="1" x14ac:dyDescent="0.25">
      <c r="A3845" s="592" t="s">
        <v>14562</v>
      </c>
      <c r="B3845" s="592">
        <v>9</v>
      </c>
      <c r="C3845" s="592">
        <v>2.2000000000000002</v>
      </c>
      <c r="D3845" s="407" t="s">
        <v>13038</v>
      </c>
      <c r="E3845" s="315" t="s">
        <v>13039</v>
      </c>
      <c r="F3845" s="196">
        <v>43146</v>
      </c>
      <c r="G3845" s="170"/>
      <c r="H3845" s="170">
        <v>1</v>
      </c>
      <c r="I3845" s="747">
        <f>TIME(0,60,0)</f>
        <v>4.1666666666666664E-2</v>
      </c>
      <c r="J3845" s="899" t="s">
        <v>4706</v>
      </c>
      <c r="K3845" s="167" t="s">
        <v>4035</v>
      </c>
      <c r="L3845" s="167" t="s">
        <v>2313</v>
      </c>
      <c r="M3845" s="167"/>
      <c r="N3845" s="167"/>
      <c r="O3845" s="167"/>
      <c r="P3845" s="168" t="s">
        <v>13037</v>
      </c>
      <c r="Q3845" s="167" t="s">
        <v>3947</v>
      </c>
      <c r="R3845" s="172" t="s">
        <v>11446</v>
      </c>
      <c r="S3845" s="388"/>
      <c r="T3845" s="168"/>
      <c r="U3845" s="168"/>
      <c r="V3845" s="168"/>
      <c r="W3845" s="312" t="s">
        <v>13039</v>
      </c>
      <c r="X3845" s="644" t="s">
        <v>12342</v>
      </c>
      <c r="Y3845" s="352"/>
      <c r="Z3845" s="353"/>
      <c r="AA3845" s="353"/>
      <c r="AB3845" s="31">
        <f t="shared" ca="1" si="101"/>
        <v>0.24678326994318645</v>
      </c>
      <c r="AC3845" s="810"/>
      <c r="AD3845" s="811" t="s">
        <v>16727</v>
      </c>
      <c r="AE3845" s="940"/>
      <c r="AF3845" s="920">
        <f>IF(X3845=X3844,AF3844,0)+IF(ISNUMBER(I3845),IF(I3845&lt;1,I3845,I3845*VLOOKUP(J3845,Summary!$H$2:$I$9,2)),VLOOKUP(J3845,Summary!$J$2:$K$9,2)*IF(ISNUMBER(H3845),H3845,1))</f>
        <v>0.2982407407407407</v>
      </c>
      <c r="AG3845" s="287">
        <v>3844</v>
      </c>
      <c r="AH3845" s="94"/>
      <c r="AI3845" s="94"/>
      <c r="AJ3845" s="2"/>
    </row>
    <row r="3846" spans="1:36" s="3" customFormat="1" ht="12" customHeight="1" x14ac:dyDescent="0.25">
      <c r="A3846" s="590" t="s">
        <v>14562</v>
      </c>
      <c r="B3846" s="590">
        <v>9</v>
      </c>
      <c r="C3846" s="590">
        <v>157</v>
      </c>
      <c r="D3846" s="424" t="s">
        <v>3371</v>
      </c>
      <c r="E3846" s="319" t="s">
        <v>3372</v>
      </c>
      <c r="F3846" s="198">
        <v>38437</v>
      </c>
      <c r="G3846" s="198"/>
      <c r="H3846" s="199">
        <v>1</v>
      </c>
      <c r="I3846" s="791">
        <f>TIME(0,44,11)</f>
        <v>3.0682870370370371E-2</v>
      </c>
      <c r="J3846" s="904" t="s">
        <v>1588</v>
      </c>
      <c r="K3846" s="200" t="s">
        <v>3373</v>
      </c>
      <c r="L3846" s="200" t="s">
        <v>3374</v>
      </c>
      <c r="M3846" s="200"/>
      <c r="N3846" s="200" t="s">
        <v>3373</v>
      </c>
      <c r="O3846" s="200" t="s">
        <v>3375</v>
      </c>
      <c r="P3846" s="197" t="s">
        <v>461</v>
      </c>
      <c r="Q3846" s="200" t="s">
        <v>3946</v>
      </c>
      <c r="R3846" s="201" t="s">
        <v>5280</v>
      </c>
      <c r="S3846" s="390" t="s">
        <v>3372</v>
      </c>
      <c r="T3846" s="197"/>
      <c r="U3846" s="197"/>
      <c r="V3846" s="197"/>
      <c r="W3846" s="319" t="s">
        <v>3372</v>
      </c>
      <c r="X3846" s="651" t="s">
        <v>12342</v>
      </c>
      <c r="Y3846" s="358" t="s">
        <v>6141</v>
      </c>
      <c r="Z3846" s="253">
        <v>43</v>
      </c>
      <c r="AA3846" s="253">
        <v>8.5</v>
      </c>
      <c r="AB3846" s="35">
        <f t="shared" ca="1" si="101"/>
        <v>0.45970317223750212</v>
      </c>
      <c r="AC3846" s="820"/>
      <c r="AD3846" s="821" t="s">
        <v>15858</v>
      </c>
      <c r="AE3846" s="967"/>
      <c r="AF3846" s="925">
        <f>IF(X3846=X3845,AF3845,0)+IF(ISNUMBER(I3846),IF(I3846&lt;1,I3846,I3846*VLOOKUP(J3846,Summary!$H$2:$I$9,2)),VLOOKUP(J3846,Summary!$J$2:$K$9,2)*IF(ISNUMBER(H3846),H3846,1))</f>
        <v>0.32892361111111107</v>
      </c>
      <c r="AG3846" s="293">
        <v>3845</v>
      </c>
      <c r="AH3846" s="94"/>
      <c r="AI3846" s="94"/>
      <c r="AJ3846" s="2"/>
    </row>
    <row r="3847" spans="1:36" s="3" customFormat="1" ht="12" customHeight="1" x14ac:dyDescent="0.25">
      <c r="A3847" s="591" t="s">
        <v>14562</v>
      </c>
      <c r="B3847" s="591">
        <v>9</v>
      </c>
      <c r="C3847" s="591">
        <v>1.0900000000000001</v>
      </c>
      <c r="D3847" s="176" t="s">
        <v>9258</v>
      </c>
      <c r="E3847" s="313" t="s">
        <v>9259</v>
      </c>
      <c r="F3847" s="175">
        <v>41540</v>
      </c>
      <c r="G3847" s="181"/>
      <c r="H3847" s="176">
        <v>1</v>
      </c>
      <c r="I3847" s="176">
        <v>50</v>
      </c>
      <c r="J3847" s="900" t="s">
        <v>2755</v>
      </c>
      <c r="K3847" s="164" t="s">
        <v>9260</v>
      </c>
      <c r="L3847" s="164" t="s">
        <v>461</v>
      </c>
      <c r="M3847" s="164"/>
      <c r="N3847" s="164"/>
      <c r="O3847" s="164"/>
      <c r="P3847" s="173" t="s">
        <v>9237</v>
      </c>
      <c r="Q3847" s="164" t="s">
        <v>9235</v>
      </c>
      <c r="R3847" s="177" t="s">
        <v>9236</v>
      </c>
      <c r="S3847" s="354"/>
      <c r="T3847" s="173" t="s">
        <v>9261</v>
      </c>
      <c r="U3847" s="173"/>
      <c r="V3847" s="173"/>
      <c r="W3847" s="313" t="s">
        <v>9259</v>
      </c>
      <c r="X3847" s="645" t="s">
        <v>12342</v>
      </c>
      <c r="Y3847" s="354" t="s">
        <v>6868</v>
      </c>
      <c r="Z3847" s="377"/>
      <c r="AA3847" s="176"/>
      <c r="AB3847" s="32">
        <f t="shared" ca="1" si="101"/>
        <v>0.94841896920720437</v>
      </c>
      <c r="AC3847" s="812"/>
      <c r="AD3847" s="763"/>
      <c r="AE3847" s="807"/>
      <c r="AF3847" s="921">
        <f>IF(X3847=X3846,AF3846,0)+IF(ISNUMBER(I3847),IF(I3847&lt;1,I3847,I3847*VLOOKUP(J3847,Summary!$H$2:$I$9,2)),VLOOKUP(J3847,Summary!$J$2:$K$9,2)*IF(ISNUMBER(H3847),H3847,1))</f>
        <v>0.36364583333333328</v>
      </c>
      <c r="AG3847" s="289">
        <v>3846</v>
      </c>
      <c r="AH3847" s="94"/>
      <c r="AI3847" s="94"/>
      <c r="AJ3847" s="2"/>
    </row>
    <row r="3848" spans="1:36" s="3" customFormat="1" ht="12" customHeight="1" x14ac:dyDescent="0.25">
      <c r="A3848" s="593" t="s">
        <v>14562</v>
      </c>
      <c r="B3848" s="593">
        <v>9</v>
      </c>
      <c r="C3848" s="593">
        <v>8</v>
      </c>
      <c r="D3848" s="192" t="s">
        <v>13408</v>
      </c>
      <c r="E3848" s="317" t="s">
        <v>13409</v>
      </c>
      <c r="F3848" s="209">
        <v>42278</v>
      </c>
      <c r="G3848" s="209"/>
      <c r="H3848" s="192">
        <v>1</v>
      </c>
      <c r="I3848" s="192"/>
      <c r="J3848" s="903" t="s">
        <v>2755</v>
      </c>
      <c r="K3848" s="194" t="s">
        <v>543</v>
      </c>
      <c r="L3848" s="194" t="s">
        <v>13401</v>
      </c>
      <c r="M3848" s="194" t="s">
        <v>12635</v>
      </c>
      <c r="N3848" s="194"/>
      <c r="O3848" s="194"/>
      <c r="P3848" s="190" t="s">
        <v>13331</v>
      </c>
      <c r="Q3848" s="194" t="s">
        <v>3953</v>
      </c>
      <c r="R3848" s="193" t="s">
        <v>11447</v>
      </c>
      <c r="S3848" s="357" t="s">
        <v>3372</v>
      </c>
      <c r="T3848" s="190"/>
      <c r="U3848" s="190"/>
      <c r="V3848" s="190"/>
      <c r="W3848" s="317" t="s">
        <v>13409</v>
      </c>
      <c r="X3848" s="662" t="s">
        <v>12342</v>
      </c>
      <c r="Y3848" s="357"/>
      <c r="Z3848" s="192"/>
      <c r="AA3848" s="192"/>
      <c r="AB3848" s="37">
        <f t="shared" ca="1" si="101"/>
        <v>0.54484808911750404</v>
      </c>
      <c r="AC3848" s="816"/>
      <c r="AD3848" s="817"/>
      <c r="AE3848" s="943"/>
      <c r="AF3848" s="924">
        <f>IF(X3848=X3847,AF3847,0)+IF(ISNUMBER(I3848),IF(I3848&lt;1,I3848,I3848*VLOOKUP(J3848,Summary!$H$2:$I$9,2)),VLOOKUP(J3848,Summary!$J$2:$K$9,2)*IF(ISNUMBER(H3848),H3848,1))</f>
        <v>0.38100694444444438</v>
      </c>
      <c r="AG3848" s="292">
        <v>3847</v>
      </c>
      <c r="AH3848" s="94"/>
      <c r="AI3848" s="94"/>
    </row>
    <row r="3849" spans="1:36" s="3" customFormat="1" ht="12" customHeight="1" x14ac:dyDescent="0.25">
      <c r="A3849" s="590" t="s">
        <v>14562</v>
      </c>
      <c r="B3849" s="590">
        <v>9</v>
      </c>
      <c r="C3849" s="590">
        <v>158</v>
      </c>
      <c r="D3849" s="424" t="s">
        <v>4959</v>
      </c>
      <c r="E3849" s="319" t="s">
        <v>4960</v>
      </c>
      <c r="F3849" s="198">
        <v>38444</v>
      </c>
      <c r="G3849" s="198"/>
      <c r="H3849" s="199">
        <v>1</v>
      </c>
      <c r="I3849" s="791">
        <f>TIME(0,44,44)</f>
        <v>3.1064814814814812E-2</v>
      </c>
      <c r="J3849" s="904" t="s">
        <v>1588</v>
      </c>
      <c r="K3849" s="200" t="s">
        <v>3373</v>
      </c>
      <c r="L3849" s="200" t="s">
        <v>4961</v>
      </c>
      <c r="M3849" s="200"/>
      <c r="N3849" s="200" t="s">
        <v>3373</v>
      </c>
      <c r="O3849" s="200" t="s">
        <v>3375</v>
      </c>
      <c r="P3849" s="197" t="s">
        <v>461</v>
      </c>
      <c r="Q3849" s="200" t="s">
        <v>3946</v>
      </c>
      <c r="R3849" s="201" t="s">
        <v>5280</v>
      </c>
      <c r="S3849" s="390" t="s">
        <v>3372</v>
      </c>
      <c r="T3849" s="197"/>
      <c r="U3849" s="197"/>
      <c r="V3849" s="197"/>
      <c r="W3849" s="319" t="s">
        <v>4960</v>
      </c>
      <c r="X3849" s="651" t="s">
        <v>12342</v>
      </c>
      <c r="Y3849" s="358" t="s">
        <v>6141</v>
      </c>
      <c r="Z3849" s="253">
        <v>272</v>
      </c>
      <c r="AA3849" s="253">
        <v>2.5</v>
      </c>
      <c r="AB3849" s="35">
        <f t="shared" ca="1" si="101"/>
        <v>1.07917384361369E-2</v>
      </c>
      <c r="AC3849" s="820"/>
      <c r="AD3849" s="821" t="s">
        <v>16526</v>
      </c>
      <c r="AE3849" s="967"/>
      <c r="AF3849" s="925">
        <f>IF(X3849=X3848,AF3848,0)+IF(ISNUMBER(I3849),IF(I3849&lt;1,I3849,I3849*VLOOKUP(J3849,Summary!$H$2:$I$9,2)),VLOOKUP(J3849,Summary!$J$2:$K$9,2)*IF(ISNUMBER(H3849),H3849,1))</f>
        <v>0.41207175925925921</v>
      </c>
      <c r="AG3849" s="293">
        <v>3848</v>
      </c>
      <c r="AH3849" s="94"/>
      <c r="AI3849" s="94"/>
    </row>
    <row r="3850" spans="1:36" s="3" customFormat="1" ht="12" customHeight="1" x14ac:dyDescent="0.25">
      <c r="A3850" s="590" t="s">
        <v>14562</v>
      </c>
      <c r="B3850" s="590">
        <v>9</v>
      </c>
      <c r="C3850" s="590">
        <v>159</v>
      </c>
      <c r="D3850" s="424" t="s">
        <v>4962</v>
      </c>
      <c r="E3850" s="319" t="s">
        <v>4963</v>
      </c>
      <c r="F3850" s="198">
        <v>38451</v>
      </c>
      <c r="G3850" s="198"/>
      <c r="H3850" s="199">
        <v>1</v>
      </c>
      <c r="I3850" s="791">
        <f>TIME(0,44,48)</f>
        <v>3.1111111111111107E-2</v>
      </c>
      <c r="J3850" s="904" t="s">
        <v>1588</v>
      </c>
      <c r="K3850" s="200" t="s">
        <v>4964</v>
      </c>
      <c r="L3850" s="200" t="s">
        <v>4961</v>
      </c>
      <c r="M3850" s="200"/>
      <c r="N3850" s="200" t="s">
        <v>3373</v>
      </c>
      <c r="O3850" s="200" t="s">
        <v>3375</v>
      </c>
      <c r="P3850" s="197" t="s">
        <v>461</v>
      </c>
      <c r="Q3850" s="200" t="s">
        <v>3946</v>
      </c>
      <c r="R3850" s="201" t="s">
        <v>5280</v>
      </c>
      <c r="S3850" s="390" t="s">
        <v>3372</v>
      </c>
      <c r="T3850" s="197"/>
      <c r="U3850" s="197"/>
      <c r="V3850" s="197"/>
      <c r="W3850" s="319" t="s">
        <v>4963</v>
      </c>
      <c r="X3850" s="651" t="s">
        <v>12342</v>
      </c>
      <c r="Y3850" s="358" t="s">
        <v>6141</v>
      </c>
      <c r="Z3850" s="253">
        <v>42</v>
      </c>
      <c r="AA3850" s="253">
        <v>8.5</v>
      </c>
      <c r="AB3850" s="35">
        <f t="shared" ca="1" si="101"/>
        <v>0.94130810944512011</v>
      </c>
      <c r="AC3850" s="820"/>
      <c r="AD3850" s="821" t="s">
        <v>16611</v>
      </c>
      <c r="AE3850" s="967"/>
      <c r="AF3850" s="925">
        <f>IF(X3850=X3849,AF3849,0)+IF(ISNUMBER(I3850),IF(I3850&lt;1,I3850,I3850*VLOOKUP(J3850,Summary!$H$2:$I$9,2)),VLOOKUP(J3850,Summary!$J$2:$K$9,2)*IF(ISNUMBER(H3850),H3850,1))</f>
        <v>0.4431828703703703</v>
      </c>
      <c r="AG3850" s="293">
        <v>3849</v>
      </c>
      <c r="AH3850" s="94"/>
      <c r="AI3850" s="94"/>
      <c r="AJ3850" s="29"/>
    </row>
    <row r="3851" spans="1:36" s="2" customFormat="1" ht="12" customHeight="1" x14ac:dyDescent="0.25">
      <c r="A3851" s="594" t="s">
        <v>14562</v>
      </c>
      <c r="B3851" s="594">
        <v>9</v>
      </c>
      <c r="C3851" s="594">
        <v>2.52</v>
      </c>
      <c r="D3851" s="428" t="s">
        <v>3968</v>
      </c>
      <c r="E3851" s="325" t="s">
        <v>3969</v>
      </c>
      <c r="F3851" s="183">
        <v>39783</v>
      </c>
      <c r="G3851" s="183"/>
      <c r="H3851" s="185">
        <v>1</v>
      </c>
      <c r="I3851" s="185">
        <v>7</v>
      </c>
      <c r="J3851" s="901" t="s">
        <v>1796</v>
      </c>
      <c r="K3851" s="163" t="s">
        <v>3303</v>
      </c>
      <c r="L3851" s="163" t="s">
        <v>6572</v>
      </c>
      <c r="M3851" s="158" t="s">
        <v>6567</v>
      </c>
      <c r="N3851" s="158" t="s">
        <v>5717</v>
      </c>
      <c r="O3851" s="158"/>
      <c r="P3851" s="182" t="s">
        <v>461</v>
      </c>
      <c r="Q3851" s="158" t="s">
        <v>5719</v>
      </c>
      <c r="R3851" s="207" t="s">
        <v>5718</v>
      </c>
      <c r="S3851" s="355" t="s">
        <v>3372</v>
      </c>
      <c r="T3851" s="182"/>
      <c r="U3851" s="182"/>
      <c r="V3851" s="182"/>
      <c r="W3851" s="321"/>
      <c r="X3851" s="653" t="s">
        <v>12342</v>
      </c>
      <c r="Y3851" s="355" t="s">
        <v>6000</v>
      </c>
      <c r="Z3851" s="362">
        <v>999</v>
      </c>
      <c r="AA3851" s="362"/>
      <c r="AB3851" s="33">
        <f t="shared" ca="1" si="101"/>
        <v>0.32269879178648808</v>
      </c>
      <c r="AC3851" s="813"/>
      <c r="AD3851" s="211" t="s">
        <v>16676</v>
      </c>
      <c r="AE3851" s="949"/>
      <c r="AF3851" s="922">
        <f>IF(X3851=X3850,AF3850,0)+IF(ISNUMBER(I3851),IF(I3851&lt;1,I3851,I3851*VLOOKUP(J3851,Summary!$H$2:$I$9,2)),VLOOKUP(J3851,Summary!$J$2:$K$9,2)*IF(ISNUMBER(H3851),H3851,1))</f>
        <v>0.44561342592592584</v>
      </c>
      <c r="AG3851" s="295">
        <v>3850</v>
      </c>
      <c r="AH3851" s="94"/>
      <c r="AI3851" s="94"/>
      <c r="AJ3851" s="3"/>
    </row>
    <row r="3852" spans="1:36" s="2" customFormat="1" ht="12" customHeight="1" x14ac:dyDescent="0.25">
      <c r="A3852" s="591" t="s">
        <v>14562</v>
      </c>
      <c r="B3852" s="591">
        <v>9</v>
      </c>
      <c r="C3852" s="591">
        <v>26</v>
      </c>
      <c r="D3852" s="176" t="s">
        <v>12835</v>
      </c>
      <c r="E3852" s="313" t="s">
        <v>12836</v>
      </c>
      <c r="F3852" s="174">
        <v>38721</v>
      </c>
      <c r="G3852" s="181"/>
      <c r="H3852" s="176">
        <v>1</v>
      </c>
      <c r="I3852" s="176">
        <v>2</v>
      </c>
      <c r="J3852" s="900" t="s">
        <v>2755</v>
      </c>
      <c r="K3852" s="164" t="s">
        <v>3451</v>
      </c>
      <c r="L3852" s="164" t="s">
        <v>3837</v>
      </c>
      <c r="M3852" s="164"/>
      <c r="N3852" s="164" t="s">
        <v>4105</v>
      </c>
      <c r="O3852" s="164"/>
      <c r="P3852" s="173" t="s">
        <v>461</v>
      </c>
      <c r="Q3852" s="164" t="s">
        <v>4104</v>
      </c>
      <c r="R3852" s="177" t="s">
        <v>10250</v>
      </c>
      <c r="S3852" s="354" t="s">
        <v>3372</v>
      </c>
      <c r="T3852" s="173"/>
      <c r="U3852" s="173"/>
      <c r="V3852" s="173"/>
      <c r="W3852" s="313" t="s">
        <v>12836</v>
      </c>
      <c r="X3852" s="645" t="s">
        <v>12342</v>
      </c>
      <c r="Y3852" s="354"/>
      <c r="Z3852" s="176"/>
      <c r="AA3852" s="176"/>
      <c r="AB3852" s="32">
        <f t="shared" ca="1" si="101"/>
        <v>0.59520330520658737</v>
      </c>
      <c r="AC3852" s="812"/>
      <c r="AD3852" s="763" t="s">
        <v>16788</v>
      </c>
      <c r="AE3852" s="977" t="s">
        <v>15860</v>
      </c>
      <c r="AF3852" s="921">
        <f>IF(X3852=X3851,AF3851,0)+IF(ISNUMBER(I3852),IF(I3852&lt;1,I3852,I3852*VLOOKUP(J3852,Summary!$H$2:$I$9,2)),VLOOKUP(J3852,Summary!$J$2:$K$9,2)*IF(ISNUMBER(H3852),H3852,1))</f>
        <v>0.44700231481481473</v>
      </c>
      <c r="AG3852" s="289">
        <v>3851</v>
      </c>
      <c r="AH3852" s="94"/>
      <c r="AI3852" s="94"/>
      <c r="AJ3852" s="3"/>
    </row>
    <row r="3853" spans="1:36" s="2" customFormat="1" ht="12" customHeight="1" x14ac:dyDescent="0.25">
      <c r="A3853" s="590" t="s">
        <v>14562</v>
      </c>
      <c r="B3853" s="590">
        <v>9</v>
      </c>
      <c r="C3853" s="590">
        <v>160</v>
      </c>
      <c r="D3853" s="424" t="s">
        <v>4965</v>
      </c>
      <c r="E3853" s="319" t="s">
        <v>4966</v>
      </c>
      <c r="F3853" s="198">
        <v>38458</v>
      </c>
      <c r="G3853" s="198">
        <v>38465</v>
      </c>
      <c r="H3853" s="199">
        <v>2</v>
      </c>
      <c r="I3853" s="791">
        <f>TIME(0,45, 2)+TIME(0,42,57)</f>
        <v>6.1099537037037036E-2</v>
      </c>
      <c r="J3853" s="904" t="s">
        <v>1588</v>
      </c>
      <c r="K3853" s="200" t="s">
        <v>3373</v>
      </c>
      <c r="L3853" s="200" t="s">
        <v>3374</v>
      </c>
      <c r="M3853" s="200"/>
      <c r="N3853" s="200" t="s">
        <v>3373</v>
      </c>
      <c r="O3853" s="200" t="s">
        <v>3375</v>
      </c>
      <c r="P3853" s="197" t="s">
        <v>461</v>
      </c>
      <c r="Q3853" s="200" t="s">
        <v>3946</v>
      </c>
      <c r="R3853" s="201" t="s">
        <v>5280</v>
      </c>
      <c r="S3853" s="390" t="s">
        <v>3372</v>
      </c>
      <c r="T3853" s="197"/>
      <c r="U3853" s="197"/>
      <c r="V3853" s="197"/>
      <c r="W3853" s="318" t="s">
        <v>8445</v>
      </c>
      <c r="X3853" s="650" t="s">
        <v>12342</v>
      </c>
      <c r="Y3853" s="358" t="s">
        <v>6141</v>
      </c>
      <c r="Z3853" s="253">
        <v>308</v>
      </c>
      <c r="AA3853" s="253">
        <v>1.5</v>
      </c>
      <c r="AB3853" s="35">
        <f t="shared" ca="1" si="101"/>
        <v>0.86068452909179183</v>
      </c>
      <c r="AC3853" s="820"/>
      <c r="AD3853" s="821" t="s">
        <v>14906</v>
      </c>
      <c r="AE3853" s="944"/>
      <c r="AF3853" s="925">
        <f>IF(X3853=X3852,AF3852,0)+IF(ISNUMBER(I3853),IF(I3853&lt;1,I3853,I3853*VLOOKUP(J3853,Summary!$H$2:$I$9,2)),VLOOKUP(J3853,Summary!$J$2:$K$9,2)*IF(ISNUMBER(H3853),H3853,1))</f>
        <v>0.50810185185185175</v>
      </c>
      <c r="AG3853" s="293">
        <v>3852</v>
      </c>
      <c r="AH3853" s="94"/>
      <c r="AI3853" s="94"/>
      <c r="AJ3853" s="3"/>
    </row>
    <row r="3854" spans="1:36" s="3" customFormat="1" ht="12" customHeight="1" x14ac:dyDescent="0.25">
      <c r="A3854" s="594" t="s">
        <v>14562</v>
      </c>
      <c r="B3854" s="594">
        <v>9</v>
      </c>
      <c r="C3854" s="594">
        <v>115</v>
      </c>
      <c r="D3854" s="185" t="s">
        <v>7516</v>
      </c>
      <c r="E3854" s="314" t="s">
        <v>4103</v>
      </c>
      <c r="F3854" s="184">
        <v>38469</v>
      </c>
      <c r="G3854" s="184">
        <v>38525</v>
      </c>
      <c r="H3854" s="185">
        <v>3</v>
      </c>
      <c r="I3854" s="185">
        <v>29</v>
      </c>
      <c r="J3854" s="901" t="s">
        <v>1796</v>
      </c>
      <c r="K3854" s="163" t="s">
        <v>6340</v>
      </c>
      <c r="L3854" s="163" t="s">
        <v>3828</v>
      </c>
      <c r="M3854" s="163"/>
      <c r="N3854" s="163" t="s">
        <v>4105</v>
      </c>
      <c r="O3854" s="163"/>
      <c r="P3854" s="182" t="s">
        <v>461</v>
      </c>
      <c r="Q3854" s="163" t="s">
        <v>4104</v>
      </c>
      <c r="R3854" s="186" t="s">
        <v>5266</v>
      </c>
      <c r="S3854" s="355" t="s">
        <v>3372</v>
      </c>
      <c r="T3854" s="182" t="s">
        <v>2605</v>
      </c>
      <c r="U3854" s="182" t="s">
        <v>2331</v>
      </c>
      <c r="V3854" s="182"/>
      <c r="W3854" s="314"/>
      <c r="X3854" s="646" t="s">
        <v>12342</v>
      </c>
      <c r="Y3854" s="355" t="s">
        <v>5464</v>
      </c>
      <c r="Z3854" s="185">
        <v>999</v>
      </c>
      <c r="AA3854" s="185"/>
      <c r="AB3854" s="33">
        <f t="shared" ca="1" si="101"/>
        <v>0.17921979490994289</v>
      </c>
      <c r="AC3854" s="813"/>
      <c r="AD3854" s="211" t="s">
        <v>15865</v>
      </c>
      <c r="AE3854" s="949"/>
      <c r="AF3854" s="922">
        <f>IF(X3854=X3853,AF3853,0)+IF(ISNUMBER(I3854),IF(I3854&lt;1,I3854,I3854*VLOOKUP(J3854,Summary!$H$2:$I$9,2)),VLOOKUP(J3854,Summary!$J$2:$K$9,2)*IF(ISNUMBER(H3854),H3854,1))</f>
        <v>0.51817129629629621</v>
      </c>
      <c r="AG3854" s="295">
        <v>3853</v>
      </c>
      <c r="AH3854" s="94"/>
      <c r="AI3854" s="94"/>
      <c r="AJ3854" s="29"/>
    </row>
    <row r="3855" spans="1:36" s="2" customFormat="1" ht="12" customHeight="1" x14ac:dyDescent="0.25">
      <c r="A3855" s="592" t="s">
        <v>14562</v>
      </c>
      <c r="B3855" s="592">
        <v>9</v>
      </c>
      <c r="C3855" s="592">
        <v>1.2</v>
      </c>
      <c r="D3855" s="407" t="s">
        <v>13023</v>
      </c>
      <c r="E3855" s="315" t="s">
        <v>13024</v>
      </c>
      <c r="F3855" s="196">
        <v>42859</v>
      </c>
      <c r="G3855" s="170"/>
      <c r="H3855" s="170">
        <v>1</v>
      </c>
      <c r="I3855" s="747">
        <f>TIME(0,60,0)</f>
        <v>4.1666666666666664E-2</v>
      </c>
      <c r="J3855" s="899" t="s">
        <v>4706</v>
      </c>
      <c r="K3855" s="167" t="s">
        <v>7797</v>
      </c>
      <c r="L3855" s="167" t="s">
        <v>12662</v>
      </c>
      <c r="M3855" s="167" t="s">
        <v>13025</v>
      </c>
      <c r="N3855" s="167"/>
      <c r="O3855" s="167"/>
      <c r="P3855" s="168" t="s">
        <v>13021</v>
      </c>
      <c r="Q3855" s="167" t="s">
        <v>3947</v>
      </c>
      <c r="R3855" s="172" t="s">
        <v>13022</v>
      </c>
      <c r="S3855" s="388" t="s">
        <v>3372</v>
      </c>
      <c r="T3855" s="168"/>
      <c r="U3855" s="168"/>
      <c r="V3855" s="168"/>
      <c r="W3855" s="312" t="s">
        <v>13024</v>
      </c>
      <c r="X3855" s="644" t="s">
        <v>12342</v>
      </c>
      <c r="Y3855" s="352"/>
      <c r="Z3855" s="353"/>
      <c r="AA3855" s="353"/>
      <c r="AB3855" s="31">
        <f t="shared" ca="1" si="101"/>
        <v>0.80730283046477658</v>
      </c>
      <c r="AC3855" s="810"/>
      <c r="AD3855" s="811" t="s">
        <v>16789</v>
      </c>
      <c r="AE3855" s="940"/>
      <c r="AF3855" s="920">
        <f>IF(X3855=X3854,AF3854,0)+IF(ISNUMBER(I3855),IF(I3855&lt;1,I3855,I3855*VLOOKUP(J3855,Summary!$H$2:$I$9,2)),VLOOKUP(J3855,Summary!$J$2:$K$9,2)*IF(ISNUMBER(H3855),H3855,1))</f>
        <v>0.55983796296296284</v>
      </c>
      <c r="AG3855" s="287">
        <v>3854</v>
      </c>
      <c r="AH3855" s="94"/>
      <c r="AI3855" s="94"/>
      <c r="AJ3855" s="7"/>
    </row>
    <row r="3856" spans="1:36" s="22" customFormat="1" ht="12" customHeight="1" x14ac:dyDescent="0.25">
      <c r="A3856" s="595" t="s">
        <v>14562</v>
      </c>
      <c r="B3856" s="595">
        <v>9</v>
      </c>
      <c r="C3856" s="595">
        <v>1</v>
      </c>
      <c r="D3856" s="417" t="s">
        <v>1892</v>
      </c>
      <c r="E3856" s="316" t="s">
        <v>4967</v>
      </c>
      <c r="F3856" s="195">
        <v>38491</v>
      </c>
      <c r="G3856" s="195"/>
      <c r="H3856" s="188" t="str">
        <f>IF(J3856="Book","n/a","")</f>
        <v>n/a</v>
      </c>
      <c r="I3856" s="188">
        <v>255</v>
      </c>
      <c r="J3856" s="902" t="s">
        <v>6868</v>
      </c>
      <c r="K3856" s="162" t="s">
        <v>543</v>
      </c>
      <c r="L3856" s="162" t="str">
        <f>IF(J3856="Book","n/a","")</f>
        <v>n/a</v>
      </c>
      <c r="M3856" s="162"/>
      <c r="N3856" s="162"/>
      <c r="O3856" s="162"/>
      <c r="P3856" s="178" t="s">
        <v>9016</v>
      </c>
      <c r="Q3856" s="162" t="s">
        <v>3953</v>
      </c>
      <c r="R3856" s="189" t="s">
        <v>2711</v>
      </c>
      <c r="S3856" s="366" t="s">
        <v>3372</v>
      </c>
      <c r="T3856" s="178"/>
      <c r="U3856" s="178"/>
      <c r="V3856" s="178"/>
      <c r="W3856" s="316" t="s">
        <v>4967</v>
      </c>
      <c r="X3856" s="648" t="s">
        <v>12342</v>
      </c>
      <c r="Y3856" s="356" t="s">
        <v>6868</v>
      </c>
      <c r="Z3856" s="272">
        <v>87</v>
      </c>
      <c r="AA3856" s="272">
        <v>6</v>
      </c>
      <c r="AB3856" s="34">
        <f t="shared" ca="1" si="101"/>
        <v>0.20583848114874659</v>
      </c>
      <c r="AC3856" s="814"/>
      <c r="AD3856" s="815" t="s">
        <v>16691</v>
      </c>
      <c r="AE3856" s="942"/>
      <c r="AF3856" s="923">
        <f>IF(X3856=X3855,AF3855,0)+IF(ISNUMBER(I3856),IF(I3856&lt;1,I3856,I3856*VLOOKUP(J3856,Summary!$H$2:$I$9,2)),VLOOKUP(J3856,Summary!$J$2:$K$9,2)*IF(ISNUMBER(H3856),H3856,1))</f>
        <v>0.73692129629629621</v>
      </c>
      <c r="AG3856" s="291">
        <v>3855</v>
      </c>
      <c r="AH3856" s="94"/>
      <c r="AI3856" s="94"/>
    </row>
    <row r="3857" spans="1:36" s="22" customFormat="1" ht="12" customHeight="1" x14ac:dyDescent="0.25">
      <c r="A3857" s="595" t="s">
        <v>14562</v>
      </c>
      <c r="B3857" s="595">
        <v>9</v>
      </c>
      <c r="C3857" s="595">
        <v>2</v>
      </c>
      <c r="D3857" s="417" t="s">
        <v>1893</v>
      </c>
      <c r="E3857" s="316" t="s">
        <v>3796</v>
      </c>
      <c r="F3857" s="195">
        <v>38491</v>
      </c>
      <c r="G3857" s="195"/>
      <c r="H3857" s="188" t="str">
        <f>IF(J3857="Book","n/a","")</f>
        <v>n/a</v>
      </c>
      <c r="I3857" s="188">
        <v>253</v>
      </c>
      <c r="J3857" s="902" t="s">
        <v>6868</v>
      </c>
      <c r="K3857" s="162" t="s">
        <v>6237</v>
      </c>
      <c r="L3857" s="162" t="str">
        <f>IF(J3857="Book","n/a","")</f>
        <v>n/a</v>
      </c>
      <c r="M3857" s="162"/>
      <c r="N3857" s="162"/>
      <c r="O3857" s="162"/>
      <c r="P3857" s="178" t="s">
        <v>9017</v>
      </c>
      <c r="Q3857" s="162" t="s">
        <v>3953</v>
      </c>
      <c r="R3857" s="189" t="s">
        <v>2711</v>
      </c>
      <c r="S3857" s="366" t="s">
        <v>3372</v>
      </c>
      <c r="T3857" s="178"/>
      <c r="U3857" s="178"/>
      <c r="V3857" s="178"/>
      <c r="W3857" s="316" t="s">
        <v>3796</v>
      </c>
      <c r="X3857" s="648" t="s">
        <v>12342</v>
      </c>
      <c r="Y3857" s="356" t="s">
        <v>6868</v>
      </c>
      <c r="Z3857" s="272">
        <v>189</v>
      </c>
      <c r="AA3857" s="272">
        <v>3.5</v>
      </c>
      <c r="AB3857" s="34">
        <f t="shared" ca="1" si="101"/>
        <v>0.92105749356656874</v>
      </c>
      <c r="AC3857" s="814"/>
      <c r="AD3857" s="871" t="s">
        <v>16209</v>
      </c>
      <c r="AE3857" s="942"/>
      <c r="AF3857" s="923">
        <f>IF(X3857=X3856,AF3856,0)+IF(ISNUMBER(I3857),IF(I3857&lt;1,I3857,I3857*VLOOKUP(J3857,Summary!$H$2:$I$9,2)),VLOOKUP(J3857,Summary!$J$2:$K$9,2)*IF(ISNUMBER(H3857),H3857,1))</f>
        <v>0.9126157407407407</v>
      </c>
      <c r="AG3857" s="291">
        <v>3856</v>
      </c>
      <c r="AH3857" s="94"/>
      <c r="AI3857" s="94"/>
    </row>
    <row r="3858" spans="1:36" s="3" customFormat="1" ht="12" customHeight="1" x14ac:dyDescent="0.25">
      <c r="A3858" s="595" t="s">
        <v>14562</v>
      </c>
      <c r="B3858" s="595">
        <v>9</v>
      </c>
      <c r="C3858" s="595">
        <v>3</v>
      </c>
      <c r="D3858" s="417" t="s">
        <v>1894</v>
      </c>
      <c r="E3858" s="316" t="s">
        <v>3797</v>
      </c>
      <c r="F3858" s="195">
        <v>38491</v>
      </c>
      <c r="G3858" s="195"/>
      <c r="H3858" s="188" t="str">
        <f>IF(J3858="Book","n/a","")</f>
        <v>n/a</v>
      </c>
      <c r="I3858" s="188">
        <v>245</v>
      </c>
      <c r="J3858" s="902" t="s">
        <v>6868</v>
      </c>
      <c r="K3858" s="162" t="s">
        <v>4552</v>
      </c>
      <c r="L3858" s="162" t="str">
        <f>IF(J3858="Book","n/a","")</f>
        <v>n/a</v>
      </c>
      <c r="M3858" s="162"/>
      <c r="N3858" s="162"/>
      <c r="O3858" s="162"/>
      <c r="P3858" s="178" t="s">
        <v>9018</v>
      </c>
      <c r="Q3858" s="162" t="s">
        <v>3953</v>
      </c>
      <c r="R3858" s="189" t="s">
        <v>2711</v>
      </c>
      <c r="S3858" s="366" t="s">
        <v>3372</v>
      </c>
      <c r="T3858" s="178"/>
      <c r="U3858" s="178"/>
      <c r="V3858" s="178"/>
      <c r="W3858" s="316" t="s">
        <v>3797</v>
      </c>
      <c r="X3858" s="648" t="s">
        <v>12342</v>
      </c>
      <c r="Y3858" s="356" t="s">
        <v>6868</v>
      </c>
      <c r="Z3858" s="272">
        <v>177</v>
      </c>
      <c r="AA3858" s="272">
        <v>3.5</v>
      </c>
      <c r="AB3858" s="34">
        <f t="shared" ca="1" si="101"/>
        <v>0.88649511250967372</v>
      </c>
      <c r="AC3858" s="814"/>
      <c r="AD3858" s="818" t="s">
        <v>14582</v>
      </c>
      <c r="AE3858" s="942"/>
      <c r="AF3858" s="923">
        <f>IF(X3858=X3857,AF3857,0)+IF(ISNUMBER(I3858),IF(I3858&lt;1,I3858,I3858*VLOOKUP(J3858,Summary!$H$2:$I$9,2)),VLOOKUP(J3858,Summary!$J$2:$K$9,2)*IF(ISNUMBER(H3858),H3858,1))</f>
        <v>1.0827546296296295</v>
      </c>
      <c r="AG3858" s="291">
        <v>3857</v>
      </c>
      <c r="AH3858" s="94"/>
      <c r="AI3858" s="94"/>
      <c r="AJ3858" s="2"/>
    </row>
    <row r="3859" spans="1:36" s="3" customFormat="1" ht="12" customHeight="1" x14ac:dyDescent="0.25">
      <c r="A3859" s="590" t="s">
        <v>14562</v>
      </c>
      <c r="B3859" s="590">
        <v>9</v>
      </c>
      <c r="C3859" s="590">
        <v>161</v>
      </c>
      <c r="D3859" s="424" t="s">
        <v>3798</v>
      </c>
      <c r="E3859" s="319" t="s">
        <v>3799</v>
      </c>
      <c r="F3859" s="198">
        <v>38472</v>
      </c>
      <c r="G3859" s="198"/>
      <c r="H3859" s="199">
        <v>1</v>
      </c>
      <c r="I3859" s="791">
        <f>TIME(0,45,19)</f>
        <v>3.1469907407407412E-2</v>
      </c>
      <c r="J3859" s="904" t="s">
        <v>1588</v>
      </c>
      <c r="K3859" s="200" t="s">
        <v>3800</v>
      </c>
      <c r="L3859" s="200" t="s">
        <v>3801</v>
      </c>
      <c r="M3859" s="200"/>
      <c r="N3859" s="200" t="s">
        <v>3373</v>
      </c>
      <c r="O3859" s="200" t="s">
        <v>3375</v>
      </c>
      <c r="P3859" s="197" t="s">
        <v>461</v>
      </c>
      <c r="Q3859" s="200" t="s">
        <v>3946</v>
      </c>
      <c r="R3859" s="201" t="s">
        <v>5280</v>
      </c>
      <c r="S3859" s="390" t="s">
        <v>3372</v>
      </c>
      <c r="T3859" s="197" t="s">
        <v>7438</v>
      </c>
      <c r="U3859" s="197"/>
      <c r="V3859" s="197"/>
      <c r="W3859" s="319" t="s">
        <v>3799</v>
      </c>
      <c r="X3859" s="651" t="s">
        <v>12342</v>
      </c>
      <c r="Y3859" s="358" t="s">
        <v>6141</v>
      </c>
      <c r="Z3859" s="253">
        <v>6</v>
      </c>
      <c r="AA3859" s="253">
        <v>10</v>
      </c>
      <c r="AB3859" s="35">
        <f t="shared" ca="1" si="101"/>
        <v>4.0546801942690225E-3</v>
      </c>
      <c r="AC3859" s="820"/>
      <c r="AD3859" s="821" t="s">
        <v>16068</v>
      </c>
      <c r="AE3859" s="967"/>
      <c r="AF3859" s="925">
        <f>IF(X3859=X3858,AF3858,0)+IF(ISNUMBER(I3859),IF(I3859&lt;1,I3859,I3859*VLOOKUP(J3859,Summary!$H$2:$I$9,2)),VLOOKUP(J3859,Summary!$J$2:$K$9,2)*IF(ISNUMBER(H3859),H3859,1))</f>
        <v>1.1142245370370369</v>
      </c>
      <c r="AG3859" s="293">
        <v>3858</v>
      </c>
      <c r="AH3859" s="94"/>
      <c r="AI3859" s="94"/>
      <c r="AJ3859" s="2"/>
    </row>
    <row r="3860" spans="1:36" s="3" customFormat="1" ht="12" customHeight="1" x14ac:dyDescent="0.25">
      <c r="A3860" s="405" t="s">
        <v>14562</v>
      </c>
      <c r="B3860" s="406" t="s">
        <v>2650</v>
      </c>
      <c r="C3860" s="405"/>
      <c r="D3860" s="407"/>
      <c r="E3860" s="315" t="s">
        <v>14194</v>
      </c>
      <c r="F3860" s="196">
        <v>38838</v>
      </c>
      <c r="G3860" s="196"/>
      <c r="H3860" s="170" t="str">
        <f>IF(J3860="Book","n/a","")</f>
        <v/>
      </c>
      <c r="I3860" s="746">
        <f>TIME(2,35,0)</f>
        <v>0.1076388888888889</v>
      </c>
      <c r="J3860" s="899" t="s">
        <v>4706</v>
      </c>
      <c r="K3860" s="167" t="s">
        <v>4549</v>
      </c>
      <c r="L3860" s="167" t="s">
        <v>3365</v>
      </c>
      <c r="M3860" s="167" t="s">
        <v>4549</v>
      </c>
      <c r="N3860" s="167"/>
      <c r="O3860" s="167" t="s">
        <v>4549</v>
      </c>
      <c r="P3860" s="168" t="s">
        <v>14195</v>
      </c>
      <c r="Q3860" s="167" t="s">
        <v>3950</v>
      </c>
      <c r="R3860" s="172" t="s">
        <v>14192</v>
      </c>
      <c r="S3860" s="388"/>
      <c r="T3860" s="168"/>
      <c r="U3860" s="168"/>
      <c r="V3860" s="168"/>
      <c r="W3860" s="312"/>
      <c r="X3860" s="644" t="s">
        <v>12342</v>
      </c>
      <c r="Y3860" s="352"/>
      <c r="Z3860" s="353"/>
      <c r="AA3860" s="353"/>
      <c r="AB3860" s="31">
        <f t="shared" ca="1" si="101"/>
        <v>0.28363692265111085</v>
      </c>
      <c r="AC3860" s="810"/>
      <c r="AD3860" s="811"/>
      <c r="AE3860" s="940"/>
      <c r="AF3860" s="920">
        <f>IF(X3860=X3859,AF3859,0)+IF(ISNUMBER(I3860),IF(I3860&lt;1,I3860,I3860*VLOOKUP(J3860,Summary!$H$2:$I$9,2)),VLOOKUP(J3860,Summary!$J$2:$K$9,2)*IF(ISNUMBER(H3860),H3860,1))</f>
        <v>1.2218634259259258</v>
      </c>
      <c r="AG3860" s="287">
        <v>3859</v>
      </c>
      <c r="AH3860" s="94"/>
      <c r="AI3860" s="94"/>
      <c r="AJ3860" s="2"/>
    </row>
    <row r="3861" spans="1:36" s="3" customFormat="1" ht="12" customHeight="1" x14ac:dyDescent="0.25">
      <c r="A3861" s="592" t="s">
        <v>14562</v>
      </c>
      <c r="B3861" s="592">
        <v>9</v>
      </c>
      <c r="C3861" s="592">
        <v>1.3</v>
      </c>
      <c r="D3861" s="407" t="s">
        <v>13026</v>
      </c>
      <c r="E3861" s="315" t="s">
        <v>11427</v>
      </c>
      <c r="F3861" s="196">
        <v>42859</v>
      </c>
      <c r="G3861" s="170"/>
      <c r="H3861" s="170">
        <v>1</v>
      </c>
      <c r="I3861" s="747">
        <f>TIME(0,60,0)</f>
        <v>4.1666666666666664E-2</v>
      </c>
      <c r="J3861" s="899" t="s">
        <v>4706</v>
      </c>
      <c r="K3861" s="167" t="s">
        <v>179</v>
      </c>
      <c r="L3861" s="167" t="s">
        <v>12662</v>
      </c>
      <c r="M3861" s="167" t="s">
        <v>13027</v>
      </c>
      <c r="N3861" s="167"/>
      <c r="O3861" s="167"/>
      <c r="P3861" s="168" t="s">
        <v>13021</v>
      </c>
      <c r="Q3861" s="167" t="s">
        <v>3947</v>
      </c>
      <c r="R3861" s="172" t="s">
        <v>13022</v>
      </c>
      <c r="S3861" s="388" t="s">
        <v>3372</v>
      </c>
      <c r="T3861" s="168" t="s">
        <v>7438</v>
      </c>
      <c r="U3861" s="168"/>
      <c r="V3861" s="168"/>
      <c r="W3861" s="312" t="s">
        <v>11427</v>
      </c>
      <c r="X3861" s="644" t="s">
        <v>12342</v>
      </c>
      <c r="Y3861" s="352"/>
      <c r="Z3861" s="353"/>
      <c r="AA3861" s="353"/>
      <c r="AB3861" s="31">
        <f t="shared" ca="1" si="101"/>
        <v>0.91510780531729552</v>
      </c>
      <c r="AC3861" s="810"/>
      <c r="AD3861" s="811" t="s">
        <v>16790</v>
      </c>
      <c r="AE3861" s="940"/>
      <c r="AF3861" s="920">
        <f>IF(X3861=X3860,AF3860,0)+IF(ISNUMBER(I3861),IF(I3861&lt;1,I3861,I3861*VLOOKUP(J3861,Summary!$H$2:$I$9,2)),VLOOKUP(J3861,Summary!$J$2:$K$9,2)*IF(ISNUMBER(H3861),H3861,1))</f>
        <v>1.2635300925925925</v>
      </c>
      <c r="AG3861" s="287">
        <v>3860</v>
      </c>
      <c r="AH3861" s="94"/>
      <c r="AI3861" s="94"/>
      <c r="AJ3861" s="2"/>
    </row>
    <row r="3862" spans="1:36" s="22" customFormat="1" ht="12" customHeight="1" x14ac:dyDescent="0.25">
      <c r="A3862" s="590" t="s">
        <v>14562</v>
      </c>
      <c r="B3862" s="590">
        <v>9</v>
      </c>
      <c r="C3862" s="590">
        <v>162</v>
      </c>
      <c r="D3862" s="424" t="s">
        <v>3802</v>
      </c>
      <c r="E3862" s="319" t="s">
        <v>3803</v>
      </c>
      <c r="F3862" s="198">
        <v>38479</v>
      </c>
      <c r="G3862" s="198"/>
      <c r="H3862" s="199">
        <v>1</v>
      </c>
      <c r="I3862" s="791">
        <f>TIME(0,44,28)</f>
        <v>3.0879629629629632E-2</v>
      </c>
      <c r="J3862" s="904" t="s">
        <v>1588</v>
      </c>
      <c r="K3862" s="200" t="s">
        <v>3373</v>
      </c>
      <c r="L3862" s="200" t="s">
        <v>3804</v>
      </c>
      <c r="M3862" s="200"/>
      <c r="N3862" s="200" t="s">
        <v>3373</v>
      </c>
      <c r="O3862" s="200" t="s">
        <v>3375</v>
      </c>
      <c r="P3862" s="197" t="s">
        <v>461</v>
      </c>
      <c r="Q3862" s="200" t="s">
        <v>3946</v>
      </c>
      <c r="R3862" s="201" t="s">
        <v>5280</v>
      </c>
      <c r="S3862" s="390" t="s">
        <v>3372</v>
      </c>
      <c r="T3862" s="197" t="s">
        <v>7438</v>
      </c>
      <c r="U3862" s="197"/>
      <c r="V3862" s="197"/>
      <c r="W3862" s="319" t="s">
        <v>3803</v>
      </c>
      <c r="X3862" s="651" t="s">
        <v>12342</v>
      </c>
      <c r="Y3862" s="358" t="s">
        <v>6141</v>
      </c>
      <c r="Z3862" s="253">
        <v>305</v>
      </c>
      <c r="AA3862" s="253">
        <v>1.5</v>
      </c>
      <c r="AB3862" s="35">
        <f t="shared" ca="1" si="101"/>
        <v>0.4663334015761339</v>
      </c>
      <c r="AC3862" s="820"/>
      <c r="AD3862" s="845" t="s">
        <v>16498</v>
      </c>
      <c r="AE3862" s="967"/>
      <c r="AF3862" s="925">
        <f>IF(X3862=X3861,AF3861,0)+IF(ISNUMBER(I3862),IF(I3862&lt;1,I3862,I3862*VLOOKUP(J3862,Summary!$H$2:$I$9,2)),VLOOKUP(J3862,Summary!$J$2:$K$9,2)*IF(ISNUMBER(H3862),H3862,1))</f>
        <v>1.2944097222222222</v>
      </c>
      <c r="AG3862" s="293">
        <v>3861</v>
      </c>
      <c r="AH3862" s="94"/>
      <c r="AI3862" s="94"/>
    </row>
    <row r="3863" spans="1:36" s="22" customFormat="1" ht="12" customHeight="1" x14ac:dyDescent="0.2">
      <c r="A3863" s="594" t="s">
        <v>14562</v>
      </c>
      <c r="B3863" s="594">
        <v>9</v>
      </c>
      <c r="C3863" s="594">
        <v>116</v>
      </c>
      <c r="D3863" s="185" t="s">
        <v>4304</v>
      </c>
      <c r="E3863" s="314" t="s">
        <v>4106</v>
      </c>
      <c r="F3863" s="184">
        <v>38553</v>
      </c>
      <c r="G3863" s="184"/>
      <c r="H3863" s="185">
        <v>1</v>
      </c>
      <c r="I3863" s="185">
        <v>10</v>
      </c>
      <c r="J3863" s="901" t="s">
        <v>1796</v>
      </c>
      <c r="K3863" s="163" t="s">
        <v>4138</v>
      </c>
      <c r="L3863" s="163" t="s">
        <v>3829</v>
      </c>
      <c r="M3863" s="163"/>
      <c r="N3863" s="163" t="s">
        <v>4105</v>
      </c>
      <c r="O3863" s="163"/>
      <c r="P3863" s="182" t="s">
        <v>461</v>
      </c>
      <c r="Q3863" s="163" t="s">
        <v>4104</v>
      </c>
      <c r="R3863" s="186" t="s">
        <v>5266</v>
      </c>
      <c r="S3863" s="355" t="s">
        <v>3372</v>
      </c>
      <c r="T3863" s="182"/>
      <c r="U3863" s="182"/>
      <c r="V3863" s="182"/>
      <c r="W3863" s="314" t="s">
        <v>4106</v>
      </c>
      <c r="X3863" s="646" t="s">
        <v>12342</v>
      </c>
      <c r="Y3863" s="355" t="s">
        <v>5464</v>
      </c>
      <c r="Z3863" s="185">
        <v>999</v>
      </c>
      <c r="AA3863" s="185"/>
      <c r="AB3863" s="33">
        <f t="shared" ca="1" si="101"/>
        <v>0.20011304510910977</v>
      </c>
      <c r="AC3863" s="813"/>
      <c r="AD3863" s="836" t="s">
        <v>16374</v>
      </c>
      <c r="AE3863" s="949" t="s">
        <v>12543</v>
      </c>
      <c r="AF3863" s="922">
        <f>IF(X3863=X3862,AF3862,0)+IF(ISNUMBER(I3863),IF(I3863&lt;1,I3863,I3863*VLOOKUP(J3863,Summary!$H$2:$I$9,2)),VLOOKUP(J3863,Summary!$J$2:$K$9,2)*IF(ISNUMBER(H3863),H3863,1))</f>
        <v>1.2978819444444445</v>
      </c>
      <c r="AG3863" s="295">
        <v>3862</v>
      </c>
      <c r="AH3863" s="94"/>
      <c r="AI3863" s="94"/>
    </row>
    <row r="3864" spans="1:36" s="22" customFormat="1" ht="12" customHeight="1" x14ac:dyDescent="0.2">
      <c r="A3864" s="594" t="s">
        <v>14562</v>
      </c>
      <c r="B3864" s="594">
        <v>9</v>
      </c>
      <c r="C3864" s="594">
        <v>117</v>
      </c>
      <c r="D3864" s="185" t="s">
        <v>4305</v>
      </c>
      <c r="E3864" s="314" t="s">
        <v>4302</v>
      </c>
      <c r="F3864" s="184">
        <v>38581</v>
      </c>
      <c r="G3864" s="184">
        <v>38665</v>
      </c>
      <c r="H3864" s="185">
        <v>4</v>
      </c>
      <c r="I3864" s="185">
        <v>37</v>
      </c>
      <c r="J3864" s="901" t="s">
        <v>1796</v>
      </c>
      <c r="K3864" s="163" t="s">
        <v>3800</v>
      </c>
      <c r="L3864" s="163" t="s">
        <v>3828</v>
      </c>
      <c r="M3864" s="163"/>
      <c r="N3864" s="163" t="s">
        <v>4105</v>
      </c>
      <c r="O3864" s="163"/>
      <c r="P3864" s="182" t="s">
        <v>461</v>
      </c>
      <c r="Q3864" s="163" t="s">
        <v>4104</v>
      </c>
      <c r="R3864" s="186" t="s">
        <v>5266</v>
      </c>
      <c r="S3864" s="355" t="s">
        <v>3372</v>
      </c>
      <c r="T3864" s="182"/>
      <c r="U3864" s="182"/>
      <c r="V3864" s="182"/>
      <c r="W3864" s="314"/>
      <c r="X3864" s="646" t="s">
        <v>12342</v>
      </c>
      <c r="Y3864" s="355" t="s">
        <v>5464</v>
      </c>
      <c r="Z3864" s="185">
        <v>999</v>
      </c>
      <c r="AA3864" s="185"/>
      <c r="AB3864" s="33">
        <f t="shared" ca="1" si="101"/>
        <v>0.77141455231428102</v>
      </c>
      <c r="AC3864" s="813"/>
      <c r="AD3864" s="836" t="s">
        <v>16113</v>
      </c>
      <c r="AE3864" s="949" t="s">
        <v>12543</v>
      </c>
      <c r="AF3864" s="922">
        <f>IF(X3864=X3863,AF3863,0)+IF(ISNUMBER(I3864),IF(I3864&lt;1,I3864,I3864*VLOOKUP(J3864,Summary!$H$2:$I$9,2)),VLOOKUP(J3864,Summary!$J$2:$K$9,2)*IF(ISNUMBER(H3864),H3864,1))</f>
        <v>1.3107291666666667</v>
      </c>
      <c r="AG3864" s="295">
        <v>3863</v>
      </c>
      <c r="AH3864" s="94"/>
      <c r="AI3864" s="94"/>
    </row>
    <row r="3865" spans="1:36" s="22" customFormat="1" ht="12" customHeight="1" x14ac:dyDescent="0.25">
      <c r="A3865" s="591" t="s">
        <v>14562</v>
      </c>
      <c r="B3865" s="591">
        <v>9</v>
      </c>
      <c r="C3865" s="591">
        <v>9</v>
      </c>
      <c r="D3865" s="176" t="s">
        <v>13291</v>
      </c>
      <c r="E3865" s="313" t="s">
        <v>13292</v>
      </c>
      <c r="F3865" s="175">
        <v>42649</v>
      </c>
      <c r="G3865" s="174"/>
      <c r="H3865" s="176">
        <v>1</v>
      </c>
      <c r="I3865" s="176">
        <v>17</v>
      </c>
      <c r="J3865" s="900" t="s">
        <v>2755</v>
      </c>
      <c r="K3865" s="164" t="s">
        <v>7375</v>
      </c>
      <c r="L3865" s="164" t="s">
        <v>12629</v>
      </c>
      <c r="M3865" s="164"/>
      <c r="N3865" s="164"/>
      <c r="O3865" s="164"/>
      <c r="P3865" s="173" t="s">
        <v>12400</v>
      </c>
      <c r="Q3865" s="164" t="s">
        <v>3953</v>
      </c>
      <c r="R3865" s="177" t="s">
        <v>13260</v>
      </c>
      <c r="S3865" s="354"/>
      <c r="T3865" s="173"/>
      <c r="U3865" s="173"/>
      <c r="V3865" s="173"/>
      <c r="W3865" s="313" t="s">
        <v>13292</v>
      </c>
      <c r="X3865" s="645" t="s">
        <v>12342</v>
      </c>
      <c r="Y3865" s="354"/>
      <c r="Z3865" s="176"/>
      <c r="AA3865" s="176"/>
      <c r="AB3865" s="32">
        <f t="shared" ca="1" si="101"/>
        <v>0.2858349327959685</v>
      </c>
      <c r="AC3865" s="812"/>
      <c r="AD3865" s="837" t="s">
        <v>16060</v>
      </c>
      <c r="AE3865" s="807"/>
      <c r="AF3865" s="921">
        <f>IF(X3865=X3864,AF3864,0)+IF(ISNUMBER(I3865),IF(I3865&lt;1,I3865,I3865*VLOOKUP(J3865,Summary!$H$2:$I$9,2)),VLOOKUP(J3865,Summary!$J$2:$K$9,2)*IF(ISNUMBER(H3865),H3865,1))</f>
        <v>1.3225347222222223</v>
      </c>
      <c r="AG3865" s="289">
        <v>3864</v>
      </c>
      <c r="AH3865" s="94"/>
      <c r="AI3865" s="94"/>
    </row>
    <row r="3866" spans="1:36" s="22" customFormat="1" ht="12" customHeight="1" x14ac:dyDescent="0.25">
      <c r="A3866" s="590" t="s">
        <v>14562</v>
      </c>
      <c r="B3866" s="590">
        <v>9</v>
      </c>
      <c r="C3866" s="590">
        <v>163</v>
      </c>
      <c r="D3866" s="424" t="s">
        <v>3805</v>
      </c>
      <c r="E3866" s="319" t="s">
        <v>3806</v>
      </c>
      <c r="F3866" s="198">
        <v>38486</v>
      </c>
      <c r="G3866" s="198"/>
      <c r="H3866" s="199">
        <v>1</v>
      </c>
      <c r="I3866" s="791">
        <f>TIME(0,42,55)</f>
        <v>2.9803240740740741E-2</v>
      </c>
      <c r="J3866" s="904" t="s">
        <v>1588</v>
      </c>
      <c r="K3866" s="200" t="s">
        <v>3807</v>
      </c>
      <c r="L3866" s="200" t="s">
        <v>3801</v>
      </c>
      <c r="M3866" s="200"/>
      <c r="N3866" s="200" t="s">
        <v>3373</v>
      </c>
      <c r="O3866" s="200" t="s">
        <v>3375</v>
      </c>
      <c r="P3866" s="197" t="s">
        <v>461</v>
      </c>
      <c r="Q3866" s="200" t="s">
        <v>3946</v>
      </c>
      <c r="R3866" s="201" t="s">
        <v>5280</v>
      </c>
      <c r="S3866" s="390" t="s">
        <v>3372</v>
      </c>
      <c r="T3866" s="197"/>
      <c r="U3866" s="197"/>
      <c r="V3866" s="197"/>
      <c r="W3866" s="319" t="s">
        <v>3806</v>
      </c>
      <c r="X3866" s="651" t="s">
        <v>12342</v>
      </c>
      <c r="Y3866" s="358" t="s">
        <v>6141</v>
      </c>
      <c r="Z3866" s="253">
        <v>79</v>
      </c>
      <c r="AA3866" s="253">
        <v>7.5</v>
      </c>
      <c r="AB3866" s="35">
        <f t="shared" ca="1" si="101"/>
        <v>0.59794175376387027</v>
      </c>
      <c r="AC3866" s="820"/>
      <c r="AD3866" s="845" t="s">
        <v>16027</v>
      </c>
      <c r="AE3866" s="967" t="s">
        <v>15093</v>
      </c>
      <c r="AF3866" s="925">
        <f>IF(X3866=X3865,AF3865,0)+IF(ISNUMBER(I3866),IF(I3866&lt;1,I3866,I3866*VLOOKUP(J3866,Summary!$H$2:$I$9,2)),VLOOKUP(J3866,Summary!$J$2:$K$9,2)*IF(ISNUMBER(H3866),H3866,1))</f>
        <v>1.352337962962963</v>
      </c>
      <c r="AG3866" s="293">
        <v>3865</v>
      </c>
      <c r="AH3866" s="94"/>
      <c r="AI3866" s="94"/>
    </row>
    <row r="3867" spans="1:36" s="22" customFormat="1" ht="12" customHeight="1" x14ac:dyDescent="0.25">
      <c r="A3867" s="591" t="s">
        <v>14562</v>
      </c>
      <c r="B3867" s="591">
        <v>9</v>
      </c>
      <c r="C3867" s="591"/>
      <c r="D3867" s="176" t="s">
        <v>3830</v>
      </c>
      <c r="E3867" s="313" t="s">
        <v>11073</v>
      </c>
      <c r="F3867" s="174">
        <v>38596</v>
      </c>
      <c r="G3867" s="181"/>
      <c r="H3867" s="176">
        <v>1</v>
      </c>
      <c r="I3867" s="176">
        <v>8</v>
      </c>
      <c r="J3867" s="900" t="s">
        <v>2755</v>
      </c>
      <c r="K3867" s="164" t="s">
        <v>3451</v>
      </c>
      <c r="L3867" s="164" t="s">
        <v>3839</v>
      </c>
      <c r="M3867" s="164"/>
      <c r="N3867" s="164" t="s">
        <v>4105</v>
      </c>
      <c r="O3867" s="164"/>
      <c r="P3867" s="173" t="s">
        <v>8623</v>
      </c>
      <c r="Q3867" s="164" t="s">
        <v>3833</v>
      </c>
      <c r="R3867" s="177" t="s">
        <v>4600</v>
      </c>
      <c r="S3867" s="354" t="s">
        <v>3372</v>
      </c>
      <c r="T3867" s="173"/>
      <c r="U3867" s="173"/>
      <c r="V3867" s="173"/>
      <c r="W3867" s="313" t="s">
        <v>11073</v>
      </c>
      <c r="X3867" s="645" t="s">
        <v>12342</v>
      </c>
      <c r="Y3867" s="354" t="s">
        <v>6868</v>
      </c>
      <c r="Z3867" s="176">
        <v>999</v>
      </c>
      <c r="AA3867" s="176"/>
      <c r="AB3867" s="32">
        <f t="shared" ca="1" si="101"/>
        <v>0.93648176699472285</v>
      </c>
      <c r="AC3867" s="812"/>
      <c r="AD3867" s="763" t="s">
        <v>16791</v>
      </c>
      <c r="AE3867" s="807"/>
      <c r="AF3867" s="921">
        <f>IF(X3867=X3866,AF3866,0)+IF(ISNUMBER(I3867),IF(I3867&lt;1,I3867,I3867*VLOOKUP(J3867,Summary!$H$2:$I$9,2)),VLOOKUP(J3867,Summary!$J$2:$K$9,2)*IF(ISNUMBER(H3867),H3867,1))</f>
        <v>1.3578935185185186</v>
      </c>
      <c r="AG3867" s="289">
        <v>3866</v>
      </c>
      <c r="AH3867" s="94"/>
      <c r="AI3867" s="94"/>
    </row>
    <row r="3868" spans="1:36" s="27" customFormat="1" ht="12" customHeight="1" x14ac:dyDescent="0.25">
      <c r="A3868" s="591" t="s">
        <v>14562</v>
      </c>
      <c r="B3868" s="591">
        <v>9</v>
      </c>
      <c r="C3868" s="591"/>
      <c r="D3868" s="176" t="s">
        <v>3830</v>
      </c>
      <c r="E3868" s="313" t="s">
        <v>3834</v>
      </c>
      <c r="F3868" s="174">
        <v>38596</v>
      </c>
      <c r="G3868" s="181"/>
      <c r="H3868" s="176">
        <v>1</v>
      </c>
      <c r="I3868" s="176">
        <v>7</v>
      </c>
      <c r="J3868" s="900" t="s">
        <v>2755</v>
      </c>
      <c r="K3868" s="164" t="s">
        <v>3807</v>
      </c>
      <c r="L3868" s="164" t="s">
        <v>3835</v>
      </c>
      <c r="M3868" s="164"/>
      <c r="N3868" s="164" t="s">
        <v>4105</v>
      </c>
      <c r="O3868" s="164"/>
      <c r="P3868" s="173" t="s">
        <v>8623</v>
      </c>
      <c r="Q3868" s="164" t="s">
        <v>3833</v>
      </c>
      <c r="R3868" s="177" t="s">
        <v>4600</v>
      </c>
      <c r="S3868" s="354" t="s">
        <v>3372</v>
      </c>
      <c r="T3868" s="173"/>
      <c r="U3868" s="173"/>
      <c r="V3868" s="173"/>
      <c r="W3868" s="313" t="s">
        <v>3834</v>
      </c>
      <c r="X3868" s="645" t="s">
        <v>12342</v>
      </c>
      <c r="Y3868" s="354" t="s">
        <v>6868</v>
      </c>
      <c r="Z3868" s="176">
        <v>999</v>
      </c>
      <c r="AA3868" s="176"/>
      <c r="AB3868" s="32">
        <f t="shared" ca="1" si="101"/>
        <v>0.6488442530613171</v>
      </c>
      <c r="AC3868" s="812"/>
      <c r="AD3868" s="763"/>
      <c r="AE3868" s="807"/>
      <c r="AF3868" s="921">
        <f>IF(X3868=X3867,AF3867,0)+IF(ISNUMBER(I3868),IF(I3868&lt;1,I3868,I3868*VLOOKUP(J3868,Summary!$H$2:$I$9,2)),VLOOKUP(J3868,Summary!$J$2:$K$9,2)*IF(ISNUMBER(H3868),H3868,1))</f>
        <v>1.3627546296296298</v>
      </c>
      <c r="AG3868" s="289">
        <v>3867</v>
      </c>
      <c r="AH3868" s="119"/>
      <c r="AI3868" s="119"/>
    </row>
    <row r="3869" spans="1:36" s="142" customFormat="1" ht="12" customHeight="1" x14ac:dyDescent="0.25">
      <c r="A3869" s="594" t="s">
        <v>14562</v>
      </c>
      <c r="B3869" s="594">
        <v>9</v>
      </c>
      <c r="C3869" s="594"/>
      <c r="D3869" s="185" t="s">
        <v>3830</v>
      </c>
      <c r="E3869" s="314" t="s">
        <v>3831</v>
      </c>
      <c r="F3869" s="184">
        <v>38596</v>
      </c>
      <c r="G3869" s="184"/>
      <c r="H3869" s="185">
        <v>1</v>
      </c>
      <c r="I3869" s="185">
        <v>8</v>
      </c>
      <c r="J3869" s="901" t="s">
        <v>1796</v>
      </c>
      <c r="K3869" s="163" t="s">
        <v>5251</v>
      </c>
      <c r="L3869" s="163" t="s">
        <v>3832</v>
      </c>
      <c r="M3869" s="163"/>
      <c r="N3869" s="163" t="s">
        <v>4105</v>
      </c>
      <c r="O3869" s="163"/>
      <c r="P3869" s="182" t="s">
        <v>8623</v>
      </c>
      <c r="Q3869" s="163" t="s">
        <v>3833</v>
      </c>
      <c r="R3869" s="186" t="s">
        <v>4600</v>
      </c>
      <c r="S3869" s="355" t="s">
        <v>3372</v>
      </c>
      <c r="T3869" s="182"/>
      <c r="U3869" s="182"/>
      <c r="V3869" s="182"/>
      <c r="W3869" s="314" t="s">
        <v>3831</v>
      </c>
      <c r="X3869" s="646" t="s">
        <v>12342</v>
      </c>
      <c r="Y3869" s="355" t="s">
        <v>6868</v>
      </c>
      <c r="Z3869" s="185">
        <v>999</v>
      </c>
      <c r="AA3869" s="185"/>
      <c r="AB3869" s="33">
        <f t="shared" ca="1" si="101"/>
        <v>0.53693683597565456</v>
      </c>
      <c r="AC3869" s="813"/>
      <c r="AD3869" s="211" t="s">
        <v>14581</v>
      </c>
      <c r="AE3869" s="949"/>
      <c r="AF3869" s="922">
        <f>IF(X3869=X3868,AF3868,0)+IF(ISNUMBER(I3869),IF(I3869&lt;1,I3869,I3869*VLOOKUP(J3869,Summary!$H$2:$I$9,2)),VLOOKUP(J3869,Summary!$J$2:$K$9,2)*IF(ISNUMBER(H3869),H3869,1))</f>
        <v>1.3655324074074076</v>
      </c>
      <c r="AG3869" s="295">
        <v>3868</v>
      </c>
      <c r="AH3869" s="94"/>
      <c r="AI3869" s="94"/>
    </row>
    <row r="3870" spans="1:36" s="22" customFormat="1" ht="12" customHeight="1" x14ac:dyDescent="0.25">
      <c r="A3870" s="591" t="s">
        <v>14562</v>
      </c>
      <c r="B3870" s="591">
        <v>9</v>
      </c>
      <c r="C3870" s="591"/>
      <c r="D3870" s="176" t="s">
        <v>3830</v>
      </c>
      <c r="E3870" s="313" t="s">
        <v>3836</v>
      </c>
      <c r="F3870" s="174">
        <v>38596</v>
      </c>
      <c r="G3870" s="181"/>
      <c r="H3870" s="176">
        <v>1</v>
      </c>
      <c r="I3870" s="176">
        <v>7</v>
      </c>
      <c r="J3870" s="900" t="s">
        <v>2755</v>
      </c>
      <c r="K3870" s="164" t="s">
        <v>3800</v>
      </c>
      <c r="L3870" s="164" t="s">
        <v>3837</v>
      </c>
      <c r="M3870" s="164"/>
      <c r="N3870" s="164" t="s">
        <v>4105</v>
      </c>
      <c r="O3870" s="164"/>
      <c r="P3870" s="173" t="s">
        <v>8623</v>
      </c>
      <c r="Q3870" s="164" t="s">
        <v>3833</v>
      </c>
      <c r="R3870" s="177" t="s">
        <v>4600</v>
      </c>
      <c r="S3870" s="354" t="s">
        <v>3372</v>
      </c>
      <c r="T3870" s="173"/>
      <c r="U3870" s="173"/>
      <c r="V3870" s="173"/>
      <c r="W3870" s="313" t="s">
        <v>3836</v>
      </c>
      <c r="X3870" s="645" t="s">
        <v>12342</v>
      </c>
      <c r="Y3870" s="354" t="s">
        <v>6868</v>
      </c>
      <c r="Z3870" s="176">
        <v>999</v>
      </c>
      <c r="AA3870" s="176"/>
      <c r="AB3870" s="32">
        <f t="shared" ca="1" si="101"/>
        <v>0.9450083392554377</v>
      </c>
      <c r="AC3870" s="812"/>
      <c r="AD3870" s="763"/>
      <c r="AE3870" s="807"/>
      <c r="AF3870" s="921">
        <f>IF(X3870=X3869,AF3869,0)+IF(ISNUMBER(I3870),IF(I3870&lt;1,I3870,I3870*VLOOKUP(J3870,Summary!$H$2:$I$9,2)),VLOOKUP(J3870,Summary!$J$2:$K$9,2)*IF(ISNUMBER(H3870),H3870,1))</f>
        <v>1.3703935185185188</v>
      </c>
      <c r="AG3870" s="289">
        <v>3869</v>
      </c>
      <c r="AH3870" s="94"/>
      <c r="AI3870" s="94"/>
    </row>
    <row r="3871" spans="1:36" s="22" customFormat="1" ht="12" customHeight="1" x14ac:dyDescent="0.2">
      <c r="A3871" s="592" t="s">
        <v>14562</v>
      </c>
      <c r="B3871" s="592">
        <v>9</v>
      </c>
      <c r="C3871" s="592">
        <v>1.4</v>
      </c>
      <c r="D3871" s="407" t="s">
        <v>13028</v>
      </c>
      <c r="E3871" s="315" t="s">
        <v>13029</v>
      </c>
      <c r="F3871" s="196">
        <v>42859</v>
      </c>
      <c r="G3871" s="170"/>
      <c r="H3871" s="170">
        <v>1</v>
      </c>
      <c r="I3871" s="747">
        <f>TIME(0,60,0)</f>
        <v>4.1666666666666664E-2</v>
      </c>
      <c r="J3871" s="899" t="s">
        <v>4706</v>
      </c>
      <c r="K3871" s="167" t="s">
        <v>1643</v>
      </c>
      <c r="L3871" s="167" t="s">
        <v>12662</v>
      </c>
      <c r="M3871" s="167" t="s">
        <v>13030</v>
      </c>
      <c r="N3871" s="167"/>
      <c r="O3871" s="167"/>
      <c r="P3871" s="168" t="s">
        <v>13021</v>
      </c>
      <c r="Q3871" s="167" t="s">
        <v>3947</v>
      </c>
      <c r="R3871" s="172" t="s">
        <v>13022</v>
      </c>
      <c r="S3871" s="388" t="s">
        <v>3372</v>
      </c>
      <c r="T3871" s="168"/>
      <c r="U3871" s="168"/>
      <c r="V3871" s="168"/>
      <c r="W3871" s="312" t="s">
        <v>13029</v>
      </c>
      <c r="X3871" s="644" t="s">
        <v>12342</v>
      </c>
      <c r="Y3871" s="352"/>
      <c r="Z3871" s="353"/>
      <c r="AA3871" s="353"/>
      <c r="AB3871" s="31">
        <f t="shared" ca="1" si="101"/>
        <v>0.42190313892030951</v>
      </c>
      <c r="AC3871" s="810"/>
      <c r="AD3871" s="811" t="s">
        <v>14582</v>
      </c>
      <c r="AE3871" s="940"/>
      <c r="AF3871" s="920">
        <f>IF(X3871=X3870,AF3870,0)+IF(ISNUMBER(I3871),IF(I3871&lt;1,I3871,I3871*VLOOKUP(J3871,Summary!$H$2:$I$9,2)),VLOOKUP(J3871,Summary!$J$2:$K$9,2)*IF(ISNUMBER(H3871),H3871,1))</f>
        <v>1.4120601851851855</v>
      </c>
      <c r="AG3871" s="287">
        <v>3870</v>
      </c>
      <c r="AH3871" s="94"/>
      <c r="AI3871" s="94"/>
    </row>
    <row r="3872" spans="1:36" s="22" customFormat="1" ht="12" customHeight="1" x14ac:dyDescent="0.2">
      <c r="A3872" s="594" t="s">
        <v>14562</v>
      </c>
      <c r="B3872" s="594">
        <v>9</v>
      </c>
      <c r="C3872" s="594">
        <v>118</v>
      </c>
      <c r="D3872" s="185" t="s">
        <v>3827</v>
      </c>
      <c r="E3872" s="314" t="s">
        <v>4303</v>
      </c>
      <c r="F3872" s="184">
        <v>38693</v>
      </c>
      <c r="G3872" s="184">
        <v>38721</v>
      </c>
      <c r="H3872" s="185">
        <v>2</v>
      </c>
      <c r="I3872" s="185">
        <v>18</v>
      </c>
      <c r="J3872" s="901" t="s">
        <v>1796</v>
      </c>
      <c r="K3872" s="163" t="s">
        <v>3451</v>
      </c>
      <c r="L3872" s="163" t="s">
        <v>3828</v>
      </c>
      <c r="M3872" s="163"/>
      <c r="N3872" s="163" t="s">
        <v>4105</v>
      </c>
      <c r="O3872" s="163"/>
      <c r="P3872" s="182" t="s">
        <v>461</v>
      </c>
      <c r="Q3872" s="163" t="s">
        <v>4104</v>
      </c>
      <c r="R3872" s="186" t="s">
        <v>5266</v>
      </c>
      <c r="S3872" s="355" t="s">
        <v>3372</v>
      </c>
      <c r="T3872" s="182"/>
      <c r="U3872" s="182"/>
      <c r="V3872" s="182"/>
      <c r="W3872" s="314"/>
      <c r="X3872" s="646" t="s">
        <v>12342</v>
      </c>
      <c r="Y3872" s="355" t="s">
        <v>5464</v>
      </c>
      <c r="Z3872" s="185">
        <v>999</v>
      </c>
      <c r="AA3872" s="185"/>
      <c r="AB3872" s="33">
        <f t="shared" ca="1" si="101"/>
        <v>0.12212562104408897</v>
      </c>
      <c r="AC3872" s="813"/>
      <c r="AD3872" s="826" t="s">
        <v>15107</v>
      </c>
      <c r="AE3872" s="949"/>
      <c r="AF3872" s="922">
        <f>IF(X3872=X3871,AF3871,0)+IF(ISNUMBER(I3872),IF(I3872&lt;1,I3872,I3872*VLOOKUP(J3872,Summary!$H$2:$I$9,2)),VLOOKUP(J3872,Summary!$J$2:$K$9,2)*IF(ISNUMBER(H3872),H3872,1))</f>
        <v>1.4183101851851856</v>
      </c>
      <c r="AG3872" s="295">
        <v>3871</v>
      </c>
      <c r="AH3872" s="94"/>
      <c r="AI3872" s="94"/>
    </row>
    <row r="3873" spans="1:36" s="2" customFormat="1" ht="12" customHeight="1" x14ac:dyDescent="0.25">
      <c r="A3873" s="594" t="s">
        <v>14562</v>
      </c>
      <c r="B3873" s="594">
        <v>9</v>
      </c>
      <c r="C3873" s="594">
        <v>9</v>
      </c>
      <c r="D3873" s="185" t="s">
        <v>8341</v>
      </c>
      <c r="E3873" s="314" t="s">
        <v>8342</v>
      </c>
      <c r="F3873" s="184">
        <v>41549</v>
      </c>
      <c r="G3873" s="184"/>
      <c r="H3873" s="185">
        <v>1</v>
      </c>
      <c r="I3873" s="185">
        <v>22</v>
      </c>
      <c r="J3873" s="901" t="s">
        <v>1796</v>
      </c>
      <c r="K3873" s="163" t="s">
        <v>8333</v>
      </c>
      <c r="L3873" s="163" t="s">
        <v>8343</v>
      </c>
      <c r="M3873" s="163"/>
      <c r="N3873" s="163" t="s">
        <v>6573</v>
      </c>
      <c r="O3873" s="163"/>
      <c r="P3873" s="182" t="s">
        <v>461</v>
      </c>
      <c r="Q3873" s="163" t="s">
        <v>5719</v>
      </c>
      <c r="R3873" s="186" t="s">
        <v>5718</v>
      </c>
      <c r="S3873" s="355" t="s">
        <v>3372</v>
      </c>
      <c r="T3873" s="182"/>
      <c r="U3873" s="182"/>
      <c r="V3873" s="182"/>
      <c r="W3873" s="314" t="s">
        <v>10153</v>
      </c>
      <c r="X3873" s="646" t="s">
        <v>12342</v>
      </c>
      <c r="Y3873" s="355" t="s">
        <v>6000</v>
      </c>
      <c r="Z3873" s="185">
        <v>999</v>
      </c>
      <c r="AA3873" s="185"/>
      <c r="AB3873" s="33">
        <f t="shared" ca="1" si="101"/>
        <v>0.27580329808412751</v>
      </c>
      <c r="AC3873" s="813"/>
      <c r="AD3873" s="211"/>
      <c r="AE3873" s="949"/>
      <c r="AF3873" s="922">
        <f>IF(X3873=X3872,AF3872,0)+IF(ISNUMBER(I3873),IF(I3873&lt;1,I3873,I3873*VLOOKUP(J3873,Summary!$H$2:$I$9,2)),VLOOKUP(J3873,Summary!$J$2:$K$9,2)*IF(ISNUMBER(H3873),H3873,1))</f>
        <v>1.4259490740740746</v>
      </c>
      <c r="AG3873" s="295">
        <v>3872</v>
      </c>
      <c r="AH3873" s="94"/>
      <c r="AI3873" s="94"/>
      <c r="AJ3873" s="43"/>
    </row>
    <row r="3874" spans="1:36" s="2" customFormat="1" ht="12" customHeight="1" x14ac:dyDescent="0.25">
      <c r="A3874" s="593" t="s">
        <v>14562</v>
      </c>
      <c r="B3874" s="593">
        <v>9</v>
      </c>
      <c r="C3874" s="593">
        <v>2</v>
      </c>
      <c r="D3874" s="192" t="s">
        <v>14491</v>
      </c>
      <c r="E3874" s="317" t="s">
        <v>14492</v>
      </c>
      <c r="F3874" s="209">
        <v>43167</v>
      </c>
      <c r="G3874" s="191"/>
      <c r="H3874" s="192">
        <v>1</v>
      </c>
      <c r="I3874" s="192"/>
      <c r="J3874" s="903" t="s">
        <v>2755</v>
      </c>
      <c r="K3874" s="194" t="s">
        <v>10100</v>
      </c>
      <c r="L3874" s="194" t="s">
        <v>14484</v>
      </c>
      <c r="M3874" s="194" t="s">
        <v>12635</v>
      </c>
      <c r="N3874" s="194"/>
      <c r="O3874" s="194"/>
      <c r="P3874" s="190" t="s">
        <v>14485</v>
      </c>
      <c r="Q3874" s="194" t="s">
        <v>3953</v>
      </c>
      <c r="R3874" s="221" t="s">
        <v>14486</v>
      </c>
      <c r="S3874" s="357" t="s">
        <v>3372</v>
      </c>
      <c r="T3874" s="190"/>
      <c r="U3874" s="190"/>
      <c r="V3874" s="190"/>
      <c r="W3874" s="317" t="s">
        <v>14492</v>
      </c>
      <c r="X3874" s="649" t="s">
        <v>12342</v>
      </c>
      <c r="Y3874" s="357"/>
      <c r="Z3874" s="192"/>
      <c r="AA3874" s="192"/>
      <c r="AB3874" s="37">
        <f t="shared" ca="1" si="101"/>
        <v>0.15426607518600643</v>
      </c>
      <c r="AC3874" s="816"/>
      <c r="AD3874" s="817"/>
      <c r="AE3874" s="943"/>
      <c r="AF3874" s="924">
        <f>IF(X3874=X3873,AF3873,0)+IF(ISNUMBER(I3874),IF(I3874&lt;1,I3874,I3874*VLOOKUP(J3874,Summary!$H$2:$I$9,2)),VLOOKUP(J3874,Summary!$J$2:$K$9,2)*IF(ISNUMBER(H3874),H3874,1))</f>
        <v>1.4433101851851857</v>
      </c>
      <c r="AG3874" s="298">
        <v>3873</v>
      </c>
      <c r="AH3874" s="94"/>
      <c r="AI3874" s="94"/>
      <c r="AJ3874" s="3"/>
    </row>
    <row r="3875" spans="1:36" s="2" customFormat="1" ht="12" customHeight="1" x14ac:dyDescent="0.25">
      <c r="A3875" s="405" t="s">
        <v>14563</v>
      </c>
      <c r="B3875" s="596" t="s">
        <v>3227</v>
      </c>
      <c r="C3875" s="597">
        <v>1.4</v>
      </c>
      <c r="D3875" s="407" t="s">
        <v>13220</v>
      </c>
      <c r="E3875" s="315" t="s">
        <v>13224</v>
      </c>
      <c r="F3875" s="196">
        <v>42892</v>
      </c>
      <c r="G3875" s="196"/>
      <c r="H3875" s="170">
        <v>1</v>
      </c>
      <c r="I3875" s="747">
        <f>TIME(0,60,0)</f>
        <v>4.1666666666666664E-2</v>
      </c>
      <c r="J3875" s="899" t="s">
        <v>4706</v>
      </c>
      <c r="K3875" s="167" t="s">
        <v>1826</v>
      </c>
      <c r="L3875" s="167" t="s">
        <v>179</v>
      </c>
      <c r="M3875" s="167"/>
      <c r="N3875" s="167"/>
      <c r="O3875" s="167" t="s">
        <v>1643</v>
      </c>
      <c r="P3875" s="168" t="s">
        <v>13216</v>
      </c>
      <c r="Q3875" s="167" t="s">
        <v>3947</v>
      </c>
      <c r="R3875" s="172" t="s">
        <v>10605</v>
      </c>
      <c r="S3875" s="388"/>
      <c r="T3875" s="168" t="s">
        <v>3068</v>
      </c>
      <c r="U3875" s="168"/>
      <c r="V3875" s="168"/>
      <c r="W3875" s="315" t="s">
        <v>13224</v>
      </c>
      <c r="X3875" s="647" t="s">
        <v>14564</v>
      </c>
      <c r="Y3875" s="352"/>
      <c r="Z3875" s="353"/>
      <c r="AA3875" s="353"/>
      <c r="AB3875" s="31">
        <f t="shared" ca="1" si="101"/>
        <v>0.46692927519846128</v>
      </c>
      <c r="AC3875" s="810"/>
      <c r="AD3875" s="811" t="s">
        <v>16792</v>
      </c>
      <c r="AE3875" s="940"/>
      <c r="AF3875" s="920">
        <f>IF(X3875=X3874,AF3874,0)+IF(ISNUMBER(I3875),IF(I3875&lt;1,I3875,I3875*VLOOKUP(J3875,Summary!$H$2:$I$9,2)),VLOOKUP(J3875,Summary!$J$2:$K$9,2)*IF(ISNUMBER(H3875),H3875,1))</f>
        <v>4.1666666666666664E-2</v>
      </c>
      <c r="AG3875" s="287">
        <v>3874</v>
      </c>
      <c r="AH3875" s="94"/>
      <c r="AI3875" s="94"/>
      <c r="AJ3875" s="3"/>
    </row>
    <row r="3876" spans="1:36" s="2" customFormat="1" ht="12" customHeight="1" x14ac:dyDescent="0.25">
      <c r="A3876" s="590" t="s">
        <v>14563</v>
      </c>
      <c r="B3876" s="590">
        <v>9</v>
      </c>
      <c r="C3876" s="590">
        <v>164</v>
      </c>
      <c r="D3876" s="424" t="s">
        <v>3808</v>
      </c>
      <c r="E3876" s="319" t="s">
        <v>3809</v>
      </c>
      <c r="F3876" s="198">
        <v>38493</v>
      </c>
      <c r="G3876" s="198">
        <v>38500</v>
      </c>
      <c r="H3876" s="199">
        <v>2</v>
      </c>
      <c r="I3876" s="791">
        <f>TIME(0,41,46)+TIME(0,42,50)</f>
        <v>5.8749999999999997E-2</v>
      </c>
      <c r="J3876" s="904" t="s">
        <v>1588</v>
      </c>
      <c r="K3876" s="200" t="s">
        <v>3810</v>
      </c>
      <c r="L3876" s="200" t="s">
        <v>3811</v>
      </c>
      <c r="M3876" s="200"/>
      <c r="N3876" s="200" t="s">
        <v>3373</v>
      </c>
      <c r="O3876" s="200" t="s">
        <v>3375</v>
      </c>
      <c r="P3876" s="197" t="s">
        <v>461</v>
      </c>
      <c r="Q3876" s="200" t="s">
        <v>3946</v>
      </c>
      <c r="R3876" s="201" t="s">
        <v>5280</v>
      </c>
      <c r="S3876" s="390" t="s">
        <v>3372</v>
      </c>
      <c r="T3876" s="197" t="s">
        <v>3068</v>
      </c>
      <c r="U3876" s="197"/>
      <c r="V3876" s="197"/>
      <c r="W3876" s="318" t="s">
        <v>8446</v>
      </c>
      <c r="X3876" s="650" t="s">
        <v>14564</v>
      </c>
      <c r="Y3876" s="358" t="s">
        <v>6141</v>
      </c>
      <c r="Z3876" s="253">
        <v>2</v>
      </c>
      <c r="AA3876" s="253">
        <v>10</v>
      </c>
      <c r="AB3876" s="35">
        <f t="shared" ca="1" si="101"/>
        <v>0.67622429954184515</v>
      </c>
      <c r="AC3876" s="820"/>
      <c r="AD3876" s="821" t="s">
        <v>16727</v>
      </c>
      <c r="AE3876" s="944"/>
      <c r="AF3876" s="925">
        <f>IF(X3876=X3875,AF3875,0)+IF(ISNUMBER(I3876),IF(I3876&lt;1,I3876,I3876*VLOOKUP(J3876,Summary!$H$2:$I$9,2)),VLOOKUP(J3876,Summary!$J$2:$K$9,2)*IF(ISNUMBER(H3876),H3876,1))</f>
        <v>0.10041666666666665</v>
      </c>
      <c r="AG3876" s="293">
        <v>3875</v>
      </c>
      <c r="AH3876" s="94"/>
      <c r="AI3876" s="94"/>
      <c r="AJ3876" s="3"/>
    </row>
    <row r="3877" spans="1:36" s="2" customFormat="1" ht="12" customHeight="1" x14ac:dyDescent="0.25">
      <c r="A3877" s="767" t="s">
        <v>14563</v>
      </c>
      <c r="B3877" s="767">
        <v>9</v>
      </c>
      <c r="C3877" s="767">
        <v>0</v>
      </c>
      <c r="D3877" s="226" t="s">
        <v>11074</v>
      </c>
      <c r="E3877" s="331" t="s">
        <v>11075</v>
      </c>
      <c r="F3877" s="233">
        <v>42095</v>
      </c>
      <c r="G3877" s="233">
        <v>42340</v>
      </c>
      <c r="H3877" s="226">
        <v>5</v>
      </c>
      <c r="I3877" s="226">
        <v>110</v>
      </c>
      <c r="J3877" s="907" t="s">
        <v>1796</v>
      </c>
      <c r="K3877" s="228" t="s">
        <v>2479</v>
      </c>
      <c r="L3877" s="228" t="s">
        <v>11076</v>
      </c>
      <c r="M3877" s="228" t="s">
        <v>11077</v>
      </c>
      <c r="N3877" s="228" t="s">
        <v>10882</v>
      </c>
      <c r="O3877" s="228"/>
      <c r="P3877" s="225" t="s">
        <v>461</v>
      </c>
      <c r="Q3877" s="228" t="s">
        <v>7076</v>
      </c>
      <c r="R3877" s="227" t="s">
        <v>10876</v>
      </c>
      <c r="S3877" s="369" t="s">
        <v>3372</v>
      </c>
      <c r="T3877" s="225" t="s">
        <v>3068</v>
      </c>
      <c r="U3877" s="225"/>
      <c r="V3877" s="225"/>
      <c r="W3877" s="331"/>
      <c r="X3877" s="663" t="s">
        <v>14564</v>
      </c>
      <c r="Y3877" s="369" t="s">
        <v>6000</v>
      </c>
      <c r="Z3877" s="226"/>
      <c r="AA3877" s="226"/>
      <c r="AB3877" s="38">
        <f t="shared" ca="1" si="101"/>
        <v>0.22436555521584955</v>
      </c>
      <c r="AC3877" s="830"/>
      <c r="AD3877" s="831"/>
      <c r="AE3877" s="963"/>
      <c r="AF3877" s="928">
        <f>IF(X3877=X3876,AF3876,0)+IF(ISNUMBER(I3877),IF(I3877&lt;1,I3877,I3877*VLOOKUP(J3877,Summary!$H$2:$I$9,2)),VLOOKUP(J3877,Summary!$J$2:$K$9,2)*IF(ISNUMBER(H3877),H3877,1))</f>
        <v>0.1386111111111111</v>
      </c>
      <c r="AG3877" s="304">
        <v>3876</v>
      </c>
      <c r="AH3877" s="94"/>
      <c r="AI3877" s="94"/>
      <c r="AJ3877" s="3"/>
    </row>
    <row r="3878" spans="1:36" s="2" customFormat="1" ht="12" customHeight="1" x14ac:dyDescent="0.25">
      <c r="A3878" s="595" t="s">
        <v>14563</v>
      </c>
      <c r="B3878" s="595">
        <v>9</v>
      </c>
      <c r="C3878" s="595">
        <v>4</v>
      </c>
      <c r="D3878" s="417" t="s">
        <v>1890</v>
      </c>
      <c r="E3878" s="316" t="s">
        <v>3812</v>
      </c>
      <c r="F3878" s="195">
        <v>38603</v>
      </c>
      <c r="G3878" s="195"/>
      <c r="H3878" s="188" t="str">
        <f>IF(J3878="Book","n/a","")</f>
        <v>n/a</v>
      </c>
      <c r="I3878" s="188">
        <v>253</v>
      </c>
      <c r="J3878" s="902" t="s">
        <v>6868</v>
      </c>
      <c r="K3878" s="162" t="s">
        <v>543</v>
      </c>
      <c r="L3878" s="162" t="str">
        <f>IF(J3878="Book","n/a","")</f>
        <v>n/a</v>
      </c>
      <c r="M3878" s="162"/>
      <c r="N3878" s="162"/>
      <c r="O3878" s="162"/>
      <c r="P3878" s="178" t="s">
        <v>9019</v>
      </c>
      <c r="Q3878" s="162" t="s">
        <v>3953</v>
      </c>
      <c r="R3878" s="189" t="s">
        <v>2711</v>
      </c>
      <c r="S3878" s="366" t="s">
        <v>3372</v>
      </c>
      <c r="T3878" s="178" t="s">
        <v>3068</v>
      </c>
      <c r="U3878" s="178"/>
      <c r="V3878" s="178"/>
      <c r="W3878" s="316" t="s">
        <v>3812</v>
      </c>
      <c r="X3878" s="648" t="s">
        <v>14564</v>
      </c>
      <c r="Y3878" s="356" t="s">
        <v>6868</v>
      </c>
      <c r="Z3878" s="272">
        <v>76</v>
      </c>
      <c r="AA3878" s="272">
        <v>6</v>
      </c>
      <c r="AB3878" s="34">
        <f t="shared" ca="1" si="101"/>
        <v>0.98942509329112049</v>
      </c>
      <c r="AC3878" s="814"/>
      <c r="AD3878" s="818" t="s">
        <v>14582</v>
      </c>
      <c r="AE3878" s="942"/>
      <c r="AF3878" s="923">
        <f>IF(X3878=X3877,AF3877,0)+IF(ISNUMBER(I3878),IF(I3878&lt;1,I3878,I3878*VLOOKUP(J3878,Summary!$H$2:$I$9,2)),VLOOKUP(J3878,Summary!$J$2:$K$9,2)*IF(ISNUMBER(H3878),H3878,1))</f>
        <v>0.31430555555555556</v>
      </c>
      <c r="AG3878" s="291">
        <v>3877</v>
      </c>
      <c r="AH3878" s="94"/>
      <c r="AI3878" s="94"/>
      <c r="AJ3878" s="3"/>
    </row>
    <row r="3879" spans="1:36" s="2" customFormat="1" ht="12" customHeight="1" x14ac:dyDescent="0.25">
      <c r="A3879" s="592" t="s">
        <v>14563</v>
      </c>
      <c r="B3879" s="592">
        <v>9</v>
      </c>
      <c r="C3879" s="592">
        <v>9</v>
      </c>
      <c r="D3879" s="407" t="s">
        <v>8320</v>
      </c>
      <c r="E3879" s="315" t="s">
        <v>8321</v>
      </c>
      <c r="F3879" s="196">
        <v>41518</v>
      </c>
      <c r="G3879" s="170"/>
      <c r="H3879" s="170">
        <v>1</v>
      </c>
      <c r="I3879" s="746">
        <f>TIME(1,19,54)</f>
        <v>5.5486111111111104E-2</v>
      </c>
      <c r="J3879" s="899" t="s">
        <v>4706</v>
      </c>
      <c r="K3879" s="167" t="s">
        <v>5146</v>
      </c>
      <c r="L3879" s="167" t="s">
        <v>6231</v>
      </c>
      <c r="M3879" s="167"/>
      <c r="N3879" s="167"/>
      <c r="O3879" s="167"/>
      <c r="P3879" s="168" t="s">
        <v>8319</v>
      </c>
      <c r="Q3879" s="167" t="s">
        <v>2096</v>
      </c>
      <c r="R3879" s="172" t="s">
        <v>2092</v>
      </c>
      <c r="S3879" s="388" t="s">
        <v>3372</v>
      </c>
      <c r="T3879" s="168" t="s">
        <v>3068</v>
      </c>
      <c r="U3879" s="168"/>
      <c r="V3879" s="168"/>
      <c r="W3879" s="312" t="s">
        <v>8321</v>
      </c>
      <c r="X3879" s="644" t="s">
        <v>14564</v>
      </c>
      <c r="Y3879" s="352" t="s">
        <v>5643</v>
      </c>
      <c r="Z3879" s="353">
        <v>485</v>
      </c>
      <c r="AA3879" s="353">
        <v>4</v>
      </c>
      <c r="AB3879" s="31">
        <f t="shared" ca="1" si="101"/>
        <v>0.51139715349040071</v>
      </c>
      <c r="AC3879" s="810"/>
      <c r="AD3879" s="811" t="s">
        <v>16793</v>
      </c>
      <c r="AE3879" s="940" t="s">
        <v>12543</v>
      </c>
      <c r="AF3879" s="920">
        <f>IF(X3879=X3878,AF3878,0)+IF(ISNUMBER(I3879),IF(I3879&lt;1,I3879,I3879*VLOOKUP(J3879,Summary!$H$2:$I$9,2)),VLOOKUP(J3879,Summary!$J$2:$K$9,2)*IF(ISNUMBER(H3879),H3879,1))</f>
        <v>0.36979166666666669</v>
      </c>
      <c r="AG3879" s="287">
        <v>3878</v>
      </c>
      <c r="AH3879" s="94"/>
      <c r="AI3879" s="94"/>
      <c r="AJ3879" s="3"/>
    </row>
    <row r="3880" spans="1:36" s="2" customFormat="1" ht="12" customHeight="1" x14ac:dyDescent="0.25">
      <c r="A3880" s="594" t="s">
        <v>14563</v>
      </c>
      <c r="B3880" s="594">
        <v>9</v>
      </c>
      <c r="C3880" s="594">
        <v>10</v>
      </c>
      <c r="D3880" s="185" t="s">
        <v>11029</v>
      </c>
      <c r="E3880" s="314" t="s">
        <v>11030</v>
      </c>
      <c r="F3880" s="184">
        <v>42497</v>
      </c>
      <c r="G3880" s="184"/>
      <c r="H3880" s="185">
        <v>1</v>
      </c>
      <c r="I3880" s="185">
        <v>7</v>
      </c>
      <c r="J3880" s="901" t="s">
        <v>1796</v>
      </c>
      <c r="K3880" s="163" t="s">
        <v>2479</v>
      </c>
      <c r="L3880" s="163" t="s">
        <v>10915</v>
      </c>
      <c r="M3880" s="163" t="s">
        <v>10936</v>
      </c>
      <c r="N3880" s="163"/>
      <c r="O3880" s="163"/>
      <c r="P3880" s="182" t="s">
        <v>461</v>
      </c>
      <c r="Q3880" s="163" t="s">
        <v>7076</v>
      </c>
      <c r="R3880" s="186" t="s">
        <v>10880</v>
      </c>
      <c r="S3880" s="355" t="s">
        <v>3372</v>
      </c>
      <c r="T3880" s="182" t="s">
        <v>3068</v>
      </c>
      <c r="U3880" s="182"/>
      <c r="V3880" s="182"/>
      <c r="W3880" s="314" t="s">
        <v>11030</v>
      </c>
      <c r="X3880" s="646" t="s">
        <v>14564</v>
      </c>
      <c r="Y3880" s="355" t="s">
        <v>6000</v>
      </c>
      <c r="Z3880" s="185"/>
      <c r="AA3880" s="185"/>
      <c r="AB3880" s="33">
        <f t="shared" ca="1" si="101"/>
        <v>0.74872237074620229</v>
      </c>
      <c r="AC3880" s="813"/>
      <c r="AD3880" s="211"/>
      <c r="AE3880" s="941"/>
      <c r="AF3880" s="922">
        <f>IF(X3880=X3879,AF3879,0)+IF(ISNUMBER(I3880),IF(I3880&lt;1,I3880,I3880*VLOOKUP(J3880,Summary!$H$2:$I$9,2)),VLOOKUP(J3880,Summary!$J$2:$K$9,2)*IF(ISNUMBER(H3880),H3880,1))</f>
        <v>0.37222222222222223</v>
      </c>
      <c r="AG3880" s="290">
        <v>3879</v>
      </c>
      <c r="AH3880" s="94"/>
      <c r="AI3880" s="94"/>
      <c r="AJ3880" s="3"/>
    </row>
    <row r="3881" spans="1:36" s="44" customFormat="1" ht="12" customHeight="1" x14ac:dyDescent="0.25">
      <c r="A3881" s="767" t="s">
        <v>14563</v>
      </c>
      <c r="B3881" s="767">
        <v>9</v>
      </c>
      <c r="C3881" s="767">
        <v>1.1000000000000001</v>
      </c>
      <c r="D3881" s="226" t="s">
        <v>11078</v>
      </c>
      <c r="E3881" s="331" t="s">
        <v>11081</v>
      </c>
      <c r="F3881" s="233">
        <v>42473</v>
      </c>
      <c r="G3881" s="233">
        <v>42550</v>
      </c>
      <c r="H3881" s="226">
        <v>3</v>
      </c>
      <c r="I3881" s="226">
        <v>60</v>
      </c>
      <c r="J3881" s="907" t="s">
        <v>1796</v>
      </c>
      <c r="K3881" s="228" t="s">
        <v>2479</v>
      </c>
      <c r="L3881" s="228" t="s">
        <v>11084</v>
      </c>
      <c r="M3881" s="228" t="s">
        <v>11085</v>
      </c>
      <c r="N3881" s="228" t="s">
        <v>10882</v>
      </c>
      <c r="O3881" s="228"/>
      <c r="P3881" s="225" t="s">
        <v>461</v>
      </c>
      <c r="Q3881" s="228" t="s">
        <v>7076</v>
      </c>
      <c r="R3881" s="227" t="s">
        <v>10876</v>
      </c>
      <c r="S3881" s="369" t="s">
        <v>3372</v>
      </c>
      <c r="T3881" s="225" t="s">
        <v>3068</v>
      </c>
      <c r="U3881" s="225"/>
      <c r="V3881" s="225"/>
      <c r="W3881" s="331"/>
      <c r="X3881" s="663" t="s">
        <v>14564</v>
      </c>
      <c r="Y3881" s="369" t="s">
        <v>6000</v>
      </c>
      <c r="Z3881" s="226"/>
      <c r="AA3881" s="226"/>
      <c r="AB3881" s="38">
        <f t="shared" ca="1" si="101"/>
        <v>0.81800470143779658</v>
      </c>
      <c r="AC3881" s="830"/>
      <c r="AD3881" s="831" t="s">
        <v>16794</v>
      </c>
      <c r="AE3881" s="963"/>
      <c r="AF3881" s="928">
        <f>IF(X3881=X3880,AF3880,0)+IF(ISNUMBER(I3881),IF(I3881&lt;1,I3881,I3881*VLOOKUP(J3881,Summary!$H$2:$I$9,2)),VLOOKUP(J3881,Summary!$J$2:$K$9,2)*IF(ISNUMBER(H3881),H3881,1))</f>
        <v>0.39305555555555555</v>
      </c>
      <c r="AG3881" s="304">
        <v>3880</v>
      </c>
      <c r="AH3881" s="94"/>
      <c r="AI3881" s="94"/>
    </row>
    <row r="3882" spans="1:36" s="2" customFormat="1" ht="12" customHeight="1" x14ac:dyDescent="0.25">
      <c r="A3882" s="594" t="s">
        <v>14563</v>
      </c>
      <c r="B3882" s="594">
        <v>9</v>
      </c>
      <c r="C3882" s="594">
        <v>1.2</v>
      </c>
      <c r="D3882" s="185" t="s">
        <v>11079</v>
      </c>
      <c r="E3882" s="314" t="s">
        <v>11082</v>
      </c>
      <c r="F3882" s="184">
        <v>42592</v>
      </c>
      <c r="G3882" s="184"/>
      <c r="H3882" s="185">
        <v>2</v>
      </c>
      <c r="I3882" s="185">
        <v>42</v>
      </c>
      <c r="J3882" s="901" t="s">
        <v>1796</v>
      </c>
      <c r="K3882" s="163" t="s">
        <v>2479</v>
      </c>
      <c r="L3882" s="163" t="s">
        <v>11086</v>
      </c>
      <c r="M3882" s="163" t="s">
        <v>11087</v>
      </c>
      <c r="N3882" s="163" t="s">
        <v>10882</v>
      </c>
      <c r="O3882" s="163"/>
      <c r="P3882" s="182" t="s">
        <v>461</v>
      </c>
      <c r="Q3882" s="163" t="s">
        <v>7076</v>
      </c>
      <c r="R3882" s="186" t="s">
        <v>10876</v>
      </c>
      <c r="S3882" s="355" t="s">
        <v>3372</v>
      </c>
      <c r="T3882" s="182" t="s">
        <v>3068</v>
      </c>
      <c r="U3882" s="182" t="s">
        <v>3073</v>
      </c>
      <c r="V3882" s="182" t="s">
        <v>3069</v>
      </c>
      <c r="W3882" s="314"/>
      <c r="X3882" s="646" t="s">
        <v>14564</v>
      </c>
      <c r="Y3882" s="355" t="s">
        <v>6000</v>
      </c>
      <c r="Z3882" s="185"/>
      <c r="AA3882" s="185"/>
      <c r="AB3882" s="33">
        <f t="shared" ca="1" si="101"/>
        <v>0.7989865612433148</v>
      </c>
      <c r="AC3882" s="813"/>
      <c r="AD3882" s="211" t="s">
        <v>16795</v>
      </c>
      <c r="AE3882" s="941"/>
      <c r="AF3882" s="922">
        <f>IF(X3882=X3881,AF3881,0)+IF(ISNUMBER(I3882),IF(I3882&lt;1,I3882,I3882*VLOOKUP(J3882,Summary!$H$2:$I$9,2)),VLOOKUP(J3882,Summary!$J$2:$K$9,2)*IF(ISNUMBER(H3882),H3882,1))</f>
        <v>0.40763888888888888</v>
      </c>
      <c r="AG3882" s="290">
        <v>3881</v>
      </c>
      <c r="AH3882" s="94"/>
      <c r="AI3882" s="94"/>
      <c r="AJ3882" s="43"/>
    </row>
    <row r="3883" spans="1:36" s="2" customFormat="1" ht="12" customHeight="1" x14ac:dyDescent="0.25">
      <c r="A3883" s="767" t="s">
        <v>14563</v>
      </c>
      <c r="B3883" s="767">
        <v>9</v>
      </c>
      <c r="C3883" s="767">
        <v>1.3</v>
      </c>
      <c r="D3883" s="226" t="s">
        <v>11080</v>
      </c>
      <c r="E3883" s="331" t="s">
        <v>11083</v>
      </c>
      <c r="F3883" s="233">
        <v>42648</v>
      </c>
      <c r="G3883" s="233">
        <v>42725</v>
      </c>
      <c r="H3883" s="226">
        <v>3</v>
      </c>
      <c r="I3883" s="226">
        <v>60</v>
      </c>
      <c r="J3883" s="907" t="s">
        <v>1796</v>
      </c>
      <c r="K3883" s="228" t="s">
        <v>2479</v>
      </c>
      <c r="L3883" s="228" t="s">
        <v>11084</v>
      </c>
      <c r="M3883" s="228" t="s">
        <v>11087</v>
      </c>
      <c r="N3883" s="228" t="s">
        <v>10882</v>
      </c>
      <c r="O3883" s="228"/>
      <c r="P3883" s="225" t="s">
        <v>461</v>
      </c>
      <c r="Q3883" s="228" t="s">
        <v>7076</v>
      </c>
      <c r="R3883" s="227" t="s">
        <v>10876</v>
      </c>
      <c r="S3883" s="369" t="s">
        <v>3372</v>
      </c>
      <c r="T3883" s="225" t="s">
        <v>3068</v>
      </c>
      <c r="U3883" s="225" t="s">
        <v>2597</v>
      </c>
      <c r="V3883" s="225" t="s">
        <v>11088</v>
      </c>
      <c r="W3883" s="331"/>
      <c r="X3883" s="663" t="s">
        <v>14564</v>
      </c>
      <c r="Y3883" s="369"/>
      <c r="Z3883" s="226"/>
      <c r="AA3883" s="226"/>
      <c r="AB3883" s="38">
        <f t="shared" ca="1" si="101"/>
        <v>9.2477870158364728E-2</v>
      </c>
      <c r="AC3883" s="830"/>
      <c r="AD3883" s="831" t="s">
        <v>16796</v>
      </c>
      <c r="AE3883" s="963" t="s">
        <v>12543</v>
      </c>
      <c r="AF3883" s="928">
        <f>IF(X3883=X3882,AF3882,0)+IF(ISNUMBER(I3883),IF(I3883&lt;1,I3883,I3883*VLOOKUP(J3883,Summary!$H$2:$I$9,2)),VLOOKUP(J3883,Summary!$J$2:$K$9,2)*IF(ISNUMBER(H3883),H3883,1))</f>
        <v>0.4284722222222222</v>
      </c>
      <c r="AG3883" s="304">
        <v>3882</v>
      </c>
      <c r="AH3883" s="94"/>
      <c r="AI3883" s="94"/>
      <c r="AJ3883" s="3"/>
    </row>
    <row r="3884" spans="1:36" s="2" customFormat="1" ht="12" customHeight="1" x14ac:dyDescent="0.25">
      <c r="A3884" s="594" t="s">
        <v>14563</v>
      </c>
      <c r="B3884" s="594">
        <v>9</v>
      </c>
      <c r="C3884" s="594">
        <v>1.4</v>
      </c>
      <c r="D3884" s="185" t="s">
        <v>13040</v>
      </c>
      <c r="E3884" s="314" t="s">
        <v>13041</v>
      </c>
      <c r="F3884" s="184">
        <v>42753</v>
      </c>
      <c r="G3884" s="184">
        <v>42795</v>
      </c>
      <c r="H3884" s="185">
        <v>2</v>
      </c>
      <c r="I3884" s="185">
        <v>42</v>
      </c>
      <c r="J3884" s="901" t="s">
        <v>1796</v>
      </c>
      <c r="K3884" s="163" t="s">
        <v>2479</v>
      </c>
      <c r="L3884" s="163" t="s">
        <v>11084</v>
      </c>
      <c r="M3884" s="163" t="s">
        <v>11087</v>
      </c>
      <c r="N3884" s="163" t="s">
        <v>10882</v>
      </c>
      <c r="O3884" s="163"/>
      <c r="P3884" s="182" t="s">
        <v>461</v>
      </c>
      <c r="Q3884" s="163" t="s">
        <v>7076</v>
      </c>
      <c r="R3884" s="186" t="s">
        <v>10876</v>
      </c>
      <c r="S3884" s="355" t="s">
        <v>3372</v>
      </c>
      <c r="T3884" s="182" t="s">
        <v>3068</v>
      </c>
      <c r="U3884" s="182" t="s">
        <v>13042</v>
      </c>
      <c r="V3884" s="182"/>
      <c r="W3884" s="314"/>
      <c r="X3884" s="646" t="s">
        <v>14564</v>
      </c>
      <c r="Y3884" s="355"/>
      <c r="Z3884" s="185"/>
      <c r="AA3884" s="185"/>
      <c r="AB3884" s="33">
        <f t="shared" ca="1" si="101"/>
        <v>0.67664576111198538</v>
      </c>
      <c r="AC3884" s="813"/>
      <c r="AD3884" s="211" t="s">
        <v>16797</v>
      </c>
      <c r="AE3884" s="941"/>
      <c r="AF3884" s="922">
        <f>IF(X3884=X3883,AF3883,0)+IF(ISNUMBER(I3884),IF(I3884&lt;1,I3884,I3884*VLOOKUP(J3884,Summary!$H$2:$I$9,2)),VLOOKUP(J3884,Summary!$J$2:$K$9,2)*IF(ISNUMBER(H3884),H3884,1))</f>
        <v>0.44305555555555554</v>
      </c>
      <c r="AG3884" s="290">
        <v>3883</v>
      </c>
      <c r="AH3884" s="94"/>
      <c r="AI3884" s="94"/>
      <c r="AJ3884" s="3"/>
    </row>
    <row r="3885" spans="1:36" s="2" customFormat="1" ht="12" customHeight="1" x14ac:dyDescent="0.25">
      <c r="A3885" s="591" t="s">
        <v>14563</v>
      </c>
      <c r="B3885" s="591">
        <v>9</v>
      </c>
      <c r="C3885" s="591"/>
      <c r="D3885" s="176"/>
      <c r="E3885" s="313" t="s">
        <v>13050</v>
      </c>
      <c r="F3885" s="175">
        <v>42728</v>
      </c>
      <c r="G3885" s="181"/>
      <c r="H3885" s="176">
        <v>1</v>
      </c>
      <c r="I3885" s="176">
        <v>8</v>
      </c>
      <c r="J3885" s="900" t="s">
        <v>2755</v>
      </c>
      <c r="K3885" s="164" t="s">
        <v>2479</v>
      </c>
      <c r="L3885" s="164"/>
      <c r="M3885" s="164"/>
      <c r="N3885" s="164"/>
      <c r="O3885" s="164"/>
      <c r="P3885" s="173"/>
      <c r="Q3885" s="164" t="s">
        <v>7076</v>
      </c>
      <c r="R3885" s="177" t="s">
        <v>7896</v>
      </c>
      <c r="S3885" s="354" t="s">
        <v>3372</v>
      </c>
      <c r="T3885" s="173"/>
      <c r="U3885" s="173"/>
      <c r="V3885" s="173"/>
      <c r="W3885" s="313" t="s">
        <v>13050</v>
      </c>
      <c r="X3885" s="645" t="s">
        <v>14564</v>
      </c>
      <c r="Y3885" s="354" t="s">
        <v>4707</v>
      </c>
      <c r="Z3885" s="176"/>
      <c r="AA3885" s="176"/>
      <c r="AB3885" s="32">
        <f t="shared" ca="1" si="101"/>
        <v>0.52675887215512318</v>
      </c>
      <c r="AC3885" s="812"/>
      <c r="AD3885" s="763"/>
      <c r="AE3885" s="807"/>
      <c r="AF3885" s="921">
        <f>IF(X3885=X3884,AF3884,0)+IF(ISNUMBER(I3885),IF(I3885&lt;1,I3885,I3885*VLOOKUP(J3885,Summary!$H$2:$I$9,2)),VLOOKUP(J3885,Summary!$J$2:$K$9,2)*IF(ISNUMBER(H3885),H3885,1))</f>
        <v>0.44861111111111107</v>
      </c>
      <c r="AG3885" s="289">
        <v>3884</v>
      </c>
      <c r="AH3885" s="94"/>
      <c r="AI3885" s="94"/>
      <c r="AJ3885" s="3"/>
    </row>
    <row r="3886" spans="1:36" s="2" customFormat="1" ht="12" customHeight="1" x14ac:dyDescent="0.25">
      <c r="A3886" s="594" t="s">
        <v>14563</v>
      </c>
      <c r="B3886" s="594">
        <v>9</v>
      </c>
      <c r="C3886" s="594">
        <v>1.5</v>
      </c>
      <c r="D3886" s="185" t="s">
        <v>13043</v>
      </c>
      <c r="E3886" s="314" t="s">
        <v>13044</v>
      </c>
      <c r="F3886" s="184">
        <v>42823</v>
      </c>
      <c r="G3886" s="184">
        <v>42851</v>
      </c>
      <c r="H3886" s="185">
        <v>2</v>
      </c>
      <c r="I3886" s="185">
        <v>40</v>
      </c>
      <c r="J3886" s="901" t="s">
        <v>1796</v>
      </c>
      <c r="K3886" s="163" t="s">
        <v>2479</v>
      </c>
      <c r="L3886" s="163" t="s">
        <v>11086</v>
      </c>
      <c r="M3886" s="163" t="s">
        <v>11087</v>
      </c>
      <c r="N3886" s="163"/>
      <c r="O3886" s="163"/>
      <c r="P3886" s="182" t="s">
        <v>461</v>
      </c>
      <c r="Q3886" s="163" t="s">
        <v>7076</v>
      </c>
      <c r="R3886" s="186" t="s">
        <v>10876</v>
      </c>
      <c r="S3886" s="355" t="s">
        <v>3372</v>
      </c>
      <c r="T3886" s="182"/>
      <c r="U3886" s="182" t="s">
        <v>13042</v>
      </c>
      <c r="V3886" s="182"/>
      <c r="W3886" s="314"/>
      <c r="X3886" s="646" t="s">
        <v>14564</v>
      </c>
      <c r="Y3886" s="355"/>
      <c r="Z3886" s="185"/>
      <c r="AA3886" s="185"/>
      <c r="AB3886" s="33">
        <f t="shared" ca="1" si="101"/>
        <v>0.32404590501273434</v>
      </c>
      <c r="AC3886" s="813"/>
      <c r="AD3886" s="211" t="s">
        <v>16799</v>
      </c>
      <c r="AE3886" s="941"/>
      <c r="AF3886" s="922">
        <f>IF(X3886=X3885,AF3885,0)+IF(ISNUMBER(I3886),IF(I3886&lt;1,I3886,I3886*VLOOKUP(J3886,Summary!$H$2:$I$9,2)),VLOOKUP(J3886,Summary!$J$2:$K$9,2)*IF(ISNUMBER(H3886),H3886,1))</f>
        <v>0.46249999999999997</v>
      </c>
      <c r="AG3886" s="290">
        <v>3885</v>
      </c>
      <c r="AH3886" s="94"/>
      <c r="AI3886" s="94"/>
      <c r="AJ3886" s="43"/>
    </row>
    <row r="3887" spans="1:36" s="2" customFormat="1" ht="12" customHeight="1" x14ac:dyDescent="0.25">
      <c r="A3887" s="594" t="s">
        <v>14563</v>
      </c>
      <c r="B3887" s="594">
        <v>9</v>
      </c>
      <c r="C3887" s="594">
        <v>1.6</v>
      </c>
      <c r="D3887" s="185" t="s">
        <v>13045</v>
      </c>
      <c r="E3887" s="314" t="s">
        <v>13046</v>
      </c>
      <c r="F3887" s="184">
        <v>42886</v>
      </c>
      <c r="G3887" s="184"/>
      <c r="H3887" s="185">
        <v>1</v>
      </c>
      <c r="I3887" s="185">
        <v>20</v>
      </c>
      <c r="J3887" s="901" t="s">
        <v>1796</v>
      </c>
      <c r="K3887" s="163" t="s">
        <v>2479</v>
      </c>
      <c r="L3887" s="163" t="s">
        <v>11086</v>
      </c>
      <c r="M3887" s="163" t="s">
        <v>11087</v>
      </c>
      <c r="N3887" s="163"/>
      <c r="O3887" s="163"/>
      <c r="P3887" s="182" t="s">
        <v>461</v>
      </c>
      <c r="Q3887" s="163" t="s">
        <v>7076</v>
      </c>
      <c r="R3887" s="186" t="s">
        <v>10876</v>
      </c>
      <c r="S3887" s="355" t="s">
        <v>3372</v>
      </c>
      <c r="T3887" s="182" t="s">
        <v>3068</v>
      </c>
      <c r="U3887" s="182"/>
      <c r="V3887" s="182"/>
      <c r="W3887" s="314"/>
      <c r="X3887" s="646" t="s">
        <v>14564</v>
      </c>
      <c r="Y3887" s="355"/>
      <c r="Z3887" s="185"/>
      <c r="AA3887" s="185"/>
      <c r="AB3887" s="33">
        <f t="shared" ca="1" si="101"/>
        <v>0.96303280805492331</v>
      </c>
      <c r="AC3887" s="813"/>
      <c r="AD3887" s="211" t="s">
        <v>16798</v>
      </c>
      <c r="AE3887" s="941"/>
      <c r="AF3887" s="922">
        <f>IF(X3887=X3886,AF3886,0)+IF(ISNUMBER(I3887),IF(I3887&lt;1,I3887,I3887*VLOOKUP(J3887,Summary!$H$2:$I$9,2)),VLOOKUP(J3887,Summary!$J$2:$K$9,2)*IF(ISNUMBER(H3887),H3887,1))</f>
        <v>0.46944444444444439</v>
      </c>
      <c r="AG3887" s="290">
        <v>3886</v>
      </c>
      <c r="AH3887" s="94"/>
      <c r="AI3887" s="94"/>
      <c r="AJ3887" s="3"/>
    </row>
    <row r="3888" spans="1:36" s="2" customFormat="1" ht="12" customHeight="1" x14ac:dyDescent="0.25">
      <c r="A3888" s="594" t="s">
        <v>14563</v>
      </c>
      <c r="B3888" s="594">
        <v>9</v>
      </c>
      <c r="C3888" s="594">
        <v>1.7</v>
      </c>
      <c r="D3888" s="185" t="s">
        <v>13047</v>
      </c>
      <c r="E3888" s="314" t="s">
        <v>13048</v>
      </c>
      <c r="F3888" s="184">
        <v>42942</v>
      </c>
      <c r="G3888" s="184">
        <v>42956</v>
      </c>
      <c r="H3888" s="185">
        <v>2</v>
      </c>
      <c r="I3888" s="185">
        <v>45</v>
      </c>
      <c r="J3888" s="901" t="s">
        <v>1796</v>
      </c>
      <c r="K3888" s="163" t="s">
        <v>2479</v>
      </c>
      <c r="L3888" s="163" t="s">
        <v>13049</v>
      </c>
      <c r="M3888" s="163" t="s">
        <v>11087</v>
      </c>
      <c r="N3888" s="163"/>
      <c r="O3888" s="163"/>
      <c r="P3888" s="182" t="s">
        <v>461</v>
      </c>
      <c r="Q3888" s="163" t="s">
        <v>7076</v>
      </c>
      <c r="R3888" s="186" t="s">
        <v>10876</v>
      </c>
      <c r="S3888" s="355" t="s">
        <v>3372</v>
      </c>
      <c r="T3888" s="182" t="s">
        <v>3068</v>
      </c>
      <c r="U3888" s="182" t="s">
        <v>13042</v>
      </c>
      <c r="V3888" s="182"/>
      <c r="W3888" s="314"/>
      <c r="X3888" s="646" t="s">
        <v>14564</v>
      </c>
      <c r="Y3888" s="355"/>
      <c r="Z3888" s="185"/>
      <c r="AA3888" s="185"/>
      <c r="AB3888" s="33">
        <f t="shared" ca="1" si="101"/>
        <v>0.54994801481428202</v>
      </c>
      <c r="AC3888" s="813"/>
      <c r="AD3888" s="211" t="s">
        <v>16798</v>
      </c>
      <c r="AE3888" s="941"/>
      <c r="AF3888" s="922">
        <f>IF(X3888=X3887,AF3887,0)+IF(ISNUMBER(I3888),IF(I3888&lt;1,I3888,I3888*VLOOKUP(J3888,Summary!$H$2:$I$9,2)),VLOOKUP(J3888,Summary!$J$2:$K$9,2)*IF(ISNUMBER(H3888),H3888,1))</f>
        <v>0.48506944444444439</v>
      </c>
      <c r="AG3888" s="290">
        <v>3887</v>
      </c>
      <c r="AH3888" s="94"/>
      <c r="AI3888" s="94"/>
      <c r="AJ3888" s="3"/>
    </row>
    <row r="3889" spans="1:36" s="2" customFormat="1" ht="12" customHeight="1" x14ac:dyDescent="0.25">
      <c r="A3889" s="595" t="s">
        <v>14563</v>
      </c>
      <c r="B3889" s="595">
        <v>9</v>
      </c>
      <c r="C3889" s="595">
        <v>5</v>
      </c>
      <c r="D3889" s="417" t="s">
        <v>1889</v>
      </c>
      <c r="E3889" s="316" t="s">
        <v>3813</v>
      </c>
      <c r="F3889" s="195">
        <v>38603</v>
      </c>
      <c r="G3889" s="195"/>
      <c r="H3889" s="188" t="str">
        <f>IF(J3889="Book","n/a","")</f>
        <v>n/a</v>
      </c>
      <c r="I3889" s="188">
        <v>254</v>
      </c>
      <c r="J3889" s="902" t="s">
        <v>6868</v>
      </c>
      <c r="K3889" s="162" t="s">
        <v>3451</v>
      </c>
      <c r="L3889" s="162" t="str">
        <f>IF(J3889="Book","n/a","")</f>
        <v>n/a</v>
      </c>
      <c r="M3889" s="162"/>
      <c r="N3889" s="162"/>
      <c r="O3889" s="162"/>
      <c r="P3889" s="178" t="s">
        <v>9020</v>
      </c>
      <c r="Q3889" s="162" t="s">
        <v>3953</v>
      </c>
      <c r="R3889" s="189" t="s">
        <v>2711</v>
      </c>
      <c r="S3889" s="366" t="s">
        <v>3372</v>
      </c>
      <c r="T3889" s="178" t="s">
        <v>3068</v>
      </c>
      <c r="U3889" s="178"/>
      <c r="V3889" s="178"/>
      <c r="W3889" s="316" t="s">
        <v>3813</v>
      </c>
      <c r="X3889" s="648" t="s">
        <v>14564</v>
      </c>
      <c r="Y3889" s="356" t="s">
        <v>6868</v>
      </c>
      <c r="Z3889" s="272">
        <v>8</v>
      </c>
      <c r="AA3889" s="272">
        <v>9.5</v>
      </c>
      <c r="AB3889" s="34">
        <f t="shared" ca="1" si="101"/>
        <v>0.88463326228920003</v>
      </c>
      <c r="AC3889" s="814"/>
      <c r="AD3889" s="818" t="s">
        <v>16509</v>
      </c>
      <c r="AE3889" s="942"/>
      <c r="AF3889" s="923">
        <f>IF(X3889=X3888,AF3888,0)+IF(ISNUMBER(I3889),IF(I3889&lt;1,I3889,I3889*VLOOKUP(J3889,Summary!$H$2:$I$9,2)),VLOOKUP(J3889,Summary!$J$2:$K$9,2)*IF(ISNUMBER(H3889),H3889,1))</f>
        <v>0.66145833333333326</v>
      </c>
      <c r="AG3889" s="291">
        <v>3888</v>
      </c>
      <c r="AH3889" s="94"/>
      <c r="AI3889" s="94"/>
      <c r="AJ3889" s="3"/>
    </row>
    <row r="3890" spans="1:36" s="29" customFormat="1" ht="12" customHeight="1" x14ac:dyDescent="0.25">
      <c r="A3890" s="590" t="s">
        <v>14563</v>
      </c>
      <c r="B3890" s="590">
        <v>9</v>
      </c>
      <c r="C3890" s="590">
        <v>165</v>
      </c>
      <c r="D3890" s="424" t="s">
        <v>3814</v>
      </c>
      <c r="E3890" s="319" t="s">
        <v>3815</v>
      </c>
      <c r="F3890" s="198">
        <v>38507</v>
      </c>
      <c r="G3890" s="198"/>
      <c r="H3890" s="199">
        <v>1</v>
      </c>
      <c r="I3890" s="791">
        <f>TIME(0,43,18)</f>
        <v>3.006944444444444E-2</v>
      </c>
      <c r="J3890" s="904" t="s">
        <v>1588</v>
      </c>
      <c r="K3890" s="200" t="s">
        <v>3373</v>
      </c>
      <c r="L3890" s="200" t="s">
        <v>3801</v>
      </c>
      <c r="M3890" s="200"/>
      <c r="N3890" s="200" t="s">
        <v>3373</v>
      </c>
      <c r="O3890" s="200" t="s">
        <v>3375</v>
      </c>
      <c r="P3890" s="197" t="s">
        <v>461</v>
      </c>
      <c r="Q3890" s="200" t="s">
        <v>3946</v>
      </c>
      <c r="R3890" s="201" t="s">
        <v>5280</v>
      </c>
      <c r="S3890" s="390" t="s">
        <v>3372</v>
      </c>
      <c r="T3890" s="197" t="s">
        <v>3068</v>
      </c>
      <c r="U3890" s="197"/>
      <c r="V3890" s="197"/>
      <c r="W3890" s="319" t="s">
        <v>3815</v>
      </c>
      <c r="X3890" s="651" t="s">
        <v>14564</v>
      </c>
      <c r="Y3890" s="358" t="s">
        <v>6141</v>
      </c>
      <c r="Z3890" s="253">
        <v>231</v>
      </c>
      <c r="AA3890" s="253">
        <v>4</v>
      </c>
      <c r="AB3890" s="35">
        <f t="shared" ca="1" si="101"/>
        <v>0.42459343865073529</v>
      </c>
      <c r="AC3890" s="820"/>
      <c r="AD3890" s="824" t="s">
        <v>14907</v>
      </c>
      <c r="AE3890" s="967"/>
      <c r="AF3890" s="925">
        <f>IF(X3890=X3889,AF3889,0)+IF(ISNUMBER(I3890),IF(I3890&lt;1,I3890,I3890*VLOOKUP(J3890,Summary!$H$2:$I$9,2)),VLOOKUP(J3890,Summary!$J$2:$K$9,2)*IF(ISNUMBER(H3890),H3890,1))</f>
        <v>0.69152777777777774</v>
      </c>
      <c r="AG3890" s="293">
        <v>3889</v>
      </c>
      <c r="AH3890" s="94"/>
      <c r="AI3890" s="94"/>
      <c r="AJ3890" s="2"/>
    </row>
    <row r="3891" spans="1:36" s="2" customFormat="1" ht="12" customHeight="1" x14ac:dyDescent="0.25">
      <c r="A3891" s="595" t="s">
        <v>14563</v>
      </c>
      <c r="B3891" s="595">
        <v>9</v>
      </c>
      <c r="C3891" s="595">
        <v>6</v>
      </c>
      <c r="D3891" s="417" t="s">
        <v>1891</v>
      </c>
      <c r="E3891" s="316" t="s">
        <v>3816</v>
      </c>
      <c r="F3891" s="195">
        <v>38603</v>
      </c>
      <c r="G3891" s="195"/>
      <c r="H3891" s="188" t="str">
        <f>IF(J3891="Book","n/a","")</f>
        <v>n/a</v>
      </c>
      <c r="I3891" s="188">
        <v>245</v>
      </c>
      <c r="J3891" s="902" t="s">
        <v>6868</v>
      </c>
      <c r="K3891" s="162" t="s">
        <v>176</v>
      </c>
      <c r="L3891" s="162" t="str">
        <f>IF(J3891="Book","n/a","")</f>
        <v>n/a</v>
      </c>
      <c r="M3891" s="162"/>
      <c r="N3891" s="162"/>
      <c r="O3891" s="162"/>
      <c r="P3891" s="178" t="s">
        <v>9021</v>
      </c>
      <c r="Q3891" s="162" t="s">
        <v>3953</v>
      </c>
      <c r="R3891" s="189" t="s">
        <v>2711</v>
      </c>
      <c r="S3891" s="366" t="s">
        <v>3372</v>
      </c>
      <c r="T3891" s="178" t="s">
        <v>3068</v>
      </c>
      <c r="U3891" s="178"/>
      <c r="V3891" s="178"/>
      <c r="W3891" s="316" t="s">
        <v>3816</v>
      </c>
      <c r="X3891" s="648" t="s">
        <v>14564</v>
      </c>
      <c r="Y3891" s="356" t="s">
        <v>6868</v>
      </c>
      <c r="Z3891" s="272">
        <v>198</v>
      </c>
      <c r="AA3891" s="272">
        <v>3</v>
      </c>
      <c r="AB3891" s="34">
        <f t="shared" ca="1" si="101"/>
        <v>0.97286821890831421</v>
      </c>
      <c r="AC3891" s="814"/>
      <c r="AD3891" s="815" t="s">
        <v>16311</v>
      </c>
      <c r="AE3891" s="942"/>
      <c r="AF3891" s="923">
        <f>IF(X3891=X3890,AF3890,0)+IF(ISNUMBER(I3891),IF(I3891&lt;1,I3891,I3891*VLOOKUP(J3891,Summary!$H$2:$I$9,2)),VLOOKUP(J3891,Summary!$J$2:$K$9,2)*IF(ISNUMBER(H3891),H3891,1))</f>
        <v>0.86166666666666658</v>
      </c>
      <c r="AG3891" s="291">
        <v>3890</v>
      </c>
      <c r="AH3891" s="94"/>
      <c r="AI3891" s="94"/>
      <c r="AJ3891" s="29"/>
    </row>
    <row r="3892" spans="1:36" s="29" customFormat="1" ht="12" customHeight="1" x14ac:dyDescent="0.25">
      <c r="A3892" s="594" t="s">
        <v>14563</v>
      </c>
      <c r="B3892" s="594">
        <v>9</v>
      </c>
      <c r="C3892" s="594">
        <v>0.09</v>
      </c>
      <c r="D3892" s="185" t="s">
        <v>15395</v>
      </c>
      <c r="E3892" s="314" t="s">
        <v>15396</v>
      </c>
      <c r="F3892" s="184">
        <v>43369</v>
      </c>
      <c r="G3892" s="184"/>
      <c r="H3892" s="185">
        <v>1</v>
      </c>
      <c r="I3892" s="185">
        <v>5</v>
      </c>
      <c r="J3892" s="901" t="s">
        <v>1796</v>
      </c>
      <c r="K3892" s="163" t="s">
        <v>2675</v>
      </c>
      <c r="L3892" s="163" t="s">
        <v>3365</v>
      </c>
      <c r="M3892" s="163" t="s">
        <v>3365</v>
      </c>
      <c r="N3892" s="163"/>
      <c r="O3892" s="163"/>
      <c r="P3892" s="182" t="s">
        <v>461</v>
      </c>
      <c r="Q3892" s="163" t="s">
        <v>7076</v>
      </c>
      <c r="R3892" s="186" t="s">
        <v>10876</v>
      </c>
      <c r="S3892" s="355" t="s">
        <v>3372</v>
      </c>
      <c r="T3892" s="182" t="s">
        <v>3068</v>
      </c>
      <c r="U3892" s="182"/>
      <c r="V3892" s="182"/>
      <c r="W3892" s="314" t="s">
        <v>15396</v>
      </c>
      <c r="X3892" s="667" t="s">
        <v>14564</v>
      </c>
      <c r="Y3892" s="355"/>
      <c r="Z3892" s="185"/>
      <c r="AA3892" s="185"/>
      <c r="AB3892" s="33">
        <f t="shared" ca="1" si="101"/>
        <v>0.92035342513206608</v>
      </c>
      <c r="AC3892" s="813"/>
      <c r="AD3892" s="819" t="s">
        <v>16800</v>
      </c>
      <c r="AE3892" s="875"/>
      <c r="AF3892" s="922">
        <f>IF(X3892=X3891,AF3891,0)+IF(ISNUMBER(I3892),IF(I3892&lt;1,I3892,I3892*VLOOKUP(J3892,Summary!$H$2:$I$9,2)),VLOOKUP(J3892,Summary!$J$2:$K$9,2)*IF(ISNUMBER(H3892),H3892,1))</f>
        <v>0.86340277777777774</v>
      </c>
      <c r="AG3892" s="290">
        <v>3891</v>
      </c>
      <c r="AH3892" s="94"/>
      <c r="AI3892" s="94"/>
      <c r="AJ3892" s="2"/>
    </row>
    <row r="3893" spans="1:36" s="22" customFormat="1" ht="12" customHeight="1" x14ac:dyDescent="0.25">
      <c r="A3893" s="590" t="s">
        <v>14563</v>
      </c>
      <c r="B3893" s="590">
        <v>9</v>
      </c>
      <c r="C3893" s="590">
        <v>166</v>
      </c>
      <c r="D3893" s="424" t="s">
        <v>4677</v>
      </c>
      <c r="E3893" s="319" t="s">
        <v>4678</v>
      </c>
      <c r="F3893" s="198">
        <v>38514</v>
      </c>
      <c r="G3893" s="198">
        <v>38521</v>
      </c>
      <c r="H3893" s="199">
        <v>2</v>
      </c>
      <c r="I3893" s="791">
        <f>TIME(0,42,50)+TIME(0,45,30)</f>
        <v>6.1342592592592587E-2</v>
      </c>
      <c r="J3893" s="904" t="s">
        <v>1588</v>
      </c>
      <c r="K3893" s="200" t="s">
        <v>3373</v>
      </c>
      <c r="L3893" s="200" t="s">
        <v>3801</v>
      </c>
      <c r="M3893" s="200"/>
      <c r="N3893" s="200" t="s">
        <v>3373</v>
      </c>
      <c r="O3893" s="200" t="s">
        <v>3375</v>
      </c>
      <c r="P3893" s="197" t="s">
        <v>461</v>
      </c>
      <c r="Q3893" s="200" t="s">
        <v>3946</v>
      </c>
      <c r="R3893" s="201" t="s">
        <v>5280</v>
      </c>
      <c r="S3893" s="390" t="s">
        <v>3372</v>
      </c>
      <c r="T3893" s="197" t="s">
        <v>3068</v>
      </c>
      <c r="U3893" s="197"/>
      <c r="V3893" s="197"/>
      <c r="W3893" s="318" t="s">
        <v>8447</v>
      </c>
      <c r="X3893" s="650" t="s">
        <v>14564</v>
      </c>
      <c r="Y3893" s="358" t="s">
        <v>6141</v>
      </c>
      <c r="Z3893" s="253">
        <v>32</v>
      </c>
      <c r="AA3893" s="253">
        <v>9</v>
      </c>
      <c r="AB3893" s="35">
        <f t="shared" ca="1" si="101"/>
        <v>0.64268263580184071</v>
      </c>
      <c r="AC3893" s="820"/>
      <c r="AD3893" s="821" t="s">
        <v>16499</v>
      </c>
      <c r="AE3893" s="944"/>
      <c r="AF3893" s="925">
        <f>IF(X3893=X3892,AF3892,0)+IF(ISNUMBER(I3893),IF(I3893&lt;1,I3893,I3893*VLOOKUP(J3893,Summary!$H$2:$I$9,2)),VLOOKUP(J3893,Summary!$J$2:$K$9,2)*IF(ISNUMBER(H3893),H3893,1))</f>
        <v>0.9247453703703703</v>
      </c>
      <c r="AG3893" s="293">
        <v>3892</v>
      </c>
      <c r="AH3893" s="94"/>
      <c r="AI3893" s="94"/>
    </row>
    <row r="3894" spans="1:36" s="29" customFormat="1" ht="12" customHeight="1" x14ac:dyDescent="0.25">
      <c r="A3894" s="405" t="s">
        <v>14563</v>
      </c>
      <c r="B3894" s="596" t="s">
        <v>3227</v>
      </c>
      <c r="C3894" s="597">
        <v>1.1000000000000001</v>
      </c>
      <c r="D3894" s="407" t="s">
        <v>13217</v>
      </c>
      <c r="E3894" s="315" t="s">
        <v>13221</v>
      </c>
      <c r="F3894" s="196">
        <v>42892</v>
      </c>
      <c r="G3894" s="196"/>
      <c r="H3894" s="170">
        <v>1</v>
      </c>
      <c r="I3894" s="747">
        <f>TIME(0,60,0)</f>
        <v>4.1666666666666664E-2</v>
      </c>
      <c r="J3894" s="899" t="s">
        <v>4706</v>
      </c>
      <c r="K3894" s="167" t="s">
        <v>1826</v>
      </c>
      <c r="L3894" s="167" t="s">
        <v>179</v>
      </c>
      <c r="M3894" s="167"/>
      <c r="N3894" s="167"/>
      <c r="O3894" s="167" t="s">
        <v>1643</v>
      </c>
      <c r="P3894" s="168" t="s">
        <v>13216</v>
      </c>
      <c r="Q3894" s="167" t="s">
        <v>3947</v>
      </c>
      <c r="R3894" s="172" t="s">
        <v>10605</v>
      </c>
      <c r="S3894" s="388"/>
      <c r="T3894" s="168" t="s">
        <v>3068</v>
      </c>
      <c r="U3894" s="168"/>
      <c r="V3894" s="168"/>
      <c r="W3894" s="315" t="s">
        <v>13221</v>
      </c>
      <c r="X3894" s="647" t="s">
        <v>14564</v>
      </c>
      <c r="Y3894" s="352"/>
      <c r="Z3894" s="353"/>
      <c r="AA3894" s="353"/>
      <c r="AB3894" s="31">
        <f t="shared" ca="1" si="101"/>
        <v>0.74232687588179935</v>
      </c>
      <c r="AC3894" s="810"/>
      <c r="AD3894" s="811" t="s">
        <v>16785</v>
      </c>
      <c r="AE3894" s="940"/>
      <c r="AF3894" s="920">
        <f>IF(X3894=X3893,AF3893,0)+IF(ISNUMBER(I3894),IF(I3894&lt;1,I3894,I3894*VLOOKUP(J3894,Summary!$H$2:$I$9,2)),VLOOKUP(J3894,Summary!$J$2:$K$9,2)*IF(ISNUMBER(H3894),H3894,1))</f>
        <v>0.96641203703703693</v>
      </c>
      <c r="AG3894" s="287">
        <v>3893</v>
      </c>
      <c r="AH3894" s="94"/>
      <c r="AI3894" s="94"/>
      <c r="AJ3894" s="2"/>
    </row>
    <row r="3895" spans="1:36" s="26" customFormat="1" ht="12" customHeight="1" x14ac:dyDescent="0.25">
      <c r="A3895" s="408"/>
      <c r="B3895" s="408" t="s">
        <v>2650</v>
      </c>
      <c r="C3895" s="408">
        <v>5</v>
      </c>
      <c r="D3895" s="434" t="s">
        <v>392</v>
      </c>
      <c r="E3895" s="324" t="s">
        <v>393</v>
      </c>
      <c r="F3895" s="175">
        <v>38995</v>
      </c>
      <c r="G3895" s="175"/>
      <c r="H3895" s="176">
        <v>1</v>
      </c>
      <c r="I3895" s="176"/>
      <c r="J3895" s="900" t="s">
        <v>2755</v>
      </c>
      <c r="K3895" s="157" t="s">
        <v>543</v>
      </c>
      <c r="L3895" s="157"/>
      <c r="M3895" s="157"/>
      <c r="N3895" s="157"/>
      <c r="O3895" s="157"/>
      <c r="P3895" s="173" t="s">
        <v>394</v>
      </c>
      <c r="Q3895" s="157" t="s">
        <v>3954</v>
      </c>
      <c r="R3895" s="179" t="s">
        <v>3609</v>
      </c>
      <c r="S3895" s="354"/>
      <c r="T3895" s="157"/>
      <c r="U3895" s="173"/>
      <c r="V3895" s="173" t="s">
        <v>3069</v>
      </c>
      <c r="W3895" s="324" t="s">
        <v>393</v>
      </c>
      <c r="X3895" s="656" t="s">
        <v>14564</v>
      </c>
      <c r="Y3895" s="363"/>
      <c r="Z3895" s="364"/>
      <c r="AA3895" s="364"/>
      <c r="AB3895" s="32">
        <f t="shared" ca="1" si="101"/>
        <v>0.97320423316345495</v>
      </c>
      <c r="AC3895" s="812"/>
      <c r="AD3895" s="763"/>
      <c r="AE3895" s="951"/>
      <c r="AF3895" s="921">
        <f>IF(X3895=X3894,AF3894,0)+IF(ISNUMBER(I3895),IF(I3895&lt;1,I3895,I3895*VLOOKUP(J3895,Summary!$H$2:$I$9,2)),VLOOKUP(J3895,Summary!$J$2:$K$9,2)*IF(ISNUMBER(H3895),H3895,1))</f>
        <v>0.98377314814814809</v>
      </c>
      <c r="AG3895" s="289">
        <v>3894</v>
      </c>
      <c r="AH3895" s="94"/>
      <c r="AI3895" s="94"/>
    </row>
    <row r="3896" spans="1:36" s="22" customFormat="1" ht="12" customHeight="1" x14ac:dyDescent="0.25">
      <c r="A3896" s="422"/>
      <c r="B3896" s="422" t="s">
        <v>2650</v>
      </c>
      <c r="C3896" s="422">
        <v>14.01</v>
      </c>
      <c r="D3896" s="434" t="s">
        <v>2810</v>
      </c>
      <c r="E3896" s="324" t="s">
        <v>2811</v>
      </c>
      <c r="F3896" s="174">
        <v>38322</v>
      </c>
      <c r="G3896" s="174"/>
      <c r="H3896" s="176">
        <v>1</v>
      </c>
      <c r="I3896" s="176">
        <v>2</v>
      </c>
      <c r="J3896" s="900" t="s">
        <v>2755</v>
      </c>
      <c r="K3896" s="164" t="s">
        <v>3807</v>
      </c>
      <c r="L3896" s="164" t="s">
        <v>461</v>
      </c>
      <c r="M3896" s="164"/>
      <c r="N3896" s="164" t="s">
        <v>3807</v>
      </c>
      <c r="O3896" s="164"/>
      <c r="P3896" s="173" t="s">
        <v>6565</v>
      </c>
      <c r="Q3896" s="164" t="s">
        <v>3947</v>
      </c>
      <c r="R3896" s="177" t="s">
        <v>2723</v>
      </c>
      <c r="S3896" s="354"/>
      <c r="T3896" s="173"/>
      <c r="U3896" s="173"/>
      <c r="V3896" s="173"/>
      <c r="W3896" s="324" t="s">
        <v>2811</v>
      </c>
      <c r="X3896" s="656" t="s">
        <v>14564</v>
      </c>
      <c r="Y3896" s="363"/>
      <c r="Z3896" s="364"/>
      <c r="AA3896" s="364"/>
      <c r="AB3896" s="32">
        <f t="shared" ca="1" si="101"/>
        <v>0.47725566482302584</v>
      </c>
      <c r="AC3896" s="812"/>
      <c r="AD3896" s="763"/>
      <c r="AE3896" s="951"/>
      <c r="AF3896" s="921">
        <f>IF(X3896=X3895,AF3895,0)+IF(ISNUMBER(I3896),IF(I3896&lt;1,I3896,I3896*VLOOKUP(J3896,Summary!$H$2:$I$9,2)),VLOOKUP(J3896,Summary!$J$2:$K$9,2)*IF(ISNUMBER(H3896),H3896,1))</f>
        <v>0.98516203703703698</v>
      </c>
      <c r="AG3896" s="288">
        <v>3895</v>
      </c>
      <c r="AH3896" s="94"/>
      <c r="AI3896" s="94"/>
    </row>
    <row r="3897" spans="1:36" s="2" customFormat="1" ht="12" customHeight="1" x14ac:dyDescent="0.25">
      <c r="A3897" s="422"/>
      <c r="B3897" s="422" t="s">
        <v>2650</v>
      </c>
      <c r="C3897" s="422">
        <v>14.13</v>
      </c>
      <c r="D3897" s="434" t="s">
        <v>3194</v>
      </c>
      <c r="E3897" s="324" t="s">
        <v>3002</v>
      </c>
      <c r="F3897" s="174">
        <v>38322</v>
      </c>
      <c r="G3897" s="174"/>
      <c r="H3897" s="176">
        <v>1</v>
      </c>
      <c r="I3897" s="176">
        <v>4</v>
      </c>
      <c r="J3897" s="900" t="s">
        <v>2755</v>
      </c>
      <c r="K3897" s="164" t="s">
        <v>2554</v>
      </c>
      <c r="L3897" s="164" t="s">
        <v>461</v>
      </c>
      <c r="M3897" s="164"/>
      <c r="N3897" s="164" t="s">
        <v>3807</v>
      </c>
      <c r="O3897" s="164"/>
      <c r="P3897" s="173" t="s">
        <v>6565</v>
      </c>
      <c r="Q3897" s="164" t="s">
        <v>3947</v>
      </c>
      <c r="R3897" s="179" t="s">
        <v>2723</v>
      </c>
      <c r="S3897" s="354"/>
      <c r="T3897" s="173"/>
      <c r="U3897" s="173"/>
      <c r="V3897" s="173"/>
      <c r="W3897" s="324" t="s">
        <v>3002</v>
      </c>
      <c r="X3897" s="656" t="s">
        <v>14564</v>
      </c>
      <c r="Y3897" s="354"/>
      <c r="Z3897" s="176"/>
      <c r="AA3897" s="176"/>
      <c r="AB3897" s="32">
        <f t="shared" ca="1" si="101"/>
        <v>2.1504144937308456E-2</v>
      </c>
      <c r="AC3897" s="812"/>
      <c r="AD3897" s="763"/>
      <c r="AE3897" s="951"/>
      <c r="AF3897" s="921">
        <f>IF(X3897=X3896,AF3896,0)+IF(ISNUMBER(I3897),IF(I3897&lt;1,I3897,I3897*VLOOKUP(J3897,Summary!$H$2:$I$9,2)),VLOOKUP(J3897,Summary!$J$2:$K$9,2)*IF(ISNUMBER(H3897),H3897,1))</f>
        <v>0.98793981481481474</v>
      </c>
      <c r="AG3897" s="288">
        <v>3896</v>
      </c>
      <c r="AH3897" s="94"/>
      <c r="AI3897" s="94"/>
      <c r="AJ3897" s="3"/>
    </row>
    <row r="3898" spans="1:36" s="2" customFormat="1" ht="12" customHeight="1" x14ac:dyDescent="0.25">
      <c r="A3898" s="422"/>
      <c r="B3898" s="422" t="s">
        <v>2650</v>
      </c>
      <c r="C3898" s="422">
        <v>14.21</v>
      </c>
      <c r="D3898" s="434" t="s">
        <v>3570</v>
      </c>
      <c r="E3898" s="324" t="s">
        <v>7639</v>
      </c>
      <c r="F3898" s="174">
        <v>38322</v>
      </c>
      <c r="G3898" s="174"/>
      <c r="H3898" s="176">
        <v>1</v>
      </c>
      <c r="I3898" s="176">
        <v>2</v>
      </c>
      <c r="J3898" s="900" t="s">
        <v>2755</v>
      </c>
      <c r="K3898" s="164" t="s">
        <v>2995</v>
      </c>
      <c r="L3898" s="164" t="s">
        <v>461</v>
      </c>
      <c r="M3898" s="164"/>
      <c r="N3898" s="164" t="s">
        <v>3807</v>
      </c>
      <c r="O3898" s="164"/>
      <c r="P3898" s="173" t="s">
        <v>6565</v>
      </c>
      <c r="Q3898" s="164" t="s">
        <v>3947</v>
      </c>
      <c r="R3898" s="179" t="s">
        <v>2723</v>
      </c>
      <c r="S3898" s="354"/>
      <c r="T3898" s="173"/>
      <c r="U3898" s="173"/>
      <c r="V3898" s="173"/>
      <c r="W3898" s="324" t="s">
        <v>7639</v>
      </c>
      <c r="X3898" s="656" t="s">
        <v>14564</v>
      </c>
      <c r="Y3898" s="354"/>
      <c r="Z3898" s="176"/>
      <c r="AA3898" s="176"/>
      <c r="AB3898" s="32">
        <f t="shared" ca="1" si="101"/>
        <v>0.12558828489534157</v>
      </c>
      <c r="AC3898" s="812"/>
      <c r="AD3898" s="763"/>
      <c r="AE3898" s="951"/>
      <c r="AF3898" s="921">
        <f>IF(X3898=X3897,AF3897,0)+IF(ISNUMBER(I3898),IF(I3898&lt;1,I3898,I3898*VLOOKUP(J3898,Summary!$H$2:$I$9,2)),VLOOKUP(J3898,Summary!$J$2:$K$9,2)*IF(ISNUMBER(H3898),H3898,1))</f>
        <v>0.98932870370370363</v>
      </c>
      <c r="AG3898" s="289">
        <v>3897</v>
      </c>
      <c r="AH3898" s="94"/>
      <c r="AI3898" s="94"/>
      <c r="AJ3898" s="29"/>
    </row>
    <row r="3899" spans="1:36" s="29" customFormat="1" ht="12" customHeight="1" x14ac:dyDescent="0.25">
      <c r="A3899" s="422"/>
      <c r="B3899" s="422" t="s">
        <v>2650</v>
      </c>
      <c r="C3899" s="422">
        <v>14.32</v>
      </c>
      <c r="D3899" s="434" t="s">
        <v>3564</v>
      </c>
      <c r="E3899" s="324" t="s">
        <v>3565</v>
      </c>
      <c r="F3899" s="174">
        <v>38322</v>
      </c>
      <c r="G3899" s="174"/>
      <c r="H3899" s="176">
        <v>1</v>
      </c>
      <c r="I3899" s="176">
        <v>1</v>
      </c>
      <c r="J3899" s="900" t="s">
        <v>2755</v>
      </c>
      <c r="K3899" s="164" t="s">
        <v>3807</v>
      </c>
      <c r="L3899" s="164" t="s">
        <v>461</v>
      </c>
      <c r="M3899" s="164"/>
      <c r="N3899" s="164" t="s">
        <v>3807</v>
      </c>
      <c r="O3899" s="164"/>
      <c r="P3899" s="173" t="s">
        <v>6565</v>
      </c>
      <c r="Q3899" s="164" t="s">
        <v>3947</v>
      </c>
      <c r="R3899" s="177" t="s">
        <v>2723</v>
      </c>
      <c r="S3899" s="354"/>
      <c r="T3899" s="173"/>
      <c r="U3899" s="173"/>
      <c r="V3899" s="173"/>
      <c r="W3899" s="324" t="s">
        <v>3565</v>
      </c>
      <c r="X3899" s="656" t="s">
        <v>14564</v>
      </c>
      <c r="Y3899" s="363"/>
      <c r="Z3899" s="364"/>
      <c r="AA3899" s="364"/>
      <c r="AB3899" s="32">
        <f t="shared" ca="1" si="101"/>
        <v>0.97181358647894212</v>
      </c>
      <c r="AC3899" s="812"/>
      <c r="AD3899" s="763"/>
      <c r="AE3899" s="951"/>
      <c r="AF3899" s="921">
        <f>IF(X3899=X3898,AF3898,0)+IF(ISNUMBER(I3899),IF(I3899&lt;1,I3899,I3899*VLOOKUP(J3899,Summary!$H$2:$I$9,2)),VLOOKUP(J3899,Summary!$J$2:$K$9,2)*IF(ISNUMBER(H3899),H3899,1))</f>
        <v>0.99002314814814807</v>
      </c>
      <c r="AG3899" s="289">
        <v>3898</v>
      </c>
      <c r="AH3899" s="94"/>
      <c r="AI3899" s="94"/>
      <c r="AJ3899" s="2"/>
    </row>
    <row r="3900" spans="1:36" s="2" customFormat="1" ht="12" customHeight="1" x14ac:dyDescent="0.25">
      <c r="A3900" s="598" t="s">
        <v>14558</v>
      </c>
      <c r="B3900" s="598">
        <v>10</v>
      </c>
      <c r="C3900" s="598">
        <v>1</v>
      </c>
      <c r="D3900" s="509" t="s">
        <v>1545</v>
      </c>
      <c r="E3900" s="335" t="s">
        <v>247</v>
      </c>
      <c r="F3900" s="223">
        <v>38674</v>
      </c>
      <c r="G3900" s="223"/>
      <c r="H3900" s="242">
        <v>1</v>
      </c>
      <c r="I3900" s="792">
        <f>TIME(0, 7,14)</f>
        <v>5.0231481481481481E-3</v>
      </c>
      <c r="J3900" s="909" t="s">
        <v>1588</v>
      </c>
      <c r="K3900" s="243" t="s">
        <v>3373</v>
      </c>
      <c r="L3900" s="243" t="s">
        <v>4961</v>
      </c>
      <c r="M3900" s="243"/>
      <c r="N3900" s="243" t="s">
        <v>3373</v>
      </c>
      <c r="O3900" s="243" t="s">
        <v>3375</v>
      </c>
      <c r="P3900" s="241" t="s">
        <v>461</v>
      </c>
      <c r="Q3900" s="243" t="s">
        <v>3946</v>
      </c>
      <c r="R3900" s="244" t="s">
        <v>5269</v>
      </c>
      <c r="S3900" s="395" t="s">
        <v>3372</v>
      </c>
      <c r="T3900" s="241"/>
      <c r="U3900" s="241"/>
      <c r="V3900" s="241"/>
      <c r="W3900" s="339" t="s">
        <v>10118</v>
      </c>
      <c r="X3900" s="672" t="s">
        <v>14564</v>
      </c>
      <c r="Y3900" s="375" t="s">
        <v>6141</v>
      </c>
      <c r="Z3900" s="376">
        <v>114</v>
      </c>
      <c r="AA3900" s="377">
        <v>6.5</v>
      </c>
      <c r="AB3900" s="55">
        <f t="shared" ca="1" si="101"/>
        <v>0.32759687122118264</v>
      </c>
      <c r="AC3900" s="834"/>
      <c r="AD3900" s="835" t="s">
        <v>461</v>
      </c>
      <c r="AE3900" s="957"/>
      <c r="AF3900" s="930">
        <f>IF(X3900=X3899,AF3899,0)+IF(ISNUMBER(I3900),IF(I3900&lt;1,I3900,I3900*VLOOKUP(J3900,Summary!$H$2:$I$9,2)),VLOOKUP(J3900,Summary!$J$2:$K$9,2)*IF(ISNUMBER(H3900),H3900,1))</f>
        <v>0.99504629629629626</v>
      </c>
      <c r="AG3900" s="302">
        <v>3899</v>
      </c>
      <c r="AH3900" s="94"/>
      <c r="AI3900" s="94"/>
      <c r="AJ3900" s="3"/>
    </row>
    <row r="3901" spans="1:36" s="2" customFormat="1" ht="12" customHeight="1" x14ac:dyDescent="0.25">
      <c r="A3901" s="599" t="s">
        <v>14558</v>
      </c>
      <c r="B3901" s="599">
        <v>10</v>
      </c>
      <c r="C3901" s="599">
        <v>167</v>
      </c>
      <c r="D3901" s="424" t="s">
        <v>248</v>
      </c>
      <c r="E3901" s="319" t="s">
        <v>249</v>
      </c>
      <c r="F3901" s="198">
        <v>38711</v>
      </c>
      <c r="G3901" s="198"/>
      <c r="H3901" s="199">
        <v>1</v>
      </c>
      <c r="I3901" s="791">
        <f>TIME(0,58,54)</f>
        <v>4.0902777777777781E-2</v>
      </c>
      <c r="J3901" s="904" t="s">
        <v>1588</v>
      </c>
      <c r="K3901" s="200" t="s">
        <v>3373</v>
      </c>
      <c r="L3901" s="200" t="s">
        <v>3811</v>
      </c>
      <c r="M3901" s="200"/>
      <c r="N3901" s="200" t="s">
        <v>3373</v>
      </c>
      <c r="O3901" s="200" t="s">
        <v>3375</v>
      </c>
      <c r="P3901" s="197" t="s">
        <v>461</v>
      </c>
      <c r="Q3901" s="200" t="s">
        <v>3946</v>
      </c>
      <c r="R3901" s="201" t="s">
        <v>5280</v>
      </c>
      <c r="S3901" s="390" t="s">
        <v>3372</v>
      </c>
      <c r="T3901" s="197"/>
      <c r="U3901" s="197"/>
      <c r="V3901" s="197"/>
      <c r="W3901" s="319" t="s">
        <v>249</v>
      </c>
      <c r="X3901" s="651" t="s">
        <v>14564</v>
      </c>
      <c r="Y3901" s="358" t="s">
        <v>6141</v>
      </c>
      <c r="Z3901" s="253">
        <v>174</v>
      </c>
      <c r="AA3901" s="253">
        <v>5</v>
      </c>
      <c r="AB3901" s="35">
        <f t="shared" ca="1" si="101"/>
        <v>0.30325899642949938</v>
      </c>
      <c r="AC3901" s="820"/>
      <c r="AD3901" s="824" t="s">
        <v>14908</v>
      </c>
      <c r="AE3901" s="967"/>
      <c r="AF3901" s="925">
        <f>IF(X3901=X3900,AF3900,0)+IF(ISNUMBER(I3901),IF(I3901&lt;1,I3901,I3901*VLOOKUP(J3901,Summary!$H$2:$I$9,2)),VLOOKUP(J3901,Summary!$J$2:$K$9,2)*IF(ISNUMBER(H3901),H3901,1))</f>
        <v>1.035949074074074</v>
      </c>
      <c r="AG3901" s="293">
        <v>3900</v>
      </c>
      <c r="AH3901" s="94"/>
      <c r="AI3901" s="94"/>
      <c r="AJ3901" s="3"/>
    </row>
    <row r="3902" spans="1:36" s="29" customFormat="1" ht="12" customHeight="1" x14ac:dyDescent="0.25">
      <c r="A3902" s="600" t="s">
        <v>14558</v>
      </c>
      <c r="B3902" s="600">
        <v>10</v>
      </c>
      <c r="C3902" s="600">
        <v>4</v>
      </c>
      <c r="D3902" s="434" t="s">
        <v>389</v>
      </c>
      <c r="E3902" s="324" t="s">
        <v>390</v>
      </c>
      <c r="F3902" s="175">
        <v>38876</v>
      </c>
      <c r="G3902" s="175"/>
      <c r="H3902" s="176">
        <v>1</v>
      </c>
      <c r="I3902" s="176"/>
      <c r="J3902" s="900" t="s">
        <v>2755</v>
      </c>
      <c r="K3902" s="157" t="s">
        <v>6237</v>
      </c>
      <c r="L3902" s="157"/>
      <c r="M3902" s="157"/>
      <c r="N3902" s="157"/>
      <c r="O3902" s="157"/>
      <c r="P3902" s="173" t="s">
        <v>391</v>
      </c>
      <c r="Q3902" s="157" t="s">
        <v>3954</v>
      </c>
      <c r="R3902" s="179" t="s">
        <v>3609</v>
      </c>
      <c r="S3902" s="354" t="s">
        <v>3372</v>
      </c>
      <c r="T3902" s="173"/>
      <c r="U3902" s="173"/>
      <c r="V3902" s="173"/>
      <c r="W3902" s="324" t="s">
        <v>390</v>
      </c>
      <c r="X3902" s="656" t="s">
        <v>14564</v>
      </c>
      <c r="Y3902" s="363"/>
      <c r="Z3902" s="364"/>
      <c r="AA3902" s="364"/>
      <c r="AB3902" s="32">
        <f t="shared" ca="1" si="101"/>
        <v>0.83078363298813218</v>
      </c>
      <c r="AC3902" s="812"/>
      <c r="AD3902" s="763"/>
      <c r="AE3902" s="951"/>
      <c r="AF3902" s="921">
        <f>IF(X3902=X3901,AF3901,0)+IF(ISNUMBER(I3902),IF(I3902&lt;1,I3902,I3902*VLOOKUP(J3902,Summary!$H$2:$I$9,2)),VLOOKUP(J3902,Summary!$J$2:$K$9,2)*IF(ISNUMBER(H3902),H3902,1))</f>
        <v>1.0533101851851852</v>
      </c>
      <c r="AG3902" s="288">
        <v>3901</v>
      </c>
      <c r="AH3902" s="94"/>
      <c r="AI3902" s="94"/>
      <c r="AJ3902" s="2"/>
    </row>
    <row r="3903" spans="1:36" s="2" customFormat="1" ht="12" customHeight="1" x14ac:dyDescent="0.25">
      <c r="A3903" s="601" t="s">
        <v>14558</v>
      </c>
      <c r="B3903" s="601">
        <v>10</v>
      </c>
      <c r="C3903" s="601">
        <v>0</v>
      </c>
      <c r="D3903" s="602" t="s">
        <v>6307</v>
      </c>
      <c r="E3903" s="343" t="s">
        <v>250</v>
      </c>
      <c r="F3903" s="181">
        <v>38711</v>
      </c>
      <c r="G3903" s="181"/>
      <c r="H3903" s="263">
        <v>1</v>
      </c>
      <c r="I3903" s="794">
        <f>TIME(0,14,0)</f>
        <v>9.7222222222222224E-3</v>
      </c>
      <c r="J3903" s="914" t="s">
        <v>3346</v>
      </c>
      <c r="K3903" s="264" t="s">
        <v>3451</v>
      </c>
      <c r="L3903" s="264" t="s">
        <v>3452</v>
      </c>
      <c r="M3903" s="264"/>
      <c r="N3903" s="264" t="s">
        <v>3373</v>
      </c>
      <c r="O3903" s="264" t="s">
        <v>3955</v>
      </c>
      <c r="P3903" s="262" t="s">
        <v>461</v>
      </c>
      <c r="Q3903" s="264" t="s">
        <v>3946</v>
      </c>
      <c r="R3903" s="265" t="s">
        <v>2721</v>
      </c>
      <c r="S3903" s="402"/>
      <c r="T3903" s="262"/>
      <c r="U3903" s="262"/>
      <c r="V3903" s="262"/>
      <c r="W3903" s="343" t="s">
        <v>250</v>
      </c>
      <c r="X3903" s="678" t="s">
        <v>14564</v>
      </c>
      <c r="Y3903" s="383"/>
      <c r="Z3903" s="266"/>
      <c r="AA3903" s="266"/>
      <c r="AB3903" s="62">
        <f t="shared" ca="1" si="101"/>
        <v>0.5300251388575189</v>
      </c>
      <c r="AC3903" s="847"/>
      <c r="AD3903" s="848"/>
      <c r="AE3903" s="968"/>
      <c r="AF3903" s="935">
        <f>IF(X3903=X3902,AF3902,0)+IF(ISNUMBER(I3903),IF(I3903&lt;1,I3903,I3903*VLOOKUP(J3903,Summary!$H$2:$I$9,2)),VLOOKUP(J3903,Summary!$J$2:$K$9,2)*IF(ISNUMBER(H3903),H3903,1))</f>
        <v>1.0630324074074073</v>
      </c>
      <c r="AG3903" s="306">
        <v>3902</v>
      </c>
      <c r="AH3903" s="94"/>
      <c r="AI3903" s="94"/>
      <c r="AJ3903" s="3"/>
    </row>
    <row r="3904" spans="1:36" s="22" customFormat="1" ht="12" customHeight="1" x14ac:dyDescent="0.2">
      <c r="A3904" s="603" t="s">
        <v>14558</v>
      </c>
      <c r="B3904" s="603">
        <v>10</v>
      </c>
      <c r="C3904" s="603">
        <v>1</v>
      </c>
      <c r="D3904" s="428" t="s">
        <v>4792</v>
      </c>
      <c r="E3904" s="325" t="s">
        <v>6173</v>
      </c>
      <c r="F3904" s="184">
        <v>38980</v>
      </c>
      <c r="G3904" s="184">
        <v>39050</v>
      </c>
      <c r="H3904" s="185">
        <v>6</v>
      </c>
      <c r="I3904" s="185">
        <v>24</v>
      </c>
      <c r="J3904" s="901" t="s">
        <v>1796</v>
      </c>
      <c r="K3904" s="158" t="s">
        <v>4797</v>
      </c>
      <c r="L3904" s="158" t="s">
        <v>3832</v>
      </c>
      <c r="M3904" s="158" t="s">
        <v>254</v>
      </c>
      <c r="N3904" s="158" t="s">
        <v>4794</v>
      </c>
      <c r="O3904" s="158"/>
      <c r="P3904" s="182" t="s">
        <v>461</v>
      </c>
      <c r="Q3904" s="158" t="s">
        <v>4798</v>
      </c>
      <c r="R3904" s="207" t="s">
        <v>4795</v>
      </c>
      <c r="S3904" s="355" t="s">
        <v>3372</v>
      </c>
      <c r="T3904" s="182"/>
      <c r="U3904" s="182"/>
      <c r="V3904" s="182"/>
      <c r="W3904" s="321" t="s">
        <v>8448</v>
      </c>
      <c r="X3904" s="653" t="s">
        <v>14564</v>
      </c>
      <c r="Y3904" s="361"/>
      <c r="Z3904" s="362"/>
      <c r="AA3904" s="362"/>
      <c r="AB3904" s="33">
        <f t="shared" ca="1" si="101"/>
        <v>0.70930069038698185</v>
      </c>
      <c r="AC3904" s="813"/>
      <c r="AD3904" s="211"/>
      <c r="AE3904" s="949"/>
      <c r="AF3904" s="922">
        <f>IF(X3904=X3903,AF3903,0)+IF(ISNUMBER(I3904),IF(I3904&lt;1,I3904,I3904*VLOOKUP(J3904,Summary!$H$2:$I$9,2)),VLOOKUP(J3904,Summary!$J$2:$K$9,2)*IF(ISNUMBER(H3904),H3904,1))</f>
        <v>1.0713657407407406</v>
      </c>
      <c r="AG3904" s="295">
        <v>3903</v>
      </c>
      <c r="AH3904" s="94"/>
      <c r="AI3904" s="94"/>
    </row>
    <row r="3905" spans="1:36" s="2" customFormat="1" ht="12" customHeight="1" x14ac:dyDescent="0.25">
      <c r="A3905" s="603" t="s">
        <v>14558</v>
      </c>
      <c r="B3905" s="603">
        <v>10</v>
      </c>
      <c r="C3905" s="603">
        <v>119</v>
      </c>
      <c r="D3905" s="428" t="s">
        <v>6712</v>
      </c>
      <c r="E3905" s="325" t="s">
        <v>6711</v>
      </c>
      <c r="F3905" s="184">
        <v>38749</v>
      </c>
      <c r="G3905" s="184">
        <v>38796</v>
      </c>
      <c r="H3905" s="185">
        <v>3</v>
      </c>
      <c r="I3905" s="185">
        <v>28</v>
      </c>
      <c r="J3905" s="901" t="s">
        <v>1796</v>
      </c>
      <c r="K3905" s="158" t="s">
        <v>6713</v>
      </c>
      <c r="L3905" s="163" t="s">
        <v>3828</v>
      </c>
      <c r="M3905" s="163" t="s">
        <v>252</v>
      </c>
      <c r="N3905" s="163" t="s">
        <v>5942</v>
      </c>
      <c r="O3905" s="158"/>
      <c r="P3905" s="182" t="s">
        <v>461</v>
      </c>
      <c r="Q3905" s="158" t="s">
        <v>4104</v>
      </c>
      <c r="R3905" s="207" t="s">
        <v>5266</v>
      </c>
      <c r="S3905" s="355" t="s">
        <v>3372</v>
      </c>
      <c r="T3905" s="182"/>
      <c r="U3905" s="182"/>
      <c r="V3905" s="182"/>
      <c r="W3905" s="321"/>
      <c r="X3905" s="653" t="s">
        <v>14564</v>
      </c>
      <c r="Y3905" s="361"/>
      <c r="Z3905" s="362"/>
      <c r="AA3905" s="362"/>
      <c r="AB3905" s="33">
        <f t="shared" ca="1" si="101"/>
        <v>0.34641897649519193</v>
      </c>
      <c r="AC3905" s="813"/>
      <c r="AD3905" s="211"/>
      <c r="AE3905" s="949"/>
      <c r="AF3905" s="922">
        <f>IF(X3905=X3904,AF3904,0)+IF(ISNUMBER(I3905),IF(I3905&lt;1,I3905,I3905*VLOOKUP(J3905,Summary!$H$2:$I$9,2)),VLOOKUP(J3905,Summary!$J$2:$K$9,2)*IF(ISNUMBER(H3905),H3905,1))</f>
        <v>1.0810879629629628</v>
      </c>
      <c r="AG3905" s="295">
        <v>3904</v>
      </c>
      <c r="AH3905" s="94"/>
      <c r="AI3905" s="94"/>
      <c r="AJ3905" s="3"/>
    </row>
    <row r="3906" spans="1:36" s="2" customFormat="1" ht="12" customHeight="1" x14ac:dyDescent="0.25">
      <c r="A3906" s="603" t="s">
        <v>14558</v>
      </c>
      <c r="B3906" s="603">
        <v>10</v>
      </c>
      <c r="C3906" s="603">
        <v>120</v>
      </c>
      <c r="D3906" s="428" t="s">
        <v>6714</v>
      </c>
      <c r="E3906" s="325" t="s">
        <v>5652</v>
      </c>
      <c r="F3906" s="184">
        <v>38833</v>
      </c>
      <c r="G3906" s="184"/>
      <c r="H3906" s="185">
        <v>1</v>
      </c>
      <c r="I3906" s="185">
        <v>9</v>
      </c>
      <c r="J3906" s="901" t="s">
        <v>1796</v>
      </c>
      <c r="K3906" s="158" t="s">
        <v>3451</v>
      </c>
      <c r="L3906" s="163" t="s">
        <v>3828</v>
      </c>
      <c r="M3906" s="163" t="s">
        <v>252</v>
      </c>
      <c r="N3906" s="163" t="s">
        <v>5942</v>
      </c>
      <c r="O3906" s="158"/>
      <c r="P3906" s="182" t="s">
        <v>461</v>
      </c>
      <c r="Q3906" s="158" t="s">
        <v>4104</v>
      </c>
      <c r="R3906" s="207" t="s">
        <v>5266</v>
      </c>
      <c r="S3906" s="355" t="s">
        <v>3372</v>
      </c>
      <c r="T3906" s="157"/>
      <c r="U3906" s="182"/>
      <c r="V3906" s="182" t="s">
        <v>3069</v>
      </c>
      <c r="W3906" s="325" t="s">
        <v>5652</v>
      </c>
      <c r="X3906" s="657" t="s">
        <v>14564</v>
      </c>
      <c r="Y3906" s="361"/>
      <c r="Z3906" s="362"/>
      <c r="AA3906" s="362"/>
      <c r="AB3906" s="33">
        <f t="shared" ref="AB3906:AB3969" ca="1" si="102">RAND()</f>
        <v>0.10470131566354146</v>
      </c>
      <c r="AC3906" s="813"/>
      <c r="AD3906" s="211"/>
      <c r="AE3906" s="949"/>
      <c r="AF3906" s="922">
        <f>IF(X3906=X3905,AF3905,0)+IF(ISNUMBER(I3906),IF(I3906&lt;1,I3906,I3906*VLOOKUP(J3906,Summary!$H$2:$I$9,2)),VLOOKUP(J3906,Summary!$J$2:$K$9,2)*IF(ISNUMBER(H3906),H3906,1))</f>
        <v>1.0842129629629629</v>
      </c>
      <c r="AG3906" s="295">
        <v>3905</v>
      </c>
      <c r="AH3906" s="94"/>
      <c r="AI3906" s="94"/>
      <c r="AJ3906" s="3"/>
    </row>
    <row r="3907" spans="1:36" s="2" customFormat="1" ht="12" customHeight="1" x14ac:dyDescent="0.25">
      <c r="A3907" s="598" t="s">
        <v>14558</v>
      </c>
      <c r="B3907" s="598">
        <v>10</v>
      </c>
      <c r="C3907" s="598">
        <v>1</v>
      </c>
      <c r="D3907" s="509" t="s">
        <v>7955</v>
      </c>
      <c r="E3907" s="335" t="s">
        <v>7956</v>
      </c>
      <c r="F3907" s="223">
        <v>38808</v>
      </c>
      <c r="G3907" s="223"/>
      <c r="H3907" s="242">
        <v>1</v>
      </c>
      <c r="I3907" s="792">
        <f>TIME(0,0,43)</f>
        <v>4.9768518518518521E-4</v>
      </c>
      <c r="J3907" s="909" t="s">
        <v>1588</v>
      </c>
      <c r="K3907" s="243" t="s">
        <v>3451</v>
      </c>
      <c r="L3907" s="243"/>
      <c r="M3907" s="243"/>
      <c r="N3907" s="243" t="s">
        <v>3373</v>
      </c>
      <c r="O3907" s="243" t="s">
        <v>3375</v>
      </c>
      <c r="P3907" s="241" t="s">
        <v>461</v>
      </c>
      <c r="Q3907" s="243" t="s">
        <v>3946</v>
      </c>
      <c r="R3907" s="244" t="s">
        <v>7957</v>
      </c>
      <c r="S3907" s="395"/>
      <c r="T3907" s="241"/>
      <c r="U3907" s="241"/>
      <c r="V3907" s="241"/>
      <c r="W3907" s="339" t="s">
        <v>9642</v>
      </c>
      <c r="X3907" s="672" t="s">
        <v>14564</v>
      </c>
      <c r="Y3907" s="375"/>
      <c r="Z3907" s="377"/>
      <c r="AA3907" s="377"/>
      <c r="AB3907" s="55">
        <f t="shared" ca="1" si="102"/>
        <v>0.23547650592508185</v>
      </c>
      <c r="AC3907" s="834"/>
      <c r="AD3907" s="835"/>
      <c r="AE3907" s="957"/>
      <c r="AF3907" s="930">
        <f>IF(X3907=X3906,AF3906,0)+IF(ISNUMBER(I3907),IF(I3907&lt;1,I3907,I3907*VLOOKUP(J3907,Summary!$H$2:$I$9,2)),VLOOKUP(J3907,Summary!$J$2:$K$9,2)*IF(ISNUMBER(H3907),H3907,1))</f>
        <v>1.0847106481481481</v>
      </c>
      <c r="AG3907" s="302">
        <v>3906</v>
      </c>
      <c r="AH3907" s="94"/>
      <c r="AI3907" s="94"/>
      <c r="AJ3907" s="3"/>
    </row>
    <row r="3908" spans="1:36" s="22" customFormat="1" ht="12" customHeight="1" x14ac:dyDescent="0.25">
      <c r="A3908" s="599" t="s">
        <v>14558</v>
      </c>
      <c r="B3908" s="599">
        <v>10</v>
      </c>
      <c r="C3908" s="599">
        <v>168</v>
      </c>
      <c r="D3908" s="424" t="s">
        <v>6254</v>
      </c>
      <c r="E3908" s="319" t="s">
        <v>7506</v>
      </c>
      <c r="F3908" s="198">
        <v>38822</v>
      </c>
      <c r="G3908" s="198"/>
      <c r="H3908" s="199">
        <v>1</v>
      </c>
      <c r="I3908" s="791">
        <f>TIME(0,44, 3)</f>
        <v>3.0590277777777775E-2</v>
      </c>
      <c r="J3908" s="904" t="s">
        <v>1588</v>
      </c>
      <c r="K3908" s="200" t="s">
        <v>3373</v>
      </c>
      <c r="L3908" s="200" t="s">
        <v>3811</v>
      </c>
      <c r="M3908" s="200"/>
      <c r="N3908" s="200" t="s">
        <v>3373</v>
      </c>
      <c r="O3908" s="200" t="s">
        <v>3375</v>
      </c>
      <c r="P3908" s="197" t="s">
        <v>461</v>
      </c>
      <c r="Q3908" s="200" t="s">
        <v>3946</v>
      </c>
      <c r="R3908" s="201" t="s">
        <v>5280</v>
      </c>
      <c r="S3908" s="390" t="s">
        <v>3372</v>
      </c>
      <c r="T3908" s="197"/>
      <c r="U3908" s="197"/>
      <c r="V3908" s="197"/>
      <c r="W3908" s="319" t="s">
        <v>7506</v>
      </c>
      <c r="X3908" s="651" t="s">
        <v>14564</v>
      </c>
      <c r="Y3908" s="358" t="s">
        <v>6141</v>
      </c>
      <c r="Z3908" s="253">
        <v>314</v>
      </c>
      <c r="AA3908" s="253">
        <v>1</v>
      </c>
      <c r="AB3908" s="35">
        <f t="shared" ca="1" si="102"/>
        <v>0.99063197188860486</v>
      </c>
      <c r="AC3908" s="820"/>
      <c r="AD3908" s="821" t="s">
        <v>16528</v>
      </c>
      <c r="AE3908" s="967"/>
      <c r="AF3908" s="925">
        <f>IF(X3908=X3907,AF3907,0)+IF(ISNUMBER(I3908),IF(I3908&lt;1,I3908,I3908*VLOOKUP(J3908,Summary!$H$2:$I$9,2)),VLOOKUP(J3908,Summary!$J$2:$K$9,2)*IF(ISNUMBER(H3908),H3908,1))</f>
        <v>1.1153009259259259</v>
      </c>
      <c r="AG3908" s="293">
        <v>3907</v>
      </c>
      <c r="AH3908" s="94"/>
      <c r="AI3908" s="94"/>
    </row>
    <row r="3909" spans="1:36" s="2" customFormat="1" ht="12" customHeight="1" x14ac:dyDescent="0.25">
      <c r="A3909" s="603" t="s">
        <v>14558</v>
      </c>
      <c r="B3909" s="603">
        <v>10</v>
      </c>
      <c r="C3909" s="603">
        <v>1</v>
      </c>
      <c r="D3909" s="428" t="s">
        <v>1263</v>
      </c>
      <c r="E3909" s="325" t="s">
        <v>6172</v>
      </c>
      <c r="F3909" s="184">
        <v>35160</v>
      </c>
      <c r="G3909" s="184">
        <v>38825</v>
      </c>
      <c r="H3909" s="185">
        <v>1</v>
      </c>
      <c r="I3909" s="185">
        <v>6</v>
      </c>
      <c r="J3909" s="901" t="s">
        <v>1796</v>
      </c>
      <c r="K3909" s="158" t="s">
        <v>5660</v>
      </c>
      <c r="L3909" s="158" t="s">
        <v>3832</v>
      </c>
      <c r="M3909" s="158" t="s">
        <v>3551</v>
      </c>
      <c r="N3909" s="158" t="s">
        <v>5317</v>
      </c>
      <c r="O3909" s="158"/>
      <c r="P3909" s="182" t="s">
        <v>461</v>
      </c>
      <c r="Q3909" s="158" t="s">
        <v>4929</v>
      </c>
      <c r="R3909" s="207" t="s">
        <v>4796</v>
      </c>
      <c r="S3909" s="355" t="s">
        <v>3372</v>
      </c>
      <c r="T3909" s="182"/>
      <c r="U3909" s="182"/>
      <c r="V3909" s="182"/>
      <c r="W3909" s="325" t="s">
        <v>6172</v>
      </c>
      <c r="X3909" s="657" t="s">
        <v>14564</v>
      </c>
      <c r="Y3909" s="361"/>
      <c r="Z3909" s="362"/>
      <c r="AA3909" s="362"/>
      <c r="AB3909" s="33">
        <f t="shared" ca="1" si="102"/>
        <v>0.52781182519972381</v>
      </c>
      <c r="AC3909" s="813"/>
      <c r="AD3909" s="211"/>
      <c r="AE3909" s="949"/>
      <c r="AF3909" s="922">
        <f>IF(X3909=X3908,AF3908,0)+IF(ISNUMBER(I3909),IF(I3909&lt;1,I3909,I3909*VLOOKUP(J3909,Summary!$H$2:$I$9,2)),VLOOKUP(J3909,Summary!$J$2:$K$9,2)*IF(ISNUMBER(H3909),H3909,1))</f>
        <v>1.1173842592592593</v>
      </c>
      <c r="AG3909" s="295">
        <v>3908</v>
      </c>
      <c r="AH3909" s="94"/>
      <c r="AI3909" s="94"/>
      <c r="AJ3909" s="3"/>
    </row>
    <row r="3910" spans="1:36" s="2" customFormat="1" ht="12" customHeight="1" x14ac:dyDescent="0.25">
      <c r="A3910" s="603" t="s">
        <v>14558</v>
      </c>
      <c r="B3910" s="603">
        <v>10</v>
      </c>
      <c r="C3910" s="603">
        <v>2</v>
      </c>
      <c r="D3910" s="428" t="s">
        <v>1264</v>
      </c>
      <c r="E3910" s="325" t="s">
        <v>4791</v>
      </c>
      <c r="F3910" s="184">
        <v>38826</v>
      </c>
      <c r="G3910" s="184">
        <v>38839</v>
      </c>
      <c r="H3910" s="185">
        <v>1</v>
      </c>
      <c r="I3910" s="185">
        <v>6</v>
      </c>
      <c r="J3910" s="901" t="s">
        <v>1796</v>
      </c>
      <c r="K3910" s="158" t="s">
        <v>4552</v>
      </c>
      <c r="L3910" s="158" t="s">
        <v>3832</v>
      </c>
      <c r="M3910" s="158" t="s">
        <v>3551</v>
      </c>
      <c r="N3910" s="158" t="s">
        <v>5317</v>
      </c>
      <c r="O3910" s="158"/>
      <c r="P3910" s="182" t="s">
        <v>461</v>
      </c>
      <c r="Q3910" s="158" t="s">
        <v>4929</v>
      </c>
      <c r="R3910" s="207" t="s">
        <v>4796</v>
      </c>
      <c r="S3910" s="355" t="s">
        <v>3372</v>
      </c>
      <c r="T3910" s="182"/>
      <c r="U3910" s="182"/>
      <c r="V3910" s="182"/>
      <c r="W3910" s="325" t="s">
        <v>4791</v>
      </c>
      <c r="X3910" s="657" t="s">
        <v>14564</v>
      </c>
      <c r="Y3910" s="361"/>
      <c r="Z3910" s="362"/>
      <c r="AA3910" s="362"/>
      <c r="AB3910" s="33">
        <f t="shared" ca="1" si="102"/>
        <v>0.18849751172902163</v>
      </c>
      <c r="AC3910" s="813"/>
      <c r="AD3910" s="211"/>
      <c r="AE3910" s="949"/>
      <c r="AF3910" s="922">
        <f>IF(X3910=X3909,AF3909,0)+IF(ISNUMBER(I3910),IF(I3910&lt;1,I3910,I3910*VLOOKUP(J3910,Summary!$H$2:$I$9,2)),VLOOKUP(J3910,Summary!$J$2:$K$9,2)*IF(ISNUMBER(H3910),H3910,1))</f>
        <v>1.1194675925925928</v>
      </c>
      <c r="AG3910" s="295">
        <v>3909</v>
      </c>
      <c r="AH3910" s="94"/>
      <c r="AI3910" s="94"/>
      <c r="AJ3910" s="3"/>
    </row>
    <row r="3911" spans="1:36" s="2" customFormat="1" ht="12" customHeight="1" x14ac:dyDescent="0.25">
      <c r="A3911" s="603" t="s">
        <v>14558</v>
      </c>
      <c r="B3911" s="603">
        <v>10</v>
      </c>
      <c r="C3911" s="603">
        <v>3</v>
      </c>
      <c r="D3911" s="428" t="s">
        <v>1265</v>
      </c>
      <c r="E3911" s="325" t="s">
        <v>4799</v>
      </c>
      <c r="F3911" s="184">
        <v>38840</v>
      </c>
      <c r="G3911" s="184">
        <v>38853</v>
      </c>
      <c r="H3911" s="185">
        <v>1</v>
      </c>
      <c r="I3911" s="185">
        <v>6</v>
      </c>
      <c r="J3911" s="901" t="s">
        <v>1796</v>
      </c>
      <c r="K3911" s="158" t="s">
        <v>4809</v>
      </c>
      <c r="L3911" s="158" t="s">
        <v>3832</v>
      </c>
      <c r="M3911" s="158" t="s">
        <v>3551</v>
      </c>
      <c r="N3911" s="158" t="s">
        <v>5317</v>
      </c>
      <c r="O3911" s="158"/>
      <c r="P3911" s="182" t="s">
        <v>461</v>
      </c>
      <c r="Q3911" s="158" t="s">
        <v>4929</v>
      </c>
      <c r="R3911" s="207" t="s">
        <v>4796</v>
      </c>
      <c r="S3911" s="355" t="s">
        <v>3372</v>
      </c>
      <c r="T3911" s="182"/>
      <c r="U3911" s="182"/>
      <c r="V3911" s="182"/>
      <c r="W3911" s="325" t="s">
        <v>4799</v>
      </c>
      <c r="X3911" s="657" t="s">
        <v>14564</v>
      </c>
      <c r="Y3911" s="361"/>
      <c r="Z3911" s="362"/>
      <c r="AA3911" s="362"/>
      <c r="AB3911" s="33">
        <f t="shared" ca="1" si="102"/>
        <v>0.21935467003912446</v>
      </c>
      <c r="AC3911" s="813"/>
      <c r="AD3911" s="211"/>
      <c r="AE3911" s="949"/>
      <c r="AF3911" s="922">
        <f>IF(X3911=X3910,AF3910,0)+IF(ISNUMBER(I3911),IF(I3911&lt;1,I3911,I3911*VLOOKUP(J3911,Summary!$H$2:$I$9,2)),VLOOKUP(J3911,Summary!$J$2:$K$9,2)*IF(ISNUMBER(H3911),H3911,1))</f>
        <v>1.1215509259259262</v>
      </c>
      <c r="AG3911" s="295">
        <v>3910</v>
      </c>
      <c r="AH3911" s="94"/>
      <c r="AI3911" s="94"/>
      <c r="AJ3911" s="3"/>
    </row>
    <row r="3912" spans="1:36" s="2" customFormat="1" ht="12" customHeight="1" x14ac:dyDescent="0.25">
      <c r="A3912" s="603" t="s">
        <v>14558</v>
      </c>
      <c r="B3912" s="603">
        <v>10</v>
      </c>
      <c r="C3912" s="603">
        <v>4</v>
      </c>
      <c r="D3912" s="428" t="s">
        <v>1266</v>
      </c>
      <c r="E3912" s="325" t="s">
        <v>4800</v>
      </c>
      <c r="F3912" s="184">
        <v>38854</v>
      </c>
      <c r="G3912" s="184">
        <v>38867</v>
      </c>
      <c r="H3912" s="185">
        <v>1</v>
      </c>
      <c r="I3912" s="185">
        <v>6</v>
      </c>
      <c r="J3912" s="901" t="s">
        <v>1796</v>
      </c>
      <c r="K3912" s="158" t="s">
        <v>7374</v>
      </c>
      <c r="L3912" s="158" t="s">
        <v>3832</v>
      </c>
      <c r="M3912" s="158" t="s">
        <v>3551</v>
      </c>
      <c r="N3912" s="158" t="s">
        <v>5317</v>
      </c>
      <c r="O3912" s="158"/>
      <c r="P3912" s="182" t="s">
        <v>461</v>
      </c>
      <c r="Q3912" s="158" t="s">
        <v>4929</v>
      </c>
      <c r="R3912" s="207" t="s">
        <v>4796</v>
      </c>
      <c r="S3912" s="355" t="s">
        <v>3372</v>
      </c>
      <c r="T3912" s="182"/>
      <c r="U3912" s="182"/>
      <c r="V3912" s="182"/>
      <c r="W3912" s="325" t="s">
        <v>4800</v>
      </c>
      <c r="X3912" s="657" t="s">
        <v>14564</v>
      </c>
      <c r="Y3912" s="361"/>
      <c r="Z3912" s="362"/>
      <c r="AA3912" s="362"/>
      <c r="AB3912" s="33">
        <f t="shared" ca="1" si="102"/>
        <v>0.95004843287522456</v>
      </c>
      <c r="AC3912" s="813"/>
      <c r="AD3912" s="211"/>
      <c r="AE3912" s="949"/>
      <c r="AF3912" s="922">
        <f>IF(X3912=X3911,AF3911,0)+IF(ISNUMBER(I3912),IF(I3912&lt;1,I3912,I3912*VLOOKUP(J3912,Summary!$H$2:$I$9,2)),VLOOKUP(J3912,Summary!$J$2:$K$9,2)*IF(ISNUMBER(H3912),H3912,1))</f>
        <v>1.1236342592592596</v>
      </c>
      <c r="AG3912" s="295">
        <v>3911</v>
      </c>
      <c r="AH3912" s="94"/>
      <c r="AI3912" s="94"/>
      <c r="AJ3912" s="3"/>
    </row>
    <row r="3913" spans="1:36" s="29" customFormat="1" ht="12" customHeight="1" x14ac:dyDescent="0.25">
      <c r="A3913" s="603" t="s">
        <v>14558</v>
      </c>
      <c r="B3913" s="603">
        <v>10</v>
      </c>
      <c r="C3913" s="603">
        <v>5</v>
      </c>
      <c r="D3913" s="428" t="s">
        <v>1267</v>
      </c>
      <c r="E3913" s="325" t="s">
        <v>4801</v>
      </c>
      <c r="F3913" s="184">
        <v>38868</v>
      </c>
      <c r="G3913" s="184">
        <v>38881</v>
      </c>
      <c r="H3913" s="185">
        <v>1</v>
      </c>
      <c r="I3913" s="185">
        <v>6</v>
      </c>
      <c r="J3913" s="901" t="s">
        <v>1796</v>
      </c>
      <c r="K3913" s="158" t="s">
        <v>7374</v>
      </c>
      <c r="L3913" s="158" t="s">
        <v>3832</v>
      </c>
      <c r="M3913" s="158" t="s">
        <v>3551</v>
      </c>
      <c r="N3913" s="158" t="s">
        <v>5317</v>
      </c>
      <c r="O3913" s="158"/>
      <c r="P3913" s="182" t="s">
        <v>461</v>
      </c>
      <c r="Q3913" s="158" t="s">
        <v>4929</v>
      </c>
      <c r="R3913" s="207" t="s">
        <v>4796</v>
      </c>
      <c r="S3913" s="355" t="s">
        <v>3372</v>
      </c>
      <c r="T3913" s="182"/>
      <c r="U3913" s="182"/>
      <c r="V3913" s="182"/>
      <c r="W3913" s="325" t="s">
        <v>4801</v>
      </c>
      <c r="X3913" s="657" t="s">
        <v>14564</v>
      </c>
      <c r="Y3913" s="361"/>
      <c r="Z3913" s="362"/>
      <c r="AA3913" s="362"/>
      <c r="AB3913" s="33">
        <f t="shared" ca="1" si="102"/>
        <v>0.45404884446754235</v>
      </c>
      <c r="AC3913" s="813"/>
      <c r="AD3913" s="211"/>
      <c r="AE3913" s="949"/>
      <c r="AF3913" s="922">
        <f>IF(X3913=X3912,AF3912,0)+IF(ISNUMBER(I3913),IF(I3913&lt;1,I3913,I3913*VLOOKUP(J3913,Summary!$H$2:$I$9,2)),VLOOKUP(J3913,Summary!$J$2:$K$9,2)*IF(ISNUMBER(H3913),H3913,1))</f>
        <v>1.1257175925925931</v>
      </c>
      <c r="AG3913" s="295">
        <v>3912</v>
      </c>
      <c r="AH3913" s="94"/>
      <c r="AI3913" s="94"/>
      <c r="AJ3913" s="2"/>
    </row>
    <row r="3914" spans="1:36" s="2" customFormat="1" ht="12" customHeight="1" x14ac:dyDescent="0.25">
      <c r="A3914" s="603" t="s">
        <v>14558</v>
      </c>
      <c r="B3914" s="603">
        <v>10</v>
      </c>
      <c r="C3914" s="603">
        <v>2</v>
      </c>
      <c r="D3914" s="428" t="s">
        <v>4793</v>
      </c>
      <c r="E3914" s="325" t="s">
        <v>6174</v>
      </c>
      <c r="F3914" s="184">
        <v>39064</v>
      </c>
      <c r="G3914" s="184"/>
      <c r="H3914" s="185">
        <v>1</v>
      </c>
      <c r="I3914" s="185">
        <v>4</v>
      </c>
      <c r="J3914" s="901" t="s">
        <v>1796</v>
      </c>
      <c r="K3914" s="158" t="s">
        <v>5198</v>
      </c>
      <c r="L3914" s="158" t="s">
        <v>7928</v>
      </c>
      <c r="M3914" s="158"/>
      <c r="N3914" s="158" t="s">
        <v>4794</v>
      </c>
      <c r="O3914" s="158"/>
      <c r="P3914" s="182" t="s">
        <v>461</v>
      </c>
      <c r="Q3914" s="158" t="s">
        <v>4798</v>
      </c>
      <c r="R3914" s="207" t="s">
        <v>4795</v>
      </c>
      <c r="S3914" s="355" t="s">
        <v>3372</v>
      </c>
      <c r="T3914" s="182"/>
      <c r="U3914" s="182"/>
      <c r="V3914" s="182"/>
      <c r="W3914" s="325" t="s">
        <v>6174</v>
      </c>
      <c r="X3914" s="657" t="s">
        <v>14564</v>
      </c>
      <c r="Y3914" s="361"/>
      <c r="Z3914" s="362"/>
      <c r="AA3914" s="362"/>
      <c r="AB3914" s="33">
        <f t="shared" ca="1" si="102"/>
        <v>0.43552608065802967</v>
      </c>
      <c r="AC3914" s="813"/>
      <c r="AD3914" s="211"/>
      <c r="AE3914" s="949"/>
      <c r="AF3914" s="922">
        <f>IF(X3914=X3913,AF3913,0)+IF(ISNUMBER(I3914),IF(I3914&lt;1,I3914,I3914*VLOOKUP(J3914,Summary!$H$2:$I$9,2)),VLOOKUP(J3914,Summary!$J$2:$K$9,2)*IF(ISNUMBER(H3914),H3914,1))</f>
        <v>1.127106481481482</v>
      </c>
      <c r="AG3914" s="295">
        <v>3913</v>
      </c>
      <c r="AH3914" s="94"/>
      <c r="AI3914" s="94"/>
      <c r="AJ3914" s="3"/>
    </row>
    <row r="3915" spans="1:36" s="29" customFormat="1" ht="12" customHeight="1" x14ac:dyDescent="0.25">
      <c r="A3915" s="598" t="s">
        <v>14558</v>
      </c>
      <c r="B3915" s="598">
        <v>10</v>
      </c>
      <c r="C3915" s="598">
        <v>2</v>
      </c>
      <c r="D3915" s="509" t="s">
        <v>7958</v>
      </c>
      <c r="E3915" s="335" t="s">
        <v>7959</v>
      </c>
      <c r="F3915" s="223">
        <v>38822</v>
      </c>
      <c r="G3915" s="223"/>
      <c r="H3915" s="242">
        <v>1</v>
      </c>
      <c r="I3915" s="792">
        <f>TIME(0,0,54)</f>
        <v>6.2500000000000001E-4</v>
      </c>
      <c r="J3915" s="909" t="s">
        <v>1588</v>
      </c>
      <c r="K3915" s="243" t="s">
        <v>3451</v>
      </c>
      <c r="L3915" s="243"/>
      <c r="M3915" s="243"/>
      <c r="N3915" s="243" t="s">
        <v>3373</v>
      </c>
      <c r="O3915" s="243" t="s">
        <v>3375</v>
      </c>
      <c r="P3915" s="241" t="s">
        <v>461</v>
      </c>
      <c r="Q3915" s="243" t="s">
        <v>3946</v>
      </c>
      <c r="R3915" s="244" t="s">
        <v>7957</v>
      </c>
      <c r="S3915" s="395"/>
      <c r="T3915" s="241"/>
      <c r="U3915" s="241"/>
      <c r="V3915" s="241"/>
      <c r="W3915" s="339" t="s">
        <v>9643</v>
      </c>
      <c r="X3915" s="672" t="s">
        <v>14564</v>
      </c>
      <c r="Y3915" s="375"/>
      <c r="Z3915" s="377"/>
      <c r="AA3915" s="377"/>
      <c r="AB3915" s="55">
        <f t="shared" ca="1" si="102"/>
        <v>0.73962019538731338</v>
      </c>
      <c r="AC3915" s="834"/>
      <c r="AD3915" s="835"/>
      <c r="AE3915" s="957"/>
      <c r="AF3915" s="930">
        <f>IF(X3915=X3914,AF3914,0)+IF(ISNUMBER(I3915),IF(I3915&lt;1,I3915,I3915*VLOOKUP(J3915,Summary!$H$2:$I$9,2)),VLOOKUP(J3915,Summary!$J$2:$K$9,2)*IF(ISNUMBER(H3915),H3915,1))</f>
        <v>1.1277314814814821</v>
      </c>
      <c r="AG3915" s="302">
        <v>3914</v>
      </c>
      <c r="AH3915" s="94"/>
      <c r="AI3915" s="94"/>
      <c r="AJ3915" s="2"/>
    </row>
    <row r="3916" spans="1:36" s="43" customFormat="1" ht="12" customHeight="1" x14ac:dyDescent="0.25">
      <c r="A3916" s="599" t="s">
        <v>14558</v>
      </c>
      <c r="B3916" s="599">
        <v>10</v>
      </c>
      <c r="C3916" s="599">
        <v>169</v>
      </c>
      <c r="D3916" s="424" t="s">
        <v>7509</v>
      </c>
      <c r="E3916" s="319" t="s">
        <v>7510</v>
      </c>
      <c r="F3916" s="198">
        <v>38829</v>
      </c>
      <c r="G3916" s="198"/>
      <c r="H3916" s="199">
        <v>1</v>
      </c>
      <c r="I3916" s="791">
        <f>TIME(0,44,31)</f>
        <v>3.0914351851851849E-2</v>
      </c>
      <c r="J3916" s="904" t="s">
        <v>1588</v>
      </c>
      <c r="K3916" s="200" t="s">
        <v>3373</v>
      </c>
      <c r="L3916" s="200" t="s">
        <v>4961</v>
      </c>
      <c r="M3916" s="200"/>
      <c r="N3916" s="200" t="s">
        <v>3373</v>
      </c>
      <c r="O3916" s="200" t="s">
        <v>3375</v>
      </c>
      <c r="P3916" s="197" t="s">
        <v>461</v>
      </c>
      <c r="Q3916" s="200" t="s">
        <v>3946</v>
      </c>
      <c r="R3916" s="201" t="s">
        <v>5280</v>
      </c>
      <c r="S3916" s="390" t="s">
        <v>3372</v>
      </c>
      <c r="T3916" s="197"/>
      <c r="U3916" s="197"/>
      <c r="V3916" s="197"/>
      <c r="W3916" s="319" t="s">
        <v>7510</v>
      </c>
      <c r="X3916" s="651" t="s">
        <v>14564</v>
      </c>
      <c r="Y3916" s="358" t="s">
        <v>6141</v>
      </c>
      <c r="Z3916" s="253">
        <v>98</v>
      </c>
      <c r="AA3916" s="253">
        <v>7</v>
      </c>
      <c r="AB3916" s="35">
        <f t="shared" ca="1" si="102"/>
        <v>0.66818108206699911</v>
      </c>
      <c r="AC3916" s="820"/>
      <c r="AD3916" s="824" t="s">
        <v>14578</v>
      </c>
      <c r="AE3916" s="967"/>
      <c r="AF3916" s="925">
        <f>IF(X3916=X3915,AF3915,0)+IF(ISNUMBER(I3916),IF(I3916&lt;1,I3916,I3916*VLOOKUP(J3916,Summary!$H$2:$I$9,2)),VLOOKUP(J3916,Summary!$J$2:$K$9,2)*IF(ISNUMBER(H3916),H3916,1))</f>
        <v>1.1586458333333338</v>
      </c>
      <c r="AG3916" s="293">
        <v>3915</v>
      </c>
      <c r="AH3916" s="94"/>
      <c r="AI3916" s="94"/>
      <c r="AJ3916" s="3"/>
    </row>
    <row r="3917" spans="1:36" s="29" customFormat="1" ht="12" customHeight="1" x14ac:dyDescent="0.25">
      <c r="A3917" s="408" t="s">
        <v>10620</v>
      </c>
      <c r="B3917" s="408" t="s">
        <v>3227</v>
      </c>
      <c r="C3917" s="408">
        <v>10</v>
      </c>
      <c r="D3917" s="434" t="s">
        <v>2799</v>
      </c>
      <c r="E3917" s="324" t="s">
        <v>2800</v>
      </c>
      <c r="F3917" s="175">
        <v>39324</v>
      </c>
      <c r="G3917" s="175"/>
      <c r="H3917" s="176">
        <v>1</v>
      </c>
      <c r="I3917" s="176"/>
      <c r="J3917" s="900" t="s">
        <v>2755</v>
      </c>
      <c r="K3917" s="157" t="s">
        <v>543</v>
      </c>
      <c r="L3917" s="157"/>
      <c r="M3917" s="157"/>
      <c r="N3917" s="157"/>
      <c r="O3917" s="157"/>
      <c r="P3917" s="173" t="s">
        <v>3610</v>
      </c>
      <c r="Q3917" s="157" t="s">
        <v>3954</v>
      </c>
      <c r="R3917" s="179" t="s">
        <v>3609</v>
      </c>
      <c r="S3917" s="354"/>
      <c r="T3917" s="173" t="s">
        <v>3068</v>
      </c>
      <c r="U3917" s="173"/>
      <c r="V3917" s="173"/>
      <c r="W3917" s="324" t="s">
        <v>2800</v>
      </c>
      <c r="X3917" s="656" t="s">
        <v>13215</v>
      </c>
      <c r="Y3917" s="363"/>
      <c r="Z3917" s="364"/>
      <c r="AA3917" s="364"/>
      <c r="AB3917" s="32">
        <f t="shared" ca="1" si="102"/>
        <v>0.93837147669844756</v>
      </c>
      <c r="AC3917" s="812"/>
      <c r="AD3917" s="763" t="s">
        <v>14579</v>
      </c>
      <c r="AE3917" s="951"/>
      <c r="AF3917" s="921">
        <f>IF(X3917=X3916,AF3916,0)+IF(ISNUMBER(I3917),IF(I3917&lt;1,I3917,I3917*VLOOKUP(J3917,Summary!$H$2:$I$9,2)),VLOOKUP(J3917,Summary!$J$2:$K$9,2)*IF(ISNUMBER(H3917),H3917,1))</f>
        <v>1.7361111111111112E-2</v>
      </c>
      <c r="AG3917" s="288">
        <v>3916</v>
      </c>
      <c r="AH3917" s="94"/>
      <c r="AI3917" s="94"/>
      <c r="AJ3917" s="3"/>
    </row>
    <row r="3918" spans="1:36" s="29" customFormat="1" ht="12" customHeight="1" x14ac:dyDescent="0.25">
      <c r="A3918" s="405" t="s">
        <v>10620</v>
      </c>
      <c r="B3918" s="596" t="s">
        <v>3227</v>
      </c>
      <c r="C3918" s="533">
        <v>2.0099999999999998</v>
      </c>
      <c r="D3918" s="407" t="s">
        <v>10614</v>
      </c>
      <c r="E3918" s="315" t="s">
        <v>10615</v>
      </c>
      <c r="F3918" s="196">
        <v>42439</v>
      </c>
      <c r="G3918" s="196"/>
      <c r="H3918" s="170">
        <v>1</v>
      </c>
      <c r="I3918" s="747">
        <f>TIME(0,60,0)</f>
        <v>4.1666666666666664E-2</v>
      </c>
      <c r="J3918" s="899" t="s">
        <v>4706</v>
      </c>
      <c r="K3918" s="167" t="s">
        <v>10631</v>
      </c>
      <c r="L3918" s="167" t="s">
        <v>179</v>
      </c>
      <c r="M3918" s="167"/>
      <c r="N3918" s="167"/>
      <c r="O3918" s="167"/>
      <c r="P3918" s="168" t="s">
        <v>10632</v>
      </c>
      <c r="Q3918" s="167" t="s">
        <v>3947</v>
      </c>
      <c r="R3918" s="172" t="s">
        <v>10605</v>
      </c>
      <c r="S3918" s="388"/>
      <c r="T3918" s="168" t="s">
        <v>3068</v>
      </c>
      <c r="U3918" s="168"/>
      <c r="V3918" s="168"/>
      <c r="W3918" s="315" t="s">
        <v>10615</v>
      </c>
      <c r="X3918" s="647" t="s">
        <v>13215</v>
      </c>
      <c r="Y3918" s="352" t="s">
        <v>5643</v>
      </c>
      <c r="Z3918" s="353">
        <v>543</v>
      </c>
      <c r="AA3918" s="353">
        <v>3.5</v>
      </c>
      <c r="AB3918" s="31">
        <f t="shared" ca="1" si="102"/>
        <v>0.63098814693888483</v>
      </c>
      <c r="AC3918" s="810"/>
      <c r="AD3918" s="825" t="s">
        <v>14909</v>
      </c>
      <c r="AE3918" s="940"/>
      <c r="AF3918" s="920">
        <f>IF(X3918=X3917,AF3917,0)+IF(ISNUMBER(I3918),IF(I3918&lt;1,I3918,I3918*VLOOKUP(J3918,Summary!$H$2:$I$9,2)),VLOOKUP(J3918,Summary!$J$2:$K$9,2)*IF(ISNUMBER(H3918),H3918,1))</f>
        <v>5.9027777777777776E-2</v>
      </c>
      <c r="AG3918" s="287">
        <v>3917</v>
      </c>
      <c r="AH3918" s="94"/>
      <c r="AI3918" s="94"/>
      <c r="AJ3918" s="2"/>
    </row>
    <row r="3919" spans="1:36" s="29" customFormat="1" ht="12" customHeight="1" x14ac:dyDescent="0.25">
      <c r="A3919" s="422" t="s">
        <v>10620</v>
      </c>
      <c r="B3919" s="422" t="s">
        <v>3227</v>
      </c>
      <c r="C3919" s="437">
        <v>15.1</v>
      </c>
      <c r="D3919" s="434" t="s">
        <v>7068</v>
      </c>
      <c r="E3919" s="324" t="s">
        <v>7066</v>
      </c>
      <c r="F3919" s="175">
        <v>40101</v>
      </c>
      <c r="G3919" s="175"/>
      <c r="H3919" s="176" t="str">
        <f>IF(J3919="Book","n/a","")</f>
        <v/>
      </c>
      <c r="I3919" s="176"/>
      <c r="J3919" s="900" t="s">
        <v>2755</v>
      </c>
      <c r="K3919" s="157" t="s">
        <v>4146</v>
      </c>
      <c r="L3919" s="164" t="s">
        <v>461</v>
      </c>
      <c r="M3919" s="157"/>
      <c r="N3919" s="157"/>
      <c r="O3919" s="157"/>
      <c r="P3919" s="173" t="s">
        <v>7069</v>
      </c>
      <c r="Q3919" s="157" t="s">
        <v>3953</v>
      </c>
      <c r="R3919" s="179" t="s">
        <v>2719</v>
      </c>
      <c r="S3919" s="354"/>
      <c r="T3919" s="173" t="s">
        <v>3068</v>
      </c>
      <c r="U3919" s="173"/>
      <c r="V3919" s="173"/>
      <c r="W3919" s="342" t="s">
        <v>7066</v>
      </c>
      <c r="X3919" s="677" t="s">
        <v>13215</v>
      </c>
      <c r="Y3919" s="363"/>
      <c r="Z3919" s="364"/>
      <c r="AA3919" s="364"/>
      <c r="AB3919" s="32">
        <f t="shared" ca="1" si="102"/>
        <v>0.36099079657287747</v>
      </c>
      <c r="AC3919" s="812"/>
      <c r="AD3919" s="763" t="s">
        <v>16653</v>
      </c>
      <c r="AE3919" s="951"/>
      <c r="AF3919" s="921">
        <f>IF(X3919=X3918,AF3918,0)+IF(ISNUMBER(I3919),IF(I3919&lt;1,I3919,I3919*VLOOKUP(J3919,Summary!$H$2:$I$9,2)),VLOOKUP(J3919,Summary!$J$2:$K$9,2)*IF(ISNUMBER(H3919),H3919,1))</f>
        <v>7.6388888888888895E-2</v>
      </c>
      <c r="AG3919" s="288">
        <v>3918</v>
      </c>
      <c r="AH3919" s="94"/>
      <c r="AI3919" s="94"/>
      <c r="AJ3919" s="3"/>
    </row>
    <row r="3920" spans="1:36" s="22" customFormat="1" ht="12" customHeight="1" x14ac:dyDescent="0.25">
      <c r="A3920" s="534" t="s">
        <v>10620</v>
      </c>
      <c r="B3920" s="534" t="s">
        <v>3227</v>
      </c>
      <c r="C3920" s="534">
        <v>25.3</v>
      </c>
      <c r="D3920" s="428" t="s">
        <v>72</v>
      </c>
      <c r="E3920" s="325" t="s">
        <v>73</v>
      </c>
      <c r="F3920" s="184">
        <v>40528</v>
      </c>
      <c r="G3920" s="184"/>
      <c r="H3920" s="185">
        <v>1</v>
      </c>
      <c r="I3920" s="185">
        <v>11</v>
      </c>
      <c r="J3920" s="901" t="s">
        <v>1796</v>
      </c>
      <c r="K3920" s="158" t="s">
        <v>7375</v>
      </c>
      <c r="L3920" s="158" t="s">
        <v>2866</v>
      </c>
      <c r="M3920" s="158"/>
      <c r="N3920" s="158" t="s">
        <v>7078</v>
      </c>
      <c r="O3920" s="158"/>
      <c r="P3920" s="182" t="s">
        <v>461</v>
      </c>
      <c r="Q3920" s="158" t="s">
        <v>7076</v>
      </c>
      <c r="R3920" s="207" t="s">
        <v>74</v>
      </c>
      <c r="S3920" s="355"/>
      <c r="T3920" s="182" t="s">
        <v>3068</v>
      </c>
      <c r="U3920" s="182"/>
      <c r="V3920" s="182"/>
      <c r="W3920" s="325" t="s">
        <v>73</v>
      </c>
      <c r="X3920" s="657" t="s">
        <v>13215</v>
      </c>
      <c r="Y3920" s="361"/>
      <c r="Z3920" s="362"/>
      <c r="AA3920" s="362"/>
      <c r="AB3920" s="33">
        <f t="shared" ca="1" si="102"/>
        <v>0.60269341668258125</v>
      </c>
      <c r="AC3920" s="813"/>
      <c r="AD3920" s="211" t="s">
        <v>16730</v>
      </c>
      <c r="AE3920" s="949"/>
      <c r="AF3920" s="922">
        <f>IF(X3920=X3919,AF3919,0)+IF(ISNUMBER(I3920),IF(I3920&lt;1,I3920,I3920*VLOOKUP(J3920,Summary!$H$2:$I$9,2)),VLOOKUP(J3920,Summary!$J$2:$K$9,2)*IF(ISNUMBER(H3920),H3920,1))</f>
        <v>8.020833333333334E-2</v>
      </c>
      <c r="AG3920" s="295">
        <v>3919</v>
      </c>
      <c r="AH3920" s="94"/>
      <c r="AI3920" s="94"/>
      <c r="AJ3920" s="2"/>
    </row>
    <row r="3921" spans="1:36" s="43" customFormat="1" ht="12" customHeight="1" x14ac:dyDescent="0.25">
      <c r="A3921" s="405" t="s">
        <v>10620</v>
      </c>
      <c r="B3921" s="596" t="s">
        <v>3227</v>
      </c>
      <c r="C3921" s="533">
        <v>3.0599999999999987</v>
      </c>
      <c r="D3921" s="407" t="s">
        <v>13167</v>
      </c>
      <c r="E3921" s="315" t="s">
        <v>13172</v>
      </c>
      <c r="F3921" s="196">
        <v>42955</v>
      </c>
      <c r="G3921" s="196"/>
      <c r="H3921" s="170">
        <v>1</v>
      </c>
      <c r="I3921" s="747">
        <f t="shared" ref="I3921:I3931" si="103">TIME(0,60,0)</f>
        <v>4.1666666666666664E-2</v>
      </c>
      <c r="J3921" s="899" t="s">
        <v>4706</v>
      </c>
      <c r="K3921" s="167" t="s">
        <v>5960</v>
      </c>
      <c r="L3921" s="167" t="s">
        <v>179</v>
      </c>
      <c r="M3921" s="167"/>
      <c r="N3921" s="167"/>
      <c r="O3921" s="167" t="s">
        <v>1643</v>
      </c>
      <c r="P3921" s="168" t="s">
        <v>13186</v>
      </c>
      <c r="Q3921" s="167" t="s">
        <v>3947</v>
      </c>
      <c r="R3921" s="172" t="s">
        <v>10605</v>
      </c>
      <c r="S3921" s="388"/>
      <c r="T3921" s="168"/>
      <c r="U3921" s="168"/>
      <c r="V3921" s="168"/>
      <c r="W3921" s="315" t="s">
        <v>13172</v>
      </c>
      <c r="X3921" s="647" t="s">
        <v>13215</v>
      </c>
      <c r="Y3921" s="352"/>
      <c r="Z3921" s="353"/>
      <c r="AA3921" s="353"/>
      <c r="AB3921" s="31">
        <f t="shared" ca="1" si="102"/>
        <v>0.4848503506804106</v>
      </c>
      <c r="AC3921" s="810"/>
      <c r="AD3921" s="825" t="s">
        <v>14586</v>
      </c>
      <c r="AE3921" s="940"/>
      <c r="AF3921" s="920">
        <f>IF(X3921=X3920,AF3920,0)+IF(ISNUMBER(I3921),IF(I3921&lt;1,I3921,I3921*VLOOKUP(J3921,Summary!$H$2:$I$9,2)),VLOOKUP(J3921,Summary!$J$2:$K$9,2)*IF(ISNUMBER(H3921),H3921,1))</f>
        <v>0.12187500000000001</v>
      </c>
      <c r="AG3921" s="287">
        <v>3920</v>
      </c>
      <c r="AH3921" s="94"/>
      <c r="AI3921" s="94"/>
      <c r="AJ3921" s="2"/>
    </row>
    <row r="3922" spans="1:36" s="29" customFormat="1" ht="12" customHeight="1" x14ac:dyDescent="0.25">
      <c r="A3922" s="405" t="s">
        <v>10620</v>
      </c>
      <c r="B3922" s="596" t="s">
        <v>3227</v>
      </c>
      <c r="C3922" s="533">
        <v>3.0199999999999996</v>
      </c>
      <c r="D3922" s="407" t="s">
        <v>13163</v>
      </c>
      <c r="E3922" s="315" t="s">
        <v>13168</v>
      </c>
      <c r="F3922" s="196">
        <v>42843</v>
      </c>
      <c r="G3922" s="196"/>
      <c r="H3922" s="170">
        <v>1</v>
      </c>
      <c r="I3922" s="747">
        <f t="shared" si="103"/>
        <v>4.1666666666666664E-2</v>
      </c>
      <c r="J3922" s="899" t="s">
        <v>4706</v>
      </c>
      <c r="K3922" s="167" t="s">
        <v>13181</v>
      </c>
      <c r="L3922" s="167" t="s">
        <v>5662</v>
      </c>
      <c r="M3922" s="167"/>
      <c r="N3922" s="167"/>
      <c r="O3922" s="167" t="s">
        <v>1643</v>
      </c>
      <c r="P3922" s="168" t="s">
        <v>13182</v>
      </c>
      <c r="Q3922" s="167" t="s">
        <v>3947</v>
      </c>
      <c r="R3922" s="172" t="s">
        <v>10605</v>
      </c>
      <c r="S3922" s="388"/>
      <c r="T3922" s="168"/>
      <c r="U3922" s="168"/>
      <c r="V3922" s="168"/>
      <c r="W3922" s="315" t="s">
        <v>13168</v>
      </c>
      <c r="X3922" s="647" t="s">
        <v>13215</v>
      </c>
      <c r="Y3922" s="352"/>
      <c r="Z3922" s="353"/>
      <c r="AA3922" s="353"/>
      <c r="AB3922" s="31">
        <f t="shared" ca="1" si="102"/>
        <v>0.33350049077350319</v>
      </c>
      <c r="AC3922" s="810"/>
      <c r="AD3922" s="811" t="s">
        <v>14580</v>
      </c>
      <c r="AE3922" s="940"/>
      <c r="AF3922" s="920">
        <f>IF(X3922=X3921,AF3921,0)+IF(ISNUMBER(I3922),IF(I3922&lt;1,I3922,I3922*VLOOKUP(J3922,Summary!$H$2:$I$9,2)),VLOOKUP(J3922,Summary!$J$2:$K$9,2)*IF(ISNUMBER(H3922),H3922,1))</f>
        <v>0.16354166666666667</v>
      </c>
      <c r="AG3922" s="287">
        <v>3921</v>
      </c>
      <c r="AH3922" s="94"/>
      <c r="AI3922" s="94"/>
      <c r="AJ3922" s="3"/>
    </row>
    <row r="3923" spans="1:36" s="29" customFormat="1" ht="12" customHeight="1" x14ac:dyDescent="0.25">
      <c r="A3923" s="405" t="s">
        <v>10620</v>
      </c>
      <c r="B3923" s="596" t="s">
        <v>3227</v>
      </c>
      <c r="C3923" s="533">
        <v>1.04</v>
      </c>
      <c r="D3923" s="407" t="s">
        <v>10617</v>
      </c>
      <c r="E3923" s="315" t="s">
        <v>10618</v>
      </c>
      <c r="F3923" s="196">
        <v>42345</v>
      </c>
      <c r="G3923" s="196"/>
      <c r="H3923" s="170">
        <v>1</v>
      </c>
      <c r="I3923" s="747">
        <f t="shared" si="103"/>
        <v>4.1666666666666664E-2</v>
      </c>
      <c r="J3923" s="899" t="s">
        <v>4706</v>
      </c>
      <c r="K3923" s="167" t="s">
        <v>4425</v>
      </c>
      <c r="L3923" s="167" t="s">
        <v>3296</v>
      </c>
      <c r="M3923" s="167"/>
      <c r="N3923" s="167"/>
      <c r="O3923" s="167"/>
      <c r="P3923" s="168" t="s">
        <v>10621</v>
      </c>
      <c r="Q3923" s="167" t="s">
        <v>3947</v>
      </c>
      <c r="R3923" s="172" t="s">
        <v>10605</v>
      </c>
      <c r="S3923" s="388"/>
      <c r="T3923" s="168"/>
      <c r="U3923" s="168"/>
      <c r="V3923" s="168"/>
      <c r="W3923" s="315" t="s">
        <v>10618</v>
      </c>
      <c r="X3923" s="647" t="s">
        <v>13215</v>
      </c>
      <c r="Y3923" s="352" t="s">
        <v>5643</v>
      </c>
      <c r="Z3923" s="353">
        <v>136</v>
      </c>
      <c r="AA3923" s="353">
        <v>7</v>
      </c>
      <c r="AB3923" s="31">
        <f t="shared" ca="1" si="102"/>
        <v>0.33477777821201249</v>
      </c>
      <c r="AC3923" s="810"/>
      <c r="AD3923" s="825" t="s">
        <v>14581</v>
      </c>
      <c r="AE3923" s="940"/>
      <c r="AF3923" s="920">
        <f>IF(X3923=X3922,AF3922,0)+IF(ISNUMBER(I3923),IF(I3923&lt;1,I3923,I3923*VLOOKUP(J3923,Summary!$H$2:$I$9,2)),VLOOKUP(J3923,Summary!$J$2:$K$9,2)*IF(ISNUMBER(H3923),H3923,1))</f>
        <v>0.20520833333333333</v>
      </c>
      <c r="AG3923" s="287">
        <v>3922</v>
      </c>
      <c r="AH3923" s="94"/>
      <c r="AI3923" s="94"/>
      <c r="AJ3923" s="3"/>
    </row>
    <row r="3924" spans="1:36" s="29" customFormat="1" ht="12" customHeight="1" x14ac:dyDescent="0.25">
      <c r="A3924" s="405" t="s">
        <v>10620</v>
      </c>
      <c r="B3924" s="596" t="s">
        <v>3227</v>
      </c>
      <c r="C3924" s="533">
        <v>1.01</v>
      </c>
      <c r="D3924" s="407" t="s">
        <v>14993</v>
      </c>
      <c r="E3924" s="315" t="s">
        <v>13177</v>
      </c>
      <c r="F3924" s="196">
        <v>42754</v>
      </c>
      <c r="G3924" s="196"/>
      <c r="H3924" s="170">
        <v>1</v>
      </c>
      <c r="I3924" s="747">
        <f t="shared" si="103"/>
        <v>4.1666666666666664E-2</v>
      </c>
      <c r="J3924" s="899" t="s">
        <v>4706</v>
      </c>
      <c r="K3924" s="167" t="s">
        <v>4425</v>
      </c>
      <c r="L3924" s="167" t="s">
        <v>3296</v>
      </c>
      <c r="M3924" s="167"/>
      <c r="N3924" s="167" t="s">
        <v>179</v>
      </c>
      <c r="O3924" s="167" t="s">
        <v>1643</v>
      </c>
      <c r="P3924" s="168" t="s">
        <v>13176</v>
      </c>
      <c r="Q3924" s="167" t="s">
        <v>3947</v>
      </c>
      <c r="R3924" s="172" t="s">
        <v>14996</v>
      </c>
      <c r="S3924" s="388"/>
      <c r="T3924" s="168"/>
      <c r="U3924" s="168"/>
      <c r="V3924" s="168"/>
      <c r="W3924" s="315" t="s">
        <v>13177</v>
      </c>
      <c r="X3924" s="647" t="s">
        <v>13215</v>
      </c>
      <c r="Y3924" s="352"/>
      <c r="Z3924" s="353"/>
      <c r="AA3924" s="353"/>
      <c r="AB3924" s="31">
        <f t="shared" ca="1" si="102"/>
        <v>0.94600444846233489</v>
      </c>
      <c r="AC3924" s="810"/>
      <c r="AD3924" s="825" t="s">
        <v>14581</v>
      </c>
      <c r="AE3924" s="940"/>
      <c r="AF3924" s="920">
        <f>IF(X3924=X3923,AF3923,0)+IF(ISNUMBER(I3924),IF(I3924&lt;1,I3924,I3924*VLOOKUP(J3924,Summary!$H$2:$I$9,2)),VLOOKUP(J3924,Summary!$J$2:$K$9,2)*IF(ISNUMBER(H3924),H3924,1))</f>
        <v>0.24687499999999998</v>
      </c>
      <c r="AG3924" s="287">
        <v>3923</v>
      </c>
      <c r="AH3924" s="94"/>
      <c r="AI3924" s="94"/>
      <c r="AJ3924" s="2"/>
    </row>
    <row r="3925" spans="1:36" s="22" customFormat="1" ht="12" customHeight="1" x14ac:dyDescent="0.2">
      <c r="A3925" s="405" t="s">
        <v>10620</v>
      </c>
      <c r="B3925" s="596" t="s">
        <v>3227</v>
      </c>
      <c r="C3925" s="533">
        <v>1.02</v>
      </c>
      <c r="D3925" s="407" t="s">
        <v>14994</v>
      </c>
      <c r="E3925" s="315" t="s">
        <v>13178</v>
      </c>
      <c r="F3925" s="196">
        <v>42754</v>
      </c>
      <c r="G3925" s="196"/>
      <c r="H3925" s="170">
        <v>1</v>
      </c>
      <c r="I3925" s="747">
        <f t="shared" si="103"/>
        <v>4.1666666666666664E-2</v>
      </c>
      <c r="J3925" s="899" t="s">
        <v>4706</v>
      </c>
      <c r="K3925" s="167" t="s">
        <v>10100</v>
      </c>
      <c r="L3925" s="167" t="s">
        <v>3296</v>
      </c>
      <c r="M3925" s="167"/>
      <c r="N3925" s="167" t="s">
        <v>179</v>
      </c>
      <c r="O3925" s="167" t="s">
        <v>1643</v>
      </c>
      <c r="P3925" s="168" t="s">
        <v>13176</v>
      </c>
      <c r="Q3925" s="167" t="s">
        <v>3947</v>
      </c>
      <c r="R3925" s="172" t="s">
        <v>14996</v>
      </c>
      <c r="S3925" s="388"/>
      <c r="T3925" s="168"/>
      <c r="U3925" s="168"/>
      <c r="V3925" s="168"/>
      <c r="W3925" s="315" t="s">
        <v>13178</v>
      </c>
      <c r="X3925" s="647" t="s">
        <v>13215</v>
      </c>
      <c r="Y3925" s="352"/>
      <c r="Z3925" s="353"/>
      <c r="AA3925" s="353"/>
      <c r="AB3925" s="31">
        <f t="shared" ca="1" si="102"/>
        <v>0.17764773839832637</v>
      </c>
      <c r="AC3925" s="810"/>
      <c r="AD3925" s="825" t="s">
        <v>14581</v>
      </c>
      <c r="AE3925" s="940"/>
      <c r="AF3925" s="920">
        <f>IF(X3925=X3924,AF3924,0)+IF(ISNUMBER(I3925),IF(I3925&lt;1,I3925,I3925*VLOOKUP(J3925,Summary!$H$2:$I$9,2)),VLOOKUP(J3925,Summary!$J$2:$K$9,2)*IF(ISNUMBER(H3925),H3925,1))</f>
        <v>0.28854166666666664</v>
      </c>
      <c r="AG3925" s="287">
        <v>3924</v>
      </c>
      <c r="AH3925" s="94"/>
      <c r="AI3925" s="94"/>
    </row>
    <row r="3926" spans="1:36" s="22" customFormat="1" ht="12" customHeight="1" x14ac:dyDescent="0.2">
      <c r="A3926" s="405" t="s">
        <v>10620</v>
      </c>
      <c r="B3926" s="596" t="s">
        <v>3227</v>
      </c>
      <c r="C3926" s="533">
        <v>1.03</v>
      </c>
      <c r="D3926" s="407" t="s">
        <v>14995</v>
      </c>
      <c r="E3926" s="315" t="s">
        <v>13179</v>
      </c>
      <c r="F3926" s="196">
        <v>42754</v>
      </c>
      <c r="G3926" s="196"/>
      <c r="H3926" s="170">
        <v>1</v>
      </c>
      <c r="I3926" s="747">
        <f t="shared" si="103"/>
        <v>4.1666666666666664E-2</v>
      </c>
      <c r="J3926" s="899" t="s">
        <v>4706</v>
      </c>
      <c r="K3926" s="167" t="s">
        <v>6452</v>
      </c>
      <c r="L3926" s="167" t="s">
        <v>3296</v>
      </c>
      <c r="M3926" s="167"/>
      <c r="N3926" s="167" t="s">
        <v>179</v>
      </c>
      <c r="O3926" s="167" t="s">
        <v>1643</v>
      </c>
      <c r="P3926" s="168" t="s">
        <v>13176</v>
      </c>
      <c r="Q3926" s="167" t="s">
        <v>3947</v>
      </c>
      <c r="R3926" s="172" t="s">
        <v>14996</v>
      </c>
      <c r="S3926" s="388"/>
      <c r="T3926" s="168"/>
      <c r="U3926" s="168"/>
      <c r="V3926" s="168"/>
      <c r="W3926" s="315" t="s">
        <v>13179</v>
      </c>
      <c r="X3926" s="647" t="s">
        <v>13215</v>
      </c>
      <c r="Y3926" s="352"/>
      <c r="Z3926" s="353"/>
      <c r="AA3926" s="353"/>
      <c r="AB3926" s="31">
        <f t="shared" ca="1" si="102"/>
        <v>0.51130520847938388</v>
      </c>
      <c r="AC3926" s="810"/>
      <c r="AD3926" s="825" t="s">
        <v>14581</v>
      </c>
      <c r="AE3926" s="940"/>
      <c r="AF3926" s="920">
        <f>IF(X3926=X3925,AF3925,0)+IF(ISNUMBER(I3926),IF(I3926&lt;1,I3926,I3926*VLOOKUP(J3926,Summary!$H$2:$I$9,2)),VLOOKUP(J3926,Summary!$J$2:$K$9,2)*IF(ISNUMBER(H3926),H3926,1))</f>
        <v>0.33020833333333333</v>
      </c>
      <c r="AG3926" s="287">
        <v>3925</v>
      </c>
      <c r="AH3926" s="94"/>
      <c r="AI3926" s="94"/>
    </row>
    <row r="3927" spans="1:36" s="27" customFormat="1" ht="12" customHeight="1" x14ac:dyDescent="0.25">
      <c r="A3927" s="405" t="s">
        <v>10620</v>
      </c>
      <c r="B3927" s="596" t="s">
        <v>3227</v>
      </c>
      <c r="C3927" s="533">
        <v>2.0099999999999998</v>
      </c>
      <c r="D3927" s="407" t="s">
        <v>14990</v>
      </c>
      <c r="E3927" s="315" t="s">
        <v>14987</v>
      </c>
      <c r="F3927" s="196">
        <v>43299</v>
      </c>
      <c r="G3927" s="196"/>
      <c r="H3927" s="170">
        <v>1</v>
      </c>
      <c r="I3927" s="747">
        <f t="shared" si="103"/>
        <v>4.1666666666666664E-2</v>
      </c>
      <c r="J3927" s="899" t="s">
        <v>4706</v>
      </c>
      <c r="K3927" s="167" t="s">
        <v>6452</v>
      </c>
      <c r="L3927" s="167" t="s">
        <v>3296</v>
      </c>
      <c r="M3927" s="167"/>
      <c r="N3927" s="167"/>
      <c r="O3927" s="167"/>
      <c r="P3927" s="168" t="s">
        <v>14986</v>
      </c>
      <c r="Q3927" s="167" t="s">
        <v>3947</v>
      </c>
      <c r="R3927" s="172" t="s">
        <v>14996</v>
      </c>
      <c r="S3927" s="388"/>
      <c r="T3927" s="168"/>
      <c r="U3927" s="168"/>
      <c r="V3927" s="168"/>
      <c r="W3927" s="315" t="s">
        <v>14987</v>
      </c>
      <c r="X3927" s="647" t="s">
        <v>13215</v>
      </c>
      <c r="Y3927" s="352"/>
      <c r="Z3927" s="353"/>
      <c r="AA3927" s="353"/>
      <c r="AB3927" s="31">
        <f t="shared" ca="1" si="102"/>
        <v>0.90814838809802045</v>
      </c>
      <c r="AC3927" s="810"/>
      <c r="AD3927" s="811" t="s">
        <v>14582</v>
      </c>
      <c r="AE3927" s="940"/>
      <c r="AF3927" s="920">
        <f>IF(X3927=X3926,AF3926,0)+IF(ISNUMBER(I3927),IF(I3927&lt;1,I3927,I3927*VLOOKUP(J3927,Summary!$H$2:$I$9,2)),VLOOKUP(J3927,Summary!$J$2:$K$9,2)*IF(ISNUMBER(H3927),H3927,1))</f>
        <v>0.37187500000000001</v>
      </c>
      <c r="AG3927" s="287">
        <v>3926</v>
      </c>
      <c r="AH3927" s="94"/>
      <c r="AI3927" s="94"/>
    </row>
    <row r="3928" spans="1:36" s="120" customFormat="1" ht="12" customHeight="1" x14ac:dyDescent="0.2">
      <c r="A3928" s="405" t="s">
        <v>10620</v>
      </c>
      <c r="B3928" s="596" t="s">
        <v>3227</v>
      </c>
      <c r="C3928" s="533">
        <v>2.02</v>
      </c>
      <c r="D3928" s="407" t="s">
        <v>14991</v>
      </c>
      <c r="E3928" s="315" t="s">
        <v>14988</v>
      </c>
      <c r="F3928" s="196">
        <v>43299</v>
      </c>
      <c r="G3928" s="196"/>
      <c r="H3928" s="170">
        <v>1</v>
      </c>
      <c r="I3928" s="747">
        <f t="shared" si="103"/>
        <v>4.1666666666666664E-2</v>
      </c>
      <c r="J3928" s="899" t="s">
        <v>4706</v>
      </c>
      <c r="K3928" s="167" t="s">
        <v>106</v>
      </c>
      <c r="L3928" s="167" t="s">
        <v>3296</v>
      </c>
      <c r="M3928" s="167"/>
      <c r="N3928" s="167"/>
      <c r="O3928" s="167"/>
      <c r="P3928" s="168" t="s">
        <v>14986</v>
      </c>
      <c r="Q3928" s="167" t="s">
        <v>3947</v>
      </c>
      <c r="R3928" s="172" t="s">
        <v>14996</v>
      </c>
      <c r="S3928" s="388"/>
      <c r="T3928" s="168"/>
      <c r="U3928" s="168"/>
      <c r="V3928" s="168"/>
      <c r="W3928" s="315" t="s">
        <v>14988</v>
      </c>
      <c r="X3928" s="647" t="s">
        <v>13215</v>
      </c>
      <c r="Y3928" s="352"/>
      <c r="Z3928" s="353"/>
      <c r="AA3928" s="353"/>
      <c r="AB3928" s="31">
        <f t="shared" ca="1" si="102"/>
        <v>0.33091187407164679</v>
      </c>
      <c r="AC3928" s="810"/>
      <c r="AD3928" s="811" t="s">
        <v>14582</v>
      </c>
      <c r="AE3928" s="940"/>
      <c r="AF3928" s="920">
        <f>IF(X3928=X3927,AF3927,0)+IF(ISNUMBER(I3928),IF(I3928&lt;1,I3928,I3928*VLOOKUP(J3928,Summary!$H$2:$I$9,2)),VLOOKUP(J3928,Summary!$J$2:$K$9,2)*IF(ISNUMBER(H3928),H3928,1))</f>
        <v>0.4135416666666667</v>
      </c>
      <c r="AG3928" s="287">
        <v>3927</v>
      </c>
      <c r="AH3928" s="94"/>
      <c r="AI3928" s="94"/>
    </row>
    <row r="3929" spans="1:36" s="22" customFormat="1" ht="12" customHeight="1" x14ac:dyDescent="0.2">
      <c r="A3929" s="405" t="s">
        <v>10620</v>
      </c>
      <c r="B3929" s="596" t="s">
        <v>3227</v>
      </c>
      <c r="C3929" s="533">
        <v>2.0299999999999998</v>
      </c>
      <c r="D3929" s="407" t="s">
        <v>14992</v>
      </c>
      <c r="E3929" s="315" t="s">
        <v>14989</v>
      </c>
      <c r="F3929" s="196">
        <v>43299</v>
      </c>
      <c r="G3929" s="196"/>
      <c r="H3929" s="170">
        <v>1</v>
      </c>
      <c r="I3929" s="747">
        <f t="shared" si="103"/>
        <v>4.1666666666666664E-2</v>
      </c>
      <c r="J3929" s="899" t="s">
        <v>4706</v>
      </c>
      <c r="K3929" s="167" t="s">
        <v>12857</v>
      </c>
      <c r="L3929" s="167" t="s">
        <v>3296</v>
      </c>
      <c r="M3929" s="167"/>
      <c r="N3929" s="167"/>
      <c r="O3929" s="167"/>
      <c r="P3929" s="168" t="s">
        <v>14986</v>
      </c>
      <c r="Q3929" s="167" t="s">
        <v>3947</v>
      </c>
      <c r="R3929" s="172" t="s">
        <v>14996</v>
      </c>
      <c r="S3929" s="388"/>
      <c r="T3929" s="168"/>
      <c r="U3929" s="168"/>
      <c r="V3929" s="168"/>
      <c r="W3929" s="315" t="s">
        <v>14989</v>
      </c>
      <c r="X3929" s="647" t="s">
        <v>13215</v>
      </c>
      <c r="Y3929" s="352"/>
      <c r="Z3929" s="353"/>
      <c r="AA3929" s="353"/>
      <c r="AB3929" s="31">
        <f t="shared" ca="1" si="102"/>
        <v>0.1292505063366679</v>
      </c>
      <c r="AC3929" s="810"/>
      <c r="AD3929" s="811" t="s">
        <v>14582</v>
      </c>
      <c r="AE3929" s="940"/>
      <c r="AF3929" s="920">
        <f>IF(X3929=X3928,AF3928,0)+IF(ISNUMBER(I3929),IF(I3929&lt;1,I3929,I3929*VLOOKUP(J3929,Summary!$H$2:$I$9,2)),VLOOKUP(J3929,Summary!$J$2:$K$9,2)*IF(ISNUMBER(H3929),H3929,1))</f>
        <v>0.45520833333333338</v>
      </c>
      <c r="AG3929" s="287">
        <v>3928</v>
      </c>
      <c r="AH3929" s="94"/>
      <c r="AI3929" s="94"/>
    </row>
    <row r="3930" spans="1:36" s="22" customFormat="1" ht="12" customHeight="1" x14ac:dyDescent="0.2">
      <c r="A3930" s="405" t="s">
        <v>10620</v>
      </c>
      <c r="B3930" s="596" t="s">
        <v>3227</v>
      </c>
      <c r="C3930" s="533">
        <v>2.0399999999999991</v>
      </c>
      <c r="D3930" s="407" t="s">
        <v>10616</v>
      </c>
      <c r="E3930" s="315" t="s">
        <v>10619</v>
      </c>
      <c r="F3930" s="196">
        <v>42527</v>
      </c>
      <c r="G3930" s="196"/>
      <c r="H3930" s="170">
        <v>1</v>
      </c>
      <c r="I3930" s="747">
        <f t="shared" si="103"/>
        <v>4.1666666666666664E-2</v>
      </c>
      <c r="J3930" s="899" t="s">
        <v>4706</v>
      </c>
      <c r="K3930" s="167" t="s">
        <v>1826</v>
      </c>
      <c r="L3930" s="167" t="s">
        <v>179</v>
      </c>
      <c r="M3930" s="167"/>
      <c r="N3930" s="167"/>
      <c r="O3930" s="167"/>
      <c r="P3930" s="168" t="s">
        <v>10643</v>
      </c>
      <c r="Q3930" s="167" t="s">
        <v>3947</v>
      </c>
      <c r="R3930" s="172" t="s">
        <v>10605</v>
      </c>
      <c r="S3930" s="388"/>
      <c r="T3930" s="168"/>
      <c r="U3930" s="168"/>
      <c r="V3930" s="168"/>
      <c r="W3930" s="315" t="s">
        <v>10619</v>
      </c>
      <c r="X3930" s="647" t="s">
        <v>13215</v>
      </c>
      <c r="Y3930" s="352"/>
      <c r="Z3930" s="353"/>
      <c r="AA3930" s="353"/>
      <c r="AB3930" s="31">
        <f t="shared" ca="1" si="102"/>
        <v>0.56856631530818047</v>
      </c>
      <c r="AC3930" s="810"/>
      <c r="AD3930" s="825" t="s">
        <v>14910</v>
      </c>
      <c r="AE3930" s="940"/>
      <c r="AF3930" s="920">
        <f>IF(X3930=X3929,AF3929,0)+IF(ISNUMBER(I3930),IF(I3930&lt;1,I3930,I3930*VLOOKUP(J3930,Summary!$H$2:$I$9,2)),VLOOKUP(J3930,Summary!$J$2:$K$9,2)*IF(ISNUMBER(H3930),H3930,1))</f>
        <v>0.49687500000000007</v>
      </c>
      <c r="AG3930" s="287">
        <v>3929</v>
      </c>
      <c r="AH3930" s="94"/>
      <c r="AI3930" s="94"/>
    </row>
    <row r="3931" spans="1:36" s="29" customFormat="1" ht="12" customHeight="1" x14ac:dyDescent="0.25">
      <c r="A3931" s="405" t="s">
        <v>10620</v>
      </c>
      <c r="B3931" s="596" t="s">
        <v>3227</v>
      </c>
      <c r="C3931" s="597">
        <v>1.2</v>
      </c>
      <c r="D3931" s="407" t="s">
        <v>13218</v>
      </c>
      <c r="E3931" s="315" t="s">
        <v>13222</v>
      </c>
      <c r="F3931" s="196">
        <v>42892</v>
      </c>
      <c r="G3931" s="196"/>
      <c r="H3931" s="170">
        <v>1</v>
      </c>
      <c r="I3931" s="747">
        <f t="shared" si="103"/>
        <v>4.1666666666666664E-2</v>
      </c>
      <c r="J3931" s="899" t="s">
        <v>4706</v>
      </c>
      <c r="K3931" s="167" t="s">
        <v>1643</v>
      </c>
      <c r="L3931" s="167" t="s">
        <v>179</v>
      </c>
      <c r="M3931" s="167"/>
      <c r="N3931" s="167"/>
      <c r="O3931" s="167" t="s">
        <v>1643</v>
      </c>
      <c r="P3931" s="168" t="s">
        <v>13216</v>
      </c>
      <c r="Q3931" s="167" t="s">
        <v>3947</v>
      </c>
      <c r="R3931" s="172" t="s">
        <v>10605</v>
      </c>
      <c r="S3931" s="388"/>
      <c r="T3931" s="168" t="s">
        <v>3068</v>
      </c>
      <c r="U3931" s="168"/>
      <c r="V3931" s="168"/>
      <c r="W3931" s="315" t="s">
        <v>13222</v>
      </c>
      <c r="X3931" s="647" t="s">
        <v>13215</v>
      </c>
      <c r="Y3931" s="352"/>
      <c r="Z3931" s="353"/>
      <c r="AA3931" s="353"/>
      <c r="AB3931" s="31">
        <f t="shared" ca="1" si="102"/>
        <v>0.58532134312734618</v>
      </c>
      <c r="AC3931" s="810"/>
      <c r="AD3931" s="811" t="s">
        <v>14582</v>
      </c>
      <c r="AE3931" s="940"/>
      <c r="AF3931" s="920">
        <f>IF(X3931=X3930,AF3930,0)+IF(ISNUMBER(I3931),IF(I3931&lt;1,I3931,I3931*VLOOKUP(J3931,Summary!$H$2:$I$9,2)),VLOOKUP(J3931,Summary!$J$2:$K$9,2)*IF(ISNUMBER(H3931),H3931,1))</f>
        <v>0.5385416666666667</v>
      </c>
      <c r="AG3931" s="287">
        <v>3930</v>
      </c>
      <c r="AH3931" s="94"/>
      <c r="AI3931" s="94"/>
      <c r="AJ3931" s="2"/>
    </row>
    <row r="3932" spans="1:36" s="29" customFormat="1" ht="12" customHeight="1" x14ac:dyDescent="0.25">
      <c r="A3932" s="604" t="s">
        <v>14559</v>
      </c>
      <c r="B3932" s="604">
        <v>10</v>
      </c>
      <c r="C3932" s="604">
        <v>7</v>
      </c>
      <c r="D3932" s="417" t="s">
        <v>7734</v>
      </c>
      <c r="E3932" s="316" t="s">
        <v>7511</v>
      </c>
      <c r="F3932" s="195">
        <v>38820</v>
      </c>
      <c r="G3932" s="195"/>
      <c r="H3932" s="188" t="str">
        <f>IF(J3932="Book","n/a","")</f>
        <v>n/a</v>
      </c>
      <c r="I3932" s="188">
        <v>251</v>
      </c>
      <c r="J3932" s="902" t="s">
        <v>6868</v>
      </c>
      <c r="K3932" s="162" t="s">
        <v>4552</v>
      </c>
      <c r="L3932" s="162" t="str">
        <f>IF(J3932="Book","n/a","")</f>
        <v>n/a</v>
      </c>
      <c r="M3932" s="162"/>
      <c r="N3932" s="162"/>
      <c r="O3932" s="162"/>
      <c r="P3932" s="178" t="s">
        <v>9022</v>
      </c>
      <c r="Q3932" s="162" t="s">
        <v>3953</v>
      </c>
      <c r="R3932" s="189" t="s">
        <v>2711</v>
      </c>
      <c r="S3932" s="366" t="s">
        <v>3372</v>
      </c>
      <c r="T3932" s="178"/>
      <c r="U3932" s="178"/>
      <c r="V3932" s="178"/>
      <c r="W3932" s="316" t="s">
        <v>7511</v>
      </c>
      <c r="X3932" s="648" t="s">
        <v>12343</v>
      </c>
      <c r="Y3932" s="356" t="s">
        <v>5099</v>
      </c>
      <c r="Z3932" s="272">
        <v>55</v>
      </c>
      <c r="AA3932" s="272">
        <v>7</v>
      </c>
      <c r="AB3932" s="34">
        <f t="shared" ca="1" si="102"/>
        <v>0.75864665917319318</v>
      </c>
      <c r="AC3932" s="814"/>
      <c r="AD3932" s="818" t="s">
        <v>15059</v>
      </c>
      <c r="AE3932" s="942"/>
      <c r="AF3932" s="923">
        <f>IF(X3932=X3931,AF3931,0)+IF(ISNUMBER(I3932),IF(I3932&lt;1,I3932,I3932*VLOOKUP(J3932,Summary!$H$2:$I$9,2)),VLOOKUP(J3932,Summary!$J$2:$K$9,2)*IF(ISNUMBER(H3932),H3932,1))</f>
        <v>0.17430555555555557</v>
      </c>
      <c r="AG3932" s="291">
        <v>3931</v>
      </c>
      <c r="AH3932" s="94"/>
      <c r="AI3932" s="94"/>
      <c r="AJ3932" s="2"/>
    </row>
    <row r="3933" spans="1:36" s="29" customFormat="1" ht="12" customHeight="1" x14ac:dyDescent="0.25">
      <c r="A3933" s="604" t="s">
        <v>14559</v>
      </c>
      <c r="B3933" s="604">
        <v>10</v>
      </c>
      <c r="C3933" s="604">
        <v>8</v>
      </c>
      <c r="D3933" s="417" t="s">
        <v>7735</v>
      </c>
      <c r="E3933" s="316" t="s">
        <v>7512</v>
      </c>
      <c r="F3933" s="195">
        <v>38820</v>
      </c>
      <c r="G3933" s="195"/>
      <c r="H3933" s="188" t="str">
        <f>IF(J3933="Book","n/a","")</f>
        <v>n/a</v>
      </c>
      <c r="I3933" s="188">
        <v>251</v>
      </c>
      <c r="J3933" s="902" t="s">
        <v>6868</v>
      </c>
      <c r="K3933" s="162" t="s">
        <v>6237</v>
      </c>
      <c r="L3933" s="162" t="str">
        <f>IF(J3933="Book","n/a","")</f>
        <v>n/a</v>
      </c>
      <c r="M3933" s="162"/>
      <c r="N3933" s="162"/>
      <c r="O3933" s="162"/>
      <c r="P3933" s="178" t="s">
        <v>9023</v>
      </c>
      <c r="Q3933" s="162" t="s">
        <v>3953</v>
      </c>
      <c r="R3933" s="189" t="s">
        <v>2711</v>
      </c>
      <c r="S3933" s="366" t="s">
        <v>3372</v>
      </c>
      <c r="T3933" s="178"/>
      <c r="U3933" s="178"/>
      <c r="V3933" s="178"/>
      <c r="W3933" s="316" t="s">
        <v>7512</v>
      </c>
      <c r="X3933" s="648" t="s">
        <v>12343</v>
      </c>
      <c r="Y3933" s="356" t="s">
        <v>5099</v>
      </c>
      <c r="Z3933" s="272">
        <v>147</v>
      </c>
      <c r="AA3933" s="272">
        <v>4.5</v>
      </c>
      <c r="AB3933" s="34">
        <f t="shared" ca="1" si="102"/>
        <v>0.89361634777080734</v>
      </c>
      <c r="AC3933" s="814"/>
      <c r="AD3933" s="818" t="s">
        <v>14583</v>
      </c>
      <c r="AE3933" s="942"/>
      <c r="AF3933" s="923">
        <f>IF(X3933=X3932,AF3932,0)+IF(ISNUMBER(I3933),IF(I3933&lt;1,I3933,I3933*VLOOKUP(J3933,Summary!$H$2:$I$9,2)),VLOOKUP(J3933,Summary!$J$2:$K$9,2)*IF(ISNUMBER(H3933),H3933,1))</f>
        <v>0.34861111111111115</v>
      </c>
      <c r="AG3933" s="291">
        <v>3932</v>
      </c>
      <c r="AH3933" s="94"/>
      <c r="AI3933" s="94"/>
      <c r="AJ3933" s="43"/>
    </row>
    <row r="3934" spans="1:36" s="1" customFormat="1" ht="12" customHeight="1" x14ac:dyDescent="0.25">
      <c r="A3934" s="604" t="s">
        <v>14559</v>
      </c>
      <c r="B3934" s="604">
        <v>10</v>
      </c>
      <c r="C3934" s="604">
        <v>9</v>
      </c>
      <c r="D3934" s="417" t="s">
        <v>7736</v>
      </c>
      <c r="E3934" s="316" t="s">
        <v>7513</v>
      </c>
      <c r="F3934" s="195">
        <v>38820</v>
      </c>
      <c r="G3934" s="195"/>
      <c r="H3934" s="188" t="str">
        <f>IF(J3934="Book","n/a","")</f>
        <v>n/a</v>
      </c>
      <c r="I3934" s="188">
        <v>250</v>
      </c>
      <c r="J3934" s="902" t="s">
        <v>6868</v>
      </c>
      <c r="K3934" s="162" t="s">
        <v>543</v>
      </c>
      <c r="L3934" s="162" t="str">
        <f>IF(J3934="Book","n/a","")</f>
        <v>n/a</v>
      </c>
      <c r="M3934" s="162"/>
      <c r="N3934" s="162"/>
      <c r="O3934" s="162"/>
      <c r="P3934" s="178" t="s">
        <v>9024</v>
      </c>
      <c r="Q3934" s="162" t="s">
        <v>3953</v>
      </c>
      <c r="R3934" s="189" t="s">
        <v>2711</v>
      </c>
      <c r="S3934" s="366" t="s">
        <v>3372</v>
      </c>
      <c r="T3934" s="178"/>
      <c r="U3934" s="178"/>
      <c r="V3934" s="178"/>
      <c r="W3934" s="316" t="s">
        <v>7513</v>
      </c>
      <c r="X3934" s="648" t="s">
        <v>12343</v>
      </c>
      <c r="Y3934" s="356" t="s">
        <v>5099</v>
      </c>
      <c r="Z3934" s="272">
        <v>154</v>
      </c>
      <c r="AA3934" s="272">
        <v>4.5</v>
      </c>
      <c r="AB3934" s="34">
        <f t="shared" ca="1" si="102"/>
        <v>7.5116729213766775E-2</v>
      </c>
      <c r="AC3934" s="814"/>
      <c r="AD3934" s="815" t="s">
        <v>16384</v>
      </c>
      <c r="AE3934" s="942" t="s">
        <v>3365</v>
      </c>
      <c r="AF3934" s="923">
        <f>IF(X3934=X3933,AF3933,0)+IF(ISNUMBER(I3934),IF(I3934&lt;1,I3934,I3934*VLOOKUP(J3934,Summary!$H$2:$I$9,2)),VLOOKUP(J3934,Summary!$J$2:$K$9,2)*IF(ISNUMBER(H3934),H3934,1))</f>
        <v>0.52222222222222225</v>
      </c>
      <c r="AG3934" s="291">
        <v>3933</v>
      </c>
      <c r="AH3934" s="94"/>
      <c r="AI3934" s="94"/>
      <c r="AJ3934" s="2"/>
    </row>
    <row r="3935" spans="1:36" s="29" customFormat="1" ht="12" customHeight="1" x14ac:dyDescent="0.25">
      <c r="A3935" s="603" t="s">
        <v>14559</v>
      </c>
      <c r="B3935" s="603">
        <v>10</v>
      </c>
      <c r="C3935" s="603">
        <v>121</v>
      </c>
      <c r="D3935" s="428" t="s">
        <v>6165</v>
      </c>
      <c r="E3935" s="325" t="s">
        <v>6993</v>
      </c>
      <c r="F3935" s="184">
        <v>38861</v>
      </c>
      <c r="G3935" s="184">
        <v>38917</v>
      </c>
      <c r="H3935" s="185">
        <v>3</v>
      </c>
      <c r="I3935" s="185">
        <v>27</v>
      </c>
      <c r="J3935" s="901" t="s">
        <v>1796</v>
      </c>
      <c r="K3935" s="158" t="s">
        <v>3303</v>
      </c>
      <c r="L3935" s="163" t="s">
        <v>3828</v>
      </c>
      <c r="M3935" s="163" t="s">
        <v>252</v>
      </c>
      <c r="N3935" s="163" t="s">
        <v>5942</v>
      </c>
      <c r="O3935" s="158"/>
      <c r="P3935" s="182" t="s">
        <v>461</v>
      </c>
      <c r="Q3935" s="158" t="s">
        <v>4104</v>
      </c>
      <c r="R3935" s="207" t="s">
        <v>5266</v>
      </c>
      <c r="S3935" s="355" t="s">
        <v>3372</v>
      </c>
      <c r="T3935" s="182"/>
      <c r="U3935" s="182"/>
      <c r="V3935" s="182"/>
      <c r="W3935" s="321"/>
      <c r="X3935" s="653" t="s">
        <v>12343</v>
      </c>
      <c r="Y3935" s="361"/>
      <c r="Z3935" s="362"/>
      <c r="AA3935" s="362"/>
      <c r="AB3935" s="33">
        <f t="shared" ca="1" si="102"/>
        <v>0.14646036455822142</v>
      </c>
      <c r="AC3935" s="813"/>
      <c r="AD3935" s="826" t="s">
        <v>14911</v>
      </c>
      <c r="AE3935" s="949"/>
      <c r="AF3935" s="922">
        <f>IF(X3935=X3934,AF3934,0)+IF(ISNUMBER(I3935),IF(I3935&lt;1,I3935,I3935*VLOOKUP(J3935,Summary!$H$2:$I$9,2)),VLOOKUP(J3935,Summary!$J$2:$K$9,2)*IF(ISNUMBER(H3935),H3935,1))</f>
        <v>0.53159722222222228</v>
      </c>
      <c r="AG3935" s="295">
        <v>3934</v>
      </c>
      <c r="AH3935" s="94"/>
      <c r="AI3935" s="94"/>
      <c r="AJ3935" s="3"/>
    </row>
    <row r="3936" spans="1:36" s="29" customFormat="1" ht="12" customHeight="1" x14ac:dyDescent="0.25">
      <c r="A3936" s="604" t="s">
        <v>14559</v>
      </c>
      <c r="B3936" s="604">
        <v>10</v>
      </c>
      <c r="C3936" s="604">
        <v>1</v>
      </c>
      <c r="D3936" s="417" t="s">
        <v>3552</v>
      </c>
      <c r="E3936" s="316" t="s">
        <v>7514</v>
      </c>
      <c r="F3936" s="195">
        <v>38855</v>
      </c>
      <c r="G3936" s="195"/>
      <c r="H3936" s="188" t="str">
        <f>IF(J3936="Book","n/a","")</f>
        <v>n/a</v>
      </c>
      <c r="I3936" s="188">
        <v>128</v>
      </c>
      <c r="J3936" s="902" t="s">
        <v>6868</v>
      </c>
      <c r="K3936" s="162" t="s">
        <v>3451</v>
      </c>
      <c r="L3936" s="162" t="str">
        <f>IF(J3936="Book","n/a","")</f>
        <v>n/a</v>
      </c>
      <c r="M3936" s="162"/>
      <c r="N3936" s="162"/>
      <c r="O3936" s="162"/>
      <c r="P3936" s="178" t="s">
        <v>8625</v>
      </c>
      <c r="Q3936" s="162" t="s">
        <v>3953</v>
      </c>
      <c r="R3936" s="189" t="s">
        <v>2712</v>
      </c>
      <c r="S3936" s="366" t="s">
        <v>3372</v>
      </c>
      <c r="T3936" s="178"/>
      <c r="U3936" s="178"/>
      <c r="V3936" s="178"/>
      <c r="W3936" s="316" t="s">
        <v>7514</v>
      </c>
      <c r="X3936" s="648" t="s">
        <v>12343</v>
      </c>
      <c r="Y3936" s="356" t="s">
        <v>6868</v>
      </c>
      <c r="Z3936" s="272">
        <v>94</v>
      </c>
      <c r="AA3936" s="272">
        <v>5.5</v>
      </c>
      <c r="AB3936" s="34">
        <f t="shared" ca="1" si="102"/>
        <v>0.49292908183830297</v>
      </c>
      <c r="AC3936" s="814"/>
      <c r="AD3936" s="818" t="s">
        <v>14583</v>
      </c>
      <c r="AE3936" s="942"/>
      <c r="AF3936" s="923">
        <f>IF(X3936=X3935,AF3935,0)+IF(ISNUMBER(I3936),IF(I3936&lt;1,I3936,I3936*VLOOKUP(J3936,Summary!$H$2:$I$9,2)),VLOOKUP(J3936,Summary!$J$2:$K$9,2)*IF(ISNUMBER(H3936),H3936,1))</f>
        <v>0.62048611111111118</v>
      </c>
      <c r="AG3936" s="291">
        <v>3935</v>
      </c>
      <c r="AH3936" s="94"/>
      <c r="AI3936" s="94"/>
      <c r="AJ3936" s="3"/>
    </row>
    <row r="3937" spans="1:36" s="22" customFormat="1" ht="12" customHeight="1" x14ac:dyDescent="0.25">
      <c r="A3937" s="598" t="s">
        <v>14559</v>
      </c>
      <c r="B3937" s="598">
        <v>10</v>
      </c>
      <c r="C3937" s="598">
        <v>3</v>
      </c>
      <c r="D3937" s="509" t="s">
        <v>7970</v>
      </c>
      <c r="E3937" s="335" t="s">
        <v>7971</v>
      </c>
      <c r="F3937" s="223">
        <v>38829</v>
      </c>
      <c r="G3937" s="223"/>
      <c r="H3937" s="242">
        <v>1</v>
      </c>
      <c r="I3937" s="792">
        <f>TIME(0,0,50)</f>
        <v>5.7870370370370378E-4</v>
      </c>
      <c r="J3937" s="909" t="s">
        <v>1588</v>
      </c>
      <c r="K3937" s="243" t="s">
        <v>3451</v>
      </c>
      <c r="L3937" s="243"/>
      <c r="M3937" s="243"/>
      <c r="N3937" s="243" t="s">
        <v>3373</v>
      </c>
      <c r="O3937" s="243" t="s">
        <v>3375</v>
      </c>
      <c r="P3937" s="241" t="s">
        <v>461</v>
      </c>
      <c r="Q3937" s="243" t="s">
        <v>3946</v>
      </c>
      <c r="R3937" s="244" t="s">
        <v>7957</v>
      </c>
      <c r="S3937" s="395"/>
      <c r="T3937" s="241"/>
      <c r="U3937" s="241"/>
      <c r="V3937" s="241"/>
      <c r="W3937" s="339" t="s">
        <v>9644</v>
      </c>
      <c r="X3937" s="672" t="s">
        <v>12343</v>
      </c>
      <c r="Y3937" s="375"/>
      <c r="Z3937" s="377"/>
      <c r="AA3937" s="377"/>
      <c r="AB3937" s="55">
        <f t="shared" ca="1" si="102"/>
        <v>0.94758989432201346</v>
      </c>
      <c r="AC3937" s="834"/>
      <c r="AD3937" s="835"/>
      <c r="AE3937" s="957"/>
      <c r="AF3937" s="930">
        <f>IF(X3937=X3936,AF3936,0)+IF(ISNUMBER(I3937),IF(I3937&lt;1,I3937,I3937*VLOOKUP(J3937,Summary!$H$2:$I$9,2)),VLOOKUP(J3937,Summary!$J$2:$K$9,2)*IF(ISNUMBER(H3937),H3937,1))</f>
        <v>0.6210648148148149</v>
      </c>
      <c r="AG3937" s="302">
        <v>3936</v>
      </c>
      <c r="AH3937" s="94"/>
      <c r="AI3937" s="94"/>
      <c r="AJ3937" s="2"/>
    </row>
    <row r="3938" spans="1:36" s="29" customFormat="1" ht="12" customHeight="1" x14ac:dyDescent="0.25">
      <c r="A3938" s="599" t="s">
        <v>14559</v>
      </c>
      <c r="B3938" s="599">
        <v>10</v>
      </c>
      <c r="C3938" s="599">
        <v>170</v>
      </c>
      <c r="D3938" s="424" t="s">
        <v>7515</v>
      </c>
      <c r="E3938" s="319" t="s">
        <v>7769</v>
      </c>
      <c r="F3938" s="198">
        <v>38836</v>
      </c>
      <c r="G3938" s="198"/>
      <c r="H3938" s="199">
        <v>1</v>
      </c>
      <c r="I3938" s="791">
        <f>TIME(0,44,11)</f>
        <v>3.0682870370370371E-2</v>
      </c>
      <c r="J3938" s="904" t="s">
        <v>1588</v>
      </c>
      <c r="K3938" s="200" t="s">
        <v>5297</v>
      </c>
      <c r="L3938" s="200" t="s">
        <v>3811</v>
      </c>
      <c r="M3938" s="200"/>
      <c r="N3938" s="200" t="s">
        <v>3373</v>
      </c>
      <c r="O3938" s="200" t="s">
        <v>3375</v>
      </c>
      <c r="P3938" s="197" t="s">
        <v>461</v>
      </c>
      <c r="Q3938" s="200" t="s">
        <v>3946</v>
      </c>
      <c r="R3938" s="201" t="s">
        <v>5280</v>
      </c>
      <c r="S3938" s="390" t="s">
        <v>3372</v>
      </c>
      <c r="T3938" s="162"/>
      <c r="U3938" s="197" t="s">
        <v>53</v>
      </c>
      <c r="V3938" s="197" t="s">
        <v>3069</v>
      </c>
      <c r="W3938" s="319" t="s">
        <v>7769</v>
      </c>
      <c r="X3938" s="651" t="s">
        <v>12343</v>
      </c>
      <c r="Y3938" s="358" t="s">
        <v>6141</v>
      </c>
      <c r="Z3938" s="253">
        <v>38</v>
      </c>
      <c r="AA3938" s="253">
        <v>8.5</v>
      </c>
      <c r="AB3938" s="35">
        <f t="shared" ca="1" si="102"/>
        <v>0.57316722801319286</v>
      </c>
      <c r="AC3938" s="820"/>
      <c r="AD3938" s="821" t="s">
        <v>14583</v>
      </c>
      <c r="AE3938" s="967"/>
      <c r="AF3938" s="925">
        <f>IF(X3938=X3937,AF3937,0)+IF(ISNUMBER(I3938),IF(I3938&lt;1,I3938,I3938*VLOOKUP(J3938,Summary!$H$2:$I$9,2)),VLOOKUP(J3938,Summary!$J$2:$K$9,2)*IF(ISNUMBER(H3938),H3938,1))</f>
        <v>0.65174768518518522</v>
      </c>
      <c r="AG3938" s="293">
        <v>3937</v>
      </c>
      <c r="AH3938" s="94"/>
      <c r="AI3938" s="94"/>
      <c r="AJ3938" s="3"/>
    </row>
    <row r="3939" spans="1:36" s="29" customFormat="1" ht="12" customHeight="1" x14ac:dyDescent="0.25">
      <c r="A3939" s="478" t="s">
        <v>14559</v>
      </c>
      <c r="B3939" s="478" t="s">
        <v>2650</v>
      </c>
      <c r="C3939" s="478">
        <v>9</v>
      </c>
      <c r="D3939" s="192" t="s">
        <v>13425</v>
      </c>
      <c r="E3939" s="317" t="s">
        <v>13426</v>
      </c>
      <c r="F3939" s="209">
        <v>42278</v>
      </c>
      <c r="G3939" s="209"/>
      <c r="H3939" s="192">
        <v>1</v>
      </c>
      <c r="I3939" s="192"/>
      <c r="J3939" s="903" t="s">
        <v>2755</v>
      </c>
      <c r="K3939" s="194" t="s">
        <v>543</v>
      </c>
      <c r="L3939" s="194" t="s">
        <v>13401</v>
      </c>
      <c r="M3939" s="194" t="s">
        <v>9763</v>
      </c>
      <c r="N3939" s="194"/>
      <c r="O3939" s="194"/>
      <c r="P3939" s="190" t="s">
        <v>13331</v>
      </c>
      <c r="Q3939" s="194" t="s">
        <v>3953</v>
      </c>
      <c r="R3939" s="193" t="s">
        <v>11447</v>
      </c>
      <c r="S3939" s="357"/>
      <c r="T3939" s="190"/>
      <c r="U3939" s="190"/>
      <c r="V3939" s="190"/>
      <c r="W3939" s="317" t="s">
        <v>13426</v>
      </c>
      <c r="X3939" s="649" t="s">
        <v>12343</v>
      </c>
      <c r="Y3939" s="357"/>
      <c r="Z3939" s="192"/>
      <c r="AA3939" s="192"/>
      <c r="AB3939" s="37">
        <f t="shared" ca="1" si="102"/>
        <v>0.14946795740583474</v>
      </c>
      <c r="AC3939" s="816"/>
      <c r="AD3939" s="817"/>
      <c r="AE3939" s="943"/>
      <c r="AF3939" s="924">
        <f>IF(X3939=X3938,AF3938,0)+IF(ISNUMBER(I3939),IF(I3939&lt;1,I3939,I3939*VLOOKUP(J3939,Summary!$H$2:$I$9,2)),VLOOKUP(J3939,Summary!$J$2:$K$9,2)*IF(ISNUMBER(H3939),H3939,1))</f>
        <v>0.66910879629629638</v>
      </c>
      <c r="AG3939" s="292">
        <v>3938</v>
      </c>
      <c r="AH3939" s="94"/>
      <c r="AI3939" s="94"/>
      <c r="AJ3939" s="3"/>
    </row>
    <row r="3940" spans="1:36" s="26" customFormat="1" ht="12" customHeight="1" x14ac:dyDescent="0.25">
      <c r="A3940" s="598" t="s">
        <v>14559</v>
      </c>
      <c r="B3940" s="598">
        <v>10</v>
      </c>
      <c r="C3940" s="598">
        <v>4</v>
      </c>
      <c r="D3940" s="509" t="s">
        <v>7969</v>
      </c>
      <c r="E3940" s="335" t="s">
        <v>7972</v>
      </c>
      <c r="F3940" s="223">
        <v>38836</v>
      </c>
      <c r="G3940" s="223"/>
      <c r="H3940" s="242">
        <v>1</v>
      </c>
      <c r="I3940" s="792">
        <f>TIME(0,0,54)</f>
        <v>6.2500000000000001E-4</v>
      </c>
      <c r="J3940" s="909" t="s">
        <v>1588</v>
      </c>
      <c r="K3940" s="243" t="s">
        <v>3451</v>
      </c>
      <c r="L3940" s="243"/>
      <c r="M3940" s="243"/>
      <c r="N3940" s="243" t="s">
        <v>3373</v>
      </c>
      <c r="O3940" s="243" t="s">
        <v>3375</v>
      </c>
      <c r="P3940" s="241" t="s">
        <v>461</v>
      </c>
      <c r="Q3940" s="243" t="s">
        <v>3946</v>
      </c>
      <c r="R3940" s="244" t="s">
        <v>7957</v>
      </c>
      <c r="S3940" s="395"/>
      <c r="T3940" s="162"/>
      <c r="U3940" s="241"/>
      <c r="V3940" s="241"/>
      <c r="W3940" s="339" t="s">
        <v>9645</v>
      </c>
      <c r="X3940" s="672" t="s">
        <v>12343</v>
      </c>
      <c r="Y3940" s="375"/>
      <c r="Z3940" s="377"/>
      <c r="AA3940" s="377"/>
      <c r="AB3940" s="55">
        <f t="shared" ca="1" si="102"/>
        <v>2.3037180012535408E-2</v>
      </c>
      <c r="AC3940" s="834"/>
      <c r="AD3940" s="835"/>
      <c r="AE3940" s="957"/>
      <c r="AF3940" s="930">
        <f>IF(X3940=X3939,AF3939,0)+IF(ISNUMBER(I3940),IF(I3940&lt;1,I3940,I3940*VLOOKUP(J3940,Summary!$H$2:$I$9,2)),VLOOKUP(J3940,Summary!$J$2:$K$9,2)*IF(ISNUMBER(H3940),H3940,1))</f>
        <v>0.66973379629629637</v>
      </c>
      <c r="AG3940" s="302">
        <v>3939</v>
      </c>
      <c r="AH3940" s="94"/>
      <c r="AI3940" s="94"/>
    </row>
    <row r="3941" spans="1:36" s="22" customFormat="1" ht="12" customHeight="1" x14ac:dyDescent="0.25">
      <c r="A3941" s="599" t="s">
        <v>14559</v>
      </c>
      <c r="B3941" s="599">
        <v>10</v>
      </c>
      <c r="C3941" s="599">
        <v>171</v>
      </c>
      <c r="D3941" s="424" t="s">
        <v>7770</v>
      </c>
      <c r="E3941" s="319" t="s">
        <v>7771</v>
      </c>
      <c r="F3941" s="198">
        <v>38843</v>
      </c>
      <c r="G3941" s="198"/>
      <c r="H3941" s="199">
        <v>1</v>
      </c>
      <c r="I3941" s="791">
        <f>TIME(0,44,40)</f>
        <v>3.1018518518518515E-2</v>
      </c>
      <c r="J3941" s="904" t="s">
        <v>1588</v>
      </c>
      <c r="K3941" s="200" t="s">
        <v>3810</v>
      </c>
      <c r="L3941" s="200" t="s">
        <v>4961</v>
      </c>
      <c r="M3941" s="200"/>
      <c r="N3941" s="200" t="s">
        <v>3373</v>
      </c>
      <c r="O3941" s="200" t="s">
        <v>3375</v>
      </c>
      <c r="P3941" s="197" t="s">
        <v>461</v>
      </c>
      <c r="Q3941" s="200" t="s">
        <v>3946</v>
      </c>
      <c r="R3941" s="201" t="s">
        <v>5280</v>
      </c>
      <c r="S3941" s="390" t="s">
        <v>3372</v>
      </c>
      <c r="T3941" s="162"/>
      <c r="U3941" s="197"/>
      <c r="V3941" s="197" t="s">
        <v>3069</v>
      </c>
      <c r="W3941" s="319" t="s">
        <v>7771</v>
      </c>
      <c r="X3941" s="651" t="s">
        <v>12343</v>
      </c>
      <c r="Y3941" s="358" t="s">
        <v>6141</v>
      </c>
      <c r="Z3941" s="253">
        <v>125</v>
      </c>
      <c r="AA3941" s="253">
        <v>6</v>
      </c>
      <c r="AB3941" s="35">
        <f t="shared" ca="1" si="102"/>
        <v>0.63705596752140436</v>
      </c>
      <c r="AC3941" s="820"/>
      <c r="AD3941" s="821" t="s">
        <v>16559</v>
      </c>
      <c r="AE3941" s="969" t="s">
        <v>16555</v>
      </c>
      <c r="AF3941" s="925">
        <f>IF(X3941=X3940,AF3940,0)+IF(ISNUMBER(I3941),IF(I3941&lt;1,I3941,I3941*VLOOKUP(J3941,Summary!$H$2:$I$9,2)),VLOOKUP(J3941,Summary!$J$2:$K$9,2)*IF(ISNUMBER(H3941),H3941,1))</f>
        <v>0.70075231481481493</v>
      </c>
      <c r="AG3941" s="293">
        <v>3940</v>
      </c>
      <c r="AH3941" s="94"/>
      <c r="AI3941" s="94"/>
      <c r="AJ3941" s="2"/>
    </row>
    <row r="3942" spans="1:36" s="29" customFormat="1" ht="12" customHeight="1" x14ac:dyDescent="0.25">
      <c r="A3942" s="603" t="s">
        <v>14559</v>
      </c>
      <c r="B3942" s="603">
        <v>10</v>
      </c>
      <c r="C3942" s="603">
        <v>124</v>
      </c>
      <c r="D3942" s="428" t="s">
        <v>6170</v>
      </c>
      <c r="E3942" s="325" t="s">
        <v>6171</v>
      </c>
      <c r="F3942" s="184">
        <v>39095</v>
      </c>
      <c r="G3942" s="184"/>
      <c r="H3942" s="185">
        <v>1</v>
      </c>
      <c r="I3942" s="185">
        <v>10</v>
      </c>
      <c r="J3942" s="901" t="s">
        <v>1796</v>
      </c>
      <c r="K3942" s="158" t="s">
        <v>3284</v>
      </c>
      <c r="L3942" s="158" t="s">
        <v>251</v>
      </c>
      <c r="M3942" s="158" t="s">
        <v>252</v>
      </c>
      <c r="N3942" s="163" t="s">
        <v>5942</v>
      </c>
      <c r="O3942" s="158"/>
      <c r="P3942" s="182" t="s">
        <v>461</v>
      </c>
      <c r="Q3942" s="158" t="s">
        <v>4104</v>
      </c>
      <c r="R3942" s="207" t="s">
        <v>5266</v>
      </c>
      <c r="S3942" s="355" t="s">
        <v>3372</v>
      </c>
      <c r="T3942" s="167"/>
      <c r="U3942" s="182"/>
      <c r="V3942" s="182" t="s">
        <v>3069</v>
      </c>
      <c r="W3942" s="325" t="s">
        <v>6171</v>
      </c>
      <c r="X3942" s="657" t="s">
        <v>12343</v>
      </c>
      <c r="Y3942" s="361"/>
      <c r="Z3942" s="362"/>
      <c r="AA3942" s="362"/>
      <c r="AB3942" s="33">
        <f t="shared" ca="1" si="102"/>
        <v>0.42073295212088158</v>
      </c>
      <c r="AC3942" s="813"/>
      <c r="AD3942" s="211" t="s">
        <v>14583</v>
      </c>
      <c r="AE3942" s="949" t="s">
        <v>12543</v>
      </c>
      <c r="AF3942" s="922">
        <f>IF(X3942=X3941,AF3941,0)+IF(ISNUMBER(I3942),IF(I3942&lt;1,I3942,I3942*VLOOKUP(J3942,Summary!$H$2:$I$9,2)),VLOOKUP(J3942,Summary!$J$2:$K$9,2)*IF(ISNUMBER(H3942),H3942,1))</f>
        <v>0.70422453703703713</v>
      </c>
      <c r="AG3942" s="295">
        <v>3941</v>
      </c>
      <c r="AH3942" s="94"/>
      <c r="AI3942" s="94"/>
      <c r="AJ3942" s="2"/>
    </row>
    <row r="3943" spans="1:36" s="22" customFormat="1" ht="12" customHeight="1" x14ac:dyDescent="0.25">
      <c r="A3943" s="598" t="s">
        <v>14559</v>
      </c>
      <c r="B3943" s="598">
        <v>10</v>
      </c>
      <c r="C3943" s="598">
        <v>5</v>
      </c>
      <c r="D3943" s="509" t="s">
        <v>7968</v>
      </c>
      <c r="E3943" s="335" t="s">
        <v>7973</v>
      </c>
      <c r="F3943" s="223">
        <v>38843</v>
      </c>
      <c r="G3943" s="223"/>
      <c r="H3943" s="242">
        <v>1</v>
      </c>
      <c r="I3943" s="792">
        <f>TIME(0,0,53)</f>
        <v>6.134259259259259E-4</v>
      </c>
      <c r="J3943" s="909" t="s">
        <v>1588</v>
      </c>
      <c r="K3943" s="243" t="s">
        <v>3451</v>
      </c>
      <c r="L3943" s="243"/>
      <c r="M3943" s="243"/>
      <c r="N3943" s="243" t="s">
        <v>3373</v>
      </c>
      <c r="O3943" s="243" t="s">
        <v>3375</v>
      </c>
      <c r="P3943" s="241" t="s">
        <v>461</v>
      </c>
      <c r="Q3943" s="243" t="s">
        <v>3946</v>
      </c>
      <c r="R3943" s="244" t="s">
        <v>7957</v>
      </c>
      <c r="S3943" s="395"/>
      <c r="T3943" s="162"/>
      <c r="U3943" s="241"/>
      <c r="V3943" s="241"/>
      <c r="W3943" s="339" t="s">
        <v>9646</v>
      </c>
      <c r="X3943" s="672" t="s">
        <v>12343</v>
      </c>
      <c r="Y3943" s="375"/>
      <c r="Z3943" s="377"/>
      <c r="AA3943" s="377"/>
      <c r="AB3943" s="55">
        <f t="shared" ca="1" si="102"/>
        <v>0.46378188749939875</v>
      </c>
      <c r="AC3943" s="834"/>
      <c r="AD3943" s="835"/>
      <c r="AE3943" s="957"/>
      <c r="AF3943" s="930">
        <f>IF(X3943=X3942,AF3942,0)+IF(ISNUMBER(I3943),IF(I3943&lt;1,I3943,I3943*VLOOKUP(J3943,Summary!$H$2:$I$9,2)),VLOOKUP(J3943,Summary!$J$2:$K$9,2)*IF(ISNUMBER(H3943),H3943,1))</f>
        <v>0.70483796296296308</v>
      </c>
      <c r="AG3943" s="302">
        <v>3942</v>
      </c>
      <c r="AH3943" s="94"/>
      <c r="AI3943" s="94"/>
    </row>
    <row r="3944" spans="1:36" s="10" customFormat="1" ht="12" customHeight="1" x14ac:dyDescent="0.25">
      <c r="A3944" s="598" t="s">
        <v>14559</v>
      </c>
      <c r="B3944" s="598">
        <v>10</v>
      </c>
      <c r="C3944" s="598">
        <v>6</v>
      </c>
      <c r="D3944" s="509" t="s">
        <v>7967</v>
      </c>
      <c r="E3944" s="335" t="s">
        <v>7974</v>
      </c>
      <c r="F3944" s="223">
        <v>38850</v>
      </c>
      <c r="G3944" s="223"/>
      <c r="H3944" s="242">
        <v>1</v>
      </c>
      <c r="I3944" s="792">
        <f>TIME(0,0,43)</f>
        <v>4.9768518518518521E-4</v>
      </c>
      <c r="J3944" s="909" t="s">
        <v>1588</v>
      </c>
      <c r="K3944" s="243" t="s">
        <v>3451</v>
      </c>
      <c r="L3944" s="243"/>
      <c r="M3944" s="243"/>
      <c r="N3944" s="243" t="s">
        <v>3373</v>
      </c>
      <c r="O3944" s="243" t="s">
        <v>3375</v>
      </c>
      <c r="P3944" s="241" t="s">
        <v>461</v>
      </c>
      <c r="Q3944" s="243" t="s">
        <v>3946</v>
      </c>
      <c r="R3944" s="244" t="s">
        <v>7957</v>
      </c>
      <c r="S3944" s="395"/>
      <c r="T3944" s="162"/>
      <c r="U3944" s="241"/>
      <c r="V3944" s="241"/>
      <c r="W3944" s="339" t="s">
        <v>9647</v>
      </c>
      <c r="X3944" s="672" t="s">
        <v>12343</v>
      </c>
      <c r="Y3944" s="375"/>
      <c r="Z3944" s="377"/>
      <c r="AA3944" s="377"/>
      <c r="AB3944" s="55">
        <f t="shared" ca="1" si="102"/>
        <v>0.18488271836546133</v>
      </c>
      <c r="AC3944" s="834"/>
      <c r="AD3944" s="835"/>
      <c r="AE3944" s="957"/>
      <c r="AF3944" s="930">
        <f>IF(X3944=X3943,AF3943,0)+IF(ISNUMBER(I3944),IF(I3944&lt;1,I3944,I3944*VLOOKUP(J3944,Summary!$H$2:$I$9,2)),VLOOKUP(J3944,Summary!$J$2:$K$9,2)*IF(ISNUMBER(H3944),H3944,1))</f>
        <v>0.70533564814814831</v>
      </c>
      <c r="AG3944" s="302">
        <v>3943</v>
      </c>
      <c r="AH3944" s="94"/>
      <c r="AI3944" s="94"/>
      <c r="AJ3944" s="2"/>
    </row>
    <row r="3945" spans="1:36" s="29" customFormat="1" ht="12" customHeight="1" x14ac:dyDescent="0.25">
      <c r="A3945" s="599" t="s">
        <v>14559</v>
      </c>
      <c r="B3945" s="599">
        <v>10</v>
      </c>
      <c r="C3945" s="599">
        <v>172</v>
      </c>
      <c r="D3945" s="424" t="s">
        <v>7772</v>
      </c>
      <c r="E3945" s="319" t="s">
        <v>7773</v>
      </c>
      <c r="F3945" s="198">
        <v>38850</v>
      </c>
      <c r="G3945" s="198">
        <v>38857</v>
      </c>
      <c r="H3945" s="199">
        <v>2</v>
      </c>
      <c r="I3945" s="791">
        <f>TIME(0,46, 2)+TIME(0,45,52)</f>
        <v>6.3819444444444443E-2</v>
      </c>
      <c r="J3945" s="904" t="s">
        <v>1588</v>
      </c>
      <c r="K3945" s="200" t="s">
        <v>7774</v>
      </c>
      <c r="L3945" s="200" t="s">
        <v>4544</v>
      </c>
      <c r="M3945" s="200"/>
      <c r="N3945" s="200" t="s">
        <v>3373</v>
      </c>
      <c r="O3945" s="200" t="s">
        <v>3375</v>
      </c>
      <c r="P3945" s="197" t="s">
        <v>461</v>
      </c>
      <c r="Q3945" s="200" t="s">
        <v>3946</v>
      </c>
      <c r="R3945" s="201" t="s">
        <v>5280</v>
      </c>
      <c r="S3945" s="390" t="s">
        <v>3372</v>
      </c>
      <c r="T3945" s="200"/>
      <c r="U3945" s="197"/>
      <c r="V3945" s="197" t="s">
        <v>3069</v>
      </c>
      <c r="W3945" s="318" t="s">
        <v>8449</v>
      </c>
      <c r="X3945" s="650" t="s">
        <v>12343</v>
      </c>
      <c r="Y3945" s="358" t="s">
        <v>6141</v>
      </c>
      <c r="Z3945" s="253">
        <v>257</v>
      </c>
      <c r="AA3945" s="253">
        <v>3</v>
      </c>
      <c r="AB3945" s="35">
        <f t="shared" ca="1" si="102"/>
        <v>0.69020184330995282</v>
      </c>
      <c r="AC3945" s="820"/>
      <c r="AD3945" s="824" t="s">
        <v>14912</v>
      </c>
      <c r="AE3945" s="970" t="s">
        <v>15860</v>
      </c>
      <c r="AF3945" s="925">
        <f>IF(X3945=X3944,AF3944,0)+IF(ISNUMBER(I3945),IF(I3945&lt;1,I3945,I3945*VLOOKUP(J3945,Summary!$H$2:$I$9,2)),VLOOKUP(J3945,Summary!$J$2:$K$9,2)*IF(ISNUMBER(H3945),H3945,1))</f>
        <v>0.76915509259259274</v>
      </c>
      <c r="AG3945" s="293">
        <v>3944</v>
      </c>
      <c r="AH3945" s="94"/>
      <c r="AI3945" s="94"/>
      <c r="AJ3945" s="2"/>
    </row>
    <row r="3946" spans="1:36" s="58" customFormat="1" ht="12" customHeight="1" x14ac:dyDescent="0.25">
      <c r="A3946" s="408" t="s">
        <v>14559</v>
      </c>
      <c r="B3946" s="408" t="s">
        <v>2650</v>
      </c>
      <c r="C3946" s="408">
        <v>8</v>
      </c>
      <c r="D3946" s="434" t="s">
        <v>401</v>
      </c>
      <c r="E3946" s="324" t="s">
        <v>402</v>
      </c>
      <c r="F3946" s="175">
        <v>38995</v>
      </c>
      <c r="G3946" s="175"/>
      <c r="H3946" s="176">
        <v>1</v>
      </c>
      <c r="I3946" s="176"/>
      <c r="J3946" s="900" t="s">
        <v>2755</v>
      </c>
      <c r="K3946" s="157" t="s">
        <v>543</v>
      </c>
      <c r="L3946" s="157"/>
      <c r="M3946" s="157"/>
      <c r="N3946" s="157"/>
      <c r="O3946" s="157"/>
      <c r="P3946" s="173" t="s">
        <v>403</v>
      </c>
      <c r="Q3946" s="157" t="s">
        <v>3954</v>
      </c>
      <c r="R3946" s="179" t="s">
        <v>3609</v>
      </c>
      <c r="S3946" s="354"/>
      <c r="T3946" s="173"/>
      <c r="U3946" s="173"/>
      <c r="V3946" s="173"/>
      <c r="W3946" s="324" t="s">
        <v>402</v>
      </c>
      <c r="X3946" s="656" t="s">
        <v>12343</v>
      </c>
      <c r="Y3946" s="363"/>
      <c r="Z3946" s="364"/>
      <c r="AA3946" s="364"/>
      <c r="AB3946" s="32">
        <f t="shared" ca="1" si="102"/>
        <v>0.14282677385373721</v>
      </c>
      <c r="AC3946" s="812"/>
      <c r="AD3946" s="763"/>
      <c r="AE3946" s="951"/>
      <c r="AF3946" s="921">
        <f>IF(X3946=X3945,AF3945,0)+IF(ISNUMBER(I3946),IF(I3946&lt;1,I3946,I3946*VLOOKUP(J3946,Summary!$H$2:$I$9,2)),VLOOKUP(J3946,Summary!$J$2:$K$9,2)*IF(ISNUMBER(H3946),H3946,1))</f>
        <v>0.7865162037037039</v>
      </c>
      <c r="AG3946" s="288">
        <v>3945</v>
      </c>
      <c r="AH3946" s="94"/>
      <c r="AI3946" s="94"/>
      <c r="AJ3946" s="2"/>
    </row>
    <row r="3947" spans="1:36" s="22" customFormat="1" ht="12" customHeight="1" x14ac:dyDescent="0.2">
      <c r="A3947" s="603" t="s">
        <v>14559</v>
      </c>
      <c r="B3947" s="603">
        <v>10</v>
      </c>
      <c r="C3947" s="603">
        <v>6</v>
      </c>
      <c r="D3947" s="428" t="s">
        <v>1268</v>
      </c>
      <c r="E3947" s="325" t="s">
        <v>4802</v>
      </c>
      <c r="F3947" s="184">
        <v>38882</v>
      </c>
      <c r="G3947" s="184">
        <v>38895</v>
      </c>
      <c r="H3947" s="185">
        <v>1</v>
      </c>
      <c r="I3947" s="185">
        <v>6</v>
      </c>
      <c r="J3947" s="901" t="s">
        <v>1796</v>
      </c>
      <c r="K3947" s="158" t="s">
        <v>4809</v>
      </c>
      <c r="L3947" s="158" t="s">
        <v>3832</v>
      </c>
      <c r="M3947" s="158" t="s">
        <v>3551</v>
      </c>
      <c r="N3947" s="158" t="s">
        <v>5317</v>
      </c>
      <c r="O3947" s="158"/>
      <c r="P3947" s="182" t="s">
        <v>461</v>
      </c>
      <c r="Q3947" s="158" t="s">
        <v>4929</v>
      </c>
      <c r="R3947" s="207" t="s">
        <v>4796</v>
      </c>
      <c r="S3947" s="355" t="s">
        <v>3372</v>
      </c>
      <c r="T3947" s="182"/>
      <c r="U3947" s="182"/>
      <c r="V3947" s="182"/>
      <c r="W3947" s="325" t="s">
        <v>4802</v>
      </c>
      <c r="X3947" s="657" t="s">
        <v>12343</v>
      </c>
      <c r="Y3947" s="361"/>
      <c r="Z3947" s="362"/>
      <c r="AA3947" s="362"/>
      <c r="AB3947" s="33">
        <f t="shared" ca="1" si="102"/>
        <v>0.2173568688225006</v>
      </c>
      <c r="AC3947" s="813"/>
      <c r="AD3947" s="211"/>
      <c r="AE3947" s="949"/>
      <c r="AF3947" s="922">
        <f>IF(X3947=X3946,AF3946,0)+IF(ISNUMBER(I3947),IF(I3947&lt;1,I3947,I3947*VLOOKUP(J3947,Summary!$H$2:$I$9,2)),VLOOKUP(J3947,Summary!$J$2:$K$9,2)*IF(ISNUMBER(H3947),H3947,1))</f>
        <v>0.78859953703703722</v>
      </c>
      <c r="AG3947" s="295">
        <v>3946</v>
      </c>
      <c r="AH3947" s="94"/>
      <c r="AI3947" s="94"/>
    </row>
    <row r="3948" spans="1:36" s="29" customFormat="1" ht="12" customHeight="1" x14ac:dyDescent="0.25">
      <c r="A3948" s="603" t="s">
        <v>14559</v>
      </c>
      <c r="B3948" s="603">
        <v>10</v>
      </c>
      <c r="C3948" s="603">
        <v>7</v>
      </c>
      <c r="D3948" s="428" t="s">
        <v>1269</v>
      </c>
      <c r="E3948" s="325" t="s">
        <v>4803</v>
      </c>
      <c r="F3948" s="184">
        <v>38896</v>
      </c>
      <c r="G3948" s="184">
        <v>38910</v>
      </c>
      <c r="H3948" s="185">
        <v>1</v>
      </c>
      <c r="I3948" s="185">
        <v>6</v>
      </c>
      <c r="J3948" s="901" t="s">
        <v>1796</v>
      </c>
      <c r="K3948" s="158" t="s">
        <v>4809</v>
      </c>
      <c r="L3948" s="158" t="s">
        <v>3832</v>
      </c>
      <c r="M3948" s="158" t="s">
        <v>3551</v>
      </c>
      <c r="N3948" s="158" t="s">
        <v>3451</v>
      </c>
      <c r="O3948" s="158"/>
      <c r="P3948" s="182" t="s">
        <v>461</v>
      </c>
      <c r="Q3948" s="158" t="s">
        <v>4929</v>
      </c>
      <c r="R3948" s="207" t="s">
        <v>4796</v>
      </c>
      <c r="S3948" s="355" t="s">
        <v>3372</v>
      </c>
      <c r="T3948" s="182"/>
      <c r="U3948" s="182"/>
      <c r="V3948" s="182"/>
      <c r="W3948" s="325" t="s">
        <v>4803</v>
      </c>
      <c r="X3948" s="657" t="s">
        <v>12343</v>
      </c>
      <c r="Y3948" s="361"/>
      <c r="Z3948" s="362"/>
      <c r="AA3948" s="362"/>
      <c r="AB3948" s="33">
        <f t="shared" ca="1" si="102"/>
        <v>0.32644984721923531</v>
      </c>
      <c r="AC3948" s="813"/>
      <c r="AD3948" s="211"/>
      <c r="AE3948" s="949"/>
      <c r="AF3948" s="922">
        <f>IF(X3948=X3947,AF3947,0)+IF(ISNUMBER(I3948),IF(I3948&lt;1,I3948,I3948*VLOOKUP(J3948,Summary!$H$2:$I$9,2)),VLOOKUP(J3948,Summary!$J$2:$K$9,2)*IF(ISNUMBER(H3948),H3948,1))</f>
        <v>0.79068287037037055</v>
      </c>
      <c r="AG3948" s="295">
        <v>3947</v>
      </c>
      <c r="AH3948" s="94"/>
      <c r="AI3948" s="94"/>
      <c r="AJ3948" s="22"/>
    </row>
    <row r="3949" spans="1:36" s="29" customFormat="1" ht="12" customHeight="1" x14ac:dyDescent="0.25">
      <c r="A3949" s="603" t="s">
        <v>14559</v>
      </c>
      <c r="B3949" s="603">
        <v>10</v>
      </c>
      <c r="C3949" s="603">
        <v>8</v>
      </c>
      <c r="D3949" s="428" t="s">
        <v>1270</v>
      </c>
      <c r="E3949" s="325" t="s">
        <v>4810</v>
      </c>
      <c r="F3949" s="184">
        <v>38911</v>
      </c>
      <c r="G3949" s="184">
        <v>38924</v>
      </c>
      <c r="H3949" s="185">
        <v>1</v>
      </c>
      <c r="I3949" s="185">
        <v>6</v>
      </c>
      <c r="J3949" s="901" t="s">
        <v>1796</v>
      </c>
      <c r="K3949" s="158" t="s">
        <v>7374</v>
      </c>
      <c r="L3949" s="158" t="s">
        <v>3832</v>
      </c>
      <c r="M3949" s="158" t="s">
        <v>3551</v>
      </c>
      <c r="N3949" s="158" t="s">
        <v>3451</v>
      </c>
      <c r="O3949" s="158"/>
      <c r="P3949" s="182" t="s">
        <v>461</v>
      </c>
      <c r="Q3949" s="158" t="s">
        <v>4929</v>
      </c>
      <c r="R3949" s="207" t="s">
        <v>4796</v>
      </c>
      <c r="S3949" s="355" t="s">
        <v>3372</v>
      </c>
      <c r="T3949" s="182"/>
      <c r="U3949" s="182"/>
      <c r="V3949" s="182"/>
      <c r="W3949" s="325" t="s">
        <v>4810</v>
      </c>
      <c r="X3949" s="657" t="s">
        <v>12343</v>
      </c>
      <c r="Y3949" s="361"/>
      <c r="Z3949" s="362"/>
      <c r="AA3949" s="362"/>
      <c r="AB3949" s="33">
        <f t="shared" ca="1" si="102"/>
        <v>0.53477362575335563</v>
      </c>
      <c r="AC3949" s="813"/>
      <c r="AD3949" s="211"/>
      <c r="AE3949" s="949"/>
      <c r="AF3949" s="922">
        <f>IF(X3949=X3948,AF3948,0)+IF(ISNUMBER(I3949),IF(I3949&lt;1,I3949,I3949*VLOOKUP(J3949,Summary!$H$2:$I$9,2)),VLOOKUP(J3949,Summary!$J$2:$K$9,2)*IF(ISNUMBER(H3949),H3949,1))</f>
        <v>0.79276620370370388</v>
      </c>
      <c r="AG3949" s="295">
        <v>3948</v>
      </c>
      <c r="AH3949" s="94"/>
      <c r="AI3949" s="94"/>
      <c r="AJ3949" s="22"/>
    </row>
    <row r="3950" spans="1:36" s="29" customFormat="1" ht="12" customHeight="1" x14ac:dyDescent="0.25">
      <c r="A3950" s="603" t="s">
        <v>14559</v>
      </c>
      <c r="B3950" s="603">
        <v>10</v>
      </c>
      <c r="C3950" s="603">
        <v>9</v>
      </c>
      <c r="D3950" s="428" t="s">
        <v>1271</v>
      </c>
      <c r="E3950" s="325" t="s">
        <v>4804</v>
      </c>
      <c r="F3950" s="184">
        <v>38925</v>
      </c>
      <c r="G3950" s="184">
        <v>38938</v>
      </c>
      <c r="H3950" s="185">
        <v>1</v>
      </c>
      <c r="I3950" s="185">
        <v>6</v>
      </c>
      <c r="J3950" s="901" t="s">
        <v>1796</v>
      </c>
      <c r="K3950" s="158" t="s">
        <v>2312</v>
      </c>
      <c r="L3950" s="158" t="s">
        <v>3832</v>
      </c>
      <c r="M3950" s="158" t="s">
        <v>3551</v>
      </c>
      <c r="N3950" s="158" t="s">
        <v>3451</v>
      </c>
      <c r="O3950" s="158"/>
      <c r="P3950" s="182" t="s">
        <v>461</v>
      </c>
      <c r="Q3950" s="158" t="s">
        <v>4929</v>
      </c>
      <c r="R3950" s="207" t="s">
        <v>4796</v>
      </c>
      <c r="S3950" s="355" t="s">
        <v>3372</v>
      </c>
      <c r="T3950" s="182"/>
      <c r="U3950" s="182"/>
      <c r="V3950" s="182"/>
      <c r="W3950" s="325" t="s">
        <v>4804</v>
      </c>
      <c r="X3950" s="657" t="s">
        <v>12343</v>
      </c>
      <c r="Y3950" s="361"/>
      <c r="Z3950" s="362"/>
      <c r="AA3950" s="362"/>
      <c r="AB3950" s="33">
        <f t="shared" ca="1" si="102"/>
        <v>0.43179740436224323</v>
      </c>
      <c r="AC3950" s="813"/>
      <c r="AD3950" s="211"/>
      <c r="AE3950" s="949"/>
      <c r="AF3950" s="922">
        <f>IF(X3950=X3949,AF3949,0)+IF(ISNUMBER(I3950),IF(I3950&lt;1,I3950,I3950*VLOOKUP(J3950,Summary!$H$2:$I$9,2)),VLOOKUP(J3950,Summary!$J$2:$K$9,2)*IF(ISNUMBER(H3950),H3950,1))</f>
        <v>0.7948495370370372</v>
      </c>
      <c r="AG3950" s="295">
        <v>3949</v>
      </c>
      <c r="AH3950" s="94"/>
      <c r="AI3950" s="94"/>
      <c r="AJ3950" s="22"/>
    </row>
    <row r="3951" spans="1:36" s="1" customFormat="1" ht="12" customHeight="1" x14ac:dyDescent="0.25">
      <c r="A3951" s="603" t="s">
        <v>14559</v>
      </c>
      <c r="B3951" s="603">
        <v>10</v>
      </c>
      <c r="C3951" s="603">
        <v>10</v>
      </c>
      <c r="D3951" s="428" t="s">
        <v>1272</v>
      </c>
      <c r="E3951" s="325" t="s">
        <v>4805</v>
      </c>
      <c r="F3951" s="184">
        <v>38939</v>
      </c>
      <c r="G3951" s="184">
        <v>38952</v>
      </c>
      <c r="H3951" s="185">
        <v>1</v>
      </c>
      <c r="I3951" s="185">
        <v>6</v>
      </c>
      <c r="J3951" s="901" t="s">
        <v>1796</v>
      </c>
      <c r="K3951" s="158" t="s">
        <v>7374</v>
      </c>
      <c r="L3951" s="158" t="s">
        <v>3832</v>
      </c>
      <c r="M3951" s="158" t="s">
        <v>3551</v>
      </c>
      <c r="N3951" s="158" t="s">
        <v>3451</v>
      </c>
      <c r="O3951" s="158"/>
      <c r="P3951" s="182" t="s">
        <v>461</v>
      </c>
      <c r="Q3951" s="158" t="s">
        <v>4929</v>
      </c>
      <c r="R3951" s="207" t="s">
        <v>4796</v>
      </c>
      <c r="S3951" s="355" t="s">
        <v>3372</v>
      </c>
      <c r="T3951" s="182"/>
      <c r="U3951" s="182"/>
      <c r="V3951" s="182"/>
      <c r="W3951" s="325" t="s">
        <v>4805</v>
      </c>
      <c r="X3951" s="657" t="s">
        <v>12343</v>
      </c>
      <c r="Y3951" s="361"/>
      <c r="Z3951" s="362"/>
      <c r="AA3951" s="362"/>
      <c r="AB3951" s="33">
        <f t="shared" ca="1" si="102"/>
        <v>0.49756334065479635</v>
      </c>
      <c r="AC3951" s="813"/>
      <c r="AD3951" s="211"/>
      <c r="AE3951" s="949"/>
      <c r="AF3951" s="922">
        <f>IF(X3951=X3950,AF3950,0)+IF(ISNUMBER(I3951),IF(I3951&lt;1,I3951,I3951*VLOOKUP(J3951,Summary!$H$2:$I$9,2)),VLOOKUP(J3951,Summary!$J$2:$K$9,2)*IF(ISNUMBER(H3951),H3951,1))</f>
        <v>0.79693287037037053</v>
      </c>
      <c r="AG3951" s="295">
        <v>3950</v>
      </c>
      <c r="AH3951" s="94"/>
      <c r="AI3951" s="94"/>
      <c r="AJ3951" s="43"/>
    </row>
    <row r="3952" spans="1:36" s="29" customFormat="1" ht="12" customHeight="1" x14ac:dyDescent="0.25">
      <c r="A3952" s="598" t="s">
        <v>14559</v>
      </c>
      <c r="B3952" s="598">
        <v>10</v>
      </c>
      <c r="C3952" s="598">
        <v>7</v>
      </c>
      <c r="D3952" s="509" t="s">
        <v>7966</v>
      </c>
      <c r="E3952" s="335" t="s">
        <v>7975</v>
      </c>
      <c r="F3952" s="223">
        <v>38857</v>
      </c>
      <c r="G3952" s="223"/>
      <c r="H3952" s="242">
        <v>1</v>
      </c>
      <c r="I3952" s="792">
        <f>TIME(0,0,56)</f>
        <v>6.4814814814814813E-4</v>
      </c>
      <c r="J3952" s="909" t="s">
        <v>1588</v>
      </c>
      <c r="K3952" s="243" t="s">
        <v>3451</v>
      </c>
      <c r="L3952" s="243"/>
      <c r="M3952" s="243"/>
      <c r="N3952" s="243" t="s">
        <v>3373</v>
      </c>
      <c r="O3952" s="243" t="s">
        <v>3375</v>
      </c>
      <c r="P3952" s="241" t="s">
        <v>461</v>
      </c>
      <c r="Q3952" s="243" t="s">
        <v>3946</v>
      </c>
      <c r="R3952" s="244" t="s">
        <v>7957</v>
      </c>
      <c r="S3952" s="395"/>
      <c r="T3952" s="241"/>
      <c r="U3952" s="241"/>
      <c r="V3952" s="241"/>
      <c r="W3952" s="339" t="s">
        <v>9648</v>
      </c>
      <c r="X3952" s="672" t="s">
        <v>12343</v>
      </c>
      <c r="Y3952" s="375"/>
      <c r="Z3952" s="377"/>
      <c r="AA3952" s="377"/>
      <c r="AB3952" s="55">
        <f t="shared" ca="1" si="102"/>
        <v>4.4003909554874099E-2</v>
      </c>
      <c r="AC3952" s="834"/>
      <c r="AD3952" s="835"/>
      <c r="AE3952" s="957"/>
      <c r="AF3952" s="930">
        <f>IF(X3952=X3951,AF3951,0)+IF(ISNUMBER(I3952),IF(I3952&lt;1,I3952,I3952*VLOOKUP(J3952,Summary!$H$2:$I$9,2)),VLOOKUP(J3952,Summary!$J$2:$K$9,2)*IF(ISNUMBER(H3952),H3952,1))</f>
        <v>0.7975810185185187</v>
      </c>
      <c r="AG3952" s="302">
        <v>3951</v>
      </c>
      <c r="AH3952" s="94"/>
      <c r="AI3952" s="94"/>
      <c r="AJ3952" s="22"/>
    </row>
    <row r="3953" spans="1:36" s="1" customFormat="1" ht="12" customHeight="1" x14ac:dyDescent="0.25">
      <c r="A3953" s="599" t="s">
        <v>14559</v>
      </c>
      <c r="B3953" s="599">
        <v>10</v>
      </c>
      <c r="C3953" s="599">
        <v>173</v>
      </c>
      <c r="D3953" s="424" t="s">
        <v>7775</v>
      </c>
      <c r="E3953" s="319" t="s">
        <v>7776</v>
      </c>
      <c r="F3953" s="198">
        <v>38864</v>
      </c>
      <c r="G3953" s="198"/>
      <c r="H3953" s="199">
        <v>1</v>
      </c>
      <c r="I3953" s="791">
        <f>TIME(0,45, 8)</f>
        <v>3.1342592592592596E-2</v>
      </c>
      <c r="J3953" s="904" t="s">
        <v>1588</v>
      </c>
      <c r="K3953" s="200" t="s">
        <v>4964</v>
      </c>
      <c r="L3953" s="200" t="s">
        <v>4961</v>
      </c>
      <c r="M3953" s="200"/>
      <c r="N3953" s="200" t="s">
        <v>3373</v>
      </c>
      <c r="O3953" s="200" t="s">
        <v>3375</v>
      </c>
      <c r="P3953" s="197" t="s">
        <v>461</v>
      </c>
      <c r="Q3953" s="200" t="s">
        <v>3946</v>
      </c>
      <c r="R3953" s="201" t="s">
        <v>5280</v>
      </c>
      <c r="S3953" s="390" t="s">
        <v>3372</v>
      </c>
      <c r="T3953" s="197"/>
      <c r="U3953" s="197"/>
      <c r="V3953" s="197"/>
      <c r="W3953" s="319" t="s">
        <v>7776</v>
      </c>
      <c r="X3953" s="651" t="s">
        <v>12343</v>
      </c>
      <c r="Y3953" s="358" t="s">
        <v>6141</v>
      </c>
      <c r="Z3953" s="253">
        <v>301</v>
      </c>
      <c r="AA3953" s="253">
        <v>1.5</v>
      </c>
      <c r="AB3953" s="35">
        <f t="shared" ca="1" si="102"/>
        <v>0.3900005632379423</v>
      </c>
      <c r="AC3953" s="820"/>
      <c r="AD3953" s="821" t="s">
        <v>16763</v>
      </c>
      <c r="AE3953" s="967"/>
      <c r="AF3953" s="925">
        <f>IF(X3953=X3952,AF3952,0)+IF(ISNUMBER(I3953),IF(I3953&lt;1,I3953,I3953*VLOOKUP(J3953,Summary!$H$2:$I$9,2)),VLOOKUP(J3953,Summary!$J$2:$K$9,2)*IF(ISNUMBER(H3953),H3953,1))</f>
        <v>0.82892361111111135</v>
      </c>
      <c r="AG3953" s="293">
        <v>3952</v>
      </c>
      <c r="AH3953" s="94"/>
      <c r="AI3953" s="94"/>
      <c r="AJ3953" s="2"/>
    </row>
    <row r="3954" spans="1:36" s="1" customFormat="1" ht="12" customHeight="1" x14ac:dyDescent="0.25">
      <c r="A3954" s="600" t="s">
        <v>14559</v>
      </c>
      <c r="B3954" s="600">
        <v>10</v>
      </c>
      <c r="C3954" s="600">
        <v>2007.01</v>
      </c>
      <c r="D3954" s="434" t="s">
        <v>4842</v>
      </c>
      <c r="E3954" s="324" t="s">
        <v>4844</v>
      </c>
      <c r="F3954" s="174">
        <v>38961</v>
      </c>
      <c r="G3954" s="175"/>
      <c r="H3954" s="176" t="s">
        <v>461</v>
      </c>
      <c r="I3954" s="176">
        <v>9</v>
      </c>
      <c r="J3954" s="900" t="s">
        <v>2755</v>
      </c>
      <c r="K3954" s="157" t="s">
        <v>4964</v>
      </c>
      <c r="L3954" s="157" t="s">
        <v>3837</v>
      </c>
      <c r="M3954" s="157"/>
      <c r="N3954" s="157"/>
      <c r="O3954" s="157"/>
      <c r="P3954" s="173" t="s">
        <v>4840</v>
      </c>
      <c r="Q3954" s="157" t="s">
        <v>4841</v>
      </c>
      <c r="R3954" s="179" t="s">
        <v>3976</v>
      </c>
      <c r="S3954" s="354" t="s">
        <v>3372</v>
      </c>
      <c r="T3954" s="173"/>
      <c r="U3954" s="173"/>
      <c r="V3954" s="173"/>
      <c r="W3954" s="324" t="s">
        <v>4844</v>
      </c>
      <c r="X3954" s="656" t="s">
        <v>12343</v>
      </c>
      <c r="Y3954" s="363" t="s">
        <v>6868</v>
      </c>
      <c r="Z3954" s="364">
        <v>999</v>
      </c>
      <c r="AA3954" s="364"/>
      <c r="AB3954" s="32">
        <f t="shared" ca="1" si="102"/>
        <v>0.13444399695424125</v>
      </c>
      <c r="AC3954" s="812"/>
      <c r="AD3954" s="763"/>
      <c r="AE3954" s="951"/>
      <c r="AF3954" s="921">
        <f>IF(X3954=X3953,AF3953,0)+IF(ISNUMBER(I3954),IF(I3954&lt;1,I3954,I3954*VLOOKUP(J3954,Summary!$H$2:$I$9,2)),VLOOKUP(J3954,Summary!$J$2:$K$9,2)*IF(ISNUMBER(H3954),H3954,1))</f>
        <v>0.83517361111111132</v>
      </c>
      <c r="AG3954" s="288">
        <v>3953</v>
      </c>
      <c r="AH3954" s="94"/>
      <c r="AI3954" s="94"/>
      <c r="AJ3954" s="2"/>
    </row>
    <row r="3955" spans="1:36" s="22" customFormat="1" ht="12" customHeight="1" x14ac:dyDescent="0.25">
      <c r="A3955" s="600" t="s">
        <v>14559</v>
      </c>
      <c r="B3955" s="600">
        <v>10</v>
      </c>
      <c r="C3955" s="600">
        <v>2007.02</v>
      </c>
      <c r="D3955" s="434" t="s">
        <v>4842</v>
      </c>
      <c r="E3955" s="324" t="s">
        <v>4845</v>
      </c>
      <c r="F3955" s="174">
        <v>38961</v>
      </c>
      <c r="G3955" s="175"/>
      <c r="H3955" s="176" t="s">
        <v>461</v>
      </c>
      <c r="I3955" s="176">
        <v>9</v>
      </c>
      <c r="J3955" s="900" t="s">
        <v>2755</v>
      </c>
      <c r="K3955" s="157" t="s">
        <v>3451</v>
      </c>
      <c r="L3955" s="157" t="s">
        <v>3835</v>
      </c>
      <c r="M3955" s="157"/>
      <c r="N3955" s="157"/>
      <c r="O3955" s="157"/>
      <c r="P3955" s="173" t="s">
        <v>4840</v>
      </c>
      <c r="Q3955" s="157" t="s">
        <v>4841</v>
      </c>
      <c r="R3955" s="179" t="s">
        <v>3976</v>
      </c>
      <c r="S3955" s="354" t="s">
        <v>3372</v>
      </c>
      <c r="T3955" s="173"/>
      <c r="U3955" s="173"/>
      <c r="V3955" s="173"/>
      <c r="W3955" s="324" t="s">
        <v>4845</v>
      </c>
      <c r="X3955" s="656" t="s">
        <v>12343</v>
      </c>
      <c r="Y3955" s="363" t="s">
        <v>6868</v>
      </c>
      <c r="Z3955" s="364">
        <v>999</v>
      </c>
      <c r="AA3955" s="364"/>
      <c r="AB3955" s="32">
        <f t="shared" ca="1" si="102"/>
        <v>0.19184287525180288</v>
      </c>
      <c r="AC3955" s="812"/>
      <c r="AD3955" s="763"/>
      <c r="AE3955" s="951"/>
      <c r="AF3955" s="921">
        <f>IF(X3955=X3954,AF3954,0)+IF(ISNUMBER(I3955),IF(I3955&lt;1,I3955,I3955*VLOOKUP(J3955,Summary!$H$2:$I$9,2)),VLOOKUP(J3955,Summary!$J$2:$K$9,2)*IF(ISNUMBER(H3955),H3955,1))</f>
        <v>0.8414236111111113</v>
      </c>
      <c r="AG3955" s="288">
        <v>3954</v>
      </c>
      <c r="AH3955" s="94"/>
      <c r="AI3955" s="94"/>
      <c r="AJ3955" s="2"/>
    </row>
    <row r="3956" spans="1:36" s="2" customFormat="1" ht="12" customHeight="1" x14ac:dyDescent="0.25">
      <c r="A3956" s="603" t="s">
        <v>14559</v>
      </c>
      <c r="B3956" s="603">
        <v>10</v>
      </c>
      <c r="C3956" s="603">
        <v>2007.04</v>
      </c>
      <c r="D3956" s="428" t="s">
        <v>4842</v>
      </c>
      <c r="E3956" s="325" t="s">
        <v>4846</v>
      </c>
      <c r="F3956" s="183">
        <v>38961</v>
      </c>
      <c r="G3956" s="184"/>
      <c r="H3956" s="185">
        <v>1</v>
      </c>
      <c r="I3956" s="185">
        <v>7</v>
      </c>
      <c r="J3956" s="901" t="s">
        <v>1796</v>
      </c>
      <c r="K3956" s="158" t="s">
        <v>177</v>
      </c>
      <c r="L3956" s="158" t="s">
        <v>4851</v>
      </c>
      <c r="M3956" s="158"/>
      <c r="N3956" s="158"/>
      <c r="O3956" s="158"/>
      <c r="P3956" s="182" t="s">
        <v>4840</v>
      </c>
      <c r="Q3956" s="158" t="s">
        <v>4841</v>
      </c>
      <c r="R3956" s="207" t="s">
        <v>3976</v>
      </c>
      <c r="S3956" s="355" t="s">
        <v>3372</v>
      </c>
      <c r="T3956" s="182"/>
      <c r="U3956" s="182"/>
      <c r="V3956" s="182"/>
      <c r="W3956" s="325" t="s">
        <v>4846</v>
      </c>
      <c r="X3956" s="657" t="s">
        <v>12343</v>
      </c>
      <c r="Y3956" s="361" t="s">
        <v>6868</v>
      </c>
      <c r="Z3956" s="362">
        <v>999</v>
      </c>
      <c r="AA3956" s="362"/>
      <c r="AB3956" s="33">
        <f t="shared" ca="1" si="102"/>
        <v>0.96416240267266695</v>
      </c>
      <c r="AC3956" s="813"/>
      <c r="AD3956" s="211"/>
      <c r="AE3956" s="949"/>
      <c r="AF3956" s="922">
        <f>IF(X3956=X3955,AF3955,0)+IF(ISNUMBER(I3956),IF(I3956&lt;1,I3956,I3956*VLOOKUP(J3956,Summary!$H$2:$I$9,2)),VLOOKUP(J3956,Summary!$J$2:$K$9,2)*IF(ISNUMBER(H3956),H3956,1))</f>
        <v>0.8438541666666669</v>
      </c>
      <c r="AG3956" s="295">
        <v>3955</v>
      </c>
      <c r="AH3956" s="94"/>
      <c r="AI3956" s="94"/>
    </row>
    <row r="3957" spans="1:36" s="43" customFormat="1" ht="12" customHeight="1" x14ac:dyDescent="0.25">
      <c r="A3957" s="605" t="s">
        <v>14559</v>
      </c>
      <c r="B3957" s="605">
        <v>10</v>
      </c>
      <c r="C3957" s="605">
        <v>2.1</v>
      </c>
      <c r="D3957" s="407" t="s">
        <v>13055</v>
      </c>
      <c r="E3957" s="315" t="s">
        <v>13052</v>
      </c>
      <c r="F3957" s="196">
        <v>43062</v>
      </c>
      <c r="G3957" s="170"/>
      <c r="H3957" s="170">
        <v>1</v>
      </c>
      <c r="I3957" s="747">
        <f>TIME(0,60,0)</f>
        <v>4.1666666666666664E-2</v>
      </c>
      <c r="J3957" s="899" t="s">
        <v>4706</v>
      </c>
      <c r="K3957" s="167" t="s">
        <v>5666</v>
      </c>
      <c r="L3957" s="167" t="s">
        <v>4549</v>
      </c>
      <c r="M3957" s="167"/>
      <c r="N3957" s="167"/>
      <c r="O3957" s="167"/>
      <c r="P3957" s="168" t="s">
        <v>13058</v>
      </c>
      <c r="Q3957" s="167" t="s">
        <v>3947</v>
      </c>
      <c r="R3957" s="172" t="s">
        <v>13051</v>
      </c>
      <c r="S3957" s="388" t="s">
        <v>3372</v>
      </c>
      <c r="T3957" s="168"/>
      <c r="U3957" s="168"/>
      <c r="V3957" s="168"/>
      <c r="W3957" s="312" t="s">
        <v>13052</v>
      </c>
      <c r="X3957" s="644" t="s">
        <v>12343</v>
      </c>
      <c r="Y3957" s="352"/>
      <c r="Z3957" s="353"/>
      <c r="AA3957" s="353"/>
      <c r="AB3957" s="31">
        <f t="shared" ca="1" si="102"/>
        <v>0.40747718008099298</v>
      </c>
      <c r="AC3957" s="810"/>
      <c r="AD3957" s="811"/>
      <c r="AE3957" s="940"/>
      <c r="AF3957" s="920">
        <f>IF(X3957=X3956,AF3956,0)+IF(ISNUMBER(I3957),IF(I3957&lt;1,I3957,I3957*VLOOKUP(J3957,Summary!$H$2:$I$9,2)),VLOOKUP(J3957,Summary!$J$2:$K$9,2)*IF(ISNUMBER(H3957),H3957,1))</f>
        <v>0.88552083333333353</v>
      </c>
      <c r="AG3957" s="287">
        <v>3956</v>
      </c>
      <c r="AH3957" s="94"/>
      <c r="AI3957" s="94"/>
      <c r="AJ3957" s="2"/>
    </row>
    <row r="3958" spans="1:36" s="29" customFormat="1" ht="12" customHeight="1" x14ac:dyDescent="0.25">
      <c r="A3958" s="605" t="s">
        <v>14559</v>
      </c>
      <c r="B3958" s="605">
        <v>10</v>
      </c>
      <c r="C3958" s="605">
        <v>2.2000000000000002</v>
      </c>
      <c r="D3958" s="407" t="s">
        <v>13056</v>
      </c>
      <c r="E3958" s="315" t="s">
        <v>13053</v>
      </c>
      <c r="F3958" s="196">
        <v>43062</v>
      </c>
      <c r="G3958" s="170"/>
      <c r="H3958" s="170">
        <v>1</v>
      </c>
      <c r="I3958" s="747">
        <f>TIME(0,60,0)</f>
        <v>4.1666666666666664E-2</v>
      </c>
      <c r="J3958" s="899" t="s">
        <v>4706</v>
      </c>
      <c r="K3958" s="167" t="s">
        <v>1826</v>
      </c>
      <c r="L3958" s="167" t="s">
        <v>4549</v>
      </c>
      <c r="M3958" s="167"/>
      <c r="N3958" s="167"/>
      <c r="O3958" s="167"/>
      <c r="P3958" s="168" t="s">
        <v>13059</v>
      </c>
      <c r="Q3958" s="167" t="s">
        <v>3947</v>
      </c>
      <c r="R3958" s="172" t="s">
        <v>13051</v>
      </c>
      <c r="S3958" s="388" t="s">
        <v>3372</v>
      </c>
      <c r="T3958" s="168"/>
      <c r="U3958" s="168"/>
      <c r="V3958" s="168"/>
      <c r="W3958" s="312" t="s">
        <v>13053</v>
      </c>
      <c r="X3958" s="644" t="s">
        <v>12343</v>
      </c>
      <c r="Y3958" s="352"/>
      <c r="Z3958" s="353"/>
      <c r="AA3958" s="353"/>
      <c r="AB3958" s="31">
        <f t="shared" ca="1" si="102"/>
        <v>0.70382511784244961</v>
      </c>
      <c r="AC3958" s="810"/>
      <c r="AD3958" s="811"/>
      <c r="AE3958" s="940"/>
      <c r="AF3958" s="920">
        <f>IF(X3958=X3957,AF3957,0)+IF(ISNUMBER(I3958),IF(I3958&lt;1,I3958,I3958*VLOOKUP(J3958,Summary!$H$2:$I$9,2)),VLOOKUP(J3958,Summary!$J$2:$K$9,2)*IF(ISNUMBER(H3958),H3958,1))</f>
        <v>0.92718750000000016</v>
      </c>
      <c r="AG3958" s="287">
        <v>3957</v>
      </c>
      <c r="AH3958" s="94"/>
      <c r="AI3958" s="94"/>
      <c r="AJ3958" s="3"/>
    </row>
    <row r="3959" spans="1:36" s="29" customFormat="1" ht="12" customHeight="1" x14ac:dyDescent="0.25">
      <c r="A3959" s="605" t="s">
        <v>14559</v>
      </c>
      <c r="B3959" s="605">
        <v>10</v>
      </c>
      <c r="C3959" s="605">
        <v>2.2999999999999998</v>
      </c>
      <c r="D3959" s="407" t="s">
        <v>13057</v>
      </c>
      <c r="E3959" s="315" t="s">
        <v>13054</v>
      </c>
      <c r="F3959" s="196">
        <v>43062</v>
      </c>
      <c r="G3959" s="170"/>
      <c r="H3959" s="170">
        <v>1</v>
      </c>
      <c r="I3959" s="747">
        <f>TIME(0,60,0)</f>
        <v>4.1666666666666664E-2</v>
      </c>
      <c r="J3959" s="899" t="s">
        <v>4706</v>
      </c>
      <c r="K3959" s="167" t="s">
        <v>6452</v>
      </c>
      <c r="L3959" s="167" t="s">
        <v>4549</v>
      </c>
      <c r="M3959" s="167"/>
      <c r="N3959" s="167"/>
      <c r="O3959" s="167"/>
      <c r="P3959" s="168" t="s">
        <v>13060</v>
      </c>
      <c r="Q3959" s="167" t="s">
        <v>3947</v>
      </c>
      <c r="R3959" s="172" t="s">
        <v>13051</v>
      </c>
      <c r="S3959" s="388" t="s">
        <v>3372</v>
      </c>
      <c r="T3959" s="168"/>
      <c r="U3959" s="168"/>
      <c r="V3959" s="168"/>
      <c r="W3959" s="312" t="s">
        <v>13054</v>
      </c>
      <c r="X3959" s="644" t="s">
        <v>12343</v>
      </c>
      <c r="Y3959" s="352"/>
      <c r="Z3959" s="353"/>
      <c r="AA3959" s="353"/>
      <c r="AB3959" s="31">
        <f t="shared" ca="1" si="102"/>
        <v>0.20279441232807416</v>
      </c>
      <c r="AC3959" s="810"/>
      <c r="AD3959" s="811"/>
      <c r="AE3959" s="940"/>
      <c r="AF3959" s="920">
        <f>IF(X3959=X3958,AF3958,0)+IF(ISNUMBER(I3959),IF(I3959&lt;1,I3959,I3959*VLOOKUP(J3959,Summary!$H$2:$I$9,2)),VLOOKUP(J3959,Summary!$J$2:$K$9,2)*IF(ISNUMBER(H3959),H3959,1))</f>
        <v>0.96885416666666679</v>
      </c>
      <c r="AG3959" s="287">
        <v>3958</v>
      </c>
      <c r="AH3959" s="94"/>
      <c r="AI3959" s="94"/>
      <c r="AJ3959" s="3"/>
    </row>
    <row r="3960" spans="1:36" s="142" customFormat="1" ht="12" customHeight="1" x14ac:dyDescent="0.25">
      <c r="A3960" s="604" t="s">
        <v>14559</v>
      </c>
      <c r="B3960" s="604">
        <v>10</v>
      </c>
      <c r="C3960" s="604">
        <v>10</v>
      </c>
      <c r="D3960" s="417" t="s">
        <v>1895</v>
      </c>
      <c r="E3960" s="316" t="s">
        <v>6950</v>
      </c>
      <c r="F3960" s="195">
        <v>38981</v>
      </c>
      <c r="G3960" s="195"/>
      <c r="H3960" s="188" t="str">
        <f>IF(J3960="Book","n/a","")</f>
        <v>n/a</v>
      </c>
      <c r="I3960" s="188">
        <v>252</v>
      </c>
      <c r="J3960" s="902" t="s">
        <v>6868</v>
      </c>
      <c r="K3960" s="162" t="s">
        <v>1935</v>
      </c>
      <c r="L3960" s="162" t="str">
        <f>IF(J3960="Book","n/a","")</f>
        <v>n/a</v>
      </c>
      <c r="M3960" s="162"/>
      <c r="N3960" s="162"/>
      <c r="O3960" s="162"/>
      <c r="P3960" s="178" t="s">
        <v>9025</v>
      </c>
      <c r="Q3960" s="162" t="s">
        <v>3953</v>
      </c>
      <c r="R3960" s="189" t="s">
        <v>2711</v>
      </c>
      <c r="S3960" s="366" t="s">
        <v>3372</v>
      </c>
      <c r="T3960" s="178"/>
      <c r="U3960" s="178"/>
      <c r="V3960" s="178"/>
      <c r="W3960" s="316" t="s">
        <v>6950</v>
      </c>
      <c r="X3960" s="648" t="s">
        <v>12343</v>
      </c>
      <c r="Y3960" s="356" t="s">
        <v>6868</v>
      </c>
      <c r="Z3960" s="272">
        <v>65</v>
      </c>
      <c r="AA3960" s="272">
        <v>6.5</v>
      </c>
      <c r="AB3960" s="34">
        <f t="shared" ca="1" si="102"/>
        <v>0.15018058830380521</v>
      </c>
      <c r="AC3960" s="814"/>
      <c r="AD3960" s="818" t="s">
        <v>14583</v>
      </c>
      <c r="AE3960" s="942"/>
      <c r="AF3960" s="923">
        <f>IF(X3960=X3959,AF3959,0)+IF(ISNUMBER(I3960),IF(I3960&lt;1,I3960,I3960*VLOOKUP(J3960,Summary!$H$2:$I$9,2)),VLOOKUP(J3960,Summary!$J$2:$K$9,2)*IF(ISNUMBER(H3960),H3960,1))</f>
        <v>1.1438541666666668</v>
      </c>
      <c r="AG3960" s="291">
        <v>3959</v>
      </c>
      <c r="AH3960" s="94"/>
      <c r="AI3960" s="94"/>
    </row>
    <row r="3961" spans="1:36" s="43" customFormat="1" ht="12" customHeight="1" x14ac:dyDescent="0.25">
      <c r="A3961" s="600" t="s">
        <v>14559</v>
      </c>
      <c r="B3961" s="600">
        <v>10</v>
      </c>
      <c r="C3961" s="600">
        <v>1</v>
      </c>
      <c r="D3961" s="434" t="s">
        <v>380</v>
      </c>
      <c r="E3961" s="324" t="s">
        <v>381</v>
      </c>
      <c r="F3961" s="175">
        <v>38876</v>
      </c>
      <c r="G3961" s="175"/>
      <c r="H3961" s="176">
        <v>1</v>
      </c>
      <c r="I3961" s="176"/>
      <c r="J3961" s="900" t="s">
        <v>2755</v>
      </c>
      <c r="K3961" s="157" t="s">
        <v>6237</v>
      </c>
      <c r="L3961" s="157"/>
      <c r="M3961" s="157"/>
      <c r="N3961" s="157"/>
      <c r="O3961" s="157"/>
      <c r="P3961" s="173" t="s">
        <v>382</v>
      </c>
      <c r="Q3961" s="157" t="s">
        <v>3954</v>
      </c>
      <c r="R3961" s="179" t="s">
        <v>3609</v>
      </c>
      <c r="S3961" s="354" t="s">
        <v>3372</v>
      </c>
      <c r="T3961" s="173"/>
      <c r="U3961" s="173"/>
      <c r="V3961" s="173"/>
      <c r="W3961" s="324" t="s">
        <v>381</v>
      </c>
      <c r="X3961" s="656" t="s">
        <v>12343</v>
      </c>
      <c r="Y3961" s="363"/>
      <c r="Z3961" s="364"/>
      <c r="AA3961" s="364"/>
      <c r="AB3961" s="32">
        <f t="shared" ca="1" si="102"/>
        <v>0.81738619896063136</v>
      </c>
      <c r="AC3961" s="812"/>
      <c r="AD3961" s="763"/>
      <c r="AE3961" s="951"/>
      <c r="AF3961" s="921">
        <f>IF(X3961=X3960,AF3960,0)+IF(ISNUMBER(I3961),IF(I3961&lt;1,I3961,I3961*VLOOKUP(J3961,Summary!$H$2:$I$9,2)),VLOOKUP(J3961,Summary!$J$2:$K$9,2)*IF(ISNUMBER(H3961),H3961,1))</f>
        <v>1.161215277777778</v>
      </c>
      <c r="AG3961" s="288">
        <v>3960</v>
      </c>
      <c r="AH3961" s="94"/>
      <c r="AI3961" s="94"/>
      <c r="AJ3961" s="2"/>
    </row>
    <row r="3962" spans="1:36" s="58" customFormat="1" ht="12" customHeight="1" x14ac:dyDescent="0.25">
      <c r="A3962" s="600" t="s">
        <v>14559</v>
      </c>
      <c r="B3962" s="600">
        <v>10</v>
      </c>
      <c r="C3962" s="600">
        <v>2</v>
      </c>
      <c r="D3962" s="434" t="s">
        <v>384</v>
      </c>
      <c r="E3962" s="324" t="s">
        <v>385</v>
      </c>
      <c r="F3962" s="175">
        <v>38876</v>
      </c>
      <c r="G3962" s="175"/>
      <c r="H3962" s="176">
        <v>1</v>
      </c>
      <c r="I3962" s="176"/>
      <c r="J3962" s="900" t="s">
        <v>2755</v>
      </c>
      <c r="K3962" s="157" t="s">
        <v>4552</v>
      </c>
      <c r="L3962" s="157"/>
      <c r="M3962" s="157"/>
      <c r="N3962" s="157"/>
      <c r="O3962" s="157"/>
      <c r="P3962" s="173" t="s">
        <v>386</v>
      </c>
      <c r="Q3962" s="157" t="s">
        <v>3954</v>
      </c>
      <c r="R3962" s="179" t="s">
        <v>3609</v>
      </c>
      <c r="S3962" s="354" t="s">
        <v>3372</v>
      </c>
      <c r="T3962" s="173"/>
      <c r="U3962" s="173"/>
      <c r="V3962" s="173"/>
      <c r="W3962" s="324" t="s">
        <v>385</v>
      </c>
      <c r="X3962" s="656" t="s">
        <v>12343</v>
      </c>
      <c r="Y3962" s="363"/>
      <c r="Z3962" s="364"/>
      <c r="AA3962" s="364"/>
      <c r="AB3962" s="32">
        <f t="shared" ca="1" si="102"/>
        <v>0.59001115986391295</v>
      </c>
      <c r="AC3962" s="812"/>
      <c r="AD3962" s="763"/>
      <c r="AE3962" s="951"/>
      <c r="AF3962" s="921">
        <f>IF(X3962=X3961,AF3961,0)+IF(ISNUMBER(I3962),IF(I3962&lt;1,I3962,I3962*VLOOKUP(J3962,Summary!$H$2:$I$9,2)),VLOOKUP(J3962,Summary!$J$2:$K$9,2)*IF(ISNUMBER(H3962),H3962,1))</f>
        <v>1.1785763888888892</v>
      </c>
      <c r="AG3962" s="288">
        <v>3961</v>
      </c>
      <c r="AH3962" s="94"/>
      <c r="AI3962" s="94"/>
      <c r="AJ3962" s="2"/>
    </row>
    <row r="3963" spans="1:36" s="58" customFormat="1" ht="12" customHeight="1" x14ac:dyDescent="0.25">
      <c r="A3963" s="600" t="s">
        <v>14559</v>
      </c>
      <c r="B3963" s="600">
        <v>10</v>
      </c>
      <c r="C3963" s="600">
        <v>3</v>
      </c>
      <c r="D3963" s="434" t="s">
        <v>383</v>
      </c>
      <c r="E3963" s="324" t="s">
        <v>388</v>
      </c>
      <c r="F3963" s="175">
        <v>38876</v>
      </c>
      <c r="G3963" s="175"/>
      <c r="H3963" s="176">
        <v>1</v>
      </c>
      <c r="I3963" s="176"/>
      <c r="J3963" s="900" t="s">
        <v>2755</v>
      </c>
      <c r="K3963" s="157" t="s">
        <v>4552</v>
      </c>
      <c r="L3963" s="157"/>
      <c r="M3963" s="157"/>
      <c r="N3963" s="157"/>
      <c r="O3963" s="157"/>
      <c r="P3963" s="173" t="s">
        <v>387</v>
      </c>
      <c r="Q3963" s="157" t="s">
        <v>3954</v>
      </c>
      <c r="R3963" s="179" t="s">
        <v>3609</v>
      </c>
      <c r="S3963" s="354" t="s">
        <v>3372</v>
      </c>
      <c r="T3963" s="173"/>
      <c r="U3963" s="173"/>
      <c r="V3963" s="173"/>
      <c r="W3963" s="324" t="s">
        <v>388</v>
      </c>
      <c r="X3963" s="656" t="s">
        <v>12343</v>
      </c>
      <c r="Y3963" s="363"/>
      <c r="Z3963" s="364"/>
      <c r="AA3963" s="364"/>
      <c r="AB3963" s="32">
        <f t="shared" ca="1" si="102"/>
        <v>0.36594129130016262</v>
      </c>
      <c r="AC3963" s="812"/>
      <c r="AD3963" s="763"/>
      <c r="AE3963" s="951"/>
      <c r="AF3963" s="921">
        <f>IF(X3963=X3962,AF3962,0)+IF(ISNUMBER(I3963),IF(I3963&lt;1,I3963,I3963*VLOOKUP(J3963,Summary!$H$2:$I$9,2)),VLOOKUP(J3963,Summary!$J$2:$K$9,2)*IF(ISNUMBER(H3963),H3963,1))</f>
        <v>1.1959375000000003</v>
      </c>
      <c r="AG3963" s="288">
        <v>3962</v>
      </c>
      <c r="AH3963" s="94"/>
      <c r="AI3963" s="94"/>
      <c r="AJ3963" s="2"/>
    </row>
    <row r="3964" spans="1:36" s="29" customFormat="1" ht="12" customHeight="1" x14ac:dyDescent="0.25">
      <c r="A3964" s="598" t="s">
        <v>14559</v>
      </c>
      <c r="B3964" s="598">
        <v>10</v>
      </c>
      <c r="C3964" s="598">
        <v>8</v>
      </c>
      <c r="D3964" s="509" t="s">
        <v>7965</v>
      </c>
      <c r="E3964" s="335" t="s">
        <v>7976</v>
      </c>
      <c r="F3964" s="223">
        <v>38864</v>
      </c>
      <c r="G3964" s="223"/>
      <c r="H3964" s="242">
        <v>1</v>
      </c>
      <c r="I3964" s="792">
        <f>TIME(0,0,57)</f>
        <v>6.5972222222222213E-4</v>
      </c>
      <c r="J3964" s="909" t="s">
        <v>1588</v>
      </c>
      <c r="K3964" s="243" t="s">
        <v>3451</v>
      </c>
      <c r="L3964" s="243"/>
      <c r="M3964" s="243"/>
      <c r="N3964" s="243" t="s">
        <v>3373</v>
      </c>
      <c r="O3964" s="243" t="s">
        <v>3375</v>
      </c>
      <c r="P3964" s="241" t="s">
        <v>461</v>
      </c>
      <c r="Q3964" s="243" t="s">
        <v>3946</v>
      </c>
      <c r="R3964" s="244" t="s">
        <v>7957</v>
      </c>
      <c r="S3964" s="395"/>
      <c r="T3964" s="241"/>
      <c r="U3964" s="241"/>
      <c r="V3964" s="241"/>
      <c r="W3964" s="339" t="s">
        <v>9649</v>
      </c>
      <c r="X3964" s="672" t="s">
        <v>12343</v>
      </c>
      <c r="Y3964" s="375"/>
      <c r="Z3964" s="377"/>
      <c r="AA3964" s="377"/>
      <c r="AB3964" s="55">
        <f t="shared" ca="1" si="102"/>
        <v>0.61967939448328135</v>
      </c>
      <c r="AC3964" s="834"/>
      <c r="AD3964" s="835"/>
      <c r="AE3964" s="957"/>
      <c r="AF3964" s="930">
        <f>IF(X3964=X3963,AF3963,0)+IF(ISNUMBER(I3964),IF(I3964&lt;1,I3964,I3964*VLOOKUP(J3964,Summary!$H$2:$I$9,2)),VLOOKUP(J3964,Summary!$J$2:$K$9,2)*IF(ISNUMBER(H3964),H3964,1))</f>
        <v>1.1965972222222225</v>
      </c>
      <c r="AG3964" s="302">
        <v>3963</v>
      </c>
      <c r="AH3964" s="94"/>
      <c r="AI3964" s="94"/>
      <c r="AJ3964" s="3"/>
    </row>
    <row r="3965" spans="1:36" s="58" customFormat="1" ht="12" customHeight="1" x14ac:dyDescent="0.25">
      <c r="A3965" s="598" t="s">
        <v>14559</v>
      </c>
      <c r="B3965" s="598">
        <v>10</v>
      </c>
      <c r="C3965" s="598">
        <v>9</v>
      </c>
      <c r="D3965" s="509" t="s">
        <v>7964</v>
      </c>
      <c r="E3965" s="335" t="s">
        <v>7977</v>
      </c>
      <c r="F3965" s="223">
        <v>38871</v>
      </c>
      <c r="G3965" s="223"/>
      <c r="H3965" s="242">
        <v>1</v>
      </c>
      <c r="I3965" s="792">
        <f>TIME(0,0,57)</f>
        <v>6.5972222222222213E-4</v>
      </c>
      <c r="J3965" s="909" t="s">
        <v>1588</v>
      </c>
      <c r="K3965" s="243" t="s">
        <v>3451</v>
      </c>
      <c r="L3965" s="243"/>
      <c r="M3965" s="243"/>
      <c r="N3965" s="243" t="s">
        <v>3373</v>
      </c>
      <c r="O3965" s="243" t="s">
        <v>3375</v>
      </c>
      <c r="P3965" s="241" t="s">
        <v>461</v>
      </c>
      <c r="Q3965" s="243" t="s">
        <v>3946</v>
      </c>
      <c r="R3965" s="244" t="s">
        <v>7957</v>
      </c>
      <c r="S3965" s="395"/>
      <c r="T3965" s="241"/>
      <c r="U3965" s="241"/>
      <c r="V3965" s="241"/>
      <c r="W3965" s="339" t="s">
        <v>9650</v>
      </c>
      <c r="X3965" s="672" t="s">
        <v>12343</v>
      </c>
      <c r="Y3965" s="375"/>
      <c r="Z3965" s="377"/>
      <c r="AA3965" s="377"/>
      <c r="AB3965" s="55">
        <f t="shared" ca="1" si="102"/>
        <v>0.2533190849562692</v>
      </c>
      <c r="AC3965" s="834"/>
      <c r="AD3965" s="835"/>
      <c r="AE3965" s="957"/>
      <c r="AF3965" s="930">
        <f>IF(X3965=X3964,AF3964,0)+IF(ISNUMBER(I3965),IF(I3965&lt;1,I3965,I3965*VLOOKUP(J3965,Summary!$H$2:$I$9,2)),VLOOKUP(J3965,Summary!$J$2:$K$9,2)*IF(ISNUMBER(H3965),H3965,1))</f>
        <v>1.1972569444444447</v>
      </c>
      <c r="AG3965" s="302">
        <v>3964</v>
      </c>
      <c r="AH3965" s="94"/>
      <c r="AI3965" s="94"/>
      <c r="AJ3965" s="2"/>
    </row>
    <row r="3966" spans="1:36" s="29" customFormat="1" ht="12" customHeight="1" x14ac:dyDescent="0.25">
      <c r="A3966" s="599" t="s">
        <v>14559</v>
      </c>
      <c r="B3966" s="599">
        <v>10</v>
      </c>
      <c r="C3966" s="599">
        <v>174</v>
      </c>
      <c r="D3966" s="424" t="s">
        <v>6946</v>
      </c>
      <c r="E3966" s="319" t="s">
        <v>6947</v>
      </c>
      <c r="F3966" s="198">
        <v>38871</v>
      </c>
      <c r="G3966" s="198">
        <v>38878</v>
      </c>
      <c r="H3966" s="199">
        <v>2</v>
      </c>
      <c r="I3966" s="791">
        <f>TIME(0,45,16)+TIME(0,47,12)</f>
        <v>6.4212962962962972E-2</v>
      </c>
      <c r="J3966" s="904" t="s">
        <v>1588</v>
      </c>
      <c r="K3966" s="200" t="s">
        <v>6948</v>
      </c>
      <c r="L3966" s="200" t="s">
        <v>6949</v>
      </c>
      <c r="M3966" s="200"/>
      <c r="N3966" s="200" t="s">
        <v>3373</v>
      </c>
      <c r="O3966" s="200" t="s">
        <v>3375</v>
      </c>
      <c r="P3966" s="197" t="s">
        <v>461</v>
      </c>
      <c r="Q3966" s="200" t="s">
        <v>3946</v>
      </c>
      <c r="R3966" s="201" t="s">
        <v>5280</v>
      </c>
      <c r="S3966" s="390" t="s">
        <v>3372</v>
      </c>
      <c r="T3966" s="197"/>
      <c r="U3966" s="197"/>
      <c r="V3966" s="197"/>
      <c r="W3966" s="318" t="s">
        <v>8450</v>
      </c>
      <c r="X3966" s="650" t="s">
        <v>12343</v>
      </c>
      <c r="Y3966" s="358" t="s">
        <v>6141</v>
      </c>
      <c r="Z3966" s="253">
        <v>131</v>
      </c>
      <c r="AA3966" s="253">
        <v>6</v>
      </c>
      <c r="AB3966" s="35">
        <f t="shared" ca="1" si="102"/>
        <v>0.22969346527688905</v>
      </c>
      <c r="AC3966" s="820"/>
      <c r="AD3966" s="821" t="s">
        <v>16402</v>
      </c>
      <c r="AE3966" s="944" t="s">
        <v>12543</v>
      </c>
      <c r="AF3966" s="925">
        <f>IF(X3966=X3965,AF3965,0)+IF(ISNUMBER(I3966),IF(I3966&lt;1,I3966,I3966*VLOOKUP(J3966,Summary!$H$2:$I$9,2)),VLOOKUP(J3966,Summary!$J$2:$K$9,2)*IF(ISNUMBER(H3966),H3966,1))</f>
        <v>1.2614699074074078</v>
      </c>
      <c r="AG3966" s="293">
        <v>3965</v>
      </c>
      <c r="AH3966" s="94"/>
      <c r="AI3966" s="94"/>
      <c r="AJ3966" s="3"/>
    </row>
    <row r="3967" spans="1:36" s="29" customFormat="1" ht="12" customHeight="1" x14ac:dyDescent="0.25">
      <c r="A3967" s="603" t="s">
        <v>14559</v>
      </c>
      <c r="B3967" s="603">
        <v>10</v>
      </c>
      <c r="C3967" s="603">
        <v>2007.02</v>
      </c>
      <c r="D3967" s="428" t="s">
        <v>6985</v>
      </c>
      <c r="E3967" s="325" t="s">
        <v>6986</v>
      </c>
      <c r="F3967" s="183">
        <v>38961</v>
      </c>
      <c r="G3967" s="184"/>
      <c r="H3967" s="185">
        <v>1</v>
      </c>
      <c r="I3967" s="185">
        <v>6</v>
      </c>
      <c r="J3967" s="901" t="s">
        <v>1796</v>
      </c>
      <c r="K3967" s="158" t="s">
        <v>4422</v>
      </c>
      <c r="L3967" s="158" t="s">
        <v>3832</v>
      </c>
      <c r="M3967" s="158" t="s">
        <v>252</v>
      </c>
      <c r="N3967" s="158"/>
      <c r="O3967" s="158"/>
      <c r="P3967" s="182" t="s">
        <v>6987</v>
      </c>
      <c r="Q3967" s="158" t="s">
        <v>3954</v>
      </c>
      <c r="R3967" s="207" t="s">
        <v>4600</v>
      </c>
      <c r="S3967" s="355" t="s">
        <v>3372</v>
      </c>
      <c r="T3967" s="182"/>
      <c r="U3967" s="182"/>
      <c r="V3967" s="182"/>
      <c r="W3967" s="325" t="s">
        <v>6986</v>
      </c>
      <c r="X3967" s="657" t="s">
        <v>12343</v>
      </c>
      <c r="Y3967" s="361" t="s">
        <v>6868</v>
      </c>
      <c r="Z3967" s="362"/>
      <c r="AA3967" s="362"/>
      <c r="AB3967" s="33">
        <f t="shared" ca="1" si="102"/>
        <v>0.99170901092541641</v>
      </c>
      <c r="AC3967" s="813"/>
      <c r="AD3967" s="211"/>
      <c r="AE3967" s="949"/>
      <c r="AF3967" s="922">
        <f>IF(X3967=X3966,AF3966,0)+IF(ISNUMBER(I3967),IF(I3967&lt;1,I3967,I3967*VLOOKUP(J3967,Summary!$H$2:$I$9,2)),VLOOKUP(J3967,Summary!$J$2:$K$9,2)*IF(ISNUMBER(H3967),H3967,1))</f>
        <v>1.2635532407407413</v>
      </c>
      <c r="AG3967" s="295">
        <v>3966</v>
      </c>
      <c r="AH3967" s="94"/>
      <c r="AI3967" s="94"/>
      <c r="AJ3967" s="3"/>
    </row>
    <row r="3968" spans="1:36" s="43" customFormat="1" ht="12" customHeight="1" x14ac:dyDescent="0.25">
      <c r="A3968" s="603" t="s">
        <v>14559</v>
      </c>
      <c r="B3968" s="603">
        <v>10</v>
      </c>
      <c r="C3968" s="603">
        <v>11</v>
      </c>
      <c r="D3968" s="428" t="s">
        <v>5069</v>
      </c>
      <c r="E3968" s="325" t="s">
        <v>4806</v>
      </c>
      <c r="F3968" s="184">
        <v>38953</v>
      </c>
      <c r="G3968" s="184">
        <v>38978</v>
      </c>
      <c r="H3968" s="185">
        <v>2</v>
      </c>
      <c r="I3968" s="185">
        <v>12</v>
      </c>
      <c r="J3968" s="901" t="s">
        <v>1796</v>
      </c>
      <c r="K3968" s="158" t="s">
        <v>7374</v>
      </c>
      <c r="L3968" s="158" t="s">
        <v>3832</v>
      </c>
      <c r="M3968" s="158" t="s">
        <v>3551</v>
      </c>
      <c r="N3968" s="158" t="s">
        <v>3451</v>
      </c>
      <c r="O3968" s="158"/>
      <c r="P3968" s="182" t="s">
        <v>461</v>
      </c>
      <c r="Q3968" s="158" t="s">
        <v>4929</v>
      </c>
      <c r="R3968" s="207" t="s">
        <v>4796</v>
      </c>
      <c r="S3968" s="355" t="s">
        <v>3372</v>
      </c>
      <c r="T3968" s="182"/>
      <c r="U3968" s="182"/>
      <c r="V3968" s="182"/>
      <c r="W3968" s="321" t="s">
        <v>8451</v>
      </c>
      <c r="X3968" s="653" t="s">
        <v>12343</v>
      </c>
      <c r="Y3968" s="361"/>
      <c r="Z3968" s="362"/>
      <c r="AA3968" s="362"/>
      <c r="AB3968" s="33">
        <f t="shared" ca="1" si="102"/>
        <v>0.87579112224592259</v>
      </c>
      <c r="AC3968" s="813"/>
      <c r="AD3968" s="211"/>
      <c r="AE3968" s="949"/>
      <c r="AF3968" s="922">
        <f>IF(X3968=X3967,AF3967,0)+IF(ISNUMBER(I3968),IF(I3968&lt;1,I3968,I3968*VLOOKUP(J3968,Summary!$H$2:$I$9,2)),VLOOKUP(J3968,Summary!$J$2:$K$9,2)*IF(ISNUMBER(H3968),H3968,1))</f>
        <v>1.2677199074074079</v>
      </c>
      <c r="AG3968" s="295">
        <v>3967</v>
      </c>
      <c r="AH3968" s="94"/>
      <c r="AI3968" s="94"/>
      <c r="AJ3968" s="2"/>
    </row>
    <row r="3969" spans="1:36" s="22" customFormat="1" ht="12" customHeight="1" x14ac:dyDescent="0.2">
      <c r="A3969" s="603" t="s">
        <v>14559</v>
      </c>
      <c r="B3969" s="603">
        <v>10</v>
      </c>
      <c r="C3969" s="603">
        <v>12</v>
      </c>
      <c r="D3969" s="428" t="s">
        <v>5070</v>
      </c>
      <c r="E3969" s="325" t="s">
        <v>4807</v>
      </c>
      <c r="F3969" s="184">
        <v>38979</v>
      </c>
      <c r="G3969" s="184">
        <v>38992</v>
      </c>
      <c r="H3969" s="185">
        <v>1</v>
      </c>
      <c r="I3969" s="185">
        <v>6</v>
      </c>
      <c r="J3969" s="901" t="s">
        <v>1796</v>
      </c>
      <c r="K3969" s="158" t="s">
        <v>7374</v>
      </c>
      <c r="L3969" s="158" t="s">
        <v>3832</v>
      </c>
      <c r="M3969" s="158" t="s">
        <v>3551</v>
      </c>
      <c r="N3969" s="158" t="s">
        <v>7375</v>
      </c>
      <c r="O3969" s="158"/>
      <c r="P3969" s="182" t="s">
        <v>461</v>
      </c>
      <c r="Q3969" s="158" t="s">
        <v>4929</v>
      </c>
      <c r="R3969" s="207" t="s">
        <v>4796</v>
      </c>
      <c r="S3969" s="355" t="s">
        <v>3372</v>
      </c>
      <c r="T3969" s="182"/>
      <c r="U3969" s="182"/>
      <c r="V3969" s="182"/>
      <c r="W3969" s="325" t="s">
        <v>4807</v>
      </c>
      <c r="X3969" s="657" t="s">
        <v>12343</v>
      </c>
      <c r="Y3969" s="361"/>
      <c r="Z3969" s="362"/>
      <c r="AA3969" s="362"/>
      <c r="AB3969" s="33">
        <f t="shared" ca="1" si="102"/>
        <v>0.5377860284076984</v>
      </c>
      <c r="AC3969" s="813"/>
      <c r="AD3969" s="211"/>
      <c r="AE3969" s="949"/>
      <c r="AF3969" s="922">
        <f>IF(X3969=X3968,AF3968,0)+IF(ISNUMBER(I3969),IF(I3969&lt;1,I3969,I3969*VLOOKUP(J3969,Summary!$H$2:$I$9,2)),VLOOKUP(J3969,Summary!$J$2:$K$9,2)*IF(ISNUMBER(H3969),H3969,1))</f>
        <v>1.2698032407407414</v>
      </c>
      <c r="AG3969" s="295">
        <v>3968</v>
      </c>
      <c r="AH3969" s="94"/>
      <c r="AI3969" s="94"/>
    </row>
    <row r="3970" spans="1:36" s="43" customFormat="1" ht="12" customHeight="1" x14ac:dyDescent="0.25">
      <c r="A3970" s="603" t="s">
        <v>14559</v>
      </c>
      <c r="B3970" s="603">
        <v>10</v>
      </c>
      <c r="C3970" s="603">
        <v>13</v>
      </c>
      <c r="D3970" s="428" t="s">
        <v>5071</v>
      </c>
      <c r="E3970" s="325" t="s">
        <v>7494</v>
      </c>
      <c r="F3970" s="184">
        <v>38993</v>
      </c>
      <c r="G3970" s="184">
        <v>39006</v>
      </c>
      <c r="H3970" s="185">
        <v>1</v>
      </c>
      <c r="I3970" s="185">
        <v>6</v>
      </c>
      <c r="J3970" s="901" t="s">
        <v>1796</v>
      </c>
      <c r="K3970" s="158" t="s">
        <v>7374</v>
      </c>
      <c r="L3970" s="158" t="s">
        <v>3832</v>
      </c>
      <c r="M3970" s="158" t="s">
        <v>3551</v>
      </c>
      <c r="N3970" s="158" t="s">
        <v>7375</v>
      </c>
      <c r="O3970" s="158"/>
      <c r="P3970" s="182" t="s">
        <v>461</v>
      </c>
      <c r="Q3970" s="158" t="s">
        <v>4929</v>
      </c>
      <c r="R3970" s="207" t="s">
        <v>4796</v>
      </c>
      <c r="S3970" s="355" t="s">
        <v>3372</v>
      </c>
      <c r="T3970" s="182"/>
      <c r="U3970" s="182"/>
      <c r="V3970" s="182"/>
      <c r="W3970" s="325" t="s">
        <v>7494</v>
      </c>
      <c r="X3970" s="657" t="s">
        <v>12343</v>
      </c>
      <c r="Y3970" s="361"/>
      <c r="Z3970" s="362"/>
      <c r="AA3970" s="362"/>
      <c r="AB3970" s="33">
        <f t="shared" ref="AB3970:AB4033" ca="1" si="104">RAND()</f>
        <v>0.74634023644627479</v>
      </c>
      <c r="AC3970" s="813"/>
      <c r="AD3970" s="211"/>
      <c r="AE3970" s="949"/>
      <c r="AF3970" s="922">
        <f>IF(X3970=X3969,AF3969,0)+IF(ISNUMBER(I3970),IF(I3970&lt;1,I3970,I3970*VLOOKUP(J3970,Summary!$H$2:$I$9,2)),VLOOKUP(J3970,Summary!$J$2:$K$9,2)*IF(ISNUMBER(H3970),H3970,1))</f>
        <v>1.2718865740740748</v>
      </c>
      <c r="AG3970" s="295">
        <v>3969</v>
      </c>
      <c r="AH3970" s="94"/>
      <c r="AI3970" s="94"/>
      <c r="AJ3970" s="2"/>
    </row>
    <row r="3971" spans="1:36" s="43" customFormat="1" ht="12" customHeight="1" x14ac:dyDescent="0.25">
      <c r="A3971" s="603" t="s">
        <v>14559</v>
      </c>
      <c r="B3971" s="603">
        <v>10</v>
      </c>
      <c r="C3971" s="603">
        <v>14</v>
      </c>
      <c r="D3971" s="428" t="s">
        <v>5072</v>
      </c>
      <c r="E3971" s="325" t="s">
        <v>4808</v>
      </c>
      <c r="F3971" s="184">
        <v>39007</v>
      </c>
      <c r="G3971" s="184">
        <v>39021</v>
      </c>
      <c r="H3971" s="185">
        <v>1</v>
      </c>
      <c r="I3971" s="185">
        <v>6</v>
      </c>
      <c r="J3971" s="901" t="s">
        <v>1796</v>
      </c>
      <c r="K3971" s="158" t="s">
        <v>4422</v>
      </c>
      <c r="L3971" s="158" t="s">
        <v>3832</v>
      </c>
      <c r="M3971" s="158" t="s">
        <v>3551</v>
      </c>
      <c r="N3971" s="158" t="s">
        <v>7375</v>
      </c>
      <c r="O3971" s="158"/>
      <c r="P3971" s="182" t="s">
        <v>461</v>
      </c>
      <c r="Q3971" s="158" t="s">
        <v>4929</v>
      </c>
      <c r="R3971" s="207" t="s">
        <v>4796</v>
      </c>
      <c r="S3971" s="355" t="s">
        <v>3372</v>
      </c>
      <c r="T3971" s="182"/>
      <c r="U3971" s="182"/>
      <c r="V3971" s="182"/>
      <c r="W3971" s="325" t="s">
        <v>4808</v>
      </c>
      <c r="X3971" s="657" t="s">
        <v>12343</v>
      </c>
      <c r="Y3971" s="361"/>
      <c r="Z3971" s="362"/>
      <c r="AA3971" s="362"/>
      <c r="AB3971" s="33">
        <f t="shared" ca="1" si="104"/>
        <v>0.17459856500329152</v>
      </c>
      <c r="AC3971" s="813"/>
      <c r="AD3971" s="211"/>
      <c r="AE3971" s="949"/>
      <c r="AF3971" s="922">
        <f>IF(X3971=X3970,AF3970,0)+IF(ISNUMBER(I3971),IF(I3971&lt;1,I3971,I3971*VLOOKUP(J3971,Summary!$H$2:$I$9,2)),VLOOKUP(J3971,Summary!$J$2:$K$9,2)*IF(ISNUMBER(H3971),H3971,1))</f>
        <v>1.2739699074074082</v>
      </c>
      <c r="AG3971" s="295">
        <v>3970</v>
      </c>
      <c r="AH3971" s="94"/>
      <c r="AI3971" s="94"/>
      <c r="AJ3971" s="2"/>
    </row>
    <row r="3972" spans="1:36" s="22" customFormat="1" ht="12" customHeight="1" x14ac:dyDescent="0.2">
      <c r="A3972" s="605" t="s">
        <v>14559</v>
      </c>
      <c r="B3972" s="605">
        <v>10</v>
      </c>
      <c r="C3972" s="605">
        <v>1.1000000000000001</v>
      </c>
      <c r="D3972" s="407" t="s">
        <v>14308</v>
      </c>
      <c r="E3972" s="315" t="s">
        <v>14309</v>
      </c>
      <c r="F3972" s="196">
        <v>43208</v>
      </c>
      <c r="G3972" s="170"/>
      <c r="H3972" s="170">
        <v>1</v>
      </c>
      <c r="I3972" s="747">
        <f>TIME(0,60,0)</f>
        <v>4.1666666666666664E-2</v>
      </c>
      <c r="J3972" s="899" t="s">
        <v>4706</v>
      </c>
      <c r="K3972" s="167" t="s">
        <v>12662</v>
      </c>
      <c r="L3972" s="167" t="s">
        <v>12662</v>
      </c>
      <c r="M3972" s="167" t="s">
        <v>14310</v>
      </c>
      <c r="N3972" s="167"/>
      <c r="O3972" s="167"/>
      <c r="P3972" s="168" t="s">
        <v>14311</v>
      </c>
      <c r="Q3972" s="167" t="s">
        <v>3947</v>
      </c>
      <c r="R3972" s="172" t="s">
        <v>14312</v>
      </c>
      <c r="S3972" s="388" t="s">
        <v>3372</v>
      </c>
      <c r="T3972" s="168"/>
      <c r="U3972" s="168"/>
      <c r="V3972" s="168"/>
      <c r="W3972" s="312" t="s">
        <v>14309</v>
      </c>
      <c r="X3972" s="644" t="s">
        <v>12343</v>
      </c>
      <c r="Y3972" s="352"/>
      <c r="Z3972" s="353"/>
      <c r="AA3972" s="353"/>
      <c r="AB3972" s="31">
        <f t="shared" ca="1" si="104"/>
        <v>0.50780354294028918</v>
      </c>
      <c r="AC3972" s="810"/>
      <c r="AD3972" s="811"/>
      <c r="AE3972" s="940"/>
      <c r="AF3972" s="920">
        <f>IF(X3972=X3971,AF3971,0)+IF(ISNUMBER(I3972),IF(I3972&lt;1,I3972,I3972*VLOOKUP(J3972,Summary!$H$2:$I$9,2)),VLOOKUP(J3972,Summary!$J$2:$K$9,2)*IF(ISNUMBER(H3972),H3972,1))</f>
        <v>1.315636574074075</v>
      </c>
      <c r="AG3972" s="287">
        <v>3971</v>
      </c>
      <c r="AH3972" s="94"/>
      <c r="AI3972" s="94"/>
    </row>
    <row r="3973" spans="1:36" s="22" customFormat="1" ht="12" customHeight="1" x14ac:dyDescent="0.25">
      <c r="A3973" s="604" t="s">
        <v>14559</v>
      </c>
      <c r="B3973" s="604">
        <v>10</v>
      </c>
      <c r="C3973" s="604">
        <v>11</v>
      </c>
      <c r="D3973" s="417" t="s">
        <v>7733</v>
      </c>
      <c r="E3973" s="316" t="s">
        <v>6951</v>
      </c>
      <c r="F3973" s="195">
        <v>38981</v>
      </c>
      <c r="G3973" s="195"/>
      <c r="H3973" s="188" t="str">
        <f>IF(J3973="Book","n/a","")</f>
        <v>n/a</v>
      </c>
      <c r="I3973" s="188">
        <v>255</v>
      </c>
      <c r="J3973" s="902" t="s">
        <v>6868</v>
      </c>
      <c r="K3973" s="162" t="s">
        <v>6237</v>
      </c>
      <c r="L3973" s="162" t="str">
        <f>IF(J3973="Book","n/a","")</f>
        <v>n/a</v>
      </c>
      <c r="M3973" s="162"/>
      <c r="N3973" s="162"/>
      <c r="O3973" s="162"/>
      <c r="P3973" s="178" t="s">
        <v>9026</v>
      </c>
      <c r="Q3973" s="162" t="s">
        <v>3953</v>
      </c>
      <c r="R3973" s="189" t="s">
        <v>2711</v>
      </c>
      <c r="S3973" s="366" t="s">
        <v>3372</v>
      </c>
      <c r="T3973" s="178"/>
      <c r="U3973" s="178"/>
      <c r="V3973" s="178"/>
      <c r="W3973" s="316" t="s">
        <v>6951</v>
      </c>
      <c r="X3973" s="648" t="s">
        <v>12343</v>
      </c>
      <c r="Y3973" s="356" t="s">
        <v>5099</v>
      </c>
      <c r="Z3973" s="272">
        <v>95</v>
      </c>
      <c r="AA3973" s="272">
        <v>5.5</v>
      </c>
      <c r="AB3973" s="34">
        <f t="shared" ca="1" si="104"/>
        <v>6.5305655521553985E-2</v>
      </c>
      <c r="AC3973" s="814"/>
      <c r="AD3973" s="815" t="s">
        <v>16124</v>
      </c>
      <c r="AE3973" s="942"/>
      <c r="AF3973" s="923">
        <f>IF(X3973=X3972,AF3972,0)+IF(ISNUMBER(I3973),IF(I3973&lt;1,I3973,I3973*VLOOKUP(J3973,Summary!$H$2:$I$9,2)),VLOOKUP(J3973,Summary!$J$2:$K$9,2)*IF(ISNUMBER(H3973),H3973,1))</f>
        <v>1.4927199074074082</v>
      </c>
      <c r="AG3973" s="291">
        <v>3972</v>
      </c>
      <c r="AH3973" s="94"/>
      <c r="AI3973" s="94"/>
    </row>
    <row r="3974" spans="1:36" s="22" customFormat="1" ht="12" customHeight="1" x14ac:dyDescent="0.2">
      <c r="A3974" s="727" t="s">
        <v>14559</v>
      </c>
      <c r="B3974" s="727">
        <v>10</v>
      </c>
      <c r="C3974" s="727">
        <v>3</v>
      </c>
      <c r="D3974" s="619" t="s">
        <v>15185</v>
      </c>
      <c r="E3974" s="345" t="s">
        <v>15184</v>
      </c>
      <c r="F3974" s="219">
        <v>43320</v>
      </c>
      <c r="G3974" s="219"/>
      <c r="H3974" s="210" t="s">
        <v>461</v>
      </c>
      <c r="I3974" s="210"/>
      <c r="J3974" s="908" t="s">
        <v>3346</v>
      </c>
      <c r="K3974" s="166" t="s">
        <v>179</v>
      </c>
      <c r="L3974" s="166" t="s">
        <v>10907</v>
      </c>
      <c r="M3974" s="166" t="s">
        <v>15186</v>
      </c>
      <c r="N3974" s="166"/>
      <c r="O3974" s="166"/>
      <c r="P3974" s="267" t="s">
        <v>461</v>
      </c>
      <c r="Q3974" s="166" t="s">
        <v>15182</v>
      </c>
      <c r="R3974" s="268" t="s">
        <v>15181</v>
      </c>
      <c r="S3974" s="386" t="s">
        <v>3372</v>
      </c>
      <c r="T3974" s="267"/>
      <c r="U3974" s="267"/>
      <c r="V3974" s="267"/>
      <c r="W3974" s="345" t="s">
        <v>15184</v>
      </c>
      <c r="X3974" s="680" t="s">
        <v>12343</v>
      </c>
      <c r="Y3974" s="384"/>
      <c r="Z3974" s="385"/>
      <c r="AA3974" s="385"/>
      <c r="AB3974" s="41">
        <f t="shared" ca="1" si="104"/>
        <v>1.263618767127106E-2</v>
      </c>
      <c r="AC3974" s="832"/>
      <c r="AD3974" s="833"/>
      <c r="AE3974" s="956"/>
      <c r="AF3974" s="929">
        <f>IF(X3974=X3973,AF3973,0)+IF(ISNUMBER(I3974),IF(I3974&lt;1,I3974,I3974*VLOOKUP(J3974,Summary!$H$2:$I$9,2)),VLOOKUP(J3974,Summary!$J$2:$K$9,2)*IF(ISNUMBER(H3974),H3974,1))</f>
        <v>1.534386574074075</v>
      </c>
      <c r="AG3974" s="307">
        <v>3973</v>
      </c>
      <c r="AH3974" s="94"/>
      <c r="AI3974" s="94"/>
    </row>
    <row r="3975" spans="1:36" s="43" customFormat="1" ht="12" customHeight="1" x14ac:dyDescent="0.25">
      <c r="A3975" s="604" t="s">
        <v>14559</v>
      </c>
      <c r="B3975" s="604">
        <v>10</v>
      </c>
      <c r="C3975" s="604">
        <v>12</v>
      </c>
      <c r="D3975" s="417" t="s">
        <v>1896</v>
      </c>
      <c r="E3975" s="316" t="s">
        <v>6952</v>
      </c>
      <c r="F3975" s="195">
        <v>38981</v>
      </c>
      <c r="G3975" s="195"/>
      <c r="H3975" s="188" t="str">
        <f>IF(J3975="Book","n/a","")</f>
        <v>n/a</v>
      </c>
      <c r="I3975" s="188">
        <v>251</v>
      </c>
      <c r="J3975" s="902" t="s">
        <v>6868</v>
      </c>
      <c r="K3975" s="162" t="s">
        <v>6355</v>
      </c>
      <c r="L3975" s="162" t="str">
        <f>IF(J3975="Book","n/a","")</f>
        <v>n/a</v>
      </c>
      <c r="M3975" s="162"/>
      <c r="N3975" s="162"/>
      <c r="O3975" s="162"/>
      <c r="P3975" s="178" t="s">
        <v>9027</v>
      </c>
      <c r="Q3975" s="162" t="s">
        <v>3953</v>
      </c>
      <c r="R3975" s="189" t="s">
        <v>2711</v>
      </c>
      <c r="S3975" s="366" t="s">
        <v>3372</v>
      </c>
      <c r="T3975" s="178"/>
      <c r="U3975" s="178"/>
      <c r="V3975" s="178"/>
      <c r="W3975" s="316" t="s">
        <v>6952</v>
      </c>
      <c r="X3975" s="648" t="s">
        <v>12343</v>
      </c>
      <c r="Y3975" s="356" t="s">
        <v>6868</v>
      </c>
      <c r="Z3975" s="272">
        <v>155</v>
      </c>
      <c r="AA3975" s="272">
        <v>4</v>
      </c>
      <c r="AB3975" s="34">
        <f t="shared" ca="1" si="104"/>
        <v>0.74157673206010344</v>
      </c>
      <c r="AC3975" s="814"/>
      <c r="AD3975" s="815" t="s">
        <v>15861</v>
      </c>
      <c r="AE3975" s="942" t="s">
        <v>12543</v>
      </c>
      <c r="AF3975" s="923">
        <f>IF(X3975=X3974,AF3974,0)+IF(ISNUMBER(I3975),IF(I3975&lt;1,I3975,I3975*VLOOKUP(J3975,Summary!$H$2:$I$9,2)),VLOOKUP(J3975,Summary!$J$2:$K$9,2)*IF(ISNUMBER(H3975),H3975,1))</f>
        <v>1.7086921296296305</v>
      </c>
      <c r="AG3975" s="291">
        <v>3974</v>
      </c>
      <c r="AH3975" s="94"/>
      <c r="AI3975" s="94"/>
      <c r="AJ3975" s="2"/>
    </row>
    <row r="3976" spans="1:36" s="43" customFormat="1" ht="12" customHeight="1" x14ac:dyDescent="0.25">
      <c r="A3976" s="603" t="s">
        <v>14559</v>
      </c>
      <c r="B3976" s="603">
        <v>10</v>
      </c>
      <c r="C3976" s="603">
        <v>15</v>
      </c>
      <c r="D3976" s="428" t="s">
        <v>5073</v>
      </c>
      <c r="E3976" s="325" t="s">
        <v>7495</v>
      </c>
      <c r="F3976" s="184">
        <v>39022</v>
      </c>
      <c r="G3976" s="184">
        <v>39049</v>
      </c>
      <c r="H3976" s="185">
        <v>2</v>
      </c>
      <c r="I3976" s="185">
        <v>12</v>
      </c>
      <c r="J3976" s="901" t="s">
        <v>1796</v>
      </c>
      <c r="K3976" s="158" t="s">
        <v>7374</v>
      </c>
      <c r="L3976" s="158" t="s">
        <v>3832</v>
      </c>
      <c r="M3976" s="158" t="s">
        <v>3551</v>
      </c>
      <c r="N3976" s="158" t="s">
        <v>7375</v>
      </c>
      <c r="O3976" s="158"/>
      <c r="P3976" s="182" t="s">
        <v>461</v>
      </c>
      <c r="Q3976" s="158" t="s">
        <v>4929</v>
      </c>
      <c r="R3976" s="207" t="s">
        <v>4796</v>
      </c>
      <c r="S3976" s="355" t="s">
        <v>3372</v>
      </c>
      <c r="T3976" s="182"/>
      <c r="U3976" s="182"/>
      <c r="V3976" s="182"/>
      <c r="W3976" s="321" t="s">
        <v>8452</v>
      </c>
      <c r="X3976" s="653" t="s">
        <v>12343</v>
      </c>
      <c r="Y3976" s="361"/>
      <c r="Z3976" s="362"/>
      <c r="AA3976" s="362"/>
      <c r="AB3976" s="33">
        <f t="shared" ca="1" si="104"/>
        <v>0.18323678554923439</v>
      </c>
      <c r="AC3976" s="813"/>
      <c r="AD3976" s="211"/>
      <c r="AE3976" s="949"/>
      <c r="AF3976" s="922">
        <f>IF(X3976=X3975,AF3975,0)+IF(ISNUMBER(I3976),IF(I3976&lt;1,I3976,I3976*VLOOKUP(J3976,Summary!$H$2:$I$9,2)),VLOOKUP(J3976,Summary!$J$2:$K$9,2)*IF(ISNUMBER(H3976),H3976,1))</f>
        <v>1.7128587962962971</v>
      </c>
      <c r="AG3976" s="295">
        <v>3975</v>
      </c>
      <c r="AH3976" s="94"/>
      <c r="AI3976" s="94"/>
      <c r="AJ3976" s="29"/>
    </row>
    <row r="3977" spans="1:36" s="43" customFormat="1" ht="12" customHeight="1" x14ac:dyDescent="0.25">
      <c r="A3977" s="603" t="s">
        <v>14559</v>
      </c>
      <c r="B3977" s="603">
        <v>10</v>
      </c>
      <c r="C3977" s="603">
        <v>16</v>
      </c>
      <c r="D3977" s="428" t="s">
        <v>5074</v>
      </c>
      <c r="E3977" s="325" t="s">
        <v>7496</v>
      </c>
      <c r="F3977" s="184">
        <v>39050</v>
      </c>
      <c r="G3977" s="184">
        <v>39084</v>
      </c>
      <c r="H3977" s="185">
        <v>2</v>
      </c>
      <c r="I3977" s="185">
        <v>12</v>
      </c>
      <c r="J3977" s="901" t="s">
        <v>1796</v>
      </c>
      <c r="K3977" s="158" t="s">
        <v>4422</v>
      </c>
      <c r="L3977" s="158" t="s">
        <v>3832</v>
      </c>
      <c r="M3977" s="158" t="s">
        <v>3551</v>
      </c>
      <c r="N3977" s="158" t="s">
        <v>7375</v>
      </c>
      <c r="O3977" s="158"/>
      <c r="P3977" s="182" t="s">
        <v>461</v>
      </c>
      <c r="Q3977" s="158" t="s">
        <v>4929</v>
      </c>
      <c r="R3977" s="207" t="s">
        <v>4796</v>
      </c>
      <c r="S3977" s="355" t="s">
        <v>3372</v>
      </c>
      <c r="T3977" s="403"/>
      <c r="U3977" s="182"/>
      <c r="V3977" s="182"/>
      <c r="W3977" s="321" t="s">
        <v>8453</v>
      </c>
      <c r="X3977" s="653" t="s">
        <v>12343</v>
      </c>
      <c r="Y3977" s="361"/>
      <c r="Z3977" s="362"/>
      <c r="AA3977" s="362"/>
      <c r="AB3977" s="33">
        <f t="shared" ca="1" si="104"/>
        <v>0.91418177704691794</v>
      </c>
      <c r="AC3977" s="813"/>
      <c r="AD3977" s="211"/>
      <c r="AE3977" s="949"/>
      <c r="AF3977" s="922">
        <f>IF(X3977=X3976,AF3976,0)+IF(ISNUMBER(I3977),IF(I3977&lt;1,I3977,I3977*VLOOKUP(J3977,Summary!$H$2:$I$9,2)),VLOOKUP(J3977,Summary!$J$2:$K$9,2)*IF(ISNUMBER(H3977),H3977,1))</f>
        <v>1.7170254629629638</v>
      </c>
      <c r="AG3977" s="295">
        <v>3976</v>
      </c>
      <c r="AH3977" s="94"/>
      <c r="AI3977" s="94"/>
      <c r="AJ3977" s="29"/>
    </row>
    <row r="3978" spans="1:36" s="43" customFormat="1" ht="12" customHeight="1" x14ac:dyDescent="0.25">
      <c r="A3978" s="598" t="s">
        <v>14559</v>
      </c>
      <c r="B3978" s="598">
        <v>10</v>
      </c>
      <c r="C3978" s="598">
        <v>10</v>
      </c>
      <c r="D3978" s="509" t="s">
        <v>7963</v>
      </c>
      <c r="E3978" s="335" t="s">
        <v>7978</v>
      </c>
      <c r="F3978" s="223">
        <v>38878</v>
      </c>
      <c r="G3978" s="223"/>
      <c r="H3978" s="242">
        <v>1</v>
      </c>
      <c r="I3978" s="792">
        <f>TIME(0,0,56)</f>
        <v>6.4814814814814813E-4</v>
      </c>
      <c r="J3978" s="909" t="s">
        <v>1588</v>
      </c>
      <c r="K3978" s="243" t="s">
        <v>3451</v>
      </c>
      <c r="L3978" s="243"/>
      <c r="M3978" s="243"/>
      <c r="N3978" s="243" t="s">
        <v>3373</v>
      </c>
      <c r="O3978" s="243" t="s">
        <v>3375</v>
      </c>
      <c r="P3978" s="241" t="s">
        <v>461</v>
      </c>
      <c r="Q3978" s="243" t="s">
        <v>3946</v>
      </c>
      <c r="R3978" s="244" t="s">
        <v>7957</v>
      </c>
      <c r="S3978" s="395"/>
      <c r="T3978" s="241"/>
      <c r="U3978" s="241"/>
      <c r="V3978" s="241"/>
      <c r="W3978" s="339" t="s">
        <v>9651</v>
      </c>
      <c r="X3978" s="672" t="s">
        <v>12343</v>
      </c>
      <c r="Y3978" s="375"/>
      <c r="Z3978" s="377"/>
      <c r="AA3978" s="377"/>
      <c r="AB3978" s="55">
        <f t="shared" ca="1" si="104"/>
        <v>0.40720495615035268</v>
      </c>
      <c r="AC3978" s="834"/>
      <c r="AD3978" s="835"/>
      <c r="AE3978" s="957"/>
      <c r="AF3978" s="930">
        <f>IF(X3978=X3977,AF3977,0)+IF(ISNUMBER(I3978),IF(I3978&lt;1,I3978,I3978*VLOOKUP(J3978,Summary!$H$2:$I$9,2)),VLOOKUP(J3978,Summary!$J$2:$K$9,2)*IF(ISNUMBER(H3978),H3978,1))</f>
        <v>1.7176736111111119</v>
      </c>
      <c r="AG3978" s="302">
        <v>3977</v>
      </c>
      <c r="AH3978" s="94"/>
      <c r="AI3978" s="94"/>
    </row>
    <row r="3979" spans="1:36" s="3" customFormat="1" ht="12" customHeight="1" x14ac:dyDescent="0.25">
      <c r="A3979" s="599" t="s">
        <v>14559</v>
      </c>
      <c r="B3979" s="599">
        <v>10</v>
      </c>
      <c r="C3979" s="599">
        <v>175</v>
      </c>
      <c r="D3979" s="424" t="s">
        <v>6953</v>
      </c>
      <c r="E3979" s="319" t="s">
        <v>4653</v>
      </c>
      <c r="F3979" s="198">
        <v>38885</v>
      </c>
      <c r="G3979" s="198"/>
      <c r="H3979" s="199">
        <v>1</v>
      </c>
      <c r="I3979" s="791">
        <f>TIME(0,45, 7)</f>
        <v>3.1331018518518515E-2</v>
      </c>
      <c r="J3979" s="904" t="s">
        <v>1588</v>
      </c>
      <c r="K3979" s="200" t="s">
        <v>3373</v>
      </c>
      <c r="L3979" s="200" t="s">
        <v>4654</v>
      </c>
      <c r="M3979" s="200"/>
      <c r="N3979" s="200" t="s">
        <v>3373</v>
      </c>
      <c r="O3979" s="200" t="s">
        <v>3375</v>
      </c>
      <c r="P3979" s="197" t="s">
        <v>461</v>
      </c>
      <c r="Q3979" s="200" t="s">
        <v>3946</v>
      </c>
      <c r="R3979" s="201" t="s">
        <v>5280</v>
      </c>
      <c r="S3979" s="390" t="s">
        <v>3372</v>
      </c>
      <c r="T3979" s="197"/>
      <c r="U3979" s="197"/>
      <c r="V3979" s="197"/>
      <c r="W3979" s="319" t="s">
        <v>4653</v>
      </c>
      <c r="X3979" s="651" t="s">
        <v>12343</v>
      </c>
      <c r="Y3979" s="358" t="s">
        <v>6141</v>
      </c>
      <c r="Z3979" s="253">
        <v>296</v>
      </c>
      <c r="AA3979" s="253">
        <v>2</v>
      </c>
      <c r="AB3979" s="35">
        <f t="shared" ca="1" si="104"/>
        <v>7.1264940962795786E-2</v>
      </c>
      <c r="AC3979" s="820"/>
      <c r="AD3979" s="821" t="s">
        <v>14583</v>
      </c>
      <c r="AE3979" s="967"/>
      <c r="AF3979" s="925">
        <f>IF(X3979=X3978,AF3978,0)+IF(ISNUMBER(I3979),IF(I3979&lt;1,I3979,I3979*VLOOKUP(J3979,Summary!$H$2:$I$9,2)),VLOOKUP(J3979,Summary!$J$2:$K$9,2)*IF(ISNUMBER(H3979),H3979,1))</f>
        <v>1.7490046296296304</v>
      </c>
      <c r="AG3979" s="293">
        <v>3978</v>
      </c>
      <c r="AH3979" s="94"/>
      <c r="AI3979" s="94"/>
      <c r="AJ3979" s="1"/>
    </row>
    <row r="3980" spans="1:36" s="1" customFormat="1" ht="12" customHeight="1" x14ac:dyDescent="0.25">
      <c r="A3980" s="598" t="s">
        <v>14559</v>
      </c>
      <c r="B3980" s="598">
        <v>10</v>
      </c>
      <c r="C3980" s="598">
        <v>11</v>
      </c>
      <c r="D3980" s="509" t="s">
        <v>7962</v>
      </c>
      <c r="E3980" s="335" t="s">
        <v>7979</v>
      </c>
      <c r="F3980" s="223">
        <v>38885</v>
      </c>
      <c r="G3980" s="223"/>
      <c r="H3980" s="242">
        <v>1</v>
      </c>
      <c r="I3980" s="792">
        <f>TIME(0,0,53)</f>
        <v>6.134259259259259E-4</v>
      </c>
      <c r="J3980" s="909" t="s">
        <v>1588</v>
      </c>
      <c r="K3980" s="243" t="s">
        <v>3451</v>
      </c>
      <c r="L3980" s="243"/>
      <c r="M3980" s="243"/>
      <c r="N3980" s="243" t="s">
        <v>3373</v>
      </c>
      <c r="O3980" s="243" t="s">
        <v>3375</v>
      </c>
      <c r="P3980" s="241" t="s">
        <v>461</v>
      </c>
      <c r="Q3980" s="243" t="s">
        <v>3946</v>
      </c>
      <c r="R3980" s="244" t="s">
        <v>7957</v>
      </c>
      <c r="S3980" s="395"/>
      <c r="T3980" s="241"/>
      <c r="U3980" s="241"/>
      <c r="V3980" s="241"/>
      <c r="W3980" s="339" t="s">
        <v>9652</v>
      </c>
      <c r="X3980" s="672" t="s">
        <v>12343</v>
      </c>
      <c r="Y3980" s="375"/>
      <c r="Z3980" s="377"/>
      <c r="AA3980" s="377"/>
      <c r="AB3980" s="55">
        <f t="shared" ca="1" si="104"/>
        <v>0.51253426681149084</v>
      </c>
      <c r="AC3980" s="834"/>
      <c r="AD3980" s="835"/>
      <c r="AE3980" s="957"/>
      <c r="AF3980" s="930">
        <f>IF(X3980=X3979,AF3979,0)+IF(ISNUMBER(I3980),IF(I3980&lt;1,I3980,I3980*VLOOKUP(J3980,Summary!$H$2:$I$9,2)),VLOOKUP(J3980,Summary!$J$2:$K$9,2)*IF(ISNUMBER(H3980),H3980,1))</f>
        <v>1.7496180555555563</v>
      </c>
      <c r="AG3980" s="302">
        <v>3979</v>
      </c>
      <c r="AH3980" s="94"/>
      <c r="AI3980" s="94"/>
    </row>
    <row r="3981" spans="1:36" s="43" customFormat="1" ht="12" customHeight="1" x14ac:dyDescent="0.25">
      <c r="A3981" s="603" t="s">
        <v>14559</v>
      </c>
      <c r="B3981" s="603">
        <v>10</v>
      </c>
      <c r="C3981" s="603">
        <v>122</v>
      </c>
      <c r="D3981" s="428" t="s">
        <v>6167</v>
      </c>
      <c r="E3981" s="325" t="s">
        <v>6166</v>
      </c>
      <c r="F3981" s="184">
        <v>38945</v>
      </c>
      <c r="G3981" s="184">
        <v>39001</v>
      </c>
      <c r="H3981" s="185">
        <v>3</v>
      </c>
      <c r="I3981" s="185">
        <v>28</v>
      </c>
      <c r="J3981" s="901" t="s">
        <v>1796</v>
      </c>
      <c r="K3981" s="158" t="s">
        <v>4138</v>
      </c>
      <c r="L3981" s="163" t="s">
        <v>3828</v>
      </c>
      <c r="M3981" s="163" t="s">
        <v>252</v>
      </c>
      <c r="N3981" s="163" t="s">
        <v>5942</v>
      </c>
      <c r="O3981" s="158"/>
      <c r="P3981" s="182" t="s">
        <v>461</v>
      </c>
      <c r="Q3981" s="158" t="s">
        <v>4104</v>
      </c>
      <c r="R3981" s="207" t="s">
        <v>5266</v>
      </c>
      <c r="S3981" s="355" t="s">
        <v>3372</v>
      </c>
      <c r="T3981" s="182"/>
      <c r="U3981" s="182"/>
      <c r="V3981" s="182"/>
      <c r="W3981" s="321"/>
      <c r="X3981" s="653" t="s">
        <v>12343</v>
      </c>
      <c r="Y3981" s="361"/>
      <c r="Z3981" s="362"/>
      <c r="AA3981" s="362"/>
      <c r="AB3981" s="33">
        <f t="shared" ca="1" si="104"/>
        <v>0.58183238716518515</v>
      </c>
      <c r="AC3981" s="813"/>
      <c r="AD3981" s="826" t="s">
        <v>16692</v>
      </c>
      <c r="AE3981" s="949" t="s">
        <v>16424</v>
      </c>
      <c r="AF3981" s="922">
        <f>IF(X3981=X3980,AF3980,0)+IF(ISNUMBER(I3981),IF(I3981&lt;1,I3981,I3981*VLOOKUP(J3981,Summary!$H$2:$I$9,2)),VLOOKUP(J3981,Summary!$J$2:$K$9,2)*IF(ISNUMBER(H3981),H3981,1))</f>
        <v>1.7593402777777785</v>
      </c>
      <c r="AG3981" s="295">
        <v>3980</v>
      </c>
      <c r="AH3981" s="94"/>
      <c r="AI3981" s="94"/>
      <c r="AJ3981" s="29"/>
    </row>
    <row r="3982" spans="1:36" s="43" customFormat="1" ht="12" customHeight="1" x14ac:dyDescent="0.25">
      <c r="A3982" s="603" t="s">
        <v>14559</v>
      </c>
      <c r="B3982" s="603">
        <v>10</v>
      </c>
      <c r="C3982" s="603">
        <v>123</v>
      </c>
      <c r="D3982" s="428" t="s">
        <v>6168</v>
      </c>
      <c r="E3982" s="325" t="s">
        <v>6169</v>
      </c>
      <c r="F3982" s="184">
        <v>39029</v>
      </c>
      <c r="G3982" s="184">
        <v>39057</v>
      </c>
      <c r="H3982" s="185">
        <v>2</v>
      </c>
      <c r="I3982" s="185">
        <v>18</v>
      </c>
      <c r="J3982" s="901" t="s">
        <v>1796</v>
      </c>
      <c r="K3982" s="158" t="s">
        <v>177</v>
      </c>
      <c r="L3982" s="163" t="s">
        <v>3828</v>
      </c>
      <c r="M3982" s="163" t="s">
        <v>252</v>
      </c>
      <c r="N3982" s="163" t="s">
        <v>5942</v>
      </c>
      <c r="O3982" s="158"/>
      <c r="P3982" s="182" t="s">
        <v>461</v>
      </c>
      <c r="Q3982" s="158" t="s">
        <v>4104</v>
      </c>
      <c r="R3982" s="207" t="s">
        <v>5266</v>
      </c>
      <c r="S3982" s="355" t="s">
        <v>3372</v>
      </c>
      <c r="T3982" s="182"/>
      <c r="U3982" s="182"/>
      <c r="V3982" s="182"/>
      <c r="W3982" s="321"/>
      <c r="X3982" s="653" t="s">
        <v>12343</v>
      </c>
      <c r="Y3982" s="361"/>
      <c r="Z3982" s="362"/>
      <c r="AA3982" s="362"/>
      <c r="AB3982" s="33">
        <f t="shared" ca="1" si="104"/>
        <v>0.51824588635166469</v>
      </c>
      <c r="AC3982" s="813"/>
      <c r="AD3982" s="211" t="s">
        <v>16355</v>
      </c>
      <c r="AE3982" s="949" t="s">
        <v>12543</v>
      </c>
      <c r="AF3982" s="922">
        <f>IF(X3982=X3981,AF3981,0)+IF(ISNUMBER(I3982),IF(I3982&lt;1,I3982,I3982*VLOOKUP(J3982,Summary!$H$2:$I$9,2)),VLOOKUP(J3982,Summary!$J$2:$K$9,2)*IF(ISNUMBER(H3982),H3982,1))</f>
        <v>1.7655902777777785</v>
      </c>
      <c r="AG3982" s="295">
        <v>3981</v>
      </c>
      <c r="AH3982" s="94"/>
      <c r="AI3982" s="94"/>
      <c r="AJ3982" s="29"/>
    </row>
    <row r="3983" spans="1:36" s="43" customFormat="1" ht="12" customHeight="1" x14ac:dyDescent="0.25">
      <c r="A3983" s="599" t="s">
        <v>14559</v>
      </c>
      <c r="B3983" s="599">
        <v>10</v>
      </c>
      <c r="C3983" s="599">
        <v>176</v>
      </c>
      <c r="D3983" s="424" t="s">
        <v>4655</v>
      </c>
      <c r="E3983" s="319" t="s">
        <v>4656</v>
      </c>
      <c r="F3983" s="198">
        <v>38892</v>
      </c>
      <c r="G3983" s="198"/>
      <c r="H3983" s="199">
        <v>1</v>
      </c>
      <c r="I3983" s="791">
        <f>TIME(0,43,50)</f>
        <v>3.0439814814814819E-2</v>
      </c>
      <c r="J3983" s="904" t="s">
        <v>1588</v>
      </c>
      <c r="K3983" s="200" t="s">
        <v>4657</v>
      </c>
      <c r="L3983" s="200" t="s">
        <v>4961</v>
      </c>
      <c r="M3983" s="200"/>
      <c r="N3983" s="200" t="s">
        <v>3373</v>
      </c>
      <c r="O3983" s="200" t="s">
        <v>3375</v>
      </c>
      <c r="P3983" s="197" t="s">
        <v>461</v>
      </c>
      <c r="Q3983" s="200" t="s">
        <v>3946</v>
      </c>
      <c r="R3983" s="201" t="s">
        <v>5280</v>
      </c>
      <c r="S3983" s="390" t="s">
        <v>3372</v>
      </c>
      <c r="T3983" s="197"/>
      <c r="U3983" s="197"/>
      <c r="V3983" s="197"/>
      <c r="W3983" s="319" t="s">
        <v>4656</v>
      </c>
      <c r="X3983" s="651" t="s">
        <v>12343</v>
      </c>
      <c r="Y3983" s="358" t="s">
        <v>6141</v>
      </c>
      <c r="Z3983" s="253">
        <v>126</v>
      </c>
      <c r="AA3983" s="253">
        <v>6</v>
      </c>
      <c r="AB3983" s="35">
        <f t="shared" ca="1" si="104"/>
        <v>0.36628517610502631</v>
      </c>
      <c r="AC3983" s="820"/>
      <c r="AD3983" s="821" t="s">
        <v>16072</v>
      </c>
      <c r="AE3983" s="967"/>
      <c r="AF3983" s="925">
        <f>IF(X3983=X3982,AF3982,0)+IF(ISNUMBER(I3983),IF(I3983&lt;1,I3983,I3983*VLOOKUP(J3983,Summary!$H$2:$I$9,2)),VLOOKUP(J3983,Summary!$J$2:$K$9,2)*IF(ISNUMBER(H3983),H3983,1))</f>
        <v>1.7960300925925934</v>
      </c>
      <c r="AG3983" s="293">
        <v>3982</v>
      </c>
      <c r="AH3983" s="94"/>
      <c r="AI3983" s="94"/>
      <c r="AJ3983" s="29"/>
    </row>
    <row r="3984" spans="1:36" s="43" customFormat="1" ht="12" customHeight="1" x14ac:dyDescent="0.25">
      <c r="A3984" s="598" t="s">
        <v>14559</v>
      </c>
      <c r="B3984" s="598">
        <v>10</v>
      </c>
      <c r="C3984" s="598">
        <v>12</v>
      </c>
      <c r="D3984" s="509" t="s">
        <v>7961</v>
      </c>
      <c r="E3984" s="335" t="s">
        <v>7980</v>
      </c>
      <c r="F3984" s="223">
        <v>38892</v>
      </c>
      <c r="G3984" s="223"/>
      <c r="H3984" s="242">
        <v>1</v>
      </c>
      <c r="I3984" s="792">
        <f>TIME(0,0,57)</f>
        <v>6.5972222222222213E-4</v>
      </c>
      <c r="J3984" s="909" t="s">
        <v>1588</v>
      </c>
      <c r="K3984" s="243" t="s">
        <v>3451</v>
      </c>
      <c r="L3984" s="243"/>
      <c r="M3984" s="243"/>
      <c r="N3984" s="243" t="s">
        <v>3373</v>
      </c>
      <c r="O3984" s="243" t="s">
        <v>3375</v>
      </c>
      <c r="P3984" s="241" t="s">
        <v>461</v>
      </c>
      <c r="Q3984" s="243" t="s">
        <v>3946</v>
      </c>
      <c r="R3984" s="244" t="s">
        <v>7957</v>
      </c>
      <c r="S3984" s="395"/>
      <c r="T3984" s="241"/>
      <c r="U3984" s="241"/>
      <c r="V3984" s="241"/>
      <c r="W3984" s="339" t="s">
        <v>9653</v>
      </c>
      <c r="X3984" s="672" t="s">
        <v>12343</v>
      </c>
      <c r="Y3984" s="375"/>
      <c r="Z3984" s="377"/>
      <c r="AA3984" s="377"/>
      <c r="AB3984" s="55">
        <f t="shared" ca="1" si="104"/>
        <v>0.84342005673962828</v>
      </c>
      <c r="AC3984" s="834"/>
      <c r="AD3984" s="835"/>
      <c r="AE3984" s="957"/>
      <c r="AF3984" s="930">
        <f>IF(X3984=X3983,AF3983,0)+IF(ISNUMBER(I3984),IF(I3984&lt;1,I3984,I3984*VLOOKUP(J3984,Summary!$H$2:$I$9,2)),VLOOKUP(J3984,Summary!$J$2:$K$9,2)*IF(ISNUMBER(H3984),H3984,1))</f>
        <v>1.7966898148148156</v>
      </c>
      <c r="AG3984" s="302">
        <v>3983</v>
      </c>
      <c r="AH3984" s="94"/>
      <c r="AI3984" s="94"/>
      <c r="AJ3984" s="29"/>
    </row>
    <row r="3985" spans="1:36" s="3" customFormat="1" ht="12" customHeight="1" x14ac:dyDescent="0.25">
      <c r="A3985" s="598" t="s">
        <v>14559</v>
      </c>
      <c r="B3985" s="598">
        <v>10</v>
      </c>
      <c r="C3985" s="598">
        <v>13</v>
      </c>
      <c r="D3985" s="509" t="s">
        <v>7960</v>
      </c>
      <c r="E3985" s="335" t="s">
        <v>9655</v>
      </c>
      <c r="F3985" s="223">
        <v>38899</v>
      </c>
      <c r="G3985" s="223"/>
      <c r="H3985" s="242">
        <v>1</v>
      </c>
      <c r="I3985" s="792">
        <f>TIME(0,0,58)</f>
        <v>6.7129629629629625E-4</v>
      </c>
      <c r="J3985" s="909" t="s">
        <v>1588</v>
      </c>
      <c r="K3985" s="243" t="s">
        <v>3451</v>
      </c>
      <c r="L3985" s="243"/>
      <c r="M3985" s="243"/>
      <c r="N3985" s="243" t="s">
        <v>3373</v>
      </c>
      <c r="O3985" s="243" t="s">
        <v>3375</v>
      </c>
      <c r="P3985" s="241" t="s">
        <v>461</v>
      </c>
      <c r="Q3985" s="243" t="s">
        <v>3946</v>
      </c>
      <c r="R3985" s="244" t="s">
        <v>7957</v>
      </c>
      <c r="S3985" s="395"/>
      <c r="T3985" s="241"/>
      <c r="U3985" s="241"/>
      <c r="V3985" s="241"/>
      <c r="W3985" s="339" t="s">
        <v>9656</v>
      </c>
      <c r="X3985" s="672" t="s">
        <v>12343</v>
      </c>
      <c r="Y3985" s="375"/>
      <c r="Z3985" s="377"/>
      <c r="AA3985" s="377"/>
      <c r="AB3985" s="55">
        <f t="shared" ca="1" si="104"/>
        <v>0.21202964628848997</v>
      </c>
      <c r="AC3985" s="834"/>
      <c r="AD3985" s="835"/>
      <c r="AE3985" s="957"/>
      <c r="AF3985" s="930">
        <f>IF(X3985=X3984,AF3984,0)+IF(ISNUMBER(I3985),IF(I3985&lt;1,I3985,I3985*VLOOKUP(J3985,Summary!$H$2:$I$9,2)),VLOOKUP(J3985,Summary!$J$2:$K$9,2)*IF(ISNUMBER(H3985),H3985,1))</f>
        <v>1.7973611111111119</v>
      </c>
      <c r="AG3985" s="302">
        <v>3984</v>
      </c>
      <c r="AH3985" s="94"/>
      <c r="AI3985" s="94"/>
      <c r="AJ3985" s="1"/>
    </row>
    <row r="3986" spans="1:36" s="43" customFormat="1" ht="12" customHeight="1" x14ac:dyDescent="0.25">
      <c r="A3986" s="600" t="s">
        <v>14559</v>
      </c>
      <c r="B3986" s="600">
        <v>10</v>
      </c>
      <c r="C3986" s="600">
        <v>2007.05</v>
      </c>
      <c r="D3986" s="434" t="s">
        <v>4842</v>
      </c>
      <c r="E3986" s="324" t="s">
        <v>4847</v>
      </c>
      <c r="F3986" s="174">
        <v>38961</v>
      </c>
      <c r="G3986" s="175"/>
      <c r="H3986" s="176" t="s">
        <v>461</v>
      </c>
      <c r="I3986" s="176">
        <v>10</v>
      </c>
      <c r="J3986" s="900" t="s">
        <v>2755</v>
      </c>
      <c r="K3986" s="157" t="s">
        <v>543</v>
      </c>
      <c r="L3986" s="157" t="s">
        <v>3839</v>
      </c>
      <c r="M3986" s="157"/>
      <c r="N3986" s="157"/>
      <c r="O3986" s="157"/>
      <c r="P3986" s="173" t="s">
        <v>4840</v>
      </c>
      <c r="Q3986" s="157" t="s">
        <v>4841</v>
      </c>
      <c r="R3986" s="179" t="s">
        <v>3976</v>
      </c>
      <c r="S3986" s="354" t="s">
        <v>3372</v>
      </c>
      <c r="T3986" s="173"/>
      <c r="U3986" s="173"/>
      <c r="V3986" s="173"/>
      <c r="W3986" s="324" t="s">
        <v>4847</v>
      </c>
      <c r="X3986" s="656" t="s">
        <v>12343</v>
      </c>
      <c r="Y3986" s="363" t="s">
        <v>6868</v>
      </c>
      <c r="Z3986" s="364">
        <v>999</v>
      </c>
      <c r="AA3986" s="364"/>
      <c r="AB3986" s="32">
        <f t="shared" ca="1" si="104"/>
        <v>0.36862794708097368</v>
      </c>
      <c r="AC3986" s="812"/>
      <c r="AD3986" s="763"/>
      <c r="AE3986" s="951"/>
      <c r="AF3986" s="921">
        <f>IF(X3986=X3985,AF3985,0)+IF(ISNUMBER(I3986),IF(I3986&lt;1,I3986,I3986*VLOOKUP(J3986,Summary!$H$2:$I$9,2)),VLOOKUP(J3986,Summary!$J$2:$K$9,2)*IF(ISNUMBER(H3986),H3986,1))</f>
        <v>1.8043055555555563</v>
      </c>
      <c r="AG3986" s="288">
        <v>3985</v>
      </c>
      <c r="AH3986" s="94"/>
      <c r="AI3986" s="94"/>
      <c r="AJ3986" s="2"/>
    </row>
    <row r="3987" spans="1:36" s="3" customFormat="1" ht="12" customHeight="1" x14ac:dyDescent="0.25">
      <c r="A3987" s="600" t="s">
        <v>14559</v>
      </c>
      <c r="B3987" s="600">
        <v>10</v>
      </c>
      <c r="C3987" s="600">
        <v>2007.06</v>
      </c>
      <c r="D3987" s="434" t="s">
        <v>4842</v>
      </c>
      <c r="E3987" s="324" t="s">
        <v>4848</v>
      </c>
      <c r="F3987" s="174">
        <v>38961</v>
      </c>
      <c r="G3987" s="175"/>
      <c r="H3987" s="176" t="s">
        <v>461</v>
      </c>
      <c r="I3987" s="176">
        <v>9</v>
      </c>
      <c r="J3987" s="900" t="s">
        <v>2755</v>
      </c>
      <c r="K3987" s="157" t="s">
        <v>3800</v>
      </c>
      <c r="L3987" s="157" t="s">
        <v>3543</v>
      </c>
      <c r="M3987" s="157"/>
      <c r="N3987" s="157"/>
      <c r="O3987" s="157"/>
      <c r="P3987" s="173" t="s">
        <v>4840</v>
      </c>
      <c r="Q3987" s="157" t="s">
        <v>4841</v>
      </c>
      <c r="R3987" s="179" t="s">
        <v>3976</v>
      </c>
      <c r="S3987" s="354" t="s">
        <v>3372</v>
      </c>
      <c r="T3987" s="173"/>
      <c r="U3987" s="173"/>
      <c r="V3987" s="173"/>
      <c r="W3987" s="324" t="s">
        <v>4848</v>
      </c>
      <c r="X3987" s="656" t="s">
        <v>12343</v>
      </c>
      <c r="Y3987" s="363" t="s">
        <v>6868</v>
      </c>
      <c r="Z3987" s="364">
        <v>999</v>
      </c>
      <c r="AA3987" s="364"/>
      <c r="AB3987" s="32">
        <f t="shared" ca="1" si="104"/>
        <v>0.34984588263091132</v>
      </c>
      <c r="AC3987" s="812"/>
      <c r="AD3987" s="763"/>
      <c r="AE3987" s="951"/>
      <c r="AF3987" s="921">
        <f>IF(X3987=X3986,AF3986,0)+IF(ISNUMBER(I3987),IF(I3987&lt;1,I3987,I3987*VLOOKUP(J3987,Summary!$H$2:$I$9,2)),VLOOKUP(J3987,Summary!$J$2:$K$9,2)*IF(ISNUMBER(H3987),H3987,1))</f>
        <v>1.8105555555555564</v>
      </c>
      <c r="AG3987" s="288">
        <v>3986</v>
      </c>
      <c r="AH3987" s="94"/>
      <c r="AI3987" s="94"/>
      <c r="AJ3987" s="1"/>
    </row>
    <row r="3988" spans="1:36" s="22" customFormat="1" ht="12" customHeight="1" x14ac:dyDescent="0.25">
      <c r="A3988" s="600" t="s">
        <v>14559</v>
      </c>
      <c r="B3988" s="600">
        <v>10</v>
      </c>
      <c r="C3988" s="600">
        <v>2007.07</v>
      </c>
      <c r="D3988" s="434" t="s">
        <v>4842</v>
      </c>
      <c r="E3988" s="324" t="s">
        <v>4849</v>
      </c>
      <c r="F3988" s="174">
        <v>38961</v>
      </c>
      <c r="G3988" s="175"/>
      <c r="H3988" s="176" t="s">
        <v>461</v>
      </c>
      <c r="I3988" s="176">
        <v>9</v>
      </c>
      <c r="J3988" s="900" t="s">
        <v>2755</v>
      </c>
      <c r="K3988" s="157" t="s">
        <v>4549</v>
      </c>
      <c r="L3988" s="157" t="s">
        <v>4850</v>
      </c>
      <c r="M3988" s="157"/>
      <c r="N3988" s="157"/>
      <c r="O3988" s="157"/>
      <c r="P3988" s="173" t="s">
        <v>4840</v>
      </c>
      <c r="Q3988" s="157" t="s">
        <v>4841</v>
      </c>
      <c r="R3988" s="179" t="s">
        <v>3976</v>
      </c>
      <c r="S3988" s="354" t="s">
        <v>3372</v>
      </c>
      <c r="T3988" s="173"/>
      <c r="U3988" s="173"/>
      <c r="V3988" s="173"/>
      <c r="W3988" s="324" t="s">
        <v>4849</v>
      </c>
      <c r="X3988" s="656" t="s">
        <v>12343</v>
      </c>
      <c r="Y3988" s="363" t="s">
        <v>6868</v>
      </c>
      <c r="Z3988" s="364">
        <v>999</v>
      </c>
      <c r="AA3988" s="364"/>
      <c r="AB3988" s="32">
        <f t="shared" ca="1" si="104"/>
        <v>0.33905962777530418</v>
      </c>
      <c r="AC3988" s="812"/>
      <c r="AD3988" s="763"/>
      <c r="AE3988" s="951"/>
      <c r="AF3988" s="921">
        <f>IF(X3988=X3987,AF3987,0)+IF(ISNUMBER(I3988),IF(I3988&lt;1,I3988,I3988*VLOOKUP(J3988,Summary!$H$2:$I$9,2)),VLOOKUP(J3988,Summary!$J$2:$K$9,2)*IF(ISNUMBER(H3988),H3988,1))</f>
        <v>1.8168055555555565</v>
      </c>
      <c r="AG3988" s="288">
        <v>3987</v>
      </c>
      <c r="AH3988" s="94"/>
      <c r="AI3988" s="94"/>
      <c r="AJ3988" s="3"/>
    </row>
    <row r="3989" spans="1:36" s="43" customFormat="1" ht="12" customHeight="1" x14ac:dyDescent="0.25">
      <c r="A3989" s="599" t="s">
        <v>14559</v>
      </c>
      <c r="B3989" s="599">
        <v>10</v>
      </c>
      <c r="C3989" s="599">
        <v>177</v>
      </c>
      <c r="D3989" s="424" t="s">
        <v>4658</v>
      </c>
      <c r="E3989" s="319" t="s">
        <v>4659</v>
      </c>
      <c r="F3989" s="198">
        <v>38899</v>
      </c>
      <c r="G3989" s="198">
        <v>38906</v>
      </c>
      <c r="H3989" s="199">
        <v>2</v>
      </c>
      <c r="I3989" s="791">
        <f>TIME(0,43,16)+TIME(0,46,13)</f>
        <v>6.2141203703703712E-2</v>
      </c>
      <c r="J3989" s="904" t="s">
        <v>1588</v>
      </c>
      <c r="K3989" s="200" t="s">
        <v>3373</v>
      </c>
      <c r="L3989" s="200" t="s">
        <v>4544</v>
      </c>
      <c r="M3989" s="200"/>
      <c r="N3989" s="200" t="s">
        <v>3373</v>
      </c>
      <c r="O3989" s="200" t="s">
        <v>3375</v>
      </c>
      <c r="P3989" s="197" t="s">
        <v>461</v>
      </c>
      <c r="Q3989" s="200" t="s">
        <v>3946</v>
      </c>
      <c r="R3989" s="201" t="s">
        <v>5280</v>
      </c>
      <c r="S3989" s="390" t="s">
        <v>3372</v>
      </c>
      <c r="T3989" s="200"/>
      <c r="U3989" s="197"/>
      <c r="V3989" s="197" t="s">
        <v>3069</v>
      </c>
      <c r="W3989" s="318" t="s">
        <v>8454</v>
      </c>
      <c r="X3989" s="650" t="s">
        <v>12343</v>
      </c>
      <c r="Y3989" s="358" t="s">
        <v>6141</v>
      </c>
      <c r="Z3989" s="253">
        <v>46</v>
      </c>
      <c r="AA3989" s="253">
        <v>8.5</v>
      </c>
      <c r="AB3989" s="35">
        <f t="shared" ca="1" si="104"/>
        <v>0.84855221267769076</v>
      </c>
      <c r="AC3989" s="820"/>
      <c r="AD3989" s="821" t="s">
        <v>14583</v>
      </c>
      <c r="AE3989" s="944"/>
      <c r="AF3989" s="925">
        <f>IF(X3989=X3988,AF3988,0)+IF(ISNUMBER(I3989),IF(I3989&lt;1,I3989,I3989*VLOOKUP(J3989,Summary!$H$2:$I$9,2)),VLOOKUP(J3989,Summary!$J$2:$K$9,2)*IF(ISNUMBER(H3989),H3989,1))</f>
        <v>1.8789467592592601</v>
      </c>
      <c r="AG3989" s="293">
        <v>3988</v>
      </c>
      <c r="AH3989" s="94"/>
      <c r="AI3989" s="94"/>
      <c r="AJ3989" s="29"/>
    </row>
    <row r="3990" spans="1:36" s="43" customFormat="1" ht="12" customHeight="1" x14ac:dyDescent="0.25">
      <c r="A3990" s="603" t="s">
        <v>14560</v>
      </c>
      <c r="B3990" s="603">
        <v>10</v>
      </c>
      <c r="C3990" s="603">
        <v>17</v>
      </c>
      <c r="D3990" s="428" t="s">
        <v>5075</v>
      </c>
      <c r="E3990" s="325" t="s">
        <v>7501</v>
      </c>
      <c r="F3990" s="184">
        <v>39085</v>
      </c>
      <c r="G3990" s="184">
        <v>39112</v>
      </c>
      <c r="H3990" s="185">
        <v>2</v>
      </c>
      <c r="I3990" s="185">
        <v>12</v>
      </c>
      <c r="J3990" s="901" t="s">
        <v>1796</v>
      </c>
      <c r="K3990" s="158" t="s">
        <v>4032</v>
      </c>
      <c r="L3990" s="158" t="s">
        <v>3832</v>
      </c>
      <c r="M3990" s="158" t="s">
        <v>3551</v>
      </c>
      <c r="N3990" s="158" t="s">
        <v>7375</v>
      </c>
      <c r="O3990" s="158"/>
      <c r="P3990" s="182" t="s">
        <v>461</v>
      </c>
      <c r="Q3990" s="158" t="s">
        <v>4929</v>
      </c>
      <c r="R3990" s="207" t="s">
        <v>4796</v>
      </c>
      <c r="S3990" s="355"/>
      <c r="T3990" s="182"/>
      <c r="U3990" s="182"/>
      <c r="V3990" s="182"/>
      <c r="W3990" s="321" t="s">
        <v>8455</v>
      </c>
      <c r="X3990" s="653" t="s">
        <v>12343</v>
      </c>
      <c r="Y3990" s="361"/>
      <c r="Z3990" s="362"/>
      <c r="AA3990" s="362"/>
      <c r="AB3990" s="33">
        <f t="shared" ca="1" si="104"/>
        <v>6.4597745861539324E-2</v>
      </c>
      <c r="AC3990" s="813"/>
      <c r="AD3990" s="211"/>
      <c r="AE3990" s="949"/>
      <c r="AF3990" s="922">
        <f>IF(X3990=X3989,AF3989,0)+IF(ISNUMBER(I3990),IF(I3990&lt;1,I3990,I3990*VLOOKUP(J3990,Summary!$H$2:$I$9,2)),VLOOKUP(J3990,Summary!$J$2:$K$9,2)*IF(ISNUMBER(H3990),H3990,1))</f>
        <v>1.8831134259259268</v>
      </c>
      <c r="AG3990" s="295">
        <v>3989</v>
      </c>
      <c r="AH3990" s="94"/>
      <c r="AI3990" s="94"/>
      <c r="AJ3990" s="29"/>
    </row>
    <row r="3991" spans="1:36" s="43" customFormat="1" ht="12" customHeight="1" x14ac:dyDescent="0.25">
      <c r="A3991" s="600" t="s">
        <v>14560</v>
      </c>
      <c r="B3991" s="600">
        <v>10</v>
      </c>
      <c r="C3991" s="600">
        <v>2007.03</v>
      </c>
      <c r="D3991" s="434" t="s">
        <v>4842</v>
      </c>
      <c r="E3991" s="324" t="s">
        <v>4843</v>
      </c>
      <c r="F3991" s="174">
        <v>38961</v>
      </c>
      <c r="G3991" s="175"/>
      <c r="H3991" s="176" t="s">
        <v>461</v>
      </c>
      <c r="I3991" s="176">
        <v>9</v>
      </c>
      <c r="J3991" s="900" t="s">
        <v>2755</v>
      </c>
      <c r="K3991" s="157" t="s">
        <v>7774</v>
      </c>
      <c r="L3991" s="157" t="s">
        <v>3551</v>
      </c>
      <c r="M3991" s="157"/>
      <c r="N3991" s="157"/>
      <c r="O3991" s="157"/>
      <c r="P3991" s="173" t="s">
        <v>4840</v>
      </c>
      <c r="Q3991" s="157" t="s">
        <v>4841</v>
      </c>
      <c r="R3991" s="179" t="s">
        <v>3976</v>
      </c>
      <c r="S3991" s="354"/>
      <c r="T3991" s="173"/>
      <c r="U3991" s="173"/>
      <c r="V3991" s="173"/>
      <c r="W3991" s="324" t="s">
        <v>4843</v>
      </c>
      <c r="X3991" s="656" t="s">
        <v>12343</v>
      </c>
      <c r="Y3991" s="363" t="s">
        <v>6868</v>
      </c>
      <c r="Z3991" s="364">
        <v>999</v>
      </c>
      <c r="AA3991" s="364"/>
      <c r="AB3991" s="32">
        <f t="shared" ca="1" si="104"/>
        <v>0.50917912818019251</v>
      </c>
      <c r="AC3991" s="812"/>
      <c r="AD3991" s="763"/>
      <c r="AE3991" s="951"/>
      <c r="AF3991" s="921">
        <f>IF(X3991=X3990,AF3990,0)+IF(ISNUMBER(I3991),IF(I3991&lt;1,I3991,I3991*VLOOKUP(J3991,Summary!$H$2:$I$9,2)),VLOOKUP(J3991,Summary!$J$2:$K$9,2)*IF(ISNUMBER(H3991),H3991,1))</f>
        <v>1.8893634259259269</v>
      </c>
      <c r="AG3991" s="288">
        <v>3990</v>
      </c>
      <c r="AH3991" s="94"/>
      <c r="AI3991" s="94"/>
      <c r="AJ3991" s="29"/>
    </row>
    <row r="3992" spans="1:36" s="3" customFormat="1" ht="12" customHeight="1" x14ac:dyDescent="0.25">
      <c r="A3992" s="600" t="s">
        <v>14560</v>
      </c>
      <c r="B3992" s="600">
        <v>10</v>
      </c>
      <c r="C3992" s="600">
        <v>2007.08</v>
      </c>
      <c r="D3992" s="434" t="s">
        <v>4842</v>
      </c>
      <c r="E3992" s="324" t="s">
        <v>4852</v>
      </c>
      <c r="F3992" s="174">
        <v>38961</v>
      </c>
      <c r="G3992" s="175"/>
      <c r="H3992" s="176" t="s">
        <v>461</v>
      </c>
      <c r="I3992" s="176">
        <v>9</v>
      </c>
      <c r="J3992" s="900" t="s">
        <v>2755</v>
      </c>
      <c r="K3992" s="157" t="s">
        <v>3810</v>
      </c>
      <c r="L3992" s="157" t="s">
        <v>3837</v>
      </c>
      <c r="M3992" s="157"/>
      <c r="N3992" s="157"/>
      <c r="O3992" s="157"/>
      <c r="P3992" s="173" t="s">
        <v>4840</v>
      </c>
      <c r="Q3992" s="157" t="s">
        <v>4841</v>
      </c>
      <c r="R3992" s="179" t="s">
        <v>3976</v>
      </c>
      <c r="S3992" s="354"/>
      <c r="T3992" s="173"/>
      <c r="U3992" s="173"/>
      <c r="V3992" s="173"/>
      <c r="W3992" s="324" t="s">
        <v>4852</v>
      </c>
      <c r="X3992" s="656" t="s">
        <v>12343</v>
      </c>
      <c r="Y3992" s="363" t="s">
        <v>6868</v>
      </c>
      <c r="Z3992" s="364">
        <v>999</v>
      </c>
      <c r="AA3992" s="364"/>
      <c r="AB3992" s="32">
        <f t="shared" ca="1" si="104"/>
        <v>0.15039141685745305</v>
      </c>
      <c r="AC3992" s="812"/>
      <c r="AD3992" s="763"/>
      <c r="AE3992" s="951"/>
      <c r="AF3992" s="921">
        <f>IF(X3992=X3991,AF3991,0)+IF(ISNUMBER(I3992),IF(I3992&lt;1,I3992,I3992*VLOOKUP(J3992,Summary!$H$2:$I$9,2)),VLOOKUP(J3992,Summary!$J$2:$K$9,2)*IF(ISNUMBER(H3992),H3992,1))</f>
        <v>1.895613425925927</v>
      </c>
      <c r="AG3992" s="288">
        <v>3991</v>
      </c>
      <c r="AH3992" s="94"/>
      <c r="AI3992" s="94"/>
      <c r="AJ3992" s="2"/>
    </row>
    <row r="3993" spans="1:36" s="43" customFormat="1" ht="12" customHeight="1" x14ac:dyDescent="0.25">
      <c r="A3993" s="603" t="s">
        <v>14560</v>
      </c>
      <c r="B3993" s="603">
        <v>10</v>
      </c>
      <c r="C3993" s="603">
        <v>4</v>
      </c>
      <c r="D3993" s="428" t="s">
        <v>4509</v>
      </c>
      <c r="E3993" s="325" t="s">
        <v>3541</v>
      </c>
      <c r="F3993" s="184" t="s">
        <v>3540</v>
      </c>
      <c r="G3993" s="184">
        <v>39176</v>
      </c>
      <c r="H3993" s="185">
        <v>4</v>
      </c>
      <c r="I3993" s="185">
        <v>16</v>
      </c>
      <c r="J3993" s="901" t="s">
        <v>1796</v>
      </c>
      <c r="K3993" s="158" t="s">
        <v>4797</v>
      </c>
      <c r="L3993" s="158" t="s">
        <v>7928</v>
      </c>
      <c r="M3993" s="158" t="s">
        <v>254</v>
      </c>
      <c r="N3993" s="158" t="s">
        <v>4794</v>
      </c>
      <c r="O3993" s="158"/>
      <c r="P3993" s="182" t="s">
        <v>461</v>
      </c>
      <c r="Q3993" s="158" t="s">
        <v>4798</v>
      </c>
      <c r="R3993" s="207" t="s">
        <v>4795</v>
      </c>
      <c r="S3993" s="355"/>
      <c r="T3993" s="182"/>
      <c r="U3993" s="182"/>
      <c r="V3993" s="182"/>
      <c r="W3993" s="321" t="s">
        <v>8457</v>
      </c>
      <c r="X3993" s="653" t="s">
        <v>12343</v>
      </c>
      <c r="Y3993" s="361"/>
      <c r="Z3993" s="362"/>
      <c r="AA3993" s="362"/>
      <c r="AB3993" s="33">
        <f t="shared" ca="1" si="104"/>
        <v>0.99837514065554711</v>
      </c>
      <c r="AC3993" s="813"/>
      <c r="AD3993" s="211"/>
      <c r="AE3993" s="949"/>
      <c r="AF3993" s="922">
        <f>IF(X3993=X3992,AF3992,0)+IF(ISNUMBER(I3993),IF(I3993&lt;1,I3993,I3993*VLOOKUP(J3993,Summary!$H$2:$I$9,2)),VLOOKUP(J3993,Summary!$J$2:$K$9,2)*IF(ISNUMBER(H3993),H3993,1))</f>
        <v>1.9011689814814825</v>
      </c>
      <c r="AG3993" s="295">
        <v>3992</v>
      </c>
      <c r="AH3993" s="94"/>
      <c r="AI3993" s="94"/>
    </row>
    <row r="3994" spans="1:36" s="3" customFormat="1" ht="12" customHeight="1" x14ac:dyDescent="0.25">
      <c r="A3994" s="599" t="s">
        <v>14560</v>
      </c>
      <c r="B3994" s="599">
        <v>10</v>
      </c>
      <c r="C3994" s="599">
        <v>178</v>
      </c>
      <c r="D3994" s="424" t="s">
        <v>4661</v>
      </c>
      <c r="E3994" s="319" t="s">
        <v>4662</v>
      </c>
      <c r="F3994" s="198">
        <v>39076</v>
      </c>
      <c r="G3994" s="198"/>
      <c r="H3994" s="199">
        <v>1</v>
      </c>
      <c r="I3994" s="791">
        <f>TIME(0,60,16)</f>
        <v>4.1851851851851855E-2</v>
      </c>
      <c r="J3994" s="904" t="s">
        <v>1588</v>
      </c>
      <c r="K3994" s="200" t="s">
        <v>3373</v>
      </c>
      <c r="L3994" s="200" t="s">
        <v>4961</v>
      </c>
      <c r="M3994" s="200"/>
      <c r="N3994" s="200" t="s">
        <v>3373</v>
      </c>
      <c r="O3994" s="200" t="s">
        <v>3375</v>
      </c>
      <c r="P3994" s="197" t="s">
        <v>461</v>
      </c>
      <c r="Q3994" s="200" t="s">
        <v>3946</v>
      </c>
      <c r="R3994" s="201" t="s">
        <v>5280</v>
      </c>
      <c r="S3994" s="390" t="s">
        <v>1737</v>
      </c>
      <c r="T3994" s="197"/>
      <c r="U3994" s="197"/>
      <c r="V3994" s="197"/>
      <c r="W3994" s="319" t="s">
        <v>4662</v>
      </c>
      <c r="X3994" s="651" t="s">
        <v>12343</v>
      </c>
      <c r="Y3994" s="358" t="s">
        <v>6141</v>
      </c>
      <c r="Z3994" s="253">
        <v>311</v>
      </c>
      <c r="AA3994" s="253">
        <v>1</v>
      </c>
      <c r="AB3994" s="35">
        <f t="shared" ca="1" si="104"/>
        <v>0.79779397292177734</v>
      </c>
      <c r="AC3994" s="820"/>
      <c r="AD3994" s="824" t="s">
        <v>14913</v>
      </c>
      <c r="AE3994" s="967"/>
      <c r="AF3994" s="925">
        <f>IF(X3994=X3993,AF3993,0)+IF(ISNUMBER(I3994),IF(I3994&lt;1,I3994,I3994*VLOOKUP(J3994,Summary!$H$2:$I$9,2)),VLOOKUP(J3994,Summary!$J$2:$K$9,2)*IF(ISNUMBER(H3994),H3994,1))</f>
        <v>1.9430208333333343</v>
      </c>
      <c r="AG3994" s="293">
        <v>3993</v>
      </c>
      <c r="AH3994" s="94"/>
      <c r="AI3994" s="94"/>
      <c r="AJ3994" s="2"/>
    </row>
    <row r="3995" spans="1:36" s="29" customFormat="1" ht="12" customHeight="1" x14ac:dyDescent="0.25">
      <c r="A3995" s="408" t="s">
        <v>14560</v>
      </c>
      <c r="B3995" s="408" t="s">
        <v>2650</v>
      </c>
      <c r="C3995" s="408">
        <v>9</v>
      </c>
      <c r="D3995" s="176" t="s">
        <v>12602</v>
      </c>
      <c r="E3995" s="313" t="s">
        <v>12603</v>
      </c>
      <c r="F3995" s="175">
        <v>42915</v>
      </c>
      <c r="G3995" s="174"/>
      <c r="H3995" s="176" t="s">
        <v>461</v>
      </c>
      <c r="I3995" s="176"/>
      <c r="J3995" s="900" t="s">
        <v>2755</v>
      </c>
      <c r="K3995" s="164" t="s">
        <v>2675</v>
      </c>
      <c r="L3995" s="164" t="s">
        <v>3551</v>
      </c>
      <c r="M3995" s="164"/>
      <c r="N3995" s="164"/>
      <c r="O3995" s="164"/>
      <c r="P3995" s="173" t="s">
        <v>12587</v>
      </c>
      <c r="Q3995" s="164" t="s">
        <v>3953</v>
      </c>
      <c r="R3995" s="177" t="s">
        <v>12588</v>
      </c>
      <c r="S3995" s="354"/>
      <c r="T3995" s="173"/>
      <c r="U3995" s="173"/>
      <c r="V3995" s="173"/>
      <c r="W3995" s="313" t="s">
        <v>12603</v>
      </c>
      <c r="X3995" s="656" t="s">
        <v>12343</v>
      </c>
      <c r="Y3995" s="354"/>
      <c r="Z3995" s="176"/>
      <c r="AA3995" s="176"/>
      <c r="AB3995" s="32">
        <f t="shared" ca="1" si="104"/>
        <v>0.44281531419416387</v>
      </c>
      <c r="AC3995" s="812"/>
      <c r="AD3995" s="763"/>
      <c r="AE3995" s="807"/>
      <c r="AF3995" s="921">
        <f>IF(X3995=X3994,AF3994,0)+IF(ISNUMBER(I3995),IF(I3995&lt;1,I3995,I3995*VLOOKUP(J3995,Summary!$H$2:$I$9,2)),VLOOKUP(J3995,Summary!$J$2:$K$9,2)*IF(ISNUMBER(H3995),H3995,1))</f>
        <v>1.9603819444444455</v>
      </c>
      <c r="AG3995" s="289">
        <v>3994</v>
      </c>
      <c r="AH3995" s="94"/>
      <c r="AI3995" s="94"/>
    </row>
    <row r="3996" spans="1:36" s="3" customFormat="1" ht="12" customHeight="1" x14ac:dyDescent="0.25">
      <c r="A3996" s="603" t="s">
        <v>14560</v>
      </c>
      <c r="B3996" s="603">
        <v>10</v>
      </c>
      <c r="C3996" s="603">
        <v>18</v>
      </c>
      <c r="D3996" s="428" t="s">
        <v>5076</v>
      </c>
      <c r="E3996" s="325" t="s">
        <v>7502</v>
      </c>
      <c r="F3996" s="184">
        <v>39113</v>
      </c>
      <c r="G3996" s="184">
        <v>39140</v>
      </c>
      <c r="H3996" s="185">
        <v>2</v>
      </c>
      <c r="I3996" s="185">
        <v>12</v>
      </c>
      <c r="J3996" s="901" t="s">
        <v>1796</v>
      </c>
      <c r="K3996" s="158" t="s">
        <v>4032</v>
      </c>
      <c r="L3996" s="158" t="s">
        <v>3832</v>
      </c>
      <c r="M3996" s="158" t="s">
        <v>3551</v>
      </c>
      <c r="N3996" s="158" t="s">
        <v>5317</v>
      </c>
      <c r="O3996" s="158"/>
      <c r="P3996" s="182" t="s">
        <v>461</v>
      </c>
      <c r="Q3996" s="158" t="s">
        <v>4929</v>
      </c>
      <c r="R3996" s="207" t="s">
        <v>4796</v>
      </c>
      <c r="S3996" s="355"/>
      <c r="T3996" s="182"/>
      <c r="U3996" s="182"/>
      <c r="V3996" s="182"/>
      <c r="W3996" s="321"/>
      <c r="X3996" s="653" t="s">
        <v>12343</v>
      </c>
      <c r="Y3996" s="361"/>
      <c r="Z3996" s="362"/>
      <c r="AA3996" s="362"/>
      <c r="AB3996" s="33">
        <f t="shared" ca="1" si="104"/>
        <v>0.73267622661422294</v>
      </c>
      <c r="AC3996" s="813"/>
      <c r="AD3996" s="211"/>
      <c r="AE3996" s="949"/>
      <c r="AF3996" s="922">
        <f>IF(X3996=X3995,AF3995,0)+IF(ISNUMBER(I3996),IF(I3996&lt;1,I3996,I3996*VLOOKUP(J3996,Summary!$H$2:$I$9,2)),VLOOKUP(J3996,Summary!$J$2:$K$9,2)*IF(ISNUMBER(H3996),H3996,1))</f>
        <v>1.9645486111111121</v>
      </c>
      <c r="AG3996" s="295">
        <v>3995</v>
      </c>
      <c r="AH3996" s="94"/>
      <c r="AI3996" s="94"/>
      <c r="AJ3996" s="2"/>
    </row>
    <row r="3997" spans="1:36" s="43" customFormat="1" ht="12" customHeight="1" x14ac:dyDescent="0.25">
      <c r="A3997" s="603" t="s">
        <v>14560</v>
      </c>
      <c r="B3997" s="603">
        <v>10</v>
      </c>
      <c r="C3997" s="603">
        <v>19</v>
      </c>
      <c r="D3997" s="428" t="s">
        <v>5077</v>
      </c>
      <c r="E3997" s="325" t="s">
        <v>7503</v>
      </c>
      <c r="F3997" s="184">
        <v>39141</v>
      </c>
      <c r="G3997" s="184">
        <v>39169</v>
      </c>
      <c r="H3997" s="185">
        <v>2</v>
      </c>
      <c r="I3997" s="185">
        <v>12</v>
      </c>
      <c r="J3997" s="901" t="s">
        <v>1796</v>
      </c>
      <c r="K3997" s="158" t="s">
        <v>1935</v>
      </c>
      <c r="L3997" s="158" t="s">
        <v>3832</v>
      </c>
      <c r="M3997" s="158" t="s">
        <v>254</v>
      </c>
      <c r="N3997" s="158" t="s">
        <v>5317</v>
      </c>
      <c r="O3997" s="158"/>
      <c r="P3997" s="182" t="s">
        <v>461</v>
      </c>
      <c r="Q3997" s="158" t="s">
        <v>4929</v>
      </c>
      <c r="R3997" s="207" t="s">
        <v>4796</v>
      </c>
      <c r="S3997" s="355"/>
      <c r="T3997" s="182"/>
      <c r="U3997" s="182"/>
      <c r="V3997" s="182"/>
      <c r="W3997" s="321"/>
      <c r="X3997" s="653" t="s">
        <v>12343</v>
      </c>
      <c r="Y3997" s="361"/>
      <c r="Z3997" s="362"/>
      <c r="AA3997" s="362"/>
      <c r="AB3997" s="33">
        <f t="shared" ca="1" si="104"/>
        <v>0.54461081491428565</v>
      </c>
      <c r="AC3997" s="813"/>
      <c r="AD3997" s="211"/>
      <c r="AE3997" s="949"/>
      <c r="AF3997" s="922">
        <f>IF(X3997=X3996,AF3996,0)+IF(ISNUMBER(I3997),IF(I3997&lt;1,I3997,I3997*VLOOKUP(J3997,Summary!$H$2:$I$9,2)),VLOOKUP(J3997,Summary!$J$2:$K$9,2)*IF(ISNUMBER(H3997),H3997,1))</f>
        <v>1.9687152777777788</v>
      </c>
      <c r="AG3997" s="295">
        <v>3996</v>
      </c>
      <c r="AH3997" s="94"/>
      <c r="AI3997" s="94"/>
      <c r="AJ3997" s="22"/>
    </row>
    <row r="3998" spans="1:36" s="3" customFormat="1" ht="12" customHeight="1" x14ac:dyDescent="0.25">
      <c r="A3998" s="603" t="s">
        <v>14560</v>
      </c>
      <c r="B3998" s="603">
        <v>10</v>
      </c>
      <c r="C3998" s="603">
        <v>20</v>
      </c>
      <c r="D3998" s="428" t="s">
        <v>5078</v>
      </c>
      <c r="E3998" s="325" t="s">
        <v>7504</v>
      </c>
      <c r="F3998" s="184">
        <v>39170</v>
      </c>
      <c r="G3998" s="184">
        <v>39197</v>
      </c>
      <c r="H3998" s="185">
        <v>2</v>
      </c>
      <c r="I3998" s="185">
        <v>12</v>
      </c>
      <c r="J3998" s="901" t="s">
        <v>1796</v>
      </c>
      <c r="K3998" s="158" t="s">
        <v>4032</v>
      </c>
      <c r="L3998" s="158" t="s">
        <v>3832</v>
      </c>
      <c r="M3998" s="158" t="s">
        <v>254</v>
      </c>
      <c r="N3998" s="158" t="s">
        <v>5317</v>
      </c>
      <c r="O3998" s="158"/>
      <c r="P3998" s="182" t="s">
        <v>461</v>
      </c>
      <c r="Q3998" s="158" t="s">
        <v>4929</v>
      </c>
      <c r="R3998" s="207" t="s">
        <v>4796</v>
      </c>
      <c r="S3998" s="355"/>
      <c r="T3998" s="182"/>
      <c r="U3998" s="182"/>
      <c r="V3998" s="182"/>
      <c r="W3998" s="321"/>
      <c r="X3998" s="653" t="s">
        <v>12343</v>
      </c>
      <c r="Y3998" s="361"/>
      <c r="Z3998" s="362"/>
      <c r="AA3998" s="362"/>
      <c r="AB3998" s="33">
        <f t="shared" ca="1" si="104"/>
        <v>0.63743682083501696</v>
      </c>
      <c r="AC3998" s="813"/>
      <c r="AD3998" s="211"/>
      <c r="AE3998" s="949"/>
      <c r="AF3998" s="922">
        <f>IF(X3998=X3997,AF3997,0)+IF(ISNUMBER(I3998),IF(I3998&lt;1,I3998,I3998*VLOOKUP(J3998,Summary!$H$2:$I$9,2)),VLOOKUP(J3998,Summary!$J$2:$K$9,2)*IF(ISNUMBER(H3998),H3998,1))</f>
        <v>1.9728819444444454</v>
      </c>
      <c r="AG3998" s="295">
        <v>3997</v>
      </c>
      <c r="AH3998" s="94"/>
      <c r="AI3998" s="94"/>
      <c r="AJ3998" s="43"/>
    </row>
    <row r="3999" spans="1:36" s="22" customFormat="1" ht="12" customHeight="1" x14ac:dyDescent="0.25">
      <c r="A3999" s="603" t="s">
        <v>14560</v>
      </c>
      <c r="B3999" s="603">
        <v>10</v>
      </c>
      <c r="C3999" s="603">
        <v>3</v>
      </c>
      <c r="D3999" s="428" t="s">
        <v>7505</v>
      </c>
      <c r="E3999" s="325" t="s">
        <v>7499</v>
      </c>
      <c r="F3999" s="184">
        <v>39078</v>
      </c>
      <c r="G3999" s="184">
        <v>39120</v>
      </c>
      <c r="H3999" s="185">
        <v>4</v>
      </c>
      <c r="I3999" s="185">
        <v>16</v>
      </c>
      <c r="J3999" s="901" t="s">
        <v>1796</v>
      </c>
      <c r="K3999" s="158" t="s">
        <v>4797</v>
      </c>
      <c r="L3999" s="158" t="s">
        <v>7928</v>
      </c>
      <c r="M3999" s="158" t="s">
        <v>254</v>
      </c>
      <c r="N3999" s="158" t="s">
        <v>4794</v>
      </c>
      <c r="O3999" s="158"/>
      <c r="P3999" s="182" t="s">
        <v>461</v>
      </c>
      <c r="Q3999" s="158" t="s">
        <v>4798</v>
      </c>
      <c r="R3999" s="207" t="s">
        <v>4795</v>
      </c>
      <c r="S3999" s="355"/>
      <c r="T3999" s="182"/>
      <c r="U3999" s="182"/>
      <c r="V3999" s="182"/>
      <c r="W3999" s="321" t="s">
        <v>8456</v>
      </c>
      <c r="X3999" s="653" t="s">
        <v>12343</v>
      </c>
      <c r="Y3999" s="361"/>
      <c r="Z3999" s="362"/>
      <c r="AA3999" s="362"/>
      <c r="AB3999" s="33">
        <f t="shared" ca="1" si="104"/>
        <v>0.34652999001254059</v>
      </c>
      <c r="AC3999" s="813"/>
      <c r="AD3999" s="211"/>
      <c r="AE3999" s="949"/>
      <c r="AF3999" s="922">
        <f>IF(X3999=X3998,AF3998,0)+IF(ISNUMBER(I3999),IF(I3999&lt;1,I3999,I3999*VLOOKUP(J3999,Summary!$H$2:$I$9,2)),VLOOKUP(J3999,Summary!$J$2:$K$9,2)*IF(ISNUMBER(H3999),H3999,1))</f>
        <v>1.978437500000001</v>
      </c>
      <c r="AG3999" s="295">
        <v>3998</v>
      </c>
      <c r="AH3999" s="94"/>
      <c r="AI3999" s="94"/>
      <c r="AJ3999" s="10"/>
    </row>
    <row r="4000" spans="1:36" s="43" customFormat="1" ht="12" customHeight="1" x14ac:dyDescent="0.25">
      <c r="A4000" s="600" t="s">
        <v>14560</v>
      </c>
      <c r="B4000" s="600">
        <v>10</v>
      </c>
      <c r="C4000" s="600">
        <v>1</v>
      </c>
      <c r="D4000" s="434" t="s">
        <v>7898</v>
      </c>
      <c r="E4000" s="324" t="s">
        <v>4853</v>
      </c>
      <c r="F4000" s="175">
        <v>39075</v>
      </c>
      <c r="G4000" s="175"/>
      <c r="H4000" s="176" t="s">
        <v>461</v>
      </c>
      <c r="I4000" s="176"/>
      <c r="J4000" s="900" t="s">
        <v>2755</v>
      </c>
      <c r="K4000" s="157" t="s">
        <v>3807</v>
      </c>
      <c r="L4000" s="157"/>
      <c r="M4000" s="157"/>
      <c r="N4000" s="157"/>
      <c r="O4000" s="157"/>
      <c r="P4000" s="173" t="s">
        <v>461</v>
      </c>
      <c r="Q4000" s="157" t="s">
        <v>4854</v>
      </c>
      <c r="R4000" s="179" t="s">
        <v>12123</v>
      </c>
      <c r="S4000" s="354"/>
      <c r="T4000" s="173"/>
      <c r="U4000" s="173"/>
      <c r="V4000" s="173"/>
      <c r="W4000" s="324" t="s">
        <v>4853</v>
      </c>
      <c r="X4000" s="656" t="s">
        <v>12343</v>
      </c>
      <c r="Y4000" s="363"/>
      <c r="Z4000" s="364"/>
      <c r="AA4000" s="364"/>
      <c r="AB4000" s="32">
        <f t="shared" ca="1" si="104"/>
        <v>0.590988790628029</v>
      </c>
      <c r="AC4000" s="812"/>
      <c r="AD4000" s="763"/>
      <c r="AE4000" s="951"/>
      <c r="AF4000" s="921">
        <f>IF(X4000=X3999,AF3999,0)+IF(ISNUMBER(I4000),IF(I4000&lt;1,I4000,I4000*VLOOKUP(J4000,Summary!$H$2:$I$9,2)),VLOOKUP(J4000,Summary!$J$2:$K$9,2)*IF(ISNUMBER(H4000),H4000,1))</f>
        <v>1.9957986111111121</v>
      </c>
      <c r="AG4000" s="288">
        <v>3999</v>
      </c>
      <c r="AH4000" s="94"/>
      <c r="AI4000" s="94"/>
      <c r="AJ4000" s="29"/>
    </row>
    <row r="4001" spans="1:36" s="3" customFormat="1" ht="12" customHeight="1" x14ac:dyDescent="0.25">
      <c r="A4001" s="603" t="s">
        <v>14560</v>
      </c>
      <c r="B4001" s="603">
        <v>10</v>
      </c>
      <c r="C4001" s="603">
        <v>5</v>
      </c>
      <c r="D4001" s="428" t="s">
        <v>4510</v>
      </c>
      <c r="E4001" s="325" t="s">
        <v>7500</v>
      </c>
      <c r="F4001" s="184">
        <v>39190</v>
      </c>
      <c r="G4001" s="184"/>
      <c r="H4001" s="185">
        <v>1</v>
      </c>
      <c r="I4001" s="185">
        <v>4</v>
      </c>
      <c r="J4001" s="901" t="s">
        <v>1796</v>
      </c>
      <c r="K4001" s="158" t="s">
        <v>4511</v>
      </c>
      <c r="L4001" s="158" t="s">
        <v>7928</v>
      </c>
      <c r="M4001" s="158" t="s">
        <v>254</v>
      </c>
      <c r="N4001" s="158" t="s">
        <v>4794</v>
      </c>
      <c r="O4001" s="158"/>
      <c r="P4001" s="182" t="s">
        <v>461</v>
      </c>
      <c r="Q4001" s="158" t="s">
        <v>4798</v>
      </c>
      <c r="R4001" s="207" t="s">
        <v>4795</v>
      </c>
      <c r="S4001" s="355"/>
      <c r="T4001" s="403"/>
      <c r="U4001" s="182"/>
      <c r="V4001" s="182"/>
      <c r="W4001" s="325" t="s">
        <v>7500</v>
      </c>
      <c r="X4001" s="657" t="s">
        <v>12343</v>
      </c>
      <c r="Y4001" s="361"/>
      <c r="Z4001" s="362"/>
      <c r="AA4001" s="362"/>
      <c r="AB4001" s="33">
        <f t="shared" ca="1" si="104"/>
        <v>0.5257717172491011</v>
      </c>
      <c r="AC4001" s="813"/>
      <c r="AD4001" s="211"/>
      <c r="AE4001" s="949"/>
      <c r="AF4001" s="922">
        <f>IF(X4001=X4000,AF4000,0)+IF(ISNUMBER(I4001),IF(I4001&lt;1,I4001,I4001*VLOOKUP(J4001,Summary!$H$2:$I$9,2)),VLOOKUP(J4001,Summary!$J$2:$K$9,2)*IF(ISNUMBER(H4001),H4001,1))</f>
        <v>1.997187500000001</v>
      </c>
      <c r="AG4001" s="295">
        <v>4000</v>
      </c>
      <c r="AH4001" s="94"/>
      <c r="AI4001" s="94"/>
      <c r="AJ4001" s="43"/>
    </row>
    <row r="4002" spans="1:36" s="1" customFormat="1" ht="12" customHeight="1" x14ac:dyDescent="0.25">
      <c r="A4002" s="603" t="s">
        <v>14560</v>
      </c>
      <c r="B4002" s="603">
        <v>10</v>
      </c>
      <c r="C4002" s="603">
        <v>125</v>
      </c>
      <c r="D4002" s="428" t="s">
        <v>7497</v>
      </c>
      <c r="E4002" s="325" t="s">
        <v>7498</v>
      </c>
      <c r="F4002" s="184">
        <v>39113</v>
      </c>
      <c r="G4002" s="184">
        <v>39169</v>
      </c>
      <c r="H4002" s="185">
        <v>3</v>
      </c>
      <c r="I4002" s="185">
        <v>28</v>
      </c>
      <c r="J4002" s="901" t="s">
        <v>1796</v>
      </c>
      <c r="K4002" s="158" t="s">
        <v>7374</v>
      </c>
      <c r="L4002" s="158" t="s">
        <v>6057</v>
      </c>
      <c r="M4002" s="158" t="s">
        <v>252</v>
      </c>
      <c r="N4002" s="163" t="s">
        <v>5942</v>
      </c>
      <c r="O4002" s="158"/>
      <c r="P4002" s="182" t="s">
        <v>461</v>
      </c>
      <c r="Q4002" s="158" t="s">
        <v>4104</v>
      </c>
      <c r="R4002" s="207" t="s">
        <v>5266</v>
      </c>
      <c r="S4002" s="355"/>
      <c r="T4002" s="403" t="s">
        <v>2597</v>
      </c>
      <c r="U4002" s="182"/>
      <c r="V4002" s="182"/>
      <c r="W4002" s="321"/>
      <c r="X4002" s="653" t="s">
        <v>12343</v>
      </c>
      <c r="Y4002" s="361"/>
      <c r="Z4002" s="362"/>
      <c r="AA4002" s="362"/>
      <c r="AB4002" s="33">
        <f t="shared" ca="1" si="104"/>
        <v>0.2371787629492319</v>
      </c>
      <c r="AC4002" s="813"/>
      <c r="AD4002" s="826" t="s">
        <v>14584</v>
      </c>
      <c r="AE4002" s="949"/>
      <c r="AF4002" s="922">
        <f>IF(X4002=X4001,AF4001,0)+IF(ISNUMBER(I4002),IF(I4002&lt;1,I4002,I4002*VLOOKUP(J4002,Summary!$H$2:$I$9,2)),VLOOKUP(J4002,Summary!$J$2:$K$9,2)*IF(ISNUMBER(H4002),H4002,1))</f>
        <v>2.0069097222222232</v>
      </c>
      <c r="AG4002" s="295">
        <v>4001</v>
      </c>
      <c r="AH4002" s="94"/>
      <c r="AI4002" s="94"/>
      <c r="AJ4002" s="43"/>
    </row>
    <row r="4003" spans="1:36" s="3" customFormat="1" ht="12" customHeight="1" x14ac:dyDescent="0.25">
      <c r="A4003" s="553" t="s">
        <v>1507</v>
      </c>
      <c r="B4003" s="554" t="s">
        <v>3227</v>
      </c>
      <c r="C4003" s="553">
        <v>1</v>
      </c>
      <c r="D4003" s="424" t="s">
        <v>1508</v>
      </c>
      <c r="E4003" s="319" t="s">
        <v>1509</v>
      </c>
      <c r="F4003" s="198">
        <v>39012</v>
      </c>
      <c r="G4003" s="198"/>
      <c r="H4003" s="199">
        <v>1</v>
      </c>
      <c r="I4003" s="791">
        <f>TIME(0,51, 7)</f>
        <v>3.5497685185185188E-2</v>
      </c>
      <c r="J4003" s="904" t="s">
        <v>1588</v>
      </c>
      <c r="K4003" s="200" t="s">
        <v>4443</v>
      </c>
      <c r="L4003" s="200" t="s">
        <v>1510</v>
      </c>
      <c r="M4003" s="200"/>
      <c r="N4003" s="200" t="s">
        <v>1644</v>
      </c>
      <c r="O4003" s="200" t="s">
        <v>1511</v>
      </c>
      <c r="P4003" s="197" t="s">
        <v>461</v>
      </c>
      <c r="Q4003" s="200" t="s">
        <v>3946</v>
      </c>
      <c r="R4003" s="201" t="s">
        <v>5276</v>
      </c>
      <c r="S4003" s="390"/>
      <c r="T4003" s="197" t="s">
        <v>3068</v>
      </c>
      <c r="U4003" s="197"/>
      <c r="V4003" s="197"/>
      <c r="W4003" s="319" t="s">
        <v>1509</v>
      </c>
      <c r="X4003" s="651" t="s">
        <v>12364</v>
      </c>
      <c r="Y4003" s="358" t="s">
        <v>7018</v>
      </c>
      <c r="Z4003" s="253">
        <v>2009</v>
      </c>
      <c r="AA4003" s="253"/>
      <c r="AB4003" s="35">
        <f t="shared" ca="1" si="104"/>
        <v>0.65414581889355494</v>
      </c>
      <c r="AC4003" s="820"/>
      <c r="AD4003" s="824" t="s">
        <v>14914</v>
      </c>
      <c r="AE4003" s="944"/>
      <c r="AF4003" s="925">
        <f>IF(X4003=X4002,AF4002,0)+IF(ISNUMBER(I4003),IF(I4003&lt;1,I4003,I4003*VLOOKUP(J4003,Summary!$H$2:$I$9,2)),VLOOKUP(J4003,Summary!$J$2:$K$9,2)*IF(ISNUMBER(H4003),H4003,1))</f>
        <v>3.5497685185185188E-2</v>
      </c>
      <c r="AG4003" s="293">
        <v>4002</v>
      </c>
      <c r="AH4003" s="94"/>
      <c r="AI4003" s="94"/>
      <c r="AJ4003" s="43"/>
    </row>
    <row r="4004" spans="1:36" s="3" customFormat="1" ht="12" customHeight="1" x14ac:dyDescent="0.25">
      <c r="A4004" s="553" t="s">
        <v>1507</v>
      </c>
      <c r="B4004" s="554" t="s">
        <v>3227</v>
      </c>
      <c r="C4004" s="553">
        <v>2</v>
      </c>
      <c r="D4004" s="424" t="s">
        <v>4075</v>
      </c>
      <c r="E4004" s="319" t="s">
        <v>6690</v>
      </c>
      <c r="F4004" s="198">
        <v>39012</v>
      </c>
      <c r="G4004" s="198"/>
      <c r="H4004" s="199">
        <v>1</v>
      </c>
      <c r="I4004" s="791">
        <f>TIME(0,47,46)</f>
        <v>3.3171296296296296E-2</v>
      </c>
      <c r="J4004" s="904" t="s">
        <v>1588</v>
      </c>
      <c r="K4004" s="200" t="s">
        <v>7377</v>
      </c>
      <c r="L4004" s="200" t="s">
        <v>1510</v>
      </c>
      <c r="M4004" s="200"/>
      <c r="N4004" s="200" t="s">
        <v>1644</v>
      </c>
      <c r="O4004" s="200" t="s">
        <v>1511</v>
      </c>
      <c r="P4004" s="197" t="s">
        <v>461</v>
      </c>
      <c r="Q4004" s="200" t="s">
        <v>3946</v>
      </c>
      <c r="R4004" s="201" t="s">
        <v>5276</v>
      </c>
      <c r="S4004" s="390"/>
      <c r="T4004" s="197" t="s">
        <v>3068</v>
      </c>
      <c r="U4004" s="197"/>
      <c r="V4004" s="197"/>
      <c r="W4004" s="319" t="s">
        <v>6690</v>
      </c>
      <c r="X4004" s="651" t="s">
        <v>12364</v>
      </c>
      <c r="Y4004" s="358" t="s">
        <v>7018</v>
      </c>
      <c r="Z4004" s="253">
        <v>2025</v>
      </c>
      <c r="AA4004" s="253"/>
      <c r="AB4004" s="35">
        <f t="shared" ca="1" si="104"/>
        <v>0.72311941117406797</v>
      </c>
      <c r="AC4004" s="820"/>
      <c r="AD4004" s="821" t="s">
        <v>14914</v>
      </c>
      <c r="AE4004" s="944"/>
      <c r="AF4004" s="925">
        <f>IF(X4004=X4003,AF4003,0)+IF(ISNUMBER(I4004),IF(I4004&lt;1,I4004,I4004*VLOOKUP(J4004,Summary!$H$2:$I$9,2)),VLOOKUP(J4004,Summary!$J$2:$K$9,2)*IF(ISNUMBER(H4004),H4004,1))</f>
        <v>6.8668981481481484E-2</v>
      </c>
      <c r="AG4004" s="293">
        <v>4003</v>
      </c>
      <c r="AH4004" s="94"/>
      <c r="AI4004" s="94"/>
      <c r="AJ4004" s="43"/>
    </row>
    <row r="4005" spans="1:36" s="1" customFormat="1" ht="12" customHeight="1" x14ac:dyDescent="0.25">
      <c r="A4005" s="553" t="s">
        <v>1507</v>
      </c>
      <c r="B4005" s="554" t="s">
        <v>3227</v>
      </c>
      <c r="C4005" s="553">
        <v>3</v>
      </c>
      <c r="D4005" s="424" t="s">
        <v>4076</v>
      </c>
      <c r="E4005" s="319" t="s">
        <v>6691</v>
      </c>
      <c r="F4005" s="198">
        <v>39019</v>
      </c>
      <c r="G4005" s="198"/>
      <c r="H4005" s="199">
        <v>1</v>
      </c>
      <c r="I4005" s="791">
        <f>TIME(0,48,22)</f>
        <v>3.3587962962962965E-2</v>
      </c>
      <c r="J4005" s="904" t="s">
        <v>1588</v>
      </c>
      <c r="K4005" s="200" t="s">
        <v>7907</v>
      </c>
      <c r="L4005" s="200" t="s">
        <v>1504</v>
      </c>
      <c r="M4005" s="200"/>
      <c r="N4005" s="200" t="s">
        <v>1644</v>
      </c>
      <c r="O4005" s="200" t="s">
        <v>1511</v>
      </c>
      <c r="P4005" s="197" t="s">
        <v>461</v>
      </c>
      <c r="Q4005" s="200" t="s">
        <v>3946</v>
      </c>
      <c r="R4005" s="201" t="s">
        <v>5276</v>
      </c>
      <c r="S4005" s="390"/>
      <c r="T4005" s="197" t="s">
        <v>3068</v>
      </c>
      <c r="U4005" s="197"/>
      <c r="V4005" s="197"/>
      <c r="W4005" s="319" t="s">
        <v>6691</v>
      </c>
      <c r="X4005" s="651" t="s">
        <v>12364</v>
      </c>
      <c r="Y4005" s="358" t="s">
        <v>7018</v>
      </c>
      <c r="Z4005" s="253">
        <v>2011</v>
      </c>
      <c r="AA4005" s="253"/>
      <c r="AB4005" s="35">
        <f t="shared" ca="1" si="104"/>
        <v>0.76483469057883746</v>
      </c>
      <c r="AC4005" s="820"/>
      <c r="AD4005" s="821" t="s">
        <v>14914</v>
      </c>
      <c r="AE4005" s="944"/>
      <c r="AF4005" s="925">
        <f>IF(X4005=X4004,AF4004,0)+IF(ISNUMBER(I4005),IF(I4005&lt;1,I4005,I4005*VLOOKUP(J4005,Summary!$H$2:$I$9,2)),VLOOKUP(J4005,Summary!$J$2:$K$9,2)*IF(ISNUMBER(H4005),H4005,1))</f>
        <v>0.10225694444444444</v>
      </c>
      <c r="AG4005" s="293">
        <v>4004</v>
      </c>
      <c r="AH4005" s="94"/>
      <c r="AI4005" s="94"/>
      <c r="AJ4005" s="43"/>
    </row>
    <row r="4006" spans="1:36" s="29" customFormat="1" ht="12" customHeight="1" x14ac:dyDescent="0.25">
      <c r="A4006" s="474" t="s">
        <v>1507</v>
      </c>
      <c r="B4006" s="507" t="s">
        <v>3227</v>
      </c>
      <c r="C4006" s="474">
        <v>1</v>
      </c>
      <c r="D4006" s="417" t="s">
        <v>4071</v>
      </c>
      <c r="E4006" s="316" t="s">
        <v>4072</v>
      </c>
      <c r="F4006" s="195">
        <v>39086</v>
      </c>
      <c r="G4006" s="195"/>
      <c r="H4006" s="188" t="str">
        <f>IF(J4006="Book","n/a","")</f>
        <v>n/a</v>
      </c>
      <c r="I4006" s="188">
        <v>254</v>
      </c>
      <c r="J4006" s="902" t="s">
        <v>6868</v>
      </c>
      <c r="K4006" s="162" t="s">
        <v>4551</v>
      </c>
      <c r="L4006" s="162" t="str">
        <f>IF(J4006="Book","n/a","")</f>
        <v>n/a</v>
      </c>
      <c r="M4006" s="162"/>
      <c r="N4006" s="162"/>
      <c r="O4006" s="162"/>
      <c r="P4006" s="178" t="s">
        <v>8824</v>
      </c>
      <c r="Q4006" s="162" t="s">
        <v>3953</v>
      </c>
      <c r="R4006" s="189" t="s">
        <v>2719</v>
      </c>
      <c r="S4006" s="366"/>
      <c r="T4006" s="178" t="s">
        <v>3068</v>
      </c>
      <c r="U4006" s="178"/>
      <c r="V4006" s="178"/>
      <c r="W4006" s="316" t="s">
        <v>4072</v>
      </c>
      <c r="X4006" s="648" t="s">
        <v>12364</v>
      </c>
      <c r="Y4006" s="356"/>
      <c r="Z4006" s="272"/>
      <c r="AA4006" s="272"/>
      <c r="AB4006" s="34">
        <f t="shared" ca="1" si="104"/>
        <v>0.41312314732516964</v>
      </c>
      <c r="AC4006" s="814"/>
      <c r="AD4006" s="815" t="s">
        <v>14914</v>
      </c>
      <c r="AE4006" s="942"/>
      <c r="AF4006" s="923">
        <f>IF(X4006=X4005,AF4005,0)+IF(ISNUMBER(I4006),IF(I4006&lt;1,I4006,I4006*VLOOKUP(J4006,Summary!$H$2:$I$9,2)),VLOOKUP(J4006,Summary!$J$2:$K$9,2)*IF(ISNUMBER(H4006),H4006,1))</f>
        <v>0.27864583333333337</v>
      </c>
      <c r="AG4006" s="291">
        <v>4005</v>
      </c>
      <c r="AH4006" s="94"/>
      <c r="AI4006" s="94"/>
    </row>
    <row r="4007" spans="1:36" s="3" customFormat="1" ht="12" customHeight="1" x14ac:dyDescent="0.25">
      <c r="A4007" s="474" t="s">
        <v>1507</v>
      </c>
      <c r="B4007" s="507" t="s">
        <v>3227</v>
      </c>
      <c r="C4007" s="474">
        <v>2</v>
      </c>
      <c r="D4007" s="417" t="s">
        <v>4087</v>
      </c>
      <c r="E4007" s="316" t="s">
        <v>4073</v>
      </c>
      <c r="F4007" s="195">
        <v>39086</v>
      </c>
      <c r="G4007" s="195"/>
      <c r="H4007" s="188" t="str">
        <f>IF(J4007="Book","n/a","")</f>
        <v>n/a</v>
      </c>
      <c r="I4007" s="188">
        <v>254</v>
      </c>
      <c r="J4007" s="902" t="s">
        <v>6868</v>
      </c>
      <c r="K4007" s="162" t="s">
        <v>4132</v>
      </c>
      <c r="L4007" s="162" t="str">
        <f>IF(J4007="Book","n/a","")</f>
        <v>n/a</v>
      </c>
      <c r="M4007" s="162"/>
      <c r="N4007" s="162"/>
      <c r="O4007" s="162"/>
      <c r="P4007" s="178" t="s">
        <v>8825</v>
      </c>
      <c r="Q4007" s="162" t="s">
        <v>3953</v>
      </c>
      <c r="R4007" s="189" t="s">
        <v>2719</v>
      </c>
      <c r="S4007" s="366"/>
      <c r="T4007" s="178" t="s">
        <v>3068</v>
      </c>
      <c r="U4007" s="178"/>
      <c r="V4007" s="178"/>
      <c r="W4007" s="316" t="s">
        <v>4073</v>
      </c>
      <c r="X4007" s="648" t="s">
        <v>12364</v>
      </c>
      <c r="Y4007" s="356"/>
      <c r="Z4007" s="272">
        <v>126</v>
      </c>
      <c r="AA4007" s="272">
        <v>5</v>
      </c>
      <c r="AB4007" s="34">
        <f t="shared" ca="1" si="104"/>
        <v>0.42013493469818652</v>
      </c>
      <c r="AC4007" s="814"/>
      <c r="AD4007" s="815" t="s">
        <v>14914</v>
      </c>
      <c r="AE4007" s="942"/>
      <c r="AF4007" s="923">
        <f>IF(X4007=X4006,AF4006,0)+IF(ISNUMBER(I4007),IF(I4007&lt;1,I4007,I4007*VLOOKUP(J4007,Summary!$H$2:$I$9,2)),VLOOKUP(J4007,Summary!$J$2:$K$9,2)*IF(ISNUMBER(H4007),H4007,1))</f>
        <v>0.4550347222222223</v>
      </c>
      <c r="AG4007" s="291">
        <v>4006</v>
      </c>
      <c r="AH4007" s="94"/>
      <c r="AI4007" s="94"/>
      <c r="AJ4007" s="9"/>
    </row>
    <row r="4008" spans="1:36" s="9" customFormat="1" ht="12" customHeight="1" x14ac:dyDescent="0.25">
      <c r="A4008" s="474" t="s">
        <v>1507</v>
      </c>
      <c r="B4008" s="507" t="s">
        <v>3227</v>
      </c>
      <c r="C4008" s="474">
        <v>3</v>
      </c>
      <c r="D4008" s="417" t="s">
        <v>4088</v>
      </c>
      <c r="E4008" s="316" t="s">
        <v>4074</v>
      </c>
      <c r="F4008" s="195">
        <v>39086</v>
      </c>
      <c r="G4008" s="195"/>
      <c r="H4008" s="188" t="str">
        <f>IF(J4008="Book","n/a","")</f>
        <v>n/a</v>
      </c>
      <c r="I4008" s="188">
        <v>251</v>
      </c>
      <c r="J4008" s="902" t="s">
        <v>6868</v>
      </c>
      <c r="K4008" s="162" t="s">
        <v>175</v>
      </c>
      <c r="L4008" s="162" t="str">
        <f>IF(J4008="Book","n/a","")</f>
        <v>n/a</v>
      </c>
      <c r="M4008" s="162"/>
      <c r="N4008" s="162"/>
      <c r="O4008" s="162"/>
      <c r="P4008" s="178" t="s">
        <v>8826</v>
      </c>
      <c r="Q4008" s="162" t="s">
        <v>3953</v>
      </c>
      <c r="R4008" s="189" t="s">
        <v>2719</v>
      </c>
      <c r="S4008" s="366"/>
      <c r="T4008" s="178" t="s">
        <v>3068</v>
      </c>
      <c r="U4008" s="178"/>
      <c r="V4008" s="178"/>
      <c r="W4008" s="316" t="s">
        <v>4074</v>
      </c>
      <c r="X4008" s="648" t="s">
        <v>12364</v>
      </c>
      <c r="Y4008" s="356"/>
      <c r="Z4008" s="272"/>
      <c r="AA4008" s="272"/>
      <c r="AB4008" s="34">
        <f t="shared" ca="1" si="104"/>
        <v>0.46967241846536756</v>
      </c>
      <c r="AC4008" s="814"/>
      <c r="AD4008" s="815" t="s">
        <v>14915</v>
      </c>
      <c r="AE4008" s="942"/>
      <c r="AF4008" s="923">
        <f>IF(X4008=X4007,AF4007,0)+IF(ISNUMBER(I4008),IF(I4008&lt;1,I4008,I4008*VLOOKUP(J4008,Summary!$H$2:$I$9,2)),VLOOKUP(J4008,Summary!$J$2:$K$9,2)*IF(ISNUMBER(H4008),H4008,1))</f>
        <v>0.6293402777777779</v>
      </c>
      <c r="AG4008" s="291">
        <v>4007</v>
      </c>
      <c r="AH4008" s="94"/>
      <c r="AI4008" s="94"/>
      <c r="AJ4008" s="22"/>
    </row>
    <row r="4009" spans="1:36" s="43" customFormat="1" ht="12" customHeight="1" x14ac:dyDescent="0.25">
      <c r="A4009" s="553" t="s">
        <v>1507</v>
      </c>
      <c r="B4009" s="554" t="s">
        <v>3227</v>
      </c>
      <c r="C4009" s="553">
        <v>4</v>
      </c>
      <c r="D4009" s="424" t="s">
        <v>4077</v>
      </c>
      <c r="E4009" s="319" t="s">
        <v>6692</v>
      </c>
      <c r="F4009" s="198">
        <v>39026</v>
      </c>
      <c r="G4009" s="198"/>
      <c r="H4009" s="199">
        <v>1</v>
      </c>
      <c r="I4009" s="791">
        <f>TIME(0,49, 7)</f>
        <v>3.4108796296296297E-2</v>
      </c>
      <c r="J4009" s="904" t="s">
        <v>1588</v>
      </c>
      <c r="K4009" s="200" t="s">
        <v>7377</v>
      </c>
      <c r="L4009" s="200" t="s">
        <v>6949</v>
      </c>
      <c r="M4009" s="200"/>
      <c r="N4009" s="200" t="s">
        <v>1644</v>
      </c>
      <c r="O4009" s="200" t="s">
        <v>1511</v>
      </c>
      <c r="P4009" s="197" t="s">
        <v>461</v>
      </c>
      <c r="Q4009" s="200" t="s">
        <v>3946</v>
      </c>
      <c r="R4009" s="201" t="s">
        <v>5276</v>
      </c>
      <c r="S4009" s="390"/>
      <c r="T4009" s="197" t="s">
        <v>3068</v>
      </c>
      <c r="U4009" s="197"/>
      <c r="V4009" s="197"/>
      <c r="W4009" s="319" t="s">
        <v>6692</v>
      </c>
      <c r="X4009" s="651" t="s">
        <v>12364</v>
      </c>
      <c r="Y4009" s="358" t="s">
        <v>7018</v>
      </c>
      <c r="Z4009" s="253">
        <v>2027</v>
      </c>
      <c r="AA4009" s="253"/>
      <c r="AB4009" s="35">
        <f t="shared" ca="1" si="104"/>
        <v>0.18136440970110423</v>
      </c>
      <c r="AC4009" s="820"/>
      <c r="AD4009" s="821" t="s">
        <v>14915</v>
      </c>
      <c r="AE4009" s="944"/>
      <c r="AF4009" s="925">
        <f>IF(X4009=X4008,AF4008,0)+IF(ISNUMBER(I4009),IF(I4009&lt;1,I4009,I4009*VLOOKUP(J4009,Summary!$H$2:$I$9,2)),VLOOKUP(J4009,Summary!$J$2:$K$9,2)*IF(ISNUMBER(H4009),H4009,1))</f>
        <v>0.66344907407407416</v>
      </c>
      <c r="AG4009" s="293">
        <v>4008</v>
      </c>
      <c r="AH4009" s="94"/>
      <c r="AI4009" s="94"/>
      <c r="AJ4009" s="29"/>
    </row>
    <row r="4010" spans="1:36" s="22" customFormat="1" ht="12" customHeight="1" x14ac:dyDescent="0.25">
      <c r="A4010" s="553" t="s">
        <v>1507</v>
      </c>
      <c r="B4010" s="554" t="s">
        <v>3227</v>
      </c>
      <c r="C4010" s="553">
        <v>5</v>
      </c>
      <c r="D4010" s="424" t="s">
        <v>4078</v>
      </c>
      <c r="E4010" s="319" t="s">
        <v>6693</v>
      </c>
      <c r="F4010" s="198">
        <v>39033</v>
      </c>
      <c r="G4010" s="198"/>
      <c r="H4010" s="199">
        <v>1</v>
      </c>
      <c r="I4010" s="791">
        <f>TIME(0,46,43)</f>
        <v>3.2442129629629633E-2</v>
      </c>
      <c r="J4010" s="904" t="s">
        <v>1588</v>
      </c>
      <c r="K4010" s="200" t="s">
        <v>4065</v>
      </c>
      <c r="L4010" s="200" t="s">
        <v>1597</v>
      </c>
      <c r="M4010" s="200"/>
      <c r="N4010" s="200" t="s">
        <v>1644</v>
      </c>
      <c r="O4010" s="200" t="s">
        <v>1511</v>
      </c>
      <c r="P4010" s="197" t="s">
        <v>461</v>
      </c>
      <c r="Q4010" s="200" t="s">
        <v>3946</v>
      </c>
      <c r="R4010" s="201" t="s">
        <v>5276</v>
      </c>
      <c r="S4010" s="390"/>
      <c r="T4010" s="197" t="s">
        <v>3068</v>
      </c>
      <c r="U4010" s="197"/>
      <c r="V4010" s="197"/>
      <c r="W4010" s="319" t="s">
        <v>6693</v>
      </c>
      <c r="X4010" s="651" t="s">
        <v>12364</v>
      </c>
      <c r="Y4010" s="358" t="s">
        <v>7018</v>
      </c>
      <c r="Z4010" s="253">
        <v>2005</v>
      </c>
      <c r="AA4010" s="253"/>
      <c r="AB4010" s="35">
        <f t="shared" ca="1" si="104"/>
        <v>0.3877273870399538</v>
      </c>
      <c r="AC4010" s="820"/>
      <c r="AD4010" s="821" t="s">
        <v>14915</v>
      </c>
      <c r="AE4010" s="944"/>
      <c r="AF4010" s="925">
        <f>IF(X4010=X4009,AF4009,0)+IF(ISNUMBER(I4010),IF(I4010&lt;1,I4010,I4010*VLOOKUP(J4010,Summary!$H$2:$I$9,2)),VLOOKUP(J4010,Summary!$J$2:$K$9,2)*IF(ISNUMBER(H4010),H4010,1))</f>
        <v>0.69589120370370383</v>
      </c>
      <c r="AG4010" s="293">
        <v>4009</v>
      </c>
      <c r="AH4010" s="94"/>
      <c r="AI4010" s="94"/>
      <c r="AJ4010" s="29"/>
    </row>
    <row r="4011" spans="1:36" s="43" customFormat="1" ht="12" customHeight="1" x14ac:dyDescent="0.25">
      <c r="A4011" s="405" t="s">
        <v>1507</v>
      </c>
      <c r="B4011" s="596" t="s">
        <v>3227</v>
      </c>
      <c r="C4011" s="510">
        <v>1</v>
      </c>
      <c r="D4011" s="407" t="s">
        <v>803</v>
      </c>
      <c r="E4011" s="315" t="s">
        <v>805</v>
      </c>
      <c r="F4011" s="196">
        <v>39482</v>
      </c>
      <c r="G4011" s="196"/>
      <c r="H4011" s="170">
        <v>1</v>
      </c>
      <c r="I4011" s="746">
        <f>TIME(0,150,0)</f>
        <v>0.10416666666666667</v>
      </c>
      <c r="J4011" s="899" t="s">
        <v>4706</v>
      </c>
      <c r="K4011" s="167" t="s">
        <v>804</v>
      </c>
      <c r="L4011" s="167"/>
      <c r="M4011" s="167"/>
      <c r="N4011" s="167"/>
      <c r="O4011" s="167"/>
      <c r="P4011" s="168" t="s">
        <v>8842</v>
      </c>
      <c r="Q4011" s="167" t="s">
        <v>3950</v>
      </c>
      <c r="R4011" s="172" t="s">
        <v>2710</v>
      </c>
      <c r="S4011" s="388"/>
      <c r="T4011" s="168" t="s">
        <v>3068</v>
      </c>
      <c r="U4011" s="168"/>
      <c r="V4011" s="168"/>
      <c r="W4011" s="315" t="s">
        <v>805</v>
      </c>
      <c r="X4011" s="647" t="s">
        <v>12364</v>
      </c>
      <c r="Y4011" s="352"/>
      <c r="Z4011" s="353"/>
      <c r="AA4011" s="353"/>
      <c r="AB4011" s="31">
        <f t="shared" ca="1" si="104"/>
        <v>0.99179750892122176</v>
      </c>
      <c r="AC4011" s="810"/>
      <c r="AD4011" s="811" t="s">
        <v>14915</v>
      </c>
      <c r="AE4011" s="940"/>
      <c r="AF4011" s="920">
        <f>IF(X4011=X4010,AF4010,0)+IF(ISNUMBER(I4011),IF(I4011&lt;1,I4011,I4011*VLOOKUP(J4011,Summary!$H$2:$I$9,2)),VLOOKUP(J4011,Summary!$J$2:$K$9,2)*IF(ISNUMBER(H4011),H4011,1))</f>
        <v>0.80005787037037046</v>
      </c>
      <c r="AG4011" s="287">
        <v>4010</v>
      </c>
      <c r="AH4011" s="94"/>
      <c r="AI4011" s="94"/>
    </row>
    <row r="4012" spans="1:36" s="43" customFormat="1" ht="12" customHeight="1" x14ac:dyDescent="0.25">
      <c r="A4012" s="408" t="s">
        <v>1507</v>
      </c>
      <c r="B4012" s="408" t="s">
        <v>3227</v>
      </c>
      <c r="C4012" s="408">
        <v>23.1</v>
      </c>
      <c r="D4012" s="434" t="s">
        <v>82</v>
      </c>
      <c r="E4012" s="324" t="s">
        <v>83</v>
      </c>
      <c r="F4012" s="175">
        <v>40409</v>
      </c>
      <c r="G4012" s="175"/>
      <c r="H4012" s="176">
        <v>1</v>
      </c>
      <c r="I4012" s="176">
        <v>7</v>
      </c>
      <c r="J4012" s="900" t="s">
        <v>2755</v>
      </c>
      <c r="K4012" s="157" t="s">
        <v>1825</v>
      </c>
      <c r="L4012" s="157" t="s">
        <v>3551</v>
      </c>
      <c r="M4012" s="157"/>
      <c r="N4012" s="157" t="s">
        <v>7078</v>
      </c>
      <c r="O4012" s="157"/>
      <c r="P4012" s="173" t="s">
        <v>461</v>
      </c>
      <c r="Q4012" s="157" t="s">
        <v>7076</v>
      </c>
      <c r="R4012" s="179" t="s">
        <v>7077</v>
      </c>
      <c r="S4012" s="354"/>
      <c r="T4012" s="173" t="s">
        <v>3068</v>
      </c>
      <c r="U4012" s="173"/>
      <c r="V4012" s="173"/>
      <c r="W4012" s="324" t="s">
        <v>83</v>
      </c>
      <c r="X4012" s="656" t="s">
        <v>12364</v>
      </c>
      <c r="Y4012" s="363"/>
      <c r="Z4012" s="364"/>
      <c r="AA4012" s="364"/>
      <c r="AB4012" s="32">
        <f t="shared" ca="1" si="104"/>
        <v>0.99371406611720847</v>
      </c>
      <c r="AC4012" s="812"/>
      <c r="AD4012" s="763" t="s">
        <v>14915</v>
      </c>
      <c r="AE4012" s="951"/>
      <c r="AF4012" s="921">
        <f>IF(X4012=X4011,AF4011,0)+IF(ISNUMBER(I4012),IF(I4012&lt;1,I4012,I4012*VLOOKUP(J4012,Summary!$H$2:$I$9,2)),VLOOKUP(J4012,Summary!$J$2:$K$9,2)*IF(ISNUMBER(H4012),H4012,1))</f>
        <v>0.80491898148148155</v>
      </c>
      <c r="AG4012" s="288">
        <v>4011</v>
      </c>
      <c r="AH4012" s="94"/>
      <c r="AI4012" s="94"/>
    </row>
    <row r="4013" spans="1:36" s="43" customFormat="1" ht="12" customHeight="1" x14ac:dyDescent="0.25">
      <c r="A4013" s="553" t="s">
        <v>1507</v>
      </c>
      <c r="B4013" s="554" t="s">
        <v>3227</v>
      </c>
      <c r="C4013" s="553">
        <v>6</v>
      </c>
      <c r="D4013" s="424" t="s">
        <v>4079</v>
      </c>
      <c r="E4013" s="319" t="s">
        <v>5201</v>
      </c>
      <c r="F4013" s="198">
        <v>39040</v>
      </c>
      <c r="G4013" s="198"/>
      <c r="H4013" s="199">
        <v>1</v>
      </c>
      <c r="I4013" s="791">
        <f>TIME(0,46,50)</f>
        <v>3.2523148148148148E-2</v>
      </c>
      <c r="J4013" s="904" t="s">
        <v>1588</v>
      </c>
      <c r="K4013" s="200" t="s">
        <v>7377</v>
      </c>
      <c r="L4013" s="200" t="s">
        <v>3631</v>
      </c>
      <c r="M4013" s="200"/>
      <c r="N4013" s="200" t="s">
        <v>1644</v>
      </c>
      <c r="O4013" s="200" t="s">
        <v>1511</v>
      </c>
      <c r="P4013" s="197" t="s">
        <v>461</v>
      </c>
      <c r="Q4013" s="200" t="s">
        <v>3946</v>
      </c>
      <c r="R4013" s="201" t="s">
        <v>5276</v>
      </c>
      <c r="S4013" s="390"/>
      <c r="T4013" s="197" t="s">
        <v>3068</v>
      </c>
      <c r="U4013" s="197"/>
      <c r="V4013" s="197"/>
      <c r="W4013" s="319" t="s">
        <v>5201</v>
      </c>
      <c r="X4013" s="651" t="s">
        <v>12364</v>
      </c>
      <c r="Y4013" s="358" t="s">
        <v>7018</v>
      </c>
      <c r="Z4013" s="253">
        <v>2012</v>
      </c>
      <c r="AA4013" s="253"/>
      <c r="AB4013" s="35">
        <f t="shared" ca="1" si="104"/>
        <v>0.10251762619079818</v>
      </c>
      <c r="AC4013" s="820"/>
      <c r="AD4013" s="821" t="s">
        <v>14915</v>
      </c>
      <c r="AE4013" s="944"/>
      <c r="AF4013" s="925">
        <f>IF(X4013=X4012,AF4012,0)+IF(ISNUMBER(I4013),IF(I4013&lt;1,I4013,I4013*VLOOKUP(J4013,Summary!$H$2:$I$9,2)),VLOOKUP(J4013,Summary!$J$2:$K$9,2)*IF(ISNUMBER(H4013),H4013,1))</f>
        <v>0.83744212962962972</v>
      </c>
      <c r="AG4013" s="293">
        <v>4012</v>
      </c>
      <c r="AH4013" s="94"/>
      <c r="AI4013" s="94"/>
    </row>
    <row r="4014" spans="1:36" s="3" customFormat="1" ht="12" customHeight="1" x14ac:dyDescent="0.25">
      <c r="A4014" s="553" t="s">
        <v>1507</v>
      </c>
      <c r="B4014" s="554" t="s">
        <v>3227</v>
      </c>
      <c r="C4014" s="553">
        <v>7</v>
      </c>
      <c r="D4014" s="424" t="s">
        <v>4080</v>
      </c>
      <c r="E4014" s="319" t="s">
        <v>5202</v>
      </c>
      <c r="F4014" s="198">
        <v>39047</v>
      </c>
      <c r="G4014" s="198"/>
      <c r="H4014" s="199">
        <v>1</v>
      </c>
      <c r="I4014" s="791">
        <f>TIME(0,49,36)</f>
        <v>3.4444444444444444E-2</v>
      </c>
      <c r="J4014" s="904" t="s">
        <v>1588</v>
      </c>
      <c r="K4014" s="200" t="s">
        <v>5297</v>
      </c>
      <c r="L4014" s="200" t="s">
        <v>1504</v>
      </c>
      <c r="M4014" s="200"/>
      <c r="N4014" s="200" t="s">
        <v>1644</v>
      </c>
      <c r="O4014" s="200" t="s">
        <v>1511</v>
      </c>
      <c r="P4014" s="197" t="s">
        <v>461</v>
      </c>
      <c r="Q4014" s="200" t="s">
        <v>3946</v>
      </c>
      <c r="R4014" s="201" t="s">
        <v>5276</v>
      </c>
      <c r="S4014" s="390"/>
      <c r="T4014" s="197" t="s">
        <v>3068</v>
      </c>
      <c r="U4014" s="197"/>
      <c r="V4014" s="197"/>
      <c r="W4014" s="319" t="s">
        <v>5202</v>
      </c>
      <c r="X4014" s="651" t="s">
        <v>12364</v>
      </c>
      <c r="Y4014" s="358" t="s">
        <v>7018</v>
      </c>
      <c r="Z4014" s="253">
        <v>2013</v>
      </c>
      <c r="AA4014" s="253"/>
      <c r="AB4014" s="35">
        <f t="shared" ca="1" si="104"/>
        <v>0.68506128664231614</v>
      </c>
      <c r="AC4014" s="820"/>
      <c r="AD4014" s="821" t="s">
        <v>14915</v>
      </c>
      <c r="AE4014" s="944"/>
      <c r="AF4014" s="925">
        <f>IF(X4014=X4013,AF4013,0)+IF(ISNUMBER(I4014),IF(I4014&lt;1,I4014,I4014*VLOOKUP(J4014,Summary!$H$2:$I$9,2)),VLOOKUP(J4014,Summary!$J$2:$K$9,2)*IF(ISNUMBER(H4014),H4014,1))</f>
        <v>0.87188657407407422</v>
      </c>
      <c r="AG4014" s="293">
        <v>4013</v>
      </c>
      <c r="AH4014" s="94"/>
      <c r="AI4014" s="94"/>
      <c r="AJ4014" s="43"/>
    </row>
    <row r="4015" spans="1:36" s="3" customFormat="1" ht="12" customHeight="1" x14ac:dyDescent="0.25">
      <c r="A4015" s="405" t="s">
        <v>1507</v>
      </c>
      <c r="B4015" s="596" t="s">
        <v>3227</v>
      </c>
      <c r="C4015" s="533">
        <v>2.0499999999999989</v>
      </c>
      <c r="D4015" s="407" t="s">
        <v>10644</v>
      </c>
      <c r="E4015" s="315" t="s">
        <v>3667</v>
      </c>
      <c r="F4015" s="196">
        <v>42555</v>
      </c>
      <c r="G4015" s="196"/>
      <c r="H4015" s="170">
        <v>1</v>
      </c>
      <c r="I4015" s="747">
        <f>TIME(0,60,0)</f>
        <v>4.1666666666666664E-2</v>
      </c>
      <c r="J4015" s="899" t="s">
        <v>4706</v>
      </c>
      <c r="K4015" s="167" t="s">
        <v>4425</v>
      </c>
      <c r="L4015" s="167" t="s">
        <v>179</v>
      </c>
      <c r="M4015" s="167"/>
      <c r="N4015" s="167"/>
      <c r="O4015" s="167"/>
      <c r="P4015" s="168" t="s">
        <v>10645</v>
      </c>
      <c r="Q4015" s="167" t="s">
        <v>3947</v>
      </c>
      <c r="R4015" s="172" t="s">
        <v>10605</v>
      </c>
      <c r="S4015" s="388"/>
      <c r="T4015" s="168" t="s">
        <v>3068</v>
      </c>
      <c r="U4015" s="168"/>
      <c r="V4015" s="168"/>
      <c r="W4015" s="315" t="s">
        <v>3667</v>
      </c>
      <c r="X4015" s="647" t="s">
        <v>12364</v>
      </c>
      <c r="Y4015" s="352" t="s">
        <v>5643</v>
      </c>
      <c r="Z4015" s="353">
        <v>202</v>
      </c>
      <c r="AA4015" s="353">
        <v>6</v>
      </c>
      <c r="AB4015" s="31">
        <f t="shared" ca="1" si="104"/>
        <v>0.97907762388974506</v>
      </c>
      <c r="AC4015" s="810"/>
      <c r="AD4015" s="811" t="s">
        <v>14915</v>
      </c>
      <c r="AE4015" s="940"/>
      <c r="AF4015" s="920">
        <f>IF(X4015=X4014,AF4014,0)+IF(ISNUMBER(I4015),IF(I4015&lt;1,I4015,I4015*VLOOKUP(J4015,Summary!$H$2:$I$9,2)),VLOOKUP(J4015,Summary!$J$2:$K$9,2)*IF(ISNUMBER(H4015),H4015,1))</f>
        <v>0.91355324074074085</v>
      </c>
      <c r="AG4015" s="287">
        <v>4014</v>
      </c>
      <c r="AH4015" s="94"/>
      <c r="AI4015" s="94"/>
      <c r="AJ4015" s="22"/>
    </row>
    <row r="4016" spans="1:36" s="3" customFormat="1" ht="12" customHeight="1" x14ac:dyDescent="0.25">
      <c r="A4016" s="553" t="s">
        <v>1507</v>
      </c>
      <c r="B4016" s="554" t="s">
        <v>3227</v>
      </c>
      <c r="C4016" s="553">
        <v>8</v>
      </c>
      <c r="D4016" s="424" t="s">
        <v>4081</v>
      </c>
      <c r="E4016" s="319" t="s">
        <v>5203</v>
      </c>
      <c r="F4016" s="198">
        <v>39054</v>
      </c>
      <c r="G4016" s="198"/>
      <c r="H4016" s="199">
        <v>1</v>
      </c>
      <c r="I4016" s="791">
        <f>TIME(0,52,43)</f>
        <v>3.6608796296296299E-2</v>
      </c>
      <c r="J4016" s="904" t="s">
        <v>1588</v>
      </c>
      <c r="K4016" s="200" t="s">
        <v>4066</v>
      </c>
      <c r="L4016" s="200" t="s">
        <v>6949</v>
      </c>
      <c r="M4016" s="200"/>
      <c r="N4016" s="200" t="s">
        <v>1644</v>
      </c>
      <c r="O4016" s="200" t="s">
        <v>1511</v>
      </c>
      <c r="P4016" s="197" t="s">
        <v>461</v>
      </c>
      <c r="Q4016" s="200" t="s">
        <v>3946</v>
      </c>
      <c r="R4016" s="201" t="s">
        <v>5276</v>
      </c>
      <c r="S4016" s="390"/>
      <c r="T4016" s="197" t="s">
        <v>3068</v>
      </c>
      <c r="U4016" s="197"/>
      <c r="V4016" s="197"/>
      <c r="W4016" s="319" t="s">
        <v>5203</v>
      </c>
      <c r="X4016" s="651" t="s">
        <v>12364</v>
      </c>
      <c r="Y4016" s="358" t="s">
        <v>7018</v>
      </c>
      <c r="Z4016" s="253">
        <v>2018</v>
      </c>
      <c r="AA4016" s="253"/>
      <c r="AB4016" s="35">
        <f t="shared" ca="1" si="104"/>
        <v>0.56620942335915336</v>
      </c>
      <c r="AC4016" s="820"/>
      <c r="AD4016" s="821" t="s">
        <v>14916</v>
      </c>
      <c r="AE4016" s="944"/>
      <c r="AF4016" s="925">
        <f>IF(X4016=X4015,AF4015,0)+IF(ISNUMBER(I4016),IF(I4016&lt;1,I4016,I4016*VLOOKUP(J4016,Summary!$H$2:$I$9,2)),VLOOKUP(J4016,Summary!$J$2:$K$9,2)*IF(ISNUMBER(H4016),H4016,1))</f>
        <v>0.95016203703703717</v>
      </c>
      <c r="AG4016" s="293">
        <v>4015</v>
      </c>
      <c r="AH4016" s="94"/>
      <c r="AI4016" s="94"/>
      <c r="AJ4016" s="29"/>
    </row>
    <row r="4017" spans="1:36" s="3" customFormat="1" ht="12" customHeight="1" x14ac:dyDescent="0.25">
      <c r="A4017" s="405" t="s">
        <v>1507</v>
      </c>
      <c r="B4017" s="596" t="s">
        <v>3227</v>
      </c>
      <c r="C4017" s="510">
        <v>4.0199999999999996</v>
      </c>
      <c r="D4017" s="407" t="s">
        <v>14322</v>
      </c>
      <c r="E4017" s="315" t="s">
        <v>14320</v>
      </c>
      <c r="F4017" s="196">
        <v>43214</v>
      </c>
      <c r="G4017" s="196"/>
      <c r="H4017" s="170">
        <v>1</v>
      </c>
      <c r="I4017" s="747">
        <f>TIME(0,60,0)</f>
        <v>4.1666666666666664E-2</v>
      </c>
      <c r="J4017" s="899" t="s">
        <v>4706</v>
      </c>
      <c r="K4017" s="167" t="s">
        <v>106</v>
      </c>
      <c r="L4017" s="167" t="s">
        <v>179</v>
      </c>
      <c r="M4017" s="167"/>
      <c r="N4017" s="167"/>
      <c r="O4017" s="167" t="s">
        <v>1643</v>
      </c>
      <c r="P4017" s="168" t="s">
        <v>14321</v>
      </c>
      <c r="Q4017" s="167" t="s">
        <v>3947</v>
      </c>
      <c r="R4017" s="172" t="s">
        <v>10605</v>
      </c>
      <c r="S4017" s="388"/>
      <c r="T4017" s="168"/>
      <c r="U4017" s="168"/>
      <c r="V4017" s="168"/>
      <c r="W4017" s="315" t="s">
        <v>14320</v>
      </c>
      <c r="X4017" s="647" t="s">
        <v>12364</v>
      </c>
      <c r="Y4017" s="352"/>
      <c r="Z4017" s="353"/>
      <c r="AA4017" s="353"/>
      <c r="AB4017" s="31">
        <f t="shared" ca="1" si="104"/>
        <v>0.20645611322895496</v>
      </c>
      <c r="AC4017" s="810"/>
      <c r="AD4017" s="811"/>
      <c r="AE4017" s="940"/>
      <c r="AF4017" s="920">
        <f>IF(X4017=X4016,AF4016,0)+IF(ISNUMBER(I4017),IF(I4017&lt;1,I4017,I4017*VLOOKUP(J4017,Summary!$H$2:$I$9,2)),VLOOKUP(J4017,Summary!$J$2:$K$9,2)*IF(ISNUMBER(H4017),H4017,1))</f>
        <v>0.9918287037037038</v>
      </c>
      <c r="AG4017" s="287">
        <v>4016</v>
      </c>
      <c r="AH4017" s="94"/>
      <c r="AI4017" s="94"/>
      <c r="AJ4017" s="58"/>
    </row>
    <row r="4018" spans="1:36" s="3" customFormat="1" ht="12" customHeight="1" x14ac:dyDescent="0.25">
      <c r="A4018" s="553" t="s">
        <v>1507</v>
      </c>
      <c r="B4018" s="554" t="s">
        <v>3227</v>
      </c>
      <c r="C4018" s="553">
        <v>9</v>
      </c>
      <c r="D4018" s="424" t="s">
        <v>4082</v>
      </c>
      <c r="E4018" s="319" t="s">
        <v>5204</v>
      </c>
      <c r="F4018" s="198">
        <v>39061</v>
      </c>
      <c r="G4018" s="198"/>
      <c r="H4018" s="199">
        <v>1</v>
      </c>
      <c r="I4018" s="791">
        <f>TIME(0,49,14)</f>
        <v>3.4189814814814819E-2</v>
      </c>
      <c r="J4018" s="904" t="s">
        <v>1588</v>
      </c>
      <c r="K4018" s="200" t="s">
        <v>4067</v>
      </c>
      <c r="L4018" s="200" t="s">
        <v>4070</v>
      </c>
      <c r="M4018" s="200"/>
      <c r="N4018" s="200" t="s">
        <v>1644</v>
      </c>
      <c r="O4018" s="200" t="s">
        <v>1511</v>
      </c>
      <c r="P4018" s="197" t="s">
        <v>461</v>
      </c>
      <c r="Q4018" s="200" t="s">
        <v>3946</v>
      </c>
      <c r="R4018" s="201" t="s">
        <v>5276</v>
      </c>
      <c r="S4018" s="390"/>
      <c r="T4018" s="883" t="s">
        <v>3068</v>
      </c>
      <c r="U4018" s="197"/>
      <c r="V4018" s="197"/>
      <c r="W4018" s="319" t="s">
        <v>5204</v>
      </c>
      <c r="X4018" s="651" t="s">
        <v>12364</v>
      </c>
      <c r="Y4018" s="358" t="s">
        <v>7018</v>
      </c>
      <c r="Z4018" s="253">
        <v>2002</v>
      </c>
      <c r="AA4018" s="253"/>
      <c r="AB4018" s="35">
        <f t="shared" ca="1" si="104"/>
        <v>0.539453675477362</v>
      </c>
      <c r="AC4018" s="820"/>
      <c r="AD4018" s="821" t="s">
        <v>14916</v>
      </c>
      <c r="AE4018" s="944"/>
      <c r="AF4018" s="925">
        <f>IF(X4018=X4017,AF4017,0)+IF(ISNUMBER(I4018),IF(I4018&lt;1,I4018,I4018*VLOOKUP(J4018,Summary!$H$2:$I$9,2)),VLOOKUP(J4018,Summary!$J$2:$K$9,2)*IF(ISNUMBER(H4018),H4018,1))</f>
        <v>1.0260185185185187</v>
      </c>
      <c r="AG4018" s="293">
        <v>4017</v>
      </c>
      <c r="AH4018" s="94"/>
      <c r="AI4018" s="94"/>
      <c r="AJ4018" s="10"/>
    </row>
    <row r="4019" spans="1:36" s="3" customFormat="1" ht="12" customHeight="1" x14ac:dyDescent="0.25">
      <c r="A4019" s="405" t="s">
        <v>1507</v>
      </c>
      <c r="B4019" s="596" t="s">
        <v>3227</v>
      </c>
      <c r="C4019" s="533">
        <v>4.05</v>
      </c>
      <c r="D4019" s="407" t="s">
        <v>14998</v>
      </c>
      <c r="E4019" s="315" t="s">
        <v>14999</v>
      </c>
      <c r="F4019" s="196">
        <v>43298</v>
      </c>
      <c r="G4019" s="196"/>
      <c r="H4019" s="170">
        <v>1</v>
      </c>
      <c r="I4019" s="747">
        <f>TIME(0,60,0)</f>
        <v>4.1666666666666664E-2</v>
      </c>
      <c r="J4019" s="899" t="s">
        <v>4706</v>
      </c>
      <c r="K4019" s="167" t="s">
        <v>15001</v>
      </c>
      <c r="L4019" s="167" t="s">
        <v>5662</v>
      </c>
      <c r="M4019" s="167"/>
      <c r="N4019" s="167" t="s">
        <v>4146</v>
      </c>
      <c r="O4019" s="167" t="s">
        <v>1643</v>
      </c>
      <c r="P4019" s="168" t="s">
        <v>15000</v>
      </c>
      <c r="Q4019" s="167" t="s">
        <v>3947</v>
      </c>
      <c r="R4019" s="172" t="s">
        <v>10605</v>
      </c>
      <c r="S4019" s="388"/>
      <c r="T4019" s="351"/>
      <c r="U4019" s="168"/>
      <c r="V4019" s="168"/>
      <c r="W4019" s="315" t="s">
        <v>14999</v>
      </c>
      <c r="X4019" s="647" t="s">
        <v>12364</v>
      </c>
      <c r="Y4019" s="352"/>
      <c r="Z4019" s="353"/>
      <c r="AA4019" s="353"/>
      <c r="AB4019" s="31">
        <f t="shared" ca="1" si="104"/>
        <v>0.75193025537801284</v>
      </c>
      <c r="AC4019" s="810"/>
      <c r="AD4019" s="811"/>
      <c r="AE4019" s="940"/>
      <c r="AF4019" s="920">
        <f>IF(X4019=X4018,AF4018,0)+IF(ISNUMBER(I4019),IF(I4019&lt;1,I4019,I4019*VLOOKUP(J4019,Summary!$H$2:$I$9,2)),VLOOKUP(J4019,Summary!$J$2:$K$9,2)*IF(ISNUMBER(H4019),H4019,1))</f>
        <v>1.0676851851851854</v>
      </c>
      <c r="AG4019" s="287">
        <v>4018</v>
      </c>
      <c r="AH4019" s="94"/>
      <c r="AI4019" s="94"/>
      <c r="AJ4019" s="43"/>
    </row>
    <row r="4020" spans="1:36" s="3" customFormat="1" ht="12" customHeight="1" x14ac:dyDescent="0.25">
      <c r="A4020" s="553" t="s">
        <v>1507</v>
      </c>
      <c r="B4020" s="554" t="s">
        <v>3227</v>
      </c>
      <c r="C4020" s="553">
        <v>10</v>
      </c>
      <c r="D4020" s="424" t="s">
        <v>4083</v>
      </c>
      <c r="E4020" s="319" t="s">
        <v>5205</v>
      </c>
      <c r="F4020" s="198">
        <v>39068</v>
      </c>
      <c r="G4020" s="198"/>
      <c r="H4020" s="199">
        <v>1</v>
      </c>
      <c r="I4020" s="791">
        <f>TIME(0,49,39)</f>
        <v>3.4479166666666665E-2</v>
      </c>
      <c r="J4020" s="904" t="s">
        <v>1588</v>
      </c>
      <c r="K4020" s="200" t="s">
        <v>4068</v>
      </c>
      <c r="L4020" s="200" t="s">
        <v>1597</v>
      </c>
      <c r="M4020" s="200"/>
      <c r="N4020" s="200" t="s">
        <v>1644</v>
      </c>
      <c r="O4020" s="200" t="s">
        <v>1511</v>
      </c>
      <c r="P4020" s="197" t="s">
        <v>461</v>
      </c>
      <c r="Q4020" s="200" t="s">
        <v>3946</v>
      </c>
      <c r="R4020" s="201" t="s">
        <v>5276</v>
      </c>
      <c r="S4020" s="390"/>
      <c r="T4020" s="883" t="s">
        <v>3068</v>
      </c>
      <c r="U4020" s="197"/>
      <c r="V4020" s="197"/>
      <c r="W4020" s="319" t="s">
        <v>5205</v>
      </c>
      <c r="X4020" s="651" t="s">
        <v>12364</v>
      </c>
      <c r="Y4020" s="358" t="s">
        <v>7018</v>
      </c>
      <c r="Z4020" s="253">
        <v>2004</v>
      </c>
      <c r="AA4020" s="253"/>
      <c r="AB4020" s="35">
        <f t="shared" ca="1" si="104"/>
        <v>0.48040454729594717</v>
      </c>
      <c r="AC4020" s="820"/>
      <c r="AD4020" s="821" t="s">
        <v>14917</v>
      </c>
      <c r="AE4020" s="944"/>
      <c r="AF4020" s="925">
        <f>IF(X4020=X4019,AF4019,0)+IF(ISNUMBER(I4020),IF(I4020&lt;1,I4020,I4020*VLOOKUP(J4020,Summary!$H$2:$I$9,2)),VLOOKUP(J4020,Summary!$J$2:$K$9,2)*IF(ISNUMBER(H4020),H4020,1))</f>
        <v>1.102164351851852</v>
      </c>
      <c r="AG4020" s="293">
        <v>4019</v>
      </c>
      <c r="AH4020" s="94"/>
      <c r="AI4020" s="94"/>
      <c r="AJ4020" s="43"/>
    </row>
    <row r="4021" spans="1:36" s="43" customFormat="1" ht="12" customHeight="1" x14ac:dyDescent="0.25">
      <c r="A4021" s="553" t="s">
        <v>1507</v>
      </c>
      <c r="B4021" s="554" t="s">
        <v>3227</v>
      </c>
      <c r="C4021" s="553">
        <v>11</v>
      </c>
      <c r="D4021" s="424" t="s">
        <v>4084</v>
      </c>
      <c r="E4021" s="319" t="s">
        <v>5206</v>
      </c>
      <c r="F4021" s="198">
        <v>39075</v>
      </c>
      <c r="G4021" s="198"/>
      <c r="H4021" s="199">
        <v>1</v>
      </c>
      <c r="I4021" s="791">
        <f>TIME(0,47,49)</f>
        <v>3.3206018518518517E-2</v>
      </c>
      <c r="J4021" s="904" t="s">
        <v>1588</v>
      </c>
      <c r="K4021" s="200" t="s">
        <v>4069</v>
      </c>
      <c r="L4021" s="200" t="s">
        <v>3631</v>
      </c>
      <c r="M4021" s="200"/>
      <c r="N4021" s="200" t="s">
        <v>1644</v>
      </c>
      <c r="O4021" s="200" t="s">
        <v>1511</v>
      </c>
      <c r="P4021" s="197" t="s">
        <v>461</v>
      </c>
      <c r="Q4021" s="200" t="s">
        <v>3946</v>
      </c>
      <c r="R4021" s="201" t="s">
        <v>5276</v>
      </c>
      <c r="S4021" s="390"/>
      <c r="T4021" s="197" t="s">
        <v>3068</v>
      </c>
      <c r="U4021" s="197"/>
      <c r="V4021" s="197"/>
      <c r="W4021" s="319" t="s">
        <v>5206</v>
      </c>
      <c r="X4021" s="651" t="s">
        <v>12364</v>
      </c>
      <c r="Y4021" s="358" t="s">
        <v>7018</v>
      </c>
      <c r="Z4021" s="253">
        <v>2024</v>
      </c>
      <c r="AA4021" s="253"/>
      <c r="AB4021" s="35">
        <f t="shared" ca="1" si="104"/>
        <v>0.92256115903829106</v>
      </c>
      <c r="AC4021" s="820"/>
      <c r="AD4021" s="821" t="s">
        <v>14918</v>
      </c>
      <c r="AE4021" s="944"/>
      <c r="AF4021" s="925">
        <f>IF(X4021=X4020,AF4020,0)+IF(ISNUMBER(I4021),IF(I4021&lt;1,I4021,I4021*VLOOKUP(J4021,Summary!$H$2:$I$9,2)),VLOOKUP(J4021,Summary!$J$2:$K$9,2)*IF(ISNUMBER(H4021),H4021,1))</f>
        <v>1.1353703703703706</v>
      </c>
      <c r="AG4021" s="293">
        <v>4020</v>
      </c>
      <c r="AH4021" s="94"/>
      <c r="AI4021" s="94"/>
      <c r="AJ4021" s="29"/>
    </row>
    <row r="4022" spans="1:36" s="1" customFormat="1" ht="12" customHeight="1" x14ac:dyDescent="0.25">
      <c r="A4022" s="553" t="s">
        <v>1507</v>
      </c>
      <c r="B4022" s="554" t="s">
        <v>3227</v>
      </c>
      <c r="C4022" s="553">
        <v>12</v>
      </c>
      <c r="D4022" s="424" t="s">
        <v>4085</v>
      </c>
      <c r="E4022" s="319" t="s">
        <v>5207</v>
      </c>
      <c r="F4022" s="198">
        <v>39083</v>
      </c>
      <c r="G4022" s="198"/>
      <c r="H4022" s="199">
        <v>1</v>
      </c>
      <c r="I4022" s="791">
        <f>TIME(0,48,11)</f>
        <v>3.3460648148148149E-2</v>
      </c>
      <c r="J4022" s="904" t="s">
        <v>1588</v>
      </c>
      <c r="K4022" s="200" t="s">
        <v>4068</v>
      </c>
      <c r="L4022" s="200" t="s">
        <v>3452</v>
      </c>
      <c r="M4022" s="200"/>
      <c r="N4022" s="200" t="s">
        <v>1644</v>
      </c>
      <c r="O4022" s="200" t="s">
        <v>1511</v>
      </c>
      <c r="P4022" s="197" t="s">
        <v>461</v>
      </c>
      <c r="Q4022" s="200" t="s">
        <v>3946</v>
      </c>
      <c r="R4022" s="201" t="s">
        <v>5276</v>
      </c>
      <c r="S4022" s="390"/>
      <c r="T4022" s="197" t="s">
        <v>3068</v>
      </c>
      <c r="U4022" s="197"/>
      <c r="V4022" s="197"/>
      <c r="W4022" s="319" t="s">
        <v>5207</v>
      </c>
      <c r="X4022" s="651" t="s">
        <v>12364</v>
      </c>
      <c r="Y4022" s="358" t="s">
        <v>7018</v>
      </c>
      <c r="Z4022" s="253">
        <v>2003</v>
      </c>
      <c r="AA4022" s="253"/>
      <c r="AB4022" s="35">
        <f t="shared" ca="1" si="104"/>
        <v>0.53853296622669766</v>
      </c>
      <c r="AC4022" s="820"/>
      <c r="AD4022" s="821" t="s">
        <v>16726</v>
      </c>
      <c r="AE4022" s="944"/>
      <c r="AF4022" s="925">
        <f>IF(X4022=X4021,AF4021,0)+IF(ISNUMBER(I4022),IF(I4022&lt;1,I4022,I4022*VLOOKUP(J4022,Summary!$H$2:$I$9,2)),VLOOKUP(J4022,Summary!$J$2:$K$9,2)*IF(ISNUMBER(H4022),H4022,1))</f>
        <v>1.1688310185185187</v>
      </c>
      <c r="AG4022" s="293">
        <v>4021</v>
      </c>
      <c r="AH4022" s="94"/>
      <c r="AI4022" s="94"/>
    </row>
    <row r="4023" spans="1:36" s="1" customFormat="1" ht="12" customHeight="1" x14ac:dyDescent="0.25">
      <c r="A4023" s="553" t="s">
        <v>1507</v>
      </c>
      <c r="B4023" s="554" t="s">
        <v>3227</v>
      </c>
      <c r="C4023" s="553">
        <v>13</v>
      </c>
      <c r="D4023" s="424" t="s">
        <v>4086</v>
      </c>
      <c r="E4023" s="319" t="s">
        <v>4064</v>
      </c>
      <c r="F4023" s="198">
        <v>39083</v>
      </c>
      <c r="G4023" s="198"/>
      <c r="H4023" s="199">
        <v>1</v>
      </c>
      <c r="I4023" s="791">
        <f>TIME(0,46,41)</f>
        <v>3.2418981481481479E-2</v>
      </c>
      <c r="J4023" s="904" t="s">
        <v>1588</v>
      </c>
      <c r="K4023" s="200" t="s">
        <v>7377</v>
      </c>
      <c r="L4023" s="200" t="s">
        <v>3452</v>
      </c>
      <c r="M4023" s="200"/>
      <c r="N4023" s="200" t="s">
        <v>1644</v>
      </c>
      <c r="O4023" s="200" t="s">
        <v>1511</v>
      </c>
      <c r="P4023" s="197" t="s">
        <v>461</v>
      </c>
      <c r="Q4023" s="200" t="s">
        <v>3946</v>
      </c>
      <c r="R4023" s="201" t="s">
        <v>5276</v>
      </c>
      <c r="S4023" s="390"/>
      <c r="T4023" s="197" t="s">
        <v>3068</v>
      </c>
      <c r="U4023" s="197"/>
      <c r="V4023" s="197"/>
      <c r="W4023" s="319" t="s">
        <v>4064</v>
      </c>
      <c r="X4023" s="651" t="s">
        <v>12364</v>
      </c>
      <c r="Y4023" s="358" t="s">
        <v>7018</v>
      </c>
      <c r="Z4023" s="253">
        <v>2021</v>
      </c>
      <c r="AA4023" s="253"/>
      <c r="AB4023" s="35">
        <f t="shared" ca="1" si="104"/>
        <v>0.76645791095758187</v>
      </c>
      <c r="AC4023" s="820"/>
      <c r="AD4023" s="824" t="s">
        <v>14919</v>
      </c>
      <c r="AE4023" s="944"/>
      <c r="AF4023" s="925">
        <f>IF(X4023=X4022,AF4022,0)+IF(ISNUMBER(I4023),IF(I4023&lt;1,I4023,I4023*VLOOKUP(J4023,Summary!$H$2:$I$9,2)),VLOOKUP(J4023,Summary!$J$2:$K$9,2)*IF(ISNUMBER(H4023),H4023,1))</f>
        <v>1.2012500000000002</v>
      </c>
      <c r="AG4023" s="293">
        <v>4022</v>
      </c>
      <c r="AH4023" s="94"/>
      <c r="AI4023" s="94"/>
      <c r="AJ4023" s="43"/>
    </row>
    <row r="4024" spans="1:36" s="43" customFormat="1" ht="12" customHeight="1" x14ac:dyDescent="0.25">
      <c r="A4024" s="437" t="s">
        <v>1507</v>
      </c>
      <c r="B4024" s="422" t="s">
        <v>3227</v>
      </c>
      <c r="C4024" s="437">
        <v>15.2</v>
      </c>
      <c r="D4024" s="434" t="s">
        <v>7070</v>
      </c>
      <c r="E4024" s="324" t="s">
        <v>7071</v>
      </c>
      <c r="F4024" s="175">
        <v>40101</v>
      </c>
      <c r="G4024" s="175"/>
      <c r="H4024" s="176" t="str">
        <f>IF(J4024="Book","n/a","")</f>
        <v/>
      </c>
      <c r="I4024" s="176"/>
      <c r="J4024" s="900" t="s">
        <v>2755</v>
      </c>
      <c r="K4024" s="157" t="s">
        <v>1825</v>
      </c>
      <c r="L4024" s="164" t="s">
        <v>461</v>
      </c>
      <c r="M4024" s="157"/>
      <c r="N4024" s="157"/>
      <c r="O4024" s="157"/>
      <c r="P4024" s="173" t="s">
        <v>7069</v>
      </c>
      <c r="Q4024" s="157" t="s">
        <v>3953</v>
      </c>
      <c r="R4024" s="179" t="s">
        <v>2719</v>
      </c>
      <c r="S4024" s="354"/>
      <c r="T4024" s="173" t="s">
        <v>3068</v>
      </c>
      <c r="U4024" s="173"/>
      <c r="V4024" s="173"/>
      <c r="W4024" s="342" t="s">
        <v>7071</v>
      </c>
      <c r="X4024" s="677" t="s">
        <v>12364</v>
      </c>
      <c r="Y4024" s="363"/>
      <c r="Z4024" s="364"/>
      <c r="AA4024" s="364"/>
      <c r="AB4024" s="32">
        <f t="shared" ca="1" si="104"/>
        <v>0.2958798907171829</v>
      </c>
      <c r="AC4024" s="812"/>
      <c r="AD4024" s="842" t="s">
        <v>14584</v>
      </c>
      <c r="AE4024" s="951"/>
      <c r="AF4024" s="921">
        <f>IF(X4024=X4023,AF4023,0)+IF(ISNUMBER(I4024),IF(I4024&lt;1,I4024,I4024*VLOOKUP(J4024,Summary!$H$2:$I$9,2)),VLOOKUP(J4024,Summary!$J$2:$K$9,2)*IF(ISNUMBER(H4024),H4024,1))</f>
        <v>1.2186111111111113</v>
      </c>
      <c r="AG4024" s="288">
        <v>4023</v>
      </c>
      <c r="AH4024" s="94"/>
      <c r="AI4024" s="94"/>
    </row>
    <row r="4025" spans="1:36" s="2" customFormat="1" ht="12" customHeight="1" x14ac:dyDescent="0.25">
      <c r="A4025" s="600" t="s">
        <v>4660</v>
      </c>
      <c r="B4025" s="600">
        <v>10</v>
      </c>
      <c r="C4025" s="600">
        <v>2008.01</v>
      </c>
      <c r="D4025" s="434" t="s">
        <v>4419</v>
      </c>
      <c r="E4025" s="324" t="s">
        <v>4858</v>
      </c>
      <c r="F4025" s="174">
        <v>39326</v>
      </c>
      <c r="G4025" s="175"/>
      <c r="H4025" s="176" t="s">
        <v>461</v>
      </c>
      <c r="I4025" s="176">
        <v>9</v>
      </c>
      <c r="J4025" s="900" t="s">
        <v>2755</v>
      </c>
      <c r="K4025" s="157" t="s">
        <v>7774</v>
      </c>
      <c r="L4025" s="157" t="s">
        <v>3839</v>
      </c>
      <c r="M4025" s="157"/>
      <c r="N4025" s="157"/>
      <c r="O4025" s="157"/>
      <c r="P4025" s="173" t="s">
        <v>4421</v>
      </c>
      <c r="Q4025" s="157" t="s">
        <v>4841</v>
      </c>
      <c r="R4025" s="179" t="s">
        <v>3976</v>
      </c>
      <c r="S4025" s="354" t="s">
        <v>3073</v>
      </c>
      <c r="T4025" s="393"/>
      <c r="U4025" s="173"/>
      <c r="V4025" s="173"/>
      <c r="W4025" s="324" t="s">
        <v>4858</v>
      </c>
      <c r="X4025" s="656" t="s">
        <v>15460</v>
      </c>
      <c r="Y4025" s="363" t="s">
        <v>6868</v>
      </c>
      <c r="Z4025" s="364">
        <v>999</v>
      </c>
      <c r="AA4025" s="364"/>
      <c r="AB4025" s="32">
        <f t="shared" ca="1" si="104"/>
        <v>0.26528284030847937</v>
      </c>
      <c r="AC4025" s="812"/>
      <c r="AD4025" s="763"/>
      <c r="AE4025" s="951"/>
      <c r="AF4025" s="921">
        <f>IF(X4025=X4024,AF4024,0)+IF(ISNUMBER(I4025),IF(I4025&lt;1,I4025,I4025*VLOOKUP(J4025,Summary!$H$2:$I$9,2)),VLOOKUP(J4025,Summary!$J$2:$K$9,2)*IF(ISNUMBER(H4025),H4025,1))</f>
        <v>6.2500000000000003E-3</v>
      </c>
      <c r="AG4025" s="288">
        <v>4024</v>
      </c>
      <c r="AH4025" s="94"/>
      <c r="AI4025" s="94"/>
      <c r="AJ4025" s="3"/>
    </row>
    <row r="4026" spans="1:36" s="3" customFormat="1" ht="12" customHeight="1" x14ac:dyDescent="0.25">
      <c r="A4026" s="606" t="s">
        <v>4660</v>
      </c>
      <c r="B4026" s="606">
        <v>3</v>
      </c>
      <c r="C4026" s="606">
        <v>2</v>
      </c>
      <c r="D4026" s="226" t="s">
        <v>6453</v>
      </c>
      <c r="E4026" s="331" t="s">
        <v>6454</v>
      </c>
      <c r="F4026" s="198">
        <v>39151</v>
      </c>
      <c r="G4026" s="198">
        <v>39960</v>
      </c>
      <c r="H4026" s="226">
        <v>10</v>
      </c>
      <c r="I4026" s="226">
        <v>247</v>
      </c>
      <c r="J4026" s="907" t="s">
        <v>1796</v>
      </c>
      <c r="K4026" s="228" t="s">
        <v>4464</v>
      </c>
      <c r="L4026" s="228" t="s">
        <v>4464</v>
      </c>
      <c r="M4026" s="228"/>
      <c r="N4026" s="228"/>
      <c r="O4026" s="228"/>
      <c r="P4026" s="225" t="s">
        <v>461</v>
      </c>
      <c r="Q4026" s="228"/>
      <c r="R4026" s="227" t="s">
        <v>4604</v>
      </c>
      <c r="S4026" s="404" t="s">
        <v>3372</v>
      </c>
      <c r="T4026" s="882" t="s">
        <v>2438</v>
      </c>
      <c r="U4026" s="225" t="s">
        <v>2123</v>
      </c>
      <c r="V4026" s="225"/>
      <c r="W4026" s="331"/>
      <c r="X4026" s="663" t="s">
        <v>15460</v>
      </c>
      <c r="Y4026" s="369" t="s">
        <v>6000</v>
      </c>
      <c r="Z4026" s="226">
        <v>999</v>
      </c>
      <c r="AA4026" s="226"/>
      <c r="AB4026" s="38">
        <f t="shared" ca="1" si="104"/>
        <v>0.66128386538773554</v>
      </c>
      <c r="AC4026" s="830"/>
      <c r="AD4026" s="831"/>
      <c r="AE4026" s="971"/>
      <c r="AF4026" s="928">
        <f>IF(X4026=X4025,AF4025,0)+IF(ISNUMBER(I4026),IF(I4026&lt;1,I4026,I4026*VLOOKUP(J4026,Summary!$H$2:$I$9,2)),VLOOKUP(J4026,Summary!$J$2:$K$9,2)*IF(ISNUMBER(H4026),H4026,1))</f>
        <v>9.2013888888888895E-2</v>
      </c>
      <c r="AG4026" s="304">
        <v>4025</v>
      </c>
      <c r="AH4026" s="94"/>
      <c r="AI4026" s="94"/>
      <c r="AJ4026" s="43"/>
    </row>
    <row r="4027" spans="1:36" s="1" customFormat="1" ht="12" customHeight="1" x14ac:dyDescent="0.25">
      <c r="A4027" s="599" t="s">
        <v>4660</v>
      </c>
      <c r="B4027" s="599">
        <v>10</v>
      </c>
      <c r="C4027" s="599">
        <v>179</v>
      </c>
      <c r="D4027" s="424" t="s">
        <v>2970</v>
      </c>
      <c r="E4027" s="319" t="s">
        <v>2971</v>
      </c>
      <c r="F4027" s="198">
        <v>39172</v>
      </c>
      <c r="G4027" s="198"/>
      <c r="H4027" s="199">
        <v>1</v>
      </c>
      <c r="I4027" s="791">
        <f>TIME(0,44,26)</f>
        <v>3.0856481481481481E-2</v>
      </c>
      <c r="J4027" s="904" t="s">
        <v>1588</v>
      </c>
      <c r="K4027" s="200" t="s">
        <v>3373</v>
      </c>
      <c r="L4027" s="200" t="s">
        <v>2972</v>
      </c>
      <c r="M4027" s="200"/>
      <c r="N4027" s="200" t="s">
        <v>3373</v>
      </c>
      <c r="O4027" s="200" t="s">
        <v>3375</v>
      </c>
      <c r="P4027" s="197" t="s">
        <v>461</v>
      </c>
      <c r="Q4027" s="200" t="s">
        <v>3946</v>
      </c>
      <c r="R4027" s="201" t="s">
        <v>5280</v>
      </c>
      <c r="S4027" s="390" t="s">
        <v>3073</v>
      </c>
      <c r="T4027" s="197"/>
      <c r="U4027" s="197"/>
      <c r="V4027" s="197"/>
      <c r="W4027" s="319" t="s">
        <v>2971</v>
      </c>
      <c r="X4027" s="651" t="s">
        <v>15460</v>
      </c>
      <c r="Y4027" s="358" t="s">
        <v>6141</v>
      </c>
      <c r="Z4027" s="253">
        <v>254</v>
      </c>
      <c r="AA4027" s="253">
        <v>3</v>
      </c>
      <c r="AB4027" s="35">
        <f t="shared" ca="1" si="104"/>
        <v>0.28384197561990465</v>
      </c>
      <c r="AC4027" s="820"/>
      <c r="AD4027" s="824" t="s">
        <v>14920</v>
      </c>
      <c r="AE4027" s="967"/>
      <c r="AF4027" s="925">
        <f>IF(X4027=X4026,AF4026,0)+IF(ISNUMBER(I4027),IF(I4027&lt;1,I4027,I4027*VLOOKUP(J4027,Summary!$H$2:$I$9,2)),VLOOKUP(J4027,Summary!$J$2:$K$9,2)*IF(ISNUMBER(H4027),H4027,1))</f>
        <v>0.12287037037037038</v>
      </c>
      <c r="AG4027" s="293">
        <v>4026</v>
      </c>
      <c r="AH4027" s="94"/>
      <c r="AI4027" s="94"/>
      <c r="AJ4027" s="43"/>
    </row>
    <row r="4028" spans="1:36" s="1" customFormat="1" ht="12" customHeight="1" x14ac:dyDescent="0.25">
      <c r="A4028" s="599" t="s">
        <v>4660</v>
      </c>
      <c r="B4028" s="599">
        <v>10</v>
      </c>
      <c r="C4028" s="599">
        <v>180</v>
      </c>
      <c r="D4028" s="424" t="s">
        <v>2973</v>
      </c>
      <c r="E4028" s="319" t="s">
        <v>2974</v>
      </c>
      <c r="F4028" s="198">
        <v>39179</v>
      </c>
      <c r="G4028" s="198"/>
      <c r="H4028" s="199">
        <v>1</v>
      </c>
      <c r="I4028" s="791">
        <f>TIME(0,45,32)</f>
        <v>3.1620370370370368E-2</v>
      </c>
      <c r="J4028" s="904" t="s">
        <v>1588</v>
      </c>
      <c r="K4028" s="200" t="s">
        <v>3451</v>
      </c>
      <c r="L4028" s="200" t="s">
        <v>2972</v>
      </c>
      <c r="M4028" s="200"/>
      <c r="N4028" s="200" t="s">
        <v>3373</v>
      </c>
      <c r="O4028" s="200" t="s">
        <v>3375</v>
      </c>
      <c r="P4028" s="197" t="s">
        <v>461</v>
      </c>
      <c r="Q4028" s="200" t="s">
        <v>3946</v>
      </c>
      <c r="R4028" s="201" t="s">
        <v>5280</v>
      </c>
      <c r="S4028" s="390" t="s">
        <v>3073</v>
      </c>
      <c r="T4028" s="197"/>
      <c r="U4028" s="197"/>
      <c r="V4028" s="197"/>
      <c r="W4028" s="319" t="s">
        <v>2974</v>
      </c>
      <c r="X4028" s="651" t="s">
        <v>15460</v>
      </c>
      <c r="Y4028" s="358" t="s">
        <v>6141</v>
      </c>
      <c r="Z4028" s="253">
        <v>303</v>
      </c>
      <c r="AA4028" s="253">
        <v>1.5</v>
      </c>
      <c r="AB4028" s="35">
        <f t="shared" ca="1" si="104"/>
        <v>0.16150301719878246</v>
      </c>
      <c r="AC4028" s="820"/>
      <c r="AD4028" s="821" t="s">
        <v>15109</v>
      </c>
      <c r="AE4028" s="967"/>
      <c r="AF4028" s="925">
        <f>IF(X4028=X4027,AF4027,0)+IF(ISNUMBER(I4028),IF(I4028&lt;1,I4028,I4028*VLOOKUP(J4028,Summary!$H$2:$I$9,2)),VLOOKUP(J4028,Summary!$J$2:$K$9,2)*IF(ISNUMBER(H4028),H4028,1))</f>
        <v>0.15449074074074076</v>
      </c>
      <c r="AG4028" s="293">
        <v>4027</v>
      </c>
      <c r="AH4028" s="94"/>
      <c r="AI4028" s="94"/>
      <c r="AJ4028" s="43"/>
    </row>
    <row r="4029" spans="1:36" s="1" customFormat="1" ht="12" customHeight="1" x14ac:dyDescent="0.25">
      <c r="A4029" s="599" t="s">
        <v>4660</v>
      </c>
      <c r="B4029" s="599">
        <v>10</v>
      </c>
      <c r="C4029" s="599">
        <v>181</v>
      </c>
      <c r="D4029" s="424" t="s">
        <v>2975</v>
      </c>
      <c r="E4029" s="319" t="s">
        <v>7902</v>
      </c>
      <c r="F4029" s="198">
        <v>39186</v>
      </c>
      <c r="G4029" s="198"/>
      <c r="H4029" s="199">
        <v>1</v>
      </c>
      <c r="I4029" s="791">
        <f>TIME(0,44,58)</f>
        <v>3.1226851851851853E-2</v>
      </c>
      <c r="J4029" s="904" t="s">
        <v>1588</v>
      </c>
      <c r="K4029" s="200" t="s">
        <v>3373</v>
      </c>
      <c r="L4029" s="200" t="s">
        <v>7903</v>
      </c>
      <c r="M4029" s="200"/>
      <c r="N4029" s="200" t="s">
        <v>3373</v>
      </c>
      <c r="O4029" s="200" t="s">
        <v>3375</v>
      </c>
      <c r="P4029" s="197" t="s">
        <v>461</v>
      </c>
      <c r="Q4029" s="200" t="s">
        <v>3946</v>
      </c>
      <c r="R4029" s="201" t="s">
        <v>5280</v>
      </c>
      <c r="S4029" s="390" t="s">
        <v>3073</v>
      </c>
      <c r="T4029" s="197"/>
      <c r="U4029" s="197"/>
      <c r="V4029" s="197"/>
      <c r="W4029" s="319" t="s">
        <v>7902</v>
      </c>
      <c r="X4029" s="651" t="s">
        <v>15460</v>
      </c>
      <c r="Y4029" s="358" t="s">
        <v>6141</v>
      </c>
      <c r="Z4029" s="253">
        <v>306</v>
      </c>
      <c r="AA4029" s="253">
        <v>1.5</v>
      </c>
      <c r="AB4029" s="35">
        <f t="shared" ca="1" si="104"/>
        <v>0.20502787255833022</v>
      </c>
      <c r="AC4029" s="820"/>
      <c r="AD4029" s="821" t="s">
        <v>16529</v>
      </c>
      <c r="AE4029" s="967"/>
      <c r="AF4029" s="925">
        <f>IF(X4029=X4028,AF4028,0)+IF(ISNUMBER(I4029),IF(I4029&lt;1,I4029,I4029*VLOOKUP(J4029,Summary!$H$2:$I$9,2)),VLOOKUP(J4029,Summary!$J$2:$K$9,2)*IF(ISNUMBER(H4029),H4029,1))</f>
        <v>0.18571759259259263</v>
      </c>
      <c r="AG4029" s="293">
        <v>4028</v>
      </c>
      <c r="AH4029" s="94"/>
      <c r="AI4029" s="94"/>
      <c r="AJ4029" s="43"/>
    </row>
    <row r="4030" spans="1:36" s="3" customFormat="1" ht="12" customHeight="1" x14ac:dyDescent="0.25">
      <c r="A4030" s="603" t="s">
        <v>4660</v>
      </c>
      <c r="B4030" s="603">
        <v>10</v>
      </c>
      <c r="C4030" s="603">
        <v>10</v>
      </c>
      <c r="D4030" s="185" t="s">
        <v>8338</v>
      </c>
      <c r="E4030" s="314" t="s">
        <v>8339</v>
      </c>
      <c r="F4030" s="184">
        <v>41584</v>
      </c>
      <c r="G4030" s="184"/>
      <c r="H4030" s="185">
        <v>1</v>
      </c>
      <c r="I4030" s="185">
        <v>20</v>
      </c>
      <c r="J4030" s="901" t="s">
        <v>1796</v>
      </c>
      <c r="K4030" s="163" t="s">
        <v>8333</v>
      </c>
      <c r="L4030" s="163" t="s">
        <v>8340</v>
      </c>
      <c r="M4030" s="163"/>
      <c r="N4030" s="163" t="s">
        <v>6573</v>
      </c>
      <c r="O4030" s="163"/>
      <c r="P4030" s="182" t="s">
        <v>461</v>
      </c>
      <c r="Q4030" s="163" t="s">
        <v>5719</v>
      </c>
      <c r="R4030" s="186" t="s">
        <v>5718</v>
      </c>
      <c r="S4030" s="355" t="s">
        <v>3073</v>
      </c>
      <c r="T4030" s="182"/>
      <c r="U4030" s="182"/>
      <c r="V4030" s="182"/>
      <c r="W4030" s="314" t="s">
        <v>10154</v>
      </c>
      <c r="X4030" s="646" t="s">
        <v>15460</v>
      </c>
      <c r="Y4030" s="355" t="s">
        <v>6000</v>
      </c>
      <c r="Z4030" s="185">
        <v>999</v>
      </c>
      <c r="AA4030" s="185"/>
      <c r="AB4030" s="33">
        <f t="shared" ca="1" si="104"/>
        <v>0.88189590981601229</v>
      </c>
      <c r="AC4030" s="813"/>
      <c r="AD4030" s="211"/>
      <c r="AE4030" s="949"/>
      <c r="AF4030" s="922">
        <f>IF(X4030=X4029,AF4029,0)+IF(ISNUMBER(I4030),IF(I4030&lt;1,I4030,I4030*VLOOKUP(J4030,Summary!$H$2:$I$9,2)),VLOOKUP(J4030,Summary!$J$2:$K$9,2)*IF(ISNUMBER(H4030),H4030,1))</f>
        <v>0.19266203703703708</v>
      </c>
      <c r="AG4030" s="295">
        <v>4029</v>
      </c>
      <c r="AH4030" s="94"/>
      <c r="AI4030" s="94"/>
      <c r="AJ4030" s="57"/>
    </row>
    <row r="4031" spans="1:36" s="1" customFormat="1" ht="12" customHeight="1" x14ac:dyDescent="0.25">
      <c r="A4031" s="600" t="s">
        <v>4660</v>
      </c>
      <c r="B4031" s="600">
        <v>10</v>
      </c>
      <c r="C4031" s="600">
        <v>6</v>
      </c>
      <c r="D4031" s="176" t="s">
        <v>9786</v>
      </c>
      <c r="E4031" s="313" t="s">
        <v>9787</v>
      </c>
      <c r="F4031" s="175">
        <v>42159</v>
      </c>
      <c r="G4031" s="174"/>
      <c r="H4031" s="176" t="s">
        <v>461</v>
      </c>
      <c r="I4031" s="176"/>
      <c r="J4031" s="900" t="s">
        <v>2755</v>
      </c>
      <c r="K4031" s="164" t="s">
        <v>178</v>
      </c>
      <c r="L4031" s="164" t="s">
        <v>461</v>
      </c>
      <c r="M4031" s="164"/>
      <c r="N4031" s="164"/>
      <c r="O4031" s="164"/>
      <c r="P4031" s="173" t="s">
        <v>9509</v>
      </c>
      <c r="Q4031" s="164" t="s">
        <v>3953</v>
      </c>
      <c r="R4031" s="177" t="s">
        <v>9510</v>
      </c>
      <c r="S4031" s="354" t="s">
        <v>3073</v>
      </c>
      <c r="T4031" s="173"/>
      <c r="U4031" s="173"/>
      <c r="V4031" s="173"/>
      <c r="W4031" s="313" t="s">
        <v>9787</v>
      </c>
      <c r="X4031" s="645" t="s">
        <v>15460</v>
      </c>
      <c r="Y4031" s="354"/>
      <c r="Z4031" s="157"/>
      <c r="AA4031" s="176"/>
      <c r="AB4031" s="32">
        <f t="shared" ca="1" si="104"/>
        <v>0.86786102940235399</v>
      </c>
      <c r="AC4031" s="812"/>
      <c r="AD4031" s="763"/>
      <c r="AE4031" s="807"/>
      <c r="AF4031" s="921">
        <f>IF(X4031=X4030,AF4030,0)+IF(ISNUMBER(I4031),IF(I4031&lt;1,I4031,I4031*VLOOKUP(J4031,Summary!$H$2:$I$9,2)),VLOOKUP(J4031,Summary!$J$2:$K$9,2)*IF(ISNUMBER(H4031),H4031,1))</f>
        <v>0.21002314814814818</v>
      </c>
      <c r="AG4031" s="289">
        <v>4030</v>
      </c>
      <c r="AH4031" s="94"/>
      <c r="AI4031" s="94"/>
      <c r="AJ4031" s="22"/>
    </row>
    <row r="4032" spans="1:36" s="3" customFormat="1" ht="12" customHeight="1" x14ac:dyDescent="0.25">
      <c r="A4032" s="604" t="s">
        <v>4660</v>
      </c>
      <c r="B4032" s="604">
        <v>10</v>
      </c>
      <c r="C4032" s="604">
        <v>2</v>
      </c>
      <c r="D4032" s="417" t="s">
        <v>7729</v>
      </c>
      <c r="E4032" s="316" t="s">
        <v>7904</v>
      </c>
      <c r="F4032" s="195">
        <v>39142</v>
      </c>
      <c r="G4032" s="195"/>
      <c r="H4032" s="188" t="str">
        <f>IF(J4032="Book","n/a","")</f>
        <v>n/a</v>
      </c>
      <c r="I4032" s="188">
        <v>112</v>
      </c>
      <c r="J4032" s="902" t="s">
        <v>6868</v>
      </c>
      <c r="K4032" s="162" t="s">
        <v>1088</v>
      </c>
      <c r="L4032" s="162" t="str">
        <f>IF(J4032="Book","n/a","")</f>
        <v>n/a</v>
      </c>
      <c r="M4032" s="162"/>
      <c r="N4032" s="162"/>
      <c r="O4032" s="162"/>
      <c r="P4032" s="178" t="s">
        <v>8626</v>
      </c>
      <c r="Q4032" s="162" t="s">
        <v>3953</v>
      </c>
      <c r="R4032" s="189" t="s">
        <v>2712</v>
      </c>
      <c r="S4032" s="366" t="s">
        <v>3073</v>
      </c>
      <c r="T4032" s="178"/>
      <c r="U4032" s="178"/>
      <c r="V4032" s="178"/>
      <c r="W4032" s="316" t="s">
        <v>7904</v>
      </c>
      <c r="X4032" s="648" t="s">
        <v>15460</v>
      </c>
      <c r="Y4032" s="356" t="s">
        <v>6868</v>
      </c>
      <c r="Z4032" s="272">
        <v>192</v>
      </c>
      <c r="AA4032" s="272">
        <v>3</v>
      </c>
      <c r="AB4032" s="34">
        <f t="shared" ca="1" si="104"/>
        <v>0.74027989563232666</v>
      </c>
      <c r="AC4032" s="814"/>
      <c r="AD4032" s="818" t="s">
        <v>14584</v>
      </c>
      <c r="AE4032" s="942"/>
      <c r="AF4032" s="923">
        <f>IF(X4032=X4031,AF4031,0)+IF(ISNUMBER(I4032),IF(I4032&lt;1,I4032,I4032*VLOOKUP(J4032,Summary!$H$2:$I$9,2)),VLOOKUP(J4032,Summary!$J$2:$K$9,2)*IF(ISNUMBER(H4032),H4032,1))</f>
        <v>0.28780092592592599</v>
      </c>
      <c r="AG4032" s="291">
        <v>4031</v>
      </c>
      <c r="AH4032" s="94"/>
      <c r="AI4032" s="94"/>
      <c r="AJ4032" s="1"/>
    </row>
    <row r="4033" spans="1:36" s="43" customFormat="1" ht="12" customHeight="1" x14ac:dyDescent="0.25">
      <c r="A4033" s="603" t="s">
        <v>4660</v>
      </c>
      <c r="B4033" s="603">
        <v>10</v>
      </c>
      <c r="C4033" s="603">
        <v>6</v>
      </c>
      <c r="D4033" s="428" t="s">
        <v>4718</v>
      </c>
      <c r="E4033" s="325" t="s">
        <v>7363</v>
      </c>
      <c r="F4033" s="184">
        <v>39204</v>
      </c>
      <c r="G4033" s="184"/>
      <c r="H4033" s="185">
        <v>1</v>
      </c>
      <c r="I4033" s="185">
        <v>4</v>
      </c>
      <c r="J4033" s="901" t="s">
        <v>1796</v>
      </c>
      <c r="K4033" s="158" t="s">
        <v>4511</v>
      </c>
      <c r="L4033" s="158" t="s">
        <v>7928</v>
      </c>
      <c r="M4033" s="158" t="s">
        <v>254</v>
      </c>
      <c r="N4033" s="158" t="s">
        <v>4794</v>
      </c>
      <c r="O4033" s="158"/>
      <c r="P4033" s="182" t="s">
        <v>461</v>
      </c>
      <c r="Q4033" s="158" t="s">
        <v>4798</v>
      </c>
      <c r="R4033" s="207" t="s">
        <v>4795</v>
      </c>
      <c r="S4033" s="355" t="s">
        <v>3073</v>
      </c>
      <c r="T4033" s="182"/>
      <c r="U4033" s="182"/>
      <c r="V4033" s="182"/>
      <c r="W4033" s="325" t="s">
        <v>7363</v>
      </c>
      <c r="X4033" s="657" t="s">
        <v>15460</v>
      </c>
      <c r="Y4033" s="361"/>
      <c r="Z4033" s="362"/>
      <c r="AA4033" s="362"/>
      <c r="AB4033" s="33">
        <f t="shared" ca="1" si="104"/>
        <v>0.41309721699918989</v>
      </c>
      <c r="AC4033" s="813"/>
      <c r="AD4033" s="211"/>
      <c r="AE4033" s="949"/>
      <c r="AF4033" s="922">
        <f>IF(X4033=X4032,AF4032,0)+IF(ISNUMBER(I4033),IF(I4033&lt;1,I4033,I4033*VLOOKUP(J4033,Summary!$H$2:$I$9,2)),VLOOKUP(J4033,Summary!$J$2:$K$9,2)*IF(ISNUMBER(H4033),H4033,1))</f>
        <v>0.28918981481481487</v>
      </c>
      <c r="AG4033" s="295">
        <v>4032</v>
      </c>
      <c r="AH4033" s="94"/>
      <c r="AI4033" s="94"/>
      <c r="AJ4033" s="2"/>
    </row>
    <row r="4034" spans="1:36" s="1" customFormat="1" ht="12" customHeight="1" x14ac:dyDescent="0.25">
      <c r="A4034" s="605" t="s">
        <v>4660</v>
      </c>
      <c r="B4034" s="605">
        <v>10</v>
      </c>
      <c r="C4034" s="605">
        <v>1.2</v>
      </c>
      <c r="D4034" s="407" t="s">
        <v>14313</v>
      </c>
      <c r="E4034" s="315" t="s">
        <v>14314</v>
      </c>
      <c r="F4034" s="196">
        <v>43208</v>
      </c>
      <c r="G4034" s="170"/>
      <c r="H4034" s="170">
        <v>1</v>
      </c>
      <c r="I4034" s="747">
        <f>TIME(0,60,0)</f>
        <v>4.1666666666666664E-2</v>
      </c>
      <c r="J4034" s="899" t="s">
        <v>4706</v>
      </c>
      <c r="K4034" s="167" t="s">
        <v>14315</v>
      </c>
      <c r="L4034" s="167" t="s">
        <v>12662</v>
      </c>
      <c r="M4034" s="167" t="s">
        <v>14310</v>
      </c>
      <c r="N4034" s="167"/>
      <c r="O4034" s="167"/>
      <c r="P4034" s="168" t="s">
        <v>14311</v>
      </c>
      <c r="Q4034" s="167" t="s">
        <v>3947</v>
      </c>
      <c r="R4034" s="172" t="s">
        <v>14312</v>
      </c>
      <c r="S4034" s="388" t="s">
        <v>3073</v>
      </c>
      <c r="T4034" s="168"/>
      <c r="U4034" s="168"/>
      <c r="V4034" s="168"/>
      <c r="W4034" s="312" t="s">
        <v>14314</v>
      </c>
      <c r="X4034" s="644" t="s">
        <v>15460</v>
      </c>
      <c r="Y4034" s="352"/>
      <c r="Z4034" s="353"/>
      <c r="AA4034" s="353"/>
      <c r="AB4034" s="31">
        <f t="shared" ref="AB4034:AB4097" ca="1" si="105">RAND()</f>
        <v>0.47276403955331958</v>
      </c>
      <c r="AC4034" s="810"/>
      <c r="AD4034" s="811"/>
      <c r="AE4034" s="940"/>
      <c r="AF4034" s="920">
        <f>IF(X4034=X4033,AF4033,0)+IF(ISNUMBER(I4034),IF(I4034&lt;1,I4034,I4034*VLOOKUP(J4034,Summary!$H$2:$I$9,2)),VLOOKUP(J4034,Summary!$J$2:$K$9,2)*IF(ISNUMBER(H4034),H4034,1))</f>
        <v>0.33085648148148156</v>
      </c>
      <c r="AG4034" s="287">
        <v>4033</v>
      </c>
      <c r="AH4034" s="94"/>
      <c r="AI4034" s="94"/>
      <c r="AJ4034" s="43"/>
    </row>
    <row r="4035" spans="1:36" s="3" customFormat="1" ht="12" customHeight="1" x14ac:dyDescent="0.25">
      <c r="A4035" s="599" t="s">
        <v>4660</v>
      </c>
      <c r="B4035" s="599">
        <v>10</v>
      </c>
      <c r="C4035" s="599">
        <v>182</v>
      </c>
      <c r="D4035" s="424" t="s">
        <v>7905</v>
      </c>
      <c r="E4035" s="319" t="s">
        <v>7906</v>
      </c>
      <c r="F4035" s="198">
        <v>39193</v>
      </c>
      <c r="G4035" s="198">
        <v>39200</v>
      </c>
      <c r="H4035" s="199">
        <v>2</v>
      </c>
      <c r="I4035" s="791">
        <f>TIME(0,46,52)+TIME(0,46,24)</f>
        <v>6.4768518518518517E-2</v>
      </c>
      <c r="J4035" s="904" t="s">
        <v>1588</v>
      </c>
      <c r="K4035" s="200" t="s">
        <v>7907</v>
      </c>
      <c r="L4035" s="200" t="s">
        <v>6949</v>
      </c>
      <c r="M4035" s="200"/>
      <c r="N4035" s="200" t="s">
        <v>3373</v>
      </c>
      <c r="O4035" s="200" t="s">
        <v>3375</v>
      </c>
      <c r="P4035" s="197" t="s">
        <v>461</v>
      </c>
      <c r="Q4035" s="200" t="s">
        <v>3946</v>
      </c>
      <c r="R4035" s="201" t="s">
        <v>5280</v>
      </c>
      <c r="S4035" s="390" t="s">
        <v>3073</v>
      </c>
      <c r="T4035" s="197"/>
      <c r="U4035" s="197"/>
      <c r="V4035" s="197"/>
      <c r="W4035" s="318" t="s">
        <v>8458</v>
      </c>
      <c r="X4035" s="650" t="s">
        <v>15460</v>
      </c>
      <c r="Y4035" s="358" t="s">
        <v>6141</v>
      </c>
      <c r="Z4035" s="253">
        <v>304</v>
      </c>
      <c r="AA4035" s="253">
        <v>1.5</v>
      </c>
      <c r="AB4035" s="35">
        <f t="shared" ca="1" si="105"/>
        <v>0.68889912173216827</v>
      </c>
      <c r="AC4035" s="820"/>
      <c r="AD4035" s="821" t="s">
        <v>16705</v>
      </c>
      <c r="AE4035" s="944"/>
      <c r="AF4035" s="925">
        <f>IF(X4035=X4034,AF4034,0)+IF(ISNUMBER(I4035),IF(I4035&lt;1,I4035,I4035*VLOOKUP(J4035,Summary!$H$2:$I$9,2)),VLOOKUP(J4035,Summary!$J$2:$K$9,2)*IF(ISNUMBER(H4035),H4035,1))</f>
        <v>0.39562500000000006</v>
      </c>
      <c r="AG4035" s="293">
        <v>4034</v>
      </c>
      <c r="AH4035" s="94"/>
      <c r="AI4035" s="94"/>
      <c r="AJ4035" s="43"/>
    </row>
    <row r="4036" spans="1:36" s="1" customFormat="1" ht="12" customHeight="1" x14ac:dyDescent="0.25">
      <c r="A4036" s="599" t="s">
        <v>4660</v>
      </c>
      <c r="B4036" s="599">
        <v>10</v>
      </c>
      <c r="C4036" s="599">
        <v>183</v>
      </c>
      <c r="D4036" s="424" t="s">
        <v>7908</v>
      </c>
      <c r="E4036" s="319" t="s">
        <v>7909</v>
      </c>
      <c r="F4036" s="198">
        <v>39207</v>
      </c>
      <c r="G4036" s="198"/>
      <c r="H4036" s="199">
        <v>1</v>
      </c>
      <c r="I4036" s="791">
        <f>TIME(0,43,27)</f>
        <v>3.0173611111111113E-2</v>
      </c>
      <c r="J4036" s="904" t="s">
        <v>1588</v>
      </c>
      <c r="K4036" s="200" t="s">
        <v>7372</v>
      </c>
      <c r="L4036" s="200" t="s">
        <v>7903</v>
      </c>
      <c r="M4036" s="200"/>
      <c r="N4036" s="200" t="s">
        <v>3373</v>
      </c>
      <c r="O4036" s="200" t="s">
        <v>3375</v>
      </c>
      <c r="P4036" s="197" t="s">
        <v>461</v>
      </c>
      <c r="Q4036" s="200" t="s">
        <v>3946</v>
      </c>
      <c r="R4036" s="201" t="s">
        <v>5280</v>
      </c>
      <c r="S4036" s="390" t="s">
        <v>3073</v>
      </c>
      <c r="T4036" s="197"/>
      <c r="U4036" s="197"/>
      <c r="V4036" s="197"/>
      <c r="W4036" s="319" t="s">
        <v>7909</v>
      </c>
      <c r="X4036" s="651" t="s">
        <v>15460</v>
      </c>
      <c r="Y4036" s="358" t="s">
        <v>6141</v>
      </c>
      <c r="Z4036" s="253">
        <v>288</v>
      </c>
      <c r="AA4036" s="253">
        <v>2</v>
      </c>
      <c r="AB4036" s="35">
        <f t="shared" ca="1" si="105"/>
        <v>0.55436954090379764</v>
      </c>
      <c r="AC4036" s="820"/>
      <c r="AD4036" s="824" t="s">
        <v>14920</v>
      </c>
      <c r="AE4036" s="967"/>
      <c r="AF4036" s="925">
        <f>IF(X4036=X4035,AF4035,0)+IF(ISNUMBER(I4036),IF(I4036&lt;1,I4036,I4036*VLOOKUP(J4036,Summary!$H$2:$I$9,2)),VLOOKUP(J4036,Summary!$J$2:$K$9,2)*IF(ISNUMBER(H4036),H4036,1))</f>
        <v>0.42579861111111117</v>
      </c>
      <c r="AG4036" s="293">
        <v>4035</v>
      </c>
      <c r="AH4036" s="94"/>
      <c r="AI4036" s="94"/>
      <c r="AJ4036" s="3"/>
    </row>
    <row r="4037" spans="1:36" s="22" customFormat="1" ht="12" customHeight="1" x14ac:dyDescent="0.25">
      <c r="A4037" s="603" t="s">
        <v>4660</v>
      </c>
      <c r="B4037" s="603">
        <v>10</v>
      </c>
      <c r="C4037" s="603">
        <v>126</v>
      </c>
      <c r="D4037" s="428" t="s">
        <v>4709</v>
      </c>
      <c r="E4037" s="325" t="s">
        <v>3977</v>
      </c>
      <c r="F4037" s="184">
        <v>39204</v>
      </c>
      <c r="G4037" s="184">
        <v>39288</v>
      </c>
      <c r="H4037" s="185">
        <v>4</v>
      </c>
      <c r="I4037" s="185">
        <v>37</v>
      </c>
      <c r="J4037" s="901" t="s">
        <v>1796</v>
      </c>
      <c r="K4037" s="158" t="s">
        <v>6058</v>
      </c>
      <c r="L4037" s="158" t="s">
        <v>3828</v>
      </c>
      <c r="M4037" s="158" t="s">
        <v>252</v>
      </c>
      <c r="N4037" s="158" t="s">
        <v>5942</v>
      </c>
      <c r="O4037" s="158"/>
      <c r="P4037" s="182" t="s">
        <v>461</v>
      </c>
      <c r="Q4037" s="158" t="s">
        <v>4104</v>
      </c>
      <c r="R4037" s="207" t="s">
        <v>5266</v>
      </c>
      <c r="S4037" s="355" t="s">
        <v>3073</v>
      </c>
      <c r="T4037" s="182"/>
      <c r="U4037" s="182"/>
      <c r="V4037" s="182"/>
      <c r="W4037" s="321"/>
      <c r="X4037" s="653" t="s">
        <v>15460</v>
      </c>
      <c r="Y4037" s="361" t="s">
        <v>5464</v>
      </c>
      <c r="Z4037" s="362"/>
      <c r="AA4037" s="362"/>
      <c r="AB4037" s="33">
        <f t="shared" ca="1" si="105"/>
        <v>0.26788996969259438</v>
      </c>
      <c r="AC4037" s="813"/>
      <c r="AD4037" s="211"/>
      <c r="AE4037" s="949"/>
      <c r="AF4037" s="922">
        <f>IF(X4037=X4036,AF4036,0)+IF(ISNUMBER(I4037),IF(I4037&lt;1,I4037,I4037*VLOOKUP(J4037,Summary!$H$2:$I$9,2)),VLOOKUP(J4037,Summary!$J$2:$K$9,2)*IF(ISNUMBER(H4037),H4037,1))</f>
        <v>0.4386458333333334</v>
      </c>
      <c r="AG4037" s="295">
        <v>4036</v>
      </c>
      <c r="AH4037" s="94"/>
      <c r="AI4037" s="94"/>
      <c r="AJ4037" s="29"/>
    </row>
    <row r="4038" spans="1:36" s="3" customFormat="1" ht="12" customHeight="1" x14ac:dyDescent="0.25">
      <c r="A4038" s="603" t="s">
        <v>4660</v>
      </c>
      <c r="B4038" s="603">
        <v>10</v>
      </c>
      <c r="C4038" s="603">
        <v>9</v>
      </c>
      <c r="D4038" s="428" t="s">
        <v>13063</v>
      </c>
      <c r="E4038" s="325" t="s">
        <v>13061</v>
      </c>
      <c r="F4038" s="184">
        <v>39625</v>
      </c>
      <c r="G4038" s="184"/>
      <c r="H4038" s="185">
        <v>1</v>
      </c>
      <c r="I4038" s="185">
        <v>6</v>
      </c>
      <c r="J4038" s="901" t="s">
        <v>1796</v>
      </c>
      <c r="K4038" s="158" t="s">
        <v>7907</v>
      </c>
      <c r="L4038" s="158"/>
      <c r="M4038" s="158"/>
      <c r="N4038" s="158"/>
      <c r="O4038" s="158"/>
      <c r="P4038" s="182" t="s">
        <v>461</v>
      </c>
      <c r="Q4038" s="158" t="s">
        <v>3946</v>
      </c>
      <c r="R4038" s="207" t="s">
        <v>13062</v>
      </c>
      <c r="S4038" s="355" t="s">
        <v>3073</v>
      </c>
      <c r="T4038" s="182"/>
      <c r="U4038" s="182"/>
      <c r="V4038" s="182"/>
      <c r="W4038" s="325" t="s">
        <v>13061</v>
      </c>
      <c r="X4038" s="657" t="s">
        <v>15460</v>
      </c>
      <c r="Y4038" s="361" t="s">
        <v>4707</v>
      </c>
      <c r="Z4038" s="362"/>
      <c r="AA4038" s="362"/>
      <c r="AB4038" s="33">
        <f t="shared" ca="1" si="105"/>
        <v>0.52695753300142623</v>
      </c>
      <c r="AC4038" s="813"/>
      <c r="AD4038" s="211"/>
      <c r="AE4038" s="949"/>
      <c r="AF4038" s="922">
        <f>IF(X4038=X4037,AF4037,0)+IF(ISNUMBER(I4038),IF(I4038&lt;1,I4038,I4038*VLOOKUP(J4038,Summary!$H$2:$I$9,2)),VLOOKUP(J4038,Summary!$J$2:$K$9,2)*IF(ISNUMBER(H4038),H4038,1))</f>
        <v>0.44072916666666673</v>
      </c>
      <c r="AG4038" s="295">
        <v>4037</v>
      </c>
      <c r="AH4038" s="94"/>
      <c r="AI4038" s="94"/>
      <c r="AJ4038" s="1"/>
    </row>
    <row r="4039" spans="1:36" s="3" customFormat="1" ht="12" customHeight="1" x14ac:dyDescent="0.25">
      <c r="A4039" s="600" t="s">
        <v>4660</v>
      </c>
      <c r="B4039" s="600">
        <v>10</v>
      </c>
      <c r="C4039" s="600">
        <v>1</v>
      </c>
      <c r="D4039" s="176" t="s">
        <v>3112</v>
      </c>
      <c r="E4039" s="324" t="s">
        <v>6709</v>
      </c>
      <c r="F4039" s="224">
        <v>39417</v>
      </c>
      <c r="G4039" s="175"/>
      <c r="H4039" s="176" t="s">
        <v>461</v>
      </c>
      <c r="I4039" s="176">
        <v>5</v>
      </c>
      <c r="J4039" s="900" t="s">
        <v>2755</v>
      </c>
      <c r="K4039" s="157" t="s">
        <v>4425</v>
      </c>
      <c r="L4039" s="157" t="s">
        <v>6710</v>
      </c>
      <c r="M4039" s="157"/>
      <c r="N4039" s="157"/>
      <c r="O4039" s="157"/>
      <c r="P4039" s="173" t="s">
        <v>461</v>
      </c>
      <c r="Q4039" s="157" t="s">
        <v>3946</v>
      </c>
      <c r="R4039" s="179" t="s">
        <v>7896</v>
      </c>
      <c r="S4039" s="354" t="s">
        <v>3073</v>
      </c>
      <c r="T4039" s="173"/>
      <c r="U4039" s="173"/>
      <c r="V4039" s="173"/>
      <c r="W4039" s="324" t="s">
        <v>6709</v>
      </c>
      <c r="X4039" s="656" t="s">
        <v>15460</v>
      </c>
      <c r="Y4039" s="363"/>
      <c r="Z4039" s="364"/>
      <c r="AA4039" s="364"/>
      <c r="AB4039" s="32">
        <f t="shared" ca="1" si="105"/>
        <v>0.51173883001877818</v>
      </c>
      <c r="AC4039" s="812"/>
      <c r="AD4039" s="763"/>
      <c r="AE4039" s="951"/>
      <c r="AF4039" s="921">
        <f>IF(X4039=X4038,AF4038,0)+IF(ISNUMBER(I4039),IF(I4039&lt;1,I4039,I4039*VLOOKUP(J4039,Summary!$H$2:$I$9,2)),VLOOKUP(J4039,Summary!$J$2:$K$9,2)*IF(ISNUMBER(H4039),H4039,1))</f>
        <v>0.44420138888888894</v>
      </c>
      <c r="AG4039" s="288">
        <v>4038</v>
      </c>
      <c r="AH4039" s="94"/>
      <c r="AI4039" s="94"/>
      <c r="AJ4039" s="29"/>
    </row>
    <row r="4040" spans="1:36" s="3" customFormat="1" ht="12" customHeight="1" x14ac:dyDescent="0.25">
      <c r="A4040" s="599" t="s">
        <v>4660</v>
      </c>
      <c r="B4040" s="599">
        <v>10</v>
      </c>
      <c r="C4040" s="599">
        <v>1</v>
      </c>
      <c r="D4040" s="424" t="s">
        <v>1888</v>
      </c>
      <c r="E4040" s="319" t="s">
        <v>7373</v>
      </c>
      <c r="F4040" s="198">
        <v>39174</v>
      </c>
      <c r="G4040" s="198">
        <v>39263</v>
      </c>
      <c r="H4040" s="199">
        <v>1</v>
      </c>
      <c r="I4040" s="791">
        <f>TIME(0,45,0)</f>
        <v>3.125E-2</v>
      </c>
      <c r="J4040" s="904" t="s">
        <v>1588</v>
      </c>
      <c r="K4040" s="200" t="s">
        <v>7374</v>
      </c>
      <c r="L4040" s="200" t="s">
        <v>7375</v>
      </c>
      <c r="M4040" s="200"/>
      <c r="N4040" s="200" t="s">
        <v>3373</v>
      </c>
      <c r="O4040" s="200" t="s">
        <v>3375</v>
      </c>
      <c r="P4040" s="197" t="s">
        <v>461</v>
      </c>
      <c r="Q4040" s="200" t="s">
        <v>3946</v>
      </c>
      <c r="R4040" s="201" t="s">
        <v>5275</v>
      </c>
      <c r="S4040" s="390" t="s">
        <v>3073</v>
      </c>
      <c r="T4040" s="197"/>
      <c r="U4040" s="197"/>
      <c r="V4040" s="197"/>
      <c r="W4040" s="318" t="s">
        <v>7373</v>
      </c>
      <c r="X4040" s="650" t="s">
        <v>15460</v>
      </c>
      <c r="Y4040" s="358" t="s">
        <v>6141</v>
      </c>
      <c r="Z4040" s="253">
        <v>247</v>
      </c>
      <c r="AA4040" s="253">
        <v>3.5</v>
      </c>
      <c r="AB4040" s="35">
        <f t="shared" ca="1" si="105"/>
        <v>0.60444855953079313</v>
      </c>
      <c r="AC4040" s="820"/>
      <c r="AD4040" s="821" t="s">
        <v>16383</v>
      </c>
      <c r="AE4040" s="944" t="s">
        <v>12543</v>
      </c>
      <c r="AF4040" s="925">
        <f>IF(X4040=X4039,AF4039,0)+IF(ISNUMBER(I4040),IF(I4040&lt;1,I4040,I4040*VLOOKUP(J4040,Summary!$H$2:$I$9,2)),VLOOKUP(J4040,Summary!$J$2:$K$9,2)*IF(ISNUMBER(H4040),H4040,1))</f>
        <v>0.47545138888888894</v>
      </c>
      <c r="AG4040" s="293">
        <v>4039</v>
      </c>
      <c r="AH4040" s="94"/>
      <c r="AI4040" s="94"/>
    </row>
    <row r="4041" spans="1:36" s="1" customFormat="1" ht="12" customHeight="1" x14ac:dyDescent="0.25">
      <c r="A4041" s="599" t="s">
        <v>4660</v>
      </c>
      <c r="B4041" s="599">
        <v>10</v>
      </c>
      <c r="C4041" s="599">
        <v>184</v>
      </c>
      <c r="D4041" s="424" t="s">
        <v>7376</v>
      </c>
      <c r="E4041" s="319">
        <v>42</v>
      </c>
      <c r="F4041" s="198">
        <v>39221</v>
      </c>
      <c r="G4041" s="198"/>
      <c r="H4041" s="199">
        <v>1</v>
      </c>
      <c r="I4041" s="791">
        <f>TIME(0,45,23)</f>
        <v>3.1516203703703706E-2</v>
      </c>
      <c r="J4041" s="904" t="s">
        <v>1588</v>
      </c>
      <c r="K4041" s="200" t="s">
        <v>7377</v>
      </c>
      <c r="L4041" s="200" t="s">
        <v>4544</v>
      </c>
      <c r="M4041" s="200"/>
      <c r="N4041" s="200" t="s">
        <v>3373</v>
      </c>
      <c r="O4041" s="200" t="s">
        <v>3375</v>
      </c>
      <c r="P4041" s="197" t="s">
        <v>461</v>
      </c>
      <c r="Q4041" s="200" t="s">
        <v>3946</v>
      </c>
      <c r="R4041" s="201" t="s">
        <v>5280</v>
      </c>
      <c r="S4041" s="390" t="s">
        <v>3073</v>
      </c>
      <c r="T4041" s="197"/>
      <c r="U4041" s="197"/>
      <c r="V4041" s="197"/>
      <c r="W4041" s="319">
        <v>42</v>
      </c>
      <c r="X4041" s="651" t="s">
        <v>15460</v>
      </c>
      <c r="Y4041" s="358" t="s">
        <v>6141</v>
      </c>
      <c r="Z4041" s="253">
        <v>148</v>
      </c>
      <c r="AA4041" s="253">
        <v>5.5</v>
      </c>
      <c r="AB4041" s="35">
        <f t="shared" ca="1" si="105"/>
        <v>0.58418852973704483</v>
      </c>
      <c r="AC4041" s="820"/>
      <c r="AD4041" s="821" t="s">
        <v>16405</v>
      </c>
      <c r="AE4041" s="967" t="s">
        <v>12543</v>
      </c>
      <c r="AF4041" s="925">
        <f>IF(X4041=X4040,AF4040,0)+IF(ISNUMBER(I4041),IF(I4041&lt;1,I4041,I4041*VLOOKUP(J4041,Summary!$H$2:$I$9,2)),VLOOKUP(J4041,Summary!$J$2:$K$9,2)*IF(ISNUMBER(H4041),H4041,1))</f>
        <v>0.50696759259259261</v>
      </c>
      <c r="AG4041" s="293">
        <v>4040</v>
      </c>
      <c r="AH4041" s="94"/>
      <c r="AI4041" s="94"/>
      <c r="AJ4041" s="43"/>
    </row>
    <row r="4042" spans="1:36" s="1" customFormat="1" ht="12" customHeight="1" x14ac:dyDescent="0.25">
      <c r="A4042" s="603" t="s">
        <v>4660</v>
      </c>
      <c r="B4042" s="603">
        <v>10</v>
      </c>
      <c r="C4042" s="603">
        <v>3</v>
      </c>
      <c r="D4042" s="428" t="s">
        <v>6190</v>
      </c>
      <c r="E4042" s="325" t="s">
        <v>6183</v>
      </c>
      <c r="F4042" s="183">
        <v>39845</v>
      </c>
      <c r="G4042" s="183"/>
      <c r="H4042" s="185">
        <v>1</v>
      </c>
      <c r="I4042" s="185">
        <v>22</v>
      </c>
      <c r="J4042" s="901" t="s">
        <v>1796</v>
      </c>
      <c r="K4042" s="158" t="s">
        <v>6192</v>
      </c>
      <c r="L4042" s="158" t="s">
        <v>6193</v>
      </c>
      <c r="M4042" s="158" t="s">
        <v>6193</v>
      </c>
      <c r="N4042" s="158" t="s">
        <v>5717</v>
      </c>
      <c r="O4042" s="158"/>
      <c r="P4042" s="182" t="s">
        <v>461</v>
      </c>
      <c r="Q4042" s="158" t="s">
        <v>5719</v>
      </c>
      <c r="R4042" s="207" t="s">
        <v>5718</v>
      </c>
      <c r="S4042" s="355" t="s">
        <v>3073</v>
      </c>
      <c r="T4042" s="182"/>
      <c r="U4042" s="182"/>
      <c r="V4042" s="182"/>
      <c r="W4042" s="325" t="s">
        <v>6183</v>
      </c>
      <c r="X4042" s="657" t="s">
        <v>15460</v>
      </c>
      <c r="Y4042" s="355" t="s">
        <v>6000</v>
      </c>
      <c r="Z4042" s="362">
        <v>999</v>
      </c>
      <c r="AA4042" s="362"/>
      <c r="AB4042" s="33">
        <f t="shared" ca="1" si="105"/>
        <v>0.76019428462898486</v>
      </c>
      <c r="AC4042" s="813"/>
      <c r="AD4042" s="211"/>
      <c r="AE4042" s="941"/>
      <c r="AF4042" s="922">
        <f>IF(X4042=X4041,AF4041,0)+IF(ISNUMBER(I4042),IF(I4042&lt;1,I4042,I4042*VLOOKUP(J4042,Summary!$H$2:$I$9,2)),VLOOKUP(J4042,Summary!$J$2:$K$9,2)*IF(ISNUMBER(H4042),H4042,1))</f>
        <v>0.51460648148148147</v>
      </c>
      <c r="AG4042" s="290">
        <v>4041</v>
      </c>
      <c r="AH4042" s="94"/>
      <c r="AI4042" s="94"/>
      <c r="AJ4042" s="43"/>
    </row>
    <row r="4043" spans="1:36" s="1" customFormat="1" ht="12" customHeight="1" x14ac:dyDescent="0.25">
      <c r="A4043" s="604" t="s">
        <v>4660</v>
      </c>
      <c r="B4043" s="604">
        <v>10</v>
      </c>
      <c r="C4043" s="604">
        <v>13</v>
      </c>
      <c r="D4043" s="417" t="s">
        <v>1897</v>
      </c>
      <c r="E4043" s="316" t="s">
        <v>1204</v>
      </c>
      <c r="F4043" s="195">
        <v>39191</v>
      </c>
      <c r="G4043" s="195"/>
      <c r="H4043" s="188" t="str">
        <f>IF(J4043="Book","n/a","")</f>
        <v>n/a</v>
      </c>
      <c r="I4043" s="188">
        <v>248</v>
      </c>
      <c r="J4043" s="902" t="s">
        <v>6868</v>
      </c>
      <c r="K4043" s="162" t="s">
        <v>6237</v>
      </c>
      <c r="L4043" s="162" t="str">
        <f>IF(J4043="Book","n/a","")</f>
        <v>n/a</v>
      </c>
      <c r="M4043" s="162"/>
      <c r="N4043" s="162"/>
      <c r="O4043" s="162"/>
      <c r="P4043" s="178" t="s">
        <v>9028</v>
      </c>
      <c r="Q4043" s="162" t="s">
        <v>3953</v>
      </c>
      <c r="R4043" s="189" t="s">
        <v>2711</v>
      </c>
      <c r="S4043" s="366" t="s">
        <v>3073</v>
      </c>
      <c r="T4043" s="178"/>
      <c r="U4043" s="178"/>
      <c r="V4043" s="178"/>
      <c r="W4043" s="316" t="s">
        <v>1204</v>
      </c>
      <c r="X4043" s="648" t="s">
        <v>15460</v>
      </c>
      <c r="Y4043" s="356" t="s">
        <v>6868</v>
      </c>
      <c r="Z4043" s="272">
        <v>115</v>
      </c>
      <c r="AA4043" s="272">
        <v>5</v>
      </c>
      <c r="AB4043" s="34">
        <f t="shared" ca="1" si="105"/>
        <v>0.4622397663160831</v>
      </c>
      <c r="AC4043" s="814"/>
      <c r="AD4043" s="815" t="s">
        <v>16666</v>
      </c>
      <c r="AE4043" s="942"/>
      <c r="AF4043" s="923">
        <f>IF(X4043=X4042,AF4042,0)+IF(ISNUMBER(I4043),IF(I4043&lt;1,I4043,I4043*VLOOKUP(J4043,Summary!$H$2:$I$9,2)),VLOOKUP(J4043,Summary!$J$2:$K$9,2)*IF(ISNUMBER(H4043),H4043,1))</f>
        <v>0.68682870370370375</v>
      </c>
      <c r="AG4043" s="291">
        <v>4042</v>
      </c>
      <c r="AH4043" s="94"/>
      <c r="AI4043" s="94"/>
      <c r="AJ4043" s="22"/>
    </row>
    <row r="4044" spans="1:36" s="22" customFormat="1" ht="12" customHeight="1" x14ac:dyDescent="0.25">
      <c r="A4044" s="604" t="s">
        <v>4660</v>
      </c>
      <c r="B4044" s="604">
        <v>10</v>
      </c>
      <c r="C4044" s="604">
        <v>14</v>
      </c>
      <c r="D4044" s="417" t="s">
        <v>7686</v>
      </c>
      <c r="E4044" s="316" t="s">
        <v>1205</v>
      </c>
      <c r="F4044" s="195">
        <v>39191</v>
      </c>
      <c r="G4044" s="195"/>
      <c r="H4044" s="188" t="str">
        <f>IF(J4044="Book","n/a","")</f>
        <v>n/a</v>
      </c>
      <c r="I4044" s="188">
        <v>248</v>
      </c>
      <c r="J4044" s="902" t="s">
        <v>6868</v>
      </c>
      <c r="K4044" s="162" t="s">
        <v>4552</v>
      </c>
      <c r="L4044" s="162" t="str">
        <f>IF(J4044="Book","n/a","")</f>
        <v>n/a</v>
      </c>
      <c r="M4044" s="162"/>
      <c r="N4044" s="162"/>
      <c r="O4044" s="162"/>
      <c r="P4044" s="178" t="s">
        <v>9029</v>
      </c>
      <c r="Q4044" s="162" t="s">
        <v>3953</v>
      </c>
      <c r="R4044" s="189" t="s">
        <v>2711</v>
      </c>
      <c r="S4044" s="366" t="s">
        <v>3073</v>
      </c>
      <c r="T4044" s="178"/>
      <c r="U4044" s="178"/>
      <c r="V4044" s="178"/>
      <c r="W4044" s="316" t="s">
        <v>1205</v>
      </c>
      <c r="X4044" s="648" t="s">
        <v>15460</v>
      </c>
      <c r="Y4044" s="356" t="s">
        <v>6868</v>
      </c>
      <c r="Z4044" s="272">
        <v>80</v>
      </c>
      <c r="AA4044" s="272">
        <v>6</v>
      </c>
      <c r="AB4044" s="34">
        <f t="shared" ca="1" si="105"/>
        <v>0.20121609207131097</v>
      </c>
      <c r="AC4044" s="814"/>
      <c r="AD4044" s="815" t="s">
        <v>16098</v>
      </c>
      <c r="AE4044" s="942"/>
      <c r="AF4044" s="923">
        <f>IF(X4044=X4043,AF4043,0)+IF(ISNUMBER(I4044),IF(I4044&lt;1,I4044,I4044*VLOOKUP(J4044,Summary!$H$2:$I$9,2)),VLOOKUP(J4044,Summary!$J$2:$K$9,2)*IF(ISNUMBER(H4044),H4044,1))</f>
        <v>0.85905092592592602</v>
      </c>
      <c r="AG4044" s="291">
        <v>4043</v>
      </c>
      <c r="AH4044" s="94"/>
      <c r="AI4044" s="94"/>
    </row>
    <row r="4045" spans="1:36" s="1" customFormat="1" ht="12" customHeight="1" x14ac:dyDescent="0.25">
      <c r="A4045" s="604" t="s">
        <v>4660</v>
      </c>
      <c r="B4045" s="604">
        <v>10</v>
      </c>
      <c r="C4045" s="604">
        <v>15</v>
      </c>
      <c r="D4045" s="417" t="s">
        <v>7687</v>
      </c>
      <c r="E4045" s="316" t="s">
        <v>1206</v>
      </c>
      <c r="F4045" s="195">
        <v>39191</v>
      </c>
      <c r="G4045" s="195"/>
      <c r="H4045" s="188" t="str">
        <f>IF(J4045="Book","n/a","")</f>
        <v>n/a</v>
      </c>
      <c r="I4045" s="188">
        <v>247</v>
      </c>
      <c r="J4045" s="902" t="s">
        <v>6868</v>
      </c>
      <c r="K4045" s="162" t="s">
        <v>6235</v>
      </c>
      <c r="L4045" s="162" t="str">
        <f>IF(J4045="Book","n/a","")</f>
        <v>n/a</v>
      </c>
      <c r="M4045" s="162"/>
      <c r="N4045" s="162"/>
      <c r="O4045" s="162"/>
      <c r="P4045" s="178" t="s">
        <v>9030</v>
      </c>
      <c r="Q4045" s="162" t="s">
        <v>3953</v>
      </c>
      <c r="R4045" s="189" t="s">
        <v>2711</v>
      </c>
      <c r="S4045" s="366" t="s">
        <v>3073</v>
      </c>
      <c r="T4045" s="178"/>
      <c r="U4045" s="178"/>
      <c r="V4045" s="178"/>
      <c r="W4045" s="316" t="s">
        <v>1206</v>
      </c>
      <c r="X4045" s="648" t="s">
        <v>15460</v>
      </c>
      <c r="Y4045" s="356" t="s">
        <v>6868</v>
      </c>
      <c r="Z4045" s="272">
        <v>186</v>
      </c>
      <c r="AA4045" s="272">
        <v>3.5</v>
      </c>
      <c r="AB4045" s="34">
        <f t="shared" ca="1" si="105"/>
        <v>0.47720344958008298</v>
      </c>
      <c r="AC4045" s="814"/>
      <c r="AD4045" s="815" t="s">
        <v>16147</v>
      </c>
      <c r="AE4045" s="942" t="s">
        <v>3365</v>
      </c>
      <c r="AF4045" s="923">
        <f>IF(X4045=X4044,AF4044,0)+IF(ISNUMBER(I4045),IF(I4045&lt;1,I4045,I4045*VLOOKUP(J4045,Summary!$H$2:$I$9,2)),VLOOKUP(J4045,Summary!$J$2:$K$9,2)*IF(ISNUMBER(H4045),H4045,1))</f>
        <v>1.0305787037037037</v>
      </c>
      <c r="AG4045" s="291">
        <v>4044</v>
      </c>
      <c r="AH4045" s="94"/>
      <c r="AI4045" s="94"/>
      <c r="AJ4045" s="43"/>
    </row>
    <row r="4046" spans="1:36" s="3" customFormat="1" ht="12" customHeight="1" x14ac:dyDescent="0.25">
      <c r="A4046" s="727" t="s">
        <v>4660</v>
      </c>
      <c r="B4046" s="727">
        <v>10</v>
      </c>
      <c r="C4046" s="727">
        <v>1</v>
      </c>
      <c r="D4046" s="619" t="s">
        <v>15601</v>
      </c>
      <c r="E4046" s="345" t="s">
        <v>15602</v>
      </c>
      <c r="F4046" s="219">
        <v>39268</v>
      </c>
      <c r="G4046" s="219"/>
      <c r="H4046" s="210" t="s">
        <v>461</v>
      </c>
      <c r="I4046" s="210">
        <v>128</v>
      </c>
      <c r="J4046" s="908" t="s">
        <v>15556</v>
      </c>
      <c r="K4046" s="166" t="s">
        <v>6355</v>
      </c>
      <c r="L4046" s="166"/>
      <c r="M4046" s="166"/>
      <c r="N4046" s="166"/>
      <c r="O4046" s="166"/>
      <c r="P4046" s="267" t="s">
        <v>15603</v>
      </c>
      <c r="Q4046" s="166" t="s">
        <v>3953</v>
      </c>
      <c r="R4046" s="268" t="s">
        <v>15583</v>
      </c>
      <c r="S4046" s="386" t="s">
        <v>3073</v>
      </c>
      <c r="T4046" s="267"/>
      <c r="U4046" s="267"/>
      <c r="V4046" s="267"/>
      <c r="W4046" s="345" t="s">
        <v>15602</v>
      </c>
      <c r="X4046" s="680" t="s">
        <v>15460</v>
      </c>
      <c r="Y4046" s="384"/>
      <c r="Z4046" s="385"/>
      <c r="AA4046" s="385"/>
      <c r="AB4046" s="41">
        <f t="shared" ca="1" si="105"/>
        <v>0.63055203307038477</v>
      </c>
      <c r="AC4046" s="832"/>
      <c r="AD4046" s="833"/>
      <c r="AE4046" s="956"/>
      <c r="AF4046" s="929">
        <f>IF(X4046=X4045,AF4045,0)+IF(ISNUMBER(I4046),IF(I4046&lt;1,I4046,I4046*VLOOKUP(J4046,Summary!$H$2:$I$9,2)),VLOOKUP(J4046,Summary!$J$2:$K$9,2)*IF(ISNUMBER(H4046),H4046,1))</f>
        <v>1.0750231481481483</v>
      </c>
      <c r="AG4046" s="307">
        <v>4045</v>
      </c>
      <c r="AH4046" s="94"/>
      <c r="AI4046" s="94"/>
      <c r="AJ4046" s="29"/>
    </row>
    <row r="4047" spans="1:36" s="3" customFormat="1" ht="12" customHeight="1" x14ac:dyDescent="0.25">
      <c r="A4047" s="600" t="s">
        <v>4660</v>
      </c>
      <c r="B4047" s="600">
        <v>10</v>
      </c>
      <c r="C4047" s="600">
        <v>28.2</v>
      </c>
      <c r="D4047" s="434" t="s">
        <v>13249</v>
      </c>
      <c r="E4047" s="324" t="s">
        <v>13250</v>
      </c>
      <c r="F4047" s="175">
        <v>39808</v>
      </c>
      <c r="G4047" s="175"/>
      <c r="H4047" s="176">
        <v>1</v>
      </c>
      <c r="I4047" s="176"/>
      <c r="J4047" s="900" t="s">
        <v>2755</v>
      </c>
      <c r="K4047" s="157" t="s">
        <v>4139</v>
      </c>
      <c r="L4047" s="157"/>
      <c r="M4047" s="157" t="s">
        <v>13251</v>
      </c>
      <c r="N4047" s="157"/>
      <c r="O4047" s="157"/>
      <c r="P4047" s="173" t="s">
        <v>9043</v>
      </c>
      <c r="Q4047" s="157" t="s">
        <v>3954</v>
      </c>
      <c r="R4047" s="179" t="s">
        <v>13247</v>
      </c>
      <c r="S4047" s="354" t="s">
        <v>3073</v>
      </c>
      <c r="T4047" s="173"/>
      <c r="U4047" s="173"/>
      <c r="V4047" s="173"/>
      <c r="W4047" s="324" t="s">
        <v>13250</v>
      </c>
      <c r="X4047" s="656" t="s">
        <v>15460</v>
      </c>
      <c r="Y4047" s="363"/>
      <c r="Z4047" s="364"/>
      <c r="AA4047" s="364"/>
      <c r="AB4047" s="32">
        <f t="shared" ca="1" si="105"/>
        <v>0.33313676250950564</v>
      </c>
      <c r="AC4047" s="812"/>
      <c r="AD4047" s="763" t="s">
        <v>16419</v>
      </c>
      <c r="AE4047" s="951" t="s">
        <v>12543</v>
      </c>
      <c r="AF4047" s="921">
        <f>IF(X4047=X4046,AF4046,0)+IF(ISNUMBER(I4047),IF(I4047&lt;1,I4047,I4047*VLOOKUP(J4047,Summary!$H$2:$I$9,2)),VLOOKUP(J4047,Summary!$J$2:$K$9,2)*IF(ISNUMBER(H4047),H4047,1))</f>
        <v>1.0923842592592594</v>
      </c>
      <c r="AG4047" s="288">
        <v>4046</v>
      </c>
      <c r="AH4047" s="94"/>
      <c r="AI4047" s="94"/>
    </row>
    <row r="4048" spans="1:36" s="3" customFormat="1" ht="12" customHeight="1" x14ac:dyDescent="0.25">
      <c r="A4048" s="603" t="s">
        <v>4660</v>
      </c>
      <c r="B4048" s="603">
        <v>10</v>
      </c>
      <c r="C4048" s="603">
        <v>21</v>
      </c>
      <c r="D4048" s="428" t="s">
        <v>5079</v>
      </c>
      <c r="E4048" s="325" t="s">
        <v>7356</v>
      </c>
      <c r="F4048" s="184">
        <v>39198</v>
      </c>
      <c r="G4048" s="184">
        <v>39225</v>
      </c>
      <c r="H4048" s="185">
        <v>2</v>
      </c>
      <c r="I4048" s="185">
        <v>12</v>
      </c>
      <c r="J4048" s="901" t="s">
        <v>1796</v>
      </c>
      <c r="K4048" s="158" t="s">
        <v>4032</v>
      </c>
      <c r="L4048" s="158" t="s">
        <v>3832</v>
      </c>
      <c r="M4048" s="158" t="s">
        <v>3551</v>
      </c>
      <c r="N4048" s="158" t="s">
        <v>5317</v>
      </c>
      <c r="O4048" s="158"/>
      <c r="P4048" s="182" t="s">
        <v>461</v>
      </c>
      <c r="Q4048" s="158" t="s">
        <v>4929</v>
      </c>
      <c r="R4048" s="207" t="s">
        <v>4796</v>
      </c>
      <c r="S4048" s="355" t="s">
        <v>3073</v>
      </c>
      <c r="T4048" s="182"/>
      <c r="U4048" s="182"/>
      <c r="V4048" s="182"/>
      <c r="W4048" s="321"/>
      <c r="X4048" s="653" t="s">
        <v>15460</v>
      </c>
      <c r="Y4048" s="361"/>
      <c r="Z4048" s="362"/>
      <c r="AA4048" s="362"/>
      <c r="AB4048" s="33">
        <f t="shared" ca="1" si="105"/>
        <v>0.19632238292611637</v>
      </c>
      <c r="AC4048" s="813"/>
      <c r="AD4048" s="211"/>
      <c r="AE4048" s="949"/>
      <c r="AF4048" s="922">
        <f>IF(X4048=X4047,AF4047,0)+IF(ISNUMBER(I4048),IF(I4048&lt;1,I4048,I4048*VLOOKUP(J4048,Summary!$H$2:$I$9,2)),VLOOKUP(J4048,Summary!$J$2:$K$9,2)*IF(ISNUMBER(H4048),H4048,1))</f>
        <v>1.0965509259259261</v>
      </c>
      <c r="AG4048" s="295">
        <v>4047</v>
      </c>
      <c r="AH4048" s="94"/>
      <c r="AI4048" s="94"/>
    </row>
    <row r="4049" spans="1:36" s="1" customFormat="1" ht="12" customHeight="1" x14ac:dyDescent="0.25">
      <c r="A4049" s="603" t="s">
        <v>4660</v>
      </c>
      <c r="B4049" s="603">
        <v>10</v>
      </c>
      <c r="C4049" s="603">
        <v>22</v>
      </c>
      <c r="D4049" s="428" t="s">
        <v>5080</v>
      </c>
      <c r="E4049" s="325" t="s">
        <v>7357</v>
      </c>
      <c r="F4049" s="184">
        <v>39226</v>
      </c>
      <c r="G4049" s="184">
        <v>39253</v>
      </c>
      <c r="H4049" s="185">
        <v>2</v>
      </c>
      <c r="I4049" s="185">
        <v>12</v>
      </c>
      <c r="J4049" s="901" t="s">
        <v>1796</v>
      </c>
      <c r="K4049" s="158" t="s">
        <v>6235</v>
      </c>
      <c r="L4049" s="158" t="s">
        <v>3832</v>
      </c>
      <c r="M4049" s="158" t="s">
        <v>254</v>
      </c>
      <c r="N4049" s="158" t="s">
        <v>5317</v>
      </c>
      <c r="O4049" s="158"/>
      <c r="P4049" s="182" t="s">
        <v>461</v>
      </c>
      <c r="Q4049" s="158" t="s">
        <v>4929</v>
      </c>
      <c r="R4049" s="207" t="s">
        <v>4796</v>
      </c>
      <c r="S4049" s="355" t="s">
        <v>3073</v>
      </c>
      <c r="T4049" s="182"/>
      <c r="U4049" s="182"/>
      <c r="V4049" s="182"/>
      <c r="W4049" s="321"/>
      <c r="X4049" s="653" t="s">
        <v>15460</v>
      </c>
      <c r="Y4049" s="361"/>
      <c r="Z4049" s="362"/>
      <c r="AA4049" s="362"/>
      <c r="AB4049" s="33">
        <f t="shared" ca="1" si="105"/>
        <v>0.94859713031519133</v>
      </c>
      <c r="AC4049" s="813"/>
      <c r="AD4049" s="211"/>
      <c r="AE4049" s="949"/>
      <c r="AF4049" s="922">
        <f>IF(X4049=X4048,AF4048,0)+IF(ISNUMBER(I4049),IF(I4049&lt;1,I4049,I4049*VLOOKUP(J4049,Summary!$H$2:$I$9,2)),VLOOKUP(J4049,Summary!$J$2:$K$9,2)*IF(ISNUMBER(H4049),H4049,1))</f>
        <v>1.1007175925925927</v>
      </c>
      <c r="AG4049" s="295">
        <v>4048</v>
      </c>
      <c r="AH4049" s="94"/>
      <c r="AI4049" s="94"/>
      <c r="AJ4049" s="22"/>
    </row>
    <row r="4050" spans="1:36" s="1" customFormat="1" ht="12" customHeight="1" x14ac:dyDescent="0.25">
      <c r="A4050" s="603" t="s">
        <v>4660</v>
      </c>
      <c r="B4050" s="603">
        <v>10</v>
      </c>
      <c r="C4050" s="603">
        <v>7</v>
      </c>
      <c r="D4050" s="428" t="s">
        <v>4719</v>
      </c>
      <c r="E4050" s="325" t="s">
        <v>4720</v>
      </c>
      <c r="F4050" s="184">
        <v>39218</v>
      </c>
      <c r="G4050" s="184">
        <v>39260</v>
      </c>
      <c r="H4050" s="185">
        <v>4</v>
      </c>
      <c r="I4050" s="185">
        <v>16</v>
      </c>
      <c r="J4050" s="901" t="s">
        <v>1796</v>
      </c>
      <c r="K4050" s="158" t="s">
        <v>4797</v>
      </c>
      <c r="L4050" s="158" t="s">
        <v>7928</v>
      </c>
      <c r="M4050" s="158" t="s">
        <v>254</v>
      </c>
      <c r="N4050" s="158" t="s">
        <v>4794</v>
      </c>
      <c r="O4050" s="158"/>
      <c r="P4050" s="182" t="s">
        <v>461</v>
      </c>
      <c r="Q4050" s="158" t="s">
        <v>4798</v>
      </c>
      <c r="R4050" s="207" t="s">
        <v>4795</v>
      </c>
      <c r="S4050" s="355" t="s">
        <v>3073</v>
      </c>
      <c r="T4050" s="182"/>
      <c r="U4050" s="182"/>
      <c r="V4050" s="182"/>
      <c r="W4050" s="321" t="s">
        <v>8459</v>
      </c>
      <c r="X4050" s="653" t="s">
        <v>15460</v>
      </c>
      <c r="Y4050" s="361"/>
      <c r="Z4050" s="362"/>
      <c r="AA4050" s="362"/>
      <c r="AB4050" s="33">
        <f t="shared" ca="1" si="105"/>
        <v>0.4472127698039543</v>
      </c>
      <c r="AC4050" s="813"/>
      <c r="AD4050" s="211"/>
      <c r="AE4050" s="949"/>
      <c r="AF4050" s="922">
        <f>IF(X4050=X4049,AF4049,0)+IF(ISNUMBER(I4050),IF(I4050&lt;1,I4050,I4050*VLOOKUP(J4050,Summary!$H$2:$I$9,2)),VLOOKUP(J4050,Summary!$J$2:$K$9,2)*IF(ISNUMBER(H4050),H4050,1))</f>
        <v>1.1062731481481483</v>
      </c>
      <c r="AG4050" s="295">
        <v>4049</v>
      </c>
      <c r="AH4050" s="94"/>
      <c r="AI4050" s="94"/>
    </row>
    <row r="4051" spans="1:36" s="1" customFormat="1" ht="12" customHeight="1" x14ac:dyDescent="0.25">
      <c r="A4051" s="603" t="s">
        <v>4660</v>
      </c>
      <c r="B4051" s="603">
        <v>10</v>
      </c>
      <c r="C4051" s="603">
        <v>23</v>
      </c>
      <c r="D4051" s="428" t="s">
        <v>5081</v>
      </c>
      <c r="E4051" s="325" t="s">
        <v>7358</v>
      </c>
      <c r="F4051" s="184">
        <v>39254</v>
      </c>
      <c r="G4051" s="184">
        <v>39281</v>
      </c>
      <c r="H4051" s="185">
        <v>2</v>
      </c>
      <c r="I4051" s="185">
        <v>12</v>
      </c>
      <c r="J4051" s="901" t="s">
        <v>1796</v>
      </c>
      <c r="K4051" s="158" t="s">
        <v>4032</v>
      </c>
      <c r="L4051" s="158" t="s">
        <v>3832</v>
      </c>
      <c r="M4051" s="158" t="s">
        <v>254</v>
      </c>
      <c r="N4051" s="158" t="s">
        <v>5317</v>
      </c>
      <c r="O4051" s="158"/>
      <c r="P4051" s="182" t="s">
        <v>461</v>
      </c>
      <c r="Q4051" s="158" t="s">
        <v>4929</v>
      </c>
      <c r="R4051" s="207" t="s">
        <v>4796</v>
      </c>
      <c r="S4051" s="355" t="s">
        <v>3073</v>
      </c>
      <c r="T4051" s="182"/>
      <c r="U4051" s="182"/>
      <c r="V4051" s="182"/>
      <c r="W4051" s="321"/>
      <c r="X4051" s="653" t="s">
        <v>15460</v>
      </c>
      <c r="Y4051" s="361"/>
      <c r="Z4051" s="362"/>
      <c r="AA4051" s="362"/>
      <c r="AB4051" s="33">
        <f t="shared" ca="1" si="105"/>
        <v>0.41437995536550953</v>
      </c>
      <c r="AC4051" s="813"/>
      <c r="AD4051" s="211"/>
      <c r="AE4051" s="949"/>
      <c r="AF4051" s="922">
        <f>IF(X4051=X4050,AF4050,0)+IF(ISNUMBER(I4051),IF(I4051&lt;1,I4051,I4051*VLOOKUP(J4051,Summary!$H$2:$I$9,2)),VLOOKUP(J4051,Summary!$J$2:$K$9,2)*IF(ISNUMBER(H4051),H4051,1))</f>
        <v>1.1104398148148149</v>
      </c>
      <c r="AG4051" s="295">
        <v>4050</v>
      </c>
      <c r="AH4051" s="94"/>
      <c r="AI4051" s="94"/>
      <c r="AJ4051" s="3"/>
    </row>
    <row r="4052" spans="1:36" s="1" customFormat="1" ht="12" customHeight="1" x14ac:dyDescent="0.25">
      <c r="A4052" s="727" t="s">
        <v>4660</v>
      </c>
      <c r="B4052" s="727">
        <v>10</v>
      </c>
      <c r="C4052" s="727">
        <v>2</v>
      </c>
      <c r="D4052" s="619" t="s">
        <v>15604</v>
      </c>
      <c r="E4052" s="345" t="s">
        <v>15605</v>
      </c>
      <c r="F4052" s="219">
        <v>39268</v>
      </c>
      <c r="G4052" s="219"/>
      <c r="H4052" s="210" t="s">
        <v>461</v>
      </c>
      <c r="I4052" s="210">
        <v>128</v>
      </c>
      <c r="J4052" s="908" t="s">
        <v>15556</v>
      </c>
      <c r="K4052" s="166" t="s">
        <v>7798</v>
      </c>
      <c r="L4052" s="166"/>
      <c r="M4052" s="166"/>
      <c r="N4052" s="166"/>
      <c r="O4052" s="166"/>
      <c r="P4052" s="267" t="s">
        <v>15606</v>
      </c>
      <c r="Q4052" s="166" t="s">
        <v>3953</v>
      </c>
      <c r="R4052" s="268" t="s">
        <v>15583</v>
      </c>
      <c r="S4052" s="386" t="s">
        <v>3073</v>
      </c>
      <c r="T4052" s="267"/>
      <c r="U4052" s="267"/>
      <c r="V4052" s="267"/>
      <c r="W4052" s="345" t="s">
        <v>15605</v>
      </c>
      <c r="X4052" s="680" t="s">
        <v>15460</v>
      </c>
      <c r="Y4052" s="384"/>
      <c r="Z4052" s="385"/>
      <c r="AA4052" s="385"/>
      <c r="AB4052" s="41">
        <f t="shared" ca="1" si="105"/>
        <v>0.70423028602563464</v>
      </c>
      <c r="AC4052" s="832"/>
      <c r="AD4052" s="833"/>
      <c r="AE4052" s="956"/>
      <c r="AF4052" s="929">
        <f>IF(X4052=X4051,AF4051,0)+IF(ISNUMBER(I4052),IF(I4052&lt;1,I4052,I4052*VLOOKUP(J4052,Summary!$H$2:$I$9,2)),VLOOKUP(J4052,Summary!$J$2:$K$9,2)*IF(ISNUMBER(H4052),H4052,1))</f>
        <v>1.1548842592592594</v>
      </c>
      <c r="AG4052" s="307">
        <v>4051</v>
      </c>
      <c r="AH4052" s="94"/>
      <c r="AI4052" s="94"/>
      <c r="AJ4052" s="43"/>
    </row>
    <row r="4053" spans="1:36" s="1" customFormat="1" ht="12" customHeight="1" x14ac:dyDescent="0.25">
      <c r="A4053" s="603" t="s">
        <v>4660</v>
      </c>
      <c r="B4053" s="603">
        <v>10</v>
      </c>
      <c r="C4053" s="603">
        <v>8</v>
      </c>
      <c r="D4053" s="428" t="s">
        <v>4721</v>
      </c>
      <c r="E4053" s="325" t="s">
        <v>4723</v>
      </c>
      <c r="F4053" s="184">
        <v>39274</v>
      </c>
      <c r="G4053" s="184">
        <v>39316</v>
      </c>
      <c r="H4053" s="185">
        <v>4</v>
      </c>
      <c r="I4053" s="185">
        <v>16</v>
      </c>
      <c r="J4053" s="901" t="s">
        <v>1796</v>
      </c>
      <c r="K4053" s="158" t="s">
        <v>1935</v>
      </c>
      <c r="L4053" s="158" t="s">
        <v>7928</v>
      </c>
      <c r="M4053" s="158" t="s">
        <v>254</v>
      </c>
      <c r="N4053" s="158" t="s">
        <v>4722</v>
      </c>
      <c r="O4053" s="158"/>
      <c r="P4053" s="182" t="s">
        <v>461</v>
      </c>
      <c r="Q4053" s="158" t="s">
        <v>4798</v>
      </c>
      <c r="R4053" s="207" t="s">
        <v>4795</v>
      </c>
      <c r="S4053" s="355" t="s">
        <v>3073</v>
      </c>
      <c r="T4053" s="182"/>
      <c r="U4053" s="182"/>
      <c r="V4053" s="182"/>
      <c r="W4053" s="321" t="s">
        <v>8460</v>
      </c>
      <c r="X4053" s="653" t="s">
        <v>15460</v>
      </c>
      <c r="Y4053" s="361"/>
      <c r="Z4053" s="362"/>
      <c r="AA4053" s="362"/>
      <c r="AB4053" s="33">
        <f t="shared" ca="1" si="105"/>
        <v>0.97798422679917851</v>
      </c>
      <c r="AC4053" s="813"/>
      <c r="AD4053" s="211"/>
      <c r="AE4053" s="949"/>
      <c r="AF4053" s="922">
        <f>IF(X4053=X4052,AF4052,0)+IF(ISNUMBER(I4053),IF(I4053&lt;1,I4053,I4053*VLOOKUP(J4053,Summary!$H$2:$I$9,2)),VLOOKUP(J4053,Summary!$J$2:$K$9,2)*IF(ISNUMBER(H4053),H4053,1))</f>
        <v>1.160439814814815</v>
      </c>
      <c r="AG4053" s="295">
        <v>4052</v>
      </c>
      <c r="AH4053" s="94"/>
      <c r="AI4053" s="94"/>
      <c r="AJ4053" s="43"/>
    </row>
    <row r="4054" spans="1:36" s="1" customFormat="1" ht="12" customHeight="1" x14ac:dyDescent="0.25">
      <c r="A4054" s="603" t="s">
        <v>4660</v>
      </c>
      <c r="B4054" s="603">
        <v>10</v>
      </c>
      <c r="C4054" s="603">
        <v>24</v>
      </c>
      <c r="D4054" s="428" t="s">
        <v>5082</v>
      </c>
      <c r="E4054" s="325" t="s">
        <v>7359</v>
      </c>
      <c r="F4054" s="184">
        <v>39282</v>
      </c>
      <c r="G4054" s="184">
        <v>39309</v>
      </c>
      <c r="H4054" s="185">
        <v>2</v>
      </c>
      <c r="I4054" s="185">
        <v>12</v>
      </c>
      <c r="J4054" s="901" t="s">
        <v>1796</v>
      </c>
      <c r="K4054" s="158" t="s">
        <v>6235</v>
      </c>
      <c r="L4054" s="158" t="s">
        <v>3832</v>
      </c>
      <c r="M4054" s="158" t="s">
        <v>254</v>
      </c>
      <c r="N4054" s="158" t="s">
        <v>5317</v>
      </c>
      <c r="O4054" s="158"/>
      <c r="P4054" s="182" t="s">
        <v>461</v>
      </c>
      <c r="Q4054" s="158" t="s">
        <v>4929</v>
      </c>
      <c r="R4054" s="207" t="s">
        <v>4796</v>
      </c>
      <c r="S4054" s="355" t="s">
        <v>3073</v>
      </c>
      <c r="T4054" s="182"/>
      <c r="U4054" s="182"/>
      <c r="V4054" s="182"/>
      <c r="W4054" s="321"/>
      <c r="X4054" s="653" t="s">
        <v>15460</v>
      </c>
      <c r="Y4054" s="361"/>
      <c r="Z4054" s="362"/>
      <c r="AA4054" s="362"/>
      <c r="AB4054" s="33">
        <f t="shared" ca="1" si="105"/>
        <v>0.73890419731598433</v>
      </c>
      <c r="AC4054" s="813"/>
      <c r="AD4054" s="211"/>
      <c r="AE4054" s="949"/>
      <c r="AF4054" s="922">
        <f>IF(X4054=X4053,AF4053,0)+IF(ISNUMBER(I4054),IF(I4054&lt;1,I4054,I4054*VLOOKUP(J4054,Summary!$H$2:$I$9,2)),VLOOKUP(J4054,Summary!$J$2:$K$9,2)*IF(ISNUMBER(H4054),H4054,1))</f>
        <v>1.1646064814814816</v>
      </c>
      <c r="AG4054" s="295">
        <v>4053</v>
      </c>
      <c r="AH4054" s="94"/>
      <c r="AI4054" s="94"/>
      <c r="AJ4054" s="3"/>
    </row>
    <row r="4055" spans="1:36" s="1" customFormat="1" ht="12" customHeight="1" x14ac:dyDescent="0.25">
      <c r="A4055" s="603" t="s">
        <v>4660</v>
      </c>
      <c r="B4055" s="603">
        <v>10</v>
      </c>
      <c r="C4055" s="603">
        <v>25</v>
      </c>
      <c r="D4055" s="428" t="s">
        <v>5083</v>
      </c>
      <c r="E4055" s="325" t="s">
        <v>7360</v>
      </c>
      <c r="F4055" s="184">
        <v>39310</v>
      </c>
      <c r="G4055" s="184">
        <v>39337</v>
      </c>
      <c r="H4055" s="185">
        <v>2</v>
      </c>
      <c r="I4055" s="185">
        <v>12</v>
      </c>
      <c r="J4055" s="901" t="s">
        <v>1796</v>
      </c>
      <c r="K4055" s="158" t="s">
        <v>4032</v>
      </c>
      <c r="L4055" s="158" t="s">
        <v>3832</v>
      </c>
      <c r="M4055" s="158" t="s">
        <v>254</v>
      </c>
      <c r="N4055" s="158" t="s">
        <v>5317</v>
      </c>
      <c r="O4055" s="158"/>
      <c r="P4055" s="182" t="s">
        <v>461</v>
      </c>
      <c r="Q4055" s="158" t="s">
        <v>4929</v>
      </c>
      <c r="R4055" s="207" t="s">
        <v>4796</v>
      </c>
      <c r="S4055" s="355" t="s">
        <v>3073</v>
      </c>
      <c r="T4055" s="182"/>
      <c r="U4055" s="182"/>
      <c r="V4055" s="182"/>
      <c r="W4055" s="321"/>
      <c r="X4055" s="653" t="s">
        <v>15460</v>
      </c>
      <c r="Y4055" s="361"/>
      <c r="Z4055" s="362"/>
      <c r="AA4055" s="362"/>
      <c r="AB4055" s="33">
        <f t="shared" ca="1" si="105"/>
        <v>0.98772723999884715</v>
      </c>
      <c r="AC4055" s="813"/>
      <c r="AD4055" s="211"/>
      <c r="AE4055" s="949"/>
      <c r="AF4055" s="922">
        <f>IF(X4055=X4054,AF4054,0)+IF(ISNUMBER(I4055),IF(I4055&lt;1,I4055,I4055*VLOOKUP(J4055,Summary!$H$2:$I$9,2)),VLOOKUP(J4055,Summary!$J$2:$K$9,2)*IF(ISNUMBER(H4055),H4055,1))</f>
        <v>1.1687731481481483</v>
      </c>
      <c r="AG4055" s="295">
        <v>4054</v>
      </c>
      <c r="AH4055" s="94"/>
      <c r="AI4055" s="94"/>
      <c r="AJ4055" s="3"/>
    </row>
    <row r="4056" spans="1:36" s="1" customFormat="1" ht="12" customHeight="1" x14ac:dyDescent="0.25">
      <c r="A4056" s="727" t="s">
        <v>4660</v>
      </c>
      <c r="B4056" s="727">
        <v>10</v>
      </c>
      <c r="C4056" s="727">
        <v>3</v>
      </c>
      <c r="D4056" s="619" t="s">
        <v>15607</v>
      </c>
      <c r="E4056" s="345" t="s">
        <v>15608</v>
      </c>
      <c r="F4056" s="219">
        <v>39268</v>
      </c>
      <c r="G4056" s="219"/>
      <c r="H4056" s="210" t="s">
        <v>461</v>
      </c>
      <c r="I4056" s="210">
        <v>128</v>
      </c>
      <c r="J4056" s="908" t="s">
        <v>15556</v>
      </c>
      <c r="K4056" s="166" t="s">
        <v>6355</v>
      </c>
      <c r="L4056" s="166"/>
      <c r="M4056" s="166"/>
      <c r="N4056" s="166"/>
      <c r="O4056" s="166"/>
      <c r="P4056" s="267" t="s">
        <v>15609</v>
      </c>
      <c r="Q4056" s="166" t="s">
        <v>3953</v>
      </c>
      <c r="R4056" s="268" t="s">
        <v>15583</v>
      </c>
      <c r="S4056" s="386" t="s">
        <v>3073</v>
      </c>
      <c r="T4056" s="267"/>
      <c r="U4056" s="267"/>
      <c r="V4056" s="267"/>
      <c r="W4056" s="345" t="s">
        <v>15608</v>
      </c>
      <c r="X4056" s="680" t="s">
        <v>15460</v>
      </c>
      <c r="Y4056" s="384"/>
      <c r="Z4056" s="385"/>
      <c r="AA4056" s="385"/>
      <c r="AB4056" s="41">
        <f t="shared" ca="1" si="105"/>
        <v>0.79318746996413936</v>
      </c>
      <c r="AC4056" s="832"/>
      <c r="AD4056" s="833"/>
      <c r="AE4056" s="956"/>
      <c r="AF4056" s="929">
        <f>IF(X4056=X4055,AF4055,0)+IF(ISNUMBER(I4056),IF(I4056&lt;1,I4056,I4056*VLOOKUP(J4056,Summary!$H$2:$I$9,2)),VLOOKUP(J4056,Summary!$J$2:$K$9,2)*IF(ISNUMBER(H4056),H4056,1))</f>
        <v>1.2132175925925928</v>
      </c>
      <c r="AG4056" s="307">
        <v>4055</v>
      </c>
      <c r="AH4056" s="94"/>
      <c r="AI4056" s="94"/>
    </row>
    <row r="4057" spans="1:36" s="43" customFormat="1" ht="12" customHeight="1" x14ac:dyDescent="0.25">
      <c r="A4057" s="600" t="s">
        <v>4660</v>
      </c>
      <c r="B4057" s="600">
        <v>10</v>
      </c>
      <c r="C4057" s="600">
        <v>2008.02</v>
      </c>
      <c r="D4057" s="434" t="s">
        <v>4419</v>
      </c>
      <c r="E4057" s="324" t="s">
        <v>4859</v>
      </c>
      <c r="F4057" s="174">
        <v>39326</v>
      </c>
      <c r="G4057" s="175"/>
      <c r="H4057" s="176" t="s">
        <v>461</v>
      </c>
      <c r="I4057" s="176">
        <v>9</v>
      </c>
      <c r="J4057" s="900" t="s">
        <v>2755</v>
      </c>
      <c r="K4057" s="157" t="s">
        <v>3451</v>
      </c>
      <c r="L4057" s="157" t="s">
        <v>6060</v>
      </c>
      <c r="M4057" s="157"/>
      <c r="N4057" s="157"/>
      <c r="O4057" s="157"/>
      <c r="P4057" s="173" t="s">
        <v>4421</v>
      </c>
      <c r="Q4057" s="157" t="s">
        <v>4841</v>
      </c>
      <c r="R4057" s="179" t="s">
        <v>3976</v>
      </c>
      <c r="S4057" s="354" t="s">
        <v>3073</v>
      </c>
      <c r="T4057" s="173"/>
      <c r="U4057" s="173"/>
      <c r="V4057" s="173"/>
      <c r="W4057" s="324" t="s">
        <v>4859</v>
      </c>
      <c r="X4057" s="656" t="s">
        <v>15460</v>
      </c>
      <c r="Y4057" s="363" t="s">
        <v>6868</v>
      </c>
      <c r="Z4057" s="364">
        <v>999</v>
      </c>
      <c r="AA4057" s="364"/>
      <c r="AB4057" s="32">
        <f t="shared" ca="1" si="105"/>
        <v>0.7403807689132359</v>
      </c>
      <c r="AC4057" s="812"/>
      <c r="AD4057" s="763"/>
      <c r="AE4057" s="951"/>
      <c r="AF4057" s="921">
        <f>IF(X4057=X4056,AF4056,0)+IF(ISNUMBER(I4057),IF(I4057&lt;1,I4057,I4057*VLOOKUP(J4057,Summary!$H$2:$I$9,2)),VLOOKUP(J4057,Summary!$J$2:$K$9,2)*IF(ISNUMBER(H4057),H4057,1))</f>
        <v>1.2194675925925929</v>
      </c>
      <c r="AG4057" s="288">
        <v>4056</v>
      </c>
      <c r="AH4057" s="94"/>
      <c r="AI4057" s="94"/>
    </row>
    <row r="4058" spans="1:36" s="43" customFormat="1" ht="12" customHeight="1" x14ac:dyDescent="0.25">
      <c r="A4058" s="600" t="s">
        <v>4660</v>
      </c>
      <c r="B4058" s="600">
        <v>10</v>
      </c>
      <c r="C4058" s="600">
        <v>2008.03</v>
      </c>
      <c r="D4058" s="434" t="s">
        <v>4419</v>
      </c>
      <c r="E4058" s="324" t="s">
        <v>4860</v>
      </c>
      <c r="F4058" s="174">
        <v>39326</v>
      </c>
      <c r="G4058" s="175"/>
      <c r="H4058" s="176" t="s">
        <v>461</v>
      </c>
      <c r="I4058" s="176">
        <v>9</v>
      </c>
      <c r="J4058" s="900" t="s">
        <v>2755</v>
      </c>
      <c r="K4058" s="157" t="s">
        <v>3800</v>
      </c>
      <c r="L4058" s="157" t="s">
        <v>3835</v>
      </c>
      <c r="M4058" s="157"/>
      <c r="N4058" s="157"/>
      <c r="O4058" s="157"/>
      <c r="P4058" s="173" t="s">
        <v>4421</v>
      </c>
      <c r="Q4058" s="157" t="s">
        <v>4841</v>
      </c>
      <c r="R4058" s="179" t="s">
        <v>3976</v>
      </c>
      <c r="S4058" s="354" t="s">
        <v>3073</v>
      </c>
      <c r="T4058" s="173"/>
      <c r="U4058" s="173"/>
      <c r="V4058" s="173"/>
      <c r="W4058" s="324" t="s">
        <v>4860</v>
      </c>
      <c r="X4058" s="656" t="s">
        <v>15460</v>
      </c>
      <c r="Y4058" s="363" t="s">
        <v>6868</v>
      </c>
      <c r="Z4058" s="364">
        <v>999</v>
      </c>
      <c r="AA4058" s="364"/>
      <c r="AB4058" s="32">
        <f t="shared" ca="1" si="105"/>
        <v>0.66931476101814869</v>
      </c>
      <c r="AC4058" s="812"/>
      <c r="AD4058" s="763"/>
      <c r="AE4058" s="951"/>
      <c r="AF4058" s="921">
        <f>IF(X4058=X4057,AF4057,0)+IF(ISNUMBER(I4058),IF(I4058&lt;1,I4058,I4058*VLOOKUP(J4058,Summary!$H$2:$I$9,2)),VLOOKUP(J4058,Summary!$J$2:$K$9,2)*IF(ISNUMBER(H4058),H4058,1))</f>
        <v>1.2257175925925929</v>
      </c>
      <c r="AG4058" s="288">
        <v>4057</v>
      </c>
      <c r="AH4058" s="94"/>
      <c r="AI4058" s="94"/>
      <c r="AJ4058" s="9"/>
    </row>
    <row r="4059" spans="1:36" s="1" customFormat="1" ht="12" customHeight="1" x14ac:dyDescent="0.25">
      <c r="A4059" s="600" t="s">
        <v>4660</v>
      </c>
      <c r="B4059" s="600">
        <v>10</v>
      </c>
      <c r="C4059" s="600">
        <v>2008.04</v>
      </c>
      <c r="D4059" s="434" t="s">
        <v>4419</v>
      </c>
      <c r="E4059" s="324" t="s">
        <v>4413</v>
      </c>
      <c r="F4059" s="174">
        <v>39326</v>
      </c>
      <c r="G4059" s="175"/>
      <c r="H4059" s="176" t="s">
        <v>461</v>
      </c>
      <c r="I4059" s="176">
        <v>9</v>
      </c>
      <c r="J4059" s="900" t="s">
        <v>2755</v>
      </c>
      <c r="K4059" s="157" t="s">
        <v>5658</v>
      </c>
      <c r="L4059" s="157" t="s">
        <v>4850</v>
      </c>
      <c r="M4059" s="157"/>
      <c r="N4059" s="157"/>
      <c r="O4059" s="157"/>
      <c r="P4059" s="173" t="s">
        <v>4421</v>
      </c>
      <c r="Q4059" s="157" t="s">
        <v>4841</v>
      </c>
      <c r="R4059" s="179" t="s">
        <v>3976</v>
      </c>
      <c r="S4059" s="354" t="s">
        <v>3073</v>
      </c>
      <c r="T4059" s="173"/>
      <c r="U4059" s="173"/>
      <c r="V4059" s="173"/>
      <c r="W4059" s="324" t="s">
        <v>4413</v>
      </c>
      <c r="X4059" s="656" t="s">
        <v>15460</v>
      </c>
      <c r="Y4059" s="363" t="s">
        <v>6868</v>
      </c>
      <c r="Z4059" s="364">
        <v>999</v>
      </c>
      <c r="AA4059" s="364"/>
      <c r="AB4059" s="32">
        <f t="shared" ca="1" si="105"/>
        <v>0.51341707049457763</v>
      </c>
      <c r="AC4059" s="812"/>
      <c r="AD4059" s="763"/>
      <c r="AE4059" s="951"/>
      <c r="AF4059" s="921">
        <f>IF(X4059=X4058,AF4058,0)+IF(ISNUMBER(I4059),IF(I4059&lt;1,I4059,I4059*VLOOKUP(J4059,Summary!$H$2:$I$9,2)),VLOOKUP(J4059,Summary!$J$2:$K$9,2)*IF(ISNUMBER(H4059),H4059,1))</f>
        <v>1.231967592592593</v>
      </c>
      <c r="AG4059" s="288">
        <v>4058</v>
      </c>
      <c r="AH4059" s="94"/>
      <c r="AI4059" s="94"/>
    </row>
    <row r="4060" spans="1:36" s="1" customFormat="1" ht="12" customHeight="1" x14ac:dyDescent="0.25">
      <c r="A4060" s="603" t="s">
        <v>4660</v>
      </c>
      <c r="B4060" s="603">
        <v>10</v>
      </c>
      <c r="C4060" s="603">
        <v>2008.05</v>
      </c>
      <c r="D4060" s="428" t="s">
        <v>4419</v>
      </c>
      <c r="E4060" s="325" t="s">
        <v>4414</v>
      </c>
      <c r="F4060" s="183">
        <v>39326</v>
      </c>
      <c r="G4060" s="184"/>
      <c r="H4060" s="185">
        <v>1</v>
      </c>
      <c r="I4060" s="185">
        <v>8</v>
      </c>
      <c r="J4060" s="901" t="s">
        <v>1796</v>
      </c>
      <c r="K4060" s="158" t="s">
        <v>177</v>
      </c>
      <c r="L4060" s="158" t="s">
        <v>6057</v>
      </c>
      <c r="M4060" s="158"/>
      <c r="N4060" s="158"/>
      <c r="O4060" s="158"/>
      <c r="P4060" s="182" t="s">
        <v>4421</v>
      </c>
      <c r="Q4060" s="158" t="s">
        <v>4841</v>
      </c>
      <c r="R4060" s="207" t="s">
        <v>3976</v>
      </c>
      <c r="S4060" s="355" t="s">
        <v>3073</v>
      </c>
      <c r="T4060" s="182"/>
      <c r="U4060" s="182"/>
      <c r="V4060" s="182"/>
      <c r="W4060" s="325" t="s">
        <v>4414</v>
      </c>
      <c r="X4060" s="657" t="s">
        <v>15460</v>
      </c>
      <c r="Y4060" s="361" t="s">
        <v>6868</v>
      </c>
      <c r="Z4060" s="362">
        <v>999</v>
      </c>
      <c r="AA4060" s="362"/>
      <c r="AB4060" s="33">
        <f t="shared" ca="1" si="105"/>
        <v>0.95685270653124788</v>
      </c>
      <c r="AC4060" s="813"/>
      <c r="AD4060" s="211" t="s">
        <v>16110</v>
      </c>
      <c r="AE4060" s="949" t="s">
        <v>12543</v>
      </c>
      <c r="AF4060" s="922">
        <f>IF(X4060=X4059,AF4059,0)+IF(ISNUMBER(I4060),IF(I4060&lt;1,I4060,I4060*VLOOKUP(J4060,Summary!$H$2:$I$9,2)),VLOOKUP(J4060,Summary!$J$2:$K$9,2)*IF(ISNUMBER(H4060),H4060,1))</f>
        <v>1.2347453703703708</v>
      </c>
      <c r="AG4060" s="295">
        <v>4059</v>
      </c>
      <c r="AH4060" s="94"/>
      <c r="AI4060" s="94"/>
    </row>
    <row r="4061" spans="1:36" s="1" customFormat="1" ht="12" customHeight="1" x14ac:dyDescent="0.25">
      <c r="A4061" s="600" t="s">
        <v>4660</v>
      </c>
      <c r="B4061" s="600">
        <v>10</v>
      </c>
      <c r="C4061" s="600">
        <v>2008.06</v>
      </c>
      <c r="D4061" s="434" t="s">
        <v>4419</v>
      </c>
      <c r="E4061" s="324" t="s">
        <v>4415</v>
      </c>
      <c r="F4061" s="174">
        <v>39326</v>
      </c>
      <c r="G4061" s="175"/>
      <c r="H4061" s="176" t="s">
        <v>461</v>
      </c>
      <c r="I4061" s="176">
        <v>9</v>
      </c>
      <c r="J4061" s="900" t="s">
        <v>2755</v>
      </c>
      <c r="K4061" s="157" t="s">
        <v>4549</v>
      </c>
      <c r="L4061" s="157" t="s">
        <v>3835</v>
      </c>
      <c r="M4061" s="157"/>
      <c r="N4061" s="157"/>
      <c r="O4061" s="157"/>
      <c r="P4061" s="173" t="s">
        <v>4421</v>
      </c>
      <c r="Q4061" s="157" t="s">
        <v>4841</v>
      </c>
      <c r="R4061" s="179" t="s">
        <v>3976</v>
      </c>
      <c r="S4061" s="354" t="s">
        <v>3073</v>
      </c>
      <c r="T4061" s="173"/>
      <c r="U4061" s="173"/>
      <c r="V4061" s="173"/>
      <c r="W4061" s="324" t="s">
        <v>4415</v>
      </c>
      <c r="X4061" s="656" t="s">
        <v>15460</v>
      </c>
      <c r="Y4061" s="363" t="s">
        <v>6868</v>
      </c>
      <c r="Z4061" s="364">
        <v>999</v>
      </c>
      <c r="AA4061" s="364"/>
      <c r="AB4061" s="32">
        <f t="shared" ca="1" si="105"/>
        <v>8.1188145697706826E-2</v>
      </c>
      <c r="AC4061" s="812"/>
      <c r="AD4061" s="763"/>
      <c r="AE4061" s="951"/>
      <c r="AF4061" s="921">
        <f>IF(X4061=X4060,AF4060,0)+IF(ISNUMBER(I4061),IF(I4061&lt;1,I4061,I4061*VLOOKUP(J4061,Summary!$H$2:$I$9,2)),VLOOKUP(J4061,Summary!$J$2:$K$9,2)*IF(ISNUMBER(H4061),H4061,1))</f>
        <v>1.2409953703703709</v>
      </c>
      <c r="AG4061" s="288">
        <v>4060</v>
      </c>
      <c r="AH4061" s="94"/>
      <c r="AI4061" s="94"/>
      <c r="AJ4061" s="3"/>
    </row>
    <row r="4062" spans="1:36" s="3" customFormat="1" ht="12" customHeight="1" x14ac:dyDescent="0.25">
      <c r="A4062" s="600" t="s">
        <v>4660</v>
      </c>
      <c r="B4062" s="600">
        <v>10</v>
      </c>
      <c r="C4062" s="600">
        <v>2008.07</v>
      </c>
      <c r="D4062" s="434" t="s">
        <v>4419</v>
      </c>
      <c r="E4062" s="324" t="s">
        <v>4416</v>
      </c>
      <c r="F4062" s="174">
        <v>39326</v>
      </c>
      <c r="G4062" s="175"/>
      <c r="H4062" s="176" t="s">
        <v>461</v>
      </c>
      <c r="I4062" s="176">
        <v>9</v>
      </c>
      <c r="J4062" s="900" t="s">
        <v>2755</v>
      </c>
      <c r="K4062" s="157" t="s">
        <v>543</v>
      </c>
      <c r="L4062" s="157" t="s">
        <v>3839</v>
      </c>
      <c r="M4062" s="157"/>
      <c r="N4062" s="157"/>
      <c r="O4062" s="157"/>
      <c r="P4062" s="173" t="s">
        <v>4421</v>
      </c>
      <c r="Q4062" s="157" t="s">
        <v>4841</v>
      </c>
      <c r="R4062" s="179" t="s">
        <v>3976</v>
      </c>
      <c r="S4062" s="354" t="s">
        <v>3073</v>
      </c>
      <c r="T4062" s="173"/>
      <c r="U4062" s="173"/>
      <c r="V4062" s="173"/>
      <c r="W4062" s="324" t="s">
        <v>4416</v>
      </c>
      <c r="X4062" s="656" t="s">
        <v>15460</v>
      </c>
      <c r="Y4062" s="363" t="s">
        <v>6868</v>
      </c>
      <c r="Z4062" s="364">
        <v>999</v>
      </c>
      <c r="AA4062" s="364"/>
      <c r="AB4062" s="32">
        <f t="shared" ca="1" si="105"/>
        <v>0.81585728850520634</v>
      </c>
      <c r="AC4062" s="812"/>
      <c r="AD4062" s="763"/>
      <c r="AE4062" s="951"/>
      <c r="AF4062" s="921">
        <f>IF(X4062=X4061,AF4061,0)+IF(ISNUMBER(I4062),IF(I4062&lt;1,I4062,I4062*VLOOKUP(J4062,Summary!$H$2:$I$9,2)),VLOOKUP(J4062,Summary!$J$2:$K$9,2)*IF(ISNUMBER(H4062),H4062,1))</f>
        <v>1.247245370370371</v>
      </c>
      <c r="AG4062" s="288">
        <v>4061</v>
      </c>
      <c r="AH4062" s="94"/>
      <c r="AI4062" s="94"/>
      <c r="AJ4062" s="1"/>
    </row>
    <row r="4063" spans="1:36" s="43" customFormat="1" ht="12" customHeight="1" x14ac:dyDescent="0.25">
      <c r="A4063" s="600" t="s">
        <v>4660</v>
      </c>
      <c r="B4063" s="600">
        <v>10</v>
      </c>
      <c r="C4063" s="600">
        <v>2008.08</v>
      </c>
      <c r="D4063" s="434" t="s">
        <v>4419</v>
      </c>
      <c r="E4063" s="324" t="s">
        <v>4417</v>
      </c>
      <c r="F4063" s="174">
        <v>39326</v>
      </c>
      <c r="G4063" s="175"/>
      <c r="H4063" s="176" t="s">
        <v>461</v>
      </c>
      <c r="I4063" s="176">
        <v>10</v>
      </c>
      <c r="J4063" s="900" t="s">
        <v>2755</v>
      </c>
      <c r="K4063" s="157" t="s">
        <v>2910</v>
      </c>
      <c r="L4063" s="157" t="s">
        <v>3543</v>
      </c>
      <c r="M4063" s="157"/>
      <c r="N4063" s="157"/>
      <c r="O4063" s="157"/>
      <c r="P4063" s="173" t="s">
        <v>4421</v>
      </c>
      <c r="Q4063" s="157" t="s">
        <v>4841</v>
      </c>
      <c r="R4063" s="179" t="s">
        <v>3976</v>
      </c>
      <c r="S4063" s="354" t="s">
        <v>3073</v>
      </c>
      <c r="T4063" s="173"/>
      <c r="U4063" s="173"/>
      <c r="V4063" s="173"/>
      <c r="W4063" s="324" t="s">
        <v>4417</v>
      </c>
      <c r="X4063" s="656" t="s">
        <v>15460</v>
      </c>
      <c r="Y4063" s="363" t="s">
        <v>6868</v>
      </c>
      <c r="Z4063" s="364">
        <v>999</v>
      </c>
      <c r="AA4063" s="364"/>
      <c r="AB4063" s="32">
        <f t="shared" ca="1" si="105"/>
        <v>0.24338962974790235</v>
      </c>
      <c r="AC4063" s="812"/>
      <c r="AD4063" s="763"/>
      <c r="AE4063" s="951"/>
      <c r="AF4063" s="921">
        <f>IF(X4063=X4062,AF4062,0)+IF(ISNUMBER(I4063),IF(I4063&lt;1,I4063,I4063*VLOOKUP(J4063,Summary!$H$2:$I$9,2)),VLOOKUP(J4063,Summary!$J$2:$K$9,2)*IF(ISNUMBER(H4063),H4063,1))</f>
        <v>1.2541898148148154</v>
      </c>
      <c r="AG4063" s="288">
        <v>4062</v>
      </c>
      <c r="AH4063" s="94"/>
      <c r="AI4063" s="94"/>
      <c r="AJ4063" s="3"/>
    </row>
    <row r="4064" spans="1:36" s="43" customFormat="1" ht="12" customHeight="1" x14ac:dyDescent="0.25">
      <c r="A4064" s="727" t="s">
        <v>4660</v>
      </c>
      <c r="B4064" s="727">
        <v>10</v>
      </c>
      <c r="C4064" s="727">
        <v>4</v>
      </c>
      <c r="D4064" s="619" t="s">
        <v>15610</v>
      </c>
      <c r="E4064" s="345" t="s">
        <v>15611</v>
      </c>
      <c r="F4064" s="219">
        <v>39268</v>
      </c>
      <c r="G4064" s="219"/>
      <c r="H4064" s="210" t="s">
        <v>461</v>
      </c>
      <c r="I4064" s="210">
        <v>128</v>
      </c>
      <c r="J4064" s="908" t="s">
        <v>15556</v>
      </c>
      <c r="K4064" s="166" t="s">
        <v>4422</v>
      </c>
      <c r="L4064" s="166"/>
      <c r="M4064" s="166"/>
      <c r="N4064" s="166"/>
      <c r="O4064" s="166"/>
      <c r="P4064" s="267" t="s">
        <v>15612</v>
      </c>
      <c r="Q4064" s="166" t="s">
        <v>3953</v>
      </c>
      <c r="R4064" s="268" t="s">
        <v>15583</v>
      </c>
      <c r="S4064" s="386" t="s">
        <v>3073</v>
      </c>
      <c r="T4064" s="267"/>
      <c r="U4064" s="267"/>
      <c r="V4064" s="267"/>
      <c r="W4064" s="345" t="s">
        <v>15611</v>
      </c>
      <c r="X4064" s="680" t="s">
        <v>15460</v>
      </c>
      <c r="Y4064" s="384"/>
      <c r="Z4064" s="385"/>
      <c r="AA4064" s="385"/>
      <c r="AB4064" s="41">
        <f t="shared" ca="1" si="105"/>
        <v>0.18947156553290978</v>
      </c>
      <c r="AC4064" s="832"/>
      <c r="AD4064" s="833"/>
      <c r="AE4064" s="956"/>
      <c r="AF4064" s="929">
        <f>IF(X4064=X4063,AF4063,0)+IF(ISNUMBER(I4064),IF(I4064&lt;1,I4064,I4064*VLOOKUP(J4064,Summary!$H$2:$I$9,2)),VLOOKUP(J4064,Summary!$J$2:$K$9,2)*IF(ISNUMBER(H4064),H4064,1))</f>
        <v>1.2986342592592599</v>
      </c>
      <c r="AG4064" s="307">
        <v>4063</v>
      </c>
      <c r="AH4064" s="94"/>
      <c r="AI4064" s="94"/>
      <c r="AJ4064" s="3"/>
    </row>
    <row r="4065" spans="1:36" s="43" customFormat="1" ht="12" customHeight="1" x14ac:dyDescent="0.25">
      <c r="A4065" s="604" t="s">
        <v>4660</v>
      </c>
      <c r="B4065" s="604">
        <v>10</v>
      </c>
      <c r="C4065" s="604">
        <v>16</v>
      </c>
      <c r="D4065" s="417" t="s">
        <v>2784</v>
      </c>
      <c r="E4065" s="316" t="s">
        <v>1207</v>
      </c>
      <c r="F4065" s="195">
        <v>39331</v>
      </c>
      <c r="G4065" s="195"/>
      <c r="H4065" s="188" t="str">
        <f>IF(J4065="Book","n/a","")</f>
        <v>n/a</v>
      </c>
      <c r="I4065" s="188">
        <v>244</v>
      </c>
      <c r="J4065" s="902" t="s">
        <v>6868</v>
      </c>
      <c r="K4065" s="162" t="s">
        <v>4033</v>
      </c>
      <c r="L4065" s="162" t="str">
        <f>IF(J4065="Book","n/a","")</f>
        <v>n/a</v>
      </c>
      <c r="M4065" s="162"/>
      <c r="N4065" s="162"/>
      <c r="O4065" s="162"/>
      <c r="P4065" s="178" t="s">
        <v>9031</v>
      </c>
      <c r="Q4065" s="162" t="s">
        <v>3953</v>
      </c>
      <c r="R4065" s="189" t="s">
        <v>2711</v>
      </c>
      <c r="S4065" s="366" t="s">
        <v>3073</v>
      </c>
      <c r="T4065" s="178"/>
      <c r="U4065" s="178"/>
      <c r="V4065" s="178"/>
      <c r="W4065" s="316" t="s">
        <v>1207</v>
      </c>
      <c r="X4065" s="648" t="s">
        <v>15460</v>
      </c>
      <c r="Y4065" s="356" t="s">
        <v>6868</v>
      </c>
      <c r="Z4065" s="272">
        <v>199</v>
      </c>
      <c r="AA4065" s="272">
        <v>3</v>
      </c>
      <c r="AB4065" s="34">
        <f t="shared" ca="1" si="105"/>
        <v>0.95523510290249025</v>
      </c>
      <c r="AC4065" s="814"/>
      <c r="AD4065" s="818" t="s">
        <v>14921</v>
      </c>
      <c r="AE4065" s="942"/>
      <c r="AF4065" s="923">
        <f>IF(X4065=X4064,AF4064,0)+IF(ISNUMBER(I4065),IF(I4065&lt;1,I4065,I4065*VLOOKUP(J4065,Summary!$H$2:$I$9,2)),VLOOKUP(J4065,Summary!$J$2:$K$9,2)*IF(ISNUMBER(H4065),H4065,1))</f>
        <v>1.4680787037037044</v>
      </c>
      <c r="AG4065" s="291">
        <v>4064</v>
      </c>
      <c r="AH4065" s="94"/>
      <c r="AI4065" s="94"/>
      <c r="AJ4065" s="3"/>
    </row>
    <row r="4066" spans="1:36" s="3" customFormat="1" ht="12" customHeight="1" x14ac:dyDescent="0.25">
      <c r="A4066" s="604" t="s">
        <v>4660</v>
      </c>
      <c r="B4066" s="604">
        <v>10</v>
      </c>
      <c r="C4066" s="604">
        <v>17</v>
      </c>
      <c r="D4066" s="417" t="s">
        <v>7730</v>
      </c>
      <c r="E4066" s="316" t="s">
        <v>6223</v>
      </c>
      <c r="F4066" s="195">
        <v>39331</v>
      </c>
      <c r="G4066" s="195"/>
      <c r="H4066" s="188" t="str">
        <f>IF(J4066="Book","n/a","")</f>
        <v>n/a</v>
      </c>
      <c r="I4066" s="188">
        <v>256</v>
      </c>
      <c r="J4066" s="902" t="s">
        <v>6868</v>
      </c>
      <c r="K4066" s="162" t="s">
        <v>5658</v>
      </c>
      <c r="L4066" s="162" t="str">
        <f>IF(J4066="Book","n/a","")</f>
        <v>n/a</v>
      </c>
      <c r="M4066" s="162"/>
      <c r="N4066" s="162"/>
      <c r="O4066" s="162"/>
      <c r="P4066" s="178" t="s">
        <v>9032</v>
      </c>
      <c r="Q4066" s="162" t="s">
        <v>3953</v>
      </c>
      <c r="R4066" s="189" t="s">
        <v>2711</v>
      </c>
      <c r="S4066" s="366" t="s">
        <v>3073</v>
      </c>
      <c r="T4066" s="178"/>
      <c r="U4066" s="178"/>
      <c r="V4066" s="178"/>
      <c r="W4066" s="316" t="s">
        <v>6223</v>
      </c>
      <c r="X4066" s="648" t="s">
        <v>15460</v>
      </c>
      <c r="Y4066" s="356" t="s">
        <v>6868</v>
      </c>
      <c r="Z4066" s="272">
        <v>221</v>
      </c>
      <c r="AA4066" s="272">
        <v>2.5</v>
      </c>
      <c r="AB4066" s="34">
        <f t="shared" ca="1" si="105"/>
        <v>0.50427703701764126</v>
      </c>
      <c r="AC4066" s="814"/>
      <c r="AD4066" s="815" t="s">
        <v>16447</v>
      </c>
      <c r="AE4066" s="942" t="s">
        <v>3365</v>
      </c>
      <c r="AF4066" s="923">
        <f>IF(X4066=X4065,AF4065,0)+IF(ISNUMBER(I4066),IF(I4066&lt;1,I4066,I4066*VLOOKUP(J4066,Summary!$H$2:$I$9,2)),VLOOKUP(J4066,Summary!$J$2:$K$9,2)*IF(ISNUMBER(H4066),H4066,1))</f>
        <v>1.6458564814814822</v>
      </c>
      <c r="AG4066" s="291">
        <v>4065</v>
      </c>
      <c r="AH4066" s="94"/>
      <c r="AI4066" s="94"/>
    </row>
    <row r="4067" spans="1:36" s="3" customFormat="1" ht="12" customHeight="1" x14ac:dyDescent="0.25">
      <c r="A4067" s="599" t="s">
        <v>15667</v>
      </c>
      <c r="B4067" s="599">
        <v>10</v>
      </c>
      <c r="C4067" s="599">
        <v>185</v>
      </c>
      <c r="D4067" s="424" t="s">
        <v>6224</v>
      </c>
      <c r="E4067" s="319" t="s">
        <v>6099</v>
      </c>
      <c r="F4067" s="198">
        <v>39228</v>
      </c>
      <c r="G4067" s="198">
        <v>39235</v>
      </c>
      <c r="H4067" s="199">
        <v>2</v>
      </c>
      <c r="I4067" s="791">
        <f>TIME(0,45, 0)+TIME(0,42,55)</f>
        <v>6.1053240740740741E-2</v>
      </c>
      <c r="J4067" s="904" t="s">
        <v>1588</v>
      </c>
      <c r="K4067" s="200" t="s">
        <v>3807</v>
      </c>
      <c r="L4067" s="200" t="s">
        <v>2972</v>
      </c>
      <c r="M4067" s="200"/>
      <c r="N4067" s="200" t="s">
        <v>3373</v>
      </c>
      <c r="O4067" s="200" t="s">
        <v>3375</v>
      </c>
      <c r="P4067" s="197" t="s">
        <v>461</v>
      </c>
      <c r="Q4067" s="200" t="s">
        <v>3946</v>
      </c>
      <c r="R4067" s="201" t="s">
        <v>5280</v>
      </c>
      <c r="S4067" s="390" t="s">
        <v>3073</v>
      </c>
      <c r="T4067" s="197"/>
      <c r="U4067" s="197"/>
      <c r="V4067" s="197"/>
      <c r="W4067" s="318" t="s">
        <v>8463</v>
      </c>
      <c r="X4067" s="650" t="s">
        <v>12344</v>
      </c>
      <c r="Y4067" s="358" t="s">
        <v>6141</v>
      </c>
      <c r="Z4067" s="253">
        <v>15</v>
      </c>
      <c r="AA4067" s="253">
        <v>9.5</v>
      </c>
      <c r="AB4067" s="35">
        <f t="shared" ca="1" si="105"/>
        <v>0.70788773165502228</v>
      </c>
      <c r="AC4067" s="820"/>
      <c r="AD4067" s="821" t="s">
        <v>16673</v>
      </c>
      <c r="AE4067" s="944"/>
      <c r="AF4067" s="925">
        <f>IF(X4067=X4066,AF4066,0)+IF(ISNUMBER(I4067),IF(I4067&lt;1,I4067,I4067*VLOOKUP(J4067,Summary!$H$2:$I$9,2)),VLOOKUP(J4067,Summary!$J$2:$K$9,2)*IF(ISNUMBER(H4067),H4067,1))</f>
        <v>6.1053240740740741E-2</v>
      </c>
      <c r="AG4067" s="293">
        <v>4066</v>
      </c>
      <c r="AH4067" s="94"/>
      <c r="AI4067" s="94"/>
    </row>
    <row r="4068" spans="1:36" s="1" customFormat="1" ht="12" customHeight="1" x14ac:dyDescent="0.25">
      <c r="A4068" s="603" t="s">
        <v>15667</v>
      </c>
      <c r="B4068" s="603">
        <v>10</v>
      </c>
      <c r="C4068" s="603">
        <v>127</v>
      </c>
      <c r="D4068" s="428" t="s">
        <v>4710</v>
      </c>
      <c r="E4068" s="325" t="s">
        <v>3978</v>
      </c>
      <c r="F4068" s="184">
        <v>39316</v>
      </c>
      <c r="G4068" s="184"/>
      <c r="H4068" s="185">
        <v>1</v>
      </c>
      <c r="I4068" s="185">
        <v>9</v>
      </c>
      <c r="J4068" s="901" t="s">
        <v>1796</v>
      </c>
      <c r="K4068" s="158" t="s">
        <v>6058</v>
      </c>
      <c r="L4068" s="158" t="s">
        <v>3832</v>
      </c>
      <c r="M4068" s="158" t="s">
        <v>252</v>
      </c>
      <c r="N4068" s="158" t="s">
        <v>5942</v>
      </c>
      <c r="O4068" s="158"/>
      <c r="P4068" s="182" t="s">
        <v>461</v>
      </c>
      <c r="Q4068" s="158" t="s">
        <v>4104</v>
      </c>
      <c r="R4068" s="207" t="s">
        <v>5266</v>
      </c>
      <c r="S4068" s="355" t="s">
        <v>3073</v>
      </c>
      <c r="T4068" s="182"/>
      <c r="U4068" s="182"/>
      <c r="V4068" s="182"/>
      <c r="W4068" s="325" t="s">
        <v>3978</v>
      </c>
      <c r="X4068" s="657" t="s">
        <v>12344</v>
      </c>
      <c r="Y4068" s="361" t="s">
        <v>5464</v>
      </c>
      <c r="Z4068" s="362"/>
      <c r="AA4068" s="362"/>
      <c r="AB4068" s="33">
        <f t="shared" ca="1" si="105"/>
        <v>0.20327775907001133</v>
      </c>
      <c r="AC4068" s="813"/>
      <c r="AD4068" s="211" t="s">
        <v>16306</v>
      </c>
      <c r="AE4068" s="949" t="s">
        <v>12543</v>
      </c>
      <c r="AF4068" s="922">
        <f>IF(X4068=X4067,AF4067,0)+IF(ISNUMBER(I4068),IF(I4068&lt;1,I4068,I4068*VLOOKUP(J4068,Summary!$H$2:$I$9,2)),VLOOKUP(J4068,Summary!$J$2:$K$9,2)*IF(ISNUMBER(H4068),H4068,1))</f>
        <v>6.4178240740740744E-2</v>
      </c>
      <c r="AG4068" s="295">
        <v>4067</v>
      </c>
      <c r="AH4068" s="94"/>
      <c r="AI4068" s="94"/>
    </row>
    <row r="4069" spans="1:36" s="22" customFormat="1" ht="12" customHeight="1" x14ac:dyDescent="0.2">
      <c r="A4069" s="603" t="s">
        <v>15667</v>
      </c>
      <c r="B4069" s="603">
        <v>10</v>
      </c>
      <c r="C4069" s="603">
        <v>2</v>
      </c>
      <c r="D4069" s="428" t="s">
        <v>13064</v>
      </c>
      <c r="E4069" s="325" t="s">
        <v>13065</v>
      </c>
      <c r="F4069" s="184">
        <v>39577</v>
      </c>
      <c r="G4069" s="184"/>
      <c r="H4069" s="185">
        <v>1</v>
      </c>
      <c r="I4069" s="185">
        <v>6</v>
      </c>
      <c r="J4069" s="901" t="s">
        <v>1796</v>
      </c>
      <c r="K4069" s="158" t="s">
        <v>7372</v>
      </c>
      <c r="L4069" s="158"/>
      <c r="M4069" s="158"/>
      <c r="N4069" s="158"/>
      <c r="O4069" s="158"/>
      <c r="P4069" s="182" t="s">
        <v>461</v>
      </c>
      <c r="Q4069" s="158" t="s">
        <v>3946</v>
      </c>
      <c r="R4069" s="207" t="s">
        <v>13062</v>
      </c>
      <c r="S4069" s="355" t="s">
        <v>3073</v>
      </c>
      <c r="T4069" s="182"/>
      <c r="U4069" s="182"/>
      <c r="V4069" s="182"/>
      <c r="W4069" s="325" t="s">
        <v>13065</v>
      </c>
      <c r="X4069" s="657" t="s">
        <v>12344</v>
      </c>
      <c r="Y4069" s="361" t="s">
        <v>4707</v>
      </c>
      <c r="Z4069" s="362"/>
      <c r="AA4069" s="362"/>
      <c r="AB4069" s="33">
        <f t="shared" ca="1" si="105"/>
        <v>0.20215039986617755</v>
      </c>
      <c r="AC4069" s="813"/>
      <c r="AD4069" s="211"/>
      <c r="AE4069" s="949"/>
      <c r="AF4069" s="922">
        <f>IF(X4069=X4068,AF4068,0)+IF(ISNUMBER(I4069),IF(I4069&lt;1,I4069,I4069*VLOOKUP(J4069,Summary!$H$2:$I$9,2)),VLOOKUP(J4069,Summary!$J$2:$K$9,2)*IF(ISNUMBER(H4069),H4069,1))</f>
        <v>6.6261574074074084E-2</v>
      </c>
      <c r="AG4069" s="295">
        <v>4068</v>
      </c>
      <c r="AH4069" s="94"/>
      <c r="AI4069" s="94"/>
    </row>
    <row r="4070" spans="1:36" s="1" customFormat="1" ht="12" customHeight="1" x14ac:dyDescent="0.25">
      <c r="A4070" s="600" t="s">
        <v>15667</v>
      </c>
      <c r="B4070" s="600">
        <v>10</v>
      </c>
      <c r="C4070" s="600">
        <v>28.3</v>
      </c>
      <c r="D4070" s="434" t="s">
        <v>13252</v>
      </c>
      <c r="E4070" s="324" t="s">
        <v>13253</v>
      </c>
      <c r="F4070" s="175">
        <v>39808</v>
      </c>
      <c r="G4070" s="175"/>
      <c r="H4070" s="176">
        <v>1</v>
      </c>
      <c r="I4070" s="176"/>
      <c r="J4070" s="900" t="s">
        <v>2755</v>
      </c>
      <c r="K4070" s="157" t="s">
        <v>13254</v>
      </c>
      <c r="L4070" s="157"/>
      <c r="M4070" s="157" t="s">
        <v>13251</v>
      </c>
      <c r="N4070" s="157"/>
      <c r="O4070" s="157"/>
      <c r="P4070" s="173" t="s">
        <v>9043</v>
      </c>
      <c r="Q4070" s="157" t="s">
        <v>3954</v>
      </c>
      <c r="R4070" s="179" t="s">
        <v>13247</v>
      </c>
      <c r="S4070" s="354" t="s">
        <v>3073</v>
      </c>
      <c r="T4070" s="173"/>
      <c r="U4070" s="173"/>
      <c r="V4070" s="173"/>
      <c r="W4070" s="324" t="s">
        <v>13253</v>
      </c>
      <c r="X4070" s="656" t="s">
        <v>12344</v>
      </c>
      <c r="Y4070" s="363"/>
      <c r="Z4070" s="364"/>
      <c r="AA4070" s="364"/>
      <c r="AB4070" s="32">
        <f t="shared" ca="1" si="105"/>
        <v>0.67668380780739312</v>
      </c>
      <c r="AC4070" s="812"/>
      <c r="AD4070" s="763" t="s">
        <v>16106</v>
      </c>
      <c r="AE4070" s="951"/>
      <c r="AF4070" s="921">
        <f>IF(X4070=X4069,AF4069,0)+IF(ISNUMBER(I4070),IF(I4070&lt;1,I4070,I4070*VLOOKUP(J4070,Summary!$H$2:$I$9,2)),VLOOKUP(J4070,Summary!$J$2:$K$9,2)*IF(ISNUMBER(H4070),H4070,1))</f>
        <v>8.3622685185185203E-2</v>
      </c>
      <c r="AG4070" s="288">
        <v>4069</v>
      </c>
      <c r="AH4070" s="94"/>
      <c r="AI4070" s="94"/>
      <c r="AJ4070" s="3"/>
    </row>
    <row r="4071" spans="1:36" s="1" customFormat="1" ht="12" customHeight="1" x14ac:dyDescent="0.25">
      <c r="A4071" s="604" t="s">
        <v>15667</v>
      </c>
      <c r="B4071" s="604">
        <v>10</v>
      </c>
      <c r="C4071" s="604">
        <v>18</v>
      </c>
      <c r="D4071" s="417" t="s">
        <v>7732</v>
      </c>
      <c r="E4071" s="316" t="s">
        <v>4534</v>
      </c>
      <c r="F4071" s="195">
        <v>39331</v>
      </c>
      <c r="G4071" s="195"/>
      <c r="H4071" s="188" t="str">
        <f>IF(J4071="Book","n/a","")</f>
        <v>n/a</v>
      </c>
      <c r="I4071" s="188">
        <v>244</v>
      </c>
      <c r="J4071" s="902" t="s">
        <v>6868</v>
      </c>
      <c r="K4071" s="162" t="s">
        <v>1936</v>
      </c>
      <c r="L4071" s="162" t="str">
        <f>IF(J4071="Book","n/a","")</f>
        <v>n/a</v>
      </c>
      <c r="M4071" s="162"/>
      <c r="N4071" s="162"/>
      <c r="O4071" s="162"/>
      <c r="P4071" s="178" t="s">
        <v>9033</v>
      </c>
      <c r="Q4071" s="162" t="s">
        <v>3953</v>
      </c>
      <c r="R4071" s="189" t="s">
        <v>2711</v>
      </c>
      <c r="S4071" s="366" t="s">
        <v>3073</v>
      </c>
      <c r="T4071" s="396"/>
      <c r="U4071" s="178"/>
      <c r="V4071" s="178"/>
      <c r="W4071" s="316" t="s">
        <v>4534</v>
      </c>
      <c r="X4071" s="648" t="s">
        <v>12344</v>
      </c>
      <c r="Y4071" s="356" t="s">
        <v>6868</v>
      </c>
      <c r="Z4071" s="272">
        <v>15</v>
      </c>
      <c r="AA4071" s="272">
        <v>9</v>
      </c>
      <c r="AB4071" s="34">
        <f t="shared" ca="1" si="105"/>
        <v>0.66245384580169997</v>
      </c>
      <c r="AC4071" s="814"/>
      <c r="AD4071" s="815" t="s">
        <v>16114</v>
      </c>
      <c r="AE4071" s="942"/>
      <c r="AF4071" s="923">
        <f>IF(X4071=X4070,AF4070,0)+IF(ISNUMBER(I4071),IF(I4071&lt;1,I4071,I4071*VLOOKUP(J4071,Summary!$H$2:$I$9,2)),VLOOKUP(J4071,Summary!$J$2:$K$9,2)*IF(ISNUMBER(H4071),H4071,1))</f>
        <v>0.25306712962962963</v>
      </c>
      <c r="AG4071" s="291">
        <v>4070</v>
      </c>
      <c r="AH4071" s="94"/>
      <c r="AI4071" s="94"/>
      <c r="AJ4071" s="3"/>
    </row>
    <row r="4072" spans="1:36" s="1" customFormat="1" ht="12" customHeight="1" x14ac:dyDescent="0.25">
      <c r="A4072" s="727" t="s">
        <v>15667</v>
      </c>
      <c r="B4072" s="727">
        <v>10</v>
      </c>
      <c r="C4072" s="727">
        <v>5</v>
      </c>
      <c r="D4072" s="619" t="s">
        <v>15613</v>
      </c>
      <c r="E4072" s="345" t="s">
        <v>15614</v>
      </c>
      <c r="F4072" s="219">
        <v>39359</v>
      </c>
      <c r="G4072" s="219"/>
      <c r="H4072" s="210" t="s">
        <v>461</v>
      </c>
      <c r="I4072" s="210">
        <v>128</v>
      </c>
      <c r="J4072" s="908" t="s">
        <v>15556</v>
      </c>
      <c r="K4072" s="166" t="s">
        <v>7798</v>
      </c>
      <c r="L4072" s="166"/>
      <c r="M4072" s="166"/>
      <c r="N4072" s="166"/>
      <c r="O4072" s="166"/>
      <c r="P4072" s="267" t="s">
        <v>15615</v>
      </c>
      <c r="Q4072" s="166" t="s">
        <v>3953</v>
      </c>
      <c r="R4072" s="268" t="s">
        <v>15583</v>
      </c>
      <c r="S4072" s="386" t="s">
        <v>3073</v>
      </c>
      <c r="T4072" s="267"/>
      <c r="U4072" s="267"/>
      <c r="V4072" s="267"/>
      <c r="W4072" s="345" t="s">
        <v>15614</v>
      </c>
      <c r="X4072" s="680" t="s">
        <v>12344</v>
      </c>
      <c r="Y4072" s="384"/>
      <c r="Z4072" s="385"/>
      <c r="AA4072" s="385"/>
      <c r="AB4072" s="41">
        <f t="shared" ca="1" si="105"/>
        <v>0.76446018175687125</v>
      </c>
      <c r="AC4072" s="832"/>
      <c r="AD4072" s="833"/>
      <c r="AE4072" s="956"/>
      <c r="AF4072" s="929">
        <f>IF(X4072=X4071,AF4071,0)+IF(ISNUMBER(I4072),IF(I4072&lt;1,I4072,I4072*VLOOKUP(J4072,Summary!$H$2:$I$9,2)),VLOOKUP(J4072,Summary!$J$2:$K$9,2)*IF(ISNUMBER(H4072),H4072,1))</f>
        <v>0.29751157407407408</v>
      </c>
      <c r="AG4072" s="307">
        <v>4071</v>
      </c>
      <c r="AH4072" s="94"/>
      <c r="AI4072" s="94"/>
    </row>
    <row r="4073" spans="1:36" s="3" customFormat="1" ht="12" customHeight="1" x14ac:dyDescent="0.25">
      <c r="A4073" s="600" t="s">
        <v>15667</v>
      </c>
      <c r="B4073" s="600">
        <v>10</v>
      </c>
      <c r="C4073" s="607">
        <v>1.1000000000000001</v>
      </c>
      <c r="D4073" s="434" t="s">
        <v>9262</v>
      </c>
      <c r="E4073" s="324" t="s">
        <v>9263</v>
      </c>
      <c r="F4073" s="175">
        <v>41570</v>
      </c>
      <c r="G4073" s="175"/>
      <c r="H4073" s="176">
        <v>1</v>
      </c>
      <c r="I4073" s="176">
        <v>51</v>
      </c>
      <c r="J4073" s="900" t="s">
        <v>2755</v>
      </c>
      <c r="K4073" s="157" t="s">
        <v>9264</v>
      </c>
      <c r="L4073" s="157"/>
      <c r="M4073" s="157"/>
      <c r="N4073" s="157"/>
      <c r="O4073" s="157"/>
      <c r="P4073" s="173" t="s">
        <v>9237</v>
      </c>
      <c r="Q4073" s="157" t="s">
        <v>9235</v>
      </c>
      <c r="R4073" s="179" t="s">
        <v>9236</v>
      </c>
      <c r="S4073" s="354" t="s">
        <v>3073</v>
      </c>
      <c r="T4073" s="173"/>
      <c r="U4073" s="173"/>
      <c r="V4073" s="173"/>
      <c r="W4073" s="324" t="s">
        <v>9263</v>
      </c>
      <c r="X4073" s="656" t="s">
        <v>12344</v>
      </c>
      <c r="Y4073" s="363" t="s">
        <v>6868</v>
      </c>
      <c r="Z4073" s="364"/>
      <c r="AA4073" s="364"/>
      <c r="AB4073" s="32">
        <f t="shared" ca="1" si="105"/>
        <v>0.38153237305590282</v>
      </c>
      <c r="AC4073" s="812"/>
      <c r="AD4073" s="763"/>
      <c r="AE4073" s="951"/>
      <c r="AF4073" s="921">
        <f>IF(X4073=X4072,AF4072,0)+IF(ISNUMBER(I4073),IF(I4073&lt;1,I4073,I4073*VLOOKUP(J4073,Summary!$H$2:$I$9,2)),VLOOKUP(J4073,Summary!$J$2:$K$9,2)*IF(ISNUMBER(H4073),H4073,1))</f>
        <v>0.33292824074074073</v>
      </c>
      <c r="AG4073" s="288">
        <v>4072</v>
      </c>
      <c r="AH4073" s="94"/>
      <c r="AI4073" s="94"/>
    </row>
    <row r="4074" spans="1:36" s="1" customFormat="1" ht="12" customHeight="1" x14ac:dyDescent="0.25">
      <c r="A4074" s="603" t="s">
        <v>15667</v>
      </c>
      <c r="B4074" s="603">
        <v>10</v>
      </c>
      <c r="C4074" s="603"/>
      <c r="D4074" s="428" t="s">
        <v>4418</v>
      </c>
      <c r="E4074" s="325" t="s">
        <v>4855</v>
      </c>
      <c r="F4074" s="183">
        <v>39326</v>
      </c>
      <c r="G4074" s="184"/>
      <c r="H4074" s="185">
        <v>1</v>
      </c>
      <c r="I4074" s="185">
        <v>6</v>
      </c>
      <c r="J4074" s="901" t="s">
        <v>1796</v>
      </c>
      <c r="K4074" s="158" t="s">
        <v>4422</v>
      </c>
      <c r="L4074" s="158" t="s">
        <v>3832</v>
      </c>
      <c r="M4074" s="158" t="s">
        <v>252</v>
      </c>
      <c r="N4074" s="158"/>
      <c r="O4074" s="158"/>
      <c r="P4074" s="182" t="s">
        <v>4420</v>
      </c>
      <c r="Q4074" s="158" t="s">
        <v>3954</v>
      </c>
      <c r="R4074" s="207" t="s">
        <v>4600</v>
      </c>
      <c r="S4074" s="355" t="s">
        <v>3073</v>
      </c>
      <c r="T4074" s="182"/>
      <c r="U4074" s="182"/>
      <c r="V4074" s="182"/>
      <c r="W4074" s="325" t="s">
        <v>4855</v>
      </c>
      <c r="X4074" s="657" t="s">
        <v>12344</v>
      </c>
      <c r="Y4074" s="361" t="s">
        <v>6868</v>
      </c>
      <c r="Z4074" s="362">
        <v>999</v>
      </c>
      <c r="AA4074" s="362"/>
      <c r="AB4074" s="33">
        <f t="shared" ca="1" si="105"/>
        <v>0.3416522827272005</v>
      </c>
      <c r="AC4074" s="813"/>
      <c r="AD4074" s="211"/>
      <c r="AE4074" s="949"/>
      <c r="AF4074" s="922">
        <f>IF(X4074=X4073,AF4073,0)+IF(ISNUMBER(I4074),IF(I4074&lt;1,I4074,I4074*VLOOKUP(J4074,Summary!$H$2:$I$9,2)),VLOOKUP(J4074,Summary!$J$2:$K$9,2)*IF(ISNUMBER(H4074),H4074,1))</f>
        <v>0.33501157407407406</v>
      </c>
      <c r="AG4074" s="295">
        <v>4073</v>
      </c>
      <c r="AH4074" s="94"/>
      <c r="AI4074" s="94"/>
      <c r="AJ4074" s="22"/>
    </row>
    <row r="4075" spans="1:36" s="22" customFormat="1" ht="12" customHeight="1" x14ac:dyDescent="0.25">
      <c r="A4075" s="600" t="s">
        <v>15667</v>
      </c>
      <c r="B4075" s="600">
        <v>10</v>
      </c>
      <c r="C4075" s="600"/>
      <c r="D4075" s="434" t="s">
        <v>4418</v>
      </c>
      <c r="E4075" s="324" t="s">
        <v>4856</v>
      </c>
      <c r="F4075" s="174">
        <v>39326</v>
      </c>
      <c r="G4075" s="175"/>
      <c r="H4075" s="176">
        <v>1</v>
      </c>
      <c r="I4075" s="176">
        <v>5</v>
      </c>
      <c r="J4075" s="900" t="s">
        <v>2755</v>
      </c>
      <c r="K4075" s="157" t="s">
        <v>543</v>
      </c>
      <c r="L4075" s="157" t="s">
        <v>3365</v>
      </c>
      <c r="M4075" s="157"/>
      <c r="N4075" s="157"/>
      <c r="O4075" s="157"/>
      <c r="P4075" s="173" t="s">
        <v>4420</v>
      </c>
      <c r="Q4075" s="157" t="s">
        <v>3954</v>
      </c>
      <c r="R4075" s="179" t="s">
        <v>4600</v>
      </c>
      <c r="S4075" s="354" t="s">
        <v>3073</v>
      </c>
      <c r="T4075" s="173"/>
      <c r="U4075" s="173"/>
      <c r="V4075" s="173"/>
      <c r="W4075" s="324" t="s">
        <v>4856</v>
      </c>
      <c r="X4075" s="656" t="s">
        <v>12344</v>
      </c>
      <c r="Y4075" s="363" t="s">
        <v>6868</v>
      </c>
      <c r="Z4075" s="364">
        <v>999</v>
      </c>
      <c r="AA4075" s="364"/>
      <c r="AB4075" s="32">
        <f t="shared" ca="1" si="105"/>
        <v>0.36996499059279142</v>
      </c>
      <c r="AC4075" s="812"/>
      <c r="AD4075" s="763"/>
      <c r="AE4075" s="951"/>
      <c r="AF4075" s="921">
        <f>IF(X4075=X4074,AF4074,0)+IF(ISNUMBER(I4075),IF(I4075&lt;1,I4075,I4075*VLOOKUP(J4075,Summary!$H$2:$I$9,2)),VLOOKUP(J4075,Summary!$J$2:$K$9,2)*IF(ISNUMBER(H4075),H4075,1))</f>
        <v>0.33848379629629627</v>
      </c>
      <c r="AG4075" s="288">
        <v>4074</v>
      </c>
      <c r="AH4075" s="94"/>
      <c r="AI4075" s="94"/>
      <c r="AJ4075" s="1"/>
    </row>
    <row r="4076" spans="1:36" s="1" customFormat="1" ht="12" customHeight="1" x14ac:dyDescent="0.25">
      <c r="A4076" s="603" t="s">
        <v>15667</v>
      </c>
      <c r="B4076" s="603">
        <v>10</v>
      </c>
      <c r="C4076" s="603"/>
      <c r="D4076" s="428" t="s">
        <v>4418</v>
      </c>
      <c r="E4076" s="325" t="s">
        <v>4857</v>
      </c>
      <c r="F4076" s="183">
        <v>39326</v>
      </c>
      <c r="G4076" s="184"/>
      <c r="H4076" s="185">
        <v>1</v>
      </c>
      <c r="I4076" s="185">
        <v>7</v>
      </c>
      <c r="J4076" s="901" t="s">
        <v>1796</v>
      </c>
      <c r="K4076" s="158" t="s">
        <v>4422</v>
      </c>
      <c r="L4076" s="158" t="s">
        <v>3832</v>
      </c>
      <c r="M4076" s="158" t="s">
        <v>252</v>
      </c>
      <c r="N4076" s="158"/>
      <c r="O4076" s="158"/>
      <c r="P4076" s="182" t="s">
        <v>4420</v>
      </c>
      <c r="Q4076" s="158" t="s">
        <v>3954</v>
      </c>
      <c r="R4076" s="207" t="s">
        <v>4600</v>
      </c>
      <c r="S4076" s="355" t="s">
        <v>3073</v>
      </c>
      <c r="T4076" s="182"/>
      <c r="U4076" s="182"/>
      <c r="V4076" s="182"/>
      <c r="W4076" s="325" t="s">
        <v>4857</v>
      </c>
      <c r="X4076" s="657" t="s">
        <v>12344</v>
      </c>
      <c r="Y4076" s="361" t="s">
        <v>6868</v>
      </c>
      <c r="Z4076" s="362">
        <v>999</v>
      </c>
      <c r="AA4076" s="362"/>
      <c r="AB4076" s="33">
        <f t="shared" ca="1" si="105"/>
        <v>0.42928632973903769</v>
      </c>
      <c r="AC4076" s="813"/>
      <c r="AD4076" s="211"/>
      <c r="AE4076" s="949"/>
      <c r="AF4076" s="922">
        <f>IF(X4076=X4075,AF4075,0)+IF(ISNUMBER(I4076),IF(I4076&lt;1,I4076,I4076*VLOOKUP(J4076,Summary!$H$2:$I$9,2)),VLOOKUP(J4076,Summary!$J$2:$K$9,2)*IF(ISNUMBER(H4076),H4076,1))</f>
        <v>0.34091435185185182</v>
      </c>
      <c r="AG4076" s="295">
        <v>4075</v>
      </c>
      <c r="AH4076" s="94"/>
      <c r="AI4076" s="94"/>
    </row>
    <row r="4077" spans="1:36" s="1" customFormat="1" ht="12" customHeight="1" x14ac:dyDescent="0.25">
      <c r="A4077" s="603" t="s">
        <v>15667</v>
      </c>
      <c r="B4077" s="603">
        <v>10</v>
      </c>
      <c r="C4077" s="603">
        <v>128</v>
      </c>
      <c r="D4077" s="428" t="s">
        <v>4711</v>
      </c>
      <c r="E4077" s="325" t="s">
        <v>3979</v>
      </c>
      <c r="F4077" s="184">
        <v>39344</v>
      </c>
      <c r="G4077" s="184">
        <v>39428</v>
      </c>
      <c r="H4077" s="185">
        <v>4</v>
      </c>
      <c r="I4077" s="185">
        <v>38</v>
      </c>
      <c r="J4077" s="901" t="s">
        <v>1796</v>
      </c>
      <c r="K4077" s="158" t="s">
        <v>1727</v>
      </c>
      <c r="L4077" s="158" t="s">
        <v>6057</v>
      </c>
      <c r="M4077" s="158" t="s">
        <v>252</v>
      </c>
      <c r="N4077" s="163" t="s">
        <v>5942</v>
      </c>
      <c r="O4077" s="158"/>
      <c r="P4077" s="182" t="s">
        <v>461</v>
      </c>
      <c r="Q4077" s="158" t="s">
        <v>4104</v>
      </c>
      <c r="R4077" s="207" t="s">
        <v>5266</v>
      </c>
      <c r="S4077" s="355" t="s">
        <v>3073</v>
      </c>
      <c r="T4077" s="182"/>
      <c r="U4077" s="182"/>
      <c r="V4077" s="182"/>
      <c r="W4077" s="321"/>
      <c r="X4077" s="653" t="s">
        <v>12344</v>
      </c>
      <c r="Y4077" s="361" t="s">
        <v>5464</v>
      </c>
      <c r="Z4077" s="362"/>
      <c r="AA4077" s="362"/>
      <c r="AB4077" s="33">
        <f t="shared" ca="1" si="105"/>
        <v>0.59550156527415787</v>
      </c>
      <c r="AC4077" s="813"/>
      <c r="AD4077" s="211" t="s">
        <v>16678</v>
      </c>
      <c r="AE4077" s="949"/>
      <c r="AF4077" s="922">
        <f>IF(X4077=X4076,AF4076,0)+IF(ISNUMBER(I4077),IF(I4077&lt;1,I4077,I4077*VLOOKUP(J4077,Summary!$H$2:$I$9,2)),VLOOKUP(J4077,Summary!$J$2:$K$9,2)*IF(ISNUMBER(H4077),H4077,1))</f>
        <v>0.35410879629629627</v>
      </c>
      <c r="AG4077" s="295">
        <v>4076</v>
      </c>
      <c r="AH4077" s="94"/>
      <c r="AI4077" s="94"/>
    </row>
    <row r="4078" spans="1:36" s="1" customFormat="1" ht="12" customHeight="1" x14ac:dyDescent="0.25">
      <c r="A4078" s="727" t="s">
        <v>15667</v>
      </c>
      <c r="B4078" s="727">
        <v>10</v>
      </c>
      <c r="C4078" s="727">
        <v>6</v>
      </c>
      <c r="D4078" s="619" t="s">
        <v>15616</v>
      </c>
      <c r="E4078" s="345" t="s">
        <v>15617</v>
      </c>
      <c r="F4078" s="219">
        <v>39359</v>
      </c>
      <c r="G4078" s="219"/>
      <c r="H4078" s="210" t="s">
        <v>461</v>
      </c>
      <c r="I4078" s="210">
        <v>128</v>
      </c>
      <c r="J4078" s="908" t="s">
        <v>15556</v>
      </c>
      <c r="K4078" s="166" t="s">
        <v>4032</v>
      </c>
      <c r="L4078" s="166"/>
      <c r="M4078" s="166"/>
      <c r="N4078" s="166"/>
      <c r="O4078" s="166"/>
      <c r="P4078" s="267" t="s">
        <v>15618</v>
      </c>
      <c r="Q4078" s="166" t="s">
        <v>3953</v>
      </c>
      <c r="R4078" s="268" t="s">
        <v>15583</v>
      </c>
      <c r="S4078" s="386" t="s">
        <v>3073</v>
      </c>
      <c r="T4078" s="267"/>
      <c r="U4078" s="267"/>
      <c r="V4078" s="267"/>
      <c r="W4078" s="345" t="s">
        <v>15617</v>
      </c>
      <c r="X4078" s="680" t="s">
        <v>12344</v>
      </c>
      <c r="Y4078" s="384"/>
      <c r="Z4078" s="385"/>
      <c r="AA4078" s="385"/>
      <c r="AB4078" s="41">
        <f t="shared" ca="1" si="105"/>
        <v>0.80475785698081914</v>
      </c>
      <c r="AC4078" s="832"/>
      <c r="AD4078" s="833"/>
      <c r="AE4078" s="956"/>
      <c r="AF4078" s="929">
        <f>IF(X4078=X4077,AF4077,0)+IF(ISNUMBER(I4078),IF(I4078&lt;1,I4078,I4078*VLOOKUP(J4078,Summary!$H$2:$I$9,2)),VLOOKUP(J4078,Summary!$J$2:$K$9,2)*IF(ISNUMBER(H4078),H4078,1))</f>
        <v>0.39855324074074072</v>
      </c>
      <c r="AG4078" s="307">
        <v>4077</v>
      </c>
      <c r="AH4078" s="94"/>
      <c r="AI4078" s="94"/>
    </row>
    <row r="4079" spans="1:36" s="1" customFormat="1" ht="12" customHeight="1" x14ac:dyDescent="0.25">
      <c r="A4079" s="603" t="s">
        <v>15667</v>
      </c>
      <c r="B4079" s="603">
        <v>10</v>
      </c>
      <c r="C4079" s="603">
        <v>9</v>
      </c>
      <c r="D4079" s="428" t="s">
        <v>6177</v>
      </c>
      <c r="E4079" s="325" t="s">
        <v>6178</v>
      </c>
      <c r="F4079" s="184">
        <v>39330</v>
      </c>
      <c r="G4079" s="184">
        <v>39372</v>
      </c>
      <c r="H4079" s="185">
        <v>4</v>
      </c>
      <c r="I4079" s="185">
        <v>16</v>
      </c>
      <c r="J4079" s="901" t="s">
        <v>1796</v>
      </c>
      <c r="K4079" s="158" t="s">
        <v>4797</v>
      </c>
      <c r="L4079" s="158" t="s">
        <v>7928</v>
      </c>
      <c r="M4079" s="158" t="s">
        <v>254</v>
      </c>
      <c r="N4079" s="158" t="s">
        <v>4511</v>
      </c>
      <c r="O4079" s="158"/>
      <c r="P4079" s="182" t="s">
        <v>461</v>
      </c>
      <c r="Q4079" s="158" t="s">
        <v>4798</v>
      </c>
      <c r="R4079" s="207" t="s">
        <v>4795</v>
      </c>
      <c r="S4079" s="355" t="s">
        <v>3073</v>
      </c>
      <c r="T4079" s="182"/>
      <c r="U4079" s="182"/>
      <c r="V4079" s="182"/>
      <c r="W4079" s="321" t="s">
        <v>8461</v>
      </c>
      <c r="X4079" s="653" t="s">
        <v>12344</v>
      </c>
      <c r="Y4079" s="361"/>
      <c r="Z4079" s="362"/>
      <c r="AA4079" s="362"/>
      <c r="AB4079" s="33">
        <f t="shared" ca="1" si="105"/>
        <v>0.5782408673026822</v>
      </c>
      <c r="AC4079" s="813"/>
      <c r="AD4079" s="211"/>
      <c r="AE4079" s="949"/>
      <c r="AF4079" s="922">
        <f>IF(X4079=X4078,AF4078,0)+IF(ISNUMBER(I4079),IF(I4079&lt;1,I4079,I4079*VLOOKUP(J4079,Summary!$H$2:$I$9,2)),VLOOKUP(J4079,Summary!$J$2:$K$9,2)*IF(ISNUMBER(H4079),H4079,1))</f>
        <v>0.40410879629629626</v>
      </c>
      <c r="AG4079" s="295">
        <v>4078</v>
      </c>
      <c r="AH4079" s="94"/>
      <c r="AI4079" s="94"/>
    </row>
    <row r="4080" spans="1:36" s="1" customFormat="1" ht="12" customHeight="1" x14ac:dyDescent="0.25">
      <c r="A4080" s="603" t="s">
        <v>15667</v>
      </c>
      <c r="B4080" s="603">
        <v>10</v>
      </c>
      <c r="C4080" s="603">
        <v>26</v>
      </c>
      <c r="D4080" s="428" t="s">
        <v>5084</v>
      </c>
      <c r="E4080" s="325" t="s">
        <v>4717</v>
      </c>
      <c r="F4080" s="184">
        <v>39338</v>
      </c>
      <c r="G4080" s="184">
        <v>39365</v>
      </c>
      <c r="H4080" s="185">
        <v>2</v>
      </c>
      <c r="I4080" s="185">
        <v>12</v>
      </c>
      <c r="J4080" s="901" t="s">
        <v>1796</v>
      </c>
      <c r="K4080" s="158" t="s">
        <v>4032</v>
      </c>
      <c r="L4080" s="158" t="s">
        <v>3832</v>
      </c>
      <c r="M4080" s="158" t="s">
        <v>254</v>
      </c>
      <c r="N4080" s="158" t="s">
        <v>5317</v>
      </c>
      <c r="O4080" s="158"/>
      <c r="P4080" s="182" t="s">
        <v>461</v>
      </c>
      <c r="Q4080" s="158" t="s">
        <v>4929</v>
      </c>
      <c r="R4080" s="207" t="s">
        <v>4796</v>
      </c>
      <c r="S4080" s="355" t="s">
        <v>3073</v>
      </c>
      <c r="T4080" s="182"/>
      <c r="U4080" s="182"/>
      <c r="V4080" s="182"/>
      <c r="W4080" s="321"/>
      <c r="X4080" s="653" t="s">
        <v>12344</v>
      </c>
      <c r="Y4080" s="361"/>
      <c r="Z4080" s="362"/>
      <c r="AA4080" s="362"/>
      <c r="AB4080" s="33">
        <f t="shared" ca="1" si="105"/>
        <v>0.32654866978306507</v>
      </c>
      <c r="AC4080" s="813"/>
      <c r="AD4080" s="211"/>
      <c r="AE4080" s="949"/>
      <c r="AF4080" s="922">
        <f>IF(X4080=X4079,AF4079,0)+IF(ISNUMBER(I4080),IF(I4080&lt;1,I4080,I4080*VLOOKUP(J4080,Summary!$H$2:$I$9,2)),VLOOKUP(J4080,Summary!$J$2:$K$9,2)*IF(ISNUMBER(H4080),H4080,1))</f>
        <v>0.40827546296296291</v>
      </c>
      <c r="AG4080" s="295">
        <v>4079</v>
      </c>
      <c r="AH4080" s="94"/>
      <c r="AI4080" s="94"/>
      <c r="AJ4080" s="3"/>
    </row>
    <row r="4081" spans="1:36" s="7" customFormat="1" ht="12" customHeight="1" x14ac:dyDescent="0.25">
      <c r="A4081" s="603" t="s">
        <v>15667</v>
      </c>
      <c r="B4081" s="603">
        <v>10</v>
      </c>
      <c r="C4081" s="603">
        <v>27</v>
      </c>
      <c r="D4081" s="428" t="s">
        <v>5085</v>
      </c>
      <c r="E4081" s="325" t="s">
        <v>665</v>
      </c>
      <c r="F4081" s="184">
        <v>39366</v>
      </c>
      <c r="G4081" s="184">
        <v>39393</v>
      </c>
      <c r="H4081" s="185">
        <v>2</v>
      </c>
      <c r="I4081" s="185">
        <v>12</v>
      </c>
      <c r="J4081" s="901" t="s">
        <v>1796</v>
      </c>
      <c r="K4081" s="158" t="s">
        <v>1936</v>
      </c>
      <c r="L4081" s="158" t="s">
        <v>3832</v>
      </c>
      <c r="M4081" s="158" t="s">
        <v>254</v>
      </c>
      <c r="N4081" s="158" t="s">
        <v>5317</v>
      </c>
      <c r="O4081" s="158"/>
      <c r="P4081" s="182" t="s">
        <v>461</v>
      </c>
      <c r="Q4081" s="158" t="s">
        <v>4929</v>
      </c>
      <c r="R4081" s="207" t="s">
        <v>4796</v>
      </c>
      <c r="S4081" s="355" t="s">
        <v>3073</v>
      </c>
      <c r="T4081" s="182"/>
      <c r="U4081" s="182"/>
      <c r="V4081" s="182"/>
      <c r="W4081" s="321"/>
      <c r="X4081" s="653" t="s">
        <v>12344</v>
      </c>
      <c r="Y4081" s="361"/>
      <c r="Z4081" s="362"/>
      <c r="AA4081" s="362"/>
      <c r="AB4081" s="33">
        <f t="shared" ca="1" si="105"/>
        <v>0.45454851871760327</v>
      </c>
      <c r="AC4081" s="813"/>
      <c r="AD4081" s="211"/>
      <c r="AE4081" s="949"/>
      <c r="AF4081" s="922">
        <f>IF(X4081=X4080,AF4080,0)+IF(ISNUMBER(I4081),IF(I4081&lt;1,I4081,I4081*VLOOKUP(J4081,Summary!$H$2:$I$9,2)),VLOOKUP(J4081,Summary!$J$2:$K$9,2)*IF(ISNUMBER(H4081),H4081,1))</f>
        <v>0.41244212962962956</v>
      </c>
      <c r="AG4081" s="295">
        <v>4080</v>
      </c>
      <c r="AH4081" s="94"/>
      <c r="AI4081" s="94"/>
    </row>
    <row r="4082" spans="1:36" s="1" customFormat="1" ht="12" customHeight="1" x14ac:dyDescent="0.25">
      <c r="A4082" s="603" t="s">
        <v>15667</v>
      </c>
      <c r="B4082" s="603">
        <v>10</v>
      </c>
      <c r="C4082" s="603">
        <v>10</v>
      </c>
      <c r="D4082" s="428" t="s">
        <v>6179</v>
      </c>
      <c r="E4082" s="325" t="s">
        <v>4708</v>
      </c>
      <c r="F4082" s="184">
        <v>39386</v>
      </c>
      <c r="G4082" s="184"/>
      <c r="H4082" s="185">
        <v>1</v>
      </c>
      <c r="I4082" s="185">
        <v>4</v>
      </c>
      <c r="J4082" s="901" t="s">
        <v>1796</v>
      </c>
      <c r="K4082" s="158" t="s">
        <v>5198</v>
      </c>
      <c r="L4082" s="158" t="s">
        <v>7928</v>
      </c>
      <c r="M4082" s="158" t="s">
        <v>254</v>
      </c>
      <c r="N4082" s="158" t="s">
        <v>4511</v>
      </c>
      <c r="O4082" s="158"/>
      <c r="P4082" s="182" t="s">
        <v>461</v>
      </c>
      <c r="Q4082" s="158" t="s">
        <v>4798</v>
      </c>
      <c r="R4082" s="207" t="s">
        <v>4795</v>
      </c>
      <c r="S4082" s="355" t="s">
        <v>3073</v>
      </c>
      <c r="T4082" s="182"/>
      <c r="U4082" s="182"/>
      <c r="V4082" s="182"/>
      <c r="W4082" s="325" t="s">
        <v>4708</v>
      </c>
      <c r="X4082" s="657" t="s">
        <v>12344</v>
      </c>
      <c r="Y4082" s="361"/>
      <c r="Z4082" s="362"/>
      <c r="AA4082" s="362"/>
      <c r="AB4082" s="33">
        <f t="shared" ca="1" si="105"/>
        <v>0.66243206286607337</v>
      </c>
      <c r="AC4082" s="813"/>
      <c r="AD4082" s="211"/>
      <c r="AE4082" s="949"/>
      <c r="AF4082" s="922">
        <f>IF(X4082=X4081,AF4081,0)+IF(ISNUMBER(I4082),IF(I4082&lt;1,I4082,I4082*VLOOKUP(J4082,Summary!$H$2:$I$9,2)),VLOOKUP(J4082,Summary!$J$2:$K$9,2)*IF(ISNUMBER(H4082),H4082,1))</f>
        <v>0.41383101851851845</v>
      </c>
      <c r="AG4082" s="295">
        <v>4081</v>
      </c>
      <c r="AH4082" s="94"/>
      <c r="AI4082" s="94"/>
    </row>
    <row r="4083" spans="1:36" s="22" customFormat="1" ht="12" customHeight="1" x14ac:dyDescent="0.25">
      <c r="A4083" s="727" t="s">
        <v>15667</v>
      </c>
      <c r="B4083" s="727">
        <v>10</v>
      </c>
      <c r="C4083" s="727">
        <v>7</v>
      </c>
      <c r="D4083" s="619" t="s">
        <v>15619</v>
      </c>
      <c r="E4083" s="345" t="s">
        <v>15620</v>
      </c>
      <c r="F4083" s="219">
        <v>39359</v>
      </c>
      <c r="G4083" s="219"/>
      <c r="H4083" s="210" t="s">
        <v>461</v>
      </c>
      <c r="I4083" s="210">
        <v>128</v>
      </c>
      <c r="J4083" s="908" t="s">
        <v>15556</v>
      </c>
      <c r="K4083" s="166" t="s">
        <v>4422</v>
      </c>
      <c r="L4083" s="166"/>
      <c r="M4083" s="166"/>
      <c r="N4083" s="166"/>
      <c r="O4083" s="166"/>
      <c r="P4083" s="267" t="s">
        <v>15621</v>
      </c>
      <c r="Q4083" s="166" t="s">
        <v>3953</v>
      </c>
      <c r="R4083" s="268" t="s">
        <v>15583</v>
      </c>
      <c r="S4083" s="386" t="s">
        <v>3073</v>
      </c>
      <c r="T4083" s="267"/>
      <c r="U4083" s="267"/>
      <c r="V4083" s="267"/>
      <c r="W4083" s="345" t="s">
        <v>15620</v>
      </c>
      <c r="X4083" s="680" t="s">
        <v>12344</v>
      </c>
      <c r="Y4083" s="384"/>
      <c r="Z4083" s="385"/>
      <c r="AA4083" s="385"/>
      <c r="AB4083" s="41">
        <f t="shared" ca="1" si="105"/>
        <v>0.21537171025885016</v>
      </c>
      <c r="AC4083" s="832"/>
      <c r="AD4083" s="833"/>
      <c r="AE4083" s="956"/>
      <c r="AF4083" s="929">
        <f>IF(X4083=X4082,AF4082,0)+IF(ISNUMBER(I4083),IF(I4083&lt;1,I4083,I4083*VLOOKUP(J4083,Summary!$H$2:$I$9,2)),VLOOKUP(J4083,Summary!$J$2:$K$9,2)*IF(ISNUMBER(H4083),H4083,1))</f>
        <v>0.4582754629629629</v>
      </c>
      <c r="AG4083" s="307">
        <v>4082</v>
      </c>
      <c r="AH4083" s="94"/>
      <c r="AI4083" s="94"/>
      <c r="AJ4083" s="1"/>
    </row>
    <row r="4084" spans="1:36" s="1" customFormat="1" ht="12" customHeight="1" x14ac:dyDescent="0.25">
      <c r="A4084" s="600" t="s">
        <v>15667</v>
      </c>
      <c r="B4084" s="600">
        <v>10</v>
      </c>
      <c r="C4084" s="600">
        <v>9</v>
      </c>
      <c r="D4084" s="434" t="s">
        <v>404</v>
      </c>
      <c r="E4084" s="324" t="s">
        <v>4525</v>
      </c>
      <c r="F4084" s="175">
        <v>39324</v>
      </c>
      <c r="G4084" s="175"/>
      <c r="H4084" s="176">
        <v>1</v>
      </c>
      <c r="I4084" s="176"/>
      <c r="J4084" s="900" t="s">
        <v>2755</v>
      </c>
      <c r="K4084" s="157" t="s">
        <v>543</v>
      </c>
      <c r="L4084" s="157"/>
      <c r="M4084" s="157"/>
      <c r="N4084" s="157"/>
      <c r="O4084" s="157"/>
      <c r="P4084" s="173" t="s">
        <v>4526</v>
      </c>
      <c r="Q4084" s="157" t="s">
        <v>3954</v>
      </c>
      <c r="R4084" s="179" t="s">
        <v>3609</v>
      </c>
      <c r="S4084" s="354" t="s">
        <v>3073</v>
      </c>
      <c r="T4084" s="173"/>
      <c r="U4084" s="173"/>
      <c r="V4084" s="173"/>
      <c r="W4084" s="324" t="s">
        <v>4525</v>
      </c>
      <c r="X4084" s="656" t="s">
        <v>12344</v>
      </c>
      <c r="Y4084" s="363"/>
      <c r="Z4084" s="364"/>
      <c r="AA4084" s="364"/>
      <c r="AB4084" s="32">
        <f t="shared" ca="1" si="105"/>
        <v>0.79933692607753604</v>
      </c>
      <c r="AC4084" s="812"/>
      <c r="AD4084" s="763"/>
      <c r="AE4084" s="951"/>
      <c r="AF4084" s="921">
        <f>IF(X4084=X4083,AF4083,0)+IF(ISNUMBER(I4084),IF(I4084&lt;1,I4084,I4084*VLOOKUP(J4084,Summary!$H$2:$I$9,2)),VLOOKUP(J4084,Summary!$J$2:$K$9,2)*IF(ISNUMBER(H4084),H4084,1))</f>
        <v>0.475636574074074</v>
      </c>
      <c r="AG4084" s="288">
        <v>4083</v>
      </c>
      <c r="AH4084" s="94"/>
      <c r="AI4084" s="94"/>
    </row>
    <row r="4085" spans="1:36" s="1" customFormat="1" ht="12" customHeight="1" x14ac:dyDescent="0.25">
      <c r="A4085" s="600" t="s">
        <v>15667</v>
      </c>
      <c r="B4085" s="600">
        <v>10</v>
      </c>
      <c r="C4085" s="600">
        <v>12</v>
      </c>
      <c r="D4085" s="434" t="s">
        <v>3614</v>
      </c>
      <c r="E4085" s="324" t="s">
        <v>3615</v>
      </c>
      <c r="F4085" s="175">
        <v>39324</v>
      </c>
      <c r="G4085" s="175"/>
      <c r="H4085" s="176">
        <v>1</v>
      </c>
      <c r="I4085" s="176"/>
      <c r="J4085" s="900" t="s">
        <v>2755</v>
      </c>
      <c r="K4085" s="157" t="s">
        <v>543</v>
      </c>
      <c r="L4085" s="157"/>
      <c r="M4085" s="157"/>
      <c r="N4085" s="157"/>
      <c r="O4085" s="157"/>
      <c r="P4085" s="173" t="s">
        <v>3616</v>
      </c>
      <c r="Q4085" s="157" t="s">
        <v>3954</v>
      </c>
      <c r="R4085" s="179" t="s">
        <v>3609</v>
      </c>
      <c r="S4085" s="354" t="s">
        <v>3073</v>
      </c>
      <c r="T4085" s="173"/>
      <c r="U4085" s="173"/>
      <c r="V4085" s="173"/>
      <c r="W4085" s="324" t="s">
        <v>3615</v>
      </c>
      <c r="X4085" s="656" t="s">
        <v>12344</v>
      </c>
      <c r="Y4085" s="363"/>
      <c r="Z4085" s="364"/>
      <c r="AA4085" s="364"/>
      <c r="AB4085" s="32">
        <f t="shared" ca="1" si="105"/>
        <v>0.52473535253467407</v>
      </c>
      <c r="AC4085" s="812"/>
      <c r="AD4085" s="763"/>
      <c r="AE4085" s="951"/>
      <c r="AF4085" s="921">
        <f>IF(X4085=X4084,AF4084,0)+IF(ISNUMBER(I4085),IF(I4085&lt;1,I4085,I4085*VLOOKUP(J4085,Summary!$H$2:$I$9,2)),VLOOKUP(J4085,Summary!$J$2:$K$9,2)*IF(ISNUMBER(H4085),H4085,1))</f>
        <v>0.49299768518518511</v>
      </c>
      <c r="AG4085" s="288">
        <v>4084</v>
      </c>
      <c r="AH4085" s="94"/>
      <c r="AI4085" s="94"/>
    </row>
    <row r="4086" spans="1:36" s="22" customFormat="1" ht="12" customHeight="1" x14ac:dyDescent="0.25">
      <c r="A4086" s="603" t="s">
        <v>15667</v>
      </c>
      <c r="B4086" s="603">
        <v>10</v>
      </c>
      <c r="C4086" s="603">
        <v>11</v>
      </c>
      <c r="D4086" s="428" t="s">
        <v>6180</v>
      </c>
      <c r="E4086" s="325" t="s">
        <v>6181</v>
      </c>
      <c r="F4086" s="184">
        <v>39400</v>
      </c>
      <c r="G4086" s="184">
        <v>39428</v>
      </c>
      <c r="H4086" s="185">
        <v>3</v>
      </c>
      <c r="I4086" s="185">
        <v>12</v>
      </c>
      <c r="J4086" s="901" t="s">
        <v>1796</v>
      </c>
      <c r="K4086" s="158" t="s">
        <v>4511</v>
      </c>
      <c r="L4086" s="158" t="s">
        <v>7928</v>
      </c>
      <c r="M4086" s="158" t="s">
        <v>254</v>
      </c>
      <c r="N4086" s="158" t="s">
        <v>4511</v>
      </c>
      <c r="O4086" s="158"/>
      <c r="P4086" s="182" t="s">
        <v>461</v>
      </c>
      <c r="Q4086" s="158" t="s">
        <v>4798</v>
      </c>
      <c r="R4086" s="207" t="s">
        <v>4795</v>
      </c>
      <c r="S4086" s="355" t="s">
        <v>3073</v>
      </c>
      <c r="T4086" s="182"/>
      <c r="U4086" s="182"/>
      <c r="V4086" s="182"/>
      <c r="W4086" s="321" t="s">
        <v>8462</v>
      </c>
      <c r="X4086" s="653" t="s">
        <v>12344</v>
      </c>
      <c r="Y4086" s="361"/>
      <c r="Z4086" s="362"/>
      <c r="AA4086" s="362"/>
      <c r="AB4086" s="33">
        <f t="shared" ca="1" si="105"/>
        <v>0.49942091401458744</v>
      </c>
      <c r="AC4086" s="813"/>
      <c r="AD4086" s="211"/>
      <c r="AE4086" s="949"/>
      <c r="AF4086" s="922">
        <f>IF(X4086=X4085,AF4085,0)+IF(ISNUMBER(I4086),IF(I4086&lt;1,I4086,I4086*VLOOKUP(J4086,Summary!$H$2:$I$9,2)),VLOOKUP(J4086,Summary!$J$2:$K$9,2)*IF(ISNUMBER(H4086),H4086,1))</f>
        <v>0.49716435185185176</v>
      </c>
      <c r="AG4086" s="295">
        <v>4085</v>
      </c>
      <c r="AH4086" s="94"/>
      <c r="AI4086" s="94"/>
      <c r="AJ4086" s="1"/>
    </row>
    <row r="4087" spans="1:36" s="1" customFormat="1" ht="12" customHeight="1" x14ac:dyDescent="0.25">
      <c r="A4087" s="603" t="s">
        <v>15667</v>
      </c>
      <c r="B4087" s="603">
        <v>10</v>
      </c>
      <c r="C4087" s="603">
        <v>28</v>
      </c>
      <c r="D4087" s="428" t="s">
        <v>5086</v>
      </c>
      <c r="E4087" s="325" t="s">
        <v>7361</v>
      </c>
      <c r="F4087" s="184">
        <v>39394</v>
      </c>
      <c r="G4087" s="184">
        <v>39421</v>
      </c>
      <c r="H4087" s="185">
        <v>2</v>
      </c>
      <c r="I4087" s="185">
        <v>12</v>
      </c>
      <c r="J4087" s="901" t="s">
        <v>1796</v>
      </c>
      <c r="K4087" s="158" t="s">
        <v>4032</v>
      </c>
      <c r="L4087" s="158" t="s">
        <v>3832</v>
      </c>
      <c r="M4087" s="158" t="s">
        <v>254</v>
      </c>
      <c r="N4087" s="158" t="s">
        <v>5317</v>
      </c>
      <c r="O4087" s="158"/>
      <c r="P4087" s="182" t="s">
        <v>461</v>
      </c>
      <c r="Q4087" s="158" t="s">
        <v>4929</v>
      </c>
      <c r="R4087" s="207" t="s">
        <v>4796</v>
      </c>
      <c r="S4087" s="355" t="s">
        <v>3073</v>
      </c>
      <c r="T4087" s="182"/>
      <c r="U4087" s="182"/>
      <c r="V4087" s="182"/>
      <c r="W4087" s="321"/>
      <c r="X4087" s="653" t="s">
        <v>12344</v>
      </c>
      <c r="Y4087" s="361"/>
      <c r="Z4087" s="362"/>
      <c r="AA4087" s="362"/>
      <c r="AB4087" s="33">
        <f t="shared" ca="1" si="105"/>
        <v>0.86795731409392585</v>
      </c>
      <c r="AC4087" s="813"/>
      <c r="AD4087" s="211"/>
      <c r="AE4087" s="949"/>
      <c r="AF4087" s="922">
        <f>IF(X4087=X4086,AF4086,0)+IF(ISNUMBER(I4087),IF(I4087&lt;1,I4087,I4087*VLOOKUP(J4087,Summary!$H$2:$I$9,2)),VLOOKUP(J4087,Summary!$J$2:$K$9,2)*IF(ISNUMBER(H4087),H4087,1))</f>
        <v>0.50133101851851847</v>
      </c>
      <c r="AG4087" s="295">
        <v>4086</v>
      </c>
      <c r="AH4087" s="94"/>
      <c r="AI4087" s="94"/>
    </row>
    <row r="4088" spans="1:36" s="3" customFormat="1" ht="12" customHeight="1" x14ac:dyDescent="0.25">
      <c r="A4088" s="600" t="s">
        <v>15667</v>
      </c>
      <c r="B4088" s="600">
        <v>10</v>
      </c>
      <c r="C4088" s="600">
        <v>28.4</v>
      </c>
      <c r="D4088" s="434" t="s">
        <v>13255</v>
      </c>
      <c r="E4088" s="324" t="s">
        <v>13256</v>
      </c>
      <c r="F4088" s="175">
        <v>39808</v>
      </c>
      <c r="G4088" s="175"/>
      <c r="H4088" s="176">
        <v>1</v>
      </c>
      <c r="I4088" s="176"/>
      <c r="J4088" s="900" t="s">
        <v>2755</v>
      </c>
      <c r="K4088" s="157" t="s">
        <v>3800</v>
      </c>
      <c r="L4088" s="157"/>
      <c r="M4088" s="157" t="s">
        <v>13251</v>
      </c>
      <c r="N4088" s="157"/>
      <c r="O4088" s="157"/>
      <c r="P4088" s="173" t="s">
        <v>9043</v>
      </c>
      <c r="Q4088" s="157" t="s">
        <v>3954</v>
      </c>
      <c r="R4088" s="179" t="s">
        <v>13247</v>
      </c>
      <c r="S4088" s="354" t="s">
        <v>3073</v>
      </c>
      <c r="T4088" s="173"/>
      <c r="U4088" s="173"/>
      <c r="V4088" s="173"/>
      <c r="W4088" s="324" t="s">
        <v>13256</v>
      </c>
      <c r="X4088" s="656" t="s">
        <v>12344</v>
      </c>
      <c r="Y4088" s="363"/>
      <c r="Z4088" s="364"/>
      <c r="AA4088" s="364"/>
      <c r="AB4088" s="32">
        <f t="shared" ca="1" si="105"/>
        <v>4.2351256968678253E-2</v>
      </c>
      <c r="AC4088" s="812"/>
      <c r="AD4088" s="763" t="s">
        <v>16637</v>
      </c>
      <c r="AE4088" s="951" t="s">
        <v>15093</v>
      </c>
      <c r="AF4088" s="921">
        <f>IF(X4088=X4087,AF4087,0)+IF(ISNUMBER(I4088),IF(I4088&lt;1,I4088,I4088*VLOOKUP(J4088,Summary!$H$2:$I$9,2)),VLOOKUP(J4088,Summary!$J$2:$K$9,2)*IF(ISNUMBER(H4088),H4088,1))</f>
        <v>0.51869212962962963</v>
      </c>
      <c r="AG4088" s="288">
        <v>4087</v>
      </c>
      <c r="AH4088" s="94"/>
      <c r="AI4088" s="94"/>
      <c r="AJ4088" s="1"/>
    </row>
    <row r="4089" spans="1:36" s="3" customFormat="1" ht="12" customHeight="1" x14ac:dyDescent="0.25">
      <c r="A4089" s="727" t="s">
        <v>15667</v>
      </c>
      <c r="B4089" s="727">
        <v>10</v>
      </c>
      <c r="C4089" s="727">
        <v>8</v>
      </c>
      <c r="D4089" s="619" t="s">
        <v>15622</v>
      </c>
      <c r="E4089" s="345" t="s">
        <v>15623</v>
      </c>
      <c r="F4089" s="219">
        <v>39359</v>
      </c>
      <c r="G4089" s="219"/>
      <c r="H4089" s="210" t="s">
        <v>461</v>
      </c>
      <c r="I4089" s="210">
        <v>106</v>
      </c>
      <c r="J4089" s="908" t="s">
        <v>15556</v>
      </c>
      <c r="K4089" s="166" t="s">
        <v>6355</v>
      </c>
      <c r="L4089" s="166"/>
      <c r="M4089" s="166"/>
      <c r="N4089" s="166"/>
      <c r="O4089" s="166"/>
      <c r="P4089" s="267" t="s">
        <v>15624</v>
      </c>
      <c r="Q4089" s="166" t="s">
        <v>3953</v>
      </c>
      <c r="R4089" s="268" t="s">
        <v>15583</v>
      </c>
      <c r="S4089" s="386" t="s">
        <v>3073</v>
      </c>
      <c r="T4089" s="267"/>
      <c r="U4089" s="267"/>
      <c r="V4089" s="267"/>
      <c r="W4089" s="345" t="s">
        <v>15623</v>
      </c>
      <c r="X4089" s="680" t="s">
        <v>12344</v>
      </c>
      <c r="Y4089" s="384"/>
      <c r="Z4089" s="385"/>
      <c r="AA4089" s="385"/>
      <c r="AB4089" s="41">
        <f t="shared" ca="1" si="105"/>
        <v>0.36838764250171552</v>
      </c>
      <c r="AC4089" s="832"/>
      <c r="AD4089" s="833"/>
      <c r="AE4089" s="956"/>
      <c r="AF4089" s="929">
        <f>IF(X4089=X4088,AF4088,0)+IF(ISNUMBER(I4089),IF(I4089&lt;1,I4089,I4089*VLOOKUP(J4089,Summary!$H$2:$I$9,2)),VLOOKUP(J4089,Summary!$J$2:$K$9,2)*IF(ISNUMBER(H4089),H4089,1))</f>
        <v>0.55549768518518516</v>
      </c>
      <c r="AG4089" s="307">
        <v>4088</v>
      </c>
      <c r="AH4089" s="94"/>
      <c r="AI4089" s="94"/>
      <c r="AJ4089" s="1"/>
    </row>
    <row r="4090" spans="1:36" s="3" customFormat="1" ht="12" customHeight="1" x14ac:dyDescent="0.25">
      <c r="A4090" s="604" t="s">
        <v>15667</v>
      </c>
      <c r="B4090" s="604">
        <v>10</v>
      </c>
      <c r="C4090" s="604">
        <v>19</v>
      </c>
      <c r="D4090" s="417" t="s">
        <v>7694</v>
      </c>
      <c r="E4090" s="316" t="s">
        <v>4535</v>
      </c>
      <c r="F4090" s="195">
        <v>39442</v>
      </c>
      <c r="G4090" s="195"/>
      <c r="H4090" s="188" t="str">
        <f>IF(J4090="Book","n/a","")</f>
        <v>n/a</v>
      </c>
      <c r="I4090" s="188">
        <v>241</v>
      </c>
      <c r="J4090" s="902" t="s">
        <v>6868</v>
      </c>
      <c r="K4090" s="162" t="s">
        <v>4032</v>
      </c>
      <c r="L4090" s="162" t="str">
        <f>IF(J4090="Book","n/a","")</f>
        <v>n/a</v>
      </c>
      <c r="M4090" s="162"/>
      <c r="N4090" s="162"/>
      <c r="O4090" s="162"/>
      <c r="P4090" s="178" t="s">
        <v>9034</v>
      </c>
      <c r="Q4090" s="162" t="s">
        <v>3953</v>
      </c>
      <c r="R4090" s="189" t="s">
        <v>2711</v>
      </c>
      <c r="S4090" s="366" t="s">
        <v>3073</v>
      </c>
      <c r="T4090" s="178"/>
      <c r="U4090" s="178"/>
      <c r="V4090" s="178"/>
      <c r="W4090" s="316" t="s">
        <v>4535</v>
      </c>
      <c r="X4090" s="648" t="s">
        <v>12344</v>
      </c>
      <c r="Y4090" s="356" t="s">
        <v>6868</v>
      </c>
      <c r="Z4090" s="272">
        <v>152</v>
      </c>
      <c r="AA4090" s="272">
        <v>4.5</v>
      </c>
      <c r="AB4090" s="34">
        <f t="shared" ca="1" si="105"/>
        <v>0.9485504191148284</v>
      </c>
      <c r="AC4090" s="814"/>
      <c r="AD4090" s="818" t="s">
        <v>14584</v>
      </c>
      <c r="AE4090" s="942"/>
      <c r="AF4090" s="923">
        <f>IF(X4090=X4089,AF4089,0)+IF(ISNUMBER(I4090),IF(I4090&lt;1,I4090,I4090*VLOOKUP(J4090,Summary!$H$2:$I$9,2)),VLOOKUP(J4090,Summary!$J$2:$K$9,2)*IF(ISNUMBER(H4090),H4090,1))</f>
        <v>0.72285879629629624</v>
      </c>
      <c r="AG4090" s="291">
        <v>4089</v>
      </c>
      <c r="AH4090" s="94"/>
      <c r="AI4090" s="94"/>
      <c r="AJ4090" s="1"/>
    </row>
    <row r="4091" spans="1:36" s="3" customFormat="1" ht="12" customHeight="1" x14ac:dyDescent="0.25">
      <c r="A4091" s="604" t="s">
        <v>15667</v>
      </c>
      <c r="B4091" s="604">
        <v>10</v>
      </c>
      <c r="C4091" s="604">
        <v>20</v>
      </c>
      <c r="D4091" s="417" t="s">
        <v>7731</v>
      </c>
      <c r="E4091" s="316" t="s">
        <v>4536</v>
      </c>
      <c r="F4091" s="195">
        <v>39442</v>
      </c>
      <c r="G4091" s="195"/>
      <c r="H4091" s="188" t="str">
        <f>IF(J4091="Book","n/a","")</f>
        <v>n/a</v>
      </c>
      <c r="I4091" s="188">
        <v>237</v>
      </c>
      <c r="J4091" s="902" t="s">
        <v>6868</v>
      </c>
      <c r="K4091" s="162" t="s">
        <v>5664</v>
      </c>
      <c r="L4091" s="162" t="str">
        <f>IF(J4091="Book","n/a","")</f>
        <v>n/a</v>
      </c>
      <c r="M4091" s="162"/>
      <c r="N4091" s="162"/>
      <c r="O4091" s="162"/>
      <c r="P4091" s="178" t="s">
        <v>9035</v>
      </c>
      <c r="Q4091" s="162" t="s">
        <v>3953</v>
      </c>
      <c r="R4091" s="189" t="s">
        <v>2711</v>
      </c>
      <c r="S4091" s="366" t="s">
        <v>3073</v>
      </c>
      <c r="T4091" s="178"/>
      <c r="U4091" s="178"/>
      <c r="V4091" s="178"/>
      <c r="W4091" s="316" t="s">
        <v>4536</v>
      </c>
      <c r="X4091" s="648" t="s">
        <v>12344</v>
      </c>
      <c r="Y4091" s="356" t="s">
        <v>6868</v>
      </c>
      <c r="Z4091" s="272">
        <v>156</v>
      </c>
      <c r="AA4091" s="272">
        <v>4</v>
      </c>
      <c r="AB4091" s="34">
        <f t="shared" ca="1" si="105"/>
        <v>0.64714386087996756</v>
      </c>
      <c r="AC4091" s="814"/>
      <c r="AD4091" s="815" t="s">
        <v>16383</v>
      </c>
      <c r="AE4091" s="942" t="s">
        <v>12543</v>
      </c>
      <c r="AF4091" s="923">
        <f>IF(X4091=X4090,AF4090,0)+IF(ISNUMBER(I4091),IF(I4091&lt;1,I4091,I4091*VLOOKUP(J4091,Summary!$H$2:$I$9,2)),VLOOKUP(J4091,Summary!$J$2:$K$9,2)*IF(ISNUMBER(H4091),H4091,1))</f>
        <v>0.88744212962962954</v>
      </c>
      <c r="AG4091" s="291">
        <v>4090</v>
      </c>
      <c r="AH4091" s="94"/>
      <c r="AI4091" s="94"/>
    </row>
    <row r="4092" spans="1:36" s="3" customFormat="1" ht="12" customHeight="1" x14ac:dyDescent="0.25">
      <c r="A4092" s="604" t="s">
        <v>15667</v>
      </c>
      <c r="B4092" s="604">
        <v>10</v>
      </c>
      <c r="C4092" s="604">
        <v>21</v>
      </c>
      <c r="D4092" s="417" t="s">
        <v>7695</v>
      </c>
      <c r="E4092" s="316" t="s">
        <v>4537</v>
      </c>
      <c r="F4092" s="195">
        <v>39442</v>
      </c>
      <c r="G4092" s="195"/>
      <c r="H4092" s="188" t="str">
        <f>IF(J4092="Book","n/a","")</f>
        <v>n/a</v>
      </c>
      <c r="I4092" s="188">
        <v>239</v>
      </c>
      <c r="J4092" s="902" t="s">
        <v>6868</v>
      </c>
      <c r="K4092" s="162" t="s">
        <v>178</v>
      </c>
      <c r="L4092" s="162" t="str">
        <f>IF(J4092="Book","n/a","")</f>
        <v>n/a</v>
      </c>
      <c r="M4092" s="162"/>
      <c r="N4092" s="162"/>
      <c r="O4092" s="162"/>
      <c r="P4092" s="178" t="s">
        <v>9036</v>
      </c>
      <c r="Q4092" s="162" t="s">
        <v>3953</v>
      </c>
      <c r="R4092" s="189" t="s">
        <v>2711</v>
      </c>
      <c r="S4092" s="366" t="s">
        <v>3073</v>
      </c>
      <c r="T4092" s="178"/>
      <c r="U4092" s="178"/>
      <c r="V4092" s="178"/>
      <c r="W4092" s="316" t="s">
        <v>4537</v>
      </c>
      <c r="X4092" s="648" t="s">
        <v>12344</v>
      </c>
      <c r="Y4092" s="356" t="s">
        <v>6868</v>
      </c>
      <c r="Z4092" s="272">
        <v>53</v>
      </c>
      <c r="AA4092" s="272">
        <v>7</v>
      </c>
      <c r="AB4092" s="34">
        <f t="shared" ca="1" si="105"/>
        <v>0.11346273781392446</v>
      </c>
      <c r="AC4092" s="814"/>
      <c r="AD4092" s="815" t="s">
        <v>16626</v>
      </c>
      <c r="AE4092" s="942" t="s">
        <v>12543</v>
      </c>
      <c r="AF4092" s="923">
        <f>IF(X4092=X4091,AF4091,0)+IF(ISNUMBER(I4092),IF(I4092&lt;1,I4092,I4092*VLOOKUP(J4092,Summary!$H$2:$I$9,2)),VLOOKUP(J4092,Summary!$J$2:$K$9,2)*IF(ISNUMBER(H4092),H4092,1))</f>
        <v>1.0534143518518517</v>
      </c>
      <c r="AG4092" s="291">
        <v>4091</v>
      </c>
      <c r="AH4092" s="94"/>
      <c r="AI4092" s="94"/>
    </row>
    <row r="4093" spans="1:36" s="1" customFormat="1" ht="12" customHeight="1" x14ac:dyDescent="0.25">
      <c r="A4093" s="599" t="s">
        <v>15667</v>
      </c>
      <c r="B4093" s="599">
        <v>10</v>
      </c>
      <c r="C4093" s="599">
        <v>186</v>
      </c>
      <c r="D4093" s="424" t="s">
        <v>4538</v>
      </c>
      <c r="E4093" s="319" t="s">
        <v>4539</v>
      </c>
      <c r="F4093" s="198">
        <v>39242</v>
      </c>
      <c r="G4093" s="198"/>
      <c r="H4093" s="199">
        <v>1</v>
      </c>
      <c r="I4093" s="791">
        <f>TIME(0,43,38)</f>
        <v>3.0300925925925926E-2</v>
      </c>
      <c r="J4093" s="904" t="s">
        <v>1588</v>
      </c>
      <c r="K4093" s="200" t="s">
        <v>3810</v>
      </c>
      <c r="L4093" s="200" t="s">
        <v>4540</v>
      </c>
      <c r="M4093" s="200"/>
      <c r="N4093" s="200" t="s">
        <v>3373</v>
      </c>
      <c r="O4093" s="200" t="s">
        <v>3375</v>
      </c>
      <c r="P4093" s="197" t="s">
        <v>461</v>
      </c>
      <c r="Q4093" s="200" t="s">
        <v>3946</v>
      </c>
      <c r="R4093" s="201" t="s">
        <v>5280</v>
      </c>
      <c r="S4093" s="390" t="s">
        <v>3073</v>
      </c>
      <c r="T4093" s="197"/>
      <c r="U4093" s="197"/>
      <c r="V4093" s="197"/>
      <c r="W4093" s="319" t="s">
        <v>4539</v>
      </c>
      <c r="X4093" s="651" t="s">
        <v>12344</v>
      </c>
      <c r="Y4093" s="358" t="s">
        <v>6141</v>
      </c>
      <c r="Z4093" s="253">
        <v>3</v>
      </c>
      <c r="AA4093" s="253">
        <v>10</v>
      </c>
      <c r="AB4093" s="35">
        <f t="shared" ca="1" si="105"/>
        <v>0.69483798440162448</v>
      </c>
      <c r="AC4093" s="820"/>
      <c r="AD4093" s="821" t="s">
        <v>16687</v>
      </c>
      <c r="AE4093" s="967"/>
      <c r="AF4093" s="925">
        <f>IF(X4093=X4092,AF4092,0)+IF(ISNUMBER(I4093),IF(I4093&lt;1,I4093,I4093*VLOOKUP(J4093,Summary!$H$2:$I$9,2)),VLOOKUP(J4093,Summary!$J$2:$K$9,2)*IF(ISNUMBER(H4093),H4093,1))</f>
        <v>1.0837152777777777</v>
      </c>
      <c r="AG4093" s="293">
        <v>4092</v>
      </c>
      <c r="AH4093" s="94"/>
      <c r="AI4093" s="94"/>
    </row>
    <row r="4094" spans="1:36" s="1" customFormat="1" ht="12" customHeight="1" x14ac:dyDescent="0.25">
      <c r="A4094" s="408"/>
      <c r="B4094" s="408" t="s">
        <v>2650</v>
      </c>
      <c r="C4094" s="408">
        <v>10</v>
      </c>
      <c r="D4094" s="176" t="s">
        <v>12604</v>
      </c>
      <c r="E4094" s="313" t="s">
        <v>12605</v>
      </c>
      <c r="F4094" s="175">
        <v>42915</v>
      </c>
      <c r="G4094" s="174"/>
      <c r="H4094" s="176" t="s">
        <v>461</v>
      </c>
      <c r="I4094" s="176"/>
      <c r="J4094" s="900" t="s">
        <v>2755</v>
      </c>
      <c r="K4094" s="164" t="s">
        <v>2675</v>
      </c>
      <c r="L4094" s="164" t="s">
        <v>3551</v>
      </c>
      <c r="M4094" s="164"/>
      <c r="N4094" s="164"/>
      <c r="O4094" s="164"/>
      <c r="P4094" s="173" t="s">
        <v>12587</v>
      </c>
      <c r="Q4094" s="164" t="s">
        <v>3953</v>
      </c>
      <c r="R4094" s="177" t="s">
        <v>12588</v>
      </c>
      <c r="S4094" s="354"/>
      <c r="T4094" s="173"/>
      <c r="U4094" s="173"/>
      <c r="V4094" s="173"/>
      <c r="W4094" s="313" t="s">
        <v>12605</v>
      </c>
      <c r="X4094" s="656" t="s">
        <v>12344</v>
      </c>
      <c r="Y4094" s="354"/>
      <c r="Z4094" s="176"/>
      <c r="AA4094" s="176"/>
      <c r="AB4094" s="32">
        <f t="shared" ca="1" si="105"/>
        <v>0.19914543135618712</v>
      </c>
      <c r="AC4094" s="812"/>
      <c r="AD4094" s="763"/>
      <c r="AE4094" s="807"/>
      <c r="AF4094" s="921">
        <f>IF(X4094=X4093,AF4093,0)+IF(ISNUMBER(I4094),IF(I4094&lt;1,I4094,I4094*VLOOKUP(J4094,Summary!$H$2:$I$9,2)),VLOOKUP(J4094,Summary!$J$2:$K$9,2)*IF(ISNUMBER(H4094),H4094,1))</f>
        <v>1.1010763888888888</v>
      </c>
      <c r="AG4094" s="289">
        <v>4093</v>
      </c>
      <c r="AH4094" s="94"/>
      <c r="AI4094" s="94"/>
      <c r="AJ4094" s="22"/>
    </row>
    <row r="4095" spans="1:36" s="3" customFormat="1" ht="12" customHeight="1" x14ac:dyDescent="0.25">
      <c r="A4095" s="478"/>
      <c r="B4095" s="478" t="s">
        <v>2650</v>
      </c>
      <c r="C4095" s="478">
        <v>1</v>
      </c>
      <c r="D4095" s="192" t="s">
        <v>13410</v>
      </c>
      <c r="E4095" s="317" t="s">
        <v>13411</v>
      </c>
      <c r="F4095" s="209">
        <v>42278</v>
      </c>
      <c r="G4095" s="209"/>
      <c r="H4095" s="192">
        <v>1</v>
      </c>
      <c r="I4095" s="192"/>
      <c r="J4095" s="903" t="s">
        <v>2755</v>
      </c>
      <c r="K4095" s="194" t="s">
        <v>543</v>
      </c>
      <c r="L4095" s="194" t="s">
        <v>13401</v>
      </c>
      <c r="M4095" s="194" t="s">
        <v>13412</v>
      </c>
      <c r="N4095" s="194"/>
      <c r="O4095" s="194"/>
      <c r="P4095" s="190" t="s">
        <v>13331</v>
      </c>
      <c r="Q4095" s="194" t="s">
        <v>3953</v>
      </c>
      <c r="R4095" s="193" t="s">
        <v>11447</v>
      </c>
      <c r="S4095" s="357"/>
      <c r="T4095" s="190"/>
      <c r="U4095" s="190"/>
      <c r="V4095" s="190"/>
      <c r="W4095" s="317" t="s">
        <v>13411</v>
      </c>
      <c r="X4095" s="662" t="s">
        <v>12344</v>
      </c>
      <c r="Y4095" s="357"/>
      <c r="Z4095" s="192"/>
      <c r="AA4095" s="192"/>
      <c r="AB4095" s="37">
        <f t="shared" ca="1" si="105"/>
        <v>0.85941361644624981</v>
      </c>
      <c r="AC4095" s="816"/>
      <c r="AD4095" s="817"/>
      <c r="AE4095" s="943"/>
      <c r="AF4095" s="924">
        <f>IF(X4095=X4094,AF4094,0)+IF(ISNUMBER(I4095),IF(I4095&lt;1,I4095,I4095*VLOOKUP(J4095,Summary!$H$2:$I$9,2)),VLOOKUP(J4095,Summary!$J$2:$K$9,2)*IF(ISNUMBER(H4095),H4095,1))</f>
        <v>1.1184375</v>
      </c>
      <c r="AG4095" s="292">
        <v>4094</v>
      </c>
      <c r="AH4095" s="94"/>
      <c r="AI4095" s="94"/>
    </row>
    <row r="4096" spans="1:36" s="29" customFormat="1" ht="12" customHeight="1" x14ac:dyDescent="0.25">
      <c r="A4096" s="606" t="s">
        <v>15667</v>
      </c>
      <c r="B4096" s="606">
        <v>10</v>
      </c>
      <c r="C4096" s="606">
        <v>1</v>
      </c>
      <c r="D4096" s="493" t="s">
        <v>6189</v>
      </c>
      <c r="E4096" s="333" t="s">
        <v>6182</v>
      </c>
      <c r="F4096" s="766">
        <v>39448</v>
      </c>
      <c r="G4096" s="766">
        <v>39600</v>
      </c>
      <c r="H4096" s="226">
        <v>6</v>
      </c>
      <c r="I4096" s="226">
        <v>134</v>
      </c>
      <c r="J4096" s="907" t="s">
        <v>1796</v>
      </c>
      <c r="K4096" s="165" t="s">
        <v>7375</v>
      </c>
      <c r="L4096" s="165" t="s">
        <v>6186</v>
      </c>
      <c r="M4096" s="165" t="s">
        <v>6187</v>
      </c>
      <c r="N4096" s="165" t="s">
        <v>6185</v>
      </c>
      <c r="O4096" s="165"/>
      <c r="P4096" s="225" t="s">
        <v>461</v>
      </c>
      <c r="Q4096" s="165" t="s">
        <v>5719</v>
      </c>
      <c r="R4096" s="234" t="s">
        <v>5718</v>
      </c>
      <c r="S4096" s="369" t="s">
        <v>3073</v>
      </c>
      <c r="T4096" s="225"/>
      <c r="U4096" s="225"/>
      <c r="V4096" s="225"/>
      <c r="W4096" s="338"/>
      <c r="X4096" s="670" t="s">
        <v>12344</v>
      </c>
      <c r="Y4096" s="369" t="s">
        <v>6000</v>
      </c>
      <c r="Z4096" s="269">
        <v>999</v>
      </c>
      <c r="AA4096" s="269"/>
      <c r="AB4096" s="38">
        <f t="shared" ca="1" si="105"/>
        <v>0.40415725394402358</v>
      </c>
      <c r="AC4096" s="830"/>
      <c r="AD4096" s="831" t="s">
        <v>16769</v>
      </c>
      <c r="AE4096" s="953"/>
      <c r="AF4096" s="928">
        <f>IF(X4096=X4095,AF4095,0)+IF(ISNUMBER(I4096),IF(I4096&lt;1,I4096,I4096*VLOOKUP(J4096,Summary!$H$2:$I$9,2)),VLOOKUP(J4096,Summary!$J$2:$K$9,2)*IF(ISNUMBER(H4096),H4096,1))</f>
        <v>1.1649652777777777</v>
      </c>
      <c r="AG4096" s="300">
        <v>4095</v>
      </c>
      <c r="AH4096" s="94"/>
      <c r="AI4096" s="94"/>
      <c r="AJ4096" s="1"/>
    </row>
    <row r="4097" spans="1:36" s="3" customFormat="1" ht="12" customHeight="1" x14ac:dyDescent="0.25">
      <c r="A4097" s="604" t="s">
        <v>15667</v>
      </c>
      <c r="B4097" s="604">
        <v>10</v>
      </c>
      <c r="C4097" s="604">
        <v>3</v>
      </c>
      <c r="D4097" s="417" t="s">
        <v>7696</v>
      </c>
      <c r="E4097" s="316" t="s">
        <v>1787</v>
      </c>
      <c r="F4097" s="195">
        <v>39506</v>
      </c>
      <c r="G4097" s="195"/>
      <c r="H4097" s="188" t="str">
        <f>IF(J4097="Book","n/a","")</f>
        <v>n/a</v>
      </c>
      <c r="I4097" s="188">
        <v>102</v>
      </c>
      <c r="J4097" s="902" t="s">
        <v>6868</v>
      </c>
      <c r="K4097" s="162" t="s">
        <v>1088</v>
      </c>
      <c r="L4097" s="162" t="str">
        <f>IF(J4097="Book","n/a","")</f>
        <v>n/a</v>
      </c>
      <c r="M4097" s="162"/>
      <c r="N4097" s="162"/>
      <c r="O4097" s="162"/>
      <c r="P4097" s="178" t="s">
        <v>8627</v>
      </c>
      <c r="Q4097" s="162" t="s">
        <v>3953</v>
      </c>
      <c r="R4097" s="189" t="s">
        <v>2712</v>
      </c>
      <c r="S4097" s="366" t="s">
        <v>3073</v>
      </c>
      <c r="T4097" s="178"/>
      <c r="U4097" s="178"/>
      <c r="V4097" s="178"/>
      <c r="W4097" s="316" t="s">
        <v>1787</v>
      </c>
      <c r="X4097" s="648" t="s">
        <v>12344</v>
      </c>
      <c r="Y4097" s="356"/>
      <c r="Z4097" s="272"/>
      <c r="AA4097" s="272"/>
      <c r="AB4097" s="34">
        <f t="shared" ca="1" si="105"/>
        <v>0.7886066711732157</v>
      </c>
      <c r="AC4097" s="814"/>
      <c r="AD4097" s="815" t="s">
        <v>14975</v>
      </c>
      <c r="AE4097" s="942"/>
      <c r="AF4097" s="923">
        <f>IF(X4097=X4096,AF4096,0)+IF(ISNUMBER(I4097),IF(I4097&lt;1,I4097,I4097*VLOOKUP(J4097,Summary!$H$2:$I$9,2)),VLOOKUP(J4097,Summary!$J$2:$K$9,2)*IF(ISNUMBER(H4097),H4097,1))</f>
        <v>1.235798611111111</v>
      </c>
      <c r="AG4097" s="291">
        <v>4096</v>
      </c>
      <c r="AH4097" s="94"/>
      <c r="AI4097" s="94"/>
      <c r="AJ4097" s="43"/>
    </row>
    <row r="4098" spans="1:36" s="22" customFormat="1" ht="12" customHeight="1" x14ac:dyDescent="0.25">
      <c r="A4098" s="603" t="s">
        <v>15667</v>
      </c>
      <c r="B4098" s="603">
        <v>10</v>
      </c>
      <c r="C4098" s="603">
        <v>29</v>
      </c>
      <c r="D4098" s="428" t="s">
        <v>5087</v>
      </c>
      <c r="E4098" s="325" t="s">
        <v>7362</v>
      </c>
      <c r="F4098" s="184">
        <v>39422</v>
      </c>
      <c r="G4098" s="184">
        <v>39449</v>
      </c>
      <c r="H4098" s="185">
        <v>2</v>
      </c>
      <c r="I4098" s="185">
        <v>12</v>
      </c>
      <c r="J4098" s="901" t="s">
        <v>1796</v>
      </c>
      <c r="K4098" s="158" t="s">
        <v>4032</v>
      </c>
      <c r="L4098" s="158" t="s">
        <v>3832</v>
      </c>
      <c r="M4098" s="158" t="s">
        <v>254</v>
      </c>
      <c r="N4098" s="158" t="s">
        <v>5317</v>
      </c>
      <c r="O4098" s="158"/>
      <c r="P4098" s="182" t="s">
        <v>461</v>
      </c>
      <c r="Q4098" s="158" t="s">
        <v>4929</v>
      </c>
      <c r="R4098" s="207" t="s">
        <v>4796</v>
      </c>
      <c r="S4098" s="355" t="s">
        <v>3073</v>
      </c>
      <c r="T4098" s="182"/>
      <c r="U4098" s="182"/>
      <c r="V4098" s="182"/>
      <c r="W4098" s="321"/>
      <c r="X4098" s="653" t="s">
        <v>12344</v>
      </c>
      <c r="Y4098" s="361"/>
      <c r="Z4098" s="362"/>
      <c r="AA4098" s="362"/>
      <c r="AB4098" s="33">
        <f t="shared" ref="AB4098:AB4161" ca="1" si="106">RAND()</f>
        <v>2.595024223127318E-2</v>
      </c>
      <c r="AC4098" s="813"/>
      <c r="AD4098" s="211"/>
      <c r="AE4098" s="949"/>
      <c r="AF4098" s="922">
        <f>IF(X4098=X4097,AF4097,0)+IF(ISNUMBER(I4098),IF(I4098&lt;1,I4098,I4098*VLOOKUP(J4098,Summary!$H$2:$I$9,2)),VLOOKUP(J4098,Summary!$J$2:$K$9,2)*IF(ISNUMBER(H4098),H4098,1))</f>
        <v>1.2399652777777777</v>
      </c>
      <c r="AG4098" s="295">
        <v>4097</v>
      </c>
      <c r="AH4098" s="94"/>
      <c r="AI4098" s="94"/>
      <c r="AJ4098" s="1"/>
    </row>
    <row r="4099" spans="1:36" s="3" customFormat="1" ht="12" customHeight="1" x14ac:dyDescent="0.25">
      <c r="A4099" s="603" t="s">
        <v>15667</v>
      </c>
      <c r="B4099" s="603">
        <v>10</v>
      </c>
      <c r="C4099" s="603">
        <v>129</v>
      </c>
      <c r="D4099" s="428" t="s">
        <v>4713</v>
      </c>
      <c r="E4099" s="325" t="s">
        <v>4712</v>
      </c>
      <c r="F4099" s="184">
        <v>39456</v>
      </c>
      <c r="G4099" s="184"/>
      <c r="H4099" s="185">
        <v>1</v>
      </c>
      <c r="I4099" s="185">
        <v>9</v>
      </c>
      <c r="J4099" s="901" t="s">
        <v>1796</v>
      </c>
      <c r="K4099" s="158" t="s">
        <v>177</v>
      </c>
      <c r="L4099" s="158" t="s">
        <v>251</v>
      </c>
      <c r="M4099" s="158" t="s">
        <v>252</v>
      </c>
      <c r="N4099" s="158" t="s">
        <v>1279</v>
      </c>
      <c r="O4099" s="158"/>
      <c r="P4099" s="182" t="s">
        <v>461</v>
      </c>
      <c r="Q4099" s="158" t="s">
        <v>4104</v>
      </c>
      <c r="R4099" s="207" t="s">
        <v>5266</v>
      </c>
      <c r="S4099" s="355" t="s">
        <v>3073</v>
      </c>
      <c r="T4099" s="182"/>
      <c r="U4099" s="182"/>
      <c r="V4099" s="182"/>
      <c r="W4099" s="325" t="s">
        <v>4712</v>
      </c>
      <c r="X4099" s="657" t="s">
        <v>12344</v>
      </c>
      <c r="Y4099" s="361" t="s">
        <v>5464</v>
      </c>
      <c r="Z4099" s="362">
        <v>999</v>
      </c>
      <c r="AA4099" s="362"/>
      <c r="AB4099" s="33">
        <f t="shared" ca="1" si="106"/>
        <v>0.86421474754173988</v>
      </c>
      <c r="AC4099" s="813"/>
      <c r="AD4099" s="211" t="s">
        <v>14584</v>
      </c>
      <c r="AE4099" s="949" t="s">
        <v>12543</v>
      </c>
      <c r="AF4099" s="922">
        <f>IF(X4099=X4098,AF4098,0)+IF(ISNUMBER(I4099),IF(I4099&lt;1,I4099,I4099*VLOOKUP(J4099,Summary!$H$2:$I$9,2)),VLOOKUP(J4099,Summary!$J$2:$K$9,2)*IF(ISNUMBER(H4099),H4099,1))</f>
        <v>1.2430902777777777</v>
      </c>
      <c r="AG4099" s="295">
        <v>4098</v>
      </c>
      <c r="AH4099" s="94"/>
      <c r="AI4099" s="94"/>
    </row>
    <row r="4100" spans="1:36" s="1" customFormat="1" ht="12" customHeight="1" x14ac:dyDescent="0.25">
      <c r="A4100" s="603" t="s">
        <v>15667</v>
      </c>
      <c r="B4100" s="603">
        <v>10</v>
      </c>
      <c r="C4100" s="603">
        <v>130</v>
      </c>
      <c r="D4100" s="428" t="s">
        <v>1253</v>
      </c>
      <c r="E4100" s="325" t="s">
        <v>3980</v>
      </c>
      <c r="F4100" s="184">
        <v>39484</v>
      </c>
      <c r="G4100" s="184">
        <v>39540</v>
      </c>
      <c r="H4100" s="185">
        <v>3</v>
      </c>
      <c r="I4100" s="185">
        <v>26</v>
      </c>
      <c r="J4100" s="901" t="s">
        <v>1796</v>
      </c>
      <c r="K4100" s="158" t="s">
        <v>4714</v>
      </c>
      <c r="L4100" s="158" t="s">
        <v>3551</v>
      </c>
      <c r="M4100" s="158"/>
      <c r="N4100" s="158" t="s">
        <v>1279</v>
      </c>
      <c r="O4100" s="158"/>
      <c r="P4100" s="182" t="s">
        <v>461</v>
      </c>
      <c r="Q4100" s="158" t="s">
        <v>4104</v>
      </c>
      <c r="R4100" s="207" t="s">
        <v>5266</v>
      </c>
      <c r="S4100" s="355" t="s">
        <v>3073</v>
      </c>
      <c r="T4100" s="182"/>
      <c r="U4100" s="182"/>
      <c r="V4100" s="182"/>
      <c r="W4100" s="321"/>
      <c r="X4100" s="653" t="s">
        <v>12344</v>
      </c>
      <c r="Y4100" s="361"/>
      <c r="Z4100" s="362"/>
      <c r="AA4100" s="362"/>
      <c r="AB4100" s="33">
        <f t="shared" ca="1" si="106"/>
        <v>0.6035095635367882</v>
      </c>
      <c r="AC4100" s="813"/>
      <c r="AD4100" s="211"/>
      <c r="AE4100" s="949"/>
      <c r="AF4100" s="922">
        <f>IF(X4100=X4099,AF4099,0)+IF(ISNUMBER(I4100),IF(I4100&lt;1,I4100,I4100*VLOOKUP(J4100,Summary!$H$2:$I$9,2)),VLOOKUP(J4100,Summary!$J$2:$K$9,2)*IF(ISNUMBER(H4100),H4100,1))</f>
        <v>1.2521180555555556</v>
      </c>
      <c r="AG4100" s="295">
        <v>4099</v>
      </c>
      <c r="AH4100" s="94"/>
      <c r="AI4100" s="94"/>
      <c r="AJ4100" s="22"/>
    </row>
    <row r="4101" spans="1:36" s="2" customFormat="1" ht="12" customHeight="1" x14ac:dyDescent="0.25">
      <c r="A4101" s="603" t="s">
        <v>15667</v>
      </c>
      <c r="B4101" s="603">
        <v>10</v>
      </c>
      <c r="C4101" s="603">
        <v>1</v>
      </c>
      <c r="D4101" s="428" t="s">
        <v>13066</v>
      </c>
      <c r="E4101" s="325" t="s">
        <v>13067</v>
      </c>
      <c r="F4101" s="184">
        <v>39569</v>
      </c>
      <c r="G4101" s="184"/>
      <c r="H4101" s="185">
        <v>1</v>
      </c>
      <c r="I4101" s="185">
        <v>6</v>
      </c>
      <c r="J4101" s="901" t="s">
        <v>1796</v>
      </c>
      <c r="K4101" s="158" t="s">
        <v>13068</v>
      </c>
      <c r="L4101" s="158"/>
      <c r="M4101" s="158"/>
      <c r="N4101" s="158"/>
      <c r="O4101" s="158"/>
      <c r="P4101" s="182" t="s">
        <v>461</v>
      </c>
      <c r="Q4101" s="158" t="s">
        <v>3946</v>
      </c>
      <c r="R4101" s="207" t="s">
        <v>13062</v>
      </c>
      <c r="S4101" s="355" t="s">
        <v>3073</v>
      </c>
      <c r="T4101" s="182"/>
      <c r="U4101" s="182"/>
      <c r="V4101" s="182"/>
      <c r="W4101" s="325" t="s">
        <v>13067</v>
      </c>
      <c r="X4101" s="657" t="s">
        <v>12344</v>
      </c>
      <c r="Y4101" s="361" t="s">
        <v>4707</v>
      </c>
      <c r="Z4101" s="362"/>
      <c r="AA4101" s="362"/>
      <c r="AB4101" s="33">
        <f t="shared" ca="1" si="106"/>
        <v>0.19293450572827131</v>
      </c>
      <c r="AC4101" s="813"/>
      <c r="AD4101" s="211"/>
      <c r="AE4101" s="949"/>
      <c r="AF4101" s="922">
        <f>IF(X4101=X4100,AF4100,0)+IF(ISNUMBER(I4101),IF(I4101&lt;1,I4101,I4101*VLOOKUP(J4101,Summary!$H$2:$I$9,2)),VLOOKUP(J4101,Summary!$J$2:$K$9,2)*IF(ISNUMBER(H4101),H4101,1))</f>
        <v>1.254201388888889</v>
      </c>
      <c r="AG4101" s="295">
        <v>4100</v>
      </c>
      <c r="AH4101" s="94"/>
      <c r="AI4101" s="94"/>
      <c r="AJ4101" s="29"/>
    </row>
    <row r="4102" spans="1:36" s="1" customFormat="1" ht="12" customHeight="1" x14ac:dyDescent="0.25">
      <c r="A4102" s="727" t="s">
        <v>15667</v>
      </c>
      <c r="B4102" s="727">
        <v>10</v>
      </c>
      <c r="C4102" s="727">
        <v>12</v>
      </c>
      <c r="D4102" s="619" t="s">
        <v>15628</v>
      </c>
      <c r="E4102" s="345" t="s">
        <v>15629</v>
      </c>
      <c r="F4102" s="219">
        <v>39513</v>
      </c>
      <c r="G4102" s="219"/>
      <c r="H4102" s="210" t="s">
        <v>461</v>
      </c>
      <c r="I4102" s="210">
        <v>128</v>
      </c>
      <c r="J4102" s="908" t="s">
        <v>15556</v>
      </c>
      <c r="K4102" s="166" t="s">
        <v>2190</v>
      </c>
      <c r="L4102" s="166"/>
      <c r="M4102" s="166"/>
      <c r="N4102" s="166"/>
      <c r="O4102" s="166"/>
      <c r="P4102" s="267" t="s">
        <v>15630</v>
      </c>
      <c r="Q4102" s="166" t="s">
        <v>3953</v>
      </c>
      <c r="R4102" s="268" t="s">
        <v>15583</v>
      </c>
      <c r="S4102" s="386" t="s">
        <v>3073</v>
      </c>
      <c r="T4102" s="267"/>
      <c r="U4102" s="267"/>
      <c r="V4102" s="267"/>
      <c r="W4102" s="345" t="s">
        <v>15629</v>
      </c>
      <c r="X4102" s="680" t="s">
        <v>12344</v>
      </c>
      <c r="Y4102" s="384"/>
      <c r="Z4102" s="385"/>
      <c r="AA4102" s="385"/>
      <c r="AB4102" s="41">
        <f t="shared" ca="1" si="106"/>
        <v>0.50824406984207249</v>
      </c>
      <c r="AC4102" s="832"/>
      <c r="AD4102" s="833"/>
      <c r="AE4102" s="956"/>
      <c r="AF4102" s="929">
        <f>IF(X4102=X4101,AF4101,0)+IF(ISNUMBER(I4102),IF(I4102&lt;1,I4102,I4102*VLOOKUP(J4102,Summary!$H$2:$I$9,2)),VLOOKUP(J4102,Summary!$J$2:$K$9,2)*IF(ISNUMBER(H4102),H4102,1))</f>
        <v>1.2986458333333335</v>
      </c>
      <c r="AG4102" s="307">
        <v>4101</v>
      </c>
      <c r="AH4102" s="94"/>
      <c r="AI4102" s="94"/>
    </row>
    <row r="4103" spans="1:36" s="7" customFormat="1" ht="12" customHeight="1" x14ac:dyDescent="0.25">
      <c r="A4103" s="600" t="s">
        <v>15667</v>
      </c>
      <c r="B4103" s="600">
        <v>10</v>
      </c>
      <c r="C4103" s="600">
        <v>28.5</v>
      </c>
      <c r="D4103" s="434" t="s">
        <v>13257</v>
      </c>
      <c r="E4103" s="324" t="s">
        <v>13258</v>
      </c>
      <c r="F4103" s="175">
        <v>39808</v>
      </c>
      <c r="G4103" s="175"/>
      <c r="H4103" s="176">
        <v>1</v>
      </c>
      <c r="I4103" s="176"/>
      <c r="J4103" s="900" t="s">
        <v>2755</v>
      </c>
      <c r="K4103" s="157" t="s">
        <v>1291</v>
      </c>
      <c r="L4103" s="157"/>
      <c r="M4103" s="157" t="s">
        <v>13251</v>
      </c>
      <c r="N4103" s="157"/>
      <c r="O4103" s="157"/>
      <c r="P4103" s="173" t="s">
        <v>9043</v>
      </c>
      <c r="Q4103" s="157" t="s">
        <v>3954</v>
      </c>
      <c r="R4103" s="179" t="s">
        <v>13247</v>
      </c>
      <c r="S4103" s="354" t="s">
        <v>3073</v>
      </c>
      <c r="T4103" s="173"/>
      <c r="U4103" s="173"/>
      <c r="V4103" s="173"/>
      <c r="W4103" s="324" t="s">
        <v>13258</v>
      </c>
      <c r="X4103" s="656" t="s">
        <v>12344</v>
      </c>
      <c r="Y4103" s="363"/>
      <c r="Z4103" s="364"/>
      <c r="AA4103" s="364"/>
      <c r="AB4103" s="32">
        <f t="shared" ca="1" si="106"/>
        <v>0.67730858972164854</v>
      </c>
      <c r="AC4103" s="812"/>
      <c r="AD4103" s="763" t="s">
        <v>16313</v>
      </c>
      <c r="AE4103" s="951" t="s">
        <v>12543</v>
      </c>
      <c r="AF4103" s="921">
        <f>IF(X4103=X4102,AF4102,0)+IF(ISNUMBER(I4103),IF(I4103&lt;1,I4103,I4103*VLOOKUP(J4103,Summary!$H$2:$I$9,2)),VLOOKUP(J4103,Summary!$J$2:$K$9,2)*IF(ISNUMBER(H4103),H4103,1))</f>
        <v>1.3160069444444447</v>
      </c>
      <c r="AG4103" s="288">
        <v>4102</v>
      </c>
      <c r="AH4103" s="94"/>
      <c r="AI4103" s="94"/>
    </row>
    <row r="4104" spans="1:36" s="57" customFormat="1" ht="12" customHeight="1" x14ac:dyDescent="0.25">
      <c r="A4104" s="604" t="s">
        <v>15667</v>
      </c>
      <c r="B4104" s="604">
        <v>10</v>
      </c>
      <c r="C4104" s="604">
        <v>22</v>
      </c>
      <c r="D4104" s="417" t="s">
        <v>7697</v>
      </c>
      <c r="E4104" s="316" t="s">
        <v>1788</v>
      </c>
      <c r="F4104" s="195">
        <v>39548</v>
      </c>
      <c r="G4104" s="195"/>
      <c r="H4104" s="188" t="str">
        <f>IF(J4104="Book","n/a","")</f>
        <v>n/a</v>
      </c>
      <c r="I4104" s="188">
        <v>245</v>
      </c>
      <c r="J4104" s="902" t="s">
        <v>6868</v>
      </c>
      <c r="K4104" s="162" t="s">
        <v>543</v>
      </c>
      <c r="L4104" s="162" t="str">
        <f>IF(J4104="Book","n/a","")</f>
        <v>n/a</v>
      </c>
      <c r="M4104" s="162"/>
      <c r="N4104" s="162"/>
      <c r="O4104" s="162"/>
      <c r="P4104" s="178" t="s">
        <v>9037</v>
      </c>
      <c r="Q4104" s="162" t="s">
        <v>3953</v>
      </c>
      <c r="R4104" s="189" t="s">
        <v>2711</v>
      </c>
      <c r="S4104" s="366" t="s">
        <v>3073</v>
      </c>
      <c r="T4104" s="178"/>
      <c r="U4104" s="178"/>
      <c r="V4104" s="178"/>
      <c r="W4104" s="316" t="s">
        <v>1788</v>
      </c>
      <c r="X4104" s="648" t="s">
        <v>12344</v>
      </c>
      <c r="Y4104" s="356"/>
      <c r="Z4104" s="272"/>
      <c r="AA4104" s="272"/>
      <c r="AB4104" s="34">
        <f t="shared" ca="1" si="106"/>
        <v>0.2400078136865913</v>
      </c>
      <c r="AC4104" s="814"/>
      <c r="AD4104" s="815" t="s">
        <v>16122</v>
      </c>
      <c r="AE4104" s="942" t="s">
        <v>15062</v>
      </c>
      <c r="AF4104" s="923">
        <f>IF(X4104=X4103,AF4103,0)+IF(ISNUMBER(I4104),IF(I4104&lt;1,I4104,I4104*VLOOKUP(J4104,Summary!$H$2:$I$9,2)),VLOOKUP(J4104,Summary!$J$2:$K$9,2)*IF(ISNUMBER(H4104),H4104,1))</f>
        <v>1.4861458333333335</v>
      </c>
      <c r="AG4104" s="291">
        <v>4103</v>
      </c>
      <c r="AH4104" s="94"/>
      <c r="AI4104" s="94"/>
      <c r="AJ4104" s="22"/>
    </row>
    <row r="4105" spans="1:36" s="1" customFormat="1" ht="12" customHeight="1" x14ac:dyDescent="0.25">
      <c r="A4105" s="604" t="s">
        <v>15667</v>
      </c>
      <c r="B4105" s="604">
        <v>10</v>
      </c>
      <c r="C4105" s="604">
        <v>23</v>
      </c>
      <c r="D4105" s="417" t="s">
        <v>7698</v>
      </c>
      <c r="E4105" s="316" t="s">
        <v>1789</v>
      </c>
      <c r="F4105" s="195">
        <v>39548</v>
      </c>
      <c r="G4105" s="195"/>
      <c r="H4105" s="188" t="str">
        <f>IF(J4105="Book","n/a","")</f>
        <v>n/a</v>
      </c>
      <c r="I4105" s="188">
        <v>255</v>
      </c>
      <c r="J4105" s="902" t="s">
        <v>6868</v>
      </c>
      <c r="K4105" s="162" t="s">
        <v>1935</v>
      </c>
      <c r="L4105" s="162" t="str">
        <f>IF(J4105="Book","n/a","")</f>
        <v>n/a</v>
      </c>
      <c r="M4105" s="162"/>
      <c r="N4105" s="162"/>
      <c r="O4105" s="162"/>
      <c r="P4105" s="178" t="s">
        <v>9038</v>
      </c>
      <c r="Q4105" s="162" t="s">
        <v>3953</v>
      </c>
      <c r="R4105" s="189" t="s">
        <v>2711</v>
      </c>
      <c r="S4105" s="366" t="s">
        <v>3073</v>
      </c>
      <c r="T4105" s="178"/>
      <c r="U4105" s="178"/>
      <c r="V4105" s="178"/>
      <c r="W4105" s="316" t="s">
        <v>1789</v>
      </c>
      <c r="X4105" s="648" t="s">
        <v>12344</v>
      </c>
      <c r="Y4105" s="356"/>
      <c r="Z4105" s="272">
        <v>178</v>
      </c>
      <c r="AA4105" s="272">
        <v>3.5</v>
      </c>
      <c r="AB4105" s="34">
        <f t="shared" ca="1" si="106"/>
        <v>0.3865071536871818</v>
      </c>
      <c r="AC4105" s="814"/>
      <c r="AD4105" s="815" t="s">
        <v>16110</v>
      </c>
      <c r="AE4105" s="942"/>
      <c r="AF4105" s="923">
        <f>IF(X4105=X4104,AF4104,0)+IF(ISNUMBER(I4105),IF(I4105&lt;1,I4105,I4105*VLOOKUP(J4105,Summary!$H$2:$I$9,2)),VLOOKUP(J4105,Summary!$J$2:$K$9,2)*IF(ISNUMBER(H4105),H4105,1))</f>
        <v>1.6632291666666668</v>
      </c>
      <c r="AG4105" s="291">
        <v>4104</v>
      </c>
      <c r="AH4105" s="94"/>
      <c r="AI4105" s="94"/>
      <c r="AJ4105" s="3"/>
    </row>
    <row r="4106" spans="1:36" s="1" customFormat="1" ht="12" customHeight="1" x14ac:dyDescent="0.25">
      <c r="A4106" s="604" t="s">
        <v>15667</v>
      </c>
      <c r="B4106" s="604">
        <v>10</v>
      </c>
      <c r="C4106" s="604">
        <v>24</v>
      </c>
      <c r="D4106" s="417" t="s">
        <v>7699</v>
      </c>
      <c r="E4106" s="316" t="s">
        <v>1790</v>
      </c>
      <c r="F4106" s="195">
        <v>39548</v>
      </c>
      <c r="G4106" s="195"/>
      <c r="H4106" s="188" t="str">
        <f>IF(J4106="Book","n/a","")</f>
        <v>n/a</v>
      </c>
      <c r="I4106" s="188">
        <v>244</v>
      </c>
      <c r="J4106" s="902" t="s">
        <v>6868</v>
      </c>
      <c r="K4106" s="162" t="s">
        <v>4131</v>
      </c>
      <c r="L4106" s="162" t="str">
        <f>IF(J4106="Book","n/a","")</f>
        <v>n/a</v>
      </c>
      <c r="M4106" s="162"/>
      <c r="N4106" s="162"/>
      <c r="O4106" s="162"/>
      <c r="P4106" s="178" t="s">
        <v>9039</v>
      </c>
      <c r="Q4106" s="162" t="s">
        <v>3953</v>
      </c>
      <c r="R4106" s="189" t="s">
        <v>2711</v>
      </c>
      <c r="S4106" s="366" t="s">
        <v>3073</v>
      </c>
      <c r="T4106" s="178"/>
      <c r="U4106" s="178"/>
      <c r="V4106" s="178"/>
      <c r="W4106" s="316" t="s">
        <v>1790</v>
      </c>
      <c r="X4106" s="648" t="s">
        <v>12344</v>
      </c>
      <c r="Y4106" s="356"/>
      <c r="Z4106" s="272"/>
      <c r="AA4106" s="272"/>
      <c r="AB4106" s="34">
        <f t="shared" ca="1" si="106"/>
        <v>0.59360428316332181</v>
      </c>
      <c r="AC4106" s="814"/>
      <c r="AD4106" s="815" t="s">
        <v>16556</v>
      </c>
      <c r="AE4106" s="942"/>
      <c r="AF4106" s="923">
        <f>IF(X4106=X4105,AF4105,0)+IF(ISNUMBER(I4106),IF(I4106&lt;1,I4106,I4106*VLOOKUP(J4106,Summary!$H$2:$I$9,2)),VLOOKUP(J4106,Summary!$J$2:$K$9,2)*IF(ISNUMBER(H4106),H4106,1))</f>
        <v>1.8326736111111113</v>
      </c>
      <c r="AG4106" s="291">
        <v>4105</v>
      </c>
      <c r="AH4106" s="94"/>
      <c r="AI4106" s="94"/>
    </row>
    <row r="4107" spans="1:36" s="43" customFormat="1" ht="12" customHeight="1" x14ac:dyDescent="0.25">
      <c r="A4107" s="408"/>
      <c r="B4107" s="408" t="s">
        <v>2650</v>
      </c>
      <c r="C4107" s="408">
        <v>15</v>
      </c>
      <c r="D4107" s="434" t="s">
        <v>3623</v>
      </c>
      <c r="E4107" s="324" t="s">
        <v>3624</v>
      </c>
      <c r="F4107" s="174">
        <v>40057</v>
      </c>
      <c r="G4107" s="175"/>
      <c r="H4107" s="176">
        <v>1</v>
      </c>
      <c r="I4107" s="176"/>
      <c r="J4107" s="900" t="s">
        <v>2755</v>
      </c>
      <c r="K4107" s="157" t="s">
        <v>543</v>
      </c>
      <c r="L4107" s="157"/>
      <c r="M4107" s="157"/>
      <c r="N4107" s="157"/>
      <c r="O4107" s="157"/>
      <c r="P4107" s="173" t="s">
        <v>8899</v>
      </c>
      <c r="Q4107" s="157" t="s">
        <v>3954</v>
      </c>
      <c r="R4107" s="179" t="s">
        <v>3609</v>
      </c>
      <c r="S4107" s="354"/>
      <c r="T4107" s="173"/>
      <c r="U4107" s="173"/>
      <c r="V4107" s="173"/>
      <c r="W4107" s="324" t="s">
        <v>3624</v>
      </c>
      <c r="X4107" s="656" t="s">
        <v>12344</v>
      </c>
      <c r="Y4107" s="363"/>
      <c r="Z4107" s="364"/>
      <c r="AA4107" s="364"/>
      <c r="AB4107" s="32">
        <f t="shared" ca="1" si="106"/>
        <v>0.54340729125668963</v>
      </c>
      <c r="AC4107" s="812"/>
      <c r="AD4107" s="763"/>
      <c r="AE4107" s="951"/>
      <c r="AF4107" s="921">
        <f>IF(X4107=X4106,AF4106,0)+IF(ISNUMBER(I4107),IF(I4107&lt;1,I4107,I4107*VLOOKUP(J4107,Summary!$H$2:$I$9,2)),VLOOKUP(J4107,Summary!$J$2:$K$9,2)*IF(ISNUMBER(H4107),H4107,1))</f>
        <v>1.8500347222222224</v>
      </c>
      <c r="AG4107" s="288">
        <v>4106</v>
      </c>
      <c r="AH4107" s="94"/>
      <c r="AI4107" s="94"/>
      <c r="AJ4107" s="1"/>
    </row>
    <row r="4108" spans="1:36" s="5" customFormat="1" ht="12" customHeight="1" x14ac:dyDescent="0.25">
      <c r="A4108" s="603" t="s">
        <v>15667</v>
      </c>
      <c r="B4108" s="603">
        <v>10</v>
      </c>
      <c r="C4108" s="603">
        <v>10</v>
      </c>
      <c r="D4108" s="428" t="s">
        <v>6188</v>
      </c>
      <c r="E4108" s="325" t="s">
        <v>6184</v>
      </c>
      <c r="F4108" s="183">
        <v>40057</v>
      </c>
      <c r="G4108" s="183"/>
      <c r="H4108" s="185">
        <v>1</v>
      </c>
      <c r="I4108" s="185">
        <v>22</v>
      </c>
      <c r="J4108" s="901" t="s">
        <v>1796</v>
      </c>
      <c r="K4108" s="158" t="s">
        <v>6567</v>
      </c>
      <c r="L4108" s="158" t="s">
        <v>6191</v>
      </c>
      <c r="M4108" s="158" t="s">
        <v>6567</v>
      </c>
      <c r="N4108" s="158" t="s">
        <v>5717</v>
      </c>
      <c r="O4108" s="158"/>
      <c r="P4108" s="182" t="s">
        <v>461</v>
      </c>
      <c r="Q4108" s="158" t="s">
        <v>5719</v>
      </c>
      <c r="R4108" s="207" t="s">
        <v>5718</v>
      </c>
      <c r="S4108" s="355" t="s">
        <v>3073</v>
      </c>
      <c r="T4108" s="182"/>
      <c r="U4108" s="182"/>
      <c r="V4108" s="182"/>
      <c r="W4108" s="325" t="s">
        <v>6184</v>
      </c>
      <c r="X4108" s="657" t="s">
        <v>12344</v>
      </c>
      <c r="Y4108" s="355" t="s">
        <v>6000</v>
      </c>
      <c r="Z4108" s="362">
        <v>999</v>
      </c>
      <c r="AA4108" s="362"/>
      <c r="AB4108" s="33">
        <f t="shared" ca="1" si="106"/>
        <v>6.5936922384239649E-2</v>
      </c>
      <c r="AC4108" s="813"/>
      <c r="AD4108" s="211" t="s">
        <v>15122</v>
      </c>
      <c r="AE4108" s="941"/>
      <c r="AF4108" s="922">
        <f>IF(X4108=X4107,AF4107,0)+IF(ISNUMBER(I4108),IF(I4108&lt;1,I4108,I4108*VLOOKUP(J4108,Summary!$H$2:$I$9,2)),VLOOKUP(J4108,Summary!$J$2:$K$9,2)*IF(ISNUMBER(H4108),H4108,1))</f>
        <v>1.8576736111111114</v>
      </c>
      <c r="AG4108" s="290">
        <v>4107</v>
      </c>
      <c r="AH4108" s="94"/>
      <c r="AI4108" s="94"/>
      <c r="AJ4108" s="3"/>
    </row>
    <row r="4109" spans="1:36" s="22" customFormat="1" ht="12" customHeight="1" x14ac:dyDescent="0.25">
      <c r="A4109" s="599" t="s">
        <v>15667</v>
      </c>
      <c r="B4109" s="599">
        <v>10</v>
      </c>
      <c r="C4109" s="599">
        <v>187</v>
      </c>
      <c r="D4109" s="424" t="s">
        <v>6225</v>
      </c>
      <c r="E4109" s="319" t="s">
        <v>6226</v>
      </c>
      <c r="F4109" s="198">
        <v>39249</v>
      </c>
      <c r="G4109" s="198"/>
      <c r="H4109" s="199">
        <v>1</v>
      </c>
      <c r="I4109" s="791">
        <f>TIME(0,45,52)</f>
        <v>3.1851851851851853E-2</v>
      </c>
      <c r="J4109" s="904" t="s">
        <v>1588</v>
      </c>
      <c r="K4109" s="200" t="s">
        <v>3373</v>
      </c>
      <c r="L4109" s="200" t="s">
        <v>4544</v>
      </c>
      <c r="M4109" s="200"/>
      <c r="N4109" s="200" t="s">
        <v>3373</v>
      </c>
      <c r="O4109" s="200" t="s">
        <v>3375</v>
      </c>
      <c r="P4109" s="197" t="s">
        <v>461</v>
      </c>
      <c r="Q4109" s="200" t="s">
        <v>3946</v>
      </c>
      <c r="R4109" s="201" t="s">
        <v>5280</v>
      </c>
      <c r="S4109" s="390" t="s">
        <v>3073</v>
      </c>
      <c r="T4109" s="197" t="s">
        <v>3068</v>
      </c>
      <c r="U4109" s="197"/>
      <c r="V4109" s="197"/>
      <c r="W4109" s="319" t="s">
        <v>6226</v>
      </c>
      <c r="X4109" s="651" t="s">
        <v>12344</v>
      </c>
      <c r="Y4109" s="358" t="s">
        <v>6141</v>
      </c>
      <c r="Z4109" s="253">
        <v>189</v>
      </c>
      <c r="AA4109" s="253">
        <v>5</v>
      </c>
      <c r="AB4109" s="35">
        <f t="shared" ca="1" si="106"/>
        <v>0.12945211963700753</v>
      </c>
      <c r="AC4109" s="820"/>
      <c r="AD4109" s="821" t="s">
        <v>16530</v>
      </c>
      <c r="AE4109" s="967"/>
      <c r="AF4109" s="925">
        <f>IF(X4109=X4108,AF4108,0)+IF(ISNUMBER(I4109),IF(I4109&lt;1,I4109,I4109*VLOOKUP(J4109,Summary!$H$2:$I$9,2)),VLOOKUP(J4109,Summary!$J$2:$K$9,2)*IF(ISNUMBER(H4109),H4109,1))</f>
        <v>1.8895254629629632</v>
      </c>
      <c r="AG4109" s="293">
        <v>4108</v>
      </c>
      <c r="AH4109" s="94"/>
      <c r="AI4109" s="94"/>
      <c r="AJ4109" s="1"/>
    </row>
    <row r="4110" spans="1:36" s="3" customFormat="1" ht="12" customHeight="1" x14ac:dyDescent="0.25">
      <c r="A4110" s="599" t="s">
        <v>15667</v>
      </c>
      <c r="B4110" s="599">
        <v>10</v>
      </c>
      <c r="C4110" s="599">
        <v>187</v>
      </c>
      <c r="D4110" s="424" t="s">
        <v>6154</v>
      </c>
      <c r="E4110" s="319" t="s">
        <v>7762</v>
      </c>
      <c r="F4110" s="198">
        <v>39256</v>
      </c>
      <c r="G4110" s="198">
        <v>39263</v>
      </c>
      <c r="H4110" s="199">
        <v>2</v>
      </c>
      <c r="I4110" s="791">
        <f>TIME(0,46,12)+TIME(0,51,25)</f>
        <v>6.7789351851851851E-2</v>
      </c>
      <c r="J4110" s="904" t="s">
        <v>1588</v>
      </c>
      <c r="K4110" s="200" t="s">
        <v>3373</v>
      </c>
      <c r="L4110" s="200" t="s">
        <v>1504</v>
      </c>
      <c r="M4110" s="200"/>
      <c r="N4110" s="200" t="s">
        <v>3373</v>
      </c>
      <c r="O4110" s="200" t="s">
        <v>3375</v>
      </c>
      <c r="P4110" s="197" t="s">
        <v>461</v>
      </c>
      <c r="Q4110" s="200" t="s">
        <v>3946</v>
      </c>
      <c r="R4110" s="201" t="s">
        <v>5280</v>
      </c>
      <c r="S4110" s="390" t="s">
        <v>3073</v>
      </c>
      <c r="T4110" s="197" t="s">
        <v>3068</v>
      </c>
      <c r="U4110" s="197"/>
      <c r="V4110" s="197"/>
      <c r="W4110" s="318" t="s">
        <v>8464</v>
      </c>
      <c r="X4110" s="650" t="s">
        <v>12344</v>
      </c>
      <c r="Y4110" s="358" t="s">
        <v>6141</v>
      </c>
      <c r="Z4110" s="253">
        <v>193</v>
      </c>
      <c r="AA4110" s="253">
        <v>5</v>
      </c>
      <c r="AB4110" s="35">
        <f t="shared" ca="1" si="106"/>
        <v>0.59671658133721006</v>
      </c>
      <c r="AC4110" s="820"/>
      <c r="AD4110" s="821" t="s">
        <v>15871</v>
      </c>
      <c r="AE4110" s="944" t="s">
        <v>15093</v>
      </c>
      <c r="AF4110" s="925">
        <f>IF(X4110=X4109,AF4109,0)+IF(ISNUMBER(I4110),IF(I4110&lt;1,I4110,I4110*VLOOKUP(J4110,Summary!$H$2:$I$9,2)),VLOOKUP(J4110,Summary!$J$2:$K$9,2)*IF(ISNUMBER(H4110),H4110,1))</f>
        <v>1.957314814814815</v>
      </c>
      <c r="AG4110" s="293">
        <v>4109</v>
      </c>
      <c r="AH4110" s="94"/>
      <c r="AI4110" s="94"/>
      <c r="AJ4110" s="1"/>
    </row>
    <row r="4111" spans="1:36" s="3" customFormat="1" ht="12" customHeight="1" x14ac:dyDescent="0.25">
      <c r="A4111" s="600" t="s">
        <v>15667</v>
      </c>
      <c r="B4111" s="600">
        <v>10</v>
      </c>
      <c r="C4111" s="600">
        <v>28.1</v>
      </c>
      <c r="D4111" s="434" t="s">
        <v>13259</v>
      </c>
      <c r="E4111" s="324" t="s">
        <v>1791</v>
      </c>
      <c r="F4111" s="175">
        <v>39808</v>
      </c>
      <c r="G4111" s="175"/>
      <c r="H4111" s="176">
        <v>1</v>
      </c>
      <c r="I4111" s="176"/>
      <c r="J4111" s="900" t="s">
        <v>2755</v>
      </c>
      <c r="K4111" s="157" t="s">
        <v>4132</v>
      </c>
      <c r="L4111" s="157"/>
      <c r="M4111" s="157" t="s">
        <v>13251</v>
      </c>
      <c r="N4111" s="157"/>
      <c r="O4111" s="157"/>
      <c r="P4111" s="173" t="s">
        <v>9043</v>
      </c>
      <c r="Q4111" s="157" t="s">
        <v>3954</v>
      </c>
      <c r="R4111" s="179" t="s">
        <v>13247</v>
      </c>
      <c r="S4111" s="354" t="s">
        <v>3073</v>
      </c>
      <c r="T4111" s="173"/>
      <c r="U4111" s="173"/>
      <c r="V4111" s="173"/>
      <c r="W4111" s="324" t="s">
        <v>1791</v>
      </c>
      <c r="X4111" s="656" t="s">
        <v>12344</v>
      </c>
      <c r="Y4111" s="363"/>
      <c r="Z4111" s="364"/>
      <c r="AA4111" s="364"/>
      <c r="AB4111" s="32">
        <f t="shared" ca="1" si="106"/>
        <v>0.3405737050909452</v>
      </c>
      <c r="AC4111" s="812"/>
      <c r="AD4111" s="763" t="s">
        <v>15868</v>
      </c>
      <c r="AE4111" s="951" t="s">
        <v>15093</v>
      </c>
      <c r="AF4111" s="921">
        <f>IF(X4111=X4110,AF4110,0)+IF(ISNUMBER(I4111),IF(I4111&lt;1,I4111,I4111*VLOOKUP(J4111,Summary!$H$2:$I$9,2)),VLOOKUP(J4111,Summary!$J$2:$K$9,2)*IF(ISNUMBER(H4111),H4111,1))</f>
        <v>1.9746759259259261</v>
      </c>
      <c r="AG4111" s="288">
        <v>4110</v>
      </c>
      <c r="AH4111" s="94"/>
      <c r="AI4111" s="94"/>
      <c r="AJ4111" s="1"/>
    </row>
    <row r="4112" spans="1:36" s="1" customFormat="1" ht="12" customHeight="1" x14ac:dyDescent="0.25">
      <c r="A4112" s="604" t="s">
        <v>15667</v>
      </c>
      <c r="B4112" s="604">
        <v>10</v>
      </c>
      <c r="C4112" s="604">
        <v>28</v>
      </c>
      <c r="D4112" s="417" t="s">
        <v>7728</v>
      </c>
      <c r="E4112" s="316" t="s">
        <v>1791</v>
      </c>
      <c r="F4112" s="195">
        <v>39808</v>
      </c>
      <c r="G4112" s="195"/>
      <c r="H4112" s="188" t="str">
        <f>IF(J4112="Book","n/a","")</f>
        <v>n/a</v>
      </c>
      <c r="I4112" s="188">
        <v>238</v>
      </c>
      <c r="J4112" s="902" t="s">
        <v>6868</v>
      </c>
      <c r="K4112" s="162" t="s">
        <v>4132</v>
      </c>
      <c r="L4112" s="162" t="str">
        <f>IF(J4112="Book","n/a","")</f>
        <v>n/a</v>
      </c>
      <c r="M4112" s="162" t="s">
        <v>13251</v>
      </c>
      <c r="N4112" s="162"/>
      <c r="O4112" s="162"/>
      <c r="P4112" s="178" t="s">
        <v>9043</v>
      </c>
      <c r="Q4112" s="162" t="s">
        <v>3953</v>
      </c>
      <c r="R4112" s="189" t="s">
        <v>2711</v>
      </c>
      <c r="S4112" s="366" t="s">
        <v>3073</v>
      </c>
      <c r="T4112" s="178"/>
      <c r="U4112" s="178"/>
      <c r="V4112" s="178"/>
      <c r="W4112" s="316" t="s">
        <v>1791</v>
      </c>
      <c r="X4112" s="648" t="s">
        <v>12344</v>
      </c>
      <c r="Y4112" s="356"/>
      <c r="Z4112" s="272">
        <v>164</v>
      </c>
      <c r="AA4112" s="272">
        <v>4</v>
      </c>
      <c r="AB4112" s="34">
        <f t="shared" ca="1" si="106"/>
        <v>0.58458954510948202</v>
      </c>
      <c r="AC4112" s="814"/>
      <c r="AD4112" s="815" t="s">
        <v>15868</v>
      </c>
      <c r="AE4112" s="942" t="s">
        <v>15093</v>
      </c>
      <c r="AF4112" s="923">
        <f>IF(X4112=X4111,AF4111,0)+IF(ISNUMBER(I4112),IF(I4112&lt;1,I4112,I4112*VLOOKUP(J4112,Summary!$H$2:$I$9,2)),VLOOKUP(J4112,Summary!$J$2:$K$9,2)*IF(ISNUMBER(H4112),H4112,1))</f>
        <v>2.139953703703704</v>
      </c>
      <c r="AG4112" s="291">
        <v>4111</v>
      </c>
      <c r="AH4112" s="94"/>
      <c r="AI4112" s="94"/>
    </row>
    <row r="4113" spans="1:36" s="1" customFormat="1" ht="12" customHeight="1" x14ac:dyDescent="0.25">
      <c r="A4113" s="408"/>
      <c r="B4113" s="408" t="s">
        <v>2650</v>
      </c>
      <c r="C4113" s="408">
        <v>3</v>
      </c>
      <c r="D4113" s="176" t="s">
        <v>12593</v>
      </c>
      <c r="E4113" s="313" t="s">
        <v>12594</v>
      </c>
      <c r="F4113" s="175">
        <v>42915</v>
      </c>
      <c r="G4113" s="174"/>
      <c r="H4113" s="176" t="s">
        <v>461</v>
      </c>
      <c r="I4113" s="176"/>
      <c r="J4113" s="900" t="s">
        <v>2755</v>
      </c>
      <c r="K4113" s="164" t="s">
        <v>2675</v>
      </c>
      <c r="L4113" s="164" t="s">
        <v>3551</v>
      </c>
      <c r="M4113" s="164"/>
      <c r="N4113" s="164"/>
      <c r="O4113" s="164"/>
      <c r="P4113" s="173" t="s">
        <v>12587</v>
      </c>
      <c r="Q4113" s="164" t="s">
        <v>3953</v>
      </c>
      <c r="R4113" s="177" t="s">
        <v>12588</v>
      </c>
      <c r="S4113" s="354"/>
      <c r="T4113" s="173"/>
      <c r="U4113" s="173"/>
      <c r="V4113" s="173"/>
      <c r="W4113" s="313" t="s">
        <v>12594</v>
      </c>
      <c r="X4113" s="656" t="s">
        <v>12344</v>
      </c>
      <c r="Y4113" s="354"/>
      <c r="Z4113" s="176"/>
      <c r="AA4113" s="176"/>
      <c r="AB4113" s="32">
        <f t="shared" ca="1" si="106"/>
        <v>0.63118248579758141</v>
      </c>
      <c r="AC4113" s="812"/>
      <c r="AD4113" s="763"/>
      <c r="AE4113" s="807"/>
      <c r="AF4113" s="921">
        <f>IF(X4113=X4112,AF4112,0)+IF(ISNUMBER(I4113),IF(I4113&lt;1,I4113,I4113*VLOOKUP(J4113,Summary!$H$2:$I$9,2)),VLOOKUP(J4113,Summary!$J$2:$K$9,2)*IF(ISNUMBER(H4113),H4113,1))</f>
        <v>2.1573148148148151</v>
      </c>
      <c r="AG4113" s="289">
        <v>4112</v>
      </c>
      <c r="AH4113" s="94"/>
      <c r="AI4113" s="94"/>
    </row>
    <row r="4114" spans="1:36" s="22" customFormat="1" ht="12" customHeight="1" x14ac:dyDescent="0.25">
      <c r="A4114" s="553" t="s">
        <v>6156</v>
      </c>
      <c r="B4114" s="553" t="s">
        <v>3221</v>
      </c>
      <c r="C4114" s="553">
        <v>1</v>
      </c>
      <c r="D4114" s="424" t="s">
        <v>6157</v>
      </c>
      <c r="E4114" s="319" t="s">
        <v>6163</v>
      </c>
      <c r="F4114" s="198">
        <v>39083</v>
      </c>
      <c r="G4114" s="198"/>
      <c r="H4114" s="199">
        <v>2</v>
      </c>
      <c r="I4114" s="791">
        <f>TIME(0,60,23)</f>
        <v>4.1932870370370363E-2</v>
      </c>
      <c r="J4114" s="904" t="s">
        <v>1588</v>
      </c>
      <c r="K4114" s="200" t="s">
        <v>40</v>
      </c>
      <c r="L4114" s="200" t="s">
        <v>1504</v>
      </c>
      <c r="M4114" s="200"/>
      <c r="N4114" s="200" t="s">
        <v>3015</v>
      </c>
      <c r="O4114" s="200" t="s">
        <v>3632</v>
      </c>
      <c r="P4114" s="197" t="s">
        <v>461</v>
      </c>
      <c r="Q4114" s="200" t="s">
        <v>3946</v>
      </c>
      <c r="R4114" s="201" t="s">
        <v>5273</v>
      </c>
      <c r="S4114" s="390" t="s">
        <v>53</v>
      </c>
      <c r="T4114" s="197" t="s">
        <v>3074</v>
      </c>
      <c r="U4114" s="197" t="s">
        <v>3071</v>
      </c>
      <c r="V4114" s="197"/>
      <c r="W4114" s="318"/>
      <c r="X4114" s="650" t="s">
        <v>12363</v>
      </c>
      <c r="Y4114" s="358" t="s">
        <v>7018</v>
      </c>
      <c r="Z4114" s="253">
        <v>1009</v>
      </c>
      <c r="AA4114" s="253">
        <v>6.5</v>
      </c>
      <c r="AB4114" s="35">
        <f t="shared" ca="1" si="106"/>
        <v>0.31608715854462788</v>
      </c>
      <c r="AC4114" s="820"/>
      <c r="AD4114" s="821" t="s">
        <v>14922</v>
      </c>
      <c r="AE4114" s="944"/>
      <c r="AF4114" s="925">
        <f>IF(X4114=X4113,AF4113,0)+IF(ISNUMBER(I4114),IF(I4114&lt;1,I4114,I4114*VLOOKUP(J4114,Summary!$H$2:$I$9,2)),VLOOKUP(J4114,Summary!$J$2:$K$9,2)*IF(ISNUMBER(H4114),H4114,1))</f>
        <v>4.1932870370370363E-2</v>
      </c>
      <c r="AG4114" s="293">
        <v>4113</v>
      </c>
      <c r="AH4114" s="94"/>
      <c r="AI4114" s="94"/>
      <c r="AJ4114" s="1"/>
    </row>
    <row r="4115" spans="1:36" s="1" customFormat="1" ht="12" customHeight="1" x14ac:dyDescent="0.25">
      <c r="A4115" s="553" t="s">
        <v>6162</v>
      </c>
      <c r="B4115" s="554" t="s">
        <v>3221</v>
      </c>
      <c r="C4115" s="553">
        <v>2</v>
      </c>
      <c r="D4115" s="424" t="s">
        <v>6155</v>
      </c>
      <c r="E4115" s="319" t="s">
        <v>6164</v>
      </c>
      <c r="F4115" s="198">
        <v>39349</v>
      </c>
      <c r="G4115" s="198"/>
      <c r="H4115" s="199">
        <v>2</v>
      </c>
      <c r="I4115" s="791">
        <f>TIME(0,27, 7)+TIME(0,27,26)</f>
        <v>3.788194444444444E-2</v>
      </c>
      <c r="J4115" s="904" t="s">
        <v>1588</v>
      </c>
      <c r="K4115" s="200" t="s">
        <v>3451</v>
      </c>
      <c r="L4115" s="200" t="s">
        <v>1597</v>
      </c>
      <c r="M4115" s="200"/>
      <c r="N4115" s="200" t="s">
        <v>6285</v>
      </c>
      <c r="O4115" s="200" t="s">
        <v>6286</v>
      </c>
      <c r="P4115" s="197" t="s">
        <v>461</v>
      </c>
      <c r="Q4115" s="200" t="s">
        <v>3946</v>
      </c>
      <c r="R4115" s="201" t="s">
        <v>5273</v>
      </c>
      <c r="S4115" s="390" t="s">
        <v>53</v>
      </c>
      <c r="T4115" s="197" t="s">
        <v>3074</v>
      </c>
      <c r="U4115" s="197" t="s">
        <v>3071</v>
      </c>
      <c r="V4115" s="197" t="s">
        <v>3072</v>
      </c>
      <c r="W4115" s="318"/>
      <c r="X4115" s="650" t="s">
        <v>12363</v>
      </c>
      <c r="Y4115" s="358" t="s">
        <v>7018</v>
      </c>
      <c r="Z4115" s="253">
        <v>1013</v>
      </c>
      <c r="AA4115" s="253">
        <v>6</v>
      </c>
      <c r="AB4115" s="35">
        <f t="shared" ca="1" si="106"/>
        <v>0.6802410994197855</v>
      </c>
      <c r="AC4115" s="820"/>
      <c r="AD4115" s="824" t="s">
        <v>14923</v>
      </c>
      <c r="AE4115" s="944"/>
      <c r="AF4115" s="925">
        <f>IF(X4115=X4114,AF4114,0)+IF(ISNUMBER(I4115),IF(I4115&lt;1,I4115,I4115*VLOOKUP(J4115,Summary!$H$2:$I$9,2)),VLOOKUP(J4115,Summary!$J$2:$K$9,2)*IF(ISNUMBER(H4115),H4115,1))</f>
        <v>7.9814814814814811E-2</v>
      </c>
      <c r="AG4115" s="293">
        <v>4114</v>
      </c>
      <c r="AH4115" s="94"/>
      <c r="AI4115" s="94"/>
    </row>
    <row r="4116" spans="1:36" s="1" customFormat="1" ht="12" customHeight="1" x14ac:dyDescent="0.25">
      <c r="A4116" s="553" t="s">
        <v>6162</v>
      </c>
      <c r="B4116" s="554" t="s">
        <v>3221</v>
      </c>
      <c r="C4116" s="553">
        <v>3</v>
      </c>
      <c r="D4116" s="424" t="s">
        <v>6158</v>
      </c>
      <c r="E4116" s="319" t="s">
        <v>3011</v>
      </c>
      <c r="F4116" s="198">
        <v>39356</v>
      </c>
      <c r="G4116" s="198">
        <v>39363</v>
      </c>
      <c r="H4116" s="199">
        <v>2</v>
      </c>
      <c r="I4116" s="791">
        <f>TIME(0,27,30)+TIME(0,27,49)</f>
        <v>3.8414351851851852E-2</v>
      </c>
      <c r="J4116" s="904" t="s">
        <v>1588</v>
      </c>
      <c r="K4116" s="200" t="s">
        <v>4152</v>
      </c>
      <c r="L4116" s="200" t="s">
        <v>1597</v>
      </c>
      <c r="M4116" s="200"/>
      <c r="N4116" s="200" t="s">
        <v>6285</v>
      </c>
      <c r="O4116" s="200" t="s">
        <v>6286</v>
      </c>
      <c r="P4116" s="197" t="s">
        <v>461</v>
      </c>
      <c r="Q4116" s="200" t="s">
        <v>3946</v>
      </c>
      <c r="R4116" s="201" t="s">
        <v>5273</v>
      </c>
      <c r="S4116" s="390" t="s">
        <v>53</v>
      </c>
      <c r="T4116" s="197" t="s">
        <v>3074</v>
      </c>
      <c r="U4116" s="197" t="s">
        <v>3071</v>
      </c>
      <c r="V4116" s="197" t="s">
        <v>3072</v>
      </c>
      <c r="W4116" s="318"/>
      <c r="X4116" s="650" t="s">
        <v>12363</v>
      </c>
      <c r="Y4116" s="358" t="s">
        <v>7018</v>
      </c>
      <c r="Z4116" s="253">
        <v>1021</v>
      </c>
      <c r="AA4116" s="253">
        <v>4</v>
      </c>
      <c r="AB4116" s="35">
        <f t="shared" ca="1" si="106"/>
        <v>0.70223240451269353</v>
      </c>
      <c r="AC4116" s="820"/>
      <c r="AD4116" s="824" t="s">
        <v>14584</v>
      </c>
      <c r="AE4116" s="944"/>
      <c r="AF4116" s="925">
        <f>IF(X4116=X4115,AF4115,0)+IF(ISNUMBER(I4116),IF(I4116&lt;1,I4116,I4116*VLOOKUP(J4116,Summary!$H$2:$I$9,2)),VLOOKUP(J4116,Summary!$J$2:$K$9,2)*IF(ISNUMBER(H4116),H4116,1))</f>
        <v>0.11822916666666666</v>
      </c>
      <c r="AG4116" s="293">
        <v>4115</v>
      </c>
      <c r="AH4116" s="94"/>
      <c r="AI4116" s="94"/>
    </row>
    <row r="4117" spans="1:36" s="142" customFormat="1" ht="12" customHeight="1" x14ac:dyDescent="0.25">
      <c r="A4117" s="553" t="s">
        <v>6162</v>
      </c>
      <c r="B4117" s="554" t="s">
        <v>3221</v>
      </c>
      <c r="C4117" s="553">
        <v>4</v>
      </c>
      <c r="D4117" s="424" t="s">
        <v>6159</v>
      </c>
      <c r="E4117" s="319" t="s">
        <v>3012</v>
      </c>
      <c r="F4117" s="198">
        <v>39370</v>
      </c>
      <c r="G4117" s="198">
        <v>39377</v>
      </c>
      <c r="H4117" s="199">
        <v>2</v>
      </c>
      <c r="I4117" s="791">
        <f>TIME(0,26,48)+TIME(0,28, 3)</f>
        <v>3.8090277777777778E-2</v>
      </c>
      <c r="J4117" s="904" t="s">
        <v>1588</v>
      </c>
      <c r="K4117" s="200" t="s">
        <v>41</v>
      </c>
      <c r="L4117" s="200" t="s">
        <v>6284</v>
      </c>
      <c r="M4117" s="200"/>
      <c r="N4117" s="200" t="s">
        <v>6285</v>
      </c>
      <c r="O4117" s="200" t="s">
        <v>6286</v>
      </c>
      <c r="P4117" s="197" t="s">
        <v>461</v>
      </c>
      <c r="Q4117" s="200" t="s">
        <v>3946</v>
      </c>
      <c r="R4117" s="201" t="s">
        <v>5273</v>
      </c>
      <c r="S4117" s="390" t="s">
        <v>53</v>
      </c>
      <c r="T4117" s="197" t="s">
        <v>3074</v>
      </c>
      <c r="U4117" s="197" t="s">
        <v>3071</v>
      </c>
      <c r="V4117" s="197" t="s">
        <v>3072</v>
      </c>
      <c r="W4117" s="318"/>
      <c r="X4117" s="650" t="s">
        <v>12363</v>
      </c>
      <c r="Y4117" s="358" t="s">
        <v>7018</v>
      </c>
      <c r="Z4117" s="253">
        <v>1017</v>
      </c>
      <c r="AA4117" s="253">
        <v>5</v>
      </c>
      <c r="AB4117" s="35">
        <f t="shared" ca="1" si="106"/>
        <v>0.73612858477013843</v>
      </c>
      <c r="AC4117" s="820"/>
      <c r="AD4117" s="824" t="s">
        <v>14584</v>
      </c>
      <c r="AE4117" s="944"/>
      <c r="AF4117" s="925">
        <f>IF(X4117=X4116,AF4116,0)+IF(ISNUMBER(I4117),IF(I4117&lt;1,I4117,I4117*VLOOKUP(J4117,Summary!$H$2:$I$9,2)),VLOOKUP(J4117,Summary!$J$2:$K$9,2)*IF(ISNUMBER(H4117),H4117,1))</f>
        <v>0.15631944444444446</v>
      </c>
      <c r="AG4117" s="293">
        <v>4116</v>
      </c>
      <c r="AH4117" s="94"/>
      <c r="AI4117" s="94"/>
    </row>
    <row r="4118" spans="1:36" s="1" customFormat="1" ht="12" customHeight="1" x14ac:dyDescent="0.25">
      <c r="A4118" s="405" t="s">
        <v>6162</v>
      </c>
      <c r="B4118" s="406" t="s">
        <v>3221</v>
      </c>
      <c r="C4118" s="405">
        <v>2</v>
      </c>
      <c r="D4118" s="407" t="s">
        <v>6428</v>
      </c>
      <c r="E4118" s="315" t="s">
        <v>6426</v>
      </c>
      <c r="F4118" s="169">
        <v>39387</v>
      </c>
      <c r="G4118" s="196"/>
      <c r="H4118" s="170" t="str">
        <f>IF(J4118="Book","n/a","")</f>
        <v/>
      </c>
      <c r="I4118" s="746">
        <f>TIME(1,9,0)</f>
        <v>4.7916666666666663E-2</v>
      </c>
      <c r="J4118" s="899" t="s">
        <v>4706</v>
      </c>
      <c r="K4118" s="167" t="s">
        <v>543</v>
      </c>
      <c r="L4118" s="167" t="s">
        <v>3365</v>
      </c>
      <c r="M4118" s="167" t="s">
        <v>6401</v>
      </c>
      <c r="N4118" s="167"/>
      <c r="O4118" s="167" t="s">
        <v>3365</v>
      </c>
      <c r="P4118" s="168" t="s">
        <v>6381</v>
      </c>
      <c r="Q4118" s="167" t="s">
        <v>3950</v>
      </c>
      <c r="R4118" s="172" t="s">
        <v>2242</v>
      </c>
      <c r="S4118" s="388" t="s">
        <v>53</v>
      </c>
      <c r="T4118" s="168" t="s">
        <v>3074</v>
      </c>
      <c r="U4118" s="168" t="s">
        <v>3071</v>
      </c>
      <c r="V4118" s="168" t="s">
        <v>3072</v>
      </c>
      <c r="W4118" s="312"/>
      <c r="X4118" s="644" t="s">
        <v>12363</v>
      </c>
      <c r="Y4118" s="352" t="s">
        <v>5643</v>
      </c>
      <c r="Z4118" s="353">
        <v>1999</v>
      </c>
      <c r="AA4118" s="353"/>
      <c r="AB4118" s="31">
        <f t="shared" ca="1" si="106"/>
        <v>0.35757471800919238</v>
      </c>
      <c r="AC4118" s="810"/>
      <c r="AD4118" s="825" t="s">
        <v>14584</v>
      </c>
      <c r="AE4118" s="940"/>
      <c r="AF4118" s="920">
        <f>IF(X4118=X4117,AF4117,0)+IF(ISNUMBER(I4118),IF(I4118&lt;1,I4118,I4118*VLOOKUP(J4118,Summary!$H$2:$I$9,2)),VLOOKUP(J4118,Summary!$J$2:$K$9,2)*IF(ISNUMBER(H4118),H4118,1))</f>
        <v>0.20423611111111112</v>
      </c>
      <c r="AG4118" s="287">
        <v>4117</v>
      </c>
      <c r="AH4118" s="94"/>
      <c r="AI4118" s="94"/>
    </row>
    <row r="4119" spans="1:36" s="1" customFormat="1" ht="12" customHeight="1" x14ac:dyDescent="0.25">
      <c r="A4119" s="405" t="s">
        <v>6162</v>
      </c>
      <c r="B4119" s="406" t="s">
        <v>3221</v>
      </c>
      <c r="C4119" s="405">
        <v>1</v>
      </c>
      <c r="D4119" s="407" t="s">
        <v>6427</v>
      </c>
      <c r="E4119" s="315" t="s">
        <v>6425</v>
      </c>
      <c r="F4119" s="169">
        <v>39387</v>
      </c>
      <c r="G4119" s="196"/>
      <c r="H4119" s="170" t="str">
        <f>IF(J4119="Book","n/a","")</f>
        <v/>
      </c>
      <c r="I4119" s="746">
        <f>TIME(1,11,18)</f>
        <v>4.9513888888888892E-2</v>
      </c>
      <c r="J4119" s="899" t="s">
        <v>4706</v>
      </c>
      <c r="K4119" s="167" t="s">
        <v>6237</v>
      </c>
      <c r="L4119" s="167" t="s">
        <v>3365</v>
      </c>
      <c r="M4119" s="167" t="s">
        <v>6401</v>
      </c>
      <c r="N4119" s="167"/>
      <c r="O4119" s="167" t="s">
        <v>3365</v>
      </c>
      <c r="P4119" s="168" t="s">
        <v>6380</v>
      </c>
      <c r="Q4119" s="167" t="s">
        <v>3950</v>
      </c>
      <c r="R4119" s="172" t="s">
        <v>2242</v>
      </c>
      <c r="S4119" s="388" t="s">
        <v>53</v>
      </c>
      <c r="T4119" s="168" t="s">
        <v>3074</v>
      </c>
      <c r="U4119" s="168" t="s">
        <v>3071</v>
      </c>
      <c r="V4119" s="168" t="s">
        <v>3072</v>
      </c>
      <c r="W4119" s="312"/>
      <c r="X4119" s="644" t="s">
        <v>12363</v>
      </c>
      <c r="Y4119" s="352" t="s">
        <v>2798</v>
      </c>
      <c r="Z4119" s="353">
        <v>1004</v>
      </c>
      <c r="AA4119" s="353">
        <v>5</v>
      </c>
      <c r="AB4119" s="31">
        <f t="shared" ca="1" si="106"/>
        <v>0.1353896363867082</v>
      </c>
      <c r="AC4119" s="810"/>
      <c r="AD4119" s="825" t="s">
        <v>14584</v>
      </c>
      <c r="AE4119" s="940"/>
      <c r="AF4119" s="920">
        <f>IF(X4119=X4118,AF4118,0)+IF(ISNUMBER(I4119),IF(I4119&lt;1,I4119,I4119*VLOOKUP(J4119,Summary!$H$2:$I$9,2)),VLOOKUP(J4119,Summary!$J$2:$K$9,2)*IF(ISNUMBER(H4119),H4119,1))</f>
        <v>0.25375000000000003</v>
      </c>
      <c r="AG4119" s="287">
        <v>4118</v>
      </c>
      <c r="AH4119" s="94"/>
      <c r="AI4119" s="94"/>
    </row>
    <row r="4120" spans="1:36" s="1" customFormat="1" ht="12" customHeight="1" x14ac:dyDescent="0.25">
      <c r="A4120" s="553" t="s">
        <v>6162</v>
      </c>
      <c r="B4120" s="554" t="s">
        <v>3221</v>
      </c>
      <c r="C4120" s="553">
        <v>5</v>
      </c>
      <c r="D4120" s="424" t="s">
        <v>6160</v>
      </c>
      <c r="E4120" s="319" t="s">
        <v>3013</v>
      </c>
      <c r="F4120" s="198">
        <v>39384</v>
      </c>
      <c r="G4120" s="198">
        <v>39391</v>
      </c>
      <c r="H4120" s="199">
        <v>2</v>
      </c>
      <c r="I4120" s="791">
        <f>TIME(0,27,55)+TIME(0,28,20)</f>
        <v>3.90625E-2</v>
      </c>
      <c r="J4120" s="904" t="s">
        <v>1588</v>
      </c>
      <c r="K4120" s="200" t="s">
        <v>3451</v>
      </c>
      <c r="L4120" s="200" t="s">
        <v>4544</v>
      </c>
      <c r="M4120" s="200"/>
      <c r="N4120" s="200" t="s">
        <v>6285</v>
      </c>
      <c r="O4120" s="200" t="s">
        <v>6286</v>
      </c>
      <c r="P4120" s="197" t="s">
        <v>461</v>
      </c>
      <c r="Q4120" s="200" t="s">
        <v>3946</v>
      </c>
      <c r="R4120" s="201" t="s">
        <v>5273</v>
      </c>
      <c r="S4120" s="390" t="s">
        <v>53</v>
      </c>
      <c r="T4120" s="197" t="s">
        <v>3074</v>
      </c>
      <c r="U4120" s="197" t="s">
        <v>3071</v>
      </c>
      <c r="V4120" s="197" t="s">
        <v>3072</v>
      </c>
      <c r="W4120" s="318"/>
      <c r="X4120" s="650" t="s">
        <v>12363</v>
      </c>
      <c r="Y4120" s="358" t="s">
        <v>7018</v>
      </c>
      <c r="Z4120" s="253">
        <v>1001</v>
      </c>
      <c r="AA4120" s="253">
        <v>10</v>
      </c>
      <c r="AB4120" s="35">
        <f t="shared" ca="1" si="106"/>
        <v>0.55835335595072488</v>
      </c>
      <c r="AC4120" s="820"/>
      <c r="AD4120" s="821" t="s">
        <v>14924</v>
      </c>
      <c r="AE4120" s="944"/>
      <c r="AF4120" s="925">
        <f>IF(X4120=X4119,AF4119,0)+IF(ISNUMBER(I4120),IF(I4120&lt;1,I4120,I4120*VLOOKUP(J4120,Summary!$H$2:$I$9,2)),VLOOKUP(J4120,Summary!$J$2:$K$9,2)*IF(ISNUMBER(H4120),H4120,1))</f>
        <v>0.29281250000000003</v>
      </c>
      <c r="AG4120" s="293">
        <v>4119</v>
      </c>
      <c r="AH4120" s="94"/>
      <c r="AI4120" s="94"/>
    </row>
    <row r="4121" spans="1:36" s="3" customFormat="1" ht="12" customHeight="1" x14ac:dyDescent="0.25">
      <c r="A4121" s="553" t="s">
        <v>6162</v>
      </c>
      <c r="B4121" s="554" t="s">
        <v>3221</v>
      </c>
      <c r="C4121" s="553">
        <v>6</v>
      </c>
      <c r="D4121" s="424" t="s">
        <v>6161</v>
      </c>
      <c r="E4121" s="319" t="s">
        <v>3014</v>
      </c>
      <c r="F4121" s="198">
        <v>39398</v>
      </c>
      <c r="G4121" s="198">
        <v>39405</v>
      </c>
      <c r="H4121" s="199">
        <v>2</v>
      </c>
      <c r="I4121" s="791">
        <f>TIME(0,27,57)+TIME(0,27,56)</f>
        <v>3.8807870370370368E-2</v>
      </c>
      <c r="J4121" s="904" t="s">
        <v>1588</v>
      </c>
      <c r="K4121" s="200" t="s">
        <v>4152</v>
      </c>
      <c r="L4121" s="200" t="s">
        <v>6284</v>
      </c>
      <c r="M4121" s="200"/>
      <c r="N4121" s="200" t="s">
        <v>6285</v>
      </c>
      <c r="O4121" s="200" t="s">
        <v>6286</v>
      </c>
      <c r="P4121" s="197" t="s">
        <v>461</v>
      </c>
      <c r="Q4121" s="200" t="s">
        <v>3946</v>
      </c>
      <c r="R4121" s="201" t="s">
        <v>5273</v>
      </c>
      <c r="S4121" s="390" t="s">
        <v>53</v>
      </c>
      <c r="T4121" s="197" t="s">
        <v>3074</v>
      </c>
      <c r="U4121" s="197" t="s">
        <v>3071</v>
      </c>
      <c r="V4121" s="197" t="s">
        <v>3072</v>
      </c>
      <c r="W4121" s="318"/>
      <c r="X4121" s="650" t="s">
        <v>12363</v>
      </c>
      <c r="Y4121" s="358" t="s">
        <v>7018</v>
      </c>
      <c r="Z4121" s="253">
        <v>1020</v>
      </c>
      <c r="AA4121" s="253">
        <v>4.5</v>
      </c>
      <c r="AB4121" s="35">
        <f t="shared" ca="1" si="106"/>
        <v>0.98553450720244684</v>
      </c>
      <c r="AC4121" s="820"/>
      <c r="AD4121" s="824" t="s">
        <v>14584</v>
      </c>
      <c r="AE4121" s="944"/>
      <c r="AF4121" s="925">
        <f>IF(X4121=X4120,AF4120,0)+IF(ISNUMBER(I4121),IF(I4121&lt;1,I4121,I4121*VLOOKUP(J4121,Summary!$H$2:$I$9,2)),VLOOKUP(J4121,Summary!$J$2:$K$9,2)*IF(ISNUMBER(H4121),H4121,1))</f>
        <v>0.3316203703703704</v>
      </c>
      <c r="AG4121" s="293">
        <v>4120</v>
      </c>
      <c r="AH4121" s="94"/>
      <c r="AI4121" s="94"/>
      <c r="AJ4121" s="43"/>
    </row>
    <row r="4122" spans="1:36" s="3" customFormat="1" ht="12" customHeight="1" x14ac:dyDescent="0.25">
      <c r="A4122" s="478" t="s">
        <v>6162</v>
      </c>
      <c r="B4122" s="478" t="s">
        <v>2650</v>
      </c>
      <c r="C4122" s="478">
        <v>12</v>
      </c>
      <c r="D4122" s="192" t="s">
        <v>13429</v>
      </c>
      <c r="E4122" s="317" t="s">
        <v>13430</v>
      </c>
      <c r="F4122" s="209">
        <v>42278</v>
      </c>
      <c r="G4122" s="209"/>
      <c r="H4122" s="192">
        <v>1</v>
      </c>
      <c r="I4122" s="192"/>
      <c r="J4122" s="903" t="s">
        <v>2755</v>
      </c>
      <c r="K4122" s="194" t="s">
        <v>543</v>
      </c>
      <c r="L4122" s="194" t="s">
        <v>13401</v>
      </c>
      <c r="M4122" s="194" t="s">
        <v>13431</v>
      </c>
      <c r="N4122" s="194"/>
      <c r="O4122" s="194"/>
      <c r="P4122" s="190" t="s">
        <v>13331</v>
      </c>
      <c r="Q4122" s="194" t="s">
        <v>3953</v>
      </c>
      <c r="R4122" s="193" t="s">
        <v>11447</v>
      </c>
      <c r="S4122" s="357"/>
      <c r="T4122" s="190"/>
      <c r="U4122" s="190"/>
      <c r="V4122" s="190"/>
      <c r="W4122" s="317" t="s">
        <v>13430</v>
      </c>
      <c r="X4122" s="649" t="s">
        <v>12363</v>
      </c>
      <c r="Y4122" s="357"/>
      <c r="Z4122" s="192"/>
      <c r="AA4122" s="192"/>
      <c r="AB4122" s="37">
        <f t="shared" ca="1" si="106"/>
        <v>0.73836456689291907</v>
      </c>
      <c r="AC4122" s="816"/>
      <c r="AD4122" s="817"/>
      <c r="AE4122" s="943"/>
      <c r="AF4122" s="924">
        <f>IF(X4122=X4121,AF4121,0)+IF(ISNUMBER(I4122),IF(I4122&lt;1,I4122,I4122*VLOOKUP(J4122,Summary!$H$2:$I$9,2)),VLOOKUP(J4122,Summary!$J$2:$K$9,2)*IF(ISNUMBER(H4122),H4122,1))</f>
        <v>0.3489814814814815</v>
      </c>
      <c r="AG4122" s="292">
        <v>4121</v>
      </c>
      <c r="AH4122" s="94"/>
      <c r="AI4122" s="94"/>
      <c r="AJ4122" s="5"/>
    </row>
    <row r="4123" spans="1:36" s="29" customFormat="1" ht="12" customHeight="1" x14ac:dyDescent="0.25">
      <c r="A4123" s="598" t="s">
        <v>15668</v>
      </c>
      <c r="B4123" s="598">
        <v>10</v>
      </c>
      <c r="C4123" s="598">
        <v>2</v>
      </c>
      <c r="D4123" s="509" t="s">
        <v>1543</v>
      </c>
      <c r="E4123" s="335" t="s">
        <v>1792</v>
      </c>
      <c r="F4123" s="223">
        <v>39402</v>
      </c>
      <c r="G4123" s="223"/>
      <c r="H4123" s="242">
        <v>1</v>
      </c>
      <c r="I4123" s="792">
        <f>TIME(0, 7,42)</f>
        <v>5.347222222222222E-3</v>
      </c>
      <c r="J4123" s="909" t="s">
        <v>1588</v>
      </c>
      <c r="K4123" s="243" t="s">
        <v>3810</v>
      </c>
      <c r="L4123" s="243" t="s">
        <v>4544</v>
      </c>
      <c r="M4123" s="243"/>
      <c r="N4123" s="243" t="s">
        <v>3373</v>
      </c>
      <c r="O4123" s="243" t="s">
        <v>3375</v>
      </c>
      <c r="P4123" s="241" t="s">
        <v>461</v>
      </c>
      <c r="Q4123" s="243" t="s">
        <v>3946</v>
      </c>
      <c r="R4123" s="244" t="s">
        <v>5269</v>
      </c>
      <c r="S4123" s="395"/>
      <c r="T4123" s="241"/>
      <c r="U4123" s="241"/>
      <c r="V4123" s="241"/>
      <c r="W4123" s="339" t="s">
        <v>1792</v>
      </c>
      <c r="X4123" s="672" t="s">
        <v>12346</v>
      </c>
      <c r="Y4123" s="375" t="s">
        <v>6141</v>
      </c>
      <c r="Z4123" s="376">
        <v>134</v>
      </c>
      <c r="AA4123" s="377">
        <v>6</v>
      </c>
      <c r="AB4123" s="55">
        <f t="shared" ca="1" si="106"/>
        <v>0.62921184659587992</v>
      </c>
      <c r="AC4123" s="834"/>
      <c r="AD4123" s="835" t="s">
        <v>461</v>
      </c>
      <c r="AE4123" s="957"/>
      <c r="AF4123" s="930">
        <f>IF(X4123=X4122,AF4122,0)+IF(ISNUMBER(I4123),IF(I4123&lt;1,I4123,I4123*VLOOKUP(J4123,Summary!$H$2:$I$9,2)),VLOOKUP(J4123,Summary!$J$2:$K$9,2)*IF(ISNUMBER(H4123),H4123,1))</f>
        <v>5.347222222222222E-3</v>
      </c>
      <c r="AG4123" s="302">
        <v>4122</v>
      </c>
      <c r="AH4123" s="94"/>
      <c r="AI4123" s="94"/>
      <c r="AJ4123" s="1"/>
    </row>
    <row r="4124" spans="1:36" s="3" customFormat="1" ht="12" customHeight="1" x14ac:dyDescent="0.25">
      <c r="A4124" s="599" t="s">
        <v>15668</v>
      </c>
      <c r="B4124" s="599">
        <v>10</v>
      </c>
      <c r="C4124" s="599">
        <v>188</v>
      </c>
      <c r="D4124" s="424" t="s">
        <v>1794</v>
      </c>
      <c r="E4124" s="319" t="s">
        <v>1795</v>
      </c>
      <c r="F4124" s="198">
        <v>39441</v>
      </c>
      <c r="G4124" s="198"/>
      <c r="H4124" s="199">
        <v>1</v>
      </c>
      <c r="I4124" s="791">
        <f>TIME(0,71,52)</f>
        <v>4.99074074074074E-2</v>
      </c>
      <c r="J4124" s="904" t="s">
        <v>1588</v>
      </c>
      <c r="K4124" s="200" t="s">
        <v>3373</v>
      </c>
      <c r="L4124" s="200" t="s">
        <v>6949</v>
      </c>
      <c r="M4124" s="200"/>
      <c r="N4124" s="200" t="s">
        <v>3373</v>
      </c>
      <c r="O4124" s="200" t="s">
        <v>3375</v>
      </c>
      <c r="P4124" s="197" t="s">
        <v>461</v>
      </c>
      <c r="Q4124" s="200" t="s">
        <v>3946</v>
      </c>
      <c r="R4124" s="201" t="s">
        <v>5280</v>
      </c>
      <c r="S4124" s="390" t="s">
        <v>3083</v>
      </c>
      <c r="T4124" s="197"/>
      <c r="U4124" s="197"/>
      <c r="V4124" s="197"/>
      <c r="W4124" s="319" t="s">
        <v>1795</v>
      </c>
      <c r="X4124" s="651" t="s">
        <v>12346</v>
      </c>
      <c r="Y4124" s="358" t="s">
        <v>6141</v>
      </c>
      <c r="Z4124" s="253">
        <v>261</v>
      </c>
      <c r="AA4124" s="253">
        <v>3</v>
      </c>
      <c r="AB4124" s="35">
        <f t="shared" ca="1" si="106"/>
        <v>0.73485397062555635</v>
      </c>
      <c r="AC4124" s="820"/>
      <c r="AD4124" s="824" t="s">
        <v>14925</v>
      </c>
      <c r="AE4124" s="967"/>
      <c r="AF4124" s="925">
        <f>IF(X4124=X4123,AF4123,0)+IF(ISNUMBER(I4124),IF(I4124&lt;1,I4124,I4124*VLOOKUP(J4124,Summary!$H$2:$I$9,2)),VLOOKUP(J4124,Summary!$J$2:$K$9,2)*IF(ISNUMBER(H4124),H4124,1))</f>
        <v>5.5254629629629626E-2</v>
      </c>
      <c r="AG4124" s="293">
        <v>4123</v>
      </c>
      <c r="AH4124" s="94"/>
      <c r="AI4124" s="94"/>
      <c r="AJ4124" s="29"/>
    </row>
    <row r="4125" spans="1:36" s="29" customFormat="1" ht="12" customHeight="1" x14ac:dyDescent="0.25">
      <c r="A4125" s="600" t="s">
        <v>15668</v>
      </c>
      <c r="B4125" s="600">
        <v>10</v>
      </c>
      <c r="C4125" s="600">
        <v>2</v>
      </c>
      <c r="D4125" s="176" t="s">
        <v>3112</v>
      </c>
      <c r="E4125" s="324" t="s">
        <v>4423</v>
      </c>
      <c r="F4125" s="174">
        <v>39417</v>
      </c>
      <c r="G4125" s="175"/>
      <c r="H4125" s="176">
        <v>1</v>
      </c>
      <c r="I4125" s="176">
        <v>11</v>
      </c>
      <c r="J4125" s="900" t="s">
        <v>2755</v>
      </c>
      <c r="K4125" s="157" t="s">
        <v>6410</v>
      </c>
      <c r="L4125" s="157" t="s">
        <v>3835</v>
      </c>
      <c r="M4125" s="157"/>
      <c r="N4125" s="157"/>
      <c r="O4125" s="157"/>
      <c r="P4125" s="173" t="s">
        <v>461</v>
      </c>
      <c r="Q4125" s="157" t="s">
        <v>3946</v>
      </c>
      <c r="R4125" s="179" t="s">
        <v>7896</v>
      </c>
      <c r="S4125" s="354"/>
      <c r="T4125" s="173"/>
      <c r="U4125" s="173"/>
      <c r="V4125" s="173"/>
      <c r="W4125" s="324" t="s">
        <v>4423</v>
      </c>
      <c r="X4125" s="656" t="s">
        <v>12346</v>
      </c>
      <c r="Y4125" s="363"/>
      <c r="Z4125" s="364"/>
      <c r="AA4125" s="364"/>
      <c r="AB4125" s="32">
        <f t="shared" ca="1" si="106"/>
        <v>4.653293376945844E-2</v>
      </c>
      <c r="AC4125" s="812"/>
      <c r="AD4125" s="763"/>
      <c r="AE4125" s="951"/>
      <c r="AF4125" s="921">
        <f>IF(X4125=X4124,AF4124,0)+IF(ISNUMBER(I4125),IF(I4125&lt;1,I4125,I4125*VLOOKUP(J4125,Summary!$H$2:$I$9,2)),VLOOKUP(J4125,Summary!$J$2:$K$9,2)*IF(ISNUMBER(H4125),H4125,1))</f>
        <v>6.2893518518518515E-2</v>
      </c>
      <c r="AG4125" s="288">
        <v>4124</v>
      </c>
      <c r="AH4125" s="94"/>
      <c r="AI4125" s="94"/>
      <c r="AJ4125" s="3"/>
    </row>
    <row r="4126" spans="1:36" s="29" customFormat="1" ht="12" customHeight="1" x14ac:dyDescent="0.25">
      <c r="A4126" s="600" t="s">
        <v>15668</v>
      </c>
      <c r="B4126" s="600">
        <v>10</v>
      </c>
      <c r="C4126" s="600">
        <v>2</v>
      </c>
      <c r="D4126" s="434" t="s">
        <v>7897</v>
      </c>
      <c r="E4126" s="324" t="s">
        <v>7895</v>
      </c>
      <c r="F4126" s="174">
        <v>39417</v>
      </c>
      <c r="G4126" s="175"/>
      <c r="H4126" s="176" t="s">
        <v>461</v>
      </c>
      <c r="I4126" s="176">
        <v>8</v>
      </c>
      <c r="J4126" s="900" t="s">
        <v>2755</v>
      </c>
      <c r="K4126" s="157" t="s">
        <v>3807</v>
      </c>
      <c r="L4126" s="157"/>
      <c r="M4126" s="157"/>
      <c r="N4126" s="157"/>
      <c r="O4126" s="157"/>
      <c r="P4126" s="173" t="s">
        <v>461</v>
      </c>
      <c r="Q4126" s="157" t="s">
        <v>7899</v>
      </c>
      <c r="R4126" s="179" t="s">
        <v>12123</v>
      </c>
      <c r="S4126" s="354"/>
      <c r="T4126" s="173"/>
      <c r="U4126" s="173"/>
      <c r="V4126" s="173"/>
      <c r="W4126" s="324" t="s">
        <v>7895</v>
      </c>
      <c r="X4126" s="656" t="s">
        <v>12346</v>
      </c>
      <c r="Y4126" s="363"/>
      <c r="Z4126" s="364"/>
      <c r="AA4126" s="364"/>
      <c r="AB4126" s="32">
        <f t="shared" ca="1" si="106"/>
        <v>0.11342551009183011</v>
      </c>
      <c r="AC4126" s="812"/>
      <c r="AD4126" s="763"/>
      <c r="AE4126" s="951"/>
      <c r="AF4126" s="921">
        <f>IF(X4126=X4125,AF4125,0)+IF(ISNUMBER(I4126),IF(I4126&lt;1,I4126,I4126*VLOOKUP(J4126,Summary!$H$2:$I$9,2)),VLOOKUP(J4126,Summary!$J$2:$K$9,2)*IF(ISNUMBER(H4126),H4126,1))</f>
        <v>6.8449074074074065E-2</v>
      </c>
      <c r="AG4126" s="288">
        <v>4125</v>
      </c>
      <c r="AH4126" s="94"/>
      <c r="AI4126" s="94"/>
    </row>
    <row r="4127" spans="1:36" s="29" customFormat="1" ht="12" customHeight="1" x14ac:dyDescent="0.25">
      <c r="A4127" s="608" t="s">
        <v>15668</v>
      </c>
      <c r="B4127" s="608">
        <v>10</v>
      </c>
      <c r="C4127" s="608">
        <v>10</v>
      </c>
      <c r="D4127" s="463" t="s">
        <v>13261</v>
      </c>
      <c r="E4127" s="330" t="s">
        <v>13262</v>
      </c>
      <c r="F4127" s="209">
        <v>42649</v>
      </c>
      <c r="G4127" s="209"/>
      <c r="H4127" s="192" t="s">
        <v>461</v>
      </c>
      <c r="I4127" s="192"/>
      <c r="J4127" s="903" t="s">
        <v>2755</v>
      </c>
      <c r="K4127" s="159" t="s">
        <v>7798</v>
      </c>
      <c r="L4127" s="159" t="s">
        <v>13263</v>
      </c>
      <c r="M4127" s="159" t="s">
        <v>498</v>
      </c>
      <c r="N4127" s="159"/>
      <c r="O4127" s="159"/>
      <c r="P4127" s="190" t="s">
        <v>461</v>
      </c>
      <c r="Q4127" s="159" t="s">
        <v>3953</v>
      </c>
      <c r="R4127" s="221" t="s">
        <v>13260</v>
      </c>
      <c r="S4127" s="357"/>
      <c r="T4127" s="190"/>
      <c r="U4127" s="190"/>
      <c r="V4127" s="190"/>
      <c r="W4127" s="330" t="s">
        <v>13262</v>
      </c>
      <c r="X4127" s="662" t="s">
        <v>12346</v>
      </c>
      <c r="Y4127" s="378"/>
      <c r="Z4127" s="367"/>
      <c r="AA4127" s="367"/>
      <c r="AB4127" s="37">
        <f t="shared" ca="1" si="106"/>
        <v>0.22049766473604315</v>
      </c>
      <c r="AC4127" s="816"/>
      <c r="AD4127" s="817"/>
      <c r="AE4127" s="955"/>
      <c r="AF4127" s="924">
        <f>IF(X4127=X4126,AF4126,0)+IF(ISNUMBER(I4127),IF(I4127&lt;1,I4127,I4127*VLOOKUP(J4127,Summary!$H$2:$I$9,2)),VLOOKUP(J4127,Summary!$J$2:$K$9,2)*IF(ISNUMBER(H4127),H4127,1))</f>
        <v>8.5810185185185184E-2</v>
      </c>
      <c r="AG4127" s="298">
        <v>4126</v>
      </c>
      <c r="AH4127" s="94"/>
      <c r="AI4127" s="94"/>
      <c r="AJ4127" s="3"/>
    </row>
    <row r="4128" spans="1:36" s="22" customFormat="1" ht="12" customHeight="1" x14ac:dyDescent="0.25">
      <c r="A4128" s="608" t="s">
        <v>15668</v>
      </c>
      <c r="B4128" s="608">
        <v>10</v>
      </c>
      <c r="C4128" s="608">
        <v>13</v>
      </c>
      <c r="D4128" s="192" t="s">
        <v>13406</v>
      </c>
      <c r="E4128" s="317" t="s">
        <v>13405</v>
      </c>
      <c r="F4128" s="209">
        <v>42278</v>
      </c>
      <c r="G4128" s="209"/>
      <c r="H4128" s="192">
        <v>1</v>
      </c>
      <c r="I4128" s="192"/>
      <c r="J4128" s="903" t="s">
        <v>2755</v>
      </c>
      <c r="K4128" s="194" t="s">
        <v>543</v>
      </c>
      <c r="L4128" s="194" t="s">
        <v>13401</v>
      </c>
      <c r="M4128" s="194" t="s">
        <v>13407</v>
      </c>
      <c r="N4128" s="194"/>
      <c r="O4128" s="194"/>
      <c r="P4128" s="190" t="s">
        <v>13331</v>
      </c>
      <c r="Q4128" s="194" t="s">
        <v>3953</v>
      </c>
      <c r="R4128" s="193" t="s">
        <v>11447</v>
      </c>
      <c r="S4128" s="357"/>
      <c r="T4128" s="190"/>
      <c r="U4128" s="190"/>
      <c r="V4128" s="190"/>
      <c r="W4128" s="317" t="s">
        <v>13405</v>
      </c>
      <c r="X4128" s="662" t="s">
        <v>12346</v>
      </c>
      <c r="Y4128" s="357"/>
      <c r="Z4128" s="192"/>
      <c r="AA4128" s="192"/>
      <c r="AB4128" s="37">
        <f t="shared" ca="1" si="106"/>
        <v>0.36048330309543775</v>
      </c>
      <c r="AC4128" s="816"/>
      <c r="AD4128" s="817"/>
      <c r="AE4128" s="943"/>
      <c r="AF4128" s="924">
        <f>IF(X4128=X4127,AF4127,0)+IF(ISNUMBER(I4128),IF(I4128&lt;1,I4128,I4128*VLOOKUP(J4128,Summary!$H$2:$I$9,2)),VLOOKUP(J4128,Summary!$J$2:$K$9,2)*IF(ISNUMBER(H4128),H4128,1))</f>
        <v>0.10317129629629629</v>
      </c>
      <c r="AG4128" s="292">
        <v>4127</v>
      </c>
      <c r="AH4128" s="94"/>
      <c r="AI4128" s="94"/>
      <c r="AJ4128" s="1"/>
    </row>
    <row r="4129" spans="1:36" s="3" customFormat="1" ht="12" customHeight="1" x14ac:dyDescent="0.25">
      <c r="A4129" s="603" t="s">
        <v>15668</v>
      </c>
      <c r="B4129" s="603">
        <v>10</v>
      </c>
      <c r="C4129" s="603">
        <v>5</v>
      </c>
      <c r="D4129" s="428" t="s">
        <v>13073</v>
      </c>
      <c r="E4129" s="325" t="s">
        <v>13074</v>
      </c>
      <c r="F4129" s="184">
        <v>39597</v>
      </c>
      <c r="G4129" s="184"/>
      <c r="H4129" s="185">
        <v>1</v>
      </c>
      <c r="I4129" s="185">
        <v>6</v>
      </c>
      <c r="J4129" s="901" t="s">
        <v>1796</v>
      </c>
      <c r="K4129" s="158" t="s">
        <v>1591</v>
      </c>
      <c r="L4129" s="158"/>
      <c r="M4129" s="158"/>
      <c r="N4129" s="158"/>
      <c r="O4129" s="158"/>
      <c r="P4129" s="182" t="s">
        <v>461</v>
      </c>
      <c r="Q4129" s="158" t="s">
        <v>3946</v>
      </c>
      <c r="R4129" s="207" t="s">
        <v>13062</v>
      </c>
      <c r="S4129" s="355"/>
      <c r="T4129" s="182"/>
      <c r="U4129" s="182"/>
      <c r="V4129" s="182"/>
      <c r="W4129" s="325" t="s">
        <v>13074</v>
      </c>
      <c r="X4129" s="653" t="s">
        <v>12346</v>
      </c>
      <c r="Y4129" s="361" t="s">
        <v>4707</v>
      </c>
      <c r="Z4129" s="362"/>
      <c r="AA4129" s="362"/>
      <c r="AB4129" s="33">
        <f t="shared" ca="1" si="106"/>
        <v>0.23665335463659809</v>
      </c>
      <c r="AC4129" s="813"/>
      <c r="AD4129" s="211"/>
      <c r="AE4129" s="949"/>
      <c r="AF4129" s="922">
        <f>IF(X4129=X4128,AF4128,0)+IF(ISNUMBER(I4129),IF(I4129&lt;1,I4129,I4129*VLOOKUP(J4129,Summary!$H$2:$I$9,2)),VLOOKUP(J4129,Summary!$J$2:$K$9,2)*IF(ISNUMBER(H4129),H4129,1))</f>
        <v>0.10525462962962963</v>
      </c>
      <c r="AG4129" s="295">
        <v>4128</v>
      </c>
      <c r="AH4129" s="94"/>
      <c r="AI4129" s="94"/>
    </row>
    <row r="4130" spans="1:36" s="1" customFormat="1" ht="12" customHeight="1" x14ac:dyDescent="0.25">
      <c r="A4130" s="405" t="s">
        <v>15668</v>
      </c>
      <c r="B4130" s="596" t="s">
        <v>2650</v>
      </c>
      <c r="C4130" s="510">
        <v>1.1000000000000001</v>
      </c>
      <c r="D4130" s="407" t="s">
        <v>13089</v>
      </c>
      <c r="E4130" s="315" t="s">
        <v>13090</v>
      </c>
      <c r="F4130" s="196">
        <v>43165</v>
      </c>
      <c r="G4130" s="196"/>
      <c r="H4130" s="170">
        <v>1</v>
      </c>
      <c r="I4130" s="747">
        <f>TIME(0,60,0)</f>
        <v>4.1666666666666664E-2</v>
      </c>
      <c r="J4130" s="899" t="s">
        <v>4706</v>
      </c>
      <c r="K4130" s="167" t="s">
        <v>11784</v>
      </c>
      <c r="L4130" s="167" t="s">
        <v>12662</v>
      </c>
      <c r="M4130" s="167"/>
      <c r="N4130" s="167"/>
      <c r="O4130" s="167"/>
      <c r="P4130" s="168" t="s">
        <v>13085</v>
      </c>
      <c r="Q4130" s="167" t="s">
        <v>3947</v>
      </c>
      <c r="R4130" s="172" t="s">
        <v>13086</v>
      </c>
      <c r="S4130" s="388"/>
      <c r="T4130" s="168"/>
      <c r="U4130" s="168"/>
      <c r="V4130" s="168"/>
      <c r="W4130" s="315" t="s">
        <v>13090</v>
      </c>
      <c r="X4130" s="647" t="s">
        <v>12346</v>
      </c>
      <c r="Y4130" s="352"/>
      <c r="Z4130" s="353"/>
      <c r="AA4130" s="353"/>
      <c r="AB4130" s="31">
        <f t="shared" ca="1" si="106"/>
        <v>0.72418583703763573</v>
      </c>
      <c r="AC4130" s="810"/>
      <c r="AD4130" s="811"/>
      <c r="AE4130" s="940"/>
      <c r="AF4130" s="920">
        <f>IF(X4130=X4129,AF4129,0)+IF(ISNUMBER(I4130),IF(I4130&lt;1,I4130,I4130*VLOOKUP(J4130,Summary!$H$2:$I$9,2)),VLOOKUP(J4130,Summary!$J$2:$K$9,2)*IF(ISNUMBER(H4130),H4130,1))</f>
        <v>0.1469212962962963</v>
      </c>
      <c r="AG4130" s="287">
        <v>4129</v>
      </c>
      <c r="AH4130" s="94"/>
      <c r="AI4130" s="94"/>
      <c r="AJ4130" s="3"/>
    </row>
    <row r="4131" spans="1:36" s="1" customFormat="1" ht="12" customHeight="1" x14ac:dyDescent="0.25">
      <c r="A4131" s="605" t="s">
        <v>15668</v>
      </c>
      <c r="B4131" s="605">
        <v>10</v>
      </c>
      <c r="C4131" s="605">
        <v>1.2</v>
      </c>
      <c r="D4131" s="407" t="s">
        <v>13083</v>
      </c>
      <c r="E4131" s="315" t="s">
        <v>13084</v>
      </c>
      <c r="F4131" s="196">
        <v>43165</v>
      </c>
      <c r="G4131" s="196"/>
      <c r="H4131" s="170">
        <v>1</v>
      </c>
      <c r="I4131" s="747">
        <f>TIME(0,60,0)</f>
        <v>4.1666666666666664E-2</v>
      </c>
      <c r="J4131" s="899" t="s">
        <v>4706</v>
      </c>
      <c r="K4131" s="167" t="s">
        <v>12661</v>
      </c>
      <c r="L4131" s="167" t="s">
        <v>12662</v>
      </c>
      <c r="M4131" s="167"/>
      <c r="N4131" s="167"/>
      <c r="O4131" s="167"/>
      <c r="P4131" s="168" t="s">
        <v>13085</v>
      </c>
      <c r="Q4131" s="167" t="s">
        <v>3947</v>
      </c>
      <c r="R4131" s="172" t="s">
        <v>13086</v>
      </c>
      <c r="S4131" s="388"/>
      <c r="T4131" s="168"/>
      <c r="U4131" s="168"/>
      <c r="V4131" s="168"/>
      <c r="W4131" s="315" t="s">
        <v>13084</v>
      </c>
      <c r="X4131" s="647" t="s">
        <v>12346</v>
      </c>
      <c r="Y4131" s="352"/>
      <c r="Z4131" s="353"/>
      <c r="AA4131" s="353"/>
      <c r="AB4131" s="31">
        <f t="shared" ca="1" si="106"/>
        <v>0.51985285865839237</v>
      </c>
      <c r="AC4131" s="810"/>
      <c r="AD4131" s="811"/>
      <c r="AE4131" s="940"/>
      <c r="AF4131" s="920">
        <f>IF(X4131=X4130,AF4130,0)+IF(ISNUMBER(I4131),IF(I4131&lt;1,I4131,I4131*VLOOKUP(J4131,Summary!$H$2:$I$9,2)),VLOOKUP(J4131,Summary!$J$2:$K$9,2)*IF(ISNUMBER(H4131),H4131,1))</f>
        <v>0.18858796296296296</v>
      </c>
      <c r="AG4131" s="287">
        <v>4130</v>
      </c>
      <c r="AH4131" s="94"/>
      <c r="AI4131" s="94"/>
    </row>
    <row r="4132" spans="1:36" s="43" customFormat="1" ht="12" customHeight="1" x14ac:dyDescent="0.25">
      <c r="A4132" s="727" t="s">
        <v>15668</v>
      </c>
      <c r="B4132" s="727">
        <v>10</v>
      </c>
      <c r="C4132" s="727">
        <v>9</v>
      </c>
      <c r="D4132" s="619" t="s">
        <v>15625</v>
      </c>
      <c r="E4132" s="345" t="s">
        <v>15626</v>
      </c>
      <c r="F4132" s="219">
        <v>39513</v>
      </c>
      <c r="G4132" s="219"/>
      <c r="H4132" s="210" t="s">
        <v>461</v>
      </c>
      <c r="I4132" s="210">
        <v>128</v>
      </c>
      <c r="J4132" s="908" t="s">
        <v>15556</v>
      </c>
      <c r="K4132" s="166" t="s">
        <v>6355</v>
      </c>
      <c r="L4132" s="166"/>
      <c r="M4132" s="166"/>
      <c r="N4132" s="166"/>
      <c r="O4132" s="166"/>
      <c r="P4132" s="267" t="s">
        <v>15627</v>
      </c>
      <c r="Q4132" s="166" t="s">
        <v>3953</v>
      </c>
      <c r="R4132" s="268" t="s">
        <v>15583</v>
      </c>
      <c r="S4132" s="386"/>
      <c r="T4132" s="267"/>
      <c r="U4132" s="267"/>
      <c r="V4132" s="267"/>
      <c r="W4132" s="345" t="s">
        <v>15626</v>
      </c>
      <c r="X4132" s="680" t="s">
        <v>12346</v>
      </c>
      <c r="Y4132" s="384"/>
      <c r="Z4132" s="385"/>
      <c r="AA4132" s="385"/>
      <c r="AB4132" s="41">
        <f t="shared" ca="1" si="106"/>
        <v>0.37568150930689947</v>
      </c>
      <c r="AC4132" s="832"/>
      <c r="AD4132" s="833"/>
      <c r="AE4132" s="956"/>
      <c r="AF4132" s="929">
        <f>IF(X4132=X4131,AF4131,0)+IF(ISNUMBER(I4132),IF(I4132&lt;1,I4132,I4132*VLOOKUP(J4132,Summary!$H$2:$I$9,2)),VLOOKUP(J4132,Summary!$J$2:$K$9,2)*IF(ISNUMBER(H4132),H4132,1))</f>
        <v>0.23303240740740741</v>
      </c>
      <c r="AG4132" s="307">
        <v>4131</v>
      </c>
      <c r="AH4132" s="94"/>
      <c r="AI4132" s="94"/>
      <c r="AJ4132" s="22"/>
    </row>
    <row r="4133" spans="1:36" s="29" customFormat="1" ht="12" customHeight="1" x14ac:dyDescent="0.25">
      <c r="A4133" s="603" t="s">
        <v>15668</v>
      </c>
      <c r="B4133" s="603">
        <v>10</v>
      </c>
      <c r="C4133" s="603">
        <v>12</v>
      </c>
      <c r="D4133" s="428" t="s">
        <v>6204</v>
      </c>
      <c r="E4133" s="325" t="s">
        <v>6205</v>
      </c>
      <c r="F4133" s="184">
        <v>39442</v>
      </c>
      <c r="G4133" s="184">
        <v>39471</v>
      </c>
      <c r="H4133" s="185">
        <v>3</v>
      </c>
      <c r="I4133" s="185">
        <v>12</v>
      </c>
      <c r="J4133" s="901" t="s">
        <v>1796</v>
      </c>
      <c r="K4133" s="158" t="s">
        <v>5198</v>
      </c>
      <c r="L4133" s="158" t="s">
        <v>7928</v>
      </c>
      <c r="M4133" s="158" t="s">
        <v>254</v>
      </c>
      <c r="N4133" s="158" t="s">
        <v>4511</v>
      </c>
      <c r="O4133" s="158"/>
      <c r="P4133" s="182" t="s">
        <v>461</v>
      </c>
      <c r="Q4133" s="158" t="s">
        <v>4798</v>
      </c>
      <c r="R4133" s="207" t="s">
        <v>4795</v>
      </c>
      <c r="S4133" s="355"/>
      <c r="T4133" s="182"/>
      <c r="U4133" s="182"/>
      <c r="V4133" s="182"/>
      <c r="W4133" s="321" t="s">
        <v>8465</v>
      </c>
      <c r="X4133" s="653" t="s">
        <v>12346</v>
      </c>
      <c r="Y4133" s="361"/>
      <c r="Z4133" s="362"/>
      <c r="AA4133" s="362"/>
      <c r="AB4133" s="33">
        <f t="shared" ca="1" si="106"/>
        <v>0.21471188097899063</v>
      </c>
      <c r="AC4133" s="813"/>
      <c r="AD4133" s="211"/>
      <c r="AE4133" s="949"/>
      <c r="AF4133" s="922">
        <f>IF(X4133=X4132,AF4132,0)+IF(ISNUMBER(I4133),IF(I4133&lt;1,I4133,I4133*VLOOKUP(J4133,Summary!$H$2:$I$9,2)),VLOOKUP(J4133,Summary!$J$2:$K$9,2)*IF(ISNUMBER(H4133),H4133,1))</f>
        <v>0.23719907407407409</v>
      </c>
      <c r="AG4133" s="295">
        <v>4132</v>
      </c>
      <c r="AH4133" s="94"/>
      <c r="AI4133" s="94"/>
      <c r="AJ4133" s="3"/>
    </row>
    <row r="4134" spans="1:36" s="29" customFormat="1" ht="12" customHeight="1" x14ac:dyDescent="0.25">
      <c r="A4134" s="603" t="s">
        <v>15668</v>
      </c>
      <c r="B4134" s="603">
        <v>10</v>
      </c>
      <c r="C4134" s="603">
        <v>30</v>
      </c>
      <c r="D4134" s="428" t="s">
        <v>5088</v>
      </c>
      <c r="E4134" s="325" t="s">
        <v>6194</v>
      </c>
      <c r="F4134" s="184">
        <v>39450</v>
      </c>
      <c r="G4134" s="184">
        <v>39470</v>
      </c>
      <c r="H4134" s="185">
        <v>2</v>
      </c>
      <c r="I4134" s="185">
        <v>12</v>
      </c>
      <c r="J4134" s="901" t="s">
        <v>1796</v>
      </c>
      <c r="K4134" s="158" t="s">
        <v>4032</v>
      </c>
      <c r="L4134" s="158" t="s">
        <v>3832</v>
      </c>
      <c r="M4134" s="158" t="s">
        <v>254</v>
      </c>
      <c r="N4134" s="158" t="s">
        <v>5317</v>
      </c>
      <c r="O4134" s="158"/>
      <c r="P4134" s="182" t="s">
        <v>461</v>
      </c>
      <c r="Q4134" s="158" t="s">
        <v>4929</v>
      </c>
      <c r="R4134" s="207" t="s">
        <v>4796</v>
      </c>
      <c r="S4134" s="355"/>
      <c r="T4134" s="182"/>
      <c r="U4134" s="182"/>
      <c r="V4134" s="182"/>
      <c r="W4134" s="321"/>
      <c r="X4134" s="653" t="s">
        <v>12346</v>
      </c>
      <c r="Y4134" s="361"/>
      <c r="Z4134" s="362"/>
      <c r="AA4134" s="362"/>
      <c r="AB4134" s="33">
        <f t="shared" ca="1" si="106"/>
        <v>0.17658810409414827</v>
      </c>
      <c r="AC4134" s="813"/>
      <c r="AD4134" s="211"/>
      <c r="AE4134" s="949"/>
      <c r="AF4134" s="922">
        <f>IF(X4134=X4133,AF4133,0)+IF(ISNUMBER(I4134),IF(I4134&lt;1,I4134,I4134*VLOOKUP(J4134,Summary!$H$2:$I$9,2)),VLOOKUP(J4134,Summary!$J$2:$K$9,2)*IF(ISNUMBER(H4134),H4134,1))</f>
        <v>0.24136574074074077</v>
      </c>
      <c r="AG4134" s="295">
        <v>4133</v>
      </c>
      <c r="AH4134" s="94"/>
      <c r="AI4134" s="94"/>
      <c r="AJ4134" s="1"/>
    </row>
    <row r="4135" spans="1:36" s="29" customFormat="1" ht="12" customHeight="1" x14ac:dyDescent="0.25">
      <c r="A4135" s="603" t="s">
        <v>15668</v>
      </c>
      <c r="B4135" s="603">
        <v>10</v>
      </c>
      <c r="C4135" s="603">
        <v>31</v>
      </c>
      <c r="D4135" s="428" t="s">
        <v>5089</v>
      </c>
      <c r="E4135" s="325" t="s">
        <v>6195</v>
      </c>
      <c r="F4135" s="184">
        <v>39471</v>
      </c>
      <c r="G4135" s="184">
        <v>39484</v>
      </c>
      <c r="H4135" s="185">
        <v>2</v>
      </c>
      <c r="I4135" s="185">
        <v>12</v>
      </c>
      <c r="J4135" s="901" t="s">
        <v>1796</v>
      </c>
      <c r="K4135" s="158" t="s">
        <v>4147</v>
      </c>
      <c r="L4135" s="158" t="s">
        <v>3832</v>
      </c>
      <c r="M4135" s="158" t="s">
        <v>254</v>
      </c>
      <c r="N4135" s="158" t="s">
        <v>5317</v>
      </c>
      <c r="O4135" s="158"/>
      <c r="P4135" s="182" t="s">
        <v>461</v>
      </c>
      <c r="Q4135" s="158" t="s">
        <v>4929</v>
      </c>
      <c r="R4135" s="207" t="s">
        <v>4796</v>
      </c>
      <c r="S4135" s="355"/>
      <c r="T4135" s="182"/>
      <c r="U4135" s="182"/>
      <c r="V4135" s="182"/>
      <c r="W4135" s="321"/>
      <c r="X4135" s="653" t="s">
        <v>12346</v>
      </c>
      <c r="Y4135" s="361"/>
      <c r="Z4135" s="362"/>
      <c r="AA4135" s="362"/>
      <c r="AB4135" s="33">
        <f t="shared" ca="1" si="106"/>
        <v>0.15581667593766801</v>
      </c>
      <c r="AC4135" s="813"/>
      <c r="AD4135" s="211"/>
      <c r="AE4135" s="949"/>
      <c r="AF4135" s="922">
        <f>IF(X4135=X4134,AF4134,0)+IF(ISNUMBER(I4135),IF(I4135&lt;1,I4135,I4135*VLOOKUP(J4135,Summary!$H$2:$I$9,2)),VLOOKUP(J4135,Summary!$J$2:$K$9,2)*IF(ISNUMBER(H4135),H4135,1))</f>
        <v>0.24553240740740745</v>
      </c>
      <c r="AG4135" s="295">
        <v>4134</v>
      </c>
      <c r="AH4135" s="94"/>
      <c r="AI4135" s="94"/>
      <c r="AJ4135" s="1"/>
    </row>
    <row r="4136" spans="1:36" s="1" customFormat="1" ht="12" customHeight="1" x14ac:dyDescent="0.25">
      <c r="A4136" s="603" t="s">
        <v>15668</v>
      </c>
      <c r="B4136" s="603">
        <v>10</v>
      </c>
      <c r="C4136" s="603">
        <v>13</v>
      </c>
      <c r="D4136" s="428" t="s">
        <v>6207</v>
      </c>
      <c r="E4136" s="325" t="s">
        <v>6208</v>
      </c>
      <c r="F4136" s="184">
        <v>39485</v>
      </c>
      <c r="G4136" s="184"/>
      <c r="H4136" s="185">
        <v>1</v>
      </c>
      <c r="I4136" s="185">
        <v>4</v>
      </c>
      <c r="J4136" s="901" t="s">
        <v>1796</v>
      </c>
      <c r="K4136" s="158" t="s">
        <v>6206</v>
      </c>
      <c r="L4136" s="158" t="s">
        <v>7928</v>
      </c>
      <c r="M4136" s="158" t="s">
        <v>254</v>
      </c>
      <c r="N4136" s="158" t="s">
        <v>4511</v>
      </c>
      <c r="O4136" s="158"/>
      <c r="P4136" s="182" t="s">
        <v>461</v>
      </c>
      <c r="Q4136" s="158" t="s">
        <v>4798</v>
      </c>
      <c r="R4136" s="207" t="s">
        <v>4795</v>
      </c>
      <c r="S4136" s="355"/>
      <c r="T4136" s="182"/>
      <c r="U4136" s="182"/>
      <c r="V4136" s="182"/>
      <c r="W4136" s="325" t="s">
        <v>6208</v>
      </c>
      <c r="X4136" s="657" t="s">
        <v>12346</v>
      </c>
      <c r="Y4136" s="361"/>
      <c r="Z4136" s="362"/>
      <c r="AA4136" s="362"/>
      <c r="AB4136" s="33">
        <f t="shared" ca="1" si="106"/>
        <v>5.213102685949722E-2</v>
      </c>
      <c r="AC4136" s="813"/>
      <c r="AD4136" s="211"/>
      <c r="AE4136" s="949"/>
      <c r="AF4136" s="922">
        <f>IF(X4136=X4135,AF4135,0)+IF(ISNUMBER(I4136),IF(I4136&lt;1,I4136,I4136*VLOOKUP(J4136,Summary!$H$2:$I$9,2)),VLOOKUP(J4136,Summary!$J$2:$K$9,2)*IF(ISNUMBER(H4136),H4136,1))</f>
        <v>0.24692129629629633</v>
      </c>
      <c r="AG4136" s="295">
        <v>4135</v>
      </c>
      <c r="AH4136" s="94"/>
      <c r="AI4136" s="94"/>
    </row>
    <row r="4137" spans="1:36" s="3" customFormat="1" ht="12" customHeight="1" x14ac:dyDescent="0.25">
      <c r="A4137" s="727" t="s">
        <v>15668</v>
      </c>
      <c r="B4137" s="727">
        <v>10</v>
      </c>
      <c r="C4137" s="727">
        <v>10</v>
      </c>
      <c r="D4137" s="619" t="s">
        <v>15631</v>
      </c>
      <c r="E4137" s="345" t="s">
        <v>15632</v>
      </c>
      <c r="F4137" s="219">
        <v>39513</v>
      </c>
      <c r="G4137" s="219"/>
      <c r="H4137" s="210" t="s">
        <v>461</v>
      </c>
      <c r="I4137" s="210">
        <v>128</v>
      </c>
      <c r="J4137" s="908" t="s">
        <v>15556</v>
      </c>
      <c r="K4137" s="166" t="s">
        <v>7798</v>
      </c>
      <c r="L4137" s="166"/>
      <c r="M4137" s="166"/>
      <c r="N4137" s="166"/>
      <c r="O4137" s="166"/>
      <c r="P4137" s="267" t="s">
        <v>15633</v>
      </c>
      <c r="Q4137" s="166" t="s">
        <v>3953</v>
      </c>
      <c r="R4137" s="268" t="s">
        <v>15583</v>
      </c>
      <c r="S4137" s="386"/>
      <c r="T4137" s="267"/>
      <c r="U4137" s="267"/>
      <c r="V4137" s="267"/>
      <c r="W4137" s="345" t="s">
        <v>15632</v>
      </c>
      <c r="X4137" s="680" t="s">
        <v>12346</v>
      </c>
      <c r="Y4137" s="384"/>
      <c r="Z4137" s="385"/>
      <c r="AA4137" s="385"/>
      <c r="AB4137" s="41">
        <f t="shared" ca="1" si="106"/>
        <v>0.61955453929937387</v>
      </c>
      <c r="AC4137" s="832"/>
      <c r="AD4137" s="833"/>
      <c r="AE4137" s="956"/>
      <c r="AF4137" s="929">
        <f>IF(X4137=X4136,AF4136,0)+IF(ISNUMBER(I4137),IF(I4137&lt;1,I4137,I4137*VLOOKUP(J4137,Summary!$H$2:$I$9,2)),VLOOKUP(J4137,Summary!$J$2:$K$9,2)*IF(ISNUMBER(H4137),H4137,1))</f>
        <v>0.29136574074074079</v>
      </c>
      <c r="AG4137" s="307">
        <v>4136</v>
      </c>
      <c r="AH4137" s="94"/>
      <c r="AI4137" s="94"/>
      <c r="AJ4137" s="1"/>
    </row>
    <row r="4138" spans="1:36" s="3" customFormat="1" ht="12" customHeight="1" x14ac:dyDescent="0.25">
      <c r="A4138" s="603" t="s">
        <v>15668</v>
      </c>
      <c r="B4138" s="603">
        <v>10</v>
      </c>
      <c r="C4138" s="603">
        <v>32</v>
      </c>
      <c r="D4138" s="428" t="s">
        <v>5090</v>
      </c>
      <c r="E4138" s="325" t="s">
        <v>6196</v>
      </c>
      <c r="F4138" s="184">
        <v>39485</v>
      </c>
      <c r="G4138" s="184">
        <v>39498</v>
      </c>
      <c r="H4138" s="185">
        <v>2</v>
      </c>
      <c r="I4138" s="185">
        <v>12</v>
      </c>
      <c r="J4138" s="901" t="s">
        <v>1796</v>
      </c>
      <c r="K4138" s="158" t="s">
        <v>6235</v>
      </c>
      <c r="L4138" s="158" t="s">
        <v>3832</v>
      </c>
      <c r="M4138" s="158" t="s">
        <v>254</v>
      </c>
      <c r="N4138" s="158" t="s">
        <v>5317</v>
      </c>
      <c r="O4138" s="158"/>
      <c r="P4138" s="182" t="s">
        <v>461</v>
      </c>
      <c r="Q4138" s="158" t="s">
        <v>4929</v>
      </c>
      <c r="R4138" s="207" t="s">
        <v>4796</v>
      </c>
      <c r="S4138" s="355"/>
      <c r="T4138" s="182"/>
      <c r="U4138" s="182"/>
      <c r="V4138" s="182"/>
      <c r="W4138" s="321"/>
      <c r="X4138" s="653" t="s">
        <v>12346</v>
      </c>
      <c r="Y4138" s="361"/>
      <c r="Z4138" s="362"/>
      <c r="AA4138" s="362"/>
      <c r="AB4138" s="33">
        <f t="shared" ca="1" si="106"/>
        <v>0.5722825037494772</v>
      </c>
      <c r="AC4138" s="813"/>
      <c r="AD4138" s="211"/>
      <c r="AE4138" s="949"/>
      <c r="AF4138" s="922">
        <f>IF(X4138=X4137,AF4137,0)+IF(ISNUMBER(I4138),IF(I4138&lt;1,I4138,I4138*VLOOKUP(J4138,Summary!$H$2:$I$9,2)),VLOOKUP(J4138,Summary!$J$2:$K$9,2)*IF(ISNUMBER(H4138),H4138,1))</f>
        <v>0.29553240740740744</v>
      </c>
      <c r="AG4138" s="295">
        <v>4137</v>
      </c>
      <c r="AH4138" s="94"/>
      <c r="AI4138" s="94"/>
      <c r="AJ4138" s="1"/>
    </row>
    <row r="4139" spans="1:36" s="1" customFormat="1" ht="12" customHeight="1" x14ac:dyDescent="0.25">
      <c r="A4139" s="603" t="s">
        <v>15668</v>
      </c>
      <c r="B4139" s="603">
        <v>10</v>
      </c>
      <c r="C4139" s="603">
        <v>14</v>
      </c>
      <c r="D4139" s="428" t="s">
        <v>2133</v>
      </c>
      <c r="E4139" s="325" t="s">
        <v>2134</v>
      </c>
      <c r="F4139" s="184">
        <v>39499</v>
      </c>
      <c r="G4139" s="184">
        <v>39541</v>
      </c>
      <c r="H4139" s="185">
        <v>4</v>
      </c>
      <c r="I4139" s="185">
        <v>16</v>
      </c>
      <c r="J4139" s="901" t="s">
        <v>1796</v>
      </c>
      <c r="K4139" s="158" t="s">
        <v>4797</v>
      </c>
      <c r="L4139" s="158" t="s">
        <v>7928</v>
      </c>
      <c r="M4139" s="158" t="s">
        <v>254</v>
      </c>
      <c r="N4139" s="158" t="s">
        <v>4511</v>
      </c>
      <c r="O4139" s="158"/>
      <c r="P4139" s="182" t="s">
        <v>461</v>
      </c>
      <c r="Q4139" s="158" t="s">
        <v>4798</v>
      </c>
      <c r="R4139" s="207" t="s">
        <v>4795</v>
      </c>
      <c r="S4139" s="355"/>
      <c r="T4139" s="182"/>
      <c r="U4139" s="182"/>
      <c r="V4139" s="182"/>
      <c r="W4139" s="321" t="s">
        <v>8466</v>
      </c>
      <c r="X4139" s="653" t="s">
        <v>12346</v>
      </c>
      <c r="Y4139" s="361"/>
      <c r="Z4139" s="362"/>
      <c r="AA4139" s="362"/>
      <c r="AB4139" s="33">
        <f t="shared" ca="1" si="106"/>
        <v>0.29363604436963198</v>
      </c>
      <c r="AC4139" s="813"/>
      <c r="AD4139" s="211"/>
      <c r="AE4139" s="949"/>
      <c r="AF4139" s="922">
        <f>IF(X4139=X4138,AF4138,0)+IF(ISNUMBER(I4139),IF(I4139&lt;1,I4139,I4139*VLOOKUP(J4139,Summary!$H$2:$I$9,2)),VLOOKUP(J4139,Summary!$J$2:$K$9,2)*IF(ISNUMBER(H4139),H4139,1))</f>
        <v>0.30108796296296297</v>
      </c>
      <c r="AG4139" s="295">
        <v>4138</v>
      </c>
      <c r="AH4139" s="94"/>
      <c r="AI4139" s="94"/>
      <c r="AJ4139" s="43"/>
    </row>
    <row r="4140" spans="1:36" s="1" customFormat="1" ht="12" customHeight="1" x14ac:dyDescent="0.25">
      <c r="A4140" s="603" t="s">
        <v>15668</v>
      </c>
      <c r="B4140" s="603">
        <v>10</v>
      </c>
      <c r="C4140" s="603">
        <v>33</v>
      </c>
      <c r="D4140" s="428" t="s">
        <v>5091</v>
      </c>
      <c r="E4140" s="325" t="s">
        <v>6197</v>
      </c>
      <c r="F4140" s="184">
        <v>39499</v>
      </c>
      <c r="G4140" s="184">
        <v>39512</v>
      </c>
      <c r="H4140" s="185">
        <v>2</v>
      </c>
      <c r="I4140" s="185">
        <v>12</v>
      </c>
      <c r="J4140" s="901" t="s">
        <v>1796</v>
      </c>
      <c r="K4140" s="158" t="s">
        <v>6235</v>
      </c>
      <c r="L4140" s="158" t="s">
        <v>3832</v>
      </c>
      <c r="M4140" s="158" t="s">
        <v>254</v>
      </c>
      <c r="N4140" s="158" t="s">
        <v>5317</v>
      </c>
      <c r="O4140" s="158"/>
      <c r="P4140" s="182" t="s">
        <v>461</v>
      </c>
      <c r="Q4140" s="158" t="s">
        <v>4929</v>
      </c>
      <c r="R4140" s="207" t="s">
        <v>4796</v>
      </c>
      <c r="S4140" s="355"/>
      <c r="T4140" s="182"/>
      <c r="U4140" s="182"/>
      <c r="V4140" s="182"/>
      <c r="W4140" s="321"/>
      <c r="X4140" s="653" t="s">
        <v>12346</v>
      </c>
      <c r="Y4140" s="361"/>
      <c r="Z4140" s="362"/>
      <c r="AA4140" s="362"/>
      <c r="AB4140" s="33">
        <f t="shared" ca="1" si="106"/>
        <v>6.5163931671931685E-2</v>
      </c>
      <c r="AC4140" s="813"/>
      <c r="AD4140" s="211"/>
      <c r="AE4140" s="949"/>
      <c r="AF4140" s="922">
        <f>IF(X4140=X4139,AF4139,0)+IF(ISNUMBER(I4140),IF(I4140&lt;1,I4140,I4140*VLOOKUP(J4140,Summary!$H$2:$I$9,2)),VLOOKUP(J4140,Summary!$J$2:$K$9,2)*IF(ISNUMBER(H4140),H4140,1))</f>
        <v>0.30525462962962963</v>
      </c>
      <c r="AG4140" s="295">
        <v>4139</v>
      </c>
      <c r="AH4140" s="94"/>
      <c r="AI4140" s="94"/>
    </row>
    <row r="4141" spans="1:36" s="1" customFormat="1" ht="12" customHeight="1" x14ac:dyDescent="0.25">
      <c r="A4141" s="603" t="s">
        <v>15668</v>
      </c>
      <c r="B4141" s="603">
        <v>10</v>
      </c>
      <c r="C4141" s="603">
        <v>34</v>
      </c>
      <c r="D4141" s="428" t="s">
        <v>5092</v>
      </c>
      <c r="E4141" s="325" t="s">
        <v>6198</v>
      </c>
      <c r="F4141" s="184">
        <v>39513</v>
      </c>
      <c r="G4141" s="184">
        <v>39526</v>
      </c>
      <c r="H4141" s="185">
        <v>2</v>
      </c>
      <c r="I4141" s="185">
        <v>12</v>
      </c>
      <c r="J4141" s="901" t="s">
        <v>1796</v>
      </c>
      <c r="K4141" s="158" t="s">
        <v>4147</v>
      </c>
      <c r="L4141" s="158" t="s">
        <v>3832</v>
      </c>
      <c r="M4141" s="158" t="s">
        <v>254</v>
      </c>
      <c r="N4141" s="158" t="s">
        <v>5317</v>
      </c>
      <c r="O4141" s="158"/>
      <c r="P4141" s="182" t="s">
        <v>461</v>
      </c>
      <c r="Q4141" s="158" t="s">
        <v>4929</v>
      </c>
      <c r="R4141" s="207" t="s">
        <v>4796</v>
      </c>
      <c r="S4141" s="355"/>
      <c r="T4141" s="182"/>
      <c r="U4141" s="182"/>
      <c r="V4141" s="182"/>
      <c r="W4141" s="321"/>
      <c r="X4141" s="653" t="s">
        <v>12346</v>
      </c>
      <c r="Y4141" s="361"/>
      <c r="Z4141" s="362"/>
      <c r="AA4141" s="362"/>
      <c r="AB4141" s="33">
        <f t="shared" ca="1" si="106"/>
        <v>0.29677263073658444</v>
      </c>
      <c r="AC4141" s="813"/>
      <c r="AD4141" s="211"/>
      <c r="AE4141" s="949"/>
      <c r="AF4141" s="922">
        <f>IF(X4141=X4140,AF4140,0)+IF(ISNUMBER(I4141),IF(I4141&lt;1,I4141,I4141*VLOOKUP(J4141,Summary!$H$2:$I$9,2)),VLOOKUP(J4141,Summary!$J$2:$K$9,2)*IF(ISNUMBER(H4141),H4141,1))</f>
        <v>0.30942129629629628</v>
      </c>
      <c r="AG4141" s="295">
        <v>4140</v>
      </c>
      <c r="AH4141" s="94"/>
      <c r="AI4141" s="94"/>
    </row>
    <row r="4142" spans="1:36" s="43" customFormat="1" ht="12" customHeight="1" x14ac:dyDescent="0.25">
      <c r="A4142" s="603" t="s">
        <v>15668</v>
      </c>
      <c r="B4142" s="603">
        <v>10</v>
      </c>
      <c r="C4142" s="603">
        <v>35</v>
      </c>
      <c r="D4142" s="428" t="s">
        <v>5093</v>
      </c>
      <c r="E4142" s="325" t="s">
        <v>6199</v>
      </c>
      <c r="F4142" s="184">
        <v>39527</v>
      </c>
      <c r="G4142" s="184">
        <v>39540</v>
      </c>
      <c r="H4142" s="185">
        <v>2</v>
      </c>
      <c r="I4142" s="185">
        <v>10</v>
      </c>
      <c r="J4142" s="901" t="s">
        <v>1796</v>
      </c>
      <c r="K4142" s="158" t="s">
        <v>4032</v>
      </c>
      <c r="L4142" s="158" t="s">
        <v>3832</v>
      </c>
      <c r="M4142" s="158" t="s">
        <v>254</v>
      </c>
      <c r="N4142" s="158" t="s">
        <v>5317</v>
      </c>
      <c r="O4142" s="158"/>
      <c r="P4142" s="182" t="s">
        <v>461</v>
      </c>
      <c r="Q4142" s="158" t="s">
        <v>4929</v>
      </c>
      <c r="R4142" s="207" t="s">
        <v>4796</v>
      </c>
      <c r="S4142" s="355"/>
      <c r="T4142" s="182"/>
      <c r="U4142" s="182"/>
      <c r="V4142" s="182"/>
      <c r="W4142" s="321"/>
      <c r="X4142" s="653" t="s">
        <v>12346</v>
      </c>
      <c r="Y4142" s="361"/>
      <c r="Z4142" s="362"/>
      <c r="AA4142" s="362"/>
      <c r="AB4142" s="33">
        <f t="shared" ca="1" si="106"/>
        <v>0.46347063451419113</v>
      </c>
      <c r="AC4142" s="813"/>
      <c r="AD4142" s="211"/>
      <c r="AE4142" s="949"/>
      <c r="AF4142" s="922">
        <f>IF(X4142=X4141,AF4141,0)+IF(ISNUMBER(I4142),IF(I4142&lt;1,I4142,I4142*VLOOKUP(J4142,Summary!$H$2:$I$9,2)),VLOOKUP(J4142,Summary!$J$2:$K$9,2)*IF(ISNUMBER(H4142),H4142,1))</f>
        <v>0.31289351851851849</v>
      </c>
      <c r="AG4142" s="295">
        <v>4141</v>
      </c>
      <c r="AH4142" s="94"/>
      <c r="AI4142" s="94"/>
    </row>
    <row r="4143" spans="1:36" s="29" customFormat="1" ht="12" customHeight="1" x14ac:dyDescent="0.25">
      <c r="A4143" s="603" t="s">
        <v>15668</v>
      </c>
      <c r="B4143" s="603">
        <v>10</v>
      </c>
      <c r="C4143" s="603">
        <v>7</v>
      </c>
      <c r="D4143" s="428" t="s">
        <v>13077</v>
      </c>
      <c r="E4143" s="325" t="s">
        <v>13078</v>
      </c>
      <c r="F4143" s="184">
        <v>39611</v>
      </c>
      <c r="G4143" s="184"/>
      <c r="H4143" s="185">
        <v>1</v>
      </c>
      <c r="I4143" s="185">
        <v>6</v>
      </c>
      <c r="J4143" s="901" t="s">
        <v>1796</v>
      </c>
      <c r="K4143" s="158" t="s">
        <v>1644</v>
      </c>
      <c r="L4143" s="158"/>
      <c r="M4143" s="158"/>
      <c r="N4143" s="158"/>
      <c r="O4143" s="158"/>
      <c r="P4143" s="182" t="s">
        <v>461</v>
      </c>
      <c r="Q4143" s="158" t="s">
        <v>3946</v>
      </c>
      <c r="R4143" s="207" t="s">
        <v>13062</v>
      </c>
      <c r="S4143" s="355" t="s">
        <v>3073</v>
      </c>
      <c r="T4143" s="182" t="s">
        <v>3068</v>
      </c>
      <c r="U4143" s="182"/>
      <c r="V4143" s="182"/>
      <c r="W4143" s="325" t="s">
        <v>13078</v>
      </c>
      <c r="X4143" s="657" t="s">
        <v>12346</v>
      </c>
      <c r="Y4143" s="361" t="s">
        <v>4707</v>
      </c>
      <c r="Z4143" s="362"/>
      <c r="AA4143" s="362"/>
      <c r="AB4143" s="33">
        <f t="shared" ca="1" si="106"/>
        <v>0.83269500148790931</v>
      </c>
      <c r="AC4143" s="813"/>
      <c r="AD4143" s="211"/>
      <c r="AE4143" s="949"/>
      <c r="AF4143" s="922">
        <f>IF(X4143=X4142,AF4142,0)+IF(ISNUMBER(I4143),IF(I4143&lt;1,I4143,I4143*VLOOKUP(J4143,Summary!$H$2:$I$9,2)),VLOOKUP(J4143,Summary!$J$2:$K$9,2)*IF(ISNUMBER(H4143),H4143,1))</f>
        <v>0.31497685185185181</v>
      </c>
      <c r="AG4143" s="295">
        <v>4142</v>
      </c>
      <c r="AH4143" s="94"/>
      <c r="AI4143" s="94"/>
    </row>
    <row r="4144" spans="1:36" s="3" customFormat="1" ht="12" customHeight="1" x14ac:dyDescent="0.25">
      <c r="A4144" s="727" t="s">
        <v>15668</v>
      </c>
      <c r="B4144" s="727">
        <v>10</v>
      </c>
      <c r="C4144" s="727">
        <v>11</v>
      </c>
      <c r="D4144" s="619" t="s">
        <v>15634</v>
      </c>
      <c r="E4144" s="345" t="s">
        <v>15635</v>
      </c>
      <c r="F4144" s="219">
        <v>39513</v>
      </c>
      <c r="G4144" s="219"/>
      <c r="H4144" s="210" t="s">
        <v>461</v>
      </c>
      <c r="I4144" s="210">
        <v>128</v>
      </c>
      <c r="J4144" s="908" t="s">
        <v>15556</v>
      </c>
      <c r="K4144" s="166" t="s">
        <v>4032</v>
      </c>
      <c r="L4144" s="166"/>
      <c r="M4144" s="166"/>
      <c r="N4144" s="166"/>
      <c r="O4144" s="166"/>
      <c r="P4144" s="267" t="s">
        <v>15633</v>
      </c>
      <c r="Q4144" s="166" t="s">
        <v>3953</v>
      </c>
      <c r="R4144" s="268" t="s">
        <v>15583</v>
      </c>
      <c r="S4144" s="386"/>
      <c r="T4144" s="267"/>
      <c r="U4144" s="267"/>
      <c r="V4144" s="267"/>
      <c r="W4144" s="345" t="s">
        <v>15635</v>
      </c>
      <c r="X4144" s="680" t="s">
        <v>12346</v>
      </c>
      <c r="Y4144" s="384"/>
      <c r="Z4144" s="385"/>
      <c r="AA4144" s="385"/>
      <c r="AB4144" s="41">
        <f t="shared" ca="1" si="106"/>
        <v>0.64856531891245273</v>
      </c>
      <c r="AC4144" s="832"/>
      <c r="AD4144" s="833"/>
      <c r="AE4144" s="956"/>
      <c r="AF4144" s="929">
        <f>IF(X4144=X4143,AF4143,0)+IF(ISNUMBER(I4144),IF(I4144&lt;1,I4144,I4144*VLOOKUP(J4144,Summary!$H$2:$I$9,2)),VLOOKUP(J4144,Summary!$J$2:$K$9,2)*IF(ISNUMBER(H4144),H4144,1))</f>
        <v>0.35942129629629627</v>
      </c>
      <c r="AG4144" s="307">
        <v>4143</v>
      </c>
      <c r="AH4144" s="94"/>
      <c r="AI4144" s="94"/>
      <c r="AJ4144" s="22"/>
    </row>
    <row r="4145" spans="1:36" s="142" customFormat="1" ht="12" customHeight="1" x14ac:dyDescent="0.25">
      <c r="A4145" s="605" t="s">
        <v>15668</v>
      </c>
      <c r="B4145" s="605">
        <v>10</v>
      </c>
      <c r="C4145" s="605">
        <v>1.2</v>
      </c>
      <c r="D4145" s="407" t="s">
        <v>13034</v>
      </c>
      <c r="E4145" s="315" t="s">
        <v>13093</v>
      </c>
      <c r="F4145" s="196">
        <v>42383</v>
      </c>
      <c r="G4145" s="170"/>
      <c r="H4145" s="170">
        <v>1</v>
      </c>
      <c r="I4145" s="747">
        <f>TIME(0,60,0)</f>
        <v>4.1666666666666664E-2</v>
      </c>
      <c r="J4145" s="899" t="s">
        <v>4706</v>
      </c>
      <c r="K4145" s="167" t="s">
        <v>7374</v>
      </c>
      <c r="L4145" s="167" t="s">
        <v>2313</v>
      </c>
      <c r="M4145" s="167"/>
      <c r="N4145" s="167"/>
      <c r="O4145" s="167"/>
      <c r="P4145" s="168" t="s">
        <v>13033</v>
      </c>
      <c r="Q4145" s="167" t="s">
        <v>3947</v>
      </c>
      <c r="R4145" s="172" t="s">
        <v>11446</v>
      </c>
      <c r="S4145" s="388"/>
      <c r="T4145" s="168"/>
      <c r="U4145" s="168"/>
      <c r="V4145" s="168"/>
      <c r="W4145" s="312" t="s">
        <v>13093</v>
      </c>
      <c r="X4145" s="644" t="s">
        <v>12346</v>
      </c>
      <c r="Y4145" s="352"/>
      <c r="Z4145" s="353"/>
      <c r="AA4145" s="353"/>
      <c r="AB4145" s="31">
        <f t="shared" ca="1" si="106"/>
        <v>0.50366901946757481</v>
      </c>
      <c r="AC4145" s="810"/>
      <c r="AD4145" s="811"/>
      <c r="AE4145" s="940"/>
      <c r="AF4145" s="920">
        <f>IF(X4145=X4144,AF4144,0)+IF(ISNUMBER(I4145),IF(I4145&lt;1,I4145,I4145*VLOOKUP(J4145,Summary!$H$2:$I$9,2)),VLOOKUP(J4145,Summary!$J$2:$K$9,2)*IF(ISNUMBER(H4145),H4145,1))</f>
        <v>0.40108796296296295</v>
      </c>
      <c r="AG4145" s="287">
        <v>4144</v>
      </c>
      <c r="AH4145" s="94"/>
      <c r="AI4145" s="94"/>
    </row>
    <row r="4146" spans="1:36" s="3" customFormat="1" ht="12" customHeight="1" x14ac:dyDescent="0.25">
      <c r="A4146" s="603" t="s">
        <v>15668</v>
      </c>
      <c r="B4146" s="603">
        <v>10</v>
      </c>
      <c r="C4146" s="603">
        <v>131</v>
      </c>
      <c r="D4146" s="428" t="s">
        <v>4715</v>
      </c>
      <c r="E4146" s="325" t="s">
        <v>3981</v>
      </c>
      <c r="F4146" s="184">
        <v>39558</v>
      </c>
      <c r="G4146" s="184"/>
      <c r="H4146" s="185">
        <v>1</v>
      </c>
      <c r="I4146" s="185">
        <v>9</v>
      </c>
      <c r="J4146" s="901" t="s">
        <v>1796</v>
      </c>
      <c r="K4146" s="158" t="s">
        <v>6060</v>
      </c>
      <c r="L4146" s="158" t="s">
        <v>6060</v>
      </c>
      <c r="M4146" s="158"/>
      <c r="N4146" s="158" t="s">
        <v>1279</v>
      </c>
      <c r="O4146" s="158"/>
      <c r="P4146" s="182" t="s">
        <v>461</v>
      </c>
      <c r="Q4146" s="158" t="s">
        <v>4104</v>
      </c>
      <c r="R4146" s="207" t="s">
        <v>5266</v>
      </c>
      <c r="S4146" s="355"/>
      <c r="T4146" s="182"/>
      <c r="U4146" s="182"/>
      <c r="V4146" s="182"/>
      <c r="W4146" s="325" t="s">
        <v>3981</v>
      </c>
      <c r="X4146" s="657" t="s">
        <v>12346</v>
      </c>
      <c r="Y4146" s="361"/>
      <c r="Z4146" s="362"/>
      <c r="AA4146" s="362"/>
      <c r="AB4146" s="33">
        <f t="shared" ca="1" si="106"/>
        <v>0.8369545409691822</v>
      </c>
      <c r="AC4146" s="813"/>
      <c r="AD4146" s="211" t="s">
        <v>16401</v>
      </c>
      <c r="AE4146" s="949"/>
      <c r="AF4146" s="922">
        <f>IF(X4146=X4145,AF4145,0)+IF(ISNUMBER(I4146),IF(I4146&lt;1,I4146,I4146*VLOOKUP(J4146,Summary!$H$2:$I$9,2)),VLOOKUP(J4146,Summary!$J$2:$K$9,2)*IF(ISNUMBER(H4146),H4146,1))</f>
        <v>0.40421296296296294</v>
      </c>
      <c r="AG4146" s="295">
        <v>4145</v>
      </c>
      <c r="AH4146" s="94"/>
      <c r="AI4146" s="94"/>
      <c r="AJ4146" s="22"/>
    </row>
    <row r="4147" spans="1:36" s="1" customFormat="1" ht="12" customHeight="1" x14ac:dyDescent="0.25">
      <c r="A4147" s="603" t="s">
        <v>15668</v>
      </c>
      <c r="B4147" s="603">
        <v>10</v>
      </c>
      <c r="C4147" s="603">
        <v>36</v>
      </c>
      <c r="D4147" s="428" t="s">
        <v>5094</v>
      </c>
      <c r="E4147" s="325" t="s">
        <v>6200</v>
      </c>
      <c r="F4147" s="184">
        <v>39541</v>
      </c>
      <c r="G4147" s="184">
        <v>39561</v>
      </c>
      <c r="H4147" s="185">
        <v>3</v>
      </c>
      <c r="I4147" s="185">
        <v>15</v>
      </c>
      <c r="J4147" s="901" t="s">
        <v>1796</v>
      </c>
      <c r="K4147" s="158" t="s">
        <v>4032</v>
      </c>
      <c r="L4147" s="158" t="s">
        <v>3832</v>
      </c>
      <c r="M4147" s="158" t="s">
        <v>254</v>
      </c>
      <c r="N4147" s="158" t="s">
        <v>5317</v>
      </c>
      <c r="O4147" s="158"/>
      <c r="P4147" s="182" t="s">
        <v>461</v>
      </c>
      <c r="Q4147" s="158" t="s">
        <v>4929</v>
      </c>
      <c r="R4147" s="207" t="s">
        <v>4796</v>
      </c>
      <c r="S4147" s="355"/>
      <c r="T4147" s="182"/>
      <c r="U4147" s="182"/>
      <c r="V4147" s="182"/>
      <c r="W4147" s="321"/>
      <c r="X4147" s="653" t="s">
        <v>12346</v>
      </c>
      <c r="Y4147" s="361"/>
      <c r="Z4147" s="362"/>
      <c r="AA4147" s="362"/>
      <c r="AB4147" s="33">
        <f t="shared" ca="1" si="106"/>
        <v>0.98769847317759751</v>
      </c>
      <c r="AC4147" s="813"/>
      <c r="AD4147" s="211"/>
      <c r="AE4147" s="949"/>
      <c r="AF4147" s="922">
        <f>IF(X4147=X4146,AF4146,0)+IF(ISNUMBER(I4147),IF(I4147&lt;1,I4147,I4147*VLOOKUP(J4147,Summary!$H$2:$I$9,2)),VLOOKUP(J4147,Summary!$J$2:$K$9,2)*IF(ISNUMBER(H4147),H4147,1))</f>
        <v>0.40942129629629626</v>
      </c>
      <c r="AG4147" s="295">
        <v>4146</v>
      </c>
      <c r="AH4147" s="94"/>
      <c r="AI4147" s="94"/>
      <c r="AJ4147" s="2"/>
    </row>
    <row r="4148" spans="1:36" s="1" customFormat="1" ht="12" customHeight="1" x14ac:dyDescent="0.25">
      <c r="A4148" s="603" t="s">
        <v>15668</v>
      </c>
      <c r="B4148" s="603">
        <v>10</v>
      </c>
      <c r="C4148" s="603">
        <v>15</v>
      </c>
      <c r="D4148" s="428" t="s">
        <v>2135</v>
      </c>
      <c r="E4148" s="325" t="s">
        <v>6203</v>
      </c>
      <c r="F4148" s="184">
        <v>39555</v>
      </c>
      <c r="G4148" s="184"/>
      <c r="H4148" s="185">
        <v>1</v>
      </c>
      <c r="I4148" s="185">
        <v>4</v>
      </c>
      <c r="J4148" s="901" t="s">
        <v>1796</v>
      </c>
      <c r="K4148" s="158" t="s">
        <v>5148</v>
      </c>
      <c r="L4148" s="158" t="s">
        <v>7928</v>
      </c>
      <c r="M4148" s="158" t="s">
        <v>254</v>
      </c>
      <c r="N4148" s="158" t="s">
        <v>4511</v>
      </c>
      <c r="O4148" s="158"/>
      <c r="P4148" s="182" t="s">
        <v>461</v>
      </c>
      <c r="Q4148" s="158" t="s">
        <v>4798</v>
      </c>
      <c r="R4148" s="207" t="s">
        <v>4795</v>
      </c>
      <c r="S4148" s="355"/>
      <c r="T4148" s="182"/>
      <c r="U4148" s="182"/>
      <c r="V4148" s="182"/>
      <c r="W4148" s="325" t="s">
        <v>6203</v>
      </c>
      <c r="X4148" s="657" t="s">
        <v>12346</v>
      </c>
      <c r="Y4148" s="361"/>
      <c r="Z4148" s="362"/>
      <c r="AA4148" s="362"/>
      <c r="AB4148" s="33">
        <f t="shared" ca="1" si="106"/>
        <v>0.61171360511166262</v>
      </c>
      <c r="AC4148" s="813"/>
      <c r="AD4148" s="211"/>
      <c r="AE4148" s="949"/>
      <c r="AF4148" s="922">
        <f>IF(X4148=X4147,AF4147,0)+IF(ISNUMBER(I4148),IF(I4148&lt;1,I4148,I4148*VLOOKUP(J4148,Summary!$H$2:$I$9,2)),VLOOKUP(J4148,Summary!$J$2:$K$9,2)*IF(ISNUMBER(H4148),H4148,1))</f>
        <v>0.41081018518518514</v>
      </c>
      <c r="AG4148" s="295">
        <v>4147</v>
      </c>
      <c r="AH4148" s="94"/>
      <c r="AI4148" s="94"/>
    </row>
    <row r="4149" spans="1:36" s="43" customFormat="1" ht="12" customHeight="1" x14ac:dyDescent="0.25">
      <c r="A4149" s="603" t="s">
        <v>15668</v>
      </c>
      <c r="B4149" s="603">
        <v>10</v>
      </c>
      <c r="C4149" s="603">
        <v>37</v>
      </c>
      <c r="D4149" s="428" t="s">
        <v>5095</v>
      </c>
      <c r="E4149" s="325" t="s">
        <v>6201</v>
      </c>
      <c r="F4149" s="184">
        <v>39562</v>
      </c>
      <c r="G4149" s="184">
        <v>39568</v>
      </c>
      <c r="H4149" s="185">
        <v>1</v>
      </c>
      <c r="I4149" s="185">
        <v>2</v>
      </c>
      <c r="J4149" s="901" t="s">
        <v>1796</v>
      </c>
      <c r="K4149" s="158" t="s">
        <v>4032</v>
      </c>
      <c r="L4149" s="158" t="s">
        <v>3832</v>
      </c>
      <c r="M4149" s="158" t="s">
        <v>254</v>
      </c>
      <c r="N4149" s="158" t="s">
        <v>5317</v>
      </c>
      <c r="O4149" s="158"/>
      <c r="P4149" s="182" t="s">
        <v>461</v>
      </c>
      <c r="Q4149" s="158" t="s">
        <v>4929</v>
      </c>
      <c r="R4149" s="207" t="s">
        <v>4796</v>
      </c>
      <c r="S4149" s="355"/>
      <c r="T4149" s="182"/>
      <c r="U4149" s="182"/>
      <c r="V4149" s="182"/>
      <c r="W4149" s="321"/>
      <c r="X4149" s="653" t="s">
        <v>12346</v>
      </c>
      <c r="Y4149" s="361"/>
      <c r="Z4149" s="362"/>
      <c r="AA4149" s="362"/>
      <c r="AB4149" s="33">
        <f t="shared" ca="1" si="106"/>
        <v>0.58045641987285279</v>
      </c>
      <c r="AC4149" s="813"/>
      <c r="AD4149" s="211"/>
      <c r="AE4149" s="949"/>
      <c r="AF4149" s="922">
        <f>IF(X4149=X4148,AF4148,0)+IF(ISNUMBER(I4149),IF(I4149&lt;1,I4149,I4149*VLOOKUP(J4149,Summary!$H$2:$I$9,2)),VLOOKUP(J4149,Summary!$J$2:$K$9,2)*IF(ISNUMBER(H4149),H4149,1))</f>
        <v>0.41150462962962958</v>
      </c>
      <c r="AG4149" s="295">
        <v>4148</v>
      </c>
      <c r="AH4149" s="94"/>
      <c r="AI4149" s="94"/>
    </row>
    <row r="4150" spans="1:36" s="3" customFormat="1" ht="12" customHeight="1" x14ac:dyDescent="0.25">
      <c r="A4150" s="603" t="s">
        <v>15668</v>
      </c>
      <c r="B4150" s="603">
        <v>10</v>
      </c>
      <c r="C4150" s="603">
        <v>38</v>
      </c>
      <c r="D4150" s="428" t="s">
        <v>5096</v>
      </c>
      <c r="E4150" s="325" t="s">
        <v>6202</v>
      </c>
      <c r="F4150" s="184">
        <v>39569</v>
      </c>
      <c r="G4150" s="184">
        <v>39575</v>
      </c>
      <c r="H4150" s="185">
        <v>1</v>
      </c>
      <c r="I4150" s="185">
        <v>5</v>
      </c>
      <c r="J4150" s="901" t="s">
        <v>1796</v>
      </c>
      <c r="K4150" s="158" t="s">
        <v>4032</v>
      </c>
      <c r="L4150" s="158" t="s">
        <v>3832</v>
      </c>
      <c r="M4150" s="158" t="s">
        <v>254</v>
      </c>
      <c r="N4150" s="158" t="s">
        <v>5317</v>
      </c>
      <c r="O4150" s="158"/>
      <c r="P4150" s="182" t="s">
        <v>461</v>
      </c>
      <c r="Q4150" s="158" t="s">
        <v>4929</v>
      </c>
      <c r="R4150" s="207" t="s">
        <v>4796</v>
      </c>
      <c r="S4150" s="355"/>
      <c r="T4150" s="182"/>
      <c r="U4150" s="182"/>
      <c r="V4150" s="182"/>
      <c r="W4150" s="325" t="s">
        <v>6202</v>
      </c>
      <c r="X4150" s="657" t="s">
        <v>12346</v>
      </c>
      <c r="Y4150" s="361"/>
      <c r="Z4150" s="362"/>
      <c r="AA4150" s="362"/>
      <c r="AB4150" s="33">
        <f t="shared" ca="1" si="106"/>
        <v>0.97723172759154153</v>
      </c>
      <c r="AC4150" s="813"/>
      <c r="AD4150" s="211"/>
      <c r="AE4150" s="949"/>
      <c r="AF4150" s="922">
        <f>IF(X4150=X4149,AF4149,0)+IF(ISNUMBER(I4150),IF(I4150&lt;1,I4150,I4150*VLOOKUP(J4150,Summary!$H$2:$I$9,2)),VLOOKUP(J4150,Summary!$J$2:$K$9,2)*IF(ISNUMBER(H4150),H4150,1))</f>
        <v>0.41324074074074069</v>
      </c>
      <c r="AG4150" s="295">
        <v>4149</v>
      </c>
      <c r="AH4150" s="94"/>
      <c r="AI4150" s="94"/>
    </row>
    <row r="4151" spans="1:36" s="29" customFormat="1" ht="12" customHeight="1" x14ac:dyDescent="0.25">
      <c r="A4151" s="603" t="s">
        <v>15668</v>
      </c>
      <c r="B4151" s="603">
        <v>10</v>
      </c>
      <c r="C4151" s="603">
        <v>3</v>
      </c>
      <c r="D4151" s="428" t="s">
        <v>13069</v>
      </c>
      <c r="E4151" s="325" t="s">
        <v>13070</v>
      </c>
      <c r="F4151" s="184">
        <v>39583</v>
      </c>
      <c r="G4151" s="184"/>
      <c r="H4151" s="185">
        <v>1</v>
      </c>
      <c r="I4151" s="185">
        <v>6</v>
      </c>
      <c r="J4151" s="901" t="s">
        <v>1796</v>
      </c>
      <c r="K4151" s="158" t="s">
        <v>4552</v>
      </c>
      <c r="L4151" s="158"/>
      <c r="M4151" s="158"/>
      <c r="N4151" s="158"/>
      <c r="O4151" s="158"/>
      <c r="P4151" s="182" t="s">
        <v>461</v>
      </c>
      <c r="Q4151" s="158" t="s">
        <v>3946</v>
      </c>
      <c r="R4151" s="207" t="s">
        <v>13062</v>
      </c>
      <c r="S4151" s="355"/>
      <c r="T4151" s="182"/>
      <c r="U4151" s="182"/>
      <c r="V4151" s="182"/>
      <c r="W4151" s="325" t="s">
        <v>13070</v>
      </c>
      <c r="X4151" s="657" t="s">
        <v>12346</v>
      </c>
      <c r="Y4151" s="361" t="s">
        <v>4707</v>
      </c>
      <c r="Z4151" s="362"/>
      <c r="AA4151" s="362"/>
      <c r="AB4151" s="33">
        <f t="shared" ca="1" si="106"/>
        <v>0.23190424969862078</v>
      </c>
      <c r="AC4151" s="813"/>
      <c r="AD4151" s="211"/>
      <c r="AE4151" s="949"/>
      <c r="AF4151" s="922">
        <f>IF(X4151=X4150,AF4150,0)+IF(ISNUMBER(I4151),IF(I4151&lt;1,I4151,I4151*VLOOKUP(J4151,Summary!$H$2:$I$9,2)),VLOOKUP(J4151,Summary!$J$2:$K$9,2)*IF(ISNUMBER(H4151),H4151,1))</f>
        <v>0.41532407407407401</v>
      </c>
      <c r="AG4151" s="295">
        <v>4150</v>
      </c>
      <c r="AH4151" s="94"/>
      <c r="AI4151" s="94"/>
    </row>
    <row r="4152" spans="1:36" s="142" customFormat="1" ht="12" customHeight="1" x14ac:dyDescent="0.25">
      <c r="A4152" s="553" t="s">
        <v>4089</v>
      </c>
      <c r="B4152" s="553" t="s">
        <v>3227</v>
      </c>
      <c r="C4152" s="553">
        <v>14</v>
      </c>
      <c r="D4152" s="424" t="s">
        <v>4090</v>
      </c>
      <c r="E4152" s="319" t="s">
        <v>7434</v>
      </c>
      <c r="F4152" s="198">
        <v>39463</v>
      </c>
      <c r="G4152" s="198"/>
      <c r="H4152" s="199">
        <v>1</v>
      </c>
      <c r="I4152" s="791">
        <f>TIME(0,48,22)</f>
        <v>3.3587962962962965E-2</v>
      </c>
      <c r="J4152" s="904" t="s">
        <v>1588</v>
      </c>
      <c r="K4152" s="200" t="s">
        <v>7377</v>
      </c>
      <c r="L4152" s="200" t="s">
        <v>3452</v>
      </c>
      <c r="M4152" s="200"/>
      <c r="N4152" s="200" t="s">
        <v>1644</v>
      </c>
      <c r="O4152" s="200" t="s">
        <v>1511</v>
      </c>
      <c r="P4152" s="197" t="s">
        <v>461</v>
      </c>
      <c r="Q4152" s="200" t="s">
        <v>3946</v>
      </c>
      <c r="R4152" s="201" t="s">
        <v>5276</v>
      </c>
      <c r="S4152" s="390"/>
      <c r="T4152" s="197" t="s">
        <v>3068</v>
      </c>
      <c r="U4152" s="197"/>
      <c r="V4152" s="197"/>
      <c r="W4152" s="319" t="s">
        <v>7434</v>
      </c>
      <c r="X4152" s="651" t="s">
        <v>12362</v>
      </c>
      <c r="Y4152" s="358" t="s">
        <v>6141</v>
      </c>
      <c r="Z4152" s="253">
        <v>2023</v>
      </c>
      <c r="AA4152" s="253"/>
      <c r="AB4152" s="35">
        <f t="shared" ca="1" si="106"/>
        <v>0.83856450329294618</v>
      </c>
      <c r="AC4152" s="820"/>
      <c r="AD4152" s="824" t="s">
        <v>14584</v>
      </c>
      <c r="AE4152" s="944"/>
      <c r="AF4152" s="925">
        <f>IF(X4152=X4151,AF4151,0)+IF(ISNUMBER(I4152),IF(I4152&lt;1,I4152,I4152*VLOOKUP(J4152,Summary!$H$2:$I$9,2)),VLOOKUP(J4152,Summary!$J$2:$K$9,2)*IF(ISNUMBER(H4152),H4152,1))</f>
        <v>3.3587962962962965E-2</v>
      </c>
      <c r="AG4152" s="293">
        <v>4151</v>
      </c>
      <c r="AH4152" s="94"/>
      <c r="AI4152" s="94"/>
    </row>
    <row r="4153" spans="1:36" s="3" customFormat="1" ht="12" customHeight="1" x14ac:dyDescent="0.25">
      <c r="A4153" s="534" t="s">
        <v>4089</v>
      </c>
      <c r="B4153" s="534" t="s">
        <v>3227</v>
      </c>
      <c r="C4153" s="534">
        <v>1.1000000000000001</v>
      </c>
      <c r="D4153" s="428" t="s">
        <v>102</v>
      </c>
      <c r="E4153" s="325" t="s">
        <v>101</v>
      </c>
      <c r="F4153" s="184">
        <v>39471</v>
      </c>
      <c r="G4153" s="184"/>
      <c r="H4153" s="185">
        <v>1</v>
      </c>
      <c r="I4153" s="185">
        <v>10</v>
      </c>
      <c r="J4153" s="901" t="s">
        <v>1796</v>
      </c>
      <c r="K4153" s="158" t="s">
        <v>5148</v>
      </c>
      <c r="L4153" s="158" t="s">
        <v>103</v>
      </c>
      <c r="M4153" s="158"/>
      <c r="N4153" s="158" t="s">
        <v>7078</v>
      </c>
      <c r="O4153" s="158"/>
      <c r="P4153" s="182" t="s">
        <v>461</v>
      </c>
      <c r="Q4153" s="158" t="s">
        <v>7076</v>
      </c>
      <c r="R4153" s="207" t="s">
        <v>74</v>
      </c>
      <c r="S4153" s="355"/>
      <c r="T4153" s="182" t="s">
        <v>3068</v>
      </c>
      <c r="U4153" s="182"/>
      <c r="V4153" s="182"/>
      <c r="W4153" s="325" t="s">
        <v>101</v>
      </c>
      <c r="X4153" s="657" t="s">
        <v>12362</v>
      </c>
      <c r="Y4153" s="361"/>
      <c r="Z4153" s="362"/>
      <c r="AA4153" s="362"/>
      <c r="AB4153" s="33">
        <f t="shared" ca="1" si="106"/>
        <v>0.74423568048156619</v>
      </c>
      <c r="AC4153" s="813"/>
      <c r="AD4153" s="826" t="s">
        <v>14584</v>
      </c>
      <c r="AE4153" s="949"/>
      <c r="AF4153" s="922">
        <f>IF(X4153=X4152,AF4152,0)+IF(ISNUMBER(I4153),IF(I4153&lt;1,I4153,I4153*VLOOKUP(J4153,Summary!$H$2:$I$9,2)),VLOOKUP(J4153,Summary!$J$2:$K$9,2)*IF(ISNUMBER(H4153),H4153,1))</f>
        <v>3.7060185185185189E-2</v>
      </c>
      <c r="AG4153" s="295">
        <v>4152</v>
      </c>
      <c r="AH4153" s="94"/>
      <c r="AI4153" s="94"/>
      <c r="AJ4153" s="1"/>
    </row>
    <row r="4154" spans="1:36" s="29" customFormat="1" ht="12" customHeight="1" x14ac:dyDescent="0.25">
      <c r="A4154" s="553" t="s">
        <v>4089</v>
      </c>
      <c r="B4154" s="554" t="s">
        <v>3227</v>
      </c>
      <c r="C4154" s="553">
        <v>15</v>
      </c>
      <c r="D4154" s="424" t="s">
        <v>4091</v>
      </c>
      <c r="E4154" s="319" t="s">
        <v>7435</v>
      </c>
      <c r="F4154" s="198">
        <v>39470</v>
      </c>
      <c r="G4154" s="198"/>
      <c r="H4154" s="199">
        <v>1</v>
      </c>
      <c r="I4154" s="791">
        <f>TIME(0,48, 6)</f>
        <v>3.3402777777777774E-2</v>
      </c>
      <c r="J4154" s="904" t="s">
        <v>1588</v>
      </c>
      <c r="K4154" s="200" t="s">
        <v>1503</v>
      </c>
      <c r="L4154" s="200" t="s">
        <v>1504</v>
      </c>
      <c r="M4154" s="200"/>
      <c r="N4154" s="200" t="s">
        <v>1644</v>
      </c>
      <c r="O4154" s="200" t="s">
        <v>1511</v>
      </c>
      <c r="P4154" s="197" t="s">
        <v>461</v>
      </c>
      <c r="Q4154" s="200" t="s">
        <v>3946</v>
      </c>
      <c r="R4154" s="201" t="s">
        <v>5276</v>
      </c>
      <c r="S4154" s="390"/>
      <c r="T4154" s="197" t="s">
        <v>3068</v>
      </c>
      <c r="U4154" s="197"/>
      <c r="V4154" s="197"/>
      <c r="W4154" s="319" t="s">
        <v>7435</v>
      </c>
      <c r="X4154" s="651" t="s">
        <v>12362</v>
      </c>
      <c r="Y4154" s="358" t="s">
        <v>6141</v>
      </c>
      <c r="Z4154" s="253">
        <v>2020</v>
      </c>
      <c r="AA4154" s="253"/>
      <c r="AB4154" s="35">
        <f t="shared" ca="1" si="106"/>
        <v>0.97493202355980568</v>
      </c>
      <c r="AC4154" s="820"/>
      <c r="AD4154" s="824" t="s">
        <v>14584</v>
      </c>
      <c r="AE4154" s="944"/>
      <c r="AF4154" s="925">
        <f>IF(X4154=X4153,AF4153,0)+IF(ISNUMBER(I4154),IF(I4154&lt;1,I4154,I4154*VLOOKUP(J4154,Summary!$H$2:$I$9,2)),VLOOKUP(J4154,Summary!$J$2:$K$9,2)*IF(ISNUMBER(H4154),H4154,1))</f>
        <v>7.0462962962962963E-2</v>
      </c>
      <c r="AG4154" s="293">
        <v>4153</v>
      </c>
      <c r="AH4154" s="94"/>
      <c r="AI4154" s="94"/>
      <c r="AJ4154" s="43"/>
    </row>
    <row r="4155" spans="1:36" s="29" customFormat="1" ht="12" customHeight="1" x14ac:dyDescent="0.25">
      <c r="A4155" s="534" t="s">
        <v>4089</v>
      </c>
      <c r="B4155" s="534" t="s">
        <v>3227</v>
      </c>
      <c r="C4155" s="534" t="s">
        <v>104</v>
      </c>
      <c r="D4155" s="428" t="s">
        <v>15450</v>
      </c>
      <c r="E4155" s="325" t="s">
        <v>105</v>
      </c>
      <c r="F4155" s="184">
        <v>40283</v>
      </c>
      <c r="G4155" s="184">
        <v>40353</v>
      </c>
      <c r="H4155" s="185">
        <v>2</v>
      </c>
      <c r="I4155" s="185">
        <v>22</v>
      </c>
      <c r="J4155" s="901" t="s">
        <v>1796</v>
      </c>
      <c r="K4155" s="158" t="s">
        <v>106</v>
      </c>
      <c r="L4155" s="158" t="s">
        <v>5723</v>
      </c>
      <c r="M4155" s="158"/>
      <c r="N4155" s="158" t="s">
        <v>7078</v>
      </c>
      <c r="O4155" s="158"/>
      <c r="P4155" s="182" t="s">
        <v>461</v>
      </c>
      <c r="Q4155" s="158" t="s">
        <v>7076</v>
      </c>
      <c r="R4155" s="207" t="s">
        <v>74</v>
      </c>
      <c r="S4155" s="355"/>
      <c r="T4155" s="182" t="s">
        <v>3068</v>
      </c>
      <c r="U4155" s="182"/>
      <c r="V4155" s="182"/>
      <c r="W4155" s="321"/>
      <c r="X4155" s="653" t="s">
        <v>12362</v>
      </c>
      <c r="Y4155" s="361"/>
      <c r="Z4155" s="362"/>
      <c r="AA4155" s="362"/>
      <c r="AB4155" s="33">
        <f t="shared" ca="1" si="106"/>
        <v>0.60105295504435141</v>
      </c>
      <c r="AC4155" s="813"/>
      <c r="AD4155" s="826" t="s">
        <v>14584</v>
      </c>
      <c r="AE4155" s="949"/>
      <c r="AF4155" s="922">
        <f>IF(X4155=X4154,AF4154,0)+IF(ISNUMBER(I4155),IF(I4155&lt;1,I4155,I4155*VLOOKUP(J4155,Summary!$H$2:$I$9,2)),VLOOKUP(J4155,Summary!$J$2:$K$9,2)*IF(ISNUMBER(H4155),H4155,1))</f>
        <v>7.8101851851851853E-2</v>
      </c>
      <c r="AG4155" s="295">
        <v>4154</v>
      </c>
      <c r="AH4155" s="94"/>
      <c r="AI4155" s="94"/>
      <c r="AJ4155" s="43"/>
    </row>
    <row r="4156" spans="1:36" s="22" customFormat="1" ht="12" customHeight="1" x14ac:dyDescent="0.25">
      <c r="A4156" s="553" t="s">
        <v>4089</v>
      </c>
      <c r="B4156" s="554" t="s">
        <v>3227</v>
      </c>
      <c r="C4156" s="553">
        <v>16</v>
      </c>
      <c r="D4156" s="424" t="s">
        <v>4092</v>
      </c>
      <c r="E4156" s="319" t="s">
        <v>7436</v>
      </c>
      <c r="F4156" s="198">
        <v>39477</v>
      </c>
      <c r="G4156" s="198"/>
      <c r="H4156" s="199">
        <v>1</v>
      </c>
      <c r="I4156" s="791">
        <f>TIME(0,50,25)</f>
        <v>3.5011574074074077E-2</v>
      </c>
      <c r="J4156" s="904" t="s">
        <v>1588</v>
      </c>
      <c r="K4156" s="200" t="s">
        <v>7907</v>
      </c>
      <c r="L4156" s="200" t="s">
        <v>3631</v>
      </c>
      <c r="M4156" s="200"/>
      <c r="N4156" s="200" t="s">
        <v>1644</v>
      </c>
      <c r="O4156" s="200" t="s">
        <v>1511</v>
      </c>
      <c r="P4156" s="197" t="s">
        <v>461</v>
      </c>
      <c r="Q4156" s="200" t="s">
        <v>3946</v>
      </c>
      <c r="R4156" s="201" t="s">
        <v>5276</v>
      </c>
      <c r="S4156" s="390"/>
      <c r="T4156" s="197" t="s">
        <v>3068</v>
      </c>
      <c r="U4156" s="197"/>
      <c r="V4156" s="197"/>
      <c r="W4156" s="319" t="s">
        <v>7436</v>
      </c>
      <c r="X4156" s="651" t="s">
        <v>12362</v>
      </c>
      <c r="Y4156" s="358" t="s">
        <v>6141</v>
      </c>
      <c r="Z4156" s="253">
        <v>2007</v>
      </c>
      <c r="AA4156" s="253"/>
      <c r="AB4156" s="35">
        <f t="shared" ca="1" si="106"/>
        <v>0.46504038181685026</v>
      </c>
      <c r="AC4156" s="820"/>
      <c r="AD4156" s="824" t="s">
        <v>16683</v>
      </c>
      <c r="AE4156" s="944"/>
      <c r="AF4156" s="925">
        <f>IF(X4156=X4155,AF4155,0)+IF(ISNUMBER(I4156),IF(I4156&lt;1,I4156,I4156*VLOOKUP(J4156,Summary!$H$2:$I$9,2)),VLOOKUP(J4156,Summary!$J$2:$K$9,2)*IF(ISNUMBER(H4156),H4156,1))</f>
        <v>0.11311342592592594</v>
      </c>
      <c r="AG4156" s="293">
        <v>4155</v>
      </c>
      <c r="AH4156" s="94"/>
      <c r="AI4156" s="94"/>
      <c r="AJ4156" s="1"/>
    </row>
    <row r="4157" spans="1:36" s="29" customFormat="1" ht="12" customHeight="1" x14ac:dyDescent="0.25">
      <c r="A4157" s="405" t="s">
        <v>4089</v>
      </c>
      <c r="B4157" s="596" t="s">
        <v>3227</v>
      </c>
      <c r="C4157" s="533">
        <v>1.01</v>
      </c>
      <c r="D4157" s="407" t="s">
        <v>10606</v>
      </c>
      <c r="E4157" s="315" t="s">
        <v>10609</v>
      </c>
      <c r="F4157" s="196">
        <v>42257</v>
      </c>
      <c r="G4157" s="196"/>
      <c r="H4157" s="170">
        <v>1</v>
      </c>
      <c r="I4157" s="747">
        <f>TIME(0,60,0)</f>
        <v>4.1666666666666664E-2</v>
      </c>
      <c r="J4157" s="899" t="s">
        <v>4706</v>
      </c>
      <c r="K4157" s="167" t="s">
        <v>4146</v>
      </c>
      <c r="L4157" s="167" t="s">
        <v>179</v>
      </c>
      <c r="M4157" s="167"/>
      <c r="N4157" s="167"/>
      <c r="O4157" s="167"/>
      <c r="P4157" s="168" t="s">
        <v>10637</v>
      </c>
      <c r="Q4157" s="167" t="s">
        <v>3947</v>
      </c>
      <c r="R4157" s="172" t="s">
        <v>10605</v>
      </c>
      <c r="S4157" s="388"/>
      <c r="T4157" s="168" t="s">
        <v>3068</v>
      </c>
      <c r="U4157" s="168"/>
      <c r="V4157" s="168"/>
      <c r="W4157" s="315" t="s">
        <v>10609</v>
      </c>
      <c r="X4157" s="647" t="s">
        <v>12362</v>
      </c>
      <c r="Y4157" s="352" t="s">
        <v>5643</v>
      </c>
      <c r="Z4157" s="353">
        <v>578</v>
      </c>
      <c r="AA4157" s="353">
        <v>3.5</v>
      </c>
      <c r="AB4157" s="31">
        <f t="shared" ca="1" si="106"/>
        <v>0.94377631478059676</v>
      </c>
      <c r="AC4157" s="810"/>
      <c r="AD4157" s="825" t="s">
        <v>14584</v>
      </c>
      <c r="AE4157" s="940"/>
      <c r="AF4157" s="920">
        <f>IF(X4157=X4156,AF4156,0)+IF(ISNUMBER(I4157),IF(I4157&lt;1,I4157,I4157*VLOOKUP(J4157,Summary!$H$2:$I$9,2)),VLOOKUP(J4157,Summary!$J$2:$K$9,2)*IF(ISNUMBER(H4157),H4157,1))</f>
        <v>0.15478009259259259</v>
      </c>
      <c r="AG4157" s="287">
        <v>4156</v>
      </c>
      <c r="AH4157" s="94"/>
      <c r="AI4157" s="94"/>
    </row>
    <row r="4158" spans="1:36" s="29" customFormat="1" ht="12" customHeight="1" x14ac:dyDescent="0.25">
      <c r="A4158" s="405" t="s">
        <v>4089</v>
      </c>
      <c r="B4158" s="596" t="s">
        <v>3227</v>
      </c>
      <c r="C4158" s="533">
        <v>1.02</v>
      </c>
      <c r="D4158" s="407" t="s">
        <v>10607</v>
      </c>
      <c r="E4158" s="315" t="s">
        <v>10610</v>
      </c>
      <c r="F4158" s="196">
        <v>42296</v>
      </c>
      <c r="G4158" s="196"/>
      <c r="H4158" s="170">
        <v>1</v>
      </c>
      <c r="I4158" s="747">
        <f>TIME(0,60,0)</f>
        <v>4.1666666666666664E-2</v>
      </c>
      <c r="J4158" s="899" t="s">
        <v>4706</v>
      </c>
      <c r="K4158" s="167" t="s">
        <v>1643</v>
      </c>
      <c r="L4158" s="167" t="s">
        <v>179</v>
      </c>
      <c r="M4158" s="167"/>
      <c r="N4158" s="167"/>
      <c r="O4158" s="167"/>
      <c r="P4158" s="168" t="s">
        <v>10636</v>
      </c>
      <c r="Q4158" s="167" t="s">
        <v>3947</v>
      </c>
      <c r="R4158" s="172" t="s">
        <v>10605</v>
      </c>
      <c r="S4158" s="388"/>
      <c r="T4158" s="168"/>
      <c r="U4158" s="168"/>
      <c r="V4158" s="168"/>
      <c r="W4158" s="315" t="s">
        <v>10610</v>
      </c>
      <c r="X4158" s="647" t="s">
        <v>12362</v>
      </c>
      <c r="Y4158" s="352" t="s">
        <v>5643</v>
      </c>
      <c r="Z4158" s="353">
        <v>10</v>
      </c>
      <c r="AA4158" s="353">
        <v>10</v>
      </c>
      <c r="AB4158" s="31">
        <f t="shared" ca="1" si="106"/>
        <v>0.56537651818203449</v>
      </c>
      <c r="AC4158" s="810"/>
      <c r="AD4158" s="825" t="s">
        <v>14584</v>
      </c>
      <c r="AE4158" s="940"/>
      <c r="AF4158" s="920">
        <f>IF(X4158=X4157,AF4157,0)+IF(ISNUMBER(I4158),IF(I4158&lt;1,I4158,I4158*VLOOKUP(J4158,Summary!$H$2:$I$9,2)),VLOOKUP(J4158,Summary!$J$2:$K$9,2)*IF(ISNUMBER(H4158),H4158,1))</f>
        <v>0.19644675925925925</v>
      </c>
      <c r="AG4158" s="287">
        <v>4157</v>
      </c>
      <c r="AH4158" s="94"/>
      <c r="AI4158" s="94"/>
      <c r="AJ4158" s="3"/>
    </row>
    <row r="4159" spans="1:36" s="45" customFormat="1" ht="12" customHeight="1" x14ac:dyDescent="0.3">
      <c r="A4159" s="405" t="s">
        <v>4089</v>
      </c>
      <c r="B4159" s="596" t="s">
        <v>3227</v>
      </c>
      <c r="C4159" s="533">
        <v>1.05</v>
      </c>
      <c r="D4159" s="407" t="s">
        <v>10608</v>
      </c>
      <c r="E4159" s="315" t="s">
        <v>10611</v>
      </c>
      <c r="F4159" s="196">
        <v>42387</v>
      </c>
      <c r="G4159" s="196"/>
      <c r="H4159" s="170">
        <v>1</v>
      </c>
      <c r="I4159" s="747">
        <f>TIME(0,60,0)</f>
        <v>4.1666666666666664E-2</v>
      </c>
      <c r="J4159" s="899" t="s">
        <v>4706</v>
      </c>
      <c r="K4159" s="167" t="s">
        <v>4146</v>
      </c>
      <c r="L4159" s="167" t="s">
        <v>10635</v>
      </c>
      <c r="M4159" s="167"/>
      <c r="N4159" s="167"/>
      <c r="O4159" s="167"/>
      <c r="P4159" s="168" t="s">
        <v>10634</v>
      </c>
      <c r="Q4159" s="167" t="s">
        <v>3947</v>
      </c>
      <c r="R4159" s="172" t="s">
        <v>10605</v>
      </c>
      <c r="S4159" s="388"/>
      <c r="T4159" s="168"/>
      <c r="U4159" s="168"/>
      <c r="V4159" s="168"/>
      <c r="W4159" s="315" t="s">
        <v>10611</v>
      </c>
      <c r="X4159" s="647" t="s">
        <v>12362</v>
      </c>
      <c r="Y4159" s="352" t="s">
        <v>5643</v>
      </c>
      <c r="Z4159" s="353">
        <v>329</v>
      </c>
      <c r="AA4159" s="353">
        <v>5</v>
      </c>
      <c r="AB4159" s="31">
        <f t="shared" ca="1" si="106"/>
        <v>0.93222251991502503</v>
      </c>
      <c r="AC4159" s="810"/>
      <c r="AD4159" s="825" t="s">
        <v>14584</v>
      </c>
      <c r="AE4159" s="940"/>
      <c r="AF4159" s="920">
        <f>IF(X4159=X4158,AF4158,0)+IF(ISNUMBER(I4159),IF(I4159&lt;1,I4159,I4159*VLOOKUP(J4159,Summary!$H$2:$I$9,2)),VLOOKUP(J4159,Summary!$J$2:$K$9,2)*IF(ISNUMBER(H4159),H4159,1))</f>
        <v>0.23811342592592591</v>
      </c>
      <c r="AG4159" s="287">
        <v>4158</v>
      </c>
      <c r="AH4159" s="94"/>
      <c r="AI4159" s="94"/>
      <c r="AJ4159" s="8"/>
    </row>
    <row r="4160" spans="1:36" s="1" customFormat="1" ht="12" customHeight="1" x14ac:dyDescent="0.25">
      <c r="A4160" s="474" t="s">
        <v>4089</v>
      </c>
      <c r="B4160" s="507" t="s">
        <v>3227</v>
      </c>
      <c r="C4160" s="474">
        <v>4</v>
      </c>
      <c r="D4160" s="417" t="s">
        <v>2703</v>
      </c>
      <c r="E4160" s="316" t="s">
        <v>2708</v>
      </c>
      <c r="F4160" s="195">
        <v>39513</v>
      </c>
      <c r="G4160" s="195"/>
      <c r="H4160" s="188" t="str">
        <f>IF(J4160="Book","n/a","")</f>
        <v>n/a</v>
      </c>
      <c r="I4160" s="188">
        <v>249</v>
      </c>
      <c r="J4160" s="902" t="s">
        <v>6868</v>
      </c>
      <c r="K4160" s="162" t="s">
        <v>4032</v>
      </c>
      <c r="L4160" s="162" t="str">
        <f>IF(J4160="Book","n/a","")</f>
        <v>n/a</v>
      </c>
      <c r="M4160" s="162"/>
      <c r="N4160" s="162"/>
      <c r="O4160" s="162"/>
      <c r="P4160" s="178" t="s">
        <v>8827</v>
      </c>
      <c r="Q4160" s="162" t="s">
        <v>3953</v>
      </c>
      <c r="R4160" s="189" t="s">
        <v>2719</v>
      </c>
      <c r="S4160" s="366"/>
      <c r="T4160" s="178" t="s">
        <v>3068</v>
      </c>
      <c r="U4160" s="178"/>
      <c r="V4160" s="178"/>
      <c r="W4160" s="316" t="s">
        <v>2708</v>
      </c>
      <c r="X4160" s="648" t="s">
        <v>12362</v>
      </c>
      <c r="Y4160" s="356"/>
      <c r="Z4160" s="272"/>
      <c r="AA4160" s="272"/>
      <c r="AB4160" s="34">
        <f t="shared" ca="1" si="106"/>
        <v>0.66639866252525803</v>
      </c>
      <c r="AC4160" s="814"/>
      <c r="AD4160" s="818" t="s">
        <v>14584</v>
      </c>
      <c r="AE4160" s="942"/>
      <c r="AF4160" s="923">
        <f>IF(X4160=X4159,AF4159,0)+IF(ISNUMBER(I4160),IF(I4160&lt;1,I4160,I4160*VLOOKUP(J4160,Summary!$H$2:$I$9,2)),VLOOKUP(J4160,Summary!$J$2:$K$9,2)*IF(ISNUMBER(H4160),H4160,1))</f>
        <v>0.4110300925925926</v>
      </c>
      <c r="AG4160" s="291">
        <v>4159</v>
      </c>
      <c r="AH4160" s="94"/>
      <c r="AI4160" s="94"/>
      <c r="AJ4160" s="3"/>
    </row>
    <row r="4161" spans="1:36" s="22" customFormat="1" ht="12" customHeight="1" x14ac:dyDescent="0.25">
      <c r="A4161" s="405" t="s">
        <v>4089</v>
      </c>
      <c r="B4161" s="596" t="s">
        <v>3227</v>
      </c>
      <c r="C4161" s="510">
        <v>2</v>
      </c>
      <c r="D4161" s="407" t="s">
        <v>806</v>
      </c>
      <c r="E4161" s="315" t="s">
        <v>807</v>
      </c>
      <c r="F4161" s="196">
        <v>39482</v>
      </c>
      <c r="G4161" s="196"/>
      <c r="H4161" s="170">
        <v>1</v>
      </c>
      <c r="I4161" s="746">
        <f>TIME(0,150,0)</f>
        <v>0.10416666666666667</v>
      </c>
      <c r="J4161" s="899" t="s">
        <v>4706</v>
      </c>
      <c r="K4161" s="167" t="s">
        <v>4132</v>
      </c>
      <c r="L4161" s="167"/>
      <c r="M4161" s="167"/>
      <c r="N4161" s="167"/>
      <c r="O4161" s="167"/>
      <c r="P4161" s="168" t="s">
        <v>8843</v>
      </c>
      <c r="Q4161" s="167" t="s">
        <v>3950</v>
      </c>
      <c r="R4161" s="172" t="s">
        <v>2710</v>
      </c>
      <c r="S4161" s="388"/>
      <c r="T4161" s="168" t="s">
        <v>3068</v>
      </c>
      <c r="U4161" s="168"/>
      <c r="V4161" s="168"/>
      <c r="W4161" s="315" t="s">
        <v>807</v>
      </c>
      <c r="X4161" s="647" t="s">
        <v>12362</v>
      </c>
      <c r="Y4161" s="352"/>
      <c r="Z4161" s="353"/>
      <c r="AA4161" s="353"/>
      <c r="AB4161" s="31">
        <f t="shared" ca="1" si="106"/>
        <v>7.1046742399264007E-2</v>
      </c>
      <c r="AC4161" s="810"/>
      <c r="AD4161" s="825" t="s">
        <v>14584</v>
      </c>
      <c r="AE4161" s="940"/>
      <c r="AF4161" s="920">
        <f>IF(X4161=X4160,AF4160,0)+IF(ISNUMBER(I4161),IF(I4161&lt;1,I4161,I4161*VLOOKUP(J4161,Summary!$H$2:$I$9,2)),VLOOKUP(J4161,Summary!$J$2:$K$9,2)*IF(ISNUMBER(H4161),H4161,1))</f>
        <v>0.51519675925925923</v>
      </c>
      <c r="AG4161" s="287">
        <v>4160</v>
      </c>
      <c r="AH4161" s="94"/>
      <c r="AI4161" s="94"/>
      <c r="AJ4161" s="1"/>
    </row>
    <row r="4162" spans="1:36" s="3" customFormat="1" ht="12" customHeight="1" x14ac:dyDescent="0.25">
      <c r="A4162" s="405" t="s">
        <v>4089</v>
      </c>
      <c r="B4162" s="596" t="s">
        <v>3227</v>
      </c>
      <c r="C4162" s="533">
        <v>2.0199999999999996</v>
      </c>
      <c r="D4162" s="407" t="s">
        <v>10613</v>
      </c>
      <c r="E4162" s="315" t="s">
        <v>10612</v>
      </c>
      <c r="F4162" s="196">
        <v>42465</v>
      </c>
      <c r="G4162" s="196"/>
      <c r="H4162" s="170">
        <v>1</v>
      </c>
      <c r="I4162" s="747">
        <f>TIME(0,60,0)</f>
        <v>4.1666666666666664E-2</v>
      </c>
      <c r="J4162" s="899" t="s">
        <v>4706</v>
      </c>
      <c r="K4162" s="167" t="s">
        <v>4146</v>
      </c>
      <c r="L4162" s="167" t="s">
        <v>179</v>
      </c>
      <c r="M4162" s="167"/>
      <c r="N4162" s="167"/>
      <c r="O4162" s="167"/>
      <c r="P4162" s="168" t="s">
        <v>10633</v>
      </c>
      <c r="Q4162" s="167" t="s">
        <v>3947</v>
      </c>
      <c r="R4162" s="172" t="s">
        <v>10605</v>
      </c>
      <c r="S4162" s="388"/>
      <c r="T4162" s="168"/>
      <c r="U4162" s="168"/>
      <c r="V4162" s="168"/>
      <c r="W4162" s="315" t="s">
        <v>10612</v>
      </c>
      <c r="X4162" s="647" t="s">
        <v>12362</v>
      </c>
      <c r="Y4162" s="352"/>
      <c r="Z4162" s="353"/>
      <c r="AA4162" s="353"/>
      <c r="AB4162" s="31">
        <f t="shared" ref="AB4162:AB4225" ca="1" si="107">RAND()</f>
        <v>4.9098481141330641E-2</v>
      </c>
      <c r="AC4162" s="810"/>
      <c r="AD4162" s="811"/>
      <c r="AE4162" s="940"/>
      <c r="AF4162" s="920">
        <f>IF(X4162=X4161,AF4161,0)+IF(ISNUMBER(I4162),IF(I4162&lt;1,I4162,I4162*VLOOKUP(J4162,Summary!$H$2:$I$9,2)),VLOOKUP(J4162,Summary!$J$2:$K$9,2)*IF(ISNUMBER(H4162),H4162,1))</f>
        <v>0.55686342592592586</v>
      </c>
      <c r="AG4162" s="287">
        <v>4161</v>
      </c>
      <c r="AH4162" s="94"/>
      <c r="AI4162" s="94"/>
    </row>
    <row r="4163" spans="1:36" s="29" customFormat="1" ht="12" customHeight="1" x14ac:dyDescent="0.25">
      <c r="A4163" s="405" t="s">
        <v>4089</v>
      </c>
      <c r="B4163" s="596" t="s">
        <v>3227</v>
      </c>
      <c r="C4163" s="533">
        <v>3.0499999999999989</v>
      </c>
      <c r="D4163" s="407" t="s">
        <v>13166</v>
      </c>
      <c r="E4163" s="315" t="s">
        <v>13171</v>
      </c>
      <c r="F4163" s="196">
        <v>42922</v>
      </c>
      <c r="G4163" s="196"/>
      <c r="H4163" s="170">
        <v>1</v>
      </c>
      <c r="I4163" s="747">
        <f>TIME(0,60,0)</f>
        <v>4.1666666666666664E-2</v>
      </c>
      <c r="J4163" s="899" t="s">
        <v>4706</v>
      </c>
      <c r="K4163" s="167" t="s">
        <v>1643</v>
      </c>
      <c r="L4163" s="167" t="s">
        <v>179</v>
      </c>
      <c r="M4163" s="167"/>
      <c r="N4163" s="167"/>
      <c r="O4163" s="167" t="s">
        <v>1643</v>
      </c>
      <c r="P4163" s="168" t="s">
        <v>13185</v>
      </c>
      <c r="Q4163" s="167" t="s">
        <v>3947</v>
      </c>
      <c r="R4163" s="172" t="s">
        <v>10605</v>
      </c>
      <c r="S4163" s="388"/>
      <c r="T4163" s="168"/>
      <c r="U4163" s="168"/>
      <c r="V4163" s="168"/>
      <c r="W4163" s="315" t="s">
        <v>13171</v>
      </c>
      <c r="X4163" s="647" t="s">
        <v>12362</v>
      </c>
      <c r="Y4163" s="352"/>
      <c r="Z4163" s="353"/>
      <c r="AA4163" s="353"/>
      <c r="AB4163" s="31">
        <f t="shared" ca="1" si="107"/>
        <v>6.1825770065078722E-2</v>
      </c>
      <c r="AC4163" s="810"/>
      <c r="AD4163" s="811"/>
      <c r="AE4163" s="940"/>
      <c r="AF4163" s="920">
        <f>IF(X4163=X4162,AF4162,0)+IF(ISNUMBER(I4163),IF(I4163&lt;1,I4163,I4163*VLOOKUP(J4163,Summary!$H$2:$I$9,2)),VLOOKUP(J4163,Summary!$J$2:$K$9,2)*IF(ISNUMBER(H4163),H4163,1))</f>
        <v>0.59853009259259249</v>
      </c>
      <c r="AG4163" s="287">
        <v>4162</v>
      </c>
      <c r="AH4163" s="94"/>
      <c r="AI4163" s="94"/>
      <c r="AJ4163" s="3"/>
    </row>
    <row r="4164" spans="1:36" s="1" customFormat="1" ht="12" customHeight="1" x14ac:dyDescent="0.25">
      <c r="A4164" s="553" t="s">
        <v>4089</v>
      </c>
      <c r="B4164" s="554" t="s">
        <v>3227</v>
      </c>
      <c r="C4164" s="553">
        <v>17</v>
      </c>
      <c r="D4164" s="424" t="s">
        <v>4093</v>
      </c>
      <c r="E4164" s="319" t="s">
        <v>7437</v>
      </c>
      <c r="F4164" s="198">
        <v>39484</v>
      </c>
      <c r="G4164" s="198"/>
      <c r="H4164" s="199">
        <v>1</v>
      </c>
      <c r="I4164" s="791">
        <f>TIME(0,50,11)</f>
        <v>3.4849537037037033E-2</v>
      </c>
      <c r="J4164" s="904" t="s">
        <v>1588</v>
      </c>
      <c r="K4164" s="200" t="s">
        <v>4068</v>
      </c>
      <c r="L4164" s="200" t="s">
        <v>1504</v>
      </c>
      <c r="M4164" s="200"/>
      <c r="N4164" s="200" t="s">
        <v>1644</v>
      </c>
      <c r="O4164" s="200" t="s">
        <v>1511</v>
      </c>
      <c r="P4164" s="197" t="s">
        <v>461</v>
      </c>
      <c r="Q4164" s="200" t="s">
        <v>3946</v>
      </c>
      <c r="R4164" s="201" t="s">
        <v>5276</v>
      </c>
      <c r="S4164" s="390"/>
      <c r="T4164" s="197" t="s">
        <v>3068</v>
      </c>
      <c r="U4164" s="197"/>
      <c r="V4164" s="197"/>
      <c r="W4164" s="319" t="s">
        <v>7437</v>
      </c>
      <c r="X4164" s="651" t="s">
        <v>12362</v>
      </c>
      <c r="Y4164" s="358" t="s">
        <v>6141</v>
      </c>
      <c r="Z4164" s="253">
        <v>2016</v>
      </c>
      <c r="AA4164" s="253"/>
      <c r="AB4164" s="35">
        <f t="shared" ca="1" si="107"/>
        <v>0.40955581807983799</v>
      </c>
      <c r="AC4164" s="820"/>
      <c r="AD4164" s="824" t="s">
        <v>14584</v>
      </c>
      <c r="AE4164" s="944"/>
      <c r="AF4164" s="925">
        <f>IF(X4164=X4163,AF4163,0)+IF(ISNUMBER(I4164),IF(I4164&lt;1,I4164,I4164*VLOOKUP(J4164,Summary!$H$2:$I$9,2)),VLOOKUP(J4164,Summary!$J$2:$K$9,2)*IF(ISNUMBER(H4164),H4164,1))</f>
        <v>0.63337962962962957</v>
      </c>
      <c r="AG4164" s="293">
        <v>4163</v>
      </c>
      <c r="AH4164" s="94"/>
      <c r="AI4164" s="94"/>
      <c r="AJ4164" s="3"/>
    </row>
    <row r="4165" spans="1:36" s="29" customFormat="1" ht="12" customHeight="1" x14ac:dyDescent="0.25">
      <c r="A4165" s="408" t="s">
        <v>4089</v>
      </c>
      <c r="B4165" s="408" t="s">
        <v>3227</v>
      </c>
      <c r="C4165" s="408">
        <v>25.1</v>
      </c>
      <c r="D4165" s="434" t="s">
        <v>75</v>
      </c>
      <c r="E4165" s="324" t="s">
        <v>76</v>
      </c>
      <c r="F4165" s="175">
        <v>40528</v>
      </c>
      <c r="G4165" s="175"/>
      <c r="H4165" s="176">
        <v>1</v>
      </c>
      <c r="I4165" s="176">
        <v>6</v>
      </c>
      <c r="J4165" s="900" t="s">
        <v>2755</v>
      </c>
      <c r="K4165" s="157" t="s">
        <v>1503</v>
      </c>
      <c r="L4165" s="157" t="s">
        <v>3551</v>
      </c>
      <c r="M4165" s="157"/>
      <c r="N4165" s="157" t="s">
        <v>7078</v>
      </c>
      <c r="O4165" s="157"/>
      <c r="P4165" s="173" t="s">
        <v>461</v>
      </c>
      <c r="Q4165" s="157" t="s">
        <v>7076</v>
      </c>
      <c r="R4165" s="179" t="s">
        <v>7077</v>
      </c>
      <c r="S4165" s="354"/>
      <c r="T4165" s="173" t="s">
        <v>3068</v>
      </c>
      <c r="U4165" s="173"/>
      <c r="V4165" s="173"/>
      <c r="W4165" s="324" t="s">
        <v>76</v>
      </c>
      <c r="X4165" s="656" t="s">
        <v>12362</v>
      </c>
      <c r="Y4165" s="363"/>
      <c r="Z4165" s="364"/>
      <c r="AA4165" s="364"/>
      <c r="AB4165" s="32">
        <f t="shared" ca="1" si="107"/>
        <v>0.12866914555622688</v>
      </c>
      <c r="AC4165" s="812"/>
      <c r="AD4165" s="763"/>
      <c r="AE4165" s="951"/>
      <c r="AF4165" s="921">
        <f>IF(X4165=X4164,AF4164,0)+IF(ISNUMBER(I4165),IF(I4165&lt;1,I4165,I4165*VLOOKUP(J4165,Summary!$H$2:$I$9,2)),VLOOKUP(J4165,Summary!$J$2:$K$9,2)*IF(ISNUMBER(H4165),H4165,1))</f>
        <v>0.63754629629629622</v>
      </c>
      <c r="AG4165" s="288">
        <v>4164</v>
      </c>
      <c r="AH4165" s="94"/>
      <c r="AI4165" s="94"/>
      <c r="AJ4165" s="1"/>
    </row>
    <row r="4166" spans="1:36" s="29" customFormat="1" ht="12" customHeight="1" x14ac:dyDescent="0.25">
      <c r="A4166" s="405" t="s">
        <v>4089</v>
      </c>
      <c r="B4166" s="596" t="s">
        <v>3227</v>
      </c>
      <c r="C4166" s="533">
        <v>3.0399999999999991</v>
      </c>
      <c r="D4166" s="407" t="s">
        <v>13165</v>
      </c>
      <c r="E4166" s="315" t="s">
        <v>13170</v>
      </c>
      <c r="F4166" s="196">
        <v>42893</v>
      </c>
      <c r="G4166" s="196"/>
      <c r="H4166" s="170">
        <v>1</v>
      </c>
      <c r="I4166" s="747">
        <f>TIME(0,60,0)</f>
        <v>4.1666666666666664E-2</v>
      </c>
      <c r="J4166" s="899" t="s">
        <v>4706</v>
      </c>
      <c r="K4166" s="167" t="s">
        <v>179</v>
      </c>
      <c r="L4166" s="167" t="s">
        <v>179</v>
      </c>
      <c r="M4166" s="167"/>
      <c r="N4166" s="167"/>
      <c r="O4166" s="167" t="s">
        <v>1643</v>
      </c>
      <c r="P4166" s="168" t="s">
        <v>13184</v>
      </c>
      <c r="Q4166" s="167" t="s">
        <v>3947</v>
      </c>
      <c r="R4166" s="172" t="s">
        <v>10605</v>
      </c>
      <c r="S4166" s="388"/>
      <c r="T4166" s="168"/>
      <c r="U4166" s="168"/>
      <c r="V4166" s="168"/>
      <c r="W4166" s="315" t="s">
        <v>13170</v>
      </c>
      <c r="X4166" s="647" t="s">
        <v>12362</v>
      </c>
      <c r="Y4166" s="352"/>
      <c r="Z4166" s="353"/>
      <c r="AA4166" s="353"/>
      <c r="AB4166" s="31">
        <f t="shared" ca="1" si="107"/>
        <v>1.5305251386385166E-2</v>
      </c>
      <c r="AC4166" s="810"/>
      <c r="AD4166" s="811"/>
      <c r="AE4166" s="940"/>
      <c r="AF4166" s="920">
        <f>IF(X4166=X4165,AF4165,0)+IF(ISNUMBER(I4166),IF(I4166&lt;1,I4166,I4166*VLOOKUP(J4166,Summary!$H$2:$I$9,2)),VLOOKUP(J4166,Summary!$J$2:$K$9,2)*IF(ISNUMBER(H4166),H4166,1))</f>
        <v>0.67921296296296285</v>
      </c>
      <c r="AG4166" s="287">
        <v>4165</v>
      </c>
      <c r="AH4166" s="94"/>
      <c r="AI4166" s="94"/>
    </row>
    <row r="4167" spans="1:36" s="29" customFormat="1" ht="12" customHeight="1" x14ac:dyDescent="0.25">
      <c r="A4167" s="405" t="s">
        <v>4089</v>
      </c>
      <c r="B4167" s="596" t="s">
        <v>3227</v>
      </c>
      <c r="C4167" s="510">
        <v>3</v>
      </c>
      <c r="D4167" s="407" t="s">
        <v>7523</v>
      </c>
      <c r="E4167" s="315" t="s">
        <v>7521</v>
      </c>
      <c r="F4167" s="196">
        <v>39940</v>
      </c>
      <c r="G4167" s="196"/>
      <c r="H4167" s="170">
        <v>1</v>
      </c>
      <c r="I4167" s="746">
        <f>TIME(0,150,0)</f>
        <v>0.10416666666666667</v>
      </c>
      <c r="J4167" s="899" t="s">
        <v>4706</v>
      </c>
      <c r="K4167" s="167" t="s">
        <v>4425</v>
      </c>
      <c r="L4167" s="167"/>
      <c r="M4167" s="167"/>
      <c r="N4167" s="167"/>
      <c r="O4167" s="167"/>
      <c r="P4167" s="168" t="s">
        <v>8844</v>
      </c>
      <c r="Q4167" s="167" t="s">
        <v>3950</v>
      </c>
      <c r="R4167" s="172" t="s">
        <v>2710</v>
      </c>
      <c r="S4167" s="388"/>
      <c r="T4167" s="168" t="s">
        <v>3068</v>
      </c>
      <c r="U4167" s="168"/>
      <c r="V4167" s="168"/>
      <c r="W4167" s="315" t="s">
        <v>7521</v>
      </c>
      <c r="X4167" s="647" t="s">
        <v>12362</v>
      </c>
      <c r="Y4167" s="352"/>
      <c r="Z4167" s="353"/>
      <c r="AA4167" s="353"/>
      <c r="AB4167" s="31">
        <f t="shared" ca="1" si="107"/>
        <v>0.85952595566556778</v>
      </c>
      <c r="AC4167" s="810"/>
      <c r="AD4167" s="849" t="s">
        <v>14584</v>
      </c>
      <c r="AE4167" s="940"/>
      <c r="AF4167" s="920">
        <f>IF(X4167=X4166,AF4166,0)+IF(ISNUMBER(I4167),IF(I4167&lt;1,I4167,I4167*VLOOKUP(J4167,Summary!$H$2:$I$9,2)),VLOOKUP(J4167,Summary!$J$2:$K$9,2)*IF(ISNUMBER(H4167),H4167,1))</f>
        <v>0.78337962962962948</v>
      </c>
      <c r="AG4167" s="287">
        <v>4166</v>
      </c>
      <c r="AH4167" s="94"/>
      <c r="AI4167" s="94"/>
      <c r="AJ4167" s="1"/>
    </row>
    <row r="4168" spans="1:36" s="29" customFormat="1" ht="12" customHeight="1" x14ac:dyDescent="0.25">
      <c r="A4168" s="553" t="s">
        <v>4089</v>
      </c>
      <c r="B4168" s="554" t="s">
        <v>3227</v>
      </c>
      <c r="C4168" s="553">
        <v>18</v>
      </c>
      <c r="D4168" s="424" t="s">
        <v>4094</v>
      </c>
      <c r="E4168" s="319" t="s">
        <v>7438</v>
      </c>
      <c r="F4168" s="198">
        <v>39491</v>
      </c>
      <c r="G4168" s="198"/>
      <c r="H4168" s="199">
        <v>1</v>
      </c>
      <c r="I4168" s="791">
        <f>TIME(0,50,32)</f>
        <v>3.5092592592592592E-2</v>
      </c>
      <c r="J4168" s="904" t="s">
        <v>1588</v>
      </c>
      <c r="K4168" s="200" t="s">
        <v>4068</v>
      </c>
      <c r="L4168" s="200" t="s">
        <v>3631</v>
      </c>
      <c r="M4168" s="200"/>
      <c r="N4168" s="200" t="s">
        <v>1644</v>
      </c>
      <c r="O4168" s="200" t="s">
        <v>1511</v>
      </c>
      <c r="P4168" s="197" t="s">
        <v>461</v>
      </c>
      <c r="Q4168" s="200" t="s">
        <v>3946</v>
      </c>
      <c r="R4168" s="201" t="s">
        <v>5276</v>
      </c>
      <c r="S4168" s="390"/>
      <c r="T4168" s="197" t="s">
        <v>3068</v>
      </c>
      <c r="U4168" s="197"/>
      <c r="V4168" s="197"/>
      <c r="W4168" s="319" t="s">
        <v>7438</v>
      </c>
      <c r="X4168" s="651" t="s">
        <v>12362</v>
      </c>
      <c r="Y4168" s="358" t="s">
        <v>6141</v>
      </c>
      <c r="Z4168" s="253">
        <v>2008</v>
      </c>
      <c r="AA4168" s="253"/>
      <c r="AB4168" s="35">
        <f t="shared" ca="1" si="107"/>
        <v>0.8710709485892294</v>
      </c>
      <c r="AC4168" s="820"/>
      <c r="AD4168" s="824" t="s">
        <v>16430</v>
      </c>
      <c r="AE4168" s="944"/>
      <c r="AF4168" s="925">
        <f>IF(X4168=X4167,AF4167,0)+IF(ISNUMBER(I4168),IF(I4168&lt;1,I4168,I4168*VLOOKUP(J4168,Summary!$H$2:$I$9,2)),VLOOKUP(J4168,Summary!$J$2:$K$9,2)*IF(ISNUMBER(H4168),H4168,1))</f>
        <v>0.81847222222222205</v>
      </c>
      <c r="AG4168" s="293">
        <v>4167</v>
      </c>
      <c r="AH4168" s="94"/>
      <c r="AI4168" s="94"/>
    </row>
    <row r="4169" spans="1:36" s="29" customFormat="1" ht="12" customHeight="1" x14ac:dyDescent="0.25">
      <c r="A4169" s="474" t="s">
        <v>4089</v>
      </c>
      <c r="B4169" s="507" t="s">
        <v>3227</v>
      </c>
      <c r="C4169" s="474">
        <v>5</v>
      </c>
      <c r="D4169" s="417" t="s">
        <v>2704</v>
      </c>
      <c r="E4169" s="316" t="s">
        <v>2709</v>
      </c>
      <c r="F4169" s="195">
        <v>39513</v>
      </c>
      <c r="G4169" s="195"/>
      <c r="H4169" s="188" t="str">
        <f>IF(J4169="Book","n/a","")</f>
        <v>n/a</v>
      </c>
      <c r="I4169" s="188">
        <v>256</v>
      </c>
      <c r="J4169" s="902" t="s">
        <v>6868</v>
      </c>
      <c r="K4169" s="162" t="s">
        <v>4146</v>
      </c>
      <c r="L4169" s="162" t="str">
        <f>IF(J4169="Book","n/a","")</f>
        <v>n/a</v>
      </c>
      <c r="M4169" s="162"/>
      <c r="N4169" s="162"/>
      <c r="O4169" s="162"/>
      <c r="P4169" s="178" t="s">
        <v>8828</v>
      </c>
      <c r="Q4169" s="162" t="s">
        <v>3953</v>
      </c>
      <c r="R4169" s="189" t="s">
        <v>2719</v>
      </c>
      <c r="S4169" s="366"/>
      <c r="T4169" s="178" t="s">
        <v>3068</v>
      </c>
      <c r="U4169" s="178"/>
      <c r="V4169" s="178"/>
      <c r="W4169" s="316" t="s">
        <v>2709</v>
      </c>
      <c r="X4169" s="648" t="s">
        <v>12362</v>
      </c>
      <c r="Y4169" s="356"/>
      <c r="Z4169" s="272"/>
      <c r="AA4169" s="272"/>
      <c r="AB4169" s="34">
        <f t="shared" ca="1" si="107"/>
        <v>0.96046501585813526</v>
      </c>
      <c r="AC4169" s="814"/>
      <c r="AD4169" s="818" t="s">
        <v>16764</v>
      </c>
      <c r="AE4169" s="942"/>
      <c r="AF4169" s="923">
        <f>IF(X4169=X4168,AF4168,0)+IF(ISNUMBER(I4169),IF(I4169&lt;1,I4169,I4169*VLOOKUP(J4169,Summary!$H$2:$I$9,2)),VLOOKUP(J4169,Summary!$J$2:$K$9,2)*IF(ISNUMBER(H4169),H4169,1))</f>
        <v>0.99624999999999986</v>
      </c>
      <c r="AG4169" s="291">
        <v>4168</v>
      </c>
      <c r="AH4169" s="94"/>
      <c r="AI4169" s="94"/>
      <c r="AJ4169" s="3"/>
    </row>
    <row r="4170" spans="1:36" s="22" customFormat="1" ht="12" customHeight="1" x14ac:dyDescent="0.25">
      <c r="A4170" s="474" t="s">
        <v>4089</v>
      </c>
      <c r="B4170" s="507" t="s">
        <v>3227</v>
      </c>
      <c r="C4170" s="474">
        <v>6</v>
      </c>
      <c r="D4170" s="417" t="s">
        <v>2705</v>
      </c>
      <c r="E4170" s="316" t="s">
        <v>800</v>
      </c>
      <c r="F4170" s="195">
        <v>39513</v>
      </c>
      <c r="G4170" s="195"/>
      <c r="H4170" s="188" t="str">
        <f>IF(J4170="Book","n/a","")</f>
        <v>n/a</v>
      </c>
      <c r="I4170" s="188">
        <v>256</v>
      </c>
      <c r="J4170" s="902" t="s">
        <v>6868</v>
      </c>
      <c r="K4170" s="162" t="s">
        <v>7375</v>
      </c>
      <c r="L4170" s="162" t="str">
        <f>IF(J4170="Book","n/a","")</f>
        <v>n/a</v>
      </c>
      <c r="M4170" s="162"/>
      <c r="N4170" s="162"/>
      <c r="O4170" s="162"/>
      <c r="P4170" s="178" t="s">
        <v>8829</v>
      </c>
      <c r="Q4170" s="162" t="s">
        <v>3953</v>
      </c>
      <c r="R4170" s="189" t="s">
        <v>2719</v>
      </c>
      <c r="S4170" s="366"/>
      <c r="T4170" s="178" t="s">
        <v>3068</v>
      </c>
      <c r="U4170" s="178"/>
      <c r="V4170" s="178"/>
      <c r="W4170" s="316" t="s">
        <v>800</v>
      </c>
      <c r="X4170" s="648" t="s">
        <v>12362</v>
      </c>
      <c r="Y4170" s="356"/>
      <c r="Z4170" s="272"/>
      <c r="AA4170" s="272"/>
      <c r="AB4170" s="34">
        <f t="shared" ca="1" si="107"/>
        <v>0.78991905401339391</v>
      </c>
      <c r="AC4170" s="814"/>
      <c r="AD4170" s="818" t="s">
        <v>16731</v>
      </c>
      <c r="AE4170" s="942"/>
      <c r="AF4170" s="923">
        <f>IF(X4170=X4169,AF4169,0)+IF(ISNUMBER(I4170),IF(I4170&lt;1,I4170,I4170*VLOOKUP(J4170,Summary!$H$2:$I$9,2)),VLOOKUP(J4170,Summary!$J$2:$K$9,2)*IF(ISNUMBER(H4170),H4170,1))</f>
        <v>1.1740277777777777</v>
      </c>
      <c r="AG4170" s="291">
        <v>4169</v>
      </c>
      <c r="AH4170" s="94"/>
      <c r="AI4170" s="94"/>
    </row>
    <row r="4171" spans="1:36" s="22" customFormat="1" ht="12" customHeight="1" x14ac:dyDescent="0.2">
      <c r="A4171" s="534" t="s">
        <v>4089</v>
      </c>
      <c r="B4171" s="534" t="s">
        <v>3227</v>
      </c>
      <c r="C4171" s="534">
        <v>3.1</v>
      </c>
      <c r="D4171" s="428" t="s">
        <v>120</v>
      </c>
      <c r="E4171" s="325" t="s">
        <v>121</v>
      </c>
      <c r="F4171" s="184">
        <v>39527</v>
      </c>
      <c r="G4171" s="184"/>
      <c r="H4171" s="185">
        <v>1</v>
      </c>
      <c r="I4171" s="185">
        <v>11</v>
      </c>
      <c r="J4171" s="901" t="s">
        <v>1796</v>
      </c>
      <c r="K4171" s="158" t="s">
        <v>3543</v>
      </c>
      <c r="L4171" s="158" t="s">
        <v>3543</v>
      </c>
      <c r="M4171" s="158" t="s">
        <v>674</v>
      </c>
      <c r="N4171" s="158" t="s">
        <v>7078</v>
      </c>
      <c r="O4171" s="158"/>
      <c r="P4171" s="182" t="s">
        <v>461</v>
      </c>
      <c r="Q4171" s="158" t="s">
        <v>7076</v>
      </c>
      <c r="R4171" s="207" t="s">
        <v>74</v>
      </c>
      <c r="S4171" s="355"/>
      <c r="T4171" s="182" t="s">
        <v>3068</v>
      </c>
      <c r="U4171" s="182"/>
      <c r="V4171" s="182"/>
      <c r="W4171" s="325" t="s">
        <v>121</v>
      </c>
      <c r="X4171" s="657" t="s">
        <v>12362</v>
      </c>
      <c r="Y4171" s="361"/>
      <c r="Z4171" s="362"/>
      <c r="AA4171" s="362"/>
      <c r="AB4171" s="33">
        <f t="shared" ca="1" si="107"/>
        <v>0.96004387137715697</v>
      </c>
      <c r="AC4171" s="813"/>
      <c r="AD4171" s="826" t="s">
        <v>14584</v>
      </c>
      <c r="AE4171" s="949"/>
      <c r="AF4171" s="922">
        <f>IF(X4171=X4170,AF4170,0)+IF(ISNUMBER(I4171),IF(I4171&lt;1,I4171,I4171*VLOOKUP(J4171,Summary!$H$2:$I$9,2)),VLOOKUP(J4171,Summary!$J$2:$K$9,2)*IF(ISNUMBER(H4171),H4171,1))</f>
        <v>1.177847222222222</v>
      </c>
      <c r="AG4171" s="295">
        <v>4170</v>
      </c>
      <c r="AH4171" s="94"/>
      <c r="AI4171" s="94"/>
    </row>
    <row r="4172" spans="1:36" s="1" customFormat="1" ht="12" customHeight="1" x14ac:dyDescent="0.25">
      <c r="A4172" s="408" t="s">
        <v>4089</v>
      </c>
      <c r="B4172" s="408" t="s">
        <v>3227</v>
      </c>
      <c r="C4172" s="408">
        <v>8.1999999999999993</v>
      </c>
      <c r="D4172" s="434" t="s">
        <v>15439</v>
      </c>
      <c r="E4172" s="324" t="s">
        <v>679</v>
      </c>
      <c r="F4172" s="175">
        <v>39674</v>
      </c>
      <c r="G4172" s="175" t="s">
        <v>681</v>
      </c>
      <c r="H4172" s="176">
        <v>3</v>
      </c>
      <c r="I4172" s="176">
        <v>19</v>
      </c>
      <c r="J4172" s="900" t="s">
        <v>2755</v>
      </c>
      <c r="K4172" s="157" t="s">
        <v>4032</v>
      </c>
      <c r="L4172" s="157" t="s">
        <v>7080</v>
      </c>
      <c r="M4172" s="157"/>
      <c r="N4172" s="157" t="s">
        <v>7078</v>
      </c>
      <c r="O4172" s="157"/>
      <c r="P4172" s="173" t="s">
        <v>461</v>
      </c>
      <c r="Q4172" s="157" t="s">
        <v>7076</v>
      </c>
      <c r="R4172" s="179" t="s">
        <v>7077</v>
      </c>
      <c r="S4172" s="354"/>
      <c r="T4172" s="173" t="s">
        <v>3068</v>
      </c>
      <c r="U4172" s="173"/>
      <c r="V4172" s="173"/>
      <c r="W4172" s="342"/>
      <c r="X4172" s="677" t="s">
        <v>12362</v>
      </c>
      <c r="Y4172" s="363"/>
      <c r="Z4172" s="364"/>
      <c r="AA4172" s="364"/>
      <c r="AB4172" s="32">
        <f t="shared" ca="1" si="107"/>
        <v>0.50058048642038167</v>
      </c>
      <c r="AC4172" s="812"/>
      <c r="AD4172" s="763"/>
      <c r="AE4172" s="951"/>
      <c r="AF4172" s="921">
        <f>IF(X4172=X4171,AF4171,0)+IF(ISNUMBER(I4172),IF(I4172&lt;1,I4172,I4172*VLOOKUP(J4172,Summary!$H$2:$I$9,2)),VLOOKUP(J4172,Summary!$J$2:$K$9,2)*IF(ISNUMBER(H4172),H4172,1))</f>
        <v>1.1910416666666666</v>
      </c>
      <c r="AG4172" s="288">
        <v>4171</v>
      </c>
      <c r="AH4172" s="94"/>
      <c r="AI4172" s="94"/>
      <c r="AJ4172" s="3"/>
    </row>
    <row r="4173" spans="1:36" s="29" customFormat="1" ht="12" customHeight="1" x14ac:dyDescent="0.25">
      <c r="A4173" s="764" t="s">
        <v>4089</v>
      </c>
      <c r="B4173" s="764" t="s">
        <v>3227</v>
      </c>
      <c r="C4173" s="764">
        <v>4.0999999999999996</v>
      </c>
      <c r="D4173" s="493" t="s">
        <v>15452</v>
      </c>
      <c r="E4173" s="333" t="s">
        <v>675</v>
      </c>
      <c r="F4173" s="233">
        <v>39555</v>
      </c>
      <c r="G4173" s="233">
        <v>39813</v>
      </c>
      <c r="H4173" s="226">
        <v>10</v>
      </c>
      <c r="I4173" s="226">
        <v>110</v>
      </c>
      <c r="J4173" s="907" t="s">
        <v>1796</v>
      </c>
      <c r="K4173" s="165" t="s">
        <v>676</v>
      </c>
      <c r="L4173" s="165" t="s">
        <v>677</v>
      </c>
      <c r="M4173" s="165" t="s">
        <v>678</v>
      </c>
      <c r="N4173" s="165" t="s">
        <v>7078</v>
      </c>
      <c r="O4173" s="165"/>
      <c r="P4173" s="225" t="s">
        <v>461</v>
      </c>
      <c r="Q4173" s="165" t="s">
        <v>7076</v>
      </c>
      <c r="R4173" s="234" t="s">
        <v>74</v>
      </c>
      <c r="S4173" s="369"/>
      <c r="T4173" s="225" t="s">
        <v>3068</v>
      </c>
      <c r="U4173" s="225"/>
      <c r="V4173" s="225"/>
      <c r="W4173" s="338"/>
      <c r="X4173" s="670" t="s">
        <v>12362</v>
      </c>
      <c r="Y4173" s="372"/>
      <c r="Z4173" s="269"/>
      <c r="AA4173" s="269"/>
      <c r="AB4173" s="38">
        <f t="shared" ca="1" si="107"/>
        <v>0.87312456595015353</v>
      </c>
      <c r="AC4173" s="830"/>
      <c r="AD4173" s="850" t="s">
        <v>16684</v>
      </c>
      <c r="AE4173" s="953" t="s">
        <v>12543</v>
      </c>
      <c r="AF4173" s="928">
        <f>IF(X4173=X4172,AF4172,0)+IF(ISNUMBER(I4173),IF(I4173&lt;1,I4173,I4173*VLOOKUP(J4173,Summary!$H$2:$I$9,2)),VLOOKUP(J4173,Summary!$J$2:$K$9,2)*IF(ISNUMBER(H4173),H4173,1))</f>
        <v>1.229236111111111</v>
      </c>
      <c r="AG4173" s="300">
        <v>4172</v>
      </c>
      <c r="AH4173" s="94"/>
      <c r="AI4173" s="94"/>
      <c r="AJ4173" s="3"/>
    </row>
    <row r="4174" spans="1:36" s="1" customFormat="1" ht="12" customHeight="1" x14ac:dyDescent="0.25">
      <c r="A4174" s="408" t="s">
        <v>4089</v>
      </c>
      <c r="B4174" s="408" t="s">
        <v>3227</v>
      </c>
      <c r="C4174" s="408">
        <v>2008.1</v>
      </c>
      <c r="D4174" s="434" t="s">
        <v>684</v>
      </c>
      <c r="E4174" s="324" t="s">
        <v>680</v>
      </c>
      <c r="F4174" s="174">
        <v>39661</v>
      </c>
      <c r="G4174" s="175"/>
      <c r="H4174" s="176">
        <v>1</v>
      </c>
      <c r="I4174" s="176">
        <v>6</v>
      </c>
      <c r="J4174" s="900" t="s">
        <v>2755</v>
      </c>
      <c r="K4174" s="157" t="s">
        <v>804</v>
      </c>
      <c r="L4174" s="157"/>
      <c r="M4174" s="157"/>
      <c r="N4174" s="157" t="s">
        <v>7078</v>
      </c>
      <c r="O4174" s="157"/>
      <c r="P4174" s="173" t="s">
        <v>683</v>
      </c>
      <c r="Q4174" s="157" t="s">
        <v>7076</v>
      </c>
      <c r="R4174" s="179" t="s">
        <v>7077</v>
      </c>
      <c r="S4174" s="354"/>
      <c r="T4174" s="173" t="s">
        <v>3068</v>
      </c>
      <c r="U4174" s="173"/>
      <c r="V4174" s="173"/>
      <c r="W4174" s="324" t="s">
        <v>680</v>
      </c>
      <c r="X4174" s="656" t="s">
        <v>12362</v>
      </c>
      <c r="Y4174" s="363"/>
      <c r="Z4174" s="364"/>
      <c r="AA4174" s="364"/>
      <c r="AB4174" s="32">
        <f t="shared" ca="1" si="107"/>
        <v>0.87211713341516239</v>
      </c>
      <c r="AC4174" s="812"/>
      <c r="AD4174" s="763"/>
      <c r="AE4174" s="951"/>
      <c r="AF4174" s="921">
        <f>IF(X4174=X4173,AF4173,0)+IF(ISNUMBER(I4174),IF(I4174&lt;1,I4174,I4174*VLOOKUP(J4174,Summary!$H$2:$I$9,2)),VLOOKUP(J4174,Summary!$J$2:$K$9,2)*IF(ISNUMBER(H4174),H4174,1))</f>
        <v>1.2334027777777776</v>
      </c>
      <c r="AG4174" s="288">
        <v>4173</v>
      </c>
      <c r="AH4174" s="94"/>
      <c r="AI4174" s="94"/>
      <c r="AJ4174" s="3"/>
    </row>
    <row r="4175" spans="1:36" s="1" customFormat="1" ht="12" customHeight="1" x14ac:dyDescent="0.25">
      <c r="A4175" s="534" t="s">
        <v>4089</v>
      </c>
      <c r="B4175" s="534" t="s">
        <v>3227</v>
      </c>
      <c r="C4175" s="534"/>
      <c r="D4175" s="428" t="s">
        <v>7663</v>
      </c>
      <c r="E4175" s="325" t="s">
        <v>7661</v>
      </c>
      <c r="F4175" s="183">
        <v>39845</v>
      </c>
      <c r="G4175" s="184"/>
      <c r="H4175" s="185">
        <v>1</v>
      </c>
      <c r="I4175" s="185">
        <v>3</v>
      </c>
      <c r="J4175" s="901" t="s">
        <v>1796</v>
      </c>
      <c r="K4175" s="158" t="s">
        <v>1644</v>
      </c>
      <c r="L4175" s="158" t="s">
        <v>3551</v>
      </c>
      <c r="M4175" s="158"/>
      <c r="N4175" s="158" t="s">
        <v>7078</v>
      </c>
      <c r="O4175" s="158"/>
      <c r="P4175" s="182" t="s">
        <v>461</v>
      </c>
      <c r="Q4175" s="158" t="s">
        <v>7662</v>
      </c>
      <c r="R4175" s="207" t="s">
        <v>7896</v>
      </c>
      <c r="S4175" s="355"/>
      <c r="T4175" s="182" t="s">
        <v>3068</v>
      </c>
      <c r="U4175" s="182"/>
      <c r="V4175" s="182"/>
      <c r="W4175" s="325" t="s">
        <v>7661</v>
      </c>
      <c r="X4175" s="657" t="s">
        <v>12362</v>
      </c>
      <c r="Y4175" s="361"/>
      <c r="Z4175" s="362"/>
      <c r="AA4175" s="362"/>
      <c r="AB4175" s="33">
        <f t="shared" ca="1" si="107"/>
        <v>0.20213482425004936</v>
      </c>
      <c r="AC4175" s="813"/>
      <c r="AD4175" s="211" t="s">
        <v>14926</v>
      </c>
      <c r="AE4175" s="875"/>
      <c r="AF4175" s="922">
        <f>IF(X4175=X4174,AF4174,0)+IF(ISNUMBER(I4175),IF(I4175&lt;1,I4175,I4175*VLOOKUP(J4175,Summary!$H$2:$I$9,2)),VLOOKUP(J4175,Summary!$J$2:$K$9,2)*IF(ISNUMBER(H4175),H4175,1))</f>
        <v>1.2344444444444442</v>
      </c>
      <c r="AG4175" s="290">
        <v>4174</v>
      </c>
      <c r="AH4175" s="94"/>
      <c r="AI4175" s="94"/>
      <c r="AJ4175" s="22"/>
    </row>
    <row r="4176" spans="1:36" s="29" customFormat="1" ht="12" customHeight="1" x14ac:dyDescent="0.25">
      <c r="A4176" s="553" t="s">
        <v>4089</v>
      </c>
      <c r="B4176" s="554" t="s">
        <v>3227</v>
      </c>
      <c r="C4176" s="553">
        <v>19</v>
      </c>
      <c r="D4176" s="424" t="s">
        <v>4095</v>
      </c>
      <c r="E4176" s="319" t="s">
        <v>2683</v>
      </c>
      <c r="F4176" s="198">
        <v>39491</v>
      </c>
      <c r="G4176" s="198"/>
      <c r="H4176" s="199">
        <v>1</v>
      </c>
      <c r="I4176" s="791">
        <f>TIME(0,46,20)</f>
        <v>3.2175925925925927E-2</v>
      </c>
      <c r="J4176" s="904" t="s">
        <v>1588</v>
      </c>
      <c r="K4176" s="200" t="s">
        <v>2691</v>
      </c>
      <c r="L4176" s="200" t="s">
        <v>3452</v>
      </c>
      <c r="M4176" s="200"/>
      <c r="N4176" s="200" t="s">
        <v>1644</v>
      </c>
      <c r="O4176" s="200" t="s">
        <v>1511</v>
      </c>
      <c r="P4176" s="197" t="s">
        <v>461</v>
      </c>
      <c r="Q4176" s="200" t="s">
        <v>3946</v>
      </c>
      <c r="R4176" s="201" t="s">
        <v>5276</v>
      </c>
      <c r="S4176" s="390" t="s">
        <v>3073</v>
      </c>
      <c r="T4176" s="197" t="s">
        <v>3068</v>
      </c>
      <c r="U4176" s="197"/>
      <c r="V4176" s="197"/>
      <c r="W4176" s="319" t="s">
        <v>2683</v>
      </c>
      <c r="X4176" s="651" t="s">
        <v>12362</v>
      </c>
      <c r="Y4176" s="358" t="s">
        <v>6141</v>
      </c>
      <c r="Z4176" s="253">
        <v>2017</v>
      </c>
      <c r="AA4176" s="253"/>
      <c r="AB4176" s="35">
        <f t="shared" ca="1" si="107"/>
        <v>0.17492251313735774</v>
      </c>
      <c r="AC4176" s="820"/>
      <c r="AD4176" s="824" t="s">
        <v>14584</v>
      </c>
      <c r="AE4176" s="944"/>
      <c r="AF4176" s="925">
        <f>IF(X4176=X4175,AF4175,0)+IF(ISNUMBER(I4176),IF(I4176&lt;1,I4176,I4176*VLOOKUP(J4176,Summary!$H$2:$I$9,2)),VLOOKUP(J4176,Summary!$J$2:$K$9,2)*IF(ISNUMBER(H4176),H4176,1))</f>
        <v>1.2666203703703702</v>
      </c>
      <c r="AG4176" s="293">
        <v>4175</v>
      </c>
      <c r="AH4176" s="94"/>
      <c r="AI4176" s="94"/>
      <c r="AJ4176" s="57"/>
    </row>
    <row r="4177" spans="1:36" s="29" customFormat="1" ht="12" customHeight="1" x14ac:dyDescent="0.25">
      <c r="A4177" s="553" t="s">
        <v>15928</v>
      </c>
      <c r="B4177" s="554" t="s">
        <v>3227</v>
      </c>
      <c r="C4177" s="553">
        <v>20</v>
      </c>
      <c r="D4177" s="424" t="s">
        <v>4096</v>
      </c>
      <c r="E4177" s="319" t="s">
        <v>2684</v>
      </c>
      <c r="F4177" s="198">
        <v>39498</v>
      </c>
      <c r="G4177" s="198"/>
      <c r="H4177" s="199">
        <v>1</v>
      </c>
      <c r="I4177" s="791">
        <f>TIME(0,48,13)</f>
        <v>3.3483796296296296E-2</v>
      </c>
      <c r="J4177" s="904" t="s">
        <v>1588</v>
      </c>
      <c r="K4177" s="200" t="s">
        <v>6948</v>
      </c>
      <c r="L4177" s="200" t="s">
        <v>3631</v>
      </c>
      <c r="M4177" s="200"/>
      <c r="N4177" s="200" t="s">
        <v>1644</v>
      </c>
      <c r="O4177" s="200" t="s">
        <v>1511</v>
      </c>
      <c r="P4177" s="197" t="s">
        <v>461</v>
      </c>
      <c r="Q4177" s="200" t="s">
        <v>3946</v>
      </c>
      <c r="R4177" s="201" t="s">
        <v>5276</v>
      </c>
      <c r="S4177" s="390" t="s">
        <v>3073</v>
      </c>
      <c r="T4177" s="197" t="s">
        <v>3068</v>
      </c>
      <c r="U4177" s="197"/>
      <c r="V4177" s="197"/>
      <c r="W4177" s="319" t="s">
        <v>2684</v>
      </c>
      <c r="X4177" s="651" t="s">
        <v>14557</v>
      </c>
      <c r="Y4177" s="358" t="s">
        <v>6141</v>
      </c>
      <c r="Z4177" s="253">
        <v>2022</v>
      </c>
      <c r="AA4177" s="253"/>
      <c r="AB4177" s="35">
        <f t="shared" ca="1" si="107"/>
        <v>0.69302886094902716</v>
      </c>
      <c r="AC4177" s="820"/>
      <c r="AD4177" s="824" t="s">
        <v>14584</v>
      </c>
      <c r="AE4177" s="944"/>
      <c r="AF4177" s="925">
        <f>IF(X4177=X4176,AF4176,0)+IF(ISNUMBER(I4177),IF(I4177&lt;1,I4177,I4177*VLOOKUP(J4177,Summary!$H$2:$I$9,2)),VLOOKUP(J4177,Summary!$J$2:$K$9,2)*IF(ISNUMBER(H4177),H4177,1))</f>
        <v>3.3483796296296296E-2</v>
      </c>
      <c r="AG4177" s="293">
        <v>4176</v>
      </c>
      <c r="AH4177" s="94"/>
      <c r="AI4177" s="94"/>
    </row>
    <row r="4178" spans="1:36" s="1" customFormat="1" ht="12" customHeight="1" x14ac:dyDescent="0.25">
      <c r="A4178" s="553" t="s">
        <v>15928</v>
      </c>
      <c r="B4178" s="554" t="s">
        <v>3227</v>
      </c>
      <c r="C4178" s="553">
        <v>21</v>
      </c>
      <c r="D4178" s="424" t="s">
        <v>6941</v>
      </c>
      <c r="E4178" s="319" t="s">
        <v>2685</v>
      </c>
      <c r="F4178" s="198">
        <v>39505</v>
      </c>
      <c r="G4178" s="198"/>
      <c r="H4178" s="199">
        <v>1</v>
      </c>
      <c r="I4178" s="791">
        <f>TIME(0,47,14)</f>
        <v>3.2800925925925928E-2</v>
      </c>
      <c r="J4178" s="904" t="s">
        <v>1588</v>
      </c>
      <c r="K4178" s="200" t="s">
        <v>4425</v>
      </c>
      <c r="L4178" s="200" t="s">
        <v>3631</v>
      </c>
      <c r="M4178" s="200"/>
      <c r="N4178" s="200" t="s">
        <v>1644</v>
      </c>
      <c r="O4178" s="200" t="s">
        <v>1511</v>
      </c>
      <c r="P4178" s="197" t="s">
        <v>461</v>
      </c>
      <c r="Q4178" s="200" t="s">
        <v>3946</v>
      </c>
      <c r="R4178" s="201" t="s">
        <v>5276</v>
      </c>
      <c r="S4178" s="390" t="s">
        <v>3073</v>
      </c>
      <c r="T4178" s="197" t="s">
        <v>3068</v>
      </c>
      <c r="U4178" s="197"/>
      <c r="V4178" s="197"/>
      <c r="W4178" s="319" t="s">
        <v>2685</v>
      </c>
      <c r="X4178" s="651" t="s">
        <v>14557</v>
      </c>
      <c r="Y4178" s="358" t="s">
        <v>6141</v>
      </c>
      <c r="Z4178" s="253">
        <v>2010</v>
      </c>
      <c r="AA4178" s="253"/>
      <c r="AB4178" s="35">
        <f t="shared" ca="1" si="107"/>
        <v>0.88726183032241845</v>
      </c>
      <c r="AC4178" s="820"/>
      <c r="AD4178" s="824" t="s">
        <v>14584</v>
      </c>
      <c r="AE4178" s="944"/>
      <c r="AF4178" s="925">
        <f>IF(X4178=X4177,AF4177,0)+IF(ISNUMBER(I4178),IF(I4178&lt;1,I4178,I4178*VLOOKUP(J4178,Summary!$H$2:$I$9,2)),VLOOKUP(J4178,Summary!$J$2:$K$9,2)*IF(ISNUMBER(H4178),H4178,1))</f>
        <v>6.6284722222222231E-2</v>
      </c>
      <c r="AG4178" s="293">
        <v>4177</v>
      </c>
      <c r="AH4178" s="94"/>
      <c r="AI4178" s="94"/>
      <c r="AJ4178" s="29"/>
    </row>
    <row r="4179" spans="1:36" s="1" customFormat="1" ht="12" customHeight="1" x14ac:dyDescent="0.25">
      <c r="A4179" s="474" t="s">
        <v>15928</v>
      </c>
      <c r="B4179" s="507" t="s">
        <v>3227</v>
      </c>
      <c r="C4179" s="474">
        <v>7</v>
      </c>
      <c r="D4179" s="417" t="s">
        <v>2706</v>
      </c>
      <c r="E4179" s="316" t="s">
        <v>801</v>
      </c>
      <c r="F4179" s="195">
        <v>39737</v>
      </c>
      <c r="G4179" s="195"/>
      <c r="H4179" s="188" t="str">
        <f>IF(J4179="Book","n/a","")</f>
        <v>n/a</v>
      </c>
      <c r="I4179" s="188">
        <v>256</v>
      </c>
      <c r="J4179" s="902" t="s">
        <v>6868</v>
      </c>
      <c r="K4179" s="162" t="s">
        <v>4551</v>
      </c>
      <c r="L4179" s="162" t="str">
        <f>IF(J4179="Book","n/a","")</f>
        <v>n/a</v>
      </c>
      <c r="M4179" s="162"/>
      <c r="N4179" s="162"/>
      <c r="O4179" s="162"/>
      <c r="P4179" s="178" t="s">
        <v>8830</v>
      </c>
      <c r="Q4179" s="162" t="s">
        <v>3953</v>
      </c>
      <c r="R4179" s="189" t="s">
        <v>2719</v>
      </c>
      <c r="S4179" s="366"/>
      <c r="T4179" s="178" t="s">
        <v>3068</v>
      </c>
      <c r="U4179" s="178"/>
      <c r="V4179" s="178"/>
      <c r="W4179" s="316" t="s">
        <v>801</v>
      </c>
      <c r="X4179" s="648" t="s">
        <v>14557</v>
      </c>
      <c r="Y4179" s="356"/>
      <c r="Z4179" s="272">
        <v>133</v>
      </c>
      <c r="AA4179" s="272">
        <v>4.5</v>
      </c>
      <c r="AB4179" s="34">
        <f t="shared" ca="1" si="107"/>
        <v>0.48335000075512102</v>
      </c>
      <c r="AC4179" s="814"/>
      <c r="AD4179" s="818" t="s">
        <v>14927</v>
      </c>
      <c r="AE4179" s="942" t="s">
        <v>15883</v>
      </c>
      <c r="AF4179" s="923">
        <f>IF(X4179=X4178,AF4178,0)+IF(ISNUMBER(I4179),IF(I4179&lt;1,I4179,I4179*VLOOKUP(J4179,Summary!$H$2:$I$9,2)),VLOOKUP(J4179,Summary!$J$2:$K$9,2)*IF(ISNUMBER(H4179),H4179,1))</f>
        <v>0.24406250000000002</v>
      </c>
      <c r="AG4179" s="291">
        <v>4178</v>
      </c>
      <c r="AH4179" s="94"/>
      <c r="AI4179" s="94"/>
      <c r="AJ4179" s="29"/>
    </row>
    <row r="4180" spans="1:36" s="1" customFormat="1" ht="12" customHeight="1" x14ac:dyDescent="0.25">
      <c r="A4180" s="405" t="s">
        <v>15928</v>
      </c>
      <c r="B4180" s="596" t="s">
        <v>3227</v>
      </c>
      <c r="C4180" s="533">
        <v>4.0599999999999996</v>
      </c>
      <c r="D4180" s="407" t="s">
        <v>15002</v>
      </c>
      <c r="E4180" s="315" t="s">
        <v>15003</v>
      </c>
      <c r="F4180" s="196">
        <v>43321</v>
      </c>
      <c r="G4180" s="196"/>
      <c r="H4180" s="170">
        <v>1</v>
      </c>
      <c r="I4180" s="747">
        <f>TIME(0,60,0)</f>
        <v>4.1666666666666664E-2</v>
      </c>
      <c r="J4180" s="899" t="s">
        <v>4706</v>
      </c>
      <c r="K4180" s="167" t="s">
        <v>1643</v>
      </c>
      <c r="L4180" s="167" t="s">
        <v>179</v>
      </c>
      <c r="M4180" s="167"/>
      <c r="N4180" s="167" t="s">
        <v>4146</v>
      </c>
      <c r="O4180" s="167" t="s">
        <v>1643</v>
      </c>
      <c r="P4180" s="168" t="s">
        <v>15005</v>
      </c>
      <c r="Q4180" s="167" t="s">
        <v>3947</v>
      </c>
      <c r="R4180" s="172" t="s">
        <v>10605</v>
      </c>
      <c r="S4180" s="388"/>
      <c r="T4180" s="168"/>
      <c r="U4180" s="168"/>
      <c r="V4180" s="168"/>
      <c r="W4180" s="315" t="s">
        <v>15003</v>
      </c>
      <c r="X4180" s="647" t="s">
        <v>14557</v>
      </c>
      <c r="Y4180" s="352"/>
      <c r="Z4180" s="353"/>
      <c r="AA4180" s="353"/>
      <c r="AB4180" s="31">
        <f t="shared" ca="1" si="107"/>
        <v>0.51981446740366144</v>
      </c>
      <c r="AC4180" s="810"/>
      <c r="AD4180" s="811"/>
      <c r="AE4180" s="940"/>
      <c r="AF4180" s="920">
        <f>IF(X4180=X4179,AF4179,0)+IF(ISNUMBER(I4180),IF(I4180&lt;1,I4180,I4180*VLOOKUP(J4180,Summary!$H$2:$I$9,2)),VLOOKUP(J4180,Summary!$J$2:$K$9,2)*IF(ISNUMBER(H4180),H4180,1))</f>
        <v>0.2857291666666667</v>
      </c>
      <c r="AG4180" s="287">
        <v>4179</v>
      </c>
      <c r="AH4180" s="94"/>
      <c r="AI4180" s="94"/>
      <c r="AJ4180" s="29"/>
    </row>
    <row r="4181" spans="1:36" s="29" customFormat="1" ht="12" customHeight="1" x14ac:dyDescent="0.25">
      <c r="A4181" s="408" t="s">
        <v>15928</v>
      </c>
      <c r="B4181" s="408" t="s">
        <v>3227</v>
      </c>
      <c r="C4181" s="408">
        <v>2008.2</v>
      </c>
      <c r="D4181" s="434" t="s">
        <v>687</v>
      </c>
      <c r="E4181" s="324" t="s">
        <v>685</v>
      </c>
      <c r="F4181" s="174">
        <v>39661</v>
      </c>
      <c r="G4181" s="175"/>
      <c r="H4181" s="176">
        <v>1</v>
      </c>
      <c r="I4181" s="176">
        <v>5</v>
      </c>
      <c r="J4181" s="900" t="s">
        <v>2755</v>
      </c>
      <c r="K4181" s="157" t="s">
        <v>4146</v>
      </c>
      <c r="L4181" s="157"/>
      <c r="M4181" s="157"/>
      <c r="N4181" s="157" t="s">
        <v>7078</v>
      </c>
      <c r="O4181" s="157"/>
      <c r="P4181" s="173" t="s">
        <v>683</v>
      </c>
      <c r="Q4181" s="157" t="s">
        <v>7076</v>
      </c>
      <c r="R4181" s="179" t="s">
        <v>7077</v>
      </c>
      <c r="S4181" s="354"/>
      <c r="T4181" s="173" t="s">
        <v>3068</v>
      </c>
      <c r="U4181" s="173"/>
      <c r="V4181" s="173"/>
      <c r="W4181" s="324" t="s">
        <v>685</v>
      </c>
      <c r="X4181" s="656" t="s">
        <v>14557</v>
      </c>
      <c r="Y4181" s="363"/>
      <c r="Z4181" s="364"/>
      <c r="AA4181" s="364"/>
      <c r="AB4181" s="32">
        <f t="shared" ca="1" si="107"/>
        <v>0.39088199971885218</v>
      </c>
      <c r="AC4181" s="812"/>
      <c r="AD4181" s="763"/>
      <c r="AE4181" s="951"/>
      <c r="AF4181" s="921">
        <f>IF(X4181=X4180,AF4180,0)+IF(ISNUMBER(I4181),IF(I4181&lt;1,I4181,I4181*VLOOKUP(J4181,Summary!$H$2:$I$9,2)),VLOOKUP(J4181,Summary!$J$2:$K$9,2)*IF(ISNUMBER(H4181),H4181,1))</f>
        <v>0.28920138888888891</v>
      </c>
      <c r="AG4181" s="288">
        <v>4180</v>
      </c>
      <c r="AH4181" s="94"/>
      <c r="AI4181" s="94"/>
      <c r="AJ4181" s="1"/>
    </row>
    <row r="4182" spans="1:36" s="29" customFormat="1" ht="12" customHeight="1" x14ac:dyDescent="0.25">
      <c r="A4182" s="408" t="s">
        <v>15928</v>
      </c>
      <c r="B4182" s="408" t="s">
        <v>3227</v>
      </c>
      <c r="C4182" s="408">
        <v>2008.3</v>
      </c>
      <c r="D4182" s="434" t="s">
        <v>688</v>
      </c>
      <c r="E4182" s="324" t="s">
        <v>686</v>
      </c>
      <c r="F4182" s="174">
        <v>39661</v>
      </c>
      <c r="G4182" s="175"/>
      <c r="H4182" s="176">
        <v>1</v>
      </c>
      <c r="I4182" s="176">
        <v>6</v>
      </c>
      <c r="J4182" s="900" t="s">
        <v>2755</v>
      </c>
      <c r="K4182" s="157" t="s">
        <v>175</v>
      </c>
      <c r="L4182" s="157"/>
      <c r="M4182" s="157"/>
      <c r="N4182" s="157" t="s">
        <v>7078</v>
      </c>
      <c r="O4182" s="157"/>
      <c r="P4182" s="173" t="s">
        <v>683</v>
      </c>
      <c r="Q4182" s="157" t="s">
        <v>7076</v>
      </c>
      <c r="R4182" s="179" t="s">
        <v>7077</v>
      </c>
      <c r="S4182" s="354"/>
      <c r="T4182" s="173" t="s">
        <v>3068</v>
      </c>
      <c r="U4182" s="173"/>
      <c r="V4182" s="173"/>
      <c r="W4182" s="324" t="s">
        <v>686</v>
      </c>
      <c r="X4182" s="656" t="s">
        <v>14557</v>
      </c>
      <c r="Y4182" s="363"/>
      <c r="Z4182" s="364"/>
      <c r="AA4182" s="364"/>
      <c r="AB4182" s="32">
        <f t="shared" ca="1" si="107"/>
        <v>0.10935343343130621</v>
      </c>
      <c r="AC4182" s="812"/>
      <c r="AD4182" s="763"/>
      <c r="AE4182" s="951"/>
      <c r="AF4182" s="921">
        <f>IF(X4182=X4181,AF4181,0)+IF(ISNUMBER(I4182),IF(I4182&lt;1,I4182,I4182*VLOOKUP(J4182,Summary!$H$2:$I$9,2)),VLOOKUP(J4182,Summary!$J$2:$K$9,2)*IF(ISNUMBER(H4182),H4182,1))</f>
        <v>0.29336805555555556</v>
      </c>
      <c r="AG4182" s="288">
        <v>4181</v>
      </c>
      <c r="AH4182" s="94"/>
      <c r="AI4182" s="94"/>
    </row>
    <row r="4183" spans="1:36" s="3" customFormat="1" ht="12" customHeight="1" x14ac:dyDescent="0.25">
      <c r="A4183" s="408" t="s">
        <v>15928</v>
      </c>
      <c r="B4183" s="408" t="s">
        <v>3227</v>
      </c>
      <c r="C4183" s="408">
        <v>11.2</v>
      </c>
      <c r="D4183" s="434" t="s">
        <v>15440</v>
      </c>
      <c r="E4183" s="324" t="s">
        <v>682</v>
      </c>
      <c r="F4183" s="175">
        <v>39758</v>
      </c>
      <c r="G4183" s="175">
        <v>39813</v>
      </c>
      <c r="H4183" s="176">
        <v>3</v>
      </c>
      <c r="I4183" s="176">
        <v>21</v>
      </c>
      <c r="J4183" s="900" t="s">
        <v>2755</v>
      </c>
      <c r="K4183" s="157" t="s">
        <v>4146</v>
      </c>
      <c r="L4183" s="157" t="s">
        <v>7080</v>
      </c>
      <c r="M4183" s="157"/>
      <c r="N4183" s="157" t="s">
        <v>7078</v>
      </c>
      <c r="O4183" s="157"/>
      <c r="P4183" s="173" t="s">
        <v>461</v>
      </c>
      <c r="Q4183" s="157" t="s">
        <v>7076</v>
      </c>
      <c r="R4183" s="179" t="s">
        <v>7077</v>
      </c>
      <c r="S4183" s="354"/>
      <c r="T4183" s="173" t="s">
        <v>3068</v>
      </c>
      <c r="U4183" s="173"/>
      <c r="V4183" s="173"/>
      <c r="W4183" s="342"/>
      <c r="X4183" s="677" t="s">
        <v>14557</v>
      </c>
      <c r="Y4183" s="363"/>
      <c r="Z4183" s="364"/>
      <c r="AA4183" s="364"/>
      <c r="AB4183" s="32">
        <f t="shared" ca="1" si="107"/>
        <v>0.70346043751931342</v>
      </c>
      <c r="AC4183" s="812"/>
      <c r="AD4183" s="763"/>
      <c r="AE4183" s="951"/>
      <c r="AF4183" s="921">
        <f>IF(X4183=X4182,AF4182,0)+IF(ISNUMBER(I4183),IF(I4183&lt;1,I4183,I4183*VLOOKUP(J4183,Summary!$H$2:$I$9,2)),VLOOKUP(J4183,Summary!$J$2:$K$9,2)*IF(ISNUMBER(H4183),H4183,1))</f>
        <v>0.3079513888888889</v>
      </c>
      <c r="AG4183" s="288">
        <v>4182</v>
      </c>
      <c r="AH4183" s="94"/>
      <c r="AI4183" s="94"/>
    </row>
    <row r="4184" spans="1:36" s="45" customFormat="1" ht="12" customHeight="1" x14ac:dyDescent="0.3">
      <c r="A4184" s="553" t="s">
        <v>15928</v>
      </c>
      <c r="B4184" s="554" t="s">
        <v>3227</v>
      </c>
      <c r="C4184" s="553">
        <v>22</v>
      </c>
      <c r="D4184" s="424" t="s">
        <v>6942</v>
      </c>
      <c r="E4184" s="319" t="s">
        <v>2686</v>
      </c>
      <c r="F4184" s="198">
        <v>39512</v>
      </c>
      <c r="G4184" s="198"/>
      <c r="H4184" s="199">
        <v>1</v>
      </c>
      <c r="I4184" s="791">
        <f>TIME(0,46,13)</f>
        <v>3.2094907407407412E-2</v>
      </c>
      <c r="J4184" s="904" t="s">
        <v>1588</v>
      </c>
      <c r="K4184" s="200" t="s">
        <v>4152</v>
      </c>
      <c r="L4184" s="200" t="s">
        <v>3452</v>
      </c>
      <c r="M4184" s="200"/>
      <c r="N4184" s="200" t="s">
        <v>1644</v>
      </c>
      <c r="O4184" s="200" t="s">
        <v>1511</v>
      </c>
      <c r="P4184" s="197" t="s">
        <v>461</v>
      </c>
      <c r="Q4184" s="200" t="s">
        <v>3946</v>
      </c>
      <c r="R4184" s="201" t="s">
        <v>5276</v>
      </c>
      <c r="S4184" s="390"/>
      <c r="T4184" s="197" t="s">
        <v>3068</v>
      </c>
      <c r="U4184" s="197"/>
      <c r="V4184" s="197"/>
      <c r="W4184" s="319" t="s">
        <v>2686</v>
      </c>
      <c r="X4184" s="651" t="s">
        <v>14557</v>
      </c>
      <c r="Y4184" s="358" t="s">
        <v>6141</v>
      </c>
      <c r="Z4184" s="253">
        <v>2014</v>
      </c>
      <c r="AA4184" s="253"/>
      <c r="AB4184" s="35">
        <f t="shared" ca="1" si="107"/>
        <v>0.73678420376093667</v>
      </c>
      <c r="AC4184" s="820"/>
      <c r="AD4184" s="824" t="s">
        <v>14584</v>
      </c>
      <c r="AE4184" s="944"/>
      <c r="AF4184" s="925">
        <f>IF(X4184=X4183,AF4183,0)+IF(ISNUMBER(I4184),IF(I4184&lt;1,I4184,I4184*VLOOKUP(J4184,Summary!$H$2:$I$9,2)),VLOOKUP(J4184,Summary!$J$2:$K$9,2)*IF(ISNUMBER(H4184),H4184,1))</f>
        <v>0.34004629629629629</v>
      </c>
      <c r="AG4184" s="293">
        <v>4183</v>
      </c>
      <c r="AH4184" s="94"/>
      <c r="AI4184" s="94"/>
    </row>
    <row r="4185" spans="1:36" s="29" customFormat="1" ht="12" customHeight="1" x14ac:dyDescent="0.25">
      <c r="A4185" s="474" t="s">
        <v>15928</v>
      </c>
      <c r="B4185" s="507" t="s">
        <v>3227</v>
      </c>
      <c r="C4185" s="474">
        <v>8</v>
      </c>
      <c r="D4185" s="417" t="s">
        <v>2707</v>
      </c>
      <c r="E4185" s="316" t="s">
        <v>802</v>
      </c>
      <c r="F4185" s="195">
        <v>39737</v>
      </c>
      <c r="G4185" s="195"/>
      <c r="H4185" s="188" t="str">
        <f>IF(J4185="Book","n/a","")</f>
        <v>n/a</v>
      </c>
      <c r="I4185" s="188">
        <v>251</v>
      </c>
      <c r="J4185" s="902" t="s">
        <v>6868</v>
      </c>
      <c r="K4185" s="162" t="s">
        <v>4152</v>
      </c>
      <c r="L4185" s="162" t="str">
        <f>IF(J4185="Book","n/a","")</f>
        <v>n/a</v>
      </c>
      <c r="M4185" s="162"/>
      <c r="N4185" s="162"/>
      <c r="O4185" s="162"/>
      <c r="P4185" s="178" t="s">
        <v>8831</v>
      </c>
      <c r="Q4185" s="162" t="s">
        <v>3953</v>
      </c>
      <c r="R4185" s="189" t="s">
        <v>2719</v>
      </c>
      <c r="S4185" s="366"/>
      <c r="T4185" s="178" t="s">
        <v>3068</v>
      </c>
      <c r="U4185" s="178"/>
      <c r="V4185" s="178"/>
      <c r="W4185" s="316" t="s">
        <v>802</v>
      </c>
      <c r="X4185" s="648" t="s">
        <v>14557</v>
      </c>
      <c r="Y4185" s="356"/>
      <c r="Z4185" s="272"/>
      <c r="AA4185" s="272"/>
      <c r="AB4185" s="34">
        <f t="shared" ca="1" si="107"/>
        <v>0.39536414030968092</v>
      </c>
      <c r="AC4185" s="814"/>
      <c r="AD4185" s="815" t="s">
        <v>14923</v>
      </c>
      <c r="AE4185" s="942"/>
      <c r="AF4185" s="923">
        <f>IF(X4185=X4184,AF4184,0)+IF(ISNUMBER(I4185),IF(I4185&lt;1,I4185,I4185*VLOOKUP(J4185,Summary!$H$2:$I$9,2)),VLOOKUP(J4185,Summary!$J$2:$K$9,2)*IF(ISNUMBER(H4185),H4185,1))</f>
        <v>0.51435185185185184</v>
      </c>
      <c r="AG4185" s="291">
        <v>4184</v>
      </c>
      <c r="AH4185" s="94"/>
      <c r="AI4185" s="94"/>
    </row>
    <row r="4186" spans="1:36" s="29" customFormat="1" ht="12" customHeight="1" x14ac:dyDescent="0.25">
      <c r="A4186" s="408" t="s">
        <v>15928</v>
      </c>
      <c r="B4186" s="408" t="s">
        <v>3227</v>
      </c>
      <c r="C4186" s="408">
        <v>2008.4</v>
      </c>
      <c r="D4186" s="434" t="s">
        <v>689</v>
      </c>
      <c r="E4186" s="324" t="s">
        <v>690</v>
      </c>
      <c r="F4186" s="174">
        <v>39661</v>
      </c>
      <c r="G4186" s="175"/>
      <c r="H4186" s="176">
        <v>1</v>
      </c>
      <c r="I4186" s="176">
        <v>6</v>
      </c>
      <c r="J4186" s="900" t="s">
        <v>2755</v>
      </c>
      <c r="K4186" s="157" t="s">
        <v>4032</v>
      </c>
      <c r="L4186" s="157"/>
      <c r="M4186" s="157"/>
      <c r="N4186" s="157" t="s">
        <v>7078</v>
      </c>
      <c r="O4186" s="157"/>
      <c r="P4186" s="173" t="s">
        <v>683</v>
      </c>
      <c r="Q4186" s="157" t="s">
        <v>7076</v>
      </c>
      <c r="R4186" s="179" t="s">
        <v>7077</v>
      </c>
      <c r="S4186" s="354"/>
      <c r="T4186" s="173" t="s">
        <v>3068</v>
      </c>
      <c r="U4186" s="173"/>
      <c r="V4186" s="173"/>
      <c r="W4186" s="324" t="s">
        <v>690</v>
      </c>
      <c r="X4186" s="656" t="s">
        <v>14557</v>
      </c>
      <c r="Y4186" s="363"/>
      <c r="Z4186" s="364"/>
      <c r="AA4186" s="364"/>
      <c r="AB4186" s="32">
        <f t="shared" ca="1" si="107"/>
        <v>0.1035749455183167</v>
      </c>
      <c r="AC4186" s="812"/>
      <c r="AD4186" s="763" t="s">
        <v>14923</v>
      </c>
      <c r="AE4186" s="951"/>
      <c r="AF4186" s="921">
        <f>IF(X4186=X4185,AF4185,0)+IF(ISNUMBER(I4186),IF(I4186&lt;1,I4186,I4186*VLOOKUP(J4186,Summary!$H$2:$I$9,2)),VLOOKUP(J4186,Summary!$J$2:$K$9,2)*IF(ISNUMBER(H4186),H4186,1))</f>
        <v>0.51851851851851849</v>
      </c>
      <c r="AG4186" s="288">
        <v>4185</v>
      </c>
      <c r="AH4186" s="94"/>
      <c r="AI4186" s="94"/>
    </row>
    <row r="4187" spans="1:36" s="29" customFormat="1" ht="12" customHeight="1" x14ac:dyDescent="0.25">
      <c r="A4187" s="405" t="s">
        <v>15928</v>
      </c>
      <c r="B4187" s="596" t="s">
        <v>3227</v>
      </c>
      <c r="C4187" s="533" t="s">
        <v>1794</v>
      </c>
      <c r="D4187" s="407" t="s">
        <v>14326</v>
      </c>
      <c r="E4187" s="315" t="s">
        <v>14327</v>
      </c>
      <c r="F4187" s="196">
        <v>43215</v>
      </c>
      <c r="G4187" s="196"/>
      <c r="H4187" s="170">
        <v>1</v>
      </c>
      <c r="I4187" s="747">
        <f>TIME(3,0,0)</f>
        <v>0.125</v>
      </c>
      <c r="J4187" s="899" t="s">
        <v>4706</v>
      </c>
      <c r="K4187" s="167" t="s">
        <v>1826</v>
      </c>
      <c r="L4187" s="167" t="s">
        <v>179</v>
      </c>
      <c r="M4187" s="167"/>
      <c r="N4187" s="167"/>
      <c r="O4187" s="167" t="s">
        <v>1643</v>
      </c>
      <c r="P4187" s="168" t="s">
        <v>14328</v>
      </c>
      <c r="Q4187" s="167" t="s">
        <v>3947</v>
      </c>
      <c r="R4187" s="172" t="s">
        <v>10605</v>
      </c>
      <c r="S4187" s="388"/>
      <c r="T4187" s="168" t="s">
        <v>3068</v>
      </c>
      <c r="U4187" s="168"/>
      <c r="V4187" s="168"/>
      <c r="W4187" s="315"/>
      <c r="X4187" s="647" t="s">
        <v>14557</v>
      </c>
      <c r="Y4187" s="352"/>
      <c r="Z4187" s="353"/>
      <c r="AA4187" s="353"/>
      <c r="AB4187" s="31">
        <f t="shared" ca="1" si="107"/>
        <v>8.173168992145885E-2</v>
      </c>
      <c r="AC4187" s="810"/>
      <c r="AD4187" s="811"/>
      <c r="AE4187" s="940"/>
      <c r="AF4187" s="920">
        <f>IF(X4187=X4186,AF4186,0)+IF(ISNUMBER(I4187),IF(I4187&lt;1,I4187,I4187*VLOOKUP(J4187,Summary!$H$2:$I$9,2)),VLOOKUP(J4187,Summary!$J$2:$K$9,2)*IF(ISNUMBER(H4187),H4187,1))</f>
        <v>0.64351851851851849</v>
      </c>
      <c r="AG4187" s="287">
        <v>4186</v>
      </c>
      <c r="AH4187" s="94"/>
      <c r="AI4187" s="94"/>
      <c r="AJ4187" s="3"/>
    </row>
    <row r="4188" spans="1:36" s="22" customFormat="1" ht="12" customHeight="1" x14ac:dyDescent="0.25">
      <c r="A4188" s="553" t="s">
        <v>15928</v>
      </c>
      <c r="B4188" s="554" t="s">
        <v>3227</v>
      </c>
      <c r="C4188" s="553">
        <v>23</v>
      </c>
      <c r="D4188" s="424" t="s">
        <v>6943</v>
      </c>
      <c r="E4188" s="319" t="s">
        <v>2687</v>
      </c>
      <c r="F4188" s="198">
        <v>39519</v>
      </c>
      <c r="G4188" s="198"/>
      <c r="H4188" s="199">
        <v>1</v>
      </c>
      <c r="I4188" s="791">
        <f>TIME(0,45,25)</f>
        <v>3.1539351851851853E-2</v>
      </c>
      <c r="J4188" s="904" t="s">
        <v>1588</v>
      </c>
      <c r="K4188" s="200" t="s">
        <v>4065</v>
      </c>
      <c r="L4188" s="200" t="s">
        <v>2692</v>
      </c>
      <c r="M4188" s="200"/>
      <c r="N4188" s="200" t="s">
        <v>1644</v>
      </c>
      <c r="O4188" s="200" t="s">
        <v>1511</v>
      </c>
      <c r="P4188" s="197" t="s">
        <v>461</v>
      </c>
      <c r="Q4188" s="200" t="s">
        <v>3946</v>
      </c>
      <c r="R4188" s="201" t="s">
        <v>5276</v>
      </c>
      <c r="S4188" s="390"/>
      <c r="T4188" s="197" t="s">
        <v>3068</v>
      </c>
      <c r="U4188" s="197"/>
      <c r="V4188" s="197"/>
      <c r="W4188" s="319" t="s">
        <v>2687</v>
      </c>
      <c r="X4188" s="651" t="s">
        <v>14557</v>
      </c>
      <c r="Y4188" s="358" t="s">
        <v>6141</v>
      </c>
      <c r="Z4188" s="253">
        <v>2006</v>
      </c>
      <c r="AA4188" s="253"/>
      <c r="AB4188" s="35">
        <f t="shared" ca="1" si="107"/>
        <v>0.13446364371999442</v>
      </c>
      <c r="AC4188" s="820"/>
      <c r="AD4188" s="824" t="s">
        <v>14584</v>
      </c>
      <c r="AE4188" s="944"/>
      <c r="AF4188" s="925">
        <f>IF(X4188=X4187,AF4187,0)+IF(ISNUMBER(I4188),IF(I4188&lt;1,I4188,I4188*VLOOKUP(J4188,Summary!$H$2:$I$9,2)),VLOOKUP(J4188,Summary!$J$2:$K$9,2)*IF(ISNUMBER(H4188),H4188,1))</f>
        <v>0.67505787037037035</v>
      </c>
      <c r="AG4188" s="293">
        <v>4187</v>
      </c>
      <c r="AH4188" s="94"/>
      <c r="AI4188" s="94"/>
    </row>
    <row r="4189" spans="1:36" s="43" customFormat="1" ht="12" customHeight="1" x14ac:dyDescent="0.25">
      <c r="A4189" s="553" t="s">
        <v>15928</v>
      </c>
      <c r="B4189" s="554" t="s">
        <v>3227</v>
      </c>
      <c r="C4189" s="553">
        <v>24</v>
      </c>
      <c r="D4189" s="424" t="s">
        <v>7431</v>
      </c>
      <c r="E4189" s="319" t="s">
        <v>2688</v>
      </c>
      <c r="F4189" s="198">
        <v>39526</v>
      </c>
      <c r="G4189" s="198"/>
      <c r="H4189" s="199">
        <v>1</v>
      </c>
      <c r="I4189" s="791">
        <f>TIME(0,48,31)</f>
        <v>3.3692129629629627E-2</v>
      </c>
      <c r="J4189" s="904" t="s">
        <v>1588</v>
      </c>
      <c r="K4189" s="200" t="s">
        <v>7377</v>
      </c>
      <c r="L4189" s="200" t="s">
        <v>2702</v>
      </c>
      <c r="M4189" s="200"/>
      <c r="N4189" s="200" t="s">
        <v>1644</v>
      </c>
      <c r="O4189" s="200" t="s">
        <v>1511</v>
      </c>
      <c r="P4189" s="197" t="s">
        <v>461</v>
      </c>
      <c r="Q4189" s="200" t="s">
        <v>3946</v>
      </c>
      <c r="R4189" s="201" t="s">
        <v>5276</v>
      </c>
      <c r="S4189" s="390"/>
      <c r="T4189" s="197" t="s">
        <v>3068</v>
      </c>
      <c r="U4189" s="197"/>
      <c r="V4189" s="197"/>
      <c r="W4189" s="319" t="s">
        <v>2688</v>
      </c>
      <c r="X4189" s="651" t="s">
        <v>14557</v>
      </c>
      <c r="Y4189" s="358" t="s">
        <v>6141</v>
      </c>
      <c r="Z4189" s="253">
        <v>2026</v>
      </c>
      <c r="AA4189" s="253"/>
      <c r="AB4189" s="35">
        <f t="shared" ca="1" si="107"/>
        <v>0.34332580554756686</v>
      </c>
      <c r="AC4189" s="820"/>
      <c r="AD4189" s="821" t="s">
        <v>14928</v>
      </c>
      <c r="AE4189" s="944"/>
      <c r="AF4189" s="925">
        <f>IF(X4189=X4188,AF4188,0)+IF(ISNUMBER(I4189),IF(I4189&lt;1,I4189,I4189*VLOOKUP(J4189,Summary!$H$2:$I$9,2)),VLOOKUP(J4189,Summary!$J$2:$K$9,2)*IF(ISNUMBER(H4189),H4189,1))</f>
        <v>0.70874999999999999</v>
      </c>
      <c r="AG4189" s="293">
        <v>4188</v>
      </c>
      <c r="AH4189" s="94"/>
      <c r="AI4189" s="94"/>
      <c r="AJ4189" s="29"/>
    </row>
    <row r="4190" spans="1:36" s="1" customFormat="1" ht="12" customHeight="1" x14ac:dyDescent="0.25">
      <c r="A4190" s="408" t="s">
        <v>15928</v>
      </c>
      <c r="B4190" s="408" t="s">
        <v>3227</v>
      </c>
      <c r="C4190" s="408">
        <v>2008.5</v>
      </c>
      <c r="D4190" s="434" t="s">
        <v>691</v>
      </c>
      <c r="E4190" s="324" t="s">
        <v>692</v>
      </c>
      <c r="F4190" s="174">
        <v>39661</v>
      </c>
      <c r="G4190" s="175"/>
      <c r="H4190" s="176">
        <v>1</v>
      </c>
      <c r="I4190" s="176">
        <v>5</v>
      </c>
      <c r="J4190" s="900" t="s">
        <v>2755</v>
      </c>
      <c r="K4190" s="157" t="s">
        <v>4425</v>
      </c>
      <c r="L4190" s="157"/>
      <c r="M4190" s="157"/>
      <c r="N4190" s="157" t="s">
        <v>7078</v>
      </c>
      <c r="O4190" s="157"/>
      <c r="P4190" s="173" t="s">
        <v>683</v>
      </c>
      <c r="Q4190" s="157" t="s">
        <v>7076</v>
      </c>
      <c r="R4190" s="179" t="s">
        <v>7077</v>
      </c>
      <c r="S4190" s="354"/>
      <c r="T4190" s="173" t="s">
        <v>3068</v>
      </c>
      <c r="U4190" s="173"/>
      <c r="V4190" s="173"/>
      <c r="W4190" s="324" t="s">
        <v>692</v>
      </c>
      <c r="X4190" s="656" t="s">
        <v>14557</v>
      </c>
      <c r="Y4190" s="363"/>
      <c r="Z4190" s="364"/>
      <c r="AA4190" s="364"/>
      <c r="AB4190" s="32">
        <f t="shared" ca="1" si="107"/>
        <v>0.58310750068423867</v>
      </c>
      <c r="AC4190" s="812"/>
      <c r="AD4190" s="763"/>
      <c r="AE4190" s="951"/>
      <c r="AF4190" s="921">
        <f>IF(X4190=X4189,AF4189,0)+IF(ISNUMBER(I4190),IF(I4190&lt;1,I4190,I4190*VLOOKUP(J4190,Summary!$H$2:$I$9,2)),VLOOKUP(J4190,Summary!$J$2:$K$9,2)*IF(ISNUMBER(H4190),H4190,1))</f>
        <v>0.7122222222222222</v>
      </c>
      <c r="AG4190" s="288">
        <v>4189</v>
      </c>
      <c r="AH4190" s="94"/>
      <c r="AI4190" s="94"/>
      <c r="AJ4190" s="43"/>
    </row>
    <row r="4191" spans="1:36" s="29" customFormat="1" ht="12" customHeight="1" x14ac:dyDescent="0.25">
      <c r="A4191" s="405" t="s">
        <v>15928</v>
      </c>
      <c r="B4191" s="596" t="s">
        <v>3227</v>
      </c>
      <c r="C4191" s="533">
        <v>3.0299999999999994</v>
      </c>
      <c r="D4191" s="407" t="s">
        <v>13164</v>
      </c>
      <c r="E4191" s="315" t="s">
        <v>13169</v>
      </c>
      <c r="F4191" s="196">
        <v>42864</v>
      </c>
      <c r="G4191" s="196"/>
      <c r="H4191" s="170">
        <v>1</v>
      </c>
      <c r="I4191" s="747">
        <f>TIME(0,60,0)</f>
        <v>4.1666666666666664E-2</v>
      </c>
      <c r="J4191" s="899" t="s">
        <v>4706</v>
      </c>
      <c r="K4191" s="167" t="s">
        <v>1643</v>
      </c>
      <c r="L4191" s="167" t="s">
        <v>179</v>
      </c>
      <c r="M4191" s="167"/>
      <c r="N4191" s="167"/>
      <c r="O4191" s="167" t="s">
        <v>1643</v>
      </c>
      <c r="P4191" s="168" t="s">
        <v>13183</v>
      </c>
      <c r="Q4191" s="167" t="s">
        <v>3947</v>
      </c>
      <c r="R4191" s="172" t="s">
        <v>10605</v>
      </c>
      <c r="S4191" s="388"/>
      <c r="T4191" s="168"/>
      <c r="U4191" s="168"/>
      <c r="V4191" s="168"/>
      <c r="W4191" s="315" t="s">
        <v>13169</v>
      </c>
      <c r="X4191" s="647" t="s">
        <v>14557</v>
      </c>
      <c r="Y4191" s="352"/>
      <c r="Z4191" s="353"/>
      <c r="AA4191" s="353"/>
      <c r="AB4191" s="31">
        <f t="shared" ca="1" si="107"/>
        <v>2.2779026612494979E-3</v>
      </c>
      <c r="AC4191" s="810"/>
      <c r="AD4191" s="811"/>
      <c r="AE4191" s="940"/>
      <c r="AF4191" s="920">
        <f>IF(X4191=X4190,AF4190,0)+IF(ISNUMBER(I4191),IF(I4191&lt;1,I4191,I4191*VLOOKUP(J4191,Summary!$H$2:$I$9,2)),VLOOKUP(J4191,Summary!$J$2:$K$9,2)*IF(ISNUMBER(H4191),H4191,1))</f>
        <v>0.75388888888888883</v>
      </c>
      <c r="AG4191" s="287">
        <v>4190</v>
      </c>
      <c r="AH4191" s="94"/>
      <c r="AI4191" s="94"/>
    </row>
    <row r="4192" spans="1:36" s="29" customFormat="1" ht="12" customHeight="1" x14ac:dyDescent="0.25">
      <c r="A4192" s="553" t="s">
        <v>15928</v>
      </c>
      <c r="B4192" s="554" t="s">
        <v>3227</v>
      </c>
      <c r="C4192" s="553">
        <v>25</v>
      </c>
      <c r="D4192" s="424" t="s">
        <v>7432</v>
      </c>
      <c r="E4192" s="319" t="s">
        <v>2689</v>
      </c>
      <c r="F4192" s="198">
        <v>39528</v>
      </c>
      <c r="G4192" s="198"/>
      <c r="H4192" s="199">
        <v>1</v>
      </c>
      <c r="I4192" s="791">
        <f>TIME(0,48,59)</f>
        <v>3.4016203703703708E-2</v>
      </c>
      <c r="J4192" s="904" t="s">
        <v>1588</v>
      </c>
      <c r="K4192" s="200" t="s">
        <v>7377</v>
      </c>
      <c r="L4192" s="200" t="s">
        <v>2692</v>
      </c>
      <c r="M4192" s="200"/>
      <c r="N4192" s="200" t="s">
        <v>1644</v>
      </c>
      <c r="O4192" s="200" t="s">
        <v>1511</v>
      </c>
      <c r="P4192" s="197" t="s">
        <v>461</v>
      </c>
      <c r="Q4192" s="200" t="s">
        <v>3946</v>
      </c>
      <c r="R4192" s="201" t="s">
        <v>5276</v>
      </c>
      <c r="S4192" s="390"/>
      <c r="T4192" s="197" t="s">
        <v>3068</v>
      </c>
      <c r="U4192" s="197"/>
      <c r="V4192" s="197"/>
      <c r="W4192" s="319" t="s">
        <v>2689</v>
      </c>
      <c r="X4192" s="651" t="s">
        <v>14557</v>
      </c>
      <c r="Y4192" s="358" t="s">
        <v>6141</v>
      </c>
      <c r="Z4192" s="253">
        <v>2015</v>
      </c>
      <c r="AA4192" s="253"/>
      <c r="AB4192" s="35">
        <f t="shared" ca="1" si="107"/>
        <v>0.33173647973536691</v>
      </c>
      <c r="AC4192" s="820"/>
      <c r="AD4192" s="821" t="s">
        <v>16652</v>
      </c>
      <c r="AE4192" s="944"/>
      <c r="AF4192" s="925">
        <f>IF(X4192=X4191,AF4191,0)+IF(ISNUMBER(I4192),IF(I4192&lt;1,I4192,I4192*VLOOKUP(J4192,Summary!$H$2:$I$9,2)),VLOOKUP(J4192,Summary!$J$2:$K$9,2)*IF(ISNUMBER(H4192),H4192,1))</f>
        <v>0.78790509259259256</v>
      </c>
      <c r="AG4192" s="293">
        <v>4191</v>
      </c>
      <c r="AH4192" s="94"/>
      <c r="AI4192" s="94"/>
    </row>
    <row r="4193" spans="1:36" s="1" customFormat="1" ht="12" customHeight="1" x14ac:dyDescent="0.25">
      <c r="A4193" s="553" t="s">
        <v>15928</v>
      </c>
      <c r="B4193" s="554" t="s">
        <v>3227</v>
      </c>
      <c r="C4193" s="553">
        <v>26</v>
      </c>
      <c r="D4193" s="424" t="s">
        <v>7433</v>
      </c>
      <c r="E4193" s="319" t="s">
        <v>2690</v>
      </c>
      <c r="F4193" s="198">
        <v>39542</v>
      </c>
      <c r="G4193" s="198"/>
      <c r="H4193" s="199">
        <v>1</v>
      </c>
      <c r="I4193" s="791">
        <f>TIME(0,48,18)</f>
        <v>3.3541666666666664E-2</v>
      </c>
      <c r="J4193" s="904" t="s">
        <v>1588</v>
      </c>
      <c r="K4193" s="200" t="s">
        <v>7377</v>
      </c>
      <c r="L4193" s="200" t="s">
        <v>3452</v>
      </c>
      <c r="M4193" s="200"/>
      <c r="N4193" s="200" t="s">
        <v>1644</v>
      </c>
      <c r="O4193" s="200" t="s">
        <v>1511</v>
      </c>
      <c r="P4193" s="197" t="s">
        <v>461</v>
      </c>
      <c r="Q4193" s="200" t="s">
        <v>3946</v>
      </c>
      <c r="R4193" s="201" t="s">
        <v>5276</v>
      </c>
      <c r="S4193" s="390"/>
      <c r="T4193" s="197" t="s">
        <v>3068</v>
      </c>
      <c r="U4193" s="197"/>
      <c r="V4193" s="197"/>
      <c r="W4193" s="319" t="s">
        <v>2690</v>
      </c>
      <c r="X4193" s="651" t="s">
        <v>14557</v>
      </c>
      <c r="Y4193" s="358" t="s">
        <v>6141</v>
      </c>
      <c r="Z4193" s="253">
        <v>2019</v>
      </c>
      <c r="AA4193" s="253"/>
      <c r="AB4193" s="35">
        <f t="shared" ca="1" si="107"/>
        <v>0.49548667822725734</v>
      </c>
      <c r="AC4193" s="820"/>
      <c r="AD4193" s="824" t="s">
        <v>16658</v>
      </c>
      <c r="AE4193" s="944"/>
      <c r="AF4193" s="925">
        <f>IF(X4193=X4192,AF4192,0)+IF(ISNUMBER(I4193),IF(I4193&lt;1,I4193,I4193*VLOOKUP(J4193,Summary!$H$2:$I$9,2)),VLOOKUP(J4193,Summary!$J$2:$K$9,2)*IF(ISNUMBER(H4193),H4193,1))</f>
        <v>0.82144675925925925</v>
      </c>
      <c r="AG4193" s="293">
        <v>4192</v>
      </c>
      <c r="AH4193" s="94"/>
      <c r="AI4193" s="94"/>
      <c r="AJ4193" s="29"/>
    </row>
    <row r="4194" spans="1:36" s="22" customFormat="1" ht="12" customHeight="1" x14ac:dyDescent="0.2">
      <c r="A4194" s="405" t="s">
        <v>15928</v>
      </c>
      <c r="B4194" s="596" t="s">
        <v>3227</v>
      </c>
      <c r="C4194" s="510">
        <v>1</v>
      </c>
      <c r="D4194" s="407" t="s">
        <v>7526</v>
      </c>
      <c r="E4194" s="315" t="s">
        <v>7530</v>
      </c>
      <c r="F4194" s="196">
        <v>39701</v>
      </c>
      <c r="G4194" s="196"/>
      <c r="H4194" s="170">
        <v>1</v>
      </c>
      <c r="I4194" s="746">
        <f>TIME(0,43,0)</f>
        <v>2.9861111111111113E-2</v>
      </c>
      <c r="J4194" s="899" t="s">
        <v>4706</v>
      </c>
      <c r="K4194" s="167" t="s">
        <v>4425</v>
      </c>
      <c r="L4194" s="167" t="s">
        <v>7569</v>
      </c>
      <c r="M4194" s="167"/>
      <c r="N4194" s="167"/>
      <c r="O4194" s="167"/>
      <c r="P4194" s="168" t="s">
        <v>8840</v>
      </c>
      <c r="Q4194" s="167" t="s">
        <v>3948</v>
      </c>
      <c r="R4194" s="172" t="s">
        <v>3157</v>
      </c>
      <c r="S4194" s="388" t="s">
        <v>3073</v>
      </c>
      <c r="T4194" s="168" t="s">
        <v>3068</v>
      </c>
      <c r="U4194" s="168"/>
      <c r="V4194" s="168"/>
      <c r="W4194" s="315" t="s">
        <v>7530</v>
      </c>
      <c r="X4194" s="647" t="s">
        <v>14557</v>
      </c>
      <c r="Y4194" s="352" t="s">
        <v>5423</v>
      </c>
      <c r="Z4194" s="353">
        <v>2999</v>
      </c>
      <c r="AA4194" s="353"/>
      <c r="AB4194" s="31">
        <f t="shared" ca="1" si="107"/>
        <v>0.18327336097666846</v>
      </c>
      <c r="AC4194" s="810"/>
      <c r="AD4194" s="825" t="s">
        <v>15984</v>
      </c>
      <c r="AE4194" s="940"/>
      <c r="AF4194" s="920">
        <f>IF(X4194=X4193,AF4193,0)+IF(ISNUMBER(I4194),IF(I4194&lt;1,I4194,I4194*VLOOKUP(J4194,Summary!$H$2:$I$9,2)),VLOOKUP(J4194,Summary!$J$2:$K$9,2)*IF(ISNUMBER(H4194),H4194,1))</f>
        <v>0.85130787037037037</v>
      </c>
      <c r="AG4194" s="287">
        <v>4193</v>
      </c>
      <c r="AH4194" s="94"/>
      <c r="AI4194" s="94"/>
    </row>
    <row r="4195" spans="1:36" s="45" customFormat="1" ht="12" customHeight="1" x14ac:dyDescent="0.3">
      <c r="A4195" s="474" t="s">
        <v>15928</v>
      </c>
      <c r="B4195" s="507" t="s">
        <v>3227</v>
      </c>
      <c r="C4195" s="474">
        <v>9</v>
      </c>
      <c r="D4195" s="417" t="s">
        <v>808</v>
      </c>
      <c r="E4195" s="316" t="s">
        <v>5764</v>
      </c>
      <c r="F4195" s="195">
        <v>39737</v>
      </c>
      <c r="G4195" s="195"/>
      <c r="H4195" s="188" t="str">
        <f>IF(J4195="Book","n/a","")</f>
        <v>n/a</v>
      </c>
      <c r="I4195" s="188">
        <v>251</v>
      </c>
      <c r="J4195" s="902" t="s">
        <v>6868</v>
      </c>
      <c r="K4195" s="162" t="s">
        <v>1643</v>
      </c>
      <c r="L4195" s="162" t="str">
        <f>IF(J4195="Book","n/a","")</f>
        <v>n/a</v>
      </c>
      <c r="M4195" s="162"/>
      <c r="N4195" s="162"/>
      <c r="O4195" s="162"/>
      <c r="P4195" s="178" t="s">
        <v>8832</v>
      </c>
      <c r="Q4195" s="162" t="s">
        <v>3953</v>
      </c>
      <c r="R4195" s="189" t="s">
        <v>2719</v>
      </c>
      <c r="S4195" s="366"/>
      <c r="T4195" s="178" t="s">
        <v>3068</v>
      </c>
      <c r="U4195" s="178"/>
      <c r="V4195" s="178"/>
      <c r="W4195" s="316" t="s">
        <v>5764</v>
      </c>
      <c r="X4195" s="648" t="s">
        <v>14557</v>
      </c>
      <c r="Y4195" s="356"/>
      <c r="Z4195" s="272"/>
      <c r="AA4195" s="272"/>
      <c r="AB4195" s="34">
        <f t="shared" ca="1" si="107"/>
        <v>0.42069768107704353</v>
      </c>
      <c r="AC4195" s="814"/>
      <c r="AD4195" s="818" t="s">
        <v>14585</v>
      </c>
      <c r="AE4195" s="942"/>
      <c r="AF4195" s="923">
        <f>IF(X4195=X4194,AF4194,0)+IF(ISNUMBER(I4195),IF(I4195&lt;1,I4195,I4195*VLOOKUP(J4195,Summary!$H$2:$I$9,2)),VLOOKUP(J4195,Summary!$J$2:$K$9,2)*IF(ISNUMBER(H4195),H4195,1))</f>
        <v>1.025613425925926</v>
      </c>
      <c r="AG4195" s="291">
        <v>4194</v>
      </c>
      <c r="AH4195" s="94"/>
      <c r="AI4195" s="94"/>
      <c r="AJ4195" s="7"/>
    </row>
    <row r="4196" spans="1:36" s="45" customFormat="1" ht="12" customHeight="1" x14ac:dyDescent="0.3">
      <c r="A4196" s="408" t="s">
        <v>15928</v>
      </c>
      <c r="B4196" s="408" t="s">
        <v>3227</v>
      </c>
      <c r="C4196" s="408">
        <v>14.1</v>
      </c>
      <c r="D4196" s="434" t="s">
        <v>3664</v>
      </c>
      <c r="E4196" s="324" t="s">
        <v>693</v>
      </c>
      <c r="F4196" s="175">
        <v>39863</v>
      </c>
      <c r="G4196" s="175"/>
      <c r="H4196" s="176">
        <v>1</v>
      </c>
      <c r="I4196" s="176">
        <v>6</v>
      </c>
      <c r="J4196" s="900" t="s">
        <v>2755</v>
      </c>
      <c r="K4196" s="157" t="s">
        <v>175</v>
      </c>
      <c r="L4196" s="157" t="s">
        <v>3551</v>
      </c>
      <c r="M4196" s="157"/>
      <c r="N4196" s="157" t="s">
        <v>7078</v>
      </c>
      <c r="O4196" s="157"/>
      <c r="P4196" s="173" t="s">
        <v>461</v>
      </c>
      <c r="Q4196" s="157" t="s">
        <v>7076</v>
      </c>
      <c r="R4196" s="179" t="s">
        <v>7077</v>
      </c>
      <c r="S4196" s="354"/>
      <c r="T4196" s="173" t="s">
        <v>3068</v>
      </c>
      <c r="U4196" s="173"/>
      <c r="V4196" s="173"/>
      <c r="W4196" s="324" t="s">
        <v>693</v>
      </c>
      <c r="X4196" s="656" t="s">
        <v>14557</v>
      </c>
      <c r="Y4196" s="363"/>
      <c r="Z4196" s="364"/>
      <c r="AA4196" s="364"/>
      <c r="AB4196" s="32">
        <f t="shared" ca="1" si="107"/>
        <v>0.28529136659878074</v>
      </c>
      <c r="AC4196" s="812"/>
      <c r="AD4196" s="763"/>
      <c r="AE4196" s="951"/>
      <c r="AF4196" s="921">
        <f>IF(X4196=X4195,AF4195,0)+IF(ISNUMBER(I4196),IF(I4196&lt;1,I4196,I4196*VLOOKUP(J4196,Summary!$H$2:$I$9,2)),VLOOKUP(J4196,Summary!$J$2:$K$9,2)*IF(ISNUMBER(H4196),H4196,1))</f>
        <v>1.0297800925925926</v>
      </c>
      <c r="AG4196" s="288">
        <v>4195</v>
      </c>
      <c r="AH4196" s="94"/>
      <c r="AI4196" s="94"/>
      <c r="AJ4196" s="7"/>
    </row>
    <row r="4197" spans="1:36" s="29" customFormat="1" ht="12" customHeight="1" x14ac:dyDescent="0.25">
      <c r="A4197" s="534" t="s">
        <v>15928</v>
      </c>
      <c r="B4197" s="534" t="s">
        <v>3227</v>
      </c>
      <c r="C4197" s="534">
        <v>14.2</v>
      </c>
      <c r="D4197" s="428" t="s">
        <v>3665</v>
      </c>
      <c r="E4197" s="325" t="s">
        <v>3662</v>
      </c>
      <c r="F4197" s="184">
        <v>39863</v>
      </c>
      <c r="G4197" s="184"/>
      <c r="H4197" s="185">
        <v>1</v>
      </c>
      <c r="I4197" s="185">
        <v>15</v>
      </c>
      <c r="J4197" s="901" t="s">
        <v>1796</v>
      </c>
      <c r="K4197" s="158" t="s">
        <v>7643</v>
      </c>
      <c r="L4197" s="158" t="s">
        <v>3666</v>
      </c>
      <c r="M4197" s="158"/>
      <c r="N4197" s="158" t="s">
        <v>7078</v>
      </c>
      <c r="O4197" s="158"/>
      <c r="P4197" s="182" t="s">
        <v>461</v>
      </c>
      <c r="Q4197" s="158" t="s">
        <v>7076</v>
      </c>
      <c r="R4197" s="207" t="s">
        <v>74</v>
      </c>
      <c r="S4197" s="355"/>
      <c r="T4197" s="182" t="s">
        <v>3068</v>
      </c>
      <c r="U4197" s="182"/>
      <c r="V4197" s="182"/>
      <c r="W4197" s="325" t="s">
        <v>3662</v>
      </c>
      <c r="X4197" s="657" t="s">
        <v>14557</v>
      </c>
      <c r="Y4197" s="361"/>
      <c r="Z4197" s="362"/>
      <c r="AA4197" s="362"/>
      <c r="AB4197" s="33">
        <f t="shared" ca="1" si="107"/>
        <v>0.75371888486052807</v>
      </c>
      <c r="AC4197" s="813"/>
      <c r="AD4197" s="826" t="s">
        <v>14585</v>
      </c>
      <c r="AE4197" s="949"/>
      <c r="AF4197" s="922">
        <f>IF(X4197=X4196,AF4196,0)+IF(ISNUMBER(I4197),IF(I4197&lt;1,I4197,I4197*VLOOKUP(J4197,Summary!$H$2:$I$9,2)),VLOOKUP(J4197,Summary!$J$2:$K$9,2)*IF(ISNUMBER(H4197),H4197,1))</f>
        <v>1.0349884259259259</v>
      </c>
      <c r="AG4197" s="295">
        <v>4196</v>
      </c>
      <c r="AH4197" s="94"/>
      <c r="AI4197" s="94"/>
      <c r="AJ4197" s="1"/>
    </row>
    <row r="4198" spans="1:36" s="3" customFormat="1" ht="12" customHeight="1" x14ac:dyDescent="0.25">
      <c r="A4198" s="408" t="s">
        <v>15928</v>
      </c>
      <c r="B4198" s="408" t="s">
        <v>3227</v>
      </c>
      <c r="C4198" s="408">
        <v>14.3</v>
      </c>
      <c r="D4198" s="434" t="s">
        <v>15441</v>
      </c>
      <c r="E4198" s="324" t="s">
        <v>3663</v>
      </c>
      <c r="F4198" s="175">
        <v>39863</v>
      </c>
      <c r="G4198" s="175">
        <v>39926</v>
      </c>
      <c r="H4198" s="176">
        <v>2</v>
      </c>
      <c r="I4198" s="176">
        <v>14</v>
      </c>
      <c r="J4198" s="900" t="s">
        <v>2755</v>
      </c>
      <c r="K4198" s="157" t="s">
        <v>804</v>
      </c>
      <c r="L4198" s="157" t="s">
        <v>7080</v>
      </c>
      <c r="M4198" s="157"/>
      <c r="N4198" s="157" t="s">
        <v>7078</v>
      </c>
      <c r="O4198" s="157"/>
      <c r="P4198" s="173" t="s">
        <v>461</v>
      </c>
      <c r="Q4198" s="157" t="s">
        <v>7076</v>
      </c>
      <c r="R4198" s="179" t="s">
        <v>7077</v>
      </c>
      <c r="S4198" s="354"/>
      <c r="T4198" s="173" t="s">
        <v>3068</v>
      </c>
      <c r="U4198" s="173"/>
      <c r="V4198" s="173"/>
      <c r="W4198" s="342"/>
      <c r="X4198" s="677" t="s">
        <v>14557</v>
      </c>
      <c r="Y4198" s="363"/>
      <c r="Z4198" s="364"/>
      <c r="AA4198" s="364"/>
      <c r="AB4198" s="32">
        <f t="shared" ca="1" si="107"/>
        <v>0.75055385956996645</v>
      </c>
      <c r="AC4198" s="812"/>
      <c r="AD4198" s="763"/>
      <c r="AE4198" s="951"/>
      <c r="AF4198" s="921">
        <f>IF(X4198=X4197,AF4197,0)+IF(ISNUMBER(I4198),IF(I4198&lt;1,I4198,I4198*VLOOKUP(J4198,Summary!$H$2:$I$9,2)),VLOOKUP(J4198,Summary!$J$2:$K$9,2)*IF(ISNUMBER(H4198),H4198,1))</f>
        <v>1.0447106481481481</v>
      </c>
      <c r="AG4198" s="288">
        <v>4197</v>
      </c>
      <c r="AH4198" s="94"/>
      <c r="AI4198" s="94"/>
    </row>
    <row r="4199" spans="1:36" s="45" customFormat="1" ht="12" customHeight="1" x14ac:dyDescent="0.3">
      <c r="A4199" s="405" t="s">
        <v>15928</v>
      </c>
      <c r="B4199" s="596" t="s">
        <v>3227</v>
      </c>
      <c r="C4199" s="510">
        <v>4</v>
      </c>
      <c r="D4199" s="407" t="s">
        <v>7524</v>
      </c>
      <c r="E4199" s="315" t="s">
        <v>7522</v>
      </c>
      <c r="F4199" s="196">
        <v>39982</v>
      </c>
      <c r="G4199" s="196"/>
      <c r="H4199" s="170">
        <v>1</v>
      </c>
      <c r="I4199" s="746">
        <f>TIME(0,150,0)</f>
        <v>0.10416666666666667</v>
      </c>
      <c r="J4199" s="899" t="s">
        <v>4706</v>
      </c>
      <c r="K4199" s="167" t="s">
        <v>1644</v>
      </c>
      <c r="L4199" s="167"/>
      <c r="M4199" s="167"/>
      <c r="N4199" s="167"/>
      <c r="O4199" s="167"/>
      <c r="P4199" s="168" t="s">
        <v>8845</v>
      </c>
      <c r="Q4199" s="167" t="s">
        <v>3950</v>
      </c>
      <c r="R4199" s="172" t="s">
        <v>2710</v>
      </c>
      <c r="S4199" s="388"/>
      <c r="T4199" s="168" t="s">
        <v>3068</v>
      </c>
      <c r="U4199" s="168"/>
      <c r="V4199" s="168"/>
      <c r="W4199" s="315" t="s">
        <v>7522</v>
      </c>
      <c r="X4199" s="647" t="s">
        <v>14557</v>
      </c>
      <c r="Y4199" s="352"/>
      <c r="Z4199" s="353"/>
      <c r="AA4199" s="353"/>
      <c r="AB4199" s="31">
        <f t="shared" ca="1" si="107"/>
        <v>4.8643735414525935E-2</v>
      </c>
      <c r="AC4199" s="810"/>
      <c r="AD4199" s="825" t="s">
        <v>14585</v>
      </c>
      <c r="AE4199" s="940"/>
      <c r="AF4199" s="920">
        <f>IF(X4199=X4198,AF4198,0)+IF(ISNUMBER(I4199),IF(I4199&lt;1,I4199,I4199*VLOOKUP(J4199,Summary!$H$2:$I$9,2)),VLOOKUP(J4199,Summary!$J$2:$K$9,2)*IF(ISNUMBER(H4199),H4199,1))</f>
        <v>1.1488773148148148</v>
      </c>
      <c r="AG4199" s="287">
        <v>4198</v>
      </c>
      <c r="AH4199" s="94"/>
      <c r="AI4199" s="94"/>
      <c r="AJ4199" s="2"/>
    </row>
    <row r="4200" spans="1:36" s="45" customFormat="1" ht="12" customHeight="1" x14ac:dyDescent="0.3">
      <c r="A4200" s="437" t="s">
        <v>15928</v>
      </c>
      <c r="B4200" s="422" t="s">
        <v>3227</v>
      </c>
      <c r="C4200" s="437">
        <v>16.100000000000001</v>
      </c>
      <c r="D4200" s="434" t="s">
        <v>7081</v>
      </c>
      <c r="E4200" s="324" t="s">
        <v>7082</v>
      </c>
      <c r="F4200" s="175">
        <v>39989</v>
      </c>
      <c r="G4200" s="175"/>
      <c r="H4200" s="176">
        <v>1</v>
      </c>
      <c r="I4200" s="176">
        <v>6</v>
      </c>
      <c r="J4200" s="900" t="s">
        <v>2755</v>
      </c>
      <c r="K4200" s="157" t="s">
        <v>1644</v>
      </c>
      <c r="L4200" s="157" t="s">
        <v>4850</v>
      </c>
      <c r="M4200" s="157"/>
      <c r="N4200" s="157" t="s">
        <v>7078</v>
      </c>
      <c r="O4200" s="157"/>
      <c r="P4200" s="173" t="s">
        <v>461</v>
      </c>
      <c r="Q4200" s="157" t="s">
        <v>7076</v>
      </c>
      <c r="R4200" s="179" t="s">
        <v>7077</v>
      </c>
      <c r="S4200" s="354"/>
      <c r="T4200" s="173" t="s">
        <v>3068</v>
      </c>
      <c r="U4200" s="173"/>
      <c r="V4200" s="173"/>
      <c r="W4200" s="324" t="s">
        <v>7082</v>
      </c>
      <c r="X4200" s="656" t="s">
        <v>14557</v>
      </c>
      <c r="Y4200" s="363"/>
      <c r="Z4200" s="364"/>
      <c r="AA4200" s="364"/>
      <c r="AB4200" s="32">
        <f t="shared" ca="1" si="107"/>
        <v>0.72674637780510698</v>
      </c>
      <c r="AC4200" s="812"/>
      <c r="AD4200" s="763"/>
      <c r="AE4200" s="951"/>
      <c r="AF4200" s="921">
        <f>IF(X4200=X4199,AF4199,0)+IF(ISNUMBER(I4200),IF(I4200&lt;1,I4200,I4200*VLOOKUP(J4200,Summary!$H$2:$I$9,2)),VLOOKUP(J4200,Summary!$J$2:$K$9,2)*IF(ISNUMBER(H4200),H4200,1))</f>
        <v>1.1530439814814815</v>
      </c>
      <c r="AG4200" s="288">
        <v>4199</v>
      </c>
      <c r="AH4200" s="94"/>
      <c r="AI4200" s="94"/>
    </row>
    <row r="4201" spans="1:36" s="8" customFormat="1" ht="12" customHeight="1" x14ac:dyDescent="0.25">
      <c r="A4201" s="437" t="s">
        <v>15928</v>
      </c>
      <c r="B4201" s="422" t="s">
        <v>3227</v>
      </c>
      <c r="C4201" s="437">
        <v>16.2</v>
      </c>
      <c r="D4201" s="434" t="s">
        <v>15442</v>
      </c>
      <c r="E4201" s="324" t="s">
        <v>1075</v>
      </c>
      <c r="F4201" s="175">
        <v>39989</v>
      </c>
      <c r="G4201" s="175">
        <v>40045</v>
      </c>
      <c r="H4201" s="176">
        <v>2</v>
      </c>
      <c r="I4201" s="176">
        <v>14</v>
      </c>
      <c r="J4201" s="900" t="s">
        <v>2755</v>
      </c>
      <c r="K4201" s="157" t="s">
        <v>175</v>
      </c>
      <c r="L4201" s="157" t="s">
        <v>7080</v>
      </c>
      <c r="M4201" s="157"/>
      <c r="N4201" s="157" t="s">
        <v>7078</v>
      </c>
      <c r="O4201" s="157"/>
      <c r="P4201" s="173" t="s">
        <v>461</v>
      </c>
      <c r="Q4201" s="157" t="s">
        <v>7076</v>
      </c>
      <c r="R4201" s="179" t="s">
        <v>7077</v>
      </c>
      <c r="S4201" s="354"/>
      <c r="T4201" s="173" t="s">
        <v>3068</v>
      </c>
      <c r="U4201" s="173"/>
      <c r="V4201" s="173"/>
      <c r="W4201" s="342"/>
      <c r="X4201" s="677" t="s">
        <v>14557</v>
      </c>
      <c r="Y4201" s="363"/>
      <c r="Z4201" s="364"/>
      <c r="AA4201" s="364"/>
      <c r="AB4201" s="32">
        <f t="shared" ca="1" si="107"/>
        <v>0.53674014357762057</v>
      </c>
      <c r="AC4201" s="812"/>
      <c r="AD4201" s="763"/>
      <c r="AE4201" s="951"/>
      <c r="AF4201" s="921">
        <f>IF(X4201=X4200,AF4200,0)+IF(ISNUMBER(I4201),IF(I4201&lt;1,I4201,I4201*VLOOKUP(J4201,Summary!$H$2:$I$9,2)),VLOOKUP(J4201,Summary!$J$2:$K$9,2)*IF(ISNUMBER(H4201),H4201,1))</f>
        <v>1.1627662037037036</v>
      </c>
      <c r="AG4201" s="288">
        <v>4200</v>
      </c>
      <c r="AH4201" s="94"/>
      <c r="AI4201" s="94"/>
    </row>
    <row r="4202" spans="1:36" s="22" customFormat="1" ht="12" customHeight="1" x14ac:dyDescent="0.25">
      <c r="A4202" s="474" t="s">
        <v>15928</v>
      </c>
      <c r="B4202" s="507" t="s">
        <v>3227</v>
      </c>
      <c r="C4202" s="474">
        <v>10</v>
      </c>
      <c r="D4202" s="417" t="s">
        <v>809</v>
      </c>
      <c r="E4202" s="316" t="s">
        <v>5765</v>
      </c>
      <c r="F4202" s="195">
        <v>39989</v>
      </c>
      <c r="G4202" s="195"/>
      <c r="H4202" s="188" t="str">
        <f>IF(J4202="Book","n/a","")</f>
        <v>n/a</v>
      </c>
      <c r="I4202" s="188">
        <v>239</v>
      </c>
      <c r="J4202" s="902" t="s">
        <v>6868</v>
      </c>
      <c r="K4202" s="162" t="s">
        <v>1825</v>
      </c>
      <c r="L4202" s="162" t="str">
        <f>IF(J4202="Book","n/a","")</f>
        <v>n/a</v>
      </c>
      <c r="M4202" s="162"/>
      <c r="N4202" s="162"/>
      <c r="O4202" s="162"/>
      <c r="P4202" s="178" t="s">
        <v>8833</v>
      </c>
      <c r="Q4202" s="162" t="s">
        <v>3953</v>
      </c>
      <c r="R4202" s="189" t="s">
        <v>2719</v>
      </c>
      <c r="S4202" s="366"/>
      <c r="T4202" s="178" t="s">
        <v>3068</v>
      </c>
      <c r="U4202" s="178"/>
      <c r="V4202" s="178"/>
      <c r="W4202" s="316" t="s">
        <v>5765</v>
      </c>
      <c r="X4202" s="648" t="s">
        <v>14557</v>
      </c>
      <c r="Y4202" s="356"/>
      <c r="Z4202" s="272"/>
      <c r="AA4202" s="272"/>
      <c r="AB4202" s="34">
        <f t="shared" ca="1" si="107"/>
        <v>0.62950595559015254</v>
      </c>
      <c r="AC4202" s="814"/>
      <c r="AD4202" s="818" t="s">
        <v>14585</v>
      </c>
      <c r="AE4202" s="942"/>
      <c r="AF4202" s="923">
        <f>IF(X4202=X4201,AF4201,0)+IF(ISNUMBER(I4202),IF(I4202&lt;1,I4202,I4202*VLOOKUP(J4202,Summary!$H$2:$I$9,2)),VLOOKUP(J4202,Summary!$J$2:$K$9,2)*IF(ISNUMBER(H4202),H4202,1))</f>
        <v>1.3287384259259258</v>
      </c>
      <c r="AG4202" s="291">
        <v>4201</v>
      </c>
      <c r="AH4202" s="94"/>
      <c r="AI4202" s="94"/>
    </row>
    <row r="4203" spans="1:36" s="3" customFormat="1" ht="12" customHeight="1" x14ac:dyDescent="0.25">
      <c r="A4203" s="474" t="s">
        <v>15928</v>
      </c>
      <c r="B4203" s="507" t="s">
        <v>3227</v>
      </c>
      <c r="C4203" s="474">
        <v>11</v>
      </c>
      <c r="D4203" s="417" t="s">
        <v>810</v>
      </c>
      <c r="E4203" s="316" t="s">
        <v>1820</v>
      </c>
      <c r="F4203" s="195">
        <v>39989</v>
      </c>
      <c r="G4203" s="195"/>
      <c r="H4203" s="188" t="str">
        <f>IF(J4203="Book","n/a","")</f>
        <v>n/a</v>
      </c>
      <c r="I4203" s="188">
        <v>238</v>
      </c>
      <c r="J4203" s="902" t="s">
        <v>6868</v>
      </c>
      <c r="K4203" s="162" t="s">
        <v>4033</v>
      </c>
      <c r="L4203" s="162" t="str">
        <f>IF(J4203="Book","n/a","")</f>
        <v>n/a</v>
      </c>
      <c r="M4203" s="162"/>
      <c r="N4203" s="162"/>
      <c r="O4203" s="162"/>
      <c r="P4203" s="178" t="s">
        <v>8834</v>
      </c>
      <c r="Q4203" s="162" t="s">
        <v>3953</v>
      </c>
      <c r="R4203" s="189" t="s">
        <v>2719</v>
      </c>
      <c r="S4203" s="366"/>
      <c r="T4203" s="178" t="s">
        <v>3068</v>
      </c>
      <c r="U4203" s="178"/>
      <c r="V4203" s="178"/>
      <c r="W4203" s="316" t="s">
        <v>1820</v>
      </c>
      <c r="X4203" s="648" t="s">
        <v>14557</v>
      </c>
      <c r="Y4203" s="356"/>
      <c r="Z4203" s="272"/>
      <c r="AA4203" s="272"/>
      <c r="AB4203" s="34">
        <f t="shared" ca="1" si="107"/>
        <v>2.68514244626189E-2</v>
      </c>
      <c r="AC4203" s="814"/>
      <c r="AD4203" s="818" t="s">
        <v>14585</v>
      </c>
      <c r="AE4203" s="942"/>
      <c r="AF4203" s="923">
        <f>IF(X4203=X4202,AF4202,0)+IF(ISNUMBER(I4203),IF(I4203&lt;1,I4203,I4203*VLOOKUP(J4203,Summary!$H$2:$I$9,2)),VLOOKUP(J4203,Summary!$J$2:$K$9,2)*IF(ISNUMBER(H4203),H4203,1))</f>
        <v>1.4940162037037037</v>
      </c>
      <c r="AG4203" s="291">
        <v>4202</v>
      </c>
      <c r="AH4203" s="94"/>
      <c r="AI4203" s="94"/>
      <c r="AJ4203" s="29"/>
    </row>
    <row r="4204" spans="1:36" s="29" customFormat="1" ht="12" customHeight="1" x14ac:dyDescent="0.25">
      <c r="A4204" s="474" t="s">
        <v>15928</v>
      </c>
      <c r="B4204" s="507" t="s">
        <v>3227</v>
      </c>
      <c r="C4204" s="474">
        <v>12</v>
      </c>
      <c r="D4204" s="417" t="s">
        <v>811</v>
      </c>
      <c r="E4204" s="316" t="s">
        <v>1821</v>
      </c>
      <c r="F4204" s="195">
        <v>39989</v>
      </c>
      <c r="G4204" s="195"/>
      <c r="H4204" s="188" t="str">
        <f>IF(J4204="Book","n/a","")</f>
        <v>n/a</v>
      </c>
      <c r="I4204" s="188">
        <v>254</v>
      </c>
      <c r="J4204" s="902" t="s">
        <v>6868</v>
      </c>
      <c r="K4204" s="162" t="s">
        <v>1826</v>
      </c>
      <c r="L4204" s="162" t="str">
        <f>IF(J4204="Book","n/a","")</f>
        <v>n/a</v>
      </c>
      <c r="M4204" s="162"/>
      <c r="N4204" s="162"/>
      <c r="O4204" s="162"/>
      <c r="P4204" s="178" t="s">
        <v>8835</v>
      </c>
      <c r="Q4204" s="162" t="s">
        <v>3953</v>
      </c>
      <c r="R4204" s="189" t="s">
        <v>2719</v>
      </c>
      <c r="S4204" s="366"/>
      <c r="T4204" s="178" t="s">
        <v>3068</v>
      </c>
      <c r="U4204" s="178"/>
      <c r="V4204" s="178"/>
      <c r="W4204" s="316" t="s">
        <v>1821</v>
      </c>
      <c r="X4204" s="648" t="s">
        <v>14557</v>
      </c>
      <c r="Y4204" s="356"/>
      <c r="Z4204" s="272"/>
      <c r="AA4204" s="272"/>
      <c r="AB4204" s="34">
        <f t="shared" ca="1" si="107"/>
        <v>8.7446198858390445E-2</v>
      </c>
      <c r="AC4204" s="814"/>
      <c r="AD4204" s="818" t="s">
        <v>14585</v>
      </c>
      <c r="AE4204" s="942"/>
      <c r="AF4204" s="923">
        <f>IF(X4204=X4203,AF4203,0)+IF(ISNUMBER(I4204),IF(I4204&lt;1,I4204,I4204*VLOOKUP(J4204,Summary!$H$2:$I$9,2)),VLOOKUP(J4204,Summary!$J$2:$K$9,2)*IF(ISNUMBER(H4204),H4204,1))</f>
        <v>1.6704050925925926</v>
      </c>
      <c r="AG4204" s="291">
        <v>4203</v>
      </c>
      <c r="AH4204" s="94"/>
      <c r="AI4204" s="94"/>
      <c r="AJ4204" s="3"/>
    </row>
    <row r="4205" spans="1:36" s="29" customFormat="1" ht="12" customHeight="1" x14ac:dyDescent="0.25">
      <c r="A4205" s="437" t="s">
        <v>15928</v>
      </c>
      <c r="B4205" s="422" t="s">
        <v>3227</v>
      </c>
      <c r="C4205" s="437">
        <v>17.100000000000001</v>
      </c>
      <c r="D4205" s="434" t="s">
        <v>7079</v>
      </c>
      <c r="E4205" s="324" t="s">
        <v>7075</v>
      </c>
      <c r="F4205" s="175">
        <v>40045</v>
      </c>
      <c r="G4205" s="175"/>
      <c r="H4205" s="176">
        <v>1</v>
      </c>
      <c r="I4205" s="176">
        <v>7</v>
      </c>
      <c r="J4205" s="900" t="s">
        <v>2755</v>
      </c>
      <c r="K4205" s="157" t="s">
        <v>1643</v>
      </c>
      <c r="L4205" s="157" t="s">
        <v>3551</v>
      </c>
      <c r="M4205" s="157"/>
      <c r="N4205" s="157" t="s">
        <v>7078</v>
      </c>
      <c r="O4205" s="157"/>
      <c r="P4205" s="173" t="s">
        <v>461</v>
      </c>
      <c r="Q4205" s="157" t="s">
        <v>7076</v>
      </c>
      <c r="R4205" s="179" t="s">
        <v>7077</v>
      </c>
      <c r="S4205" s="354"/>
      <c r="T4205" s="173" t="s">
        <v>3068</v>
      </c>
      <c r="U4205" s="173"/>
      <c r="V4205" s="173"/>
      <c r="W4205" s="324" t="s">
        <v>7075</v>
      </c>
      <c r="X4205" s="656" t="s">
        <v>14557</v>
      </c>
      <c r="Y4205" s="363"/>
      <c r="Z4205" s="364"/>
      <c r="AA4205" s="364"/>
      <c r="AB4205" s="32">
        <f t="shared" ca="1" si="107"/>
        <v>0.3007500425669799</v>
      </c>
      <c r="AC4205" s="812"/>
      <c r="AD4205" s="763"/>
      <c r="AE4205" s="951"/>
      <c r="AF4205" s="921">
        <f>IF(X4205=X4204,AF4204,0)+IF(ISNUMBER(I4205),IF(I4205&lt;1,I4205,I4205*VLOOKUP(J4205,Summary!$H$2:$I$9,2)),VLOOKUP(J4205,Summary!$J$2:$K$9,2)*IF(ISNUMBER(H4205),H4205,1))</f>
        <v>1.6752662037037038</v>
      </c>
      <c r="AG4205" s="288">
        <v>4204</v>
      </c>
      <c r="AH4205" s="94"/>
      <c r="AI4205" s="94"/>
      <c r="AJ4205" s="3"/>
    </row>
    <row r="4206" spans="1:36" s="3" customFormat="1" ht="12" customHeight="1" x14ac:dyDescent="0.25">
      <c r="A4206" s="474" t="s">
        <v>15928</v>
      </c>
      <c r="B4206" s="507" t="s">
        <v>3227</v>
      </c>
      <c r="C4206" s="474">
        <v>14</v>
      </c>
      <c r="D4206" s="417" t="s">
        <v>813</v>
      </c>
      <c r="E4206" s="316" t="s">
        <v>1823</v>
      </c>
      <c r="F4206" s="195">
        <v>40101</v>
      </c>
      <c r="G4206" s="195"/>
      <c r="H4206" s="188" t="str">
        <f>IF(J4206="Book","n/a","")</f>
        <v>n/a</v>
      </c>
      <c r="I4206" s="188">
        <v>237</v>
      </c>
      <c r="J4206" s="902" t="s">
        <v>6868</v>
      </c>
      <c r="K4206" s="162" t="s">
        <v>4032</v>
      </c>
      <c r="L4206" s="162" t="str">
        <f>IF(J4206="Book","n/a","")</f>
        <v>n/a</v>
      </c>
      <c r="M4206" s="162"/>
      <c r="N4206" s="162"/>
      <c r="O4206" s="162"/>
      <c r="P4206" s="178" t="s">
        <v>8837</v>
      </c>
      <c r="Q4206" s="162" t="s">
        <v>3953</v>
      </c>
      <c r="R4206" s="189" t="s">
        <v>2719</v>
      </c>
      <c r="S4206" s="366"/>
      <c r="T4206" s="178" t="s">
        <v>3068</v>
      </c>
      <c r="U4206" s="178"/>
      <c r="V4206" s="178"/>
      <c r="W4206" s="316" t="s">
        <v>1823</v>
      </c>
      <c r="X4206" s="648" t="s">
        <v>14557</v>
      </c>
      <c r="Y4206" s="356"/>
      <c r="Z4206" s="272"/>
      <c r="AA4206" s="272"/>
      <c r="AB4206" s="34">
        <f t="shared" ca="1" si="107"/>
        <v>0.14544697521196859</v>
      </c>
      <c r="AC4206" s="814"/>
      <c r="AD4206" s="818" t="s">
        <v>14585</v>
      </c>
      <c r="AE4206" s="942"/>
      <c r="AF4206" s="923">
        <f>IF(X4206=X4205,AF4205,0)+IF(ISNUMBER(I4206),IF(I4206&lt;1,I4206,I4206*VLOOKUP(J4206,Summary!$H$2:$I$9,2)),VLOOKUP(J4206,Summary!$J$2:$K$9,2)*IF(ISNUMBER(H4206),H4206,1))</f>
        <v>1.8398495370370371</v>
      </c>
      <c r="AG4206" s="291">
        <v>4205</v>
      </c>
      <c r="AH4206" s="94"/>
      <c r="AI4206" s="94"/>
    </row>
    <row r="4207" spans="1:36" s="3" customFormat="1" ht="12" customHeight="1" x14ac:dyDescent="0.25">
      <c r="A4207" s="474" t="s">
        <v>15928</v>
      </c>
      <c r="B4207" s="507" t="s">
        <v>3227</v>
      </c>
      <c r="C4207" s="474">
        <v>13</v>
      </c>
      <c r="D4207" s="417" t="s">
        <v>812</v>
      </c>
      <c r="E4207" s="316" t="s">
        <v>1822</v>
      </c>
      <c r="F4207" s="195">
        <v>40101</v>
      </c>
      <c r="G4207" s="195"/>
      <c r="H4207" s="188" t="str">
        <f>IF(J4207="Book","n/a","")</f>
        <v>n/a</v>
      </c>
      <c r="I4207" s="188">
        <v>244</v>
      </c>
      <c r="J4207" s="902" t="s">
        <v>6868</v>
      </c>
      <c r="K4207" s="162" t="s">
        <v>1643</v>
      </c>
      <c r="L4207" s="162" t="str">
        <f>IF(J4207="Book","n/a","")</f>
        <v>n/a</v>
      </c>
      <c r="M4207" s="162"/>
      <c r="N4207" s="162"/>
      <c r="O4207" s="162"/>
      <c r="P4207" s="178" t="s">
        <v>8836</v>
      </c>
      <c r="Q4207" s="162" t="s">
        <v>3953</v>
      </c>
      <c r="R4207" s="189" t="s">
        <v>2719</v>
      </c>
      <c r="S4207" s="366"/>
      <c r="T4207" s="178" t="s">
        <v>3068</v>
      </c>
      <c r="U4207" s="178"/>
      <c r="V4207" s="178"/>
      <c r="W4207" s="316" t="s">
        <v>1822</v>
      </c>
      <c r="X4207" s="648" t="s">
        <v>14557</v>
      </c>
      <c r="Y4207" s="356"/>
      <c r="Z4207" s="272">
        <v>166</v>
      </c>
      <c r="AA4207" s="272">
        <v>4</v>
      </c>
      <c r="AB4207" s="34">
        <f t="shared" ca="1" si="107"/>
        <v>0.45333768637546046</v>
      </c>
      <c r="AC4207" s="814"/>
      <c r="AD4207" s="818" t="s">
        <v>14585</v>
      </c>
      <c r="AE4207" s="942" t="s">
        <v>15093</v>
      </c>
      <c r="AF4207" s="923">
        <f>IF(X4207=X4206,AF4206,0)+IF(ISNUMBER(I4207),IF(I4207&lt;1,I4207,I4207*VLOOKUP(J4207,Summary!$H$2:$I$9,2)),VLOOKUP(J4207,Summary!$J$2:$K$9,2)*IF(ISNUMBER(H4207),H4207,1))</f>
        <v>2.0092939814814814</v>
      </c>
      <c r="AG4207" s="291">
        <v>4206</v>
      </c>
      <c r="AH4207" s="94"/>
      <c r="AI4207" s="94"/>
      <c r="AJ4207" s="29"/>
    </row>
    <row r="4208" spans="1:36" s="29" customFormat="1" ht="12" customHeight="1" x14ac:dyDescent="0.25">
      <c r="A4208" s="437" t="s">
        <v>15928</v>
      </c>
      <c r="B4208" s="422" t="s">
        <v>3227</v>
      </c>
      <c r="C4208" s="437">
        <v>15.3</v>
      </c>
      <c r="D4208" s="434" t="s">
        <v>7072</v>
      </c>
      <c r="E4208" s="324" t="s">
        <v>7074</v>
      </c>
      <c r="F4208" s="175">
        <v>40101</v>
      </c>
      <c r="G4208" s="175"/>
      <c r="H4208" s="176">
        <v>1</v>
      </c>
      <c r="I4208" s="176"/>
      <c r="J4208" s="900" t="s">
        <v>2755</v>
      </c>
      <c r="K4208" s="157" t="s">
        <v>2939</v>
      </c>
      <c r="L4208" s="164" t="s">
        <v>461</v>
      </c>
      <c r="M4208" s="157"/>
      <c r="N4208" s="157"/>
      <c r="O4208" s="157"/>
      <c r="P4208" s="173" t="s">
        <v>7069</v>
      </c>
      <c r="Q4208" s="157" t="s">
        <v>3953</v>
      </c>
      <c r="R4208" s="179" t="s">
        <v>2719</v>
      </c>
      <c r="S4208" s="354"/>
      <c r="T4208" s="173" t="s">
        <v>3068</v>
      </c>
      <c r="U4208" s="173"/>
      <c r="V4208" s="173"/>
      <c r="W4208" s="324" t="s">
        <v>7074</v>
      </c>
      <c r="X4208" s="656" t="s">
        <v>14557</v>
      </c>
      <c r="Y4208" s="363"/>
      <c r="Z4208" s="364"/>
      <c r="AA4208" s="364"/>
      <c r="AB4208" s="32">
        <f t="shared" ca="1" si="107"/>
        <v>0.92746691270774584</v>
      </c>
      <c r="AC4208" s="812"/>
      <c r="AD4208" s="763" t="s">
        <v>14929</v>
      </c>
      <c r="AE4208" s="951"/>
      <c r="AF4208" s="921">
        <f>IF(X4208=X4207,AF4207,0)+IF(ISNUMBER(I4208),IF(I4208&lt;1,I4208,I4208*VLOOKUP(J4208,Summary!$H$2:$I$9,2)),VLOOKUP(J4208,Summary!$J$2:$K$9,2)*IF(ISNUMBER(H4208),H4208,1))</f>
        <v>2.0266550925925926</v>
      </c>
      <c r="AG4208" s="288">
        <v>4207</v>
      </c>
      <c r="AH4208" s="94"/>
      <c r="AI4208" s="94"/>
    </row>
    <row r="4209" spans="1:36" s="3" customFormat="1" ht="12" customHeight="1" x14ac:dyDescent="0.25">
      <c r="A4209" s="437" t="s">
        <v>15928</v>
      </c>
      <c r="B4209" s="422" t="s">
        <v>3227</v>
      </c>
      <c r="C4209" s="437">
        <v>15.4</v>
      </c>
      <c r="D4209" s="434" t="s">
        <v>7073</v>
      </c>
      <c r="E4209" s="324" t="s">
        <v>6619</v>
      </c>
      <c r="F4209" s="175">
        <v>40101</v>
      </c>
      <c r="G4209" s="175"/>
      <c r="H4209" s="176">
        <v>1</v>
      </c>
      <c r="I4209" s="176"/>
      <c r="J4209" s="900" t="s">
        <v>2755</v>
      </c>
      <c r="K4209" s="157" t="s">
        <v>1503</v>
      </c>
      <c r="L4209" s="164" t="s">
        <v>461</v>
      </c>
      <c r="M4209" s="157"/>
      <c r="N4209" s="157"/>
      <c r="O4209" s="157"/>
      <c r="P4209" s="173" t="s">
        <v>7069</v>
      </c>
      <c r="Q4209" s="157" t="s">
        <v>3953</v>
      </c>
      <c r="R4209" s="179" t="s">
        <v>2719</v>
      </c>
      <c r="S4209" s="354"/>
      <c r="T4209" s="173" t="s">
        <v>3068</v>
      </c>
      <c r="U4209" s="173"/>
      <c r="V4209" s="173"/>
      <c r="W4209" s="324" t="s">
        <v>6619</v>
      </c>
      <c r="X4209" s="656" t="s">
        <v>14557</v>
      </c>
      <c r="Y4209" s="363"/>
      <c r="Z4209" s="364"/>
      <c r="AA4209" s="364"/>
      <c r="AB4209" s="32">
        <f t="shared" ca="1" si="107"/>
        <v>0.66946117187506504</v>
      </c>
      <c r="AC4209" s="812"/>
      <c r="AD4209" s="763" t="s">
        <v>14929</v>
      </c>
      <c r="AE4209" s="951"/>
      <c r="AF4209" s="921">
        <f>IF(X4209=X4208,AF4208,0)+IF(ISNUMBER(I4209),IF(I4209&lt;1,I4209,I4209*VLOOKUP(J4209,Summary!$H$2:$I$9,2)),VLOOKUP(J4209,Summary!$J$2:$K$9,2)*IF(ISNUMBER(H4209),H4209,1))</f>
        <v>2.0440162037037037</v>
      </c>
      <c r="AG4209" s="288">
        <v>4208</v>
      </c>
      <c r="AH4209" s="94"/>
      <c r="AI4209" s="94"/>
      <c r="AJ4209" s="29"/>
    </row>
    <row r="4210" spans="1:36" s="45" customFormat="1" ht="12" customHeight="1" x14ac:dyDescent="0.3">
      <c r="A4210" s="599" t="s">
        <v>1793</v>
      </c>
      <c r="B4210" s="599">
        <v>10</v>
      </c>
      <c r="C4210" s="599">
        <v>189</v>
      </c>
      <c r="D4210" s="424" t="s">
        <v>3084</v>
      </c>
      <c r="E4210" s="319" t="s">
        <v>3085</v>
      </c>
      <c r="F4210" s="198">
        <v>39543</v>
      </c>
      <c r="G4210" s="198"/>
      <c r="H4210" s="199">
        <v>1</v>
      </c>
      <c r="I4210" s="791">
        <f>TIME(0,48,28)</f>
        <v>3.3657407407407407E-2</v>
      </c>
      <c r="J4210" s="904" t="s">
        <v>1588</v>
      </c>
      <c r="K4210" s="200" t="s">
        <v>3373</v>
      </c>
      <c r="L4210" s="200" t="s">
        <v>6949</v>
      </c>
      <c r="M4210" s="200"/>
      <c r="N4210" s="200" t="s">
        <v>3373</v>
      </c>
      <c r="O4210" s="200" t="s">
        <v>3375</v>
      </c>
      <c r="P4210" s="197" t="s">
        <v>461</v>
      </c>
      <c r="Q4210" s="200" t="s">
        <v>3946</v>
      </c>
      <c r="R4210" s="201" t="s">
        <v>5280</v>
      </c>
      <c r="S4210" s="390" t="s">
        <v>1737</v>
      </c>
      <c r="T4210" s="197"/>
      <c r="U4210" s="197"/>
      <c r="V4210" s="197"/>
      <c r="W4210" s="319" t="s">
        <v>3085</v>
      </c>
      <c r="X4210" s="651" t="s">
        <v>15546</v>
      </c>
      <c r="Y4210" s="358" t="s">
        <v>6141</v>
      </c>
      <c r="Z4210" s="253">
        <v>69</v>
      </c>
      <c r="AA4210" s="253">
        <v>7.5</v>
      </c>
      <c r="AB4210" s="35">
        <f t="shared" ca="1" si="107"/>
        <v>0.29881274551494075</v>
      </c>
      <c r="AC4210" s="820"/>
      <c r="AD4210" s="821" t="s">
        <v>14930</v>
      </c>
      <c r="AE4210" s="967"/>
      <c r="AF4210" s="925">
        <f>IF(X4210=X4209,AF4209,0)+IF(ISNUMBER(I4210),IF(I4210&lt;1,I4210,I4210*VLOOKUP(J4210,Summary!$H$2:$I$9,2)),VLOOKUP(J4210,Summary!$J$2:$K$9,2)*IF(ISNUMBER(H4210),H4210,1))</f>
        <v>3.3657407407407407E-2</v>
      </c>
      <c r="AG4210" s="293">
        <v>4209</v>
      </c>
      <c r="AH4210" s="94"/>
      <c r="AI4210" s="94"/>
    </row>
    <row r="4211" spans="1:36" s="29" customFormat="1" ht="12" customHeight="1" x14ac:dyDescent="0.25">
      <c r="A4211" s="599" t="s">
        <v>1793</v>
      </c>
      <c r="B4211" s="599">
        <v>10</v>
      </c>
      <c r="C4211" s="599">
        <v>190</v>
      </c>
      <c r="D4211" s="424" t="s">
        <v>3086</v>
      </c>
      <c r="E4211" s="319" t="s">
        <v>1502</v>
      </c>
      <c r="F4211" s="198">
        <v>39550</v>
      </c>
      <c r="G4211" s="198"/>
      <c r="H4211" s="199">
        <v>1</v>
      </c>
      <c r="I4211" s="791">
        <f>TIME(0,48,13)</f>
        <v>3.3483796296296296E-2</v>
      </c>
      <c r="J4211" s="904" t="s">
        <v>1588</v>
      </c>
      <c r="K4211" s="200" t="s">
        <v>1503</v>
      </c>
      <c r="L4211" s="200" t="s">
        <v>1504</v>
      </c>
      <c r="M4211" s="200"/>
      <c r="N4211" s="200" t="s">
        <v>3373</v>
      </c>
      <c r="O4211" s="200" t="s">
        <v>3375</v>
      </c>
      <c r="P4211" s="197" t="s">
        <v>461</v>
      </c>
      <c r="Q4211" s="200" t="s">
        <v>3946</v>
      </c>
      <c r="R4211" s="201" t="s">
        <v>5280</v>
      </c>
      <c r="S4211" s="390" t="s">
        <v>1737</v>
      </c>
      <c r="T4211" s="197"/>
      <c r="U4211" s="197"/>
      <c r="V4211" s="197"/>
      <c r="W4211" s="319" t="s">
        <v>1502</v>
      </c>
      <c r="X4211" s="651" t="s">
        <v>15546</v>
      </c>
      <c r="Y4211" s="358" t="s">
        <v>6141</v>
      </c>
      <c r="Z4211" s="253">
        <v>155</v>
      </c>
      <c r="AA4211" s="253">
        <v>5.5</v>
      </c>
      <c r="AB4211" s="35">
        <f t="shared" ca="1" si="107"/>
        <v>0.62127841663143746</v>
      </c>
      <c r="AC4211" s="820"/>
      <c r="AD4211" s="824" t="s">
        <v>15057</v>
      </c>
      <c r="AE4211" s="967"/>
      <c r="AF4211" s="925">
        <f>IF(X4211=X4210,AF4210,0)+IF(ISNUMBER(I4211),IF(I4211&lt;1,I4211,I4211*VLOOKUP(J4211,Summary!$H$2:$I$9,2)),VLOOKUP(J4211,Summary!$J$2:$K$9,2)*IF(ISNUMBER(H4211),H4211,1))</f>
        <v>6.7141203703703703E-2</v>
      </c>
      <c r="AG4211" s="293">
        <v>4210</v>
      </c>
      <c r="AH4211" s="94"/>
      <c r="AI4211" s="94"/>
      <c r="AJ4211" s="1"/>
    </row>
    <row r="4212" spans="1:36" s="29" customFormat="1" ht="12" customHeight="1" x14ac:dyDescent="0.25">
      <c r="A4212" s="599" t="s">
        <v>1793</v>
      </c>
      <c r="B4212" s="599">
        <v>10</v>
      </c>
      <c r="C4212" s="599">
        <v>191</v>
      </c>
      <c r="D4212" s="424" t="s">
        <v>1505</v>
      </c>
      <c r="E4212" s="319" t="s">
        <v>1506</v>
      </c>
      <c r="F4212" s="198">
        <v>39557</v>
      </c>
      <c r="G4212" s="198"/>
      <c r="H4212" s="199">
        <v>1</v>
      </c>
      <c r="I4212" s="791">
        <f>TIME(0,43,34)</f>
        <v>3.0254629629629631E-2</v>
      </c>
      <c r="J4212" s="904" t="s">
        <v>1588</v>
      </c>
      <c r="K4212" s="200" t="s">
        <v>1591</v>
      </c>
      <c r="L4212" s="200" t="s">
        <v>4544</v>
      </c>
      <c r="M4212" s="200"/>
      <c r="N4212" s="200" t="s">
        <v>3373</v>
      </c>
      <c r="O4212" s="200" t="s">
        <v>3375</v>
      </c>
      <c r="P4212" s="197" t="s">
        <v>461</v>
      </c>
      <c r="Q4212" s="200" t="s">
        <v>3946</v>
      </c>
      <c r="R4212" s="201" t="s">
        <v>5280</v>
      </c>
      <c r="S4212" s="390" t="s">
        <v>1737</v>
      </c>
      <c r="T4212" s="197"/>
      <c r="U4212" s="197"/>
      <c r="V4212" s="197"/>
      <c r="W4212" s="319" t="s">
        <v>1506</v>
      </c>
      <c r="X4212" s="651" t="s">
        <v>15546</v>
      </c>
      <c r="Y4212" s="358" t="s">
        <v>6141</v>
      </c>
      <c r="Z4212" s="253">
        <v>97</v>
      </c>
      <c r="AA4212" s="253">
        <v>7</v>
      </c>
      <c r="AB4212" s="35">
        <f t="shared" ca="1" si="107"/>
        <v>0.63187802956513617</v>
      </c>
      <c r="AC4212" s="820"/>
      <c r="AD4212" s="821" t="s">
        <v>16404</v>
      </c>
      <c r="AE4212" s="967"/>
      <c r="AF4212" s="925">
        <f>IF(X4212=X4211,AF4211,0)+IF(ISNUMBER(I4212),IF(I4212&lt;1,I4212,I4212*VLOOKUP(J4212,Summary!$H$2:$I$9,2)),VLOOKUP(J4212,Summary!$J$2:$K$9,2)*IF(ISNUMBER(H4212),H4212,1))</f>
        <v>9.7395833333333334E-2</v>
      </c>
      <c r="AG4212" s="293">
        <v>4211</v>
      </c>
      <c r="AH4212" s="94"/>
      <c r="AI4212" s="94"/>
    </row>
    <row r="4213" spans="1:36" s="29" customFormat="1" ht="12" customHeight="1" x14ac:dyDescent="0.25">
      <c r="A4213" s="600" t="s">
        <v>1793</v>
      </c>
      <c r="B4213" s="600">
        <v>10</v>
      </c>
      <c r="C4213" s="600">
        <v>3</v>
      </c>
      <c r="D4213" s="176" t="s">
        <v>3112</v>
      </c>
      <c r="E4213" s="324" t="s">
        <v>7900</v>
      </c>
      <c r="F4213" s="174">
        <v>39783</v>
      </c>
      <c r="G4213" s="175"/>
      <c r="H4213" s="176" t="s">
        <v>461</v>
      </c>
      <c r="I4213" s="176">
        <v>8</v>
      </c>
      <c r="J4213" s="900" t="s">
        <v>2755</v>
      </c>
      <c r="K4213" s="157" t="s">
        <v>6410</v>
      </c>
      <c r="L4213" s="157" t="s">
        <v>3543</v>
      </c>
      <c r="M4213" s="157"/>
      <c r="N4213" s="157"/>
      <c r="O4213" s="157"/>
      <c r="P4213" s="173" t="s">
        <v>461</v>
      </c>
      <c r="Q4213" s="157" t="s">
        <v>3946</v>
      </c>
      <c r="R4213" s="179" t="s">
        <v>7896</v>
      </c>
      <c r="S4213" s="354" t="s">
        <v>1737</v>
      </c>
      <c r="T4213" s="173"/>
      <c r="U4213" s="173"/>
      <c r="V4213" s="173"/>
      <c r="W4213" s="324" t="s">
        <v>7900</v>
      </c>
      <c r="X4213" s="656" t="s">
        <v>15546</v>
      </c>
      <c r="Y4213" s="363"/>
      <c r="Z4213" s="364"/>
      <c r="AA4213" s="364"/>
      <c r="AB4213" s="32">
        <f t="shared" ca="1" si="107"/>
        <v>0.81888683959498088</v>
      </c>
      <c r="AC4213" s="812"/>
      <c r="AD4213" s="763"/>
      <c r="AE4213" s="951"/>
      <c r="AF4213" s="921">
        <f>IF(X4213=X4212,AF4212,0)+IF(ISNUMBER(I4213),IF(I4213&lt;1,I4213,I4213*VLOOKUP(J4213,Summary!$H$2:$I$9,2)),VLOOKUP(J4213,Summary!$J$2:$K$9,2)*IF(ISNUMBER(H4213),H4213,1))</f>
        <v>0.10295138888888888</v>
      </c>
      <c r="AG4213" s="288">
        <v>4212</v>
      </c>
      <c r="AH4213" s="94"/>
      <c r="AI4213" s="94"/>
    </row>
    <row r="4214" spans="1:36" s="29" customFormat="1" ht="12" customHeight="1" x14ac:dyDescent="0.25">
      <c r="A4214" s="603" t="s">
        <v>1793</v>
      </c>
      <c r="B4214" s="603">
        <v>10</v>
      </c>
      <c r="C4214" s="603">
        <v>16</v>
      </c>
      <c r="D4214" s="428" t="s">
        <v>5819</v>
      </c>
      <c r="E4214" s="325" t="s">
        <v>5820</v>
      </c>
      <c r="F4214" s="184">
        <v>39569</v>
      </c>
      <c r="G4214" s="184">
        <v>39582</v>
      </c>
      <c r="H4214" s="185">
        <v>2</v>
      </c>
      <c r="I4214" s="185">
        <v>8</v>
      </c>
      <c r="J4214" s="901" t="s">
        <v>1796</v>
      </c>
      <c r="K4214" s="158" t="s">
        <v>6206</v>
      </c>
      <c r="L4214" s="158" t="s">
        <v>7928</v>
      </c>
      <c r="M4214" s="158" t="s">
        <v>254</v>
      </c>
      <c r="N4214" s="158" t="s">
        <v>4511</v>
      </c>
      <c r="O4214" s="158"/>
      <c r="P4214" s="182" t="s">
        <v>461</v>
      </c>
      <c r="Q4214" s="158" t="s">
        <v>4798</v>
      </c>
      <c r="R4214" s="207" t="s">
        <v>4795</v>
      </c>
      <c r="S4214" s="355" t="s">
        <v>1737</v>
      </c>
      <c r="T4214" s="182"/>
      <c r="U4214" s="182"/>
      <c r="V4214" s="182"/>
      <c r="W4214" s="321" t="s">
        <v>8468</v>
      </c>
      <c r="X4214" s="653" t="s">
        <v>15546</v>
      </c>
      <c r="Y4214" s="361"/>
      <c r="Z4214" s="362"/>
      <c r="AA4214" s="362"/>
      <c r="AB4214" s="33">
        <f t="shared" ca="1" si="107"/>
        <v>0.24897829301553198</v>
      </c>
      <c r="AC4214" s="813"/>
      <c r="AD4214" s="211"/>
      <c r="AE4214" s="949"/>
      <c r="AF4214" s="922">
        <f>IF(X4214=X4213,AF4213,0)+IF(ISNUMBER(I4214),IF(I4214&lt;1,I4214,I4214*VLOOKUP(J4214,Summary!$H$2:$I$9,2)),VLOOKUP(J4214,Summary!$J$2:$K$9,2)*IF(ISNUMBER(H4214),H4214,1))</f>
        <v>0.10572916666666667</v>
      </c>
      <c r="AG4214" s="295">
        <v>4213</v>
      </c>
      <c r="AH4214" s="94"/>
      <c r="AI4214" s="94"/>
      <c r="AJ4214" s="1"/>
    </row>
    <row r="4215" spans="1:36" s="29" customFormat="1" ht="12" customHeight="1" x14ac:dyDescent="0.25">
      <c r="A4215" s="603" t="s">
        <v>1793</v>
      </c>
      <c r="B4215" s="603">
        <v>10</v>
      </c>
      <c r="C4215" s="603">
        <v>39</v>
      </c>
      <c r="D4215" s="428" t="s">
        <v>1131</v>
      </c>
      <c r="E4215" s="325" t="s">
        <v>5821</v>
      </c>
      <c r="F4215" s="184">
        <v>39576</v>
      </c>
      <c r="G4215" s="184">
        <v>39589</v>
      </c>
      <c r="H4215" s="185">
        <v>2</v>
      </c>
      <c r="I4215" s="185">
        <v>10</v>
      </c>
      <c r="J4215" s="901" t="s">
        <v>1796</v>
      </c>
      <c r="K4215" s="158" t="s">
        <v>6843</v>
      </c>
      <c r="L4215" s="158" t="s">
        <v>3832</v>
      </c>
      <c r="M4215" s="158" t="s">
        <v>254</v>
      </c>
      <c r="N4215" s="158" t="s">
        <v>5317</v>
      </c>
      <c r="O4215" s="158"/>
      <c r="P4215" s="182" t="s">
        <v>461</v>
      </c>
      <c r="Q4215" s="158" t="s">
        <v>4929</v>
      </c>
      <c r="R4215" s="207" t="s">
        <v>4796</v>
      </c>
      <c r="S4215" s="355" t="s">
        <v>1737</v>
      </c>
      <c r="T4215" s="182"/>
      <c r="U4215" s="182"/>
      <c r="V4215" s="182"/>
      <c r="W4215" s="321"/>
      <c r="X4215" s="653" t="s">
        <v>15546</v>
      </c>
      <c r="Y4215" s="361"/>
      <c r="Z4215" s="362"/>
      <c r="AA4215" s="362"/>
      <c r="AB4215" s="33">
        <f t="shared" ca="1" si="107"/>
        <v>0.74223308107955299</v>
      </c>
      <c r="AC4215" s="813"/>
      <c r="AD4215" s="211"/>
      <c r="AE4215" s="949"/>
      <c r="AF4215" s="922">
        <f>IF(X4215=X4214,AF4214,0)+IF(ISNUMBER(I4215),IF(I4215&lt;1,I4215,I4215*VLOOKUP(J4215,Summary!$H$2:$I$9,2)),VLOOKUP(J4215,Summary!$J$2:$K$9,2)*IF(ISNUMBER(H4215),H4215,1))</f>
        <v>0.10920138888888889</v>
      </c>
      <c r="AG4215" s="295">
        <v>4214</v>
      </c>
      <c r="AH4215" s="94"/>
      <c r="AI4215" s="94"/>
      <c r="AJ4215" s="1"/>
    </row>
    <row r="4216" spans="1:36" s="29" customFormat="1" ht="12" customHeight="1" x14ac:dyDescent="0.25">
      <c r="A4216" s="603" t="s">
        <v>1793</v>
      </c>
      <c r="B4216" s="603">
        <v>10</v>
      </c>
      <c r="C4216" s="603">
        <v>4</v>
      </c>
      <c r="D4216" s="428" t="s">
        <v>13071</v>
      </c>
      <c r="E4216" s="325" t="s">
        <v>13072</v>
      </c>
      <c r="F4216" s="184">
        <v>39583</v>
      </c>
      <c r="G4216" s="184"/>
      <c r="H4216" s="185">
        <v>1</v>
      </c>
      <c r="I4216" s="185">
        <v>6</v>
      </c>
      <c r="J4216" s="901" t="s">
        <v>1796</v>
      </c>
      <c r="K4216" s="158" t="s">
        <v>1503</v>
      </c>
      <c r="L4216" s="158"/>
      <c r="M4216" s="158"/>
      <c r="N4216" s="158"/>
      <c r="O4216" s="158"/>
      <c r="P4216" s="182" t="s">
        <v>461</v>
      </c>
      <c r="Q4216" s="158" t="s">
        <v>3946</v>
      </c>
      <c r="R4216" s="207" t="s">
        <v>13062</v>
      </c>
      <c r="S4216" s="355" t="s">
        <v>1737</v>
      </c>
      <c r="T4216" s="182"/>
      <c r="U4216" s="182"/>
      <c r="V4216" s="182"/>
      <c r="W4216" s="325" t="s">
        <v>13072</v>
      </c>
      <c r="X4216" s="657" t="s">
        <v>15546</v>
      </c>
      <c r="Y4216" s="361" t="s">
        <v>4707</v>
      </c>
      <c r="Z4216" s="362"/>
      <c r="AA4216" s="362"/>
      <c r="AB4216" s="33">
        <f t="shared" ca="1" si="107"/>
        <v>0.90957385086372322</v>
      </c>
      <c r="AC4216" s="813"/>
      <c r="AD4216" s="211"/>
      <c r="AE4216" s="949"/>
      <c r="AF4216" s="922">
        <f>IF(X4216=X4215,AF4215,0)+IF(ISNUMBER(I4216),IF(I4216&lt;1,I4216,I4216*VLOOKUP(J4216,Summary!$H$2:$I$9,2)),VLOOKUP(J4216,Summary!$J$2:$K$9,2)*IF(ISNUMBER(H4216),H4216,1))</f>
        <v>0.11128472222222223</v>
      </c>
      <c r="AG4216" s="295">
        <v>4215</v>
      </c>
      <c r="AH4216" s="94"/>
      <c r="AI4216" s="94"/>
    </row>
    <row r="4217" spans="1:36" s="29" customFormat="1" ht="12" customHeight="1" x14ac:dyDescent="0.25">
      <c r="A4217" s="603" t="s">
        <v>1793</v>
      </c>
      <c r="B4217" s="603">
        <v>10</v>
      </c>
      <c r="C4217" s="603">
        <v>40</v>
      </c>
      <c r="D4217" s="428" t="s">
        <v>1132</v>
      </c>
      <c r="E4217" s="325" t="s">
        <v>5822</v>
      </c>
      <c r="F4217" s="184">
        <v>39590</v>
      </c>
      <c r="G4217" s="184">
        <v>39596</v>
      </c>
      <c r="H4217" s="185">
        <v>1</v>
      </c>
      <c r="I4217" s="185">
        <v>5</v>
      </c>
      <c r="J4217" s="901" t="s">
        <v>1796</v>
      </c>
      <c r="K4217" s="158" t="s">
        <v>4147</v>
      </c>
      <c r="L4217" s="158" t="s">
        <v>3832</v>
      </c>
      <c r="M4217" s="158" t="s">
        <v>254</v>
      </c>
      <c r="N4217" s="158" t="s">
        <v>5317</v>
      </c>
      <c r="O4217" s="158"/>
      <c r="P4217" s="182" t="s">
        <v>461</v>
      </c>
      <c r="Q4217" s="158" t="s">
        <v>4929</v>
      </c>
      <c r="R4217" s="207" t="s">
        <v>4796</v>
      </c>
      <c r="S4217" s="355" t="s">
        <v>1737</v>
      </c>
      <c r="T4217" s="182"/>
      <c r="U4217" s="182"/>
      <c r="V4217" s="182"/>
      <c r="W4217" s="325" t="s">
        <v>5822</v>
      </c>
      <c r="X4217" s="657" t="s">
        <v>15546</v>
      </c>
      <c r="Y4217" s="361"/>
      <c r="Z4217" s="362"/>
      <c r="AA4217" s="362"/>
      <c r="AB4217" s="33">
        <f t="shared" ca="1" si="107"/>
        <v>0.50409534157324842</v>
      </c>
      <c r="AC4217" s="813"/>
      <c r="AD4217" s="211"/>
      <c r="AE4217" s="949"/>
      <c r="AF4217" s="922">
        <f>IF(X4217=X4216,AF4216,0)+IF(ISNUMBER(I4217),IF(I4217&lt;1,I4217,I4217*VLOOKUP(J4217,Summary!$H$2:$I$9,2)),VLOOKUP(J4217,Summary!$J$2:$K$9,2)*IF(ISNUMBER(H4217),H4217,1))</f>
        <v>0.11302083333333333</v>
      </c>
      <c r="AG4217" s="295">
        <v>4216</v>
      </c>
      <c r="AH4217" s="94"/>
      <c r="AI4217" s="94"/>
    </row>
    <row r="4218" spans="1:36" s="43" customFormat="1" ht="12" customHeight="1" x14ac:dyDescent="0.25">
      <c r="A4218" s="600" t="s">
        <v>1793</v>
      </c>
      <c r="B4218" s="600">
        <v>10</v>
      </c>
      <c r="C4218" s="600">
        <v>25</v>
      </c>
      <c r="D4218" s="176" t="s">
        <v>9804</v>
      </c>
      <c r="E4218" s="313" t="s">
        <v>9803</v>
      </c>
      <c r="F4218" s="175">
        <v>41802</v>
      </c>
      <c r="G4218" s="174"/>
      <c r="H4218" s="176">
        <v>1</v>
      </c>
      <c r="I4218" s="176">
        <v>7</v>
      </c>
      <c r="J4218" s="900" t="s">
        <v>2755</v>
      </c>
      <c r="K4218" s="164" t="s">
        <v>9281</v>
      </c>
      <c r="L4218" s="164" t="s">
        <v>461</v>
      </c>
      <c r="M4218" s="164"/>
      <c r="N4218" s="164" t="s">
        <v>543</v>
      </c>
      <c r="O4218" s="164"/>
      <c r="P4218" s="173" t="s">
        <v>9278</v>
      </c>
      <c r="Q4218" s="164" t="s">
        <v>3953</v>
      </c>
      <c r="R4218" s="177" t="s">
        <v>9279</v>
      </c>
      <c r="S4218" s="354" t="s">
        <v>1737</v>
      </c>
      <c r="T4218" s="173"/>
      <c r="U4218" s="173"/>
      <c r="V4218" s="173"/>
      <c r="W4218" s="313" t="s">
        <v>9803</v>
      </c>
      <c r="X4218" s="645" t="s">
        <v>15546</v>
      </c>
      <c r="Y4218" s="354" t="s">
        <v>6868</v>
      </c>
      <c r="Z4218" s="176"/>
      <c r="AA4218" s="176"/>
      <c r="AB4218" s="32">
        <f t="shared" ca="1" si="107"/>
        <v>1.7255688301281213E-2</v>
      </c>
      <c r="AC4218" s="812"/>
      <c r="AD4218" s="763"/>
      <c r="AE4218" s="807"/>
      <c r="AF4218" s="921">
        <f>IF(X4218=X4217,AF4217,0)+IF(ISNUMBER(I4218),IF(I4218&lt;1,I4218,I4218*VLOOKUP(J4218,Summary!$H$2:$I$9,2)),VLOOKUP(J4218,Summary!$J$2:$K$9,2)*IF(ISNUMBER(H4218),H4218,1))</f>
        <v>0.11788194444444444</v>
      </c>
      <c r="AG4218" s="289">
        <v>4217</v>
      </c>
      <c r="AH4218" s="94"/>
      <c r="AI4218" s="94"/>
    </row>
    <row r="4219" spans="1:36" s="22" customFormat="1" ht="12" customHeight="1" x14ac:dyDescent="0.25">
      <c r="A4219" s="600" t="s">
        <v>1793</v>
      </c>
      <c r="B4219" s="600">
        <v>10</v>
      </c>
      <c r="C4219" s="600">
        <v>2009.03</v>
      </c>
      <c r="D4219" s="434" t="s">
        <v>1725</v>
      </c>
      <c r="E4219" s="324" t="s">
        <v>6717</v>
      </c>
      <c r="F4219" s="174">
        <v>39661</v>
      </c>
      <c r="G4219" s="175"/>
      <c r="H4219" s="176" t="s">
        <v>461</v>
      </c>
      <c r="I4219" s="176">
        <v>9</v>
      </c>
      <c r="J4219" s="900" t="s">
        <v>2755</v>
      </c>
      <c r="K4219" s="157" t="s">
        <v>4964</v>
      </c>
      <c r="L4219" s="157" t="s">
        <v>4850</v>
      </c>
      <c r="M4219" s="157"/>
      <c r="N4219" s="157"/>
      <c r="O4219" s="157"/>
      <c r="P4219" s="173" t="s">
        <v>772</v>
      </c>
      <c r="Q4219" s="157" t="s">
        <v>4841</v>
      </c>
      <c r="R4219" s="179" t="s">
        <v>3976</v>
      </c>
      <c r="S4219" s="354" t="s">
        <v>1737</v>
      </c>
      <c r="T4219" s="173"/>
      <c r="U4219" s="173"/>
      <c r="V4219" s="173"/>
      <c r="W4219" s="324" t="s">
        <v>6717</v>
      </c>
      <c r="X4219" s="656" t="s">
        <v>15546</v>
      </c>
      <c r="Y4219" s="363" t="s">
        <v>6868</v>
      </c>
      <c r="Z4219" s="364">
        <v>999</v>
      </c>
      <c r="AA4219" s="364"/>
      <c r="AB4219" s="32">
        <f t="shared" ca="1" si="107"/>
        <v>0.61602067592897947</v>
      </c>
      <c r="AC4219" s="812"/>
      <c r="AD4219" s="763"/>
      <c r="AE4219" s="951"/>
      <c r="AF4219" s="921">
        <f>IF(X4219=X4218,AF4218,0)+IF(ISNUMBER(I4219),IF(I4219&lt;1,I4219,I4219*VLOOKUP(J4219,Summary!$H$2:$I$9,2)),VLOOKUP(J4219,Summary!$J$2:$K$9,2)*IF(ISNUMBER(H4219),H4219,1))</f>
        <v>0.12413194444444445</v>
      </c>
      <c r="AG4219" s="288">
        <v>4218</v>
      </c>
      <c r="AH4219" s="94"/>
      <c r="AI4219" s="94"/>
    </row>
    <row r="4220" spans="1:36" s="43" customFormat="1" ht="12" customHeight="1" x14ac:dyDescent="0.25">
      <c r="A4220" s="603" t="s">
        <v>1793</v>
      </c>
      <c r="B4220" s="603">
        <v>10</v>
      </c>
      <c r="C4220" s="603">
        <v>17</v>
      </c>
      <c r="D4220" s="428" t="s">
        <v>5814</v>
      </c>
      <c r="E4220" s="325" t="s">
        <v>5815</v>
      </c>
      <c r="F4220" s="184">
        <v>39596</v>
      </c>
      <c r="G4220" s="184">
        <v>39638</v>
      </c>
      <c r="H4220" s="185">
        <v>4</v>
      </c>
      <c r="I4220" s="185">
        <v>16</v>
      </c>
      <c r="J4220" s="901" t="s">
        <v>1796</v>
      </c>
      <c r="K4220" s="158" t="s">
        <v>5198</v>
      </c>
      <c r="L4220" s="158" t="s">
        <v>7928</v>
      </c>
      <c r="M4220" s="158" t="s">
        <v>254</v>
      </c>
      <c r="N4220" s="158" t="s">
        <v>4511</v>
      </c>
      <c r="O4220" s="158"/>
      <c r="P4220" s="182" t="s">
        <v>461</v>
      </c>
      <c r="Q4220" s="158" t="s">
        <v>4798</v>
      </c>
      <c r="R4220" s="207" t="s">
        <v>4795</v>
      </c>
      <c r="S4220" s="355" t="s">
        <v>1737</v>
      </c>
      <c r="T4220" s="182"/>
      <c r="U4220" s="182"/>
      <c r="V4220" s="182"/>
      <c r="W4220" s="321" t="s">
        <v>8469</v>
      </c>
      <c r="X4220" s="653" t="s">
        <v>15546</v>
      </c>
      <c r="Y4220" s="361"/>
      <c r="Z4220" s="362"/>
      <c r="AA4220" s="362"/>
      <c r="AB4220" s="33">
        <f t="shared" ca="1" si="107"/>
        <v>0.87672676751958245</v>
      </c>
      <c r="AC4220" s="813"/>
      <c r="AD4220" s="211"/>
      <c r="AE4220" s="949"/>
      <c r="AF4220" s="922">
        <f>IF(X4220=X4219,AF4219,0)+IF(ISNUMBER(I4220),IF(I4220&lt;1,I4220,I4220*VLOOKUP(J4220,Summary!$H$2:$I$9,2)),VLOOKUP(J4220,Summary!$J$2:$K$9,2)*IF(ISNUMBER(H4220),H4220,1))</f>
        <v>0.12968750000000001</v>
      </c>
      <c r="AG4220" s="295">
        <v>4219</v>
      </c>
      <c r="AH4220" s="94"/>
      <c r="AI4220" s="94"/>
    </row>
    <row r="4221" spans="1:36" s="1" customFormat="1" ht="12" customHeight="1" x14ac:dyDescent="0.25">
      <c r="A4221" s="603" t="s">
        <v>1793</v>
      </c>
      <c r="B4221" s="603">
        <v>10</v>
      </c>
      <c r="C4221" s="603">
        <v>41</v>
      </c>
      <c r="D4221" s="428" t="s">
        <v>1133</v>
      </c>
      <c r="E4221" s="325" t="s">
        <v>5823</v>
      </c>
      <c r="F4221" s="184">
        <v>39597</v>
      </c>
      <c r="G4221" s="184">
        <v>39610</v>
      </c>
      <c r="H4221" s="185">
        <v>2</v>
      </c>
      <c r="I4221" s="185">
        <v>10</v>
      </c>
      <c r="J4221" s="901" t="s">
        <v>1796</v>
      </c>
      <c r="K4221" s="158" t="s">
        <v>4147</v>
      </c>
      <c r="L4221" s="158" t="s">
        <v>3832</v>
      </c>
      <c r="M4221" s="158" t="s">
        <v>254</v>
      </c>
      <c r="N4221" s="158" t="s">
        <v>5317</v>
      </c>
      <c r="O4221" s="158"/>
      <c r="P4221" s="182" t="s">
        <v>461</v>
      </c>
      <c r="Q4221" s="158" t="s">
        <v>4929</v>
      </c>
      <c r="R4221" s="207" t="s">
        <v>4796</v>
      </c>
      <c r="S4221" s="355" t="s">
        <v>1737</v>
      </c>
      <c r="T4221" s="182"/>
      <c r="U4221" s="182"/>
      <c r="V4221" s="182"/>
      <c r="W4221" s="321"/>
      <c r="X4221" s="653" t="s">
        <v>15546</v>
      </c>
      <c r="Y4221" s="361"/>
      <c r="Z4221" s="362"/>
      <c r="AA4221" s="362"/>
      <c r="AB4221" s="33">
        <f t="shared" ca="1" si="107"/>
        <v>0.96133336577688477</v>
      </c>
      <c r="AC4221" s="813"/>
      <c r="AD4221" s="211"/>
      <c r="AE4221" s="949"/>
      <c r="AF4221" s="922">
        <f>IF(X4221=X4220,AF4220,0)+IF(ISNUMBER(I4221),IF(I4221&lt;1,I4221,I4221*VLOOKUP(J4221,Summary!$H$2:$I$9,2)),VLOOKUP(J4221,Summary!$J$2:$K$9,2)*IF(ISNUMBER(H4221),H4221,1))</f>
        <v>0.13315972222222222</v>
      </c>
      <c r="AG4221" s="295">
        <v>4220</v>
      </c>
      <c r="AH4221" s="94"/>
      <c r="AI4221" s="94"/>
      <c r="AJ4221" s="29"/>
    </row>
    <row r="4222" spans="1:36" s="1" customFormat="1" ht="12" customHeight="1" x14ac:dyDescent="0.25">
      <c r="A4222" s="409" t="s">
        <v>1793</v>
      </c>
      <c r="B4222" s="410" t="s">
        <v>2650</v>
      </c>
      <c r="C4222" s="409">
        <v>7</v>
      </c>
      <c r="D4222" s="176" t="s">
        <v>15534</v>
      </c>
      <c r="E4222" s="313" t="s">
        <v>15535</v>
      </c>
      <c r="F4222" s="175">
        <v>43384</v>
      </c>
      <c r="G4222" s="174"/>
      <c r="H4222" s="176">
        <v>1</v>
      </c>
      <c r="I4222" s="176"/>
      <c r="J4222" s="900" t="s">
        <v>2755</v>
      </c>
      <c r="K4222" s="164" t="s">
        <v>15498</v>
      </c>
      <c r="L4222" s="164" t="s">
        <v>461</v>
      </c>
      <c r="M4222" s="164"/>
      <c r="N4222" s="164"/>
      <c r="O4222" s="164"/>
      <c r="P4222" s="173" t="s">
        <v>15499</v>
      </c>
      <c r="Q4222" s="164" t="s">
        <v>3953</v>
      </c>
      <c r="R4222" s="179" t="s">
        <v>15500</v>
      </c>
      <c r="S4222" s="354"/>
      <c r="T4222" s="173"/>
      <c r="U4222" s="173"/>
      <c r="V4222" s="173"/>
      <c r="W4222" s="313" t="s">
        <v>15535</v>
      </c>
      <c r="X4222" s="645" t="s">
        <v>15546</v>
      </c>
      <c r="Y4222" s="354"/>
      <c r="Z4222" s="176"/>
      <c r="AA4222" s="176"/>
      <c r="AB4222" s="32">
        <f t="shared" ca="1" si="107"/>
        <v>0.30333817384068906</v>
      </c>
      <c r="AC4222" s="812"/>
      <c r="AD4222" s="763"/>
      <c r="AE4222" s="807"/>
      <c r="AF4222" s="921">
        <f>IF(X4222=X4221,AF4221,0)+IF(ISNUMBER(I4222),IF(I4222&lt;1,I4222,I4222*VLOOKUP(J4222,Summary!$H$2:$I$9,2)),VLOOKUP(J4222,Summary!$J$2:$K$9,2)*IF(ISNUMBER(H4222),H4222,1))</f>
        <v>0.15052083333333333</v>
      </c>
      <c r="AG4222" s="288">
        <v>4221</v>
      </c>
      <c r="AH4222" s="94"/>
      <c r="AI4222" s="94"/>
      <c r="AJ4222" s="29"/>
    </row>
    <row r="4223" spans="1:36" s="1" customFormat="1" ht="12" customHeight="1" x14ac:dyDescent="0.25">
      <c r="A4223" s="599" t="s">
        <v>1793</v>
      </c>
      <c r="B4223" s="599">
        <v>10</v>
      </c>
      <c r="C4223" s="599">
        <v>192</v>
      </c>
      <c r="D4223" s="424" t="s">
        <v>1592</v>
      </c>
      <c r="E4223" s="319" t="s">
        <v>1593</v>
      </c>
      <c r="F4223" s="198">
        <v>39564</v>
      </c>
      <c r="G4223" s="198">
        <v>39602</v>
      </c>
      <c r="H4223" s="199">
        <v>2</v>
      </c>
      <c r="I4223" s="791">
        <f>TIME(0,44,27)+TIME(0,44,37)</f>
        <v>6.1851851851851852E-2</v>
      </c>
      <c r="J4223" s="904" t="s">
        <v>1588</v>
      </c>
      <c r="K4223" s="200" t="s">
        <v>7907</v>
      </c>
      <c r="L4223" s="200" t="s">
        <v>1594</v>
      </c>
      <c r="M4223" s="200"/>
      <c r="N4223" s="200" t="s">
        <v>3373</v>
      </c>
      <c r="O4223" s="200" t="s">
        <v>3375</v>
      </c>
      <c r="P4223" s="197" t="s">
        <v>461</v>
      </c>
      <c r="Q4223" s="200" t="s">
        <v>3946</v>
      </c>
      <c r="R4223" s="201" t="s">
        <v>5280</v>
      </c>
      <c r="S4223" s="390" t="s">
        <v>1737</v>
      </c>
      <c r="T4223" s="197" t="s">
        <v>3073</v>
      </c>
      <c r="U4223" s="197"/>
      <c r="V4223" s="197"/>
      <c r="W4223" s="318" t="s">
        <v>8467</v>
      </c>
      <c r="X4223" s="650" t="s">
        <v>15546</v>
      </c>
      <c r="Y4223" s="358" t="s">
        <v>6141</v>
      </c>
      <c r="Z4223" s="253">
        <v>221</v>
      </c>
      <c r="AA4223" s="253">
        <v>4</v>
      </c>
      <c r="AB4223" s="35">
        <f t="shared" ca="1" si="107"/>
        <v>0.52019826295713456</v>
      </c>
      <c r="AC4223" s="820"/>
      <c r="AD4223" s="821"/>
      <c r="AE4223" s="944"/>
      <c r="AF4223" s="925">
        <f>IF(X4223=X4222,AF4222,0)+IF(ISNUMBER(I4223),IF(I4223&lt;1,I4223,I4223*VLOOKUP(J4223,Summary!$H$2:$I$9,2)),VLOOKUP(J4223,Summary!$J$2:$K$9,2)*IF(ISNUMBER(H4223),H4223,1))</f>
        <v>0.21237268518518518</v>
      </c>
      <c r="AG4223" s="293">
        <v>4222</v>
      </c>
      <c r="AH4223" s="94"/>
      <c r="AI4223" s="94"/>
      <c r="AJ4223" s="29"/>
    </row>
    <row r="4224" spans="1:36" s="1" customFormat="1" ht="12" customHeight="1" x14ac:dyDescent="0.25">
      <c r="A4224" s="408" t="s">
        <v>1793</v>
      </c>
      <c r="B4224" s="408" t="s">
        <v>2650</v>
      </c>
      <c r="C4224" s="408">
        <v>13</v>
      </c>
      <c r="D4224" s="434" t="s">
        <v>3617</v>
      </c>
      <c r="E4224" s="324" t="s">
        <v>3618</v>
      </c>
      <c r="F4224" s="174">
        <v>39630</v>
      </c>
      <c r="G4224" s="175"/>
      <c r="H4224" s="176">
        <v>1</v>
      </c>
      <c r="I4224" s="176"/>
      <c r="J4224" s="900" t="s">
        <v>2755</v>
      </c>
      <c r="K4224" s="157" t="s">
        <v>543</v>
      </c>
      <c r="L4224" s="157"/>
      <c r="M4224" s="157"/>
      <c r="N4224" s="157"/>
      <c r="O4224" s="157"/>
      <c r="P4224" s="173" t="s">
        <v>3619</v>
      </c>
      <c r="Q4224" s="157" t="s">
        <v>3954</v>
      </c>
      <c r="R4224" s="179" t="s">
        <v>3609</v>
      </c>
      <c r="S4224" s="354"/>
      <c r="T4224" s="173"/>
      <c r="U4224" s="173"/>
      <c r="V4224" s="173"/>
      <c r="W4224" s="324" t="s">
        <v>3618</v>
      </c>
      <c r="X4224" s="656" t="s">
        <v>15546</v>
      </c>
      <c r="Y4224" s="363"/>
      <c r="Z4224" s="364"/>
      <c r="AA4224" s="364"/>
      <c r="AB4224" s="32">
        <f t="shared" ca="1" si="107"/>
        <v>0.1185797513928275</v>
      </c>
      <c r="AC4224" s="812"/>
      <c r="AD4224" s="763"/>
      <c r="AE4224" s="951"/>
      <c r="AF4224" s="921">
        <f>IF(X4224=X4223,AF4223,0)+IF(ISNUMBER(I4224),IF(I4224&lt;1,I4224,I4224*VLOOKUP(J4224,Summary!$H$2:$I$9,2)),VLOOKUP(J4224,Summary!$J$2:$K$9,2)*IF(ISNUMBER(H4224),H4224,1))</f>
        <v>0.22973379629629628</v>
      </c>
      <c r="AG4224" s="288">
        <v>4223</v>
      </c>
      <c r="AH4224" s="94"/>
      <c r="AI4224" s="94"/>
      <c r="AJ4224" s="29"/>
    </row>
    <row r="4225" spans="1:36" s="2" customFormat="1" ht="12" customHeight="1" x14ac:dyDescent="0.25">
      <c r="A4225" s="599" t="s">
        <v>1793</v>
      </c>
      <c r="B4225" s="599">
        <v>10</v>
      </c>
      <c r="C4225" s="599">
        <v>193</v>
      </c>
      <c r="D4225" s="424" t="s">
        <v>1595</v>
      </c>
      <c r="E4225" s="319" t="s">
        <v>1596</v>
      </c>
      <c r="F4225" s="198">
        <v>39578</v>
      </c>
      <c r="G4225" s="198"/>
      <c r="H4225" s="199">
        <v>1</v>
      </c>
      <c r="I4225" s="791">
        <f>TIME(0,45, 7)</f>
        <v>3.1331018518518515E-2</v>
      </c>
      <c r="J4225" s="904" t="s">
        <v>1588</v>
      </c>
      <c r="K4225" s="200" t="s">
        <v>7372</v>
      </c>
      <c r="L4225" s="200" t="s">
        <v>1597</v>
      </c>
      <c r="M4225" s="200"/>
      <c r="N4225" s="200" t="s">
        <v>3373</v>
      </c>
      <c r="O4225" s="200" t="s">
        <v>3375</v>
      </c>
      <c r="P4225" s="197" t="s">
        <v>461</v>
      </c>
      <c r="Q4225" s="200" t="s">
        <v>3946</v>
      </c>
      <c r="R4225" s="201" t="s">
        <v>5280</v>
      </c>
      <c r="S4225" s="390" t="s">
        <v>1737</v>
      </c>
      <c r="T4225" s="197" t="s">
        <v>3073</v>
      </c>
      <c r="U4225" s="197" t="s">
        <v>3629</v>
      </c>
      <c r="V4225" s="197"/>
      <c r="W4225" s="319" t="s">
        <v>1596</v>
      </c>
      <c r="X4225" s="651" t="s">
        <v>15546</v>
      </c>
      <c r="Y4225" s="358" t="s">
        <v>6141</v>
      </c>
      <c r="Z4225" s="253">
        <v>276</v>
      </c>
      <c r="AA4225" s="253">
        <v>2.5</v>
      </c>
      <c r="AB4225" s="35">
        <f t="shared" ca="1" si="107"/>
        <v>0.22801654983543729</v>
      </c>
      <c r="AC4225" s="820"/>
      <c r="AD4225" s="821" t="s">
        <v>16451</v>
      </c>
      <c r="AE4225" s="967"/>
      <c r="AF4225" s="925">
        <f>IF(X4225=X4224,AF4224,0)+IF(ISNUMBER(I4225),IF(I4225&lt;1,I4225,I4225*VLOOKUP(J4225,Summary!$H$2:$I$9,2)),VLOOKUP(J4225,Summary!$J$2:$K$9,2)*IF(ISNUMBER(H4225),H4225,1))</f>
        <v>0.26106481481481481</v>
      </c>
      <c r="AG4225" s="293">
        <v>4224</v>
      </c>
      <c r="AH4225" s="94"/>
      <c r="AI4225" s="94"/>
      <c r="AJ4225" s="3"/>
    </row>
    <row r="4226" spans="1:36" s="22" customFormat="1" ht="12" customHeight="1" x14ac:dyDescent="0.25">
      <c r="A4226" s="604" t="s">
        <v>1793</v>
      </c>
      <c r="B4226" s="604">
        <v>10</v>
      </c>
      <c r="C4226" s="604">
        <v>25</v>
      </c>
      <c r="D4226" s="417" t="s">
        <v>7700</v>
      </c>
      <c r="E4226" s="316" t="s">
        <v>1599</v>
      </c>
      <c r="F4226" s="195">
        <v>39695</v>
      </c>
      <c r="G4226" s="195"/>
      <c r="H4226" s="188" t="str">
        <f>IF(J4226="Book","n/a","")</f>
        <v>n/a</v>
      </c>
      <c r="I4226" s="188">
        <v>247</v>
      </c>
      <c r="J4226" s="902" t="s">
        <v>6868</v>
      </c>
      <c r="K4226" s="162" t="s">
        <v>6356</v>
      </c>
      <c r="L4226" s="162" t="str">
        <f>IF(J4226="Book","n/a","")</f>
        <v>n/a</v>
      </c>
      <c r="M4226" s="162"/>
      <c r="N4226" s="162"/>
      <c r="O4226" s="162"/>
      <c r="P4226" s="178" t="s">
        <v>9041</v>
      </c>
      <c r="Q4226" s="162" t="s">
        <v>3953</v>
      </c>
      <c r="R4226" s="189" t="s">
        <v>2711</v>
      </c>
      <c r="S4226" s="366" t="s">
        <v>1737</v>
      </c>
      <c r="T4226" s="178"/>
      <c r="U4226" s="178"/>
      <c r="V4226" s="178"/>
      <c r="W4226" s="316" t="s">
        <v>1599</v>
      </c>
      <c r="X4226" s="648" t="s">
        <v>15546</v>
      </c>
      <c r="Y4226" s="356"/>
      <c r="Z4226" s="272">
        <v>170</v>
      </c>
      <c r="AA4226" s="272">
        <v>4</v>
      </c>
      <c r="AB4226" s="34">
        <f t="shared" ref="AB4226:AB4289" ca="1" si="108">RAND()</f>
        <v>0.12407821475684722</v>
      </c>
      <c r="AC4226" s="814"/>
      <c r="AD4226" s="815"/>
      <c r="AE4226" s="942"/>
      <c r="AF4226" s="923">
        <f>IF(X4226=X4225,AF4225,0)+IF(ISNUMBER(I4226),IF(I4226&lt;1,I4226,I4226*VLOOKUP(J4226,Summary!$H$2:$I$9,2)),VLOOKUP(J4226,Summary!$J$2:$K$9,2)*IF(ISNUMBER(H4226),H4226,1))</f>
        <v>0.43259259259259258</v>
      </c>
      <c r="AG4226" s="291">
        <v>4225</v>
      </c>
      <c r="AH4226" s="94"/>
      <c r="AI4226" s="94"/>
    </row>
    <row r="4227" spans="1:36" s="29" customFormat="1" ht="12" customHeight="1" x14ac:dyDescent="0.25">
      <c r="A4227" s="604" t="s">
        <v>1793</v>
      </c>
      <c r="B4227" s="604">
        <v>10</v>
      </c>
      <c r="C4227" s="604">
        <v>26</v>
      </c>
      <c r="D4227" s="417" t="s">
        <v>7701</v>
      </c>
      <c r="E4227" s="316" t="s">
        <v>1598</v>
      </c>
      <c r="F4227" s="195">
        <v>39695</v>
      </c>
      <c r="G4227" s="195"/>
      <c r="H4227" s="188" t="str">
        <f>IF(J4227="Book","n/a","")</f>
        <v>n/a</v>
      </c>
      <c r="I4227" s="188">
        <v>248</v>
      </c>
      <c r="J4227" s="902" t="s">
        <v>6868</v>
      </c>
      <c r="K4227" s="162" t="s">
        <v>4033</v>
      </c>
      <c r="L4227" s="162" t="str">
        <f>IF(J4227="Book","n/a","")</f>
        <v>n/a</v>
      </c>
      <c r="M4227" s="162"/>
      <c r="N4227" s="162"/>
      <c r="O4227" s="162"/>
      <c r="P4227" s="178" t="s">
        <v>9040</v>
      </c>
      <c r="Q4227" s="162" t="s">
        <v>3953</v>
      </c>
      <c r="R4227" s="189" t="s">
        <v>2711</v>
      </c>
      <c r="S4227" s="366" t="s">
        <v>1737</v>
      </c>
      <c r="T4227" s="178"/>
      <c r="U4227" s="178"/>
      <c r="V4227" s="178"/>
      <c r="W4227" s="316" t="s">
        <v>1598</v>
      </c>
      <c r="X4227" s="648" t="s">
        <v>15546</v>
      </c>
      <c r="Y4227" s="356"/>
      <c r="Z4227" s="272">
        <v>181</v>
      </c>
      <c r="AA4227" s="272">
        <v>3.5</v>
      </c>
      <c r="AB4227" s="34">
        <f t="shared" ca="1" si="108"/>
        <v>0.63668746281585131</v>
      </c>
      <c r="AC4227" s="814"/>
      <c r="AD4227" s="815" t="s">
        <v>16747</v>
      </c>
      <c r="AE4227" s="942"/>
      <c r="AF4227" s="923">
        <f>IF(X4227=X4226,AF4226,0)+IF(ISNUMBER(I4227),IF(I4227&lt;1,I4227,I4227*VLOOKUP(J4227,Summary!$H$2:$I$9,2)),VLOOKUP(J4227,Summary!$J$2:$K$9,2)*IF(ISNUMBER(H4227),H4227,1))</f>
        <v>0.60481481481481481</v>
      </c>
      <c r="AG4227" s="291">
        <v>4226</v>
      </c>
      <c r="AH4227" s="94"/>
      <c r="AI4227" s="94"/>
      <c r="AJ4227" s="43"/>
    </row>
    <row r="4228" spans="1:36" s="1" customFormat="1" ht="12" customHeight="1" x14ac:dyDescent="0.25">
      <c r="A4228" s="604" t="s">
        <v>1793</v>
      </c>
      <c r="B4228" s="604">
        <v>10</v>
      </c>
      <c r="C4228" s="604">
        <v>27</v>
      </c>
      <c r="D4228" s="417" t="s">
        <v>7702</v>
      </c>
      <c r="E4228" s="316" t="s">
        <v>1600</v>
      </c>
      <c r="F4228" s="195">
        <v>39695</v>
      </c>
      <c r="G4228" s="195"/>
      <c r="H4228" s="188" t="str">
        <f>IF(J4228="Book","n/a","")</f>
        <v>n/a</v>
      </c>
      <c r="I4228" s="188">
        <v>249</v>
      </c>
      <c r="J4228" s="902" t="s">
        <v>6868</v>
      </c>
      <c r="K4228" s="162" t="s">
        <v>1936</v>
      </c>
      <c r="L4228" s="162" t="str">
        <f>IF(J4228="Book","n/a","")</f>
        <v>n/a</v>
      </c>
      <c r="M4228" s="162"/>
      <c r="N4228" s="162"/>
      <c r="O4228" s="162"/>
      <c r="P4228" s="178" t="s">
        <v>9042</v>
      </c>
      <c r="Q4228" s="162" t="s">
        <v>3953</v>
      </c>
      <c r="R4228" s="189" t="s">
        <v>2711</v>
      </c>
      <c r="S4228" s="366" t="s">
        <v>1737</v>
      </c>
      <c r="T4228" s="178"/>
      <c r="U4228" s="178"/>
      <c r="V4228" s="178"/>
      <c r="W4228" s="316" t="s">
        <v>1600</v>
      </c>
      <c r="X4228" s="648" t="s">
        <v>15546</v>
      </c>
      <c r="Y4228" s="356" t="s">
        <v>6868</v>
      </c>
      <c r="Z4228" s="272"/>
      <c r="AA4228" s="272"/>
      <c r="AB4228" s="34">
        <f t="shared" ca="1" si="108"/>
        <v>0.74331331865675732</v>
      </c>
      <c r="AC4228" s="814"/>
      <c r="AD4228" s="815"/>
      <c r="AE4228" s="942"/>
      <c r="AF4228" s="923">
        <f>IF(X4228=X4227,AF4227,0)+IF(ISNUMBER(I4228),IF(I4228&lt;1,I4228,I4228*VLOOKUP(J4228,Summary!$H$2:$I$9,2)),VLOOKUP(J4228,Summary!$J$2:$K$9,2)*IF(ISNUMBER(H4228),H4228,1))</f>
        <v>0.77773148148148152</v>
      </c>
      <c r="AG4228" s="291">
        <v>4227</v>
      </c>
      <c r="AH4228" s="94"/>
      <c r="AI4228" s="94"/>
      <c r="AJ4228" s="29"/>
    </row>
    <row r="4229" spans="1:36" s="1" customFormat="1" ht="12" customHeight="1" x14ac:dyDescent="0.25">
      <c r="A4229" s="608" t="s">
        <v>1793</v>
      </c>
      <c r="B4229" s="608">
        <v>10</v>
      </c>
      <c r="C4229" s="608">
        <v>10</v>
      </c>
      <c r="D4229" s="192" t="s">
        <v>12652</v>
      </c>
      <c r="E4229" s="317" t="s">
        <v>12653</v>
      </c>
      <c r="F4229" s="209">
        <v>42985</v>
      </c>
      <c r="G4229" s="192"/>
      <c r="H4229" s="192" t="s">
        <v>461</v>
      </c>
      <c r="I4229" s="192"/>
      <c r="J4229" s="903" t="s">
        <v>2755</v>
      </c>
      <c r="K4229" s="194" t="s">
        <v>7798</v>
      </c>
      <c r="L4229" s="194" t="s">
        <v>12629</v>
      </c>
      <c r="M4229" s="194" t="s">
        <v>498</v>
      </c>
      <c r="N4229" s="194"/>
      <c r="O4229" s="194"/>
      <c r="P4229" s="190" t="s">
        <v>12632</v>
      </c>
      <c r="Q4229" s="194" t="s">
        <v>3954</v>
      </c>
      <c r="R4229" s="193" t="s">
        <v>12631</v>
      </c>
      <c r="S4229" s="357" t="s">
        <v>1737</v>
      </c>
      <c r="T4229" s="190"/>
      <c r="U4229" s="190"/>
      <c r="V4229" s="190"/>
      <c r="W4229" s="317" t="s">
        <v>12653</v>
      </c>
      <c r="X4229" s="649" t="s">
        <v>15546</v>
      </c>
      <c r="Y4229" s="357"/>
      <c r="Z4229" s="192"/>
      <c r="AA4229" s="192"/>
      <c r="AB4229" s="37">
        <f t="shared" ca="1" si="108"/>
        <v>0.13651671146472111</v>
      </c>
      <c r="AC4229" s="816"/>
      <c r="AD4229" s="817"/>
      <c r="AE4229" s="943"/>
      <c r="AF4229" s="924">
        <f>IF(X4229=X4228,AF4228,0)+IF(ISNUMBER(I4229),IF(I4229&lt;1,I4229,I4229*VLOOKUP(J4229,Summary!$H$2:$I$9,2)),VLOOKUP(J4229,Summary!$J$2:$K$9,2)*IF(ISNUMBER(H4229),H4229,1))</f>
        <v>0.79509259259259268</v>
      </c>
      <c r="AG4229" s="292">
        <v>4228</v>
      </c>
      <c r="AH4229" s="94"/>
      <c r="AI4229" s="94"/>
      <c r="AJ4229" s="29"/>
    </row>
    <row r="4230" spans="1:36" s="1" customFormat="1" ht="12" customHeight="1" x14ac:dyDescent="0.25">
      <c r="A4230" s="603" t="s">
        <v>1793</v>
      </c>
      <c r="B4230" s="603">
        <v>10</v>
      </c>
      <c r="C4230" s="603">
        <v>19</v>
      </c>
      <c r="D4230" s="428" t="s">
        <v>5817</v>
      </c>
      <c r="E4230" s="325" t="s">
        <v>5818</v>
      </c>
      <c r="F4230" s="184">
        <v>39708</v>
      </c>
      <c r="G4230" s="184">
        <v>39750</v>
      </c>
      <c r="H4230" s="185">
        <v>4</v>
      </c>
      <c r="I4230" s="185">
        <v>16</v>
      </c>
      <c r="J4230" s="901" t="s">
        <v>1796</v>
      </c>
      <c r="K4230" s="158" t="s">
        <v>5198</v>
      </c>
      <c r="L4230" s="158" t="s">
        <v>7928</v>
      </c>
      <c r="M4230" s="158" t="s">
        <v>254</v>
      </c>
      <c r="N4230" s="158" t="s">
        <v>4511</v>
      </c>
      <c r="O4230" s="158"/>
      <c r="P4230" s="182" t="s">
        <v>461</v>
      </c>
      <c r="Q4230" s="158" t="s">
        <v>4798</v>
      </c>
      <c r="R4230" s="207" t="s">
        <v>4795</v>
      </c>
      <c r="S4230" s="355" t="s">
        <v>1737</v>
      </c>
      <c r="T4230" s="182"/>
      <c r="U4230" s="182"/>
      <c r="V4230" s="182"/>
      <c r="W4230" s="321" t="s">
        <v>8471</v>
      </c>
      <c r="X4230" s="653" t="s">
        <v>15546</v>
      </c>
      <c r="Y4230" s="361"/>
      <c r="Z4230" s="362"/>
      <c r="AA4230" s="362"/>
      <c r="AB4230" s="33">
        <f t="shared" ca="1" si="108"/>
        <v>0.90350515540219689</v>
      </c>
      <c r="AC4230" s="813"/>
      <c r="AD4230" s="211"/>
      <c r="AE4230" s="949"/>
      <c r="AF4230" s="922">
        <f>IF(X4230=X4229,AF4229,0)+IF(ISNUMBER(I4230),IF(I4230&lt;1,I4230,I4230*VLOOKUP(J4230,Summary!$H$2:$I$9,2)),VLOOKUP(J4230,Summary!$J$2:$K$9,2)*IF(ISNUMBER(H4230),H4230,1))</f>
        <v>0.80064814814814822</v>
      </c>
      <c r="AG4230" s="295">
        <v>4229</v>
      </c>
      <c r="AH4230" s="94"/>
      <c r="AI4230" s="94"/>
      <c r="AJ4230" s="3"/>
    </row>
    <row r="4231" spans="1:36" s="3" customFormat="1" ht="12" customHeight="1" x14ac:dyDescent="0.25">
      <c r="A4231" s="605" t="s">
        <v>1793</v>
      </c>
      <c r="B4231" s="605">
        <v>10</v>
      </c>
      <c r="C4231" s="605">
        <v>1</v>
      </c>
      <c r="D4231" s="407" t="s">
        <v>4133</v>
      </c>
      <c r="E4231" s="315" t="s">
        <v>1601</v>
      </c>
      <c r="F4231" s="196">
        <v>39576</v>
      </c>
      <c r="G4231" s="196"/>
      <c r="H4231" s="170">
        <v>2</v>
      </c>
      <c r="I4231" s="747">
        <f>TIME(2,0,0)</f>
        <v>8.3333333333333329E-2</v>
      </c>
      <c r="J4231" s="899" t="s">
        <v>4706</v>
      </c>
      <c r="K4231" s="167" t="s">
        <v>4551</v>
      </c>
      <c r="L4231" s="167" t="str">
        <f>IF(J4231="Book","n/a","")</f>
        <v/>
      </c>
      <c r="M4231" s="167"/>
      <c r="N4231" s="167"/>
      <c r="O4231" s="167"/>
      <c r="P4231" s="168" t="s">
        <v>8920</v>
      </c>
      <c r="Q4231" s="167" t="s">
        <v>3950</v>
      </c>
      <c r="R4231" s="172" t="s">
        <v>2240</v>
      </c>
      <c r="S4231" s="388" t="s">
        <v>1737</v>
      </c>
      <c r="T4231" s="168"/>
      <c r="U4231" s="168"/>
      <c r="V4231" s="168"/>
      <c r="W4231" s="312"/>
      <c r="X4231" s="644" t="s">
        <v>15546</v>
      </c>
      <c r="Y4231" s="352"/>
      <c r="Z4231" s="353"/>
      <c r="AA4231" s="353"/>
      <c r="AB4231" s="31">
        <f t="shared" ca="1" si="108"/>
        <v>0.43047551104546922</v>
      </c>
      <c r="AC4231" s="810"/>
      <c r="AD4231" s="811" t="s">
        <v>16407</v>
      </c>
      <c r="AE4231" s="940" t="s">
        <v>12543</v>
      </c>
      <c r="AF4231" s="920">
        <f>IF(X4231=X4230,AF4230,0)+IF(ISNUMBER(I4231),IF(I4231&lt;1,I4231,I4231*VLOOKUP(J4231,Summary!$H$2:$I$9,2)),VLOOKUP(J4231,Summary!$J$2:$K$9,2)*IF(ISNUMBER(H4231),H4231,1))</f>
        <v>0.88398148148148159</v>
      </c>
      <c r="AG4231" s="287">
        <v>4230</v>
      </c>
      <c r="AH4231" s="94"/>
      <c r="AI4231" s="94"/>
    </row>
    <row r="4232" spans="1:36" s="1" customFormat="1" ht="12" customHeight="1" x14ac:dyDescent="0.25">
      <c r="A4232" s="603" t="s">
        <v>1793</v>
      </c>
      <c r="B4232" s="603">
        <v>10</v>
      </c>
      <c r="C4232" s="603">
        <v>42</v>
      </c>
      <c r="D4232" s="428" t="s">
        <v>1134</v>
      </c>
      <c r="E4232" s="325" t="s">
        <v>5824</v>
      </c>
      <c r="F4232" s="184">
        <v>39611</v>
      </c>
      <c r="G4232" s="184">
        <v>39624</v>
      </c>
      <c r="H4232" s="185">
        <v>2</v>
      </c>
      <c r="I4232" s="185">
        <v>10</v>
      </c>
      <c r="J4232" s="901" t="s">
        <v>1796</v>
      </c>
      <c r="K4232" s="158" t="s">
        <v>4032</v>
      </c>
      <c r="L4232" s="158" t="s">
        <v>3832</v>
      </c>
      <c r="M4232" s="158" t="s">
        <v>254</v>
      </c>
      <c r="N4232" s="158" t="s">
        <v>5317</v>
      </c>
      <c r="O4232" s="158"/>
      <c r="P4232" s="182" t="s">
        <v>461</v>
      </c>
      <c r="Q4232" s="158" t="s">
        <v>4929</v>
      </c>
      <c r="R4232" s="207" t="s">
        <v>4796</v>
      </c>
      <c r="S4232" s="355" t="s">
        <v>1737</v>
      </c>
      <c r="T4232" s="182"/>
      <c r="U4232" s="182"/>
      <c r="V4232" s="182"/>
      <c r="W4232" s="321"/>
      <c r="X4232" s="653" t="s">
        <v>15546</v>
      </c>
      <c r="Y4232" s="361"/>
      <c r="Z4232" s="362"/>
      <c r="AA4232" s="362"/>
      <c r="AB4232" s="33">
        <f t="shared" ca="1" si="108"/>
        <v>0.63178257380302583</v>
      </c>
      <c r="AC4232" s="813"/>
      <c r="AD4232" s="211"/>
      <c r="AE4232" s="949"/>
      <c r="AF4232" s="922">
        <f>IF(X4232=X4231,AF4231,0)+IF(ISNUMBER(I4232),IF(I4232&lt;1,I4232,I4232*VLOOKUP(J4232,Summary!$H$2:$I$9,2)),VLOOKUP(J4232,Summary!$J$2:$K$9,2)*IF(ISNUMBER(H4232),H4232,1))</f>
        <v>0.8874537037037038</v>
      </c>
      <c r="AG4232" s="295">
        <v>4231</v>
      </c>
      <c r="AH4232" s="94"/>
      <c r="AI4232" s="94"/>
      <c r="AJ4232" s="29"/>
    </row>
    <row r="4233" spans="1:36" s="3" customFormat="1" ht="12" customHeight="1" x14ac:dyDescent="0.25">
      <c r="A4233" s="603" t="s">
        <v>1793</v>
      </c>
      <c r="B4233" s="603">
        <v>10</v>
      </c>
      <c r="C4233" s="603">
        <v>43</v>
      </c>
      <c r="D4233" s="428" t="s">
        <v>1135</v>
      </c>
      <c r="E4233" s="325" t="s">
        <v>5825</v>
      </c>
      <c r="F4233" s="184">
        <v>39625</v>
      </c>
      <c r="G4233" s="184">
        <v>39638</v>
      </c>
      <c r="H4233" s="185">
        <v>2</v>
      </c>
      <c r="I4233" s="185">
        <v>10</v>
      </c>
      <c r="J4233" s="901" t="s">
        <v>1796</v>
      </c>
      <c r="K4233" s="158" t="s">
        <v>4147</v>
      </c>
      <c r="L4233" s="158" t="s">
        <v>3832</v>
      </c>
      <c r="M4233" s="158" t="s">
        <v>254</v>
      </c>
      <c r="N4233" s="158" t="s">
        <v>5317</v>
      </c>
      <c r="O4233" s="158"/>
      <c r="P4233" s="182" t="s">
        <v>461</v>
      </c>
      <c r="Q4233" s="158" t="s">
        <v>4929</v>
      </c>
      <c r="R4233" s="207" t="s">
        <v>4796</v>
      </c>
      <c r="S4233" s="355" t="s">
        <v>1737</v>
      </c>
      <c r="T4233" s="182"/>
      <c r="U4233" s="182"/>
      <c r="V4233" s="182"/>
      <c r="W4233" s="321"/>
      <c r="X4233" s="653" t="s">
        <v>15546</v>
      </c>
      <c r="Y4233" s="361"/>
      <c r="Z4233" s="362"/>
      <c r="AA4233" s="362"/>
      <c r="AB4233" s="33">
        <f t="shared" ca="1" si="108"/>
        <v>3.3180854295078999E-2</v>
      </c>
      <c r="AC4233" s="813"/>
      <c r="AD4233" s="211"/>
      <c r="AE4233" s="949"/>
      <c r="AF4233" s="922">
        <f>IF(X4233=X4232,AF4232,0)+IF(ISNUMBER(I4233),IF(I4233&lt;1,I4233,I4233*VLOOKUP(J4233,Summary!$H$2:$I$9,2)),VLOOKUP(J4233,Summary!$J$2:$K$9,2)*IF(ISNUMBER(H4233),H4233,1))</f>
        <v>0.89092592592592601</v>
      </c>
      <c r="AG4233" s="295">
        <v>4232</v>
      </c>
      <c r="AH4233" s="94"/>
      <c r="AI4233" s="94"/>
      <c r="AJ4233" s="1"/>
    </row>
    <row r="4234" spans="1:36" s="3" customFormat="1" ht="12" customHeight="1" x14ac:dyDescent="0.25">
      <c r="A4234" s="603" t="s">
        <v>1793</v>
      </c>
      <c r="B4234" s="603">
        <v>10</v>
      </c>
      <c r="C4234" s="603">
        <v>8</v>
      </c>
      <c r="D4234" s="428" t="s">
        <v>13079</v>
      </c>
      <c r="E4234" s="325" t="s">
        <v>13080</v>
      </c>
      <c r="F4234" s="184">
        <v>39618</v>
      </c>
      <c r="G4234" s="184"/>
      <c r="H4234" s="185">
        <v>1</v>
      </c>
      <c r="I4234" s="185">
        <v>6</v>
      </c>
      <c r="J4234" s="901" t="s">
        <v>1796</v>
      </c>
      <c r="K4234" s="158" t="s">
        <v>3807</v>
      </c>
      <c r="L4234" s="158"/>
      <c r="M4234" s="158"/>
      <c r="N4234" s="158"/>
      <c r="O4234" s="158"/>
      <c r="P4234" s="182" t="s">
        <v>461</v>
      </c>
      <c r="Q4234" s="158" t="s">
        <v>3946</v>
      </c>
      <c r="R4234" s="207" t="s">
        <v>13062</v>
      </c>
      <c r="S4234" s="355" t="s">
        <v>1737</v>
      </c>
      <c r="T4234" s="182"/>
      <c r="U4234" s="182"/>
      <c r="V4234" s="182"/>
      <c r="W4234" s="325" t="s">
        <v>13080</v>
      </c>
      <c r="X4234" s="657" t="s">
        <v>15546</v>
      </c>
      <c r="Y4234" s="361" t="s">
        <v>4707</v>
      </c>
      <c r="Z4234" s="362"/>
      <c r="AA4234" s="362"/>
      <c r="AB4234" s="33">
        <f t="shared" ca="1" si="108"/>
        <v>0.86827209357031776</v>
      </c>
      <c r="AC4234" s="813"/>
      <c r="AD4234" s="211"/>
      <c r="AE4234" s="949"/>
      <c r="AF4234" s="922">
        <f>IF(X4234=X4233,AF4233,0)+IF(ISNUMBER(I4234),IF(I4234&lt;1,I4234,I4234*VLOOKUP(J4234,Summary!$H$2:$I$9,2)),VLOOKUP(J4234,Summary!$J$2:$K$9,2)*IF(ISNUMBER(H4234),H4234,1))</f>
        <v>0.89300925925925934</v>
      </c>
      <c r="AG4234" s="295">
        <v>4233</v>
      </c>
      <c r="AH4234" s="94"/>
      <c r="AI4234" s="94"/>
      <c r="AJ4234" s="1"/>
    </row>
    <row r="4235" spans="1:36" s="3" customFormat="1" ht="12" customHeight="1" x14ac:dyDescent="0.25">
      <c r="A4235" s="603" t="s">
        <v>1793</v>
      </c>
      <c r="B4235" s="603">
        <v>10</v>
      </c>
      <c r="C4235" s="603">
        <v>44</v>
      </c>
      <c r="D4235" s="428" t="s">
        <v>1136</v>
      </c>
      <c r="E4235" s="325" t="s">
        <v>5826</v>
      </c>
      <c r="F4235" s="184">
        <v>39639</v>
      </c>
      <c r="G4235" s="184">
        <v>39652</v>
      </c>
      <c r="H4235" s="185">
        <v>2</v>
      </c>
      <c r="I4235" s="185">
        <v>10</v>
      </c>
      <c r="J4235" s="901" t="s">
        <v>1796</v>
      </c>
      <c r="K4235" s="158" t="s">
        <v>4147</v>
      </c>
      <c r="L4235" s="158" t="s">
        <v>3832</v>
      </c>
      <c r="M4235" s="158" t="s">
        <v>254</v>
      </c>
      <c r="N4235" s="158" t="s">
        <v>5317</v>
      </c>
      <c r="O4235" s="158"/>
      <c r="P4235" s="182" t="s">
        <v>461</v>
      </c>
      <c r="Q4235" s="158" t="s">
        <v>4929</v>
      </c>
      <c r="R4235" s="207" t="s">
        <v>4796</v>
      </c>
      <c r="S4235" s="355" t="s">
        <v>1737</v>
      </c>
      <c r="T4235" s="182"/>
      <c r="U4235" s="182"/>
      <c r="V4235" s="182"/>
      <c r="W4235" s="321"/>
      <c r="X4235" s="653" t="s">
        <v>15546</v>
      </c>
      <c r="Y4235" s="361"/>
      <c r="Z4235" s="362"/>
      <c r="AA4235" s="362"/>
      <c r="AB4235" s="33">
        <f t="shared" ca="1" si="108"/>
        <v>0.1336407566862714</v>
      </c>
      <c r="AC4235" s="813"/>
      <c r="AD4235" s="211"/>
      <c r="AE4235" s="949"/>
      <c r="AF4235" s="922">
        <f>IF(X4235=X4234,AF4234,0)+IF(ISNUMBER(I4235),IF(I4235&lt;1,I4235,I4235*VLOOKUP(J4235,Summary!$H$2:$I$9,2)),VLOOKUP(J4235,Summary!$J$2:$K$9,2)*IF(ISNUMBER(H4235),H4235,1))</f>
        <v>0.89648148148148155</v>
      </c>
      <c r="AG4235" s="295">
        <v>4234</v>
      </c>
      <c r="AH4235" s="94"/>
      <c r="AI4235" s="94"/>
      <c r="AJ4235" s="1"/>
    </row>
    <row r="4236" spans="1:36" s="3" customFormat="1" ht="12" customHeight="1" x14ac:dyDescent="0.25">
      <c r="A4236" s="603" t="s">
        <v>1793</v>
      </c>
      <c r="B4236" s="603">
        <v>10</v>
      </c>
      <c r="C4236" s="603">
        <v>10</v>
      </c>
      <c r="D4236" s="428" t="s">
        <v>13081</v>
      </c>
      <c r="E4236" s="325" t="s">
        <v>13082</v>
      </c>
      <c r="F4236" s="184">
        <v>39633</v>
      </c>
      <c r="G4236" s="184"/>
      <c r="H4236" s="185">
        <v>1</v>
      </c>
      <c r="I4236" s="185">
        <v>6</v>
      </c>
      <c r="J4236" s="901" t="s">
        <v>1796</v>
      </c>
      <c r="K4236" s="158" t="s">
        <v>4551</v>
      </c>
      <c r="L4236" s="158"/>
      <c r="M4236" s="158"/>
      <c r="N4236" s="158"/>
      <c r="O4236" s="158"/>
      <c r="P4236" s="182" t="s">
        <v>461</v>
      </c>
      <c r="Q4236" s="158" t="s">
        <v>3946</v>
      </c>
      <c r="R4236" s="207" t="s">
        <v>13062</v>
      </c>
      <c r="S4236" s="355" t="s">
        <v>1737</v>
      </c>
      <c r="T4236" s="182"/>
      <c r="U4236" s="182"/>
      <c r="V4236" s="182"/>
      <c r="W4236" s="325" t="s">
        <v>13082</v>
      </c>
      <c r="X4236" s="657" t="s">
        <v>15546</v>
      </c>
      <c r="Y4236" s="361" t="s">
        <v>4707</v>
      </c>
      <c r="Z4236" s="362"/>
      <c r="AA4236" s="362"/>
      <c r="AB4236" s="33">
        <f t="shared" ca="1" si="108"/>
        <v>0.64767970282848841</v>
      </c>
      <c r="AC4236" s="813"/>
      <c r="AD4236" s="211"/>
      <c r="AE4236" s="949"/>
      <c r="AF4236" s="922">
        <f>IF(X4236=X4235,AF4235,0)+IF(ISNUMBER(I4236),IF(I4236&lt;1,I4236,I4236*VLOOKUP(J4236,Summary!$H$2:$I$9,2)),VLOOKUP(J4236,Summary!$J$2:$K$9,2)*IF(ISNUMBER(H4236),H4236,1))</f>
        <v>0.89856481481481487</v>
      </c>
      <c r="AG4236" s="295">
        <v>4235</v>
      </c>
      <c r="AH4236" s="94"/>
      <c r="AI4236" s="94"/>
      <c r="AJ4236" s="29"/>
    </row>
    <row r="4237" spans="1:36" s="1" customFormat="1" ht="12" customHeight="1" x14ac:dyDescent="0.25">
      <c r="A4237" s="603" t="s">
        <v>1793</v>
      </c>
      <c r="B4237" s="603">
        <v>10</v>
      </c>
      <c r="C4237" s="603">
        <v>45</v>
      </c>
      <c r="D4237" s="428" t="s">
        <v>1137</v>
      </c>
      <c r="E4237" s="325" t="s">
        <v>5827</v>
      </c>
      <c r="F4237" s="184">
        <v>39653</v>
      </c>
      <c r="G4237" s="184">
        <v>39673</v>
      </c>
      <c r="H4237" s="185">
        <v>3</v>
      </c>
      <c r="I4237" s="185">
        <v>15</v>
      </c>
      <c r="J4237" s="901" t="s">
        <v>1796</v>
      </c>
      <c r="K4237" s="158" t="s">
        <v>4147</v>
      </c>
      <c r="L4237" s="158" t="s">
        <v>3832</v>
      </c>
      <c r="M4237" s="158" t="s">
        <v>254</v>
      </c>
      <c r="N4237" s="158" t="s">
        <v>5317</v>
      </c>
      <c r="O4237" s="158"/>
      <c r="P4237" s="182" t="s">
        <v>461</v>
      </c>
      <c r="Q4237" s="158" t="s">
        <v>4929</v>
      </c>
      <c r="R4237" s="207" t="s">
        <v>4796</v>
      </c>
      <c r="S4237" s="355" t="s">
        <v>1737</v>
      </c>
      <c r="T4237" s="182"/>
      <c r="U4237" s="182"/>
      <c r="V4237" s="182"/>
      <c r="W4237" s="321"/>
      <c r="X4237" s="653" t="s">
        <v>15546</v>
      </c>
      <c r="Y4237" s="361"/>
      <c r="Z4237" s="362"/>
      <c r="AA4237" s="362"/>
      <c r="AB4237" s="33">
        <f t="shared" ca="1" si="108"/>
        <v>3.8816677349261752E-2</v>
      </c>
      <c r="AC4237" s="813"/>
      <c r="AD4237" s="211"/>
      <c r="AE4237" s="949"/>
      <c r="AF4237" s="922">
        <f>IF(X4237=X4236,AF4236,0)+IF(ISNUMBER(I4237),IF(I4237&lt;1,I4237,I4237*VLOOKUP(J4237,Summary!$H$2:$I$9,2)),VLOOKUP(J4237,Summary!$J$2:$K$9,2)*IF(ISNUMBER(H4237),H4237,1))</f>
        <v>0.90377314814814824</v>
      </c>
      <c r="AG4237" s="295">
        <v>4236</v>
      </c>
      <c r="AH4237" s="94"/>
      <c r="AI4237" s="94"/>
      <c r="AJ4237" s="29"/>
    </row>
    <row r="4238" spans="1:36" s="3" customFormat="1" ht="12" customHeight="1" x14ac:dyDescent="0.25">
      <c r="A4238" s="603" t="s">
        <v>1793</v>
      </c>
      <c r="B4238" s="603">
        <v>10</v>
      </c>
      <c r="C4238" s="603">
        <v>46</v>
      </c>
      <c r="D4238" s="428" t="s">
        <v>1138</v>
      </c>
      <c r="E4238" s="325" t="s">
        <v>1990</v>
      </c>
      <c r="F4238" s="184">
        <v>39674</v>
      </c>
      <c r="G4238" s="184">
        <v>39680</v>
      </c>
      <c r="H4238" s="185">
        <v>1</v>
      </c>
      <c r="I4238" s="185">
        <v>5</v>
      </c>
      <c r="J4238" s="901" t="s">
        <v>1796</v>
      </c>
      <c r="K4238" s="158" t="s">
        <v>4147</v>
      </c>
      <c r="L4238" s="158" t="s">
        <v>3832</v>
      </c>
      <c r="M4238" s="158" t="s">
        <v>254</v>
      </c>
      <c r="N4238" s="158" t="s">
        <v>5317</v>
      </c>
      <c r="O4238" s="158"/>
      <c r="P4238" s="182" t="s">
        <v>461</v>
      </c>
      <c r="Q4238" s="158" t="s">
        <v>4929</v>
      </c>
      <c r="R4238" s="207" t="s">
        <v>4796</v>
      </c>
      <c r="S4238" s="355" t="s">
        <v>1737</v>
      </c>
      <c r="T4238" s="182"/>
      <c r="U4238" s="182"/>
      <c r="V4238" s="182"/>
      <c r="W4238" s="325" t="s">
        <v>1990</v>
      </c>
      <c r="X4238" s="657" t="s">
        <v>15546</v>
      </c>
      <c r="Y4238" s="361"/>
      <c r="Z4238" s="362"/>
      <c r="AA4238" s="362"/>
      <c r="AB4238" s="33">
        <f t="shared" ca="1" si="108"/>
        <v>3.0666128399466031E-2</v>
      </c>
      <c r="AC4238" s="813"/>
      <c r="AD4238" s="211"/>
      <c r="AE4238" s="949"/>
      <c r="AF4238" s="922">
        <f>IF(X4238=X4237,AF4237,0)+IF(ISNUMBER(I4238),IF(I4238&lt;1,I4238,I4238*VLOOKUP(J4238,Summary!$H$2:$I$9,2)),VLOOKUP(J4238,Summary!$J$2:$K$9,2)*IF(ISNUMBER(H4238),H4238,1))</f>
        <v>0.9055092592592594</v>
      </c>
      <c r="AG4238" s="295">
        <v>4237</v>
      </c>
      <c r="AH4238" s="94"/>
      <c r="AI4238" s="94"/>
      <c r="AJ4238" s="1"/>
    </row>
    <row r="4239" spans="1:36" s="1" customFormat="1" ht="12" customHeight="1" x14ac:dyDescent="0.25">
      <c r="A4239" s="605" t="s">
        <v>1793</v>
      </c>
      <c r="B4239" s="605">
        <v>10</v>
      </c>
      <c r="C4239" s="605">
        <v>1.3</v>
      </c>
      <c r="D4239" s="407" t="s">
        <v>14316</v>
      </c>
      <c r="E4239" s="315" t="s">
        <v>14317</v>
      </c>
      <c r="F4239" s="196">
        <v>43208</v>
      </c>
      <c r="G4239" s="170"/>
      <c r="H4239" s="170">
        <v>1</v>
      </c>
      <c r="I4239" s="747">
        <f>TIME(0,60,0)</f>
        <v>4.1666666666666664E-2</v>
      </c>
      <c r="J4239" s="899" t="s">
        <v>4706</v>
      </c>
      <c r="K4239" s="167" t="s">
        <v>1643</v>
      </c>
      <c r="L4239" s="167" t="s">
        <v>12662</v>
      </c>
      <c r="M4239" s="167" t="s">
        <v>14310</v>
      </c>
      <c r="N4239" s="167"/>
      <c r="O4239" s="167"/>
      <c r="P4239" s="168" t="s">
        <v>14311</v>
      </c>
      <c r="Q4239" s="167" t="s">
        <v>3947</v>
      </c>
      <c r="R4239" s="172" t="s">
        <v>14312</v>
      </c>
      <c r="S4239" s="388" t="s">
        <v>1737</v>
      </c>
      <c r="T4239" s="168"/>
      <c r="U4239" s="168"/>
      <c r="V4239" s="168"/>
      <c r="W4239" s="312" t="s">
        <v>14317</v>
      </c>
      <c r="X4239" s="644" t="s">
        <v>15546</v>
      </c>
      <c r="Y4239" s="352"/>
      <c r="Z4239" s="353"/>
      <c r="AA4239" s="353"/>
      <c r="AB4239" s="31">
        <f t="shared" ca="1" si="108"/>
        <v>0.84531956853542378</v>
      </c>
      <c r="AC4239" s="810"/>
      <c r="AD4239" s="811"/>
      <c r="AE4239" s="940"/>
      <c r="AF4239" s="920">
        <f>IF(X4239=X4238,AF4238,0)+IF(ISNUMBER(I4239),IF(I4239&lt;1,I4239,I4239*VLOOKUP(J4239,Summary!$H$2:$I$9,2)),VLOOKUP(J4239,Summary!$J$2:$K$9,2)*IF(ISNUMBER(H4239),H4239,1))</f>
        <v>0.94717592592592603</v>
      </c>
      <c r="AG4239" s="287">
        <v>4238</v>
      </c>
      <c r="AH4239" s="94"/>
      <c r="AI4239" s="94"/>
      <c r="AJ4239" s="29"/>
    </row>
    <row r="4240" spans="1:36" s="22" customFormat="1" ht="12" customHeight="1" x14ac:dyDescent="0.25">
      <c r="A4240" s="599" t="s">
        <v>1793</v>
      </c>
      <c r="B4240" s="599">
        <v>10</v>
      </c>
      <c r="C4240" s="599">
        <v>194</v>
      </c>
      <c r="D4240" s="424" t="s">
        <v>1602</v>
      </c>
      <c r="E4240" s="319" t="s">
        <v>1603</v>
      </c>
      <c r="F4240" s="198">
        <v>39585</v>
      </c>
      <c r="G4240" s="198"/>
      <c r="H4240" s="199">
        <v>1</v>
      </c>
      <c r="I4240" s="791">
        <f>TIME(0,44,43)</f>
        <v>3.1053240740740742E-2</v>
      </c>
      <c r="J4240" s="904" t="s">
        <v>1588</v>
      </c>
      <c r="K4240" s="200" t="s">
        <v>3451</v>
      </c>
      <c r="L4240" s="200" t="s">
        <v>4544</v>
      </c>
      <c r="M4240" s="200"/>
      <c r="N4240" s="200" t="s">
        <v>3373</v>
      </c>
      <c r="O4240" s="200" t="s">
        <v>3375</v>
      </c>
      <c r="P4240" s="197" t="s">
        <v>461</v>
      </c>
      <c r="Q4240" s="200" t="s">
        <v>3946</v>
      </c>
      <c r="R4240" s="201" t="s">
        <v>5280</v>
      </c>
      <c r="S4240" s="390" t="s">
        <v>1737</v>
      </c>
      <c r="T4240" s="197"/>
      <c r="U4240" s="197"/>
      <c r="V4240" s="197"/>
      <c r="W4240" s="319" t="s">
        <v>1603</v>
      </c>
      <c r="X4240" s="651" t="s">
        <v>15546</v>
      </c>
      <c r="Y4240" s="358" t="s">
        <v>6141</v>
      </c>
      <c r="Z4240" s="253">
        <v>61</v>
      </c>
      <c r="AA4240" s="253">
        <v>8</v>
      </c>
      <c r="AB4240" s="35">
        <f t="shared" ca="1" si="108"/>
        <v>0.8208351527579949</v>
      </c>
      <c r="AC4240" s="820"/>
      <c r="AD4240" s="821" t="s">
        <v>16698</v>
      </c>
      <c r="AE4240" s="967"/>
      <c r="AF4240" s="925">
        <f>IF(X4240=X4239,AF4239,0)+IF(ISNUMBER(I4240),IF(I4240&lt;1,I4240,I4240*VLOOKUP(J4240,Summary!$H$2:$I$9,2)),VLOOKUP(J4240,Summary!$J$2:$K$9,2)*IF(ISNUMBER(H4240),H4240,1))</f>
        <v>0.97822916666666682</v>
      </c>
      <c r="AG4240" s="293">
        <v>4239</v>
      </c>
      <c r="AH4240" s="94"/>
      <c r="AI4240" s="94"/>
      <c r="AJ4240" s="29"/>
    </row>
    <row r="4241" spans="1:36" s="1" customFormat="1" ht="12" customHeight="1" x14ac:dyDescent="0.25">
      <c r="A4241" s="600" t="s">
        <v>1793</v>
      </c>
      <c r="B4241" s="600">
        <v>10</v>
      </c>
      <c r="C4241" s="600">
        <v>14</v>
      </c>
      <c r="D4241" s="434" t="s">
        <v>3620</v>
      </c>
      <c r="E4241" s="324" t="s">
        <v>3621</v>
      </c>
      <c r="F4241" s="174">
        <v>39630</v>
      </c>
      <c r="G4241" s="175"/>
      <c r="H4241" s="176">
        <v>1</v>
      </c>
      <c r="I4241" s="176"/>
      <c r="J4241" s="900" t="s">
        <v>2755</v>
      </c>
      <c r="K4241" s="157" t="s">
        <v>543</v>
      </c>
      <c r="L4241" s="157"/>
      <c r="M4241" s="157"/>
      <c r="N4241" s="157"/>
      <c r="O4241" s="157"/>
      <c r="P4241" s="173" t="s">
        <v>3622</v>
      </c>
      <c r="Q4241" s="157" t="s">
        <v>3954</v>
      </c>
      <c r="R4241" s="179" t="s">
        <v>3609</v>
      </c>
      <c r="S4241" s="354" t="s">
        <v>1737</v>
      </c>
      <c r="T4241" s="173"/>
      <c r="U4241" s="173"/>
      <c r="V4241" s="173"/>
      <c r="W4241" s="324" t="s">
        <v>3621</v>
      </c>
      <c r="X4241" s="656" t="s">
        <v>15546</v>
      </c>
      <c r="Y4241" s="363"/>
      <c r="Z4241" s="364"/>
      <c r="AA4241" s="364"/>
      <c r="AB4241" s="32">
        <f t="shared" ca="1" si="108"/>
        <v>0.34655396138002692</v>
      </c>
      <c r="AC4241" s="812"/>
      <c r="AD4241" s="821" t="s">
        <v>16698</v>
      </c>
      <c r="AE4241" s="951"/>
      <c r="AF4241" s="921">
        <f>IF(X4241=X4240,AF4240,0)+IF(ISNUMBER(I4241),IF(I4241&lt;1,I4241,I4241*VLOOKUP(J4241,Summary!$H$2:$I$9,2)),VLOOKUP(J4241,Summary!$J$2:$K$9,2)*IF(ISNUMBER(H4241),H4241,1))</f>
        <v>0.99559027777777798</v>
      </c>
      <c r="AG4241" s="288">
        <v>4240</v>
      </c>
      <c r="AH4241" s="94"/>
      <c r="AI4241" s="94"/>
      <c r="AJ4241" s="29"/>
    </row>
    <row r="4242" spans="1:36" s="1" customFormat="1" ht="12" customHeight="1" x14ac:dyDescent="0.25">
      <c r="A4242" s="603" t="s">
        <v>1793</v>
      </c>
      <c r="B4242" s="603">
        <v>10</v>
      </c>
      <c r="C4242" s="603"/>
      <c r="D4242" s="428" t="s">
        <v>5388</v>
      </c>
      <c r="E4242" s="325" t="s">
        <v>5389</v>
      </c>
      <c r="F4242" s="184">
        <v>39661</v>
      </c>
      <c r="G4242" s="184"/>
      <c r="H4242" s="185">
        <v>1</v>
      </c>
      <c r="I4242" s="185">
        <v>7</v>
      </c>
      <c r="J4242" s="901" t="s">
        <v>1796</v>
      </c>
      <c r="K4242" s="158" t="s">
        <v>6355</v>
      </c>
      <c r="L4242" s="158" t="s">
        <v>3832</v>
      </c>
      <c r="M4242" s="158" t="s">
        <v>252</v>
      </c>
      <c r="N4242" s="158"/>
      <c r="O4242" s="158"/>
      <c r="P4242" s="182" t="s">
        <v>771</v>
      </c>
      <c r="Q4242" s="158" t="s">
        <v>3954</v>
      </c>
      <c r="R4242" s="207" t="s">
        <v>4600</v>
      </c>
      <c r="S4242" s="355" t="s">
        <v>1737</v>
      </c>
      <c r="T4242" s="182"/>
      <c r="U4242" s="182"/>
      <c r="V4242" s="182"/>
      <c r="W4242" s="325" t="s">
        <v>5389</v>
      </c>
      <c r="X4242" s="657" t="s">
        <v>15546</v>
      </c>
      <c r="Y4242" s="361" t="s">
        <v>6868</v>
      </c>
      <c r="Z4242" s="362">
        <v>999</v>
      </c>
      <c r="AA4242" s="362"/>
      <c r="AB4242" s="33">
        <f t="shared" ca="1" si="108"/>
        <v>0.86954211660502567</v>
      </c>
      <c r="AC4242" s="813"/>
      <c r="AD4242" s="211"/>
      <c r="AE4242" s="949"/>
      <c r="AF4242" s="922">
        <f>IF(X4242=X4241,AF4241,0)+IF(ISNUMBER(I4242),IF(I4242&lt;1,I4242,I4242*VLOOKUP(J4242,Summary!$H$2:$I$9,2)),VLOOKUP(J4242,Summary!$J$2:$K$9,2)*IF(ISNUMBER(H4242),H4242,1))</f>
        <v>0.99802083333333358</v>
      </c>
      <c r="AG4242" s="295">
        <v>4241</v>
      </c>
      <c r="AH4242" s="94"/>
      <c r="AI4242" s="94"/>
      <c r="AJ4242" s="29"/>
    </row>
    <row r="4243" spans="1:36" s="43" customFormat="1" ht="12" customHeight="1" x14ac:dyDescent="0.25">
      <c r="A4243" s="600" t="s">
        <v>1793</v>
      </c>
      <c r="B4243" s="600">
        <v>10</v>
      </c>
      <c r="C4243" s="600"/>
      <c r="D4243" s="434" t="s">
        <v>5388</v>
      </c>
      <c r="E4243" s="868" t="s">
        <v>4843</v>
      </c>
      <c r="F4243" s="175">
        <v>39661</v>
      </c>
      <c r="G4243" s="175"/>
      <c r="H4243" s="176">
        <v>1</v>
      </c>
      <c r="I4243" s="176">
        <v>6</v>
      </c>
      <c r="J4243" s="900" t="s">
        <v>2755</v>
      </c>
      <c r="K4243" s="157" t="s">
        <v>543</v>
      </c>
      <c r="L4243" s="157" t="s">
        <v>3832</v>
      </c>
      <c r="M4243" s="157" t="s">
        <v>252</v>
      </c>
      <c r="N4243" s="157"/>
      <c r="O4243" s="157"/>
      <c r="P4243" s="173" t="s">
        <v>771</v>
      </c>
      <c r="Q4243" s="157" t="s">
        <v>3954</v>
      </c>
      <c r="R4243" s="179" t="s">
        <v>4600</v>
      </c>
      <c r="S4243" s="354" t="s">
        <v>1737</v>
      </c>
      <c r="T4243" s="173"/>
      <c r="U4243" s="173"/>
      <c r="V4243" s="173"/>
      <c r="W4243" s="324" t="s">
        <v>4843</v>
      </c>
      <c r="X4243" s="656" t="s">
        <v>15546</v>
      </c>
      <c r="Y4243" s="363" t="s">
        <v>6868</v>
      </c>
      <c r="Z4243" s="364">
        <v>999</v>
      </c>
      <c r="AA4243" s="364"/>
      <c r="AB4243" s="32">
        <f t="shared" ca="1" si="108"/>
        <v>0.69414814340090225</v>
      </c>
      <c r="AC4243" s="812"/>
      <c r="AD4243" s="763"/>
      <c r="AE4243" s="951"/>
      <c r="AF4243" s="921">
        <f>IF(X4243=X4242,AF4242,0)+IF(ISNUMBER(I4243),IF(I4243&lt;1,I4243,I4243*VLOOKUP(J4243,Summary!$H$2:$I$9,2)),VLOOKUP(J4243,Summary!$J$2:$K$9,2)*IF(ISNUMBER(H4243),H4243,1))</f>
        <v>1.0021875000000002</v>
      </c>
      <c r="AG4243" s="288">
        <v>4242</v>
      </c>
      <c r="AH4243" s="94"/>
      <c r="AI4243" s="94"/>
    </row>
    <row r="4244" spans="1:36" s="43" customFormat="1" ht="12" customHeight="1" x14ac:dyDescent="0.25">
      <c r="A4244" s="603" t="s">
        <v>1793</v>
      </c>
      <c r="B4244" s="603">
        <v>10</v>
      </c>
      <c r="C4244" s="603"/>
      <c r="D4244" s="428" t="s">
        <v>5388</v>
      </c>
      <c r="E4244" s="872" t="s">
        <v>5390</v>
      </c>
      <c r="F4244" s="184">
        <v>39661</v>
      </c>
      <c r="G4244" s="184"/>
      <c r="H4244" s="185">
        <v>1</v>
      </c>
      <c r="I4244" s="185">
        <v>6</v>
      </c>
      <c r="J4244" s="901" t="s">
        <v>1796</v>
      </c>
      <c r="K4244" s="158" t="s">
        <v>4032</v>
      </c>
      <c r="L4244" s="158" t="s">
        <v>3832</v>
      </c>
      <c r="M4244" s="158" t="s">
        <v>252</v>
      </c>
      <c r="N4244" s="158"/>
      <c r="O4244" s="158"/>
      <c r="P4244" s="182" t="s">
        <v>771</v>
      </c>
      <c r="Q4244" s="158" t="s">
        <v>3954</v>
      </c>
      <c r="R4244" s="207" t="s">
        <v>4600</v>
      </c>
      <c r="S4244" s="355" t="s">
        <v>1737</v>
      </c>
      <c r="T4244" s="182"/>
      <c r="U4244" s="182"/>
      <c r="V4244" s="182"/>
      <c r="W4244" s="325" t="s">
        <v>5390</v>
      </c>
      <c r="X4244" s="657" t="s">
        <v>15546</v>
      </c>
      <c r="Y4244" s="361" t="s">
        <v>6868</v>
      </c>
      <c r="Z4244" s="362">
        <v>999</v>
      </c>
      <c r="AA4244" s="362"/>
      <c r="AB4244" s="33">
        <f t="shared" ca="1" si="108"/>
        <v>0.95761654377698402</v>
      </c>
      <c r="AC4244" s="813"/>
      <c r="AD4244" s="211"/>
      <c r="AE4244" s="949"/>
      <c r="AF4244" s="922">
        <f>IF(X4244=X4243,AF4243,0)+IF(ISNUMBER(I4244),IF(I4244&lt;1,I4244,I4244*VLOOKUP(J4244,Summary!$H$2:$I$9,2)),VLOOKUP(J4244,Summary!$J$2:$K$9,2)*IF(ISNUMBER(H4244),H4244,1))</f>
        <v>1.0042708333333337</v>
      </c>
      <c r="AG4244" s="295">
        <v>4243</v>
      </c>
      <c r="AH4244" s="94"/>
      <c r="AI4244" s="94"/>
    </row>
    <row r="4245" spans="1:36" s="43" customFormat="1" ht="12" customHeight="1" x14ac:dyDescent="0.25">
      <c r="A4245" s="600" t="s">
        <v>1793</v>
      </c>
      <c r="B4245" s="600">
        <v>10</v>
      </c>
      <c r="C4245" s="600"/>
      <c r="D4245" s="434" t="s">
        <v>5388</v>
      </c>
      <c r="E4245" s="868" t="s">
        <v>6983</v>
      </c>
      <c r="F4245" s="175">
        <v>39661</v>
      </c>
      <c r="G4245" s="175"/>
      <c r="H4245" s="176">
        <v>1</v>
      </c>
      <c r="I4245" s="176">
        <v>6</v>
      </c>
      <c r="J4245" s="900" t="s">
        <v>2755</v>
      </c>
      <c r="K4245" s="157" t="s">
        <v>543</v>
      </c>
      <c r="L4245" s="157" t="s">
        <v>3832</v>
      </c>
      <c r="M4245" s="157" t="s">
        <v>252</v>
      </c>
      <c r="N4245" s="157"/>
      <c r="O4245" s="157"/>
      <c r="P4245" s="173" t="s">
        <v>771</v>
      </c>
      <c r="Q4245" s="157" t="s">
        <v>3954</v>
      </c>
      <c r="R4245" s="179" t="s">
        <v>4600</v>
      </c>
      <c r="S4245" s="354" t="s">
        <v>1737</v>
      </c>
      <c r="T4245" s="173"/>
      <c r="U4245" s="173"/>
      <c r="V4245" s="173"/>
      <c r="W4245" s="324" t="s">
        <v>6983</v>
      </c>
      <c r="X4245" s="656" t="s">
        <v>15546</v>
      </c>
      <c r="Y4245" s="363" t="s">
        <v>6868</v>
      </c>
      <c r="Z4245" s="364">
        <v>999</v>
      </c>
      <c r="AA4245" s="364"/>
      <c r="AB4245" s="32">
        <f t="shared" ca="1" si="108"/>
        <v>0.94353055014228659</v>
      </c>
      <c r="AC4245" s="812"/>
      <c r="AD4245" s="763"/>
      <c r="AE4245" s="951"/>
      <c r="AF4245" s="921">
        <f>IF(X4245=X4244,AF4244,0)+IF(ISNUMBER(I4245),IF(I4245&lt;1,I4245,I4245*VLOOKUP(J4245,Summary!$H$2:$I$9,2)),VLOOKUP(J4245,Summary!$J$2:$K$9,2)*IF(ISNUMBER(H4245),H4245,1))</f>
        <v>1.0084375000000003</v>
      </c>
      <c r="AG4245" s="288">
        <v>4244</v>
      </c>
      <c r="AH4245" s="94"/>
      <c r="AI4245" s="94"/>
    </row>
    <row r="4246" spans="1:36" s="43" customFormat="1" ht="12" customHeight="1" x14ac:dyDescent="0.25">
      <c r="A4246" s="603" t="s">
        <v>1793</v>
      </c>
      <c r="B4246" s="603">
        <v>10</v>
      </c>
      <c r="C4246" s="603"/>
      <c r="D4246" s="428" t="s">
        <v>5388</v>
      </c>
      <c r="E4246" s="872" t="s">
        <v>6984</v>
      </c>
      <c r="F4246" s="184">
        <v>39661</v>
      </c>
      <c r="G4246" s="184"/>
      <c r="H4246" s="185">
        <v>1</v>
      </c>
      <c r="I4246" s="185">
        <v>6</v>
      </c>
      <c r="J4246" s="901" t="s">
        <v>1796</v>
      </c>
      <c r="K4246" s="158" t="s">
        <v>7374</v>
      </c>
      <c r="L4246" s="158" t="s">
        <v>3832</v>
      </c>
      <c r="M4246" s="158" t="s">
        <v>252</v>
      </c>
      <c r="N4246" s="158"/>
      <c r="O4246" s="158"/>
      <c r="P4246" s="182" t="s">
        <v>771</v>
      </c>
      <c r="Q4246" s="158" t="s">
        <v>3954</v>
      </c>
      <c r="R4246" s="207" t="s">
        <v>4600</v>
      </c>
      <c r="S4246" s="355" t="s">
        <v>1737</v>
      </c>
      <c r="T4246" s="182"/>
      <c r="U4246" s="182"/>
      <c r="V4246" s="182"/>
      <c r="W4246" s="325" t="s">
        <v>6984</v>
      </c>
      <c r="X4246" s="657" t="s">
        <v>15546</v>
      </c>
      <c r="Y4246" s="361" t="s">
        <v>6868</v>
      </c>
      <c r="Z4246" s="362">
        <v>999</v>
      </c>
      <c r="AA4246" s="362"/>
      <c r="AB4246" s="33">
        <f t="shared" ca="1" si="108"/>
        <v>0.69382821406003958</v>
      </c>
      <c r="AC4246" s="813"/>
      <c r="AD4246" s="211"/>
      <c r="AE4246" s="949"/>
      <c r="AF4246" s="922">
        <f>IF(X4246=X4245,AF4245,0)+IF(ISNUMBER(I4246),IF(I4246&lt;1,I4246,I4246*VLOOKUP(J4246,Summary!$H$2:$I$9,2)),VLOOKUP(J4246,Summary!$J$2:$K$9,2)*IF(ISNUMBER(H4246),H4246,1))</f>
        <v>1.0105208333333338</v>
      </c>
      <c r="AG4246" s="295">
        <v>4245</v>
      </c>
      <c r="AH4246" s="94"/>
      <c r="AI4246" s="94"/>
    </row>
    <row r="4247" spans="1:36" s="3" customFormat="1" ht="12" customHeight="1" x14ac:dyDescent="0.25">
      <c r="A4247" s="605" t="s">
        <v>1793</v>
      </c>
      <c r="B4247" s="605">
        <v>10</v>
      </c>
      <c r="C4247" s="605">
        <v>2</v>
      </c>
      <c r="D4247" s="407" t="s">
        <v>4134</v>
      </c>
      <c r="E4247" s="315" t="s">
        <v>1604</v>
      </c>
      <c r="F4247" s="196">
        <v>39730</v>
      </c>
      <c r="G4247" s="196"/>
      <c r="H4247" s="170">
        <v>2</v>
      </c>
      <c r="I4247" s="747">
        <f>TIME(2,0,0)</f>
        <v>8.3333333333333329E-2</v>
      </c>
      <c r="J4247" s="899" t="s">
        <v>4706</v>
      </c>
      <c r="K4247" s="167" t="s">
        <v>4132</v>
      </c>
      <c r="L4247" s="167" t="str">
        <f>IF(J4247="Book","n/a","")</f>
        <v/>
      </c>
      <c r="M4247" s="167"/>
      <c r="N4247" s="167"/>
      <c r="O4247" s="167"/>
      <c r="P4247" s="168" t="s">
        <v>8921</v>
      </c>
      <c r="Q4247" s="167" t="s">
        <v>3950</v>
      </c>
      <c r="R4247" s="172" t="s">
        <v>2240</v>
      </c>
      <c r="S4247" s="388" t="s">
        <v>1737</v>
      </c>
      <c r="T4247" s="168"/>
      <c r="U4247" s="168"/>
      <c r="V4247" s="168"/>
      <c r="W4247" s="312"/>
      <c r="X4247" s="644" t="s">
        <v>15546</v>
      </c>
      <c r="Y4247" s="352"/>
      <c r="Z4247" s="353"/>
      <c r="AA4247" s="353"/>
      <c r="AB4247" s="31">
        <f t="shared" ca="1" si="108"/>
        <v>0.34958896516541016</v>
      </c>
      <c r="AC4247" s="810"/>
      <c r="AD4247" s="811"/>
      <c r="AE4247" s="940"/>
      <c r="AF4247" s="920">
        <f>IF(X4247=X4246,AF4246,0)+IF(ISNUMBER(I4247),IF(I4247&lt;1,I4247,I4247*VLOOKUP(J4247,Summary!$H$2:$I$9,2)),VLOOKUP(J4247,Summary!$J$2:$K$9,2)*IF(ISNUMBER(H4247),H4247,1))</f>
        <v>1.093854166666667</v>
      </c>
      <c r="AG4247" s="287">
        <v>4246</v>
      </c>
      <c r="AH4247" s="94"/>
      <c r="AI4247" s="94"/>
      <c r="AJ4247" s="43"/>
    </row>
    <row r="4248" spans="1:36" s="1" customFormat="1" ht="12" customHeight="1" x14ac:dyDescent="0.25">
      <c r="A4248" s="603" t="s">
        <v>1793</v>
      </c>
      <c r="B4248" s="603">
        <v>10</v>
      </c>
      <c r="C4248" s="603">
        <v>47</v>
      </c>
      <c r="D4248" s="428" t="s">
        <v>1139</v>
      </c>
      <c r="E4248" s="325" t="s">
        <v>5828</v>
      </c>
      <c r="F4248" s="184">
        <v>39681</v>
      </c>
      <c r="G4248" s="184">
        <v>39694</v>
      </c>
      <c r="H4248" s="185">
        <v>2</v>
      </c>
      <c r="I4248" s="185">
        <v>10</v>
      </c>
      <c r="J4248" s="901" t="s">
        <v>1796</v>
      </c>
      <c r="K4248" s="158" t="s">
        <v>6235</v>
      </c>
      <c r="L4248" s="158" t="s">
        <v>3832</v>
      </c>
      <c r="M4248" s="158" t="s">
        <v>254</v>
      </c>
      <c r="N4248" s="158" t="s">
        <v>5317</v>
      </c>
      <c r="O4248" s="158"/>
      <c r="P4248" s="182" t="s">
        <v>461</v>
      </c>
      <c r="Q4248" s="158" t="s">
        <v>4929</v>
      </c>
      <c r="R4248" s="207" t="s">
        <v>4796</v>
      </c>
      <c r="S4248" s="355" t="s">
        <v>1737</v>
      </c>
      <c r="T4248" s="182"/>
      <c r="U4248" s="182"/>
      <c r="V4248" s="182"/>
      <c r="W4248" s="321"/>
      <c r="X4248" s="653" t="s">
        <v>15546</v>
      </c>
      <c r="Y4248" s="361"/>
      <c r="Z4248" s="362"/>
      <c r="AA4248" s="362"/>
      <c r="AB4248" s="33">
        <f t="shared" ca="1" si="108"/>
        <v>0.43198511121643646</v>
      </c>
      <c r="AC4248" s="813"/>
      <c r="AD4248" s="211"/>
      <c r="AE4248" s="949"/>
      <c r="AF4248" s="922">
        <f>IF(X4248=X4247,AF4247,0)+IF(ISNUMBER(I4248),IF(I4248&lt;1,I4248,I4248*VLOOKUP(J4248,Summary!$H$2:$I$9,2)),VLOOKUP(J4248,Summary!$J$2:$K$9,2)*IF(ISNUMBER(H4248),H4248,1))</f>
        <v>1.0973263888888893</v>
      </c>
      <c r="AG4248" s="295">
        <v>4247</v>
      </c>
      <c r="AH4248" s="94"/>
      <c r="AI4248" s="94"/>
      <c r="AJ4248" s="43"/>
    </row>
    <row r="4249" spans="1:36" s="57" customFormat="1" ht="12" customHeight="1" x14ac:dyDescent="0.25">
      <c r="A4249" s="603" t="s">
        <v>1793</v>
      </c>
      <c r="B4249" s="603">
        <v>10</v>
      </c>
      <c r="C4249" s="603">
        <v>132</v>
      </c>
      <c r="D4249" s="428" t="s">
        <v>4716</v>
      </c>
      <c r="E4249" s="325" t="s">
        <v>7355</v>
      </c>
      <c r="F4249" s="184">
        <v>39596</v>
      </c>
      <c r="G4249" s="184">
        <v>39653</v>
      </c>
      <c r="H4249" s="185">
        <v>4</v>
      </c>
      <c r="I4249" s="185">
        <v>41</v>
      </c>
      <c r="J4249" s="901" t="s">
        <v>1796</v>
      </c>
      <c r="K4249" s="158" t="s">
        <v>6058</v>
      </c>
      <c r="L4249" s="158" t="s">
        <v>6057</v>
      </c>
      <c r="M4249" s="158" t="s">
        <v>252</v>
      </c>
      <c r="N4249" s="158" t="s">
        <v>1279</v>
      </c>
      <c r="O4249" s="158"/>
      <c r="P4249" s="182" t="s">
        <v>461</v>
      </c>
      <c r="Q4249" s="158" t="s">
        <v>4104</v>
      </c>
      <c r="R4249" s="207" t="s">
        <v>5266</v>
      </c>
      <c r="S4249" s="355" t="s">
        <v>1737</v>
      </c>
      <c r="T4249" s="182"/>
      <c r="U4249" s="182"/>
      <c r="V4249" s="182"/>
      <c r="W4249" s="321"/>
      <c r="X4249" s="653" t="s">
        <v>15546</v>
      </c>
      <c r="Y4249" s="361"/>
      <c r="Z4249" s="362"/>
      <c r="AA4249" s="362"/>
      <c r="AB4249" s="33">
        <f t="shared" ca="1" si="108"/>
        <v>0.66682768196399345</v>
      </c>
      <c r="AC4249" s="813"/>
      <c r="AD4249" s="211" t="s">
        <v>14584</v>
      </c>
      <c r="AE4249" s="949"/>
      <c r="AF4249" s="922">
        <f>IF(X4249=X4248,AF4248,0)+IF(ISNUMBER(I4249),IF(I4249&lt;1,I4249,I4249*VLOOKUP(J4249,Summary!$H$2:$I$9,2)),VLOOKUP(J4249,Summary!$J$2:$K$9,2)*IF(ISNUMBER(H4249),H4249,1))</f>
        <v>1.1115625000000005</v>
      </c>
      <c r="AG4249" s="295">
        <v>4248</v>
      </c>
      <c r="AH4249" s="94"/>
      <c r="AI4249" s="94"/>
      <c r="AJ4249" s="3"/>
    </row>
    <row r="4250" spans="1:36" s="29" customFormat="1" ht="12" customHeight="1" x14ac:dyDescent="0.25">
      <c r="A4250" s="605" t="s">
        <v>13105</v>
      </c>
      <c r="B4250" s="605">
        <v>10</v>
      </c>
      <c r="C4250" s="605">
        <v>1.1000000000000001</v>
      </c>
      <c r="D4250" s="407" t="s">
        <v>13094</v>
      </c>
      <c r="E4250" s="315" t="s">
        <v>13097</v>
      </c>
      <c r="F4250" s="196">
        <v>42506</v>
      </c>
      <c r="G4250" s="170"/>
      <c r="H4250" s="170">
        <v>1</v>
      </c>
      <c r="I4250" s="746">
        <f>TIME(0,56,26)</f>
        <v>3.9189814814814809E-2</v>
      </c>
      <c r="J4250" s="899" t="s">
        <v>4706</v>
      </c>
      <c r="K4250" s="167" t="s">
        <v>6452</v>
      </c>
      <c r="L4250" s="167" t="s">
        <v>4549</v>
      </c>
      <c r="M4250" s="167"/>
      <c r="N4250" s="167"/>
      <c r="O4250" s="167"/>
      <c r="P4250" s="168" t="s">
        <v>13100</v>
      </c>
      <c r="Q4250" s="167" t="s">
        <v>3947</v>
      </c>
      <c r="R4250" s="172" t="s">
        <v>13051</v>
      </c>
      <c r="S4250" s="388" t="s">
        <v>1737</v>
      </c>
      <c r="T4250" s="168"/>
      <c r="U4250" s="168"/>
      <c r="V4250" s="168"/>
      <c r="W4250" s="312" t="s">
        <v>13097</v>
      </c>
      <c r="X4250" s="644" t="s">
        <v>12345</v>
      </c>
      <c r="Y4250" s="352" t="s">
        <v>5643</v>
      </c>
      <c r="Z4250" s="353">
        <v>541</v>
      </c>
      <c r="AA4250" s="353">
        <v>4</v>
      </c>
      <c r="AB4250" s="31">
        <f t="shared" ca="1" si="108"/>
        <v>0.64524060496132341</v>
      </c>
      <c r="AC4250" s="810"/>
      <c r="AD4250" s="811"/>
      <c r="AE4250" s="940"/>
      <c r="AF4250" s="920">
        <f>IF(X4250=X4249,AF4249,0)+IF(ISNUMBER(I4250),IF(I4250&lt;1,I4250,I4250*VLOOKUP(J4250,Summary!$H$2:$I$9,2)),VLOOKUP(J4250,Summary!$J$2:$K$9,2)*IF(ISNUMBER(H4250),H4250,1))</f>
        <v>3.9189814814814809E-2</v>
      </c>
      <c r="AG4250" s="287">
        <v>4249</v>
      </c>
      <c r="AH4250" s="94"/>
      <c r="AI4250" s="94"/>
      <c r="AJ4250" s="1"/>
    </row>
    <row r="4251" spans="1:36" s="3" customFormat="1" ht="12" customHeight="1" x14ac:dyDescent="0.25">
      <c r="A4251" s="605" t="s">
        <v>13105</v>
      </c>
      <c r="B4251" s="605">
        <v>10</v>
      </c>
      <c r="C4251" s="605">
        <v>1.2</v>
      </c>
      <c r="D4251" s="407" t="s">
        <v>13095</v>
      </c>
      <c r="E4251" s="315" t="s">
        <v>13098</v>
      </c>
      <c r="F4251" s="196">
        <v>42506</v>
      </c>
      <c r="G4251" s="170"/>
      <c r="H4251" s="170">
        <v>1</v>
      </c>
      <c r="I4251" s="746">
        <f>TIME(0,57,28)</f>
        <v>3.9907407407407412E-2</v>
      </c>
      <c r="J4251" s="899" t="s">
        <v>4706</v>
      </c>
      <c r="K4251" s="167" t="s">
        <v>10100</v>
      </c>
      <c r="L4251" s="167" t="s">
        <v>4549</v>
      </c>
      <c r="M4251" s="167"/>
      <c r="N4251" s="167"/>
      <c r="O4251" s="167"/>
      <c r="P4251" s="168" t="s">
        <v>13101</v>
      </c>
      <c r="Q4251" s="167" t="s">
        <v>3947</v>
      </c>
      <c r="R4251" s="172" t="s">
        <v>13051</v>
      </c>
      <c r="S4251" s="388" t="s">
        <v>1737</v>
      </c>
      <c r="T4251" s="168"/>
      <c r="U4251" s="168"/>
      <c r="V4251" s="168"/>
      <c r="W4251" s="312" t="s">
        <v>13098</v>
      </c>
      <c r="X4251" s="644" t="s">
        <v>12345</v>
      </c>
      <c r="Y4251" s="352" t="s">
        <v>5643</v>
      </c>
      <c r="Z4251" s="353">
        <v>396</v>
      </c>
      <c r="AA4251" s="353">
        <v>5</v>
      </c>
      <c r="AB4251" s="31">
        <f t="shared" ca="1" si="108"/>
        <v>0.37898931859059204</v>
      </c>
      <c r="AC4251" s="810"/>
      <c r="AD4251" s="811"/>
      <c r="AE4251" s="940"/>
      <c r="AF4251" s="920">
        <f>IF(X4251=X4250,AF4250,0)+IF(ISNUMBER(I4251),IF(I4251&lt;1,I4251,I4251*VLOOKUP(J4251,Summary!$H$2:$I$9,2)),VLOOKUP(J4251,Summary!$J$2:$K$9,2)*IF(ISNUMBER(H4251),H4251,1))</f>
        <v>7.9097222222222222E-2</v>
      </c>
      <c r="AG4251" s="287">
        <v>4250</v>
      </c>
      <c r="AH4251" s="94"/>
      <c r="AI4251" s="94"/>
      <c r="AJ4251" s="1"/>
    </row>
    <row r="4252" spans="1:36" s="3" customFormat="1" ht="12" customHeight="1" x14ac:dyDescent="0.25">
      <c r="A4252" s="605" t="s">
        <v>13105</v>
      </c>
      <c r="B4252" s="605">
        <v>10</v>
      </c>
      <c r="C4252" s="605">
        <v>1.3</v>
      </c>
      <c r="D4252" s="407" t="s">
        <v>13096</v>
      </c>
      <c r="E4252" s="315" t="s">
        <v>13099</v>
      </c>
      <c r="F4252" s="196">
        <v>42506</v>
      </c>
      <c r="G4252" s="170"/>
      <c r="H4252" s="170">
        <v>1</v>
      </c>
      <c r="I4252" s="746">
        <f>TIME(0,57,4)</f>
        <v>3.9629629629629633E-2</v>
      </c>
      <c r="J4252" s="899" t="s">
        <v>4706</v>
      </c>
      <c r="K4252" s="167" t="s">
        <v>1643</v>
      </c>
      <c r="L4252" s="167" t="s">
        <v>4549</v>
      </c>
      <c r="M4252" s="167"/>
      <c r="N4252" s="167"/>
      <c r="O4252" s="167"/>
      <c r="P4252" s="168" t="s">
        <v>13100</v>
      </c>
      <c r="Q4252" s="167" t="s">
        <v>3947</v>
      </c>
      <c r="R4252" s="172" t="s">
        <v>13051</v>
      </c>
      <c r="S4252" s="388" t="s">
        <v>1737</v>
      </c>
      <c r="T4252" s="168"/>
      <c r="U4252" s="168"/>
      <c r="V4252" s="168"/>
      <c r="W4252" s="312" t="s">
        <v>13099</v>
      </c>
      <c r="X4252" s="644" t="s">
        <v>12345</v>
      </c>
      <c r="Y4252" s="352" t="s">
        <v>5643</v>
      </c>
      <c r="Z4252" s="353">
        <v>285</v>
      </c>
      <c r="AA4252" s="353">
        <v>5.5</v>
      </c>
      <c r="AB4252" s="31">
        <f t="shared" ca="1" si="108"/>
        <v>0.7031518478313612</v>
      </c>
      <c r="AC4252" s="810"/>
      <c r="AD4252" s="811"/>
      <c r="AE4252" s="940"/>
      <c r="AF4252" s="920">
        <f>IF(X4252=X4251,AF4251,0)+IF(ISNUMBER(I4252),IF(I4252&lt;1,I4252,I4252*VLOOKUP(J4252,Summary!$H$2:$I$9,2)),VLOOKUP(J4252,Summary!$J$2:$K$9,2)*IF(ISNUMBER(H4252),H4252,1))</f>
        <v>0.11872685185185186</v>
      </c>
      <c r="AG4252" s="287">
        <v>4251</v>
      </c>
      <c r="AH4252" s="94"/>
      <c r="AI4252" s="94"/>
    </row>
    <row r="4253" spans="1:36" s="29" customFormat="1" ht="12" customHeight="1" x14ac:dyDescent="0.25">
      <c r="A4253" s="603" t="s">
        <v>13105</v>
      </c>
      <c r="B4253" s="603">
        <v>10</v>
      </c>
      <c r="C4253" s="603">
        <v>18</v>
      </c>
      <c r="D4253" s="428" t="s">
        <v>5816</v>
      </c>
      <c r="E4253" s="325" t="s">
        <v>5813</v>
      </c>
      <c r="F4253" s="184">
        <v>39652</v>
      </c>
      <c r="G4253" s="184">
        <v>39694</v>
      </c>
      <c r="H4253" s="185">
        <v>4</v>
      </c>
      <c r="I4253" s="185">
        <v>16</v>
      </c>
      <c r="J4253" s="901" t="s">
        <v>1796</v>
      </c>
      <c r="K4253" s="158" t="s">
        <v>1805</v>
      </c>
      <c r="L4253" s="158" t="s">
        <v>7928</v>
      </c>
      <c r="M4253" s="158" t="s">
        <v>254</v>
      </c>
      <c r="N4253" s="158" t="s">
        <v>4511</v>
      </c>
      <c r="O4253" s="158"/>
      <c r="P4253" s="182" t="s">
        <v>461</v>
      </c>
      <c r="Q4253" s="158" t="s">
        <v>4798</v>
      </c>
      <c r="R4253" s="207" t="s">
        <v>4795</v>
      </c>
      <c r="S4253" s="355" t="s">
        <v>1737</v>
      </c>
      <c r="T4253" s="182"/>
      <c r="U4253" s="182"/>
      <c r="V4253" s="182"/>
      <c r="W4253" s="321" t="s">
        <v>8470</v>
      </c>
      <c r="X4253" s="653" t="s">
        <v>12345</v>
      </c>
      <c r="Y4253" s="361"/>
      <c r="Z4253" s="362"/>
      <c r="AA4253" s="362"/>
      <c r="AB4253" s="33">
        <f t="shared" ca="1" si="108"/>
        <v>0.11466112434569598</v>
      </c>
      <c r="AC4253" s="813"/>
      <c r="AD4253" s="211"/>
      <c r="AE4253" s="949"/>
      <c r="AF4253" s="922">
        <f>IF(X4253=X4252,AF4252,0)+IF(ISNUMBER(I4253),IF(I4253&lt;1,I4253,I4253*VLOOKUP(J4253,Summary!$H$2:$I$9,2)),VLOOKUP(J4253,Summary!$J$2:$K$9,2)*IF(ISNUMBER(H4253),H4253,1))</f>
        <v>0.12428240740740741</v>
      </c>
      <c r="AG4253" s="295">
        <v>4252</v>
      </c>
      <c r="AH4253" s="94"/>
      <c r="AI4253" s="94"/>
      <c r="AJ4253" s="1"/>
    </row>
    <row r="4254" spans="1:36" s="29" customFormat="1" ht="12" customHeight="1" x14ac:dyDescent="0.25">
      <c r="A4254" s="605" t="s">
        <v>13105</v>
      </c>
      <c r="B4254" s="605">
        <v>10</v>
      </c>
      <c r="C4254" s="605">
        <v>10</v>
      </c>
      <c r="D4254" s="407" t="s">
        <v>8322</v>
      </c>
      <c r="E4254" s="315" t="s">
        <v>8323</v>
      </c>
      <c r="F4254" s="196">
        <v>41548</v>
      </c>
      <c r="G4254" s="170"/>
      <c r="H4254" s="170">
        <v>1</v>
      </c>
      <c r="I4254" s="746">
        <f>TIME(1,8,50)</f>
        <v>4.780092592592592E-2</v>
      </c>
      <c r="J4254" s="899" t="s">
        <v>4706</v>
      </c>
      <c r="K4254" s="167" t="s">
        <v>7289</v>
      </c>
      <c r="L4254" s="167" t="s">
        <v>6231</v>
      </c>
      <c r="M4254" s="167"/>
      <c r="N4254" s="167"/>
      <c r="O4254" s="167"/>
      <c r="P4254" s="168" t="s">
        <v>8324</v>
      </c>
      <c r="Q4254" s="167" t="s">
        <v>2096</v>
      </c>
      <c r="R4254" s="172" t="s">
        <v>2092</v>
      </c>
      <c r="S4254" s="388" t="s">
        <v>1737</v>
      </c>
      <c r="T4254" s="168"/>
      <c r="U4254" s="168"/>
      <c r="V4254" s="168"/>
      <c r="W4254" s="312" t="s">
        <v>8323</v>
      </c>
      <c r="X4254" s="644" t="s">
        <v>12345</v>
      </c>
      <c r="Y4254" s="352" t="s">
        <v>5643</v>
      </c>
      <c r="Z4254" s="353">
        <v>636</v>
      </c>
      <c r="AA4254" s="353">
        <v>3</v>
      </c>
      <c r="AB4254" s="31">
        <f t="shared" ca="1" si="108"/>
        <v>0.92339338667688287</v>
      </c>
      <c r="AC4254" s="810"/>
      <c r="AD4254" s="811"/>
      <c r="AE4254" s="940"/>
      <c r="AF4254" s="920">
        <f>IF(X4254=X4253,AF4253,0)+IF(ISNUMBER(I4254),IF(I4254&lt;1,I4254,I4254*VLOOKUP(J4254,Summary!$H$2:$I$9,2)),VLOOKUP(J4254,Summary!$J$2:$K$9,2)*IF(ISNUMBER(H4254),H4254,1))</f>
        <v>0.17208333333333334</v>
      </c>
      <c r="AG4254" s="287">
        <v>4253</v>
      </c>
      <c r="AH4254" s="94"/>
      <c r="AI4254" s="94"/>
    </row>
    <row r="4255" spans="1:36" s="29" customFormat="1" ht="12" customHeight="1" x14ac:dyDescent="0.25">
      <c r="A4255" s="603" t="s">
        <v>13105</v>
      </c>
      <c r="B4255" s="603">
        <v>10</v>
      </c>
      <c r="C4255" s="603">
        <v>5</v>
      </c>
      <c r="D4255" s="428" t="s">
        <v>2136</v>
      </c>
      <c r="E4255" s="325" t="s">
        <v>2138</v>
      </c>
      <c r="F4255" s="183">
        <v>39965</v>
      </c>
      <c r="G4255" s="184"/>
      <c r="H4255" s="185">
        <v>1</v>
      </c>
      <c r="I4255" s="185">
        <v>22</v>
      </c>
      <c r="J4255" s="901" t="s">
        <v>1796</v>
      </c>
      <c r="K4255" s="158" t="s">
        <v>5763</v>
      </c>
      <c r="L4255" s="158" t="s">
        <v>5716</v>
      </c>
      <c r="M4255" s="158" t="s">
        <v>6576</v>
      </c>
      <c r="N4255" s="158" t="s">
        <v>5717</v>
      </c>
      <c r="O4255" s="158"/>
      <c r="P4255" s="182" t="s">
        <v>461</v>
      </c>
      <c r="Q4255" s="158" t="s">
        <v>5719</v>
      </c>
      <c r="R4255" s="207" t="s">
        <v>5718</v>
      </c>
      <c r="S4255" s="355" t="s">
        <v>1737</v>
      </c>
      <c r="T4255" s="182"/>
      <c r="U4255" s="182"/>
      <c r="V4255" s="182"/>
      <c r="W4255" s="325" t="s">
        <v>2138</v>
      </c>
      <c r="X4255" s="657" t="s">
        <v>12345</v>
      </c>
      <c r="Y4255" s="355" t="s">
        <v>6000</v>
      </c>
      <c r="Z4255" s="362"/>
      <c r="AA4255" s="362"/>
      <c r="AB4255" s="33">
        <f t="shared" ca="1" si="108"/>
        <v>0.6517319191178037</v>
      </c>
      <c r="AC4255" s="813"/>
      <c r="AD4255" s="211"/>
      <c r="AE4255" s="941"/>
      <c r="AF4255" s="922">
        <f>IF(X4255=X4254,AF4254,0)+IF(ISNUMBER(I4255),IF(I4255&lt;1,I4255,I4255*VLOOKUP(J4255,Summary!$H$2:$I$9,2)),VLOOKUP(J4255,Summary!$J$2:$K$9,2)*IF(ISNUMBER(H4255),H4255,1))</f>
        <v>0.17972222222222223</v>
      </c>
      <c r="AG4255" s="290">
        <v>4254</v>
      </c>
      <c r="AH4255" s="94"/>
      <c r="AI4255" s="94"/>
      <c r="AJ4255" s="1"/>
    </row>
    <row r="4256" spans="1:36" s="29" customFormat="1" ht="12" customHeight="1" x14ac:dyDescent="0.25">
      <c r="A4256" s="603" t="s">
        <v>13105</v>
      </c>
      <c r="B4256" s="603">
        <v>10</v>
      </c>
      <c r="C4256" s="603">
        <v>6</v>
      </c>
      <c r="D4256" s="428" t="s">
        <v>13075</v>
      </c>
      <c r="E4256" s="325" t="s">
        <v>13076</v>
      </c>
      <c r="F4256" s="184">
        <v>39604</v>
      </c>
      <c r="G4256" s="184"/>
      <c r="H4256" s="185">
        <v>1</v>
      </c>
      <c r="I4256" s="185">
        <v>6</v>
      </c>
      <c r="J4256" s="901" t="s">
        <v>1796</v>
      </c>
      <c r="K4256" s="158" t="s">
        <v>4425</v>
      </c>
      <c r="L4256" s="158"/>
      <c r="M4256" s="158"/>
      <c r="N4256" s="158"/>
      <c r="O4256" s="158"/>
      <c r="P4256" s="182" t="s">
        <v>461</v>
      </c>
      <c r="Q4256" s="158" t="s">
        <v>3946</v>
      </c>
      <c r="R4256" s="207" t="s">
        <v>13062</v>
      </c>
      <c r="S4256" s="355" t="s">
        <v>1737</v>
      </c>
      <c r="T4256" s="182"/>
      <c r="U4256" s="182"/>
      <c r="V4256" s="182"/>
      <c r="W4256" s="325" t="s">
        <v>13076</v>
      </c>
      <c r="X4256" s="657" t="s">
        <v>12345</v>
      </c>
      <c r="Y4256" s="361" t="s">
        <v>4707</v>
      </c>
      <c r="Z4256" s="362"/>
      <c r="AA4256" s="362"/>
      <c r="AB4256" s="33">
        <f t="shared" ca="1" si="108"/>
        <v>0.60592372479398549</v>
      </c>
      <c r="AC4256" s="813"/>
      <c r="AD4256" s="211"/>
      <c r="AE4256" s="949"/>
      <c r="AF4256" s="922">
        <f>IF(X4256=X4255,AF4255,0)+IF(ISNUMBER(I4256),IF(I4256&lt;1,I4256,I4256*VLOOKUP(J4256,Summary!$H$2:$I$9,2)),VLOOKUP(J4256,Summary!$J$2:$K$9,2)*IF(ISNUMBER(H4256),H4256,1))</f>
        <v>0.18180555555555555</v>
      </c>
      <c r="AG4256" s="295">
        <v>4255</v>
      </c>
      <c r="AH4256" s="94"/>
      <c r="AI4256" s="94"/>
      <c r="AJ4256" s="1"/>
    </row>
    <row r="4257" spans="1:36" s="29" customFormat="1" ht="12" customHeight="1" x14ac:dyDescent="0.25">
      <c r="A4257" s="599" t="s">
        <v>13105</v>
      </c>
      <c r="B4257" s="599">
        <v>10</v>
      </c>
      <c r="C4257" s="599">
        <v>195</v>
      </c>
      <c r="D4257" s="424" t="s">
        <v>1605</v>
      </c>
      <c r="E4257" s="319" t="s">
        <v>5254</v>
      </c>
      <c r="F4257" s="198">
        <v>39599</v>
      </c>
      <c r="G4257" s="198">
        <v>39606</v>
      </c>
      <c r="H4257" s="199">
        <v>2</v>
      </c>
      <c r="I4257" s="791">
        <f>TIME(0,42,55)+TIME(0,45,15)</f>
        <v>6.1226851851851852E-2</v>
      </c>
      <c r="J4257" s="904" t="s">
        <v>1588</v>
      </c>
      <c r="K4257" s="200" t="s">
        <v>3810</v>
      </c>
      <c r="L4257" s="200" t="s">
        <v>4961</v>
      </c>
      <c r="M4257" s="200"/>
      <c r="N4257" s="200" t="s">
        <v>3373</v>
      </c>
      <c r="O4257" s="200" t="s">
        <v>3375</v>
      </c>
      <c r="P4257" s="197" t="s">
        <v>461</v>
      </c>
      <c r="Q4257" s="200" t="s">
        <v>3946</v>
      </c>
      <c r="R4257" s="201" t="s">
        <v>5280</v>
      </c>
      <c r="S4257" s="390" t="s">
        <v>1737</v>
      </c>
      <c r="T4257" s="197"/>
      <c r="U4257" s="197" t="s">
        <v>7344</v>
      </c>
      <c r="V4257" s="197"/>
      <c r="W4257" s="318" t="s">
        <v>8472</v>
      </c>
      <c r="X4257" s="650" t="s">
        <v>12345</v>
      </c>
      <c r="Y4257" s="358" t="s">
        <v>6141</v>
      </c>
      <c r="Z4257" s="253">
        <v>40</v>
      </c>
      <c r="AA4257" s="253">
        <v>8.5</v>
      </c>
      <c r="AB4257" s="35">
        <f t="shared" ca="1" si="108"/>
        <v>0.70718552135064205</v>
      </c>
      <c r="AC4257" s="820"/>
      <c r="AD4257" s="821"/>
      <c r="AE4257" s="944"/>
      <c r="AF4257" s="925">
        <f>IF(X4257=X4256,AF4256,0)+IF(ISNUMBER(I4257),IF(I4257&lt;1,I4257,I4257*VLOOKUP(J4257,Summary!$H$2:$I$9,2)),VLOOKUP(J4257,Summary!$J$2:$K$9,2)*IF(ISNUMBER(H4257),H4257,1))</f>
        <v>0.24303240740740739</v>
      </c>
      <c r="AG4257" s="293">
        <v>4256</v>
      </c>
      <c r="AH4257" s="94"/>
      <c r="AI4257" s="94"/>
      <c r="AJ4257" s="1"/>
    </row>
    <row r="4258" spans="1:36" s="29" customFormat="1" ht="12" customHeight="1" x14ac:dyDescent="0.25">
      <c r="A4258" s="600" t="s">
        <v>13105</v>
      </c>
      <c r="B4258" s="600">
        <v>10</v>
      </c>
      <c r="C4258" s="600">
        <v>2009.01</v>
      </c>
      <c r="D4258" s="434" t="s">
        <v>1725</v>
      </c>
      <c r="E4258" s="324" t="s">
        <v>6715</v>
      </c>
      <c r="F4258" s="174">
        <v>39661</v>
      </c>
      <c r="G4258" s="175"/>
      <c r="H4258" s="176" t="s">
        <v>461</v>
      </c>
      <c r="I4258" s="176">
        <v>10</v>
      </c>
      <c r="J4258" s="900" t="s">
        <v>2755</v>
      </c>
      <c r="K4258" s="157" t="s">
        <v>5658</v>
      </c>
      <c r="L4258" s="157" t="s">
        <v>3543</v>
      </c>
      <c r="M4258" s="157"/>
      <c r="N4258" s="157"/>
      <c r="O4258" s="157"/>
      <c r="P4258" s="173" t="s">
        <v>772</v>
      </c>
      <c r="Q4258" s="157" t="s">
        <v>4841</v>
      </c>
      <c r="R4258" s="179" t="s">
        <v>3976</v>
      </c>
      <c r="S4258" s="354" t="s">
        <v>1737</v>
      </c>
      <c r="T4258" s="173"/>
      <c r="U4258" s="173"/>
      <c r="V4258" s="173"/>
      <c r="W4258" s="324" t="s">
        <v>6715</v>
      </c>
      <c r="X4258" s="656" t="s">
        <v>12345</v>
      </c>
      <c r="Y4258" s="363" t="s">
        <v>6868</v>
      </c>
      <c r="Z4258" s="364">
        <v>999</v>
      </c>
      <c r="AA4258" s="364"/>
      <c r="AB4258" s="32">
        <f t="shared" ca="1" si="108"/>
        <v>0.85795982227087386</v>
      </c>
      <c r="AC4258" s="812"/>
      <c r="AD4258" s="763"/>
      <c r="AE4258" s="951"/>
      <c r="AF4258" s="921">
        <f>IF(X4258=X4257,AF4257,0)+IF(ISNUMBER(I4258),IF(I4258&lt;1,I4258,I4258*VLOOKUP(J4258,Summary!$H$2:$I$9,2)),VLOOKUP(J4258,Summary!$J$2:$K$9,2)*IF(ISNUMBER(H4258),H4258,1))</f>
        <v>0.24997685185185184</v>
      </c>
      <c r="AG4258" s="288">
        <v>4257</v>
      </c>
      <c r="AH4258" s="94"/>
      <c r="AI4258" s="94"/>
      <c r="AJ4258" s="57"/>
    </row>
    <row r="4259" spans="1:36" s="29" customFormat="1" ht="12" customHeight="1" x14ac:dyDescent="0.25">
      <c r="A4259" s="600" t="s">
        <v>13105</v>
      </c>
      <c r="B4259" s="600">
        <v>10</v>
      </c>
      <c r="C4259" s="600">
        <v>2009.02</v>
      </c>
      <c r="D4259" s="434" t="s">
        <v>1725</v>
      </c>
      <c r="E4259" s="324" t="s">
        <v>6716</v>
      </c>
      <c r="F4259" s="174">
        <v>39661</v>
      </c>
      <c r="G4259" s="175"/>
      <c r="H4259" s="176" t="s">
        <v>461</v>
      </c>
      <c r="I4259" s="176">
        <v>9</v>
      </c>
      <c r="J4259" s="900" t="s">
        <v>2755</v>
      </c>
      <c r="K4259" s="157" t="s">
        <v>1726</v>
      </c>
      <c r="L4259" s="157" t="s">
        <v>3837</v>
      </c>
      <c r="M4259" s="157"/>
      <c r="N4259" s="157"/>
      <c r="O4259" s="157"/>
      <c r="P4259" s="173" t="s">
        <v>772</v>
      </c>
      <c r="Q4259" s="157" t="s">
        <v>4841</v>
      </c>
      <c r="R4259" s="179" t="s">
        <v>3976</v>
      </c>
      <c r="S4259" s="354" t="s">
        <v>1737</v>
      </c>
      <c r="T4259" s="173"/>
      <c r="U4259" s="173"/>
      <c r="V4259" s="173"/>
      <c r="W4259" s="324" t="s">
        <v>6716</v>
      </c>
      <c r="X4259" s="656" t="s">
        <v>12345</v>
      </c>
      <c r="Y4259" s="363" t="s">
        <v>6868</v>
      </c>
      <c r="Z4259" s="364">
        <v>999</v>
      </c>
      <c r="AA4259" s="364"/>
      <c r="AB4259" s="32">
        <f t="shared" ca="1" si="108"/>
        <v>0.53657851756586317</v>
      </c>
      <c r="AC4259" s="812"/>
      <c r="AD4259" s="763"/>
      <c r="AE4259" s="951"/>
      <c r="AF4259" s="921">
        <f>IF(X4259=X4258,AF4258,0)+IF(ISNUMBER(I4259),IF(I4259&lt;1,I4259,I4259*VLOOKUP(J4259,Summary!$H$2:$I$9,2)),VLOOKUP(J4259,Summary!$J$2:$K$9,2)*IF(ISNUMBER(H4259),H4259,1))</f>
        <v>0.25622685185185184</v>
      </c>
      <c r="AG4259" s="288">
        <v>4258</v>
      </c>
      <c r="AH4259" s="94"/>
      <c r="AI4259" s="94"/>
      <c r="AJ4259" s="1"/>
    </row>
    <row r="4260" spans="1:36" s="43" customFormat="1" ht="12" customHeight="1" x14ac:dyDescent="0.25">
      <c r="A4260" s="600" t="s">
        <v>13105</v>
      </c>
      <c r="B4260" s="600">
        <v>10</v>
      </c>
      <c r="C4260" s="600">
        <v>2009.04</v>
      </c>
      <c r="D4260" s="434" t="s">
        <v>1725</v>
      </c>
      <c r="E4260" s="324" t="s">
        <v>6718</v>
      </c>
      <c r="F4260" s="174">
        <v>39661</v>
      </c>
      <c r="G4260" s="175"/>
      <c r="H4260" s="176" t="s">
        <v>461</v>
      </c>
      <c r="I4260" s="176">
        <v>8</v>
      </c>
      <c r="J4260" s="900" t="s">
        <v>2755</v>
      </c>
      <c r="K4260" s="157" t="s">
        <v>6340</v>
      </c>
      <c r="L4260" s="157" t="s">
        <v>1727</v>
      </c>
      <c r="M4260" s="157"/>
      <c r="N4260" s="157"/>
      <c r="O4260" s="157"/>
      <c r="P4260" s="173" t="s">
        <v>772</v>
      </c>
      <c r="Q4260" s="157" t="s">
        <v>4841</v>
      </c>
      <c r="R4260" s="179" t="s">
        <v>3976</v>
      </c>
      <c r="S4260" s="354" t="s">
        <v>1737</v>
      </c>
      <c r="T4260" s="173"/>
      <c r="U4260" s="173"/>
      <c r="V4260" s="173"/>
      <c r="W4260" s="324" t="s">
        <v>6718</v>
      </c>
      <c r="X4260" s="656" t="s">
        <v>12345</v>
      </c>
      <c r="Y4260" s="363" t="s">
        <v>6868</v>
      </c>
      <c r="Z4260" s="364">
        <v>999</v>
      </c>
      <c r="AA4260" s="364"/>
      <c r="AB4260" s="32">
        <f t="shared" ca="1" si="108"/>
        <v>0.25321838964068155</v>
      </c>
      <c r="AC4260" s="812"/>
      <c r="AD4260" s="763"/>
      <c r="AE4260" s="951"/>
      <c r="AF4260" s="921">
        <f>IF(X4260=X4259,AF4259,0)+IF(ISNUMBER(I4260),IF(I4260&lt;1,I4260,I4260*VLOOKUP(J4260,Summary!$H$2:$I$9,2)),VLOOKUP(J4260,Summary!$J$2:$K$9,2)*IF(ISNUMBER(H4260),H4260,1))</f>
        <v>0.26178240740740738</v>
      </c>
      <c r="AG4260" s="288">
        <v>4259</v>
      </c>
      <c r="AH4260" s="94"/>
      <c r="AI4260" s="94"/>
    </row>
    <row r="4261" spans="1:36" s="29" customFormat="1" ht="12" customHeight="1" x14ac:dyDescent="0.25">
      <c r="A4261" s="600" t="s">
        <v>13105</v>
      </c>
      <c r="B4261" s="600">
        <v>10</v>
      </c>
      <c r="C4261" s="600">
        <v>2009.05</v>
      </c>
      <c r="D4261" s="434" t="s">
        <v>1725</v>
      </c>
      <c r="E4261" s="324" t="s">
        <v>6719</v>
      </c>
      <c r="F4261" s="174">
        <v>39661</v>
      </c>
      <c r="G4261" s="175"/>
      <c r="H4261" s="176" t="s">
        <v>461</v>
      </c>
      <c r="I4261" s="176">
        <v>10</v>
      </c>
      <c r="J4261" s="900" t="s">
        <v>2755</v>
      </c>
      <c r="K4261" s="157" t="s">
        <v>1591</v>
      </c>
      <c r="L4261" s="157" t="s">
        <v>3551</v>
      </c>
      <c r="M4261" s="157"/>
      <c r="N4261" s="157"/>
      <c r="O4261" s="157"/>
      <c r="P4261" s="173" t="s">
        <v>772</v>
      </c>
      <c r="Q4261" s="157" t="s">
        <v>4841</v>
      </c>
      <c r="R4261" s="179" t="s">
        <v>3976</v>
      </c>
      <c r="S4261" s="354" t="s">
        <v>1737</v>
      </c>
      <c r="T4261" s="173"/>
      <c r="U4261" s="173"/>
      <c r="V4261" s="173"/>
      <c r="W4261" s="324" t="s">
        <v>6719</v>
      </c>
      <c r="X4261" s="656" t="s">
        <v>12345</v>
      </c>
      <c r="Y4261" s="363" t="s">
        <v>6868</v>
      </c>
      <c r="Z4261" s="364">
        <v>999</v>
      </c>
      <c r="AA4261" s="364"/>
      <c r="AB4261" s="32">
        <f t="shared" ca="1" si="108"/>
        <v>0.31475823818619286</v>
      </c>
      <c r="AC4261" s="812"/>
      <c r="AD4261" s="763"/>
      <c r="AE4261" s="951"/>
      <c r="AF4261" s="921">
        <f>IF(X4261=X4260,AF4260,0)+IF(ISNUMBER(I4261),IF(I4261&lt;1,I4261,I4261*VLOOKUP(J4261,Summary!$H$2:$I$9,2)),VLOOKUP(J4261,Summary!$J$2:$K$9,2)*IF(ISNUMBER(H4261),H4261,1))</f>
        <v>0.2687268518518518</v>
      </c>
      <c r="AG4261" s="288">
        <v>4260</v>
      </c>
      <c r="AH4261" s="94"/>
      <c r="AI4261" s="94"/>
      <c r="AJ4261" s="1"/>
    </row>
    <row r="4262" spans="1:36" s="29" customFormat="1" ht="12" customHeight="1" x14ac:dyDescent="0.25">
      <c r="A4262" s="600" t="s">
        <v>13105</v>
      </c>
      <c r="B4262" s="600">
        <v>10</v>
      </c>
      <c r="C4262" s="600">
        <v>2009.06</v>
      </c>
      <c r="D4262" s="434" t="s">
        <v>1725</v>
      </c>
      <c r="E4262" s="324" t="s">
        <v>1721</v>
      </c>
      <c r="F4262" s="174">
        <v>39661</v>
      </c>
      <c r="G4262" s="175"/>
      <c r="H4262" s="176" t="s">
        <v>461</v>
      </c>
      <c r="I4262" s="176">
        <v>9</v>
      </c>
      <c r="J4262" s="900" t="s">
        <v>2755</v>
      </c>
      <c r="K4262" s="157" t="s">
        <v>2910</v>
      </c>
      <c r="L4262" s="157" t="s">
        <v>1728</v>
      </c>
      <c r="M4262" s="157" t="s">
        <v>1729</v>
      </c>
      <c r="N4262" s="157"/>
      <c r="O4262" s="157"/>
      <c r="P4262" s="173" t="s">
        <v>772</v>
      </c>
      <c r="Q4262" s="157" t="s">
        <v>4841</v>
      </c>
      <c r="R4262" s="179" t="s">
        <v>3976</v>
      </c>
      <c r="S4262" s="354" t="s">
        <v>1737</v>
      </c>
      <c r="T4262" s="173"/>
      <c r="U4262" s="173"/>
      <c r="V4262" s="173"/>
      <c r="W4262" s="324" t="s">
        <v>1721</v>
      </c>
      <c r="X4262" s="656" t="s">
        <v>12345</v>
      </c>
      <c r="Y4262" s="363" t="s">
        <v>6868</v>
      </c>
      <c r="Z4262" s="364">
        <v>999</v>
      </c>
      <c r="AA4262" s="364"/>
      <c r="AB4262" s="32">
        <f t="shared" ca="1" si="108"/>
        <v>0.96368328346833643</v>
      </c>
      <c r="AC4262" s="812"/>
      <c r="AD4262" s="763"/>
      <c r="AE4262" s="951"/>
      <c r="AF4262" s="921">
        <f>IF(X4262=X4261,AF4261,0)+IF(ISNUMBER(I4262),IF(I4262&lt;1,I4262,I4262*VLOOKUP(J4262,Summary!$H$2:$I$9,2)),VLOOKUP(J4262,Summary!$J$2:$K$9,2)*IF(ISNUMBER(H4262),H4262,1))</f>
        <v>0.27497685185185178</v>
      </c>
      <c r="AG4262" s="288">
        <v>4261</v>
      </c>
      <c r="AH4262" s="94"/>
      <c r="AI4262" s="94"/>
      <c r="AJ4262" s="1"/>
    </row>
    <row r="4263" spans="1:36" s="29" customFormat="1" ht="12" customHeight="1" x14ac:dyDescent="0.25">
      <c r="A4263" s="603" t="s">
        <v>13105</v>
      </c>
      <c r="B4263" s="603">
        <v>10</v>
      </c>
      <c r="C4263" s="603">
        <v>2009.08</v>
      </c>
      <c r="D4263" s="428" t="s">
        <v>1725</v>
      </c>
      <c r="E4263" s="325" t="s">
        <v>1723</v>
      </c>
      <c r="F4263" s="183">
        <v>39661</v>
      </c>
      <c r="G4263" s="184"/>
      <c r="H4263" s="185">
        <v>1</v>
      </c>
      <c r="I4263" s="185">
        <v>8</v>
      </c>
      <c r="J4263" s="901" t="s">
        <v>1796</v>
      </c>
      <c r="K4263" s="158" t="s">
        <v>177</v>
      </c>
      <c r="L4263" s="158" t="s">
        <v>6058</v>
      </c>
      <c r="M4263" s="158" t="s">
        <v>1724</v>
      </c>
      <c r="N4263" s="158"/>
      <c r="O4263" s="158"/>
      <c r="P4263" s="182" t="s">
        <v>772</v>
      </c>
      <c r="Q4263" s="158" t="s">
        <v>4841</v>
      </c>
      <c r="R4263" s="207" t="s">
        <v>3976</v>
      </c>
      <c r="S4263" s="355" t="s">
        <v>1737</v>
      </c>
      <c r="T4263" s="182"/>
      <c r="U4263" s="182"/>
      <c r="V4263" s="182"/>
      <c r="W4263" s="325" t="s">
        <v>1723</v>
      </c>
      <c r="X4263" s="657" t="s">
        <v>12345</v>
      </c>
      <c r="Y4263" s="361" t="s">
        <v>6868</v>
      </c>
      <c r="Z4263" s="362">
        <v>999</v>
      </c>
      <c r="AA4263" s="362"/>
      <c r="AB4263" s="33">
        <f t="shared" ca="1" si="108"/>
        <v>0.29333182927304546</v>
      </c>
      <c r="AC4263" s="813"/>
      <c r="AD4263" s="826" t="s">
        <v>15052</v>
      </c>
      <c r="AE4263" s="949" t="s">
        <v>12543</v>
      </c>
      <c r="AF4263" s="922">
        <f>IF(X4263=X4262,AF4262,0)+IF(ISNUMBER(I4263),IF(I4263&lt;1,I4263,I4263*VLOOKUP(J4263,Summary!$H$2:$I$9,2)),VLOOKUP(J4263,Summary!$J$2:$K$9,2)*IF(ISNUMBER(H4263),H4263,1))</f>
        <v>0.27775462962962955</v>
      </c>
      <c r="AG4263" s="295">
        <v>4262</v>
      </c>
      <c r="AH4263" s="94"/>
      <c r="AI4263" s="94"/>
      <c r="AJ4263" s="3"/>
    </row>
    <row r="4264" spans="1:36" s="29" customFormat="1" ht="12" customHeight="1" x14ac:dyDescent="0.25">
      <c r="A4264" s="600" t="s">
        <v>13105</v>
      </c>
      <c r="B4264" s="600">
        <v>10</v>
      </c>
      <c r="C4264" s="600">
        <v>9</v>
      </c>
      <c r="D4264" s="176" t="s">
        <v>9805</v>
      </c>
      <c r="E4264" s="313" t="s">
        <v>9806</v>
      </c>
      <c r="F4264" s="175">
        <v>41802</v>
      </c>
      <c r="G4264" s="174"/>
      <c r="H4264" s="176">
        <v>1</v>
      </c>
      <c r="I4264" s="176">
        <v>8</v>
      </c>
      <c r="J4264" s="900" t="s">
        <v>2755</v>
      </c>
      <c r="K4264" s="164" t="s">
        <v>9281</v>
      </c>
      <c r="L4264" s="164" t="s">
        <v>461</v>
      </c>
      <c r="M4264" s="164"/>
      <c r="N4264" s="164" t="s">
        <v>543</v>
      </c>
      <c r="O4264" s="164"/>
      <c r="P4264" s="173" t="s">
        <v>9278</v>
      </c>
      <c r="Q4264" s="164" t="s">
        <v>3953</v>
      </c>
      <c r="R4264" s="177" t="s">
        <v>9279</v>
      </c>
      <c r="S4264" s="354"/>
      <c r="T4264" s="173"/>
      <c r="U4264" s="173"/>
      <c r="V4264" s="173"/>
      <c r="W4264" s="313" t="s">
        <v>9806</v>
      </c>
      <c r="X4264" s="645" t="s">
        <v>12345</v>
      </c>
      <c r="Y4264" s="354" t="s">
        <v>6868</v>
      </c>
      <c r="Z4264" s="176"/>
      <c r="AA4264" s="176"/>
      <c r="AB4264" s="32">
        <f t="shared" ca="1" si="108"/>
        <v>0.78953042374364846</v>
      </c>
      <c r="AC4264" s="812"/>
      <c r="AD4264" s="763"/>
      <c r="AE4264" s="807"/>
      <c r="AF4264" s="921">
        <f>IF(X4264=X4263,AF4263,0)+IF(ISNUMBER(I4264),IF(I4264&lt;1,I4264,I4264*VLOOKUP(J4264,Summary!$H$2:$I$9,2)),VLOOKUP(J4264,Summary!$J$2:$K$9,2)*IF(ISNUMBER(H4264),H4264,1))</f>
        <v>0.28331018518518508</v>
      </c>
      <c r="AG4264" s="289">
        <v>4263</v>
      </c>
      <c r="AH4264" s="94"/>
      <c r="AI4264" s="94"/>
      <c r="AJ4264" s="1"/>
    </row>
    <row r="4265" spans="1:36" s="43" customFormat="1" ht="12" customHeight="1" x14ac:dyDescent="0.25">
      <c r="A4265" s="604" t="s">
        <v>13105</v>
      </c>
      <c r="B4265" s="604">
        <v>10</v>
      </c>
      <c r="C4265" s="604">
        <v>29</v>
      </c>
      <c r="D4265" s="417" t="s">
        <v>7727</v>
      </c>
      <c r="E4265" s="316" t="s">
        <v>5255</v>
      </c>
      <c r="F4265" s="195">
        <v>39808</v>
      </c>
      <c r="G4265" s="195"/>
      <c r="H4265" s="188" t="str">
        <f>IF(J4265="Book","n/a","")</f>
        <v>n/a</v>
      </c>
      <c r="I4265" s="188">
        <v>236</v>
      </c>
      <c r="J4265" s="902" t="s">
        <v>6868</v>
      </c>
      <c r="K4265" s="162" t="s">
        <v>7375</v>
      </c>
      <c r="L4265" s="162" t="str">
        <f>IF(J4265="Book","n/a","")</f>
        <v>n/a</v>
      </c>
      <c r="M4265" s="162"/>
      <c r="N4265" s="162"/>
      <c r="O4265" s="162"/>
      <c r="P4265" s="178" t="s">
        <v>9044</v>
      </c>
      <c r="Q4265" s="162" t="s">
        <v>3953</v>
      </c>
      <c r="R4265" s="189" t="s">
        <v>2711</v>
      </c>
      <c r="S4265" s="366" t="s">
        <v>1737</v>
      </c>
      <c r="T4265" s="178"/>
      <c r="U4265" s="178"/>
      <c r="V4265" s="178"/>
      <c r="W4265" s="316" t="s">
        <v>5255</v>
      </c>
      <c r="X4265" s="648" t="s">
        <v>12345</v>
      </c>
      <c r="Y4265" s="356"/>
      <c r="Z4265" s="272">
        <v>190</v>
      </c>
      <c r="AA4265" s="272">
        <v>3.5</v>
      </c>
      <c r="AB4265" s="34">
        <f t="shared" ca="1" si="108"/>
        <v>0.54443534455578846</v>
      </c>
      <c r="AC4265" s="814"/>
      <c r="AD4265" s="818" t="s">
        <v>14585</v>
      </c>
      <c r="AE4265" s="942"/>
      <c r="AF4265" s="923">
        <f>IF(X4265=X4264,AF4264,0)+IF(ISNUMBER(I4265),IF(I4265&lt;1,I4265,I4265*VLOOKUP(J4265,Summary!$H$2:$I$9,2)),VLOOKUP(J4265,Summary!$J$2:$K$9,2)*IF(ISNUMBER(H4265),H4265,1))</f>
        <v>0.447199074074074</v>
      </c>
      <c r="AG4265" s="291">
        <v>4264</v>
      </c>
      <c r="AH4265" s="94"/>
      <c r="AI4265" s="94"/>
      <c r="AJ4265" s="1"/>
    </row>
    <row r="4266" spans="1:36" s="3" customFormat="1" ht="12" customHeight="1" x14ac:dyDescent="0.25">
      <c r="A4266" s="603" t="s">
        <v>13105</v>
      </c>
      <c r="B4266" s="603">
        <v>10</v>
      </c>
      <c r="C4266" s="603">
        <v>48</v>
      </c>
      <c r="D4266" s="428" t="s">
        <v>1140</v>
      </c>
      <c r="E4266" s="325" t="s">
        <v>5829</v>
      </c>
      <c r="F4266" s="184">
        <v>39695</v>
      </c>
      <c r="G4266" s="184">
        <v>39715</v>
      </c>
      <c r="H4266" s="185">
        <v>3</v>
      </c>
      <c r="I4266" s="185">
        <v>15</v>
      </c>
      <c r="J4266" s="901" t="s">
        <v>1796</v>
      </c>
      <c r="K4266" s="158" t="s">
        <v>6235</v>
      </c>
      <c r="L4266" s="158" t="s">
        <v>3832</v>
      </c>
      <c r="M4266" s="158" t="s">
        <v>254</v>
      </c>
      <c r="N4266" s="158" t="s">
        <v>5317</v>
      </c>
      <c r="O4266" s="158"/>
      <c r="P4266" s="182" t="s">
        <v>461</v>
      </c>
      <c r="Q4266" s="158" t="s">
        <v>4929</v>
      </c>
      <c r="R4266" s="207" t="s">
        <v>4796</v>
      </c>
      <c r="S4266" s="355" t="s">
        <v>1737</v>
      </c>
      <c r="T4266" s="182"/>
      <c r="U4266" s="182"/>
      <c r="V4266" s="182"/>
      <c r="W4266" s="321"/>
      <c r="X4266" s="653" t="s">
        <v>12345</v>
      </c>
      <c r="Y4266" s="361"/>
      <c r="Z4266" s="362"/>
      <c r="AA4266" s="362"/>
      <c r="AB4266" s="33">
        <f t="shared" ca="1" si="108"/>
        <v>0.79209959972009614</v>
      </c>
      <c r="AC4266" s="813"/>
      <c r="AD4266" s="211"/>
      <c r="AE4266" s="949"/>
      <c r="AF4266" s="922">
        <f>IF(X4266=X4265,AF4265,0)+IF(ISNUMBER(I4266),IF(I4266&lt;1,I4266,I4266*VLOOKUP(J4266,Summary!$H$2:$I$9,2)),VLOOKUP(J4266,Summary!$J$2:$K$9,2)*IF(ISNUMBER(H4266),H4266,1))</f>
        <v>0.45240740740740731</v>
      </c>
      <c r="AG4266" s="295">
        <v>4265</v>
      </c>
      <c r="AH4266" s="94"/>
      <c r="AI4266" s="94"/>
      <c r="AJ4266" s="22"/>
    </row>
    <row r="4267" spans="1:36" s="29" customFormat="1" ht="12" customHeight="1" x14ac:dyDescent="0.25">
      <c r="A4267" s="603" t="s">
        <v>13105</v>
      </c>
      <c r="B4267" s="603">
        <v>10</v>
      </c>
      <c r="C4267" s="603">
        <v>49</v>
      </c>
      <c r="D4267" s="428" t="s">
        <v>1141</v>
      </c>
      <c r="E4267" s="325" t="s">
        <v>6588</v>
      </c>
      <c r="F4267" s="184">
        <v>39716</v>
      </c>
      <c r="G4267" s="184">
        <v>39722</v>
      </c>
      <c r="H4267" s="185">
        <v>1</v>
      </c>
      <c r="I4267" s="185">
        <v>5</v>
      </c>
      <c r="J4267" s="901" t="s">
        <v>1796</v>
      </c>
      <c r="K4267" s="158" t="s">
        <v>6235</v>
      </c>
      <c r="L4267" s="158" t="s">
        <v>3832</v>
      </c>
      <c r="M4267" s="158" t="s">
        <v>254</v>
      </c>
      <c r="N4267" s="158" t="s">
        <v>5317</v>
      </c>
      <c r="O4267" s="158"/>
      <c r="P4267" s="182" t="s">
        <v>461</v>
      </c>
      <c r="Q4267" s="158" t="s">
        <v>4929</v>
      </c>
      <c r="R4267" s="207" t="s">
        <v>4796</v>
      </c>
      <c r="S4267" s="355" t="s">
        <v>1737</v>
      </c>
      <c r="T4267" s="182"/>
      <c r="U4267" s="182"/>
      <c r="V4267" s="182"/>
      <c r="W4267" s="325" t="s">
        <v>6588</v>
      </c>
      <c r="X4267" s="657" t="s">
        <v>12345</v>
      </c>
      <c r="Y4267" s="361"/>
      <c r="Z4267" s="362"/>
      <c r="AA4267" s="362"/>
      <c r="AB4267" s="33">
        <f t="shared" ca="1" si="108"/>
        <v>0.78586665602403727</v>
      </c>
      <c r="AC4267" s="813"/>
      <c r="AD4267" s="211"/>
      <c r="AE4267" s="949"/>
      <c r="AF4267" s="922">
        <f>IF(X4267=X4266,AF4266,0)+IF(ISNUMBER(I4267),IF(I4267&lt;1,I4267,I4267*VLOOKUP(J4267,Summary!$H$2:$I$9,2)),VLOOKUP(J4267,Summary!$J$2:$K$9,2)*IF(ISNUMBER(H4267),H4267,1))</f>
        <v>0.45414351851851842</v>
      </c>
      <c r="AG4267" s="295">
        <v>4266</v>
      </c>
      <c r="AH4267" s="94"/>
      <c r="AI4267" s="94"/>
      <c r="AJ4267" s="3"/>
    </row>
    <row r="4268" spans="1:36" s="29" customFormat="1" ht="12" customHeight="1" x14ac:dyDescent="0.25">
      <c r="A4268" s="603" t="s">
        <v>13105</v>
      </c>
      <c r="B4268" s="603">
        <v>10</v>
      </c>
      <c r="C4268" s="603">
        <v>50</v>
      </c>
      <c r="D4268" s="428" t="s">
        <v>1142</v>
      </c>
      <c r="E4268" s="325" t="s">
        <v>6589</v>
      </c>
      <c r="F4268" s="184">
        <v>39723</v>
      </c>
      <c r="G4268" s="184">
        <v>39736</v>
      </c>
      <c r="H4268" s="185">
        <v>2</v>
      </c>
      <c r="I4268" s="185">
        <v>10</v>
      </c>
      <c r="J4268" s="901" t="s">
        <v>1796</v>
      </c>
      <c r="K4268" s="158" t="s">
        <v>5660</v>
      </c>
      <c r="L4268" s="158" t="s">
        <v>3832</v>
      </c>
      <c r="M4268" s="158" t="s">
        <v>254</v>
      </c>
      <c r="N4268" s="158" t="s">
        <v>5317</v>
      </c>
      <c r="O4268" s="158"/>
      <c r="P4268" s="182" t="s">
        <v>461</v>
      </c>
      <c r="Q4268" s="158" t="s">
        <v>4929</v>
      </c>
      <c r="R4268" s="207" t="s">
        <v>4796</v>
      </c>
      <c r="S4268" s="355" t="s">
        <v>1737</v>
      </c>
      <c r="T4268" s="182"/>
      <c r="U4268" s="182"/>
      <c r="V4268" s="182"/>
      <c r="W4268" s="321"/>
      <c r="X4268" s="653" t="s">
        <v>12345</v>
      </c>
      <c r="Y4268" s="361"/>
      <c r="Z4268" s="362"/>
      <c r="AA4268" s="362"/>
      <c r="AB4268" s="33">
        <f t="shared" ca="1" si="108"/>
        <v>0.42560534089206814</v>
      </c>
      <c r="AC4268" s="813"/>
      <c r="AD4268" s="211"/>
      <c r="AE4268" s="949"/>
      <c r="AF4268" s="922">
        <f>IF(X4268=X4267,AF4267,0)+IF(ISNUMBER(I4268),IF(I4268&lt;1,I4268,I4268*VLOOKUP(J4268,Summary!$H$2:$I$9,2)),VLOOKUP(J4268,Summary!$J$2:$K$9,2)*IF(ISNUMBER(H4268),H4268,1))</f>
        <v>0.45761574074074063</v>
      </c>
      <c r="AG4268" s="295">
        <v>4267</v>
      </c>
      <c r="AH4268" s="94"/>
      <c r="AI4268" s="94"/>
    </row>
    <row r="4269" spans="1:36" s="29" customFormat="1" ht="12" customHeight="1" x14ac:dyDescent="0.25">
      <c r="A4269" s="603" t="s">
        <v>13105</v>
      </c>
      <c r="B4269" s="603">
        <v>10</v>
      </c>
      <c r="C4269" s="603">
        <v>51</v>
      </c>
      <c r="D4269" s="428" t="s">
        <v>1143</v>
      </c>
      <c r="E4269" s="325" t="s">
        <v>6590</v>
      </c>
      <c r="F4269" s="184">
        <v>39737</v>
      </c>
      <c r="G4269" s="184">
        <v>39750</v>
      </c>
      <c r="H4269" s="185">
        <v>2</v>
      </c>
      <c r="I4269" s="185">
        <v>10</v>
      </c>
      <c r="J4269" s="901" t="s">
        <v>1796</v>
      </c>
      <c r="K4269" s="158" t="s">
        <v>5660</v>
      </c>
      <c r="L4269" s="158" t="s">
        <v>3832</v>
      </c>
      <c r="M4269" s="158" t="s">
        <v>254</v>
      </c>
      <c r="N4269" s="158" t="s">
        <v>5317</v>
      </c>
      <c r="O4269" s="158"/>
      <c r="P4269" s="182" t="s">
        <v>461</v>
      </c>
      <c r="Q4269" s="158" t="s">
        <v>4929</v>
      </c>
      <c r="R4269" s="207" t="s">
        <v>4796</v>
      </c>
      <c r="S4269" s="355" t="s">
        <v>1737</v>
      </c>
      <c r="T4269" s="182"/>
      <c r="U4269" s="182"/>
      <c r="V4269" s="182"/>
      <c r="W4269" s="321"/>
      <c r="X4269" s="653" t="s">
        <v>12345</v>
      </c>
      <c r="Y4269" s="361"/>
      <c r="Z4269" s="362"/>
      <c r="AA4269" s="362"/>
      <c r="AB4269" s="33">
        <f t="shared" ca="1" si="108"/>
        <v>0.69766382295529372</v>
      </c>
      <c r="AC4269" s="813"/>
      <c r="AD4269" s="211"/>
      <c r="AE4269" s="949"/>
      <c r="AF4269" s="922">
        <f>IF(X4269=X4268,AF4268,0)+IF(ISNUMBER(I4269),IF(I4269&lt;1,I4269,I4269*VLOOKUP(J4269,Summary!$H$2:$I$9,2)),VLOOKUP(J4269,Summary!$J$2:$K$9,2)*IF(ISNUMBER(H4269),H4269,1))</f>
        <v>0.46108796296296284</v>
      </c>
      <c r="AG4269" s="295">
        <v>4268</v>
      </c>
      <c r="AH4269" s="94"/>
      <c r="AI4269" s="94"/>
    </row>
    <row r="4270" spans="1:36" s="22" customFormat="1" ht="12" customHeight="1" x14ac:dyDescent="0.2">
      <c r="A4270" s="405" t="s">
        <v>13105</v>
      </c>
      <c r="B4270" s="596" t="s">
        <v>2650</v>
      </c>
      <c r="C4270" s="510">
        <v>1.1000000000000001</v>
      </c>
      <c r="D4270" s="407" t="s">
        <v>15728</v>
      </c>
      <c r="E4270" s="315" t="s">
        <v>15734</v>
      </c>
      <c r="F4270" s="196" t="s">
        <v>11072</v>
      </c>
      <c r="G4270" s="196"/>
      <c r="H4270" s="170">
        <v>1</v>
      </c>
      <c r="I4270" s="747">
        <f>TIME(0,60,0)</f>
        <v>4.1666666666666664E-2</v>
      </c>
      <c r="J4270" s="899" t="s">
        <v>4706</v>
      </c>
      <c r="K4270" s="167" t="s">
        <v>177</v>
      </c>
      <c r="L4270" s="167" t="s">
        <v>12662</v>
      </c>
      <c r="M4270" s="167"/>
      <c r="N4270" s="167" t="s">
        <v>6452</v>
      </c>
      <c r="O4270" s="167" t="s">
        <v>3295</v>
      </c>
      <c r="P4270" s="168" t="s">
        <v>15729</v>
      </c>
      <c r="Q4270" s="167" t="s">
        <v>3947</v>
      </c>
      <c r="R4270" s="172" t="s">
        <v>15730</v>
      </c>
      <c r="S4270" s="388" t="s">
        <v>3372</v>
      </c>
      <c r="T4270" s="168"/>
      <c r="U4270" s="168"/>
      <c r="V4270" s="168"/>
      <c r="W4270" s="315" t="s">
        <v>15734</v>
      </c>
      <c r="X4270" s="647" t="s">
        <v>12345</v>
      </c>
      <c r="Y4270" s="352"/>
      <c r="Z4270" s="353"/>
      <c r="AA4270" s="353"/>
      <c r="AB4270" s="31">
        <f t="shared" ca="1" si="108"/>
        <v>0.72508109505744389</v>
      </c>
      <c r="AC4270" s="810"/>
      <c r="AD4270" s="811"/>
      <c r="AE4270" s="940"/>
      <c r="AF4270" s="920">
        <f>IF(X4270=X4269,AF4269,0)+IF(ISNUMBER(I4270),IF(I4270&lt;1,I4270,I4270*VLOOKUP(J4270,Summary!$H$2:$I$9,2)),VLOOKUP(J4270,Summary!$J$2:$K$9,2)*IF(ISNUMBER(H4270),H4270,1))</f>
        <v>0.50275462962962947</v>
      </c>
      <c r="AG4270" s="287">
        <v>4269</v>
      </c>
      <c r="AH4270" s="94"/>
      <c r="AI4270" s="94"/>
    </row>
    <row r="4271" spans="1:36" s="3" customFormat="1" ht="12" customHeight="1" x14ac:dyDescent="0.25">
      <c r="A4271" s="405" t="s">
        <v>13105</v>
      </c>
      <c r="B4271" s="596" t="s">
        <v>2650</v>
      </c>
      <c r="C4271" s="510">
        <v>1.2</v>
      </c>
      <c r="D4271" s="407" t="s">
        <v>15731</v>
      </c>
      <c r="E4271" s="315" t="s">
        <v>4340</v>
      </c>
      <c r="F4271" s="196" t="s">
        <v>11072</v>
      </c>
      <c r="G4271" s="196"/>
      <c r="H4271" s="170">
        <v>1</v>
      </c>
      <c r="I4271" s="747">
        <f>TIME(0,60,0)</f>
        <v>4.1666666666666664E-2</v>
      </c>
      <c r="J4271" s="899" t="s">
        <v>4706</v>
      </c>
      <c r="K4271" s="167" t="s">
        <v>15725</v>
      </c>
      <c r="L4271" s="167" t="s">
        <v>12662</v>
      </c>
      <c r="M4271" s="167"/>
      <c r="N4271" s="167" t="s">
        <v>6452</v>
      </c>
      <c r="O4271" s="167" t="s">
        <v>3295</v>
      </c>
      <c r="P4271" s="168" t="s">
        <v>15729</v>
      </c>
      <c r="Q4271" s="167" t="s">
        <v>3947</v>
      </c>
      <c r="R4271" s="172" t="s">
        <v>15730</v>
      </c>
      <c r="S4271" s="388" t="s">
        <v>3372</v>
      </c>
      <c r="T4271" s="168"/>
      <c r="U4271" s="168"/>
      <c r="V4271" s="168"/>
      <c r="W4271" s="315" t="s">
        <v>4340</v>
      </c>
      <c r="X4271" s="647" t="s">
        <v>12345</v>
      </c>
      <c r="Y4271" s="352"/>
      <c r="Z4271" s="353"/>
      <c r="AA4271" s="353"/>
      <c r="AB4271" s="31">
        <f t="shared" ca="1" si="108"/>
        <v>0.39612772396478546</v>
      </c>
      <c r="AC4271" s="810"/>
      <c r="AD4271" s="811"/>
      <c r="AE4271" s="940"/>
      <c r="AF4271" s="920">
        <f>IF(X4271=X4270,AF4270,0)+IF(ISNUMBER(I4271),IF(I4271&lt;1,I4271,I4271*VLOOKUP(J4271,Summary!$H$2:$I$9,2)),VLOOKUP(J4271,Summary!$J$2:$K$9,2)*IF(ISNUMBER(H4271),H4271,1))</f>
        <v>0.5444212962962961</v>
      </c>
      <c r="AG4271" s="287">
        <v>4270</v>
      </c>
      <c r="AH4271" s="94"/>
      <c r="AI4271" s="94"/>
    </row>
    <row r="4272" spans="1:36" s="26" customFormat="1" ht="12" customHeight="1" x14ac:dyDescent="0.25">
      <c r="A4272" s="405" t="s">
        <v>13105</v>
      </c>
      <c r="B4272" s="596" t="s">
        <v>2650</v>
      </c>
      <c r="C4272" s="510">
        <v>1.3</v>
      </c>
      <c r="D4272" s="407" t="s">
        <v>15732</v>
      </c>
      <c r="E4272" s="315" t="s">
        <v>15735</v>
      </c>
      <c r="F4272" s="196" t="s">
        <v>11072</v>
      </c>
      <c r="G4272" s="196"/>
      <c r="H4272" s="170">
        <v>1</v>
      </c>
      <c r="I4272" s="747">
        <f>TIME(0,60,0)</f>
        <v>4.1666666666666664E-2</v>
      </c>
      <c r="J4272" s="899" t="s">
        <v>4706</v>
      </c>
      <c r="K4272" s="167" t="s">
        <v>10631</v>
      </c>
      <c r="L4272" s="167" t="s">
        <v>12662</v>
      </c>
      <c r="M4272" s="167"/>
      <c r="N4272" s="167" t="s">
        <v>6452</v>
      </c>
      <c r="O4272" s="167" t="s">
        <v>3295</v>
      </c>
      <c r="P4272" s="168" t="s">
        <v>15729</v>
      </c>
      <c r="Q4272" s="167" t="s">
        <v>3947</v>
      </c>
      <c r="R4272" s="172" t="s">
        <v>15730</v>
      </c>
      <c r="S4272" s="388" t="s">
        <v>3372</v>
      </c>
      <c r="T4272" s="168"/>
      <c r="U4272" s="168"/>
      <c r="V4272" s="168"/>
      <c r="W4272" s="315" t="s">
        <v>15735</v>
      </c>
      <c r="X4272" s="647" t="s">
        <v>12345</v>
      </c>
      <c r="Y4272" s="352"/>
      <c r="Z4272" s="353"/>
      <c r="AA4272" s="353"/>
      <c r="AB4272" s="31">
        <f t="shared" ca="1" si="108"/>
        <v>0.56651491554432731</v>
      </c>
      <c r="AC4272" s="810"/>
      <c r="AD4272" s="811"/>
      <c r="AE4272" s="940"/>
      <c r="AF4272" s="920">
        <f>IF(X4272=X4271,AF4271,0)+IF(ISNUMBER(I4272),IF(I4272&lt;1,I4272,I4272*VLOOKUP(J4272,Summary!$H$2:$I$9,2)),VLOOKUP(J4272,Summary!$J$2:$K$9,2)*IF(ISNUMBER(H4272),H4272,1))</f>
        <v>0.58608796296296273</v>
      </c>
      <c r="AG4272" s="287">
        <v>4271</v>
      </c>
      <c r="AH4272" s="94"/>
      <c r="AI4272" s="94"/>
      <c r="AJ4272" s="43"/>
    </row>
    <row r="4273" spans="1:36" s="29" customFormat="1" ht="12" customHeight="1" x14ac:dyDescent="0.25">
      <c r="A4273" s="405" t="s">
        <v>13105</v>
      </c>
      <c r="B4273" s="596" t="s">
        <v>2650</v>
      </c>
      <c r="C4273" s="510">
        <v>1.4</v>
      </c>
      <c r="D4273" s="407" t="s">
        <v>15733</v>
      </c>
      <c r="E4273" s="315" t="s">
        <v>15736</v>
      </c>
      <c r="F4273" s="196" t="s">
        <v>11072</v>
      </c>
      <c r="G4273" s="196"/>
      <c r="H4273" s="170">
        <v>1</v>
      </c>
      <c r="I4273" s="747">
        <f>TIME(0,60,0)</f>
        <v>4.1666666666666664E-2</v>
      </c>
      <c r="J4273" s="899" t="s">
        <v>4706</v>
      </c>
      <c r="K4273" s="167" t="s">
        <v>6452</v>
      </c>
      <c r="L4273" s="167" t="s">
        <v>12662</v>
      </c>
      <c r="M4273" s="167"/>
      <c r="N4273" s="167" t="s">
        <v>6452</v>
      </c>
      <c r="O4273" s="167" t="s">
        <v>3295</v>
      </c>
      <c r="P4273" s="168" t="s">
        <v>15729</v>
      </c>
      <c r="Q4273" s="167" t="s">
        <v>3947</v>
      </c>
      <c r="R4273" s="172" t="s">
        <v>15730</v>
      </c>
      <c r="S4273" s="388" t="s">
        <v>3372</v>
      </c>
      <c r="T4273" s="168"/>
      <c r="U4273" s="168"/>
      <c r="V4273" s="168"/>
      <c r="W4273" s="315" t="s">
        <v>15736</v>
      </c>
      <c r="X4273" s="647" t="s">
        <v>12345</v>
      </c>
      <c r="Y4273" s="352"/>
      <c r="Z4273" s="353"/>
      <c r="AA4273" s="353"/>
      <c r="AB4273" s="31">
        <f t="shared" ca="1" si="108"/>
        <v>0.42869423238383819</v>
      </c>
      <c r="AC4273" s="810"/>
      <c r="AD4273" s="811"/>
      <c r="AE4273" s="940"/>
      <c r="AF4273" s="920">
        <f>IF(X4273=X4272,AF4272,0)+IF(ISNUMBER(I4273),IF(I4273&lt;1,I4273,I4273*VLOOKUP(J4273,Summary!$H$2:$I$9,2)),VLOOKUP(J4273,Summary!$J$2:$K$9,2)*IF(ISNUMBER(H4273),H4273,1))</f>
        <v>0.62775462962962936</v>
      </c>
      <c r="AG4273" s="287">
        <v>4272</v>
      </c>
      <c r="AH4273" s="94"/>
      <c r="AI4273" s="94"/>
    </row>
    <row r="4274" spans="1:36" s="29" customFormat="1" ht="12" customHeight="1" x14ac:dyDescent="0.25">
      <c r="A4274" s="599" t="s">
        <v>13105</v>
      </c>
      <c r="B4274" s="599">
        <v>10</v>
      </c>
      <c r="C4274" s="599">
        <v>196</v>
      </c>
      <c r="D4274" s="424" t="s">
        <v>5256</v>
      </c>
      <c r="E4274" s="319" t="s">
        <v>5257</v>
      </c>
      <c r="F4274" s="198">
        <v>39613</v>
      </c>
      <c r="G4274" s="198"/>
      <c r="H4274" s="199">
        <v>1</v>
      </c>
      <c r="I4274" s="791">
        <f>TIME(0,43,47)</f>
        <v>3.0405092592592591E-2</v>
      </c>
      <c r="J4274" s="904" t="s">
        <v>1588</v>
      </c>
      <c r="K4274" s="200" t="s">
        <v>3373</v>
      </c>
      <c r="L4274" s="200" t="s">
        <v>1597</v>
      </c>
      <c r="M4274" s="200"/>
      <c r="N4274" s="200" t="s">
        <v>3373</v>
      </c>
      <c r="O4274" s="200" t="s">
        <v>3375</v>
      </c>
      <c r="P4274" s="197" t="s">
        <v>461</v>
      </c>
      <c r="Q4274" s="200" t="s">
        <v>3946</v>
      </c>
      <c r="R4274" s="201" t="s">
        <v>5280</v>
      </c>
      <c r="S4274" s="390" t="s">
        <v>1737</v>
      </c>
      <c r="T4274" s="197"/>
      <c r="U4274" s="197"/>
      <c r="V4274" s="197"/>
      <c r="W4274" s="319" t="s">
        <v>5257</v>
      </c>
      <c r="X4274" s="651" t="s">
        <v>12345</v>
      </c>
      <c r="Y4274" s="358" t="s">
        <v>6141</v>
      </c>
      <c r="Z4274" s="253">
        <v>236</v>
      </c>
      <c r="AA4274" s="253">
        <v>4</v>
      </c>
      <c r="AB4274" s="35">
        <f t="shared" ca="1" si="108"/>
        <v>0.32437537104596692</v>
      </c>
      <c r="AC4274" s="820"/>
      <c r="AD4274" s="821" t="s">
        <v>16301</v>
      </c>
      <c r="AE4274" s="967" t="s">
        <v>12543</v>
      </c>
      <c r="AF4274" s="925">
        <f>IF(X4274=X4273,AF4273,0)+IF(ISNUMBER(I4274),IF(I4274&lt;1,I4274,I4274*VLOOKUP(J4274,Summary!$H$2:$I$9,2)),VLOOKUP(J4274,Summary!$J$2:$K$9,2)*IF(ISNUMBER(H4274),H4274,1))</f>
        <v>0.65815972222222197</v>
      </c>
      <c r="AG4274" s="293">
        <v>4273</v>
      </c>
      <c r="AH4274" s="94"/>
      <c r="AI4274" s="94"/>
      <c r="AJ4274" s="1"/>
    </row>
    <row r="4275" spans="1:36" s="29" customFormat="1" ht="12" customHeight="1" x14ac:dyDescent="0.25">
      <c r="A4275" s="604" t="s">
        <v>13105</v>
      </c>
      <c r="B4275" s="604">
        <v>10</v>
      </c>
      <c r="C4275" s="604">
        <v>81</v>
      </c>
      <c r="D4275" s="417" t="s">
        <v>12699</v>
      </c>
      <c r="E4275" s="316" t="s">
        <v>13174</v>
      </c>
      <c r="F4275" s="195">
        <v>42502</v>
      </c>
      <c r="G4275" s="188"/>
      <c r="H4275" s="188" t="str">
        <f>IF(J4275="Book","n/a","")</f>
        <v>n/a</v>
      </c>
      <c r="I4275" s="188">
        <v>336</v>
      </c>
      <c r="J4275" s="902" t="s">
        <v>6868</v>
      </c>
      <c r="K4275" s="162" t="s">
        <v>10100</v>
      </c>
      <c r="L4275" s="162" t="str">
        <f>IF(J4275="Book","n/a","")</f>
        <v>n/a</v>
      </c>
      <c r="M4275" s="162"/>
      <c r="N4275" s="162"/>
      <c r="O4275" s="162"/>
      <c r="P4275" s="178" t="s">
        <v>13175</v>
      </c>
      <c r="Q4275" s="162" t="s">
        <v>3953</v>
      </c>
      <c r="R4275" s="189" t="s">
        <v>2717</v>
      </c>
      <c r="S4275" s="366" t="s">
        <v>1737</v>
      </c>
      <c r="T4275" s="178"/>
      <c r="U4275" s="178"/>
      <c r="V4275" s="178"/>
      <c r="W4275" s="316" t="s">
        <v>13174</v>
      </c>
      <c r="X4275" s="648" t="s">
        <v>12345</v>
      </c>
      <c r="Y4275" s="356"/>
      <c r="Z4275" s="272"/>
      <c r="AA4275" s="272"/>
      <c r="AB4275" s="34">
        <f t="shared" ca="1" si="108"/>
        <v>0.50589241439063182</v>
      </c>
      <c r="AC4275" s="814"/>
      <c r="AD4275" s="815"/>
      <c r="AE4275" s="942"/>
      <c r="AF4275" s="923">
        <f>IF(X4275=X4274,AF4274,0)+IF(ISNUMBER(I4275),IF(I4275&lt;1,I4275,I4275*VLOOKUP(J4275,Summary!$H$2:$I$9,2)),VLOOKUP(J4275,Summary!$J$2:$K$9,2)*IF(ISNUMBER(H4275),H4275,1))</f>
        <v>0.89149305555555536</v>
      </c>
      <c r="AG4275" s="291">
        <v>4274</v>
      </c>
      <c r="AH4275" s="94"/>
      <c r="AI4275" s="94"/>
      <c r="AJ4275" s="1"/>
    </row>
    <row r="4276" spans="1:36" s="29" customFormat="1" ht="12" customHeight="1" x14ac:dyDescent="0.25">
      <c r="A4276" s="603" t="s">
        <v>13105</v>
      </c>
      <c r="B4276" s="603">
        <v>10</v>
      </c>
      <c r="C4276" s="603">
        <v>52</v>
      </c>
      <c r="D4276" s="428" t="s">
        <v>1144</v>
      </c>
      <c r="E4276" s="325" t="s">
        <v>6839</v>
      </c>
      <c r="F4276" s="184">
        <v>39751</v>
      </c>
      <c r="G4276" s="184">
        <v>39764</v>
      </c>
      <c r="H4276" s="185">
        <v>2</v>
      </c>
      <c r="I4276" s="185">
        <v>10</v>
      </c>
      <c r="J4276" s="901" t="s">
        <v>1796</v>
      </c>
      <c r="K4276" s="158" t="s">
        <v>3284</v>
      </c>
      <c r="L4276" s="158" t="s">
        <v>3832</v>
      </c>
      <c r="M4276" s="158" t="s">
        <v>254</v>
      </c>
      <c r="N4276" s="158" t="s">
        <v>5317</v>
      </c>
      <c r="O4276" s="158"/>
      <c r="P4276" s="182" t="s">
        <v>461</v>
      </c>
      <c r="Q4276" s="158" t="s">
        <v>4929</v>
      </c>
      <c r="R4276" s="207" t="s">
        <v>4796</v>
      </c>
      <c r="S4276" s="355" t="s">
        <v>1737</v>
      </c>
      <c r="T4276" s="182"/>
      <c r="U4276" s="182"/>
      <c r="V4276" s="182"/>
      <c r="W4276" s="321"/>
      <c r="X4276" s="653" t="s">
        <v>12345</v>
      </c>
      <c r="Y4276" s="361"/>
      <c r="Z4276" s="362"/>
      <c r="AA4276" s="362"/>
      <c r="AB4276" s="33">
        <f t="shared" ca="1" si="108"/>
        <v>8.7088751297820788E-2</v>
      </c>
      <c r="AC4276" s="813"/>
      <c r="AD4276" s="211"/>
      <c r="AE4276" s="949"/>
      <c r="AF4276" s="922">
        <f>IF(X4276=X4275,AF4275,0)+IF(ISNUMBER(I4276),IF(I4276&lt;1,I4276,I4276*VLOOKUP(J4276,Summary!$H$2:$I$9,2)),VLOOKUP(J4276,Summary!$J$2:$K$9,2)*IF(ISNUMBER(H4276),H4276,1))</f>
        <v>0.89496527777777757</v>
      </c>
      <c r="AG4276" s="295">
        <v>4275</v>
      </c>
      <c r="AH4276" s="94"/>
      <c r="AI4276" s="94"/>
      <c r="AJ4276" s="1"/>
    </row>
    <row r="4277" spans="1:36" s="29" customFormat="1" ht="12" customHeight="1" x14ac:dyDescent="0.25">
      <c r="A4277" s="603" t="s">
        <v>13105</v>
      </c>
      <c r="B4277" s="603">
        <v>10</v>
      </c>
      <c r="C4277" s="603">
        <v>53</v>
      </c>
      <c r="D4277" s="428" t="s">
        <v>1145</v>
      </c>
      <c r="E4277" s="325" t="s">
        <v>6840</v>
      </c>
      <c r="F4277" s="184">
        <v>39765</v>
      </c>
      <c r="G4277" s="184">
        <v>39785</v>
      </c>
      <c r="H4277" s="185">
        <v>3</v>
      </c>
      <c r="I4277" s="185">
        <v>15</v>
      </c>
      <c r="J4277" s="901" t="s">
        <v>1796</v>
      </c>
      <c r="K4277" s="158" t="s">
        <v>4032</v>
      </c>
      <c r="L4277" s="158" t="s">
        <v>3832</v>
      </c>
      <c r="M4277" s="158" t="s">
        <v>254</v>
      </c>
      <c r="N4277" s="158" t="s">
        <v>5317</v>
      </c>
      <c r="O4277" s="158"/>
      <c r="P4277" s="182" t="s">
        <v>461</v>
      </c>
      <c r="Q4277" s="158" t="s">
        <v>4929</v>
      </c>
      <c r="R4277" s="207" t="s">
        <v>4796</v>
      </c>
      <c r="S4277" s="355" t="s">
        <v>1737</v>
      </c>
      <c r="T4277" s="182"/>
      <c r="U4277" s="182"/>
      <c r="V4277" s="182"/>
      <c r="W4277" s="321"/>
      <c r="X4277" s="653" t="s">
        <v>12345</v>
      </c>
      <c r="Y4277" s="361"/>
      <c r="Z4277" s="362"/>
      <c r="AA4277" s="362"/>
      <c r="AB4277" s="33">
        <f t="shared" ca="1" si="108"/>
        <v>0.39416864293791187</v>
      </c>
      <c r="AC4277" s="813"/>
      <c r="AD4277" s="211"/>
      <c r="AE4277" s="949"/>
      <c r="AF4277" s="922">
        <f>IF(X4277=X4276,AF4276,0)+IF(ISNUMBER(I4277),IF(I4277&lt;1,I4277,I4277*VLOOKUP(J4277,Summary!$H$2:$I$9,2)),VLOOKUP(J4277,Summary!$J$2:$K$9,2)*IF(ISNUMBER(H4277),H4277,1))</f>
        <v>0.90017361111111094</v>
      </c>
      <c r="AG4277" s="295">
        <v>4276</v>
      </c>
      <c r="AH4277" s="94"/>
      <c r="AI4277" s="94"/>
      <c r="AJ4277" s="1"/>
    </row>
    <row r="4278" spans="1:36" s="1" customFormat="1" ht="12" customHeight="1" x14ac:dyDescent="0.25">
      <c r="A4278" s="603" t="s">
        <v>13105</v>
      </c>
      <c r="B4278" s="603">
        <v>10</v>
      </c>
      <c r="C4278" s="603">
        <v>54</v>
      </c>
      <c r="D4278" s="428" t="s">
        <v>1146</v>
      </c>
      <c r="E4278" s="325" t="s">
        <v>6841</v>
      </c>
      <c r="F4278" s="184">
        <v>39786</v>
      </c>
      <c r="G4278" s="184">
        <v>39799</v>
      </c>
      <c r="H4278" s="185">
        <v>2</v>
      </c>
      <c r="I4278" s="185">
        <v>10</v>
      </c>
      <c r="J4278" s="901" t="s">
        <v>1796</v>
      </c>
      <c r="K4278" s="158" t="s">
        <v>5198</v>
      </c>
      <c r="L4278" s="158" t="s">
        <v>3832</v>
      </c>
      <c r="M4278" s="158" t="s">
        <v>254</v>
      </c>
      <c r="N4278" s="158" t="s">
        <v>5317</v>
      </c>
      <c r="O4278" s="158"/>
      <c r="P4278" s="182" t="s">
        <v>461</v>
      </c>
      <c r="Q4278" s="158" t="s">
        <v>4929</v>
      </c>
      <c r="R4278" s="207" t="s">
        <v>4796</v>
      </c>
      <c r="S4278" s="355" t="s">
        <v>1737</v>
      </c>
      <c r="T4278" s="182"/>
      <c r="U4278" s="182"/>
      <c r="V4278" s="182"/>
      <c r="W4278" s="321"/>
      <c r="X4278" s="653" t="s">
        <v>12345</v>
      </c>
      <c r="Y4278" s="361"/>
      <c r="Z4278" s="362"/>
      <c r="AA4278" s="362"/>
      <c r="AB4278" s="33">
        <f t="shared" ca="1" si="108"/>
        <v>0.96279383007917374</v>
      </c>
      <c r="AC4278" s="813"/>
      <c r="AD4278" s="211"/>
      <c r="AE4278" s="949"/>
      <c r="AF4278" s="922">
        <f>IF(X4278=X4277,AF4277,0)+IF(ISNUMBER(I4278),IF(I4278&lt;1,I4278,I4278*VLOOKUP(J4278,Summary!$H$2:$I$9,2)),VLOOKUP(J4278,Summary!$J$2:$K$9,2)*IF(ISNUMBER(H4278),H4278,1))</f>
        <v>0.90364583333333315</v>
      </c>
      <c r="AG4278" s="295">
        <v>4277</v>
      </c>
      <c r="AH4278" s="94"/>
      <c r="AI4278" s="94"/>
    </row>
    <row r="4279" spans="1:36" s="29" customFormat="1" ht="12" customHeight="1" x14ac:dyDescent="0.25">
      <c r="A4279" s="603" t="s">
        <v>13105</v>
      </c>
      <c r="B4279" s="603">
        <v>10</v>
      </c>
      <c r="C4279" s="603">
        <v>55</v>
      </c>
      <c r="D4279" s="428" t="s">
        <v>1147</v>
      </c>
      <c r="E4279" s="325" t="s">
        <v>6842</v>
      </c>
      <c r="F4279" s="184">
        <v>39800</v>
      </c>
      <c r="G4279" s="184">
        <v>39814</v>
      </c>
      <c r="H4279" s="185">
        <v>1</v>
      </c>
      <c r="I4279" s="185">
        <v>5</v>
      </c>
      <c r="J4279" s="901" t="s">
        <v>1796</v>
      </c>
      <c r="K4279" s="158" t="s">
        <v>4147</v>
      </c>
      <c r="L4279" s="158" t="s">
        <v>3832</v>
      </c>
      <c r="M4279" s="158" t="s">
        <v>254</v>
      </c>
      <c r="N4279" s="158" t="s">
        <v>5317</v>
      </c>
      <c r="O4279" s="158"/>
      <c r="P4279" s="182" t="s">
        <v>461</v>
      </c>
      <c r="Q4279" s="158" t="s">
        <v>4929</v>
      </c>
      <c r="R4279" s="207" t="s">
        <v>4796</v>
      </c>
      <c r="S4279" s="355" t="s">
        <v>1737</v>
      </c>
      <c r="T4279" s="182"/>
      <c r="U4279" s="182"/>
      <c r="V4279" s="182"/>
      <c r="W4279" s="325" t="s">
        <v>6842</v>
      </c>
      <c r="X4279" s="657" t="s">
        <v>12345</v>
      </c>
      <c r="Y4279" s="361"/>
      <c r="Z4279" s="362"/>
      <c r="AA4279" s="362"/>
      <c r="AB4279" s="33">
        <f t="shared" ca="1" si="108"/>
        <v>0.25823269370438795</v>
      </c>
      <c r="AC4279" s="813"/>
      <c r="AD4279" s="211"/>
      <c r="AE4279" s="949"/>
      <c r="AF4279" s="922">
        <f>IF(X4279=X4278,AF4278,0)+IF(ISNUMBER(I4279),IF(I4279&lt;1,I4279,I4279*VLOOKUP(J4279,Summary!$H$2:$I$9,2)),VLOOKUP(J4279,Summary!$J$2:$K$9,2)*IF(ISNUMBER(H4279),H4279,1))</f>
        <v>0.90538194444444431</v>
      </c>
      <c r="AG4279" s="295">
        <v>4278</v>
      </c>
      <c r="AH4279" s="94"/>
      <c r="AI4279" s="94"/>
    </row>
    <row r="4280" spans="1:36" s="1" customFormat="1" ht="12" customHeight="1" x14ac:dyDescent="0.25">
      <c r="A4280" s="605" t="s">
        <v>13105</v>
      </c>
      <c r="B4280" s="605">
        <v>10</v>
      </c>
      <c r="C4280" s="605">
        <v>3</v>
      </c>
      <c r="D4280" s="407" t="s">
        <v>4135</v>
      </c>
      <c r="E4280" s="315" t="s">
        <v>5258</v>
      </c>
      <c r="F4280" s="196">
        <v>39856</v>
      </c>
      <c r="G4280" s="196"/>
      <c r="H4280" s="170">
        <v>2</v>
      </c>
      <c r="I4280" s="747">
        <f>TIME(2,0,0)</f>
        <v>8.3333333333333329E-2</v>
      </c>
      <c r="J4280" s="899" t="s">
        <v>4706</v>
      </c>
      <c r="K4280" s="167" t="s">
        <v>4139</v>
      </c>
      <c r="L4280" s="167" t="str">
        <f>IF(J4280="Book","n/a","")</f>
        <v/>
      </c>
      <c r="M4280" s="167"/>
      <c r="N4280" s="167"/>
      <c r="O4280" s="167"/>
      <c r="P4280" s="168" t="s">
        <v>8922</v>
      </c>
      <c r="Q4280" s="167" t="s">
        <v>3950</v>
      </c>
      <c r="R4280" s="172" t="s">
        <v>2240</v>
      </c>
      <c r="S4280" s="388" t="s">
        <v>1737</v>
      </c>
      <c r="T4280" s="168"/>
      <c r="U4280" s="168"/>
      <c r="V4280" s="168"/>
      <c r="W4280" s="312"/>
      <c r="X4280" s="644" t="s">
        <v>12345</v>
      </c>
      <c r="Y4280" s="352"/>
      <c r="Z4280" s="353"/>
      <c r="AA4280" s="353"/>
      <c r="AB4280" s="31">
        <f t="shared" ca="1" si="108"/>
        <v>0.84018690486135672</v>
      </c>
      <c r="AC4280" s="810"/>
      <c r="AD4280" s="811" t="s">
        <v>16723</v>
      </c>
      <c r="AE4280" s="940"/>
      <c r="AF4280" s="920">
        <f>IF(X4280=X4279,AF4279,0)+IF(ISNUMBER(I4280),IF(I4280&lt;1,I4280,I4280*VLOOKUP(J4280,Summary!$H$2:$I$9,2)),VLOOKUP(J4280,Summary!$J$2:$K$9,2)*IF(ISNUMBER(H4280),H4280,1))</f>
        <v>0.98871527777777768</v>
      </c>
      <c r="AG4280" s="287">
        <v>4279</v>
      </c>
      <c r="AH4280" s="94"/>
      <c r="AI4280" s="94"/>
      <c r="AJ4280" s="29"/>
    </row>
    <row r="4281" spans="1:36" s="43" customFormat="1" ht="12" customHeight="1" x14ac:dyDescent="0.25">
      <c r="A4281" s="603" t="s">
        <v>13105</v>
      </c>
      <c r="B4281" s="603">
        <v>10</v>
      </c>
      <c r="C4281" s="603">
        <v>8</v>
      </c>
      <c r="D4281" s="428" t="s">
        <v>2137</v>
      </c>
      <c r="E4281" s="325" t="s">
        <v>3310</v>
      </c>
      <c r="F4281" s="183">
        <v>40026</v>
      </c>
      <c r="G4281" s="184"/>
      <c r="H4281" s="185">
        <v>1</v>
      </c>
      <c r="I4281" s="185">
        <v>22</v>
      </c>
      <c r="J4281" s="901" t="s">
        <v>1796</v>
      </c>
      <c r="K4281" s="158" t="s">
        <v>3309</v>
      </c>
      <c r="L4281" s="158" t="s">
        <v>3551</v>
      </c>
      <c r="M4281" s="158" t="s">
        <v>3308</v>
      </c>
      <c r="N4281" s="158" t="s">
        <v>5717</v>
      </c>
      <c r="O4281" s="158"/>
      <c r="P4281" s="182" t="s">
        <v>461</v>
      </c>
      <c r="Q4281" s="158" t="s">
        <v>5719</v>
      </c>
      <c r="R4281" s="207" t="s">
        <v>5718</v>
      </c>
      <c r="S4281" s="355" t="s">
        <v>1737</v>
      </c>
      <c r="T4281" s="182"/>
      <c r="U4281" s="182"/>
      <c r="V4281" s="182"/>
      <c r="W4281" s="325" t="s">
        <v>3310</v>
      </c>
      <c r="X4281" s="657" t="s">
        <v>12345</v>
      </c>
      <c r="Y4281" s="355" t="s">
        <v>6000</v>
      </c>
      <c r="Z4281" s="362">
        <v>999</v>
      </c>
      <c r="AA4281" s="362"/>
      <c r="AB4281" s="33">
        <f t="shared" ca="1" si="108"/>
        <v>0.69286321424230946</v>
      </c>
      <c r="AC4281" s="813"/>
      <c r="AD4281" s="211" t="s">
        <v>16357</v>
      </c>
      <c r="AE4281" s="941" t="s">
        <v>12543</v>
      </c>
      <c r="AF4281" s="922">
        <f>IF(X4281=X4280,AF4280,0)+IF(ISNUMBER(I4281),IF(I4281&lt;1,I4281,I4281*VLOOKUP(J4281,Summary!$H$2:$I$9,2)),VLOOKUP(J4281,Summary!$J$2:$K$9,2)*IF(ISNUMBER(H4281),H4281,1))</f>
        <v>0.99635416666666654</v>
      </c>
      <c r="AG4281" s="290">
        <v>4280</v>
      </c>
      <c r="AH4281" s="94"/>
      <c r="AI4281" s="94"/>
      <c r="AJ4281" s="29"/>
    </row>
    <row r="4282" spans="1:36" s="29" customFormat="1" ht="12" customHeight="1" x14ac:dyDescent="0.25">
      <c r="A4282" s="599" t="s">
        <v>13105</v>
      </c>
      <c r="B4282" s="599">
        <v>10</v>
      </c>
      <c r="C4282" s="599">
        <v>197</v>
      </c>
      <c r="D4282" s="424" t="s">
        <v>5259</v>
      </c>
      <c r="E4282" s="319" t="s">
        <v>5260</v>
      </c>
      <c r="F4282" s="198">
        <v>39620</v>
      </c>
      <c r="G4282" s="198"/>
      <c r="H4282" s="199">
        <v>1</v>
      </c>
      <c r="I4282" s="791">
        <f>TIME(0,49,24)</f>
        <v>3.4305555555555554E-2</v>
      </c>
      <c r="J4282" s="904" t="s">
        <v>1588</v>
      </c>
      <c r="K4282" s="200" t="s">
        <v>3373</v>
      </c>
      <c r="L4282" s="200" t="s">
        <v>4544</v>
      </c>
      <c r="M4282" s="200"/>
      <c r="N4282" s="200" t="s">
        <v>3373</v>
      </c>
      <c r="O4282" s="200" t="s">
        <v>3375</v>
      </c>
      <c r="P4282" s="197" t="s">
        <v>461</v>
      </c>
      <c r="Q4282" s="200" t="s">
        <v>3946</v>
      </c>
      <c r="R4282" s="201" t="s">
        <v>5280</v>
      </c>
      <c r="S4282" s="390" t="s">
        <v>1737</v>
      </c>
      <c r="T4282" s="197" t="s">
        <v>3372</v>
      </c>
      <c r="U4282" s="197"/>
      <c r="V4282" s="197"/>
      <c r="W4282" s="319" t="s">
        <v>5260</v>
      </c>
      <c r="X4282" s="651" t="s">
        <v>12345</v>
      </c>
      <c r="Y4282" s="358" t="s">
        <v>6141</v>
      </c>
      <c r="Z4282" s="253">
        <v>22</v>
      </c>
      <c r="AA4282" s="253">
        <v>9</v>
      </c>
      <c r="AB4282" s="35">
        <f t="shared" ca="1" si="108"/>
        <v>0.67565710172806437</v>
      </c>
      <c r="AC4282" s="820"/>
      <c r="AD4282" s="821" t="s">
        <v>16470</v>
      </c>
      <c r="AE4282" s="967" t="s">
        <v>16471</v>
      </c>
      <c r="AF4282" s="925">
        <f>IF(X4282=X4281,AF4281,0)+IF(ISNUMBER(I4282),IF(I4282&lt;1,I4282,I4282*VLOOKUP(J4282,Summary!$H$2:$I$9,2)),VLOOKUP(J4282,Summary!$J$2:$K$9,2)*IF(ISNUMBER(H4282),H4282,1))</f>
        <v>1.030659722222222</v>
      </c>
      <c r="AG4282" s="293">
        <v>4281</v>
      </c>
      <c r="AH4282" s="94"/>
      <c r="AI4282" s="94"/>
    </row>
    <row r="4283" spans="1:36" s="43" customFormat="1" ht="12" customHeight="1" x14ac:dyDescent="0.25">
      <c r="A4283" s="599" t="s">
        <v>13105</v>
      </c>
      <c r="B4283" s="599">
        <v>10</v>
      </c>
      <c r="C4283" s="599">
        <v>198</v>
      </c>
      <c r="D4283" s="424" t="s">
        <v>5261</v>
      </c>
      <c r="E4283" s="319" t="s">
        <v>7291</v>
      </c>
      <c r="F4283" s="198">
        <v>39627</v>
      </c>
      <c r="G4283" s="198">
        <v>39634</v>
      </c>
      <c r="H4283" s="199">
        <v>2</v>
      </c>
      <c r="I4283" s="791">
        <f>TIME(0,45,40)+TIME(0,63, 3)</f>
        <v>7.5497685185185182E-2</v>
      </c>
      <c r="J4283" s="904" t="s">
        <v>1588</v>
      </c>
      <c r="K4283" s="200" t="s">
        <v>3373</v>
      </c>
      <c r="L4283" s="200" t="s">
        <v>4544</v>
      </c>
      <c r="M4283" s="200"/>
      <c r="N4283" s="200" t="s">
        <v>3373</v>
      </c>
      <c r="O4283" s="200" t="s">
        <v>3375</v>
      </c>
      <c r="P4283" s="197" t="s">
        <v>461</v>
      </c>
      <c r="Q4283" s="200" t="s">
        <v>3946</v>
      </c>
      <c r="R4283" s="201" t="s">
        <v>5280</v>
      </c>
      <c r="S4283" s="390" t="s">
        <v>1737</v>
      </c>
      <c r="T4283" s="197" t="s">
        <v>3372</v>
      </c>
      <c r="U4283" s="197" t="s">
        <v>3073</v>
      </c>
      <c r="V4283" s="197" t="s">
        <v>2123</v>
      </c>
      <c r="W4283" s="318" t="s">
        <v>8473</v>
      </c>
      <c r="X4283" s="650" t="s">
        <v>12345</v>
      </c>
      <c r="Y4283" s="358" t="s">
        <v>6141</v>
      </c>
      <c r="Z4283" s="253">
        <v>37</v>
      </c>
      <c r="AA4283" s="253">
        <v>8.5</v>
      </c>
      <c r="AB4283" s="35">
        <f t="shared" ca="1" si="108"/>
        <v>0.47127552617326685</v>
      </c>
      <c r="AC4283" s="820"/>
      <c r="AD4283" s="821" t="s">
        <v>16071</v>
      </c>
      <c r="AE4283" s="944" t="s">
        <v>16571</v>
      </c>
      <c r="AF4283" s="925">
        <f>IF(X4283=X4282,AF4282,0)+IF(ISNUMBER(I4283),IF(I4283&lt;1,I4283,I4283*VLOOKUP(J4283,Summary!$H$2:$I$9,2)),VLOOKUP(J4283,Summary!$J$2:$K$9,2)*IF(ISNUMBER(H4283),H4283,1))</f>
        <v>1.1061574074074072</v>
      </c>
      <c r="AG4283" s="293">
        <v>4282</v>
      </c>
      <c r="AH4283" s="94"/>
      <c r="AI4283" s="94"/>
      <c r="AJ4283" s="29"/>
    </row>
    <row r="4284" spans="1:36" s="29" customFormat="1" ht="12" customHeight="1" x14ac:dyDescent="0.25">
      <c r="A4284" s="603" t="s">
        <v>13105</v>
      </c>
      <c r="B4284" s="603">
        <v>10</v>
      </c>
      <c r="C4284" s="603">
        <v>133</v>
      </c>
      <c r="D4284" s="428" t="s">
        <v>3311</v>
      </c>
      <c r="E4284" s="325" t="s">
        <v>3307</v>
      </c>
      <c r="F4284" s="184">
        <v>39708</v>
      </c>
      <c r="G4284" s="184"/>
      <c r="H4284" s="185">
        <v>1</v>
      </c>
      <c r="I4284" s="185">
        <v>10</v>
      </c>
      <c r="J4284" s="901" t="s">
        <v>1796</v>
      </c>
      <c r="K4284" s="158" t="s">
        <v>6058</v>
      </c>
      <c r="L4284" s="158" t="s">
        <v>6057</v>
      </c>
      <c r="M4284" s="158" t="s">
        <v>252</v>
      </c>
      <c r="N4284" s="158" t="s">
        <v>1279</v>
      </c>
      <c r="O4284" s="158"/>
      <c r="P4284" s="182" t="s">
        <v>461</v>
      </c>
      <c r="Q4284" s="158" t="s">
        <v>4104</v>
      </c>
      <c r="R4284" s="207" t="s">
        <v>5266</v>
      </c>
      <c r="S4284" s="355" t="s">
        <v>1737</v>
      </c>
      <c r="T4284" s="182"/>
      <c r="U4284" s="182"/>
      <c r="V4284" s="182"/>
      <c r="W4284" s="325" t="s">
        <v>3307</v>
      </c>
      <c r="X4284" s="657" t="s">
        <v>12345</v>
      </c>
      <c r="Y4284" s="361"/>
      <c r="Z4284" s="362"/>
      <c r="AA4284" s="362"/>
      <c r="AB4284" s="33">
        <f t="shared" ca="1" si="108"/>
        <v>0.78854551636549208</v>
      </c>
      <c r="AC4284" s="813"/>
      <c r="AD4284" s="826" t="s">
        <v>16776</v>
      </c>
      <c r="AE4284" s="949" t="s">
        <v>16590</v>
      </c>
      <c r="AF4284" s="922">
        <f>IF(X4284=X4283,AF4283,0)+IF(ISNUMBER(I4284),IF(I4284&lt;1,I4284,I4284*VLOOKUP(J4284,Summary!$H$2:$I$9,2)),VLOOKUP(J4284,Summary!$J$2:$K$9,2)*IF(ISNUMBER(H4284),H4284,1))</f>
        <v>1.1096296296296295</v>
      </c>
      <c r="AG4284" s="295">
        <v>4283</v>
      </c>
      <c r="AH4284" s="94"/>
      <c r="AI4284" s="94"/>
      <c r="AJ4284" s="1"/>
    </row>
    <row r="4285" spans="1:36" s="29" customFormat="1" ht="12" customHeight="1" x14ac:dyDescent="0.25">
      <c r="A4285" s="606" t="s">
        <v>13105</v>
      </c>
      <c r="B4285" s="606">
        <v>10</v>
      </c>
      <c r="C4285" s="606">
        <v>1</v>
      </c>
      <c r="D4285" s="493" t="s">
        <v>3971</v>
      </c>
      <c r="E4285" s="333" t="s">
        <v>3970</v>
      </c>
      <c r="F4285" s="766">
        <v>39661</v>
      </c>
      <c r="G4285" s="766">
        <v>39814</v>
      </c>
      <c r="H4285" s="226">
        <v>6</v>
      </c>
      <c r="I4285" s="226">
        <v>70</v>
      </c>
      <c r="J4285" s="907" t="s">
        <v>1796</v>
      </c>
      <c r="K4285" s="165" t="s">
        <v>3303</v>
      </c>
      <c r="L4285" s="165" t="s">
        <v>3972</v>
      </c>
      <c r="M4285" s="165" t="s">
        <v>3973</v>
      </c>
      <c r="N4285" s="165" t="s">
        <v>4827</v>
      </c>
      <c r="O4285" s="165"/>
      <c r="P4285" s="225" t="s">
        <v>461</v>
      </c>
      <c r="Q4285" s="165" t="s">
        <v>5719</v>
      </c>
      <c r="R4285" s="234" t="s">
        <v>5718</v>
      </c>
      <c r="S4285" s="369" t="s">
        <v>3073</v>
      </c>
      <c r="T4285" s="225"/>
      <c r="U4285" s="225"/>
      <c r="V4285" s="225" t="s">
        <v>2123</v>
      </c>
      <c r="W4285" s="338"/>
      <c r="X4285" s="670" t="s">
        <v>12345</v>
      </c>
      <c r="Y4285" s="369" t="s">
        <v>6000</v>
      </c>
      <c r="Z4285" s="269">
        <v>999</v>
      </c>
      <c r="AA4285" s="269"/>
      <c r="AB4285" s="38">
        <f t="shared" ca="1" si="108"/>
        <v>0.82670627607362601</v>
      </c>
      <c r="AC4285" s="830"/>
      <c r="AD4285" s="831"/>
      <c r="AE4285" s="963"/>
      <c r="AF4285" s="928">
        <f>IF(X4285=X4284,AF4284,0)+IF(ISNUMBER(I4285),IF(I4285&lt;1,I4285,I4285*VLOOKUP(J4285,Summary!$H$2:$I$9,2)),VLOOKUP(J4285,Summary!$J$2:$K$9,2)*IF(ISNUMBER(H4285),H4285,1))</f>
        <v>1.1339351851851851</v>
      </c>
      <c r="AG4285" s="304">
        <v>4284</v>
      </c>
      <c r="AH4285" s="94"/>
      <c r="AI4285" s="94"/>
    </row>
    <row r="4286" spans="1:36" s="29" customFormat="1" ht="12" customHeight="1" x14ac:dyDescent="0.25">
      <c r="A4286" s="603" t="s">
        <v>13105</v>
      </c>
      <c r="B4286" s="603">
        <v>10</v>
      </c>
      <c r="C4286" s="603">
        <v>20</v>
      </c>
      <c r="D4286" s="428" t="s">
        <v>1839</v>
      </c>
      <c r="E4286" s="325" t="s">
        <v>1838</v>
      </c>
      <c r="F4286" s="184">
        <v>39764</v>
      </c>
      <c r="G4286" s="184">
        <v>39806</v>
      </c>
      <c r="H4286" s="185">
        <v>4</v>
      </c>
      <c r="I4286" s="185">
        <v>16</v>
      </c>
      <c r="J4286" s="901" t="s">
        <v>1796</v>
      </c>
      <c r="K4286" s="158" t="s">
        <v>4797</v>
      </c>
      <c r="L4286" s="158" t="s">
        <v>7928</v>
      </c>
      <c r="M4286" s="158" t="s">
        <v>254</v>
      </c>
      <c r="N4286" s="158" t="s">
        <v>4511</v>
      </c>
      <c r="O4286" s="158"/>
      <c r="P4286" s="182" t="s">
        <v>461</v>
      </c>
      <c r="Q4286" s="158" t="s">
        <v>4798</v>
      </c>
      <c r="R4286" s="207" t="s">
        <v>4795</v>
      </c>
      <c r="S4286" s="355"/>
      <c r="T4286" s="182"/>
      <c r="U4286" s="182"/>
      <c r="V4286" s="182"/>
      <c r="W4286" s="321" t="s">
        <v>8474</v>
      </c>
      <c r="X4286" s="653" t="s">
        <v>12345</v>
      </c>
      <c r="Y4286" s="361"/>
      <c r="Z4286" s="362"/>
      <c r="AA4286" s="362"/>
      <c r="AB4286" s="33">
        <f t="shared" ca="1" si="108"/>
        <v>0.48819914859559488</v>
      </c>
      <c r="AC4286" s="813"/>
      <c r="AD4286" s="211"/>
      <c r="AE4286" s="949"/>
      <c r="AF4286" s="922">
        <f>IF(X4286=X4285,AF4285,0)+IF(ISNUMBER(I4286),IF(I4286&lt;1,I4286,I4286*VLOOKUP(J4286,Summary!$H$2:$I$9,2)),VLOOKUP(J4286,Summary!$J$2:$K$9,2)*IF(ISNUMBER(H4286),H4286,1))</f>
        <v>1.1394907407407406</v>
      </c>
      <c r="AG4286" s="295">
        <v>4285</v>
      </c>
      <c r="AH4286" s="94"/>
      <c r="AI4286" s="94"/>
    </row>
    <row r="4287" spans="1:36" s="43" customFormat="1" ht="12" customHeight="1" x14ac:dyDescent="0.25">
      <c r="A4287" s="608" t="s">
        <v>13105</v>
      </c>
      <c r="B4287" s="608" t="s">
        <v>14548</v>
      </c>
      <c r="C4287" s="608">
        <v>8.06</v>
      </c>
      <c r="D4287" s="192" t="s">
        <v>14545</v>
      </c>
      <c r="E4287" s="317" t="s">
        <v>14546</v>
      </c>
      <c r="F4287" s="209">
        <v>43280</v>
      </c>
      <c r="G4287" s="209"/>
      <c r="H4287" s="192" t="s">
        <v>461</v>
      </c>
      <c r="I4287" s="753"/>
      <c r="J4287" s="903" t="s">
        <v>2755</v>
      </c>
      <c r="K4287" s="194" t="s">
        <v>4425</v>
      </c>
      <c r="L4287" s="194" t="s">
        <v>5662</v>
      </c>
      <c r="M4287" s="194" t="s">
        <v>14547</v>
      </c>
      <c r="N4287" s="194" t="s">
        <v>5195</v>
      </c>
      <c r="O4287" s="194" t="s">
        <v>5195</v>
      </c>
      <c r="P4287" s="190" t="s">
        <v>14549</v>
      </c>
      <c r="Q4287" s="194" t="s">
        <v>3947</v>
      </c>
      <c r="R4287" s="193" t="s">
        <v>2722</v>
      </c>
      <c r="S4287" s="357"/>
      <c r="T4287" s="190"/>
      <c r="U4287" s="190"/>
      <c r="V4287" s="190"/>
      <c r="W4287" s="317" t="s">
        <v>14546</v>
      </c>
      <c r="X4287" s="649" t="s">
        <v>12345</v>
      </c>
      <c r="Y4287" s="357"/>
      <c r="Z4287" s="192"/>
      <c r="AA4287" s="192"/>
      <c r="AB4287" s="37">
        <f t="shared" ca="1" si="108"/>
        <v>3.1253771080858916E-2</v>
      </c>
      <c r="AC4287" s="816"/>
      <c r="AD4287" s="817"/>
      <c r="AE4287" s="943"/>
      <c r="AF4287" s="924">
        <f>IF(X4287=X4286,AF4286,0)+IF(ISNUMBER(I4287),IF(I4287&lt;1,I4287,I4287*VLOOKUP(J4287,Summary!$H$2:$I$9,2)),VLOOKUP(J4287,Summary!$J$2:$K$9,2)*IF(ISNUMBER(H4287),H4287,1))</f>
        <v>1.1568518518518518</v>
      </c>
      <c r="AG4287" s="292">
        <v>4286</v>
      </c>
      <c r="AH4287" s="94"/>
      <c r="AI4287" s="94"/>
    </row>
    <row r="4288" spans="1:36" s="43" customFormat="1" ht="12" customHeight="1" x14ac:dyDescent="0.25">
      <c r="A4288" s="608" t="s">
        <v>13105</v>
      </c>
      <c r="B4288" s="608" t="s">
        <v>14548</v>
      </c>
      <c r="C4288" s="608">
        <v>8.08</v>
      </c>
      <c r="D4288" s="192" t="s">
        <v>15012</v>
      </c>
      <c r="E4288" s="317" t="s">
        <v>15013</v>
      </c>
      <c r="F4288" s="209">
        <v>43314</v>
      </c>
      <c r="G4288" s="209"/>
      <c r="H4288" s="192" t="s">
        <v>461</v>
      </c>
      <c r="I4288" s="753"/>
      <c r="J4288" s="903" t="s">
        <v>2755</v>
      </c>
      <c r="K4288" s="194" t="s">
        <v>4425</v>
      </c>
      <c r="L4288" s="194" t="s">
        <v>5662</v>
      </c>
      <c r="M4288" s="194" t="s">
        <v>14547</v>
      </c>
      <c r="N4288" s="194" t="s">
        <v>5195</v>
      </c>
      <c r="O4288" s="194" t="s">
        <v>5195</v>
      </c>
      <c r="P4288" s="190" t="s">
        <v>15014</v>
      </c>
      <c r="Q4288" s="194" t="s">
        <v>3947</v>
      </c>
      <c r="R4288" s="193" t="s">
        <v>2722</v>
      </c>
      <c r="S4288" s="357"/>
      <c r="T4288" s="190"/>
      <c r="U4288" s="190"/>
      <c r="V4288" s="190"/>
      <c r="W4288" s="317" t="s">
        <v>15013</v>
      </c>
      <c r="X4288" s="649" t="s">
        <v>12345</v>
      </c>
      <c r="Y4288" s="357"/>
      <c r="Z4288" s="192"/>
      <c r="AA4288" s="192"/>
      <c r="AB4288" s="37">
        <f t="shared" ca="1" si="108"/>
        <v>0.90555710199329531</v>
      </c>
      <c r="AC4288" s="816"/>
      <c r="AD4288" s="817"/>
      <c r="AE4288" s="943"/>
      <c r="AF4288" s="924">
        <f>IF(X4288=X4287,AF4287,0)+IF(ISNUMBER(I4288),IF(I4288&lt;1,I4288,I4288*VLOOKUP(J4288,Summary!$H$2:$I$9,2)),VLOOKUP(J4288,Summary!$J$2:$K$9,2)*IF(ISNUMBER(H4288),H4288,1))</f>
        <v>1.174212962962963</v>
      </c>
      <c r="AG4288" s="292">
        <v>4287</v>
      </c>
      <c r="AH4288" s="94"/>
      <c r="AI4288" s="94"/>
      <c r="AJ4288" s="3"/>
    </row>
    <row r="4289" spans="1:36" s="43" customFormat="1" ht="12" customHeight="1" x14ac:dyDescent="0.25">
      <c r="A4289" s="553" t="s">
        <v>6287</v>
      </c>
      <c r="B4289" s="554" t="s">
        <v>3221</v>
      </c>
      <c r="C4289" s="553">
        <v>7</v>
      </c>
      <c r="D4289" s="424" t="s">
        <v>6288</v>
      </c>
      <c r="E4289" s="319" t="s">
        <v>5208</v>
      </c>
      <c r="F4289" s="198">
        <v>39720</v>
      </c>
      <c r="G4289" s="198"/>
      <c r="H4289" s="199">
        <v>2</v>
      </c>
      <c r="I4289" s="791">
        <f>TIME(0,27,49)+TIME(0,28, 2)</f>
        <v>3.878472222222222E-2</v>
      </c>
      <c r="J4289" s="904" t="s">
        <v>1588</v>
      </c>
      <c r="K4289" s="200" t="s">
        <v>4152</v>
      </c>
      <c r="L4289" s="200" t="s">
        <v>2770</v>
      </c>
      <c r="M4289" s="200"/>
      <c r="N4289" s="200" t="s">
        <v>7375</v>
      </c>
      <c r="O4289" s="200" t="s">
        <v>2771</v>
      </c>
      <c r="P4289" s="197" t="s">
        <v>461</v>
      </c>
      <c r="Q4289" s="200" t="s">
        <v>3946</v>
      </c>
      <c r="R4289" s="201" t="s">
        <v>5273</v>
      </c>
      <c r="S4289" s="390" t="s">
        <v>53</v>
      </c>
      <c r="T4289" s="197" t="s">
        <v>3074</v>
      </c>
      <c r="U4289" s="197" t="s">
        <v>3071</v>
      </c>
      <c r="V4289" s="197" t="s">
        <v>3072</v>
      </c>
      <c r="W4289" s="318"/>
      <c r="X4289" s="650" t="s">
        <v>12361</v>
      </c>
      <c r="Y4289" s="358" t="s">
        <v>7018</v>
      </c>
      <c r="Z4289" s="253">
        <v>1014</v>
      </c>
      <c r="AA4289" s="253">
        <v>5.5</v>
      </c>
      <c r="AB4289" s="35">
        <f t="shared" ca="1" si="108"/>
        <v>0.71050731596616068</v>
      </c>
      <c r="AC4289" s="820"/>
      <c r="AD4289" s="824" t="s">
        <v>14585</v>
      </c>
      <c r="AE4289" s="944"/>
      <c r="AF4289" s="925">
        <f>IF(X4289=X4288,AF4288,0)+IF(ISNUMBER(I4289),IF(I4289&lt;1,I4289,I4289*VLOOKUP(J4289,Summary!$H$2:$I$9,2)),VLOOKUP(J4289,Summary!$J$2:$K$9,2)*IF(ISNUMBER(H4289),H4289,1))</f>
        <v>3.878472222222222E-2</v>
      </c>
      <c r="AG4289" s="293">
        <v>4288</v>
      </c>
      <c r="AH4289" s="94"/>
      <c r="AI4289" s="94"/>
      <c r="AJ4289" s="29"/>
    </row>
    <row r="4290" spans="1:36" s="29" customFormat="1" ht="12" customHeight="1" x14ac:dyDescent="0.25">
      <c r="A4290" s="553" t="s">
        <v>6287</v>
      </c>
      <c r="B4290" s="554" t="s">
        <v>3221</v>
      </c>
      <c r="C4290" s="553">
        <v>8</v>
      </c>
      <c r="D4290" s="424" t="s">
        <v>6289</v>
      </c>
      <c r="E4290" s="319" t="s">
        <v>5209</v>
      </c>
      <c r="F4290" s="198">
        <v>39727</v>
      </c>
      <c r="G4290" s="198">
        <v>39734</v>
      </c>
      <c r="H4290" s="199">
        <v>2</v>
      </c>
      <c r="I4290" s="791">
        <f>TIME(0,27,55)+TIME(0,28,24)</f>
        <v>3.9108796296296294E-2</v>
      </c>
      <c r="J4290" s="904" t="s">
        <v>1588</v>
      </c>
      <c r="K4290" s="200" t="s">
        <v>4152</v>
      </c>
      <c r="L4290" s="200" t="s">
        <v>936</v>
      </c>
      <c r="M4290" s="200"/>
      <c r="N4290" s="200" t="s">
        <v>7375</v>
      </c>
      <c r="O4290" s="200" t="s">
        <v>6286</v>
      </c>
      <c r="P4290" s="197" t="s">
        <v>461</v>
      </c>
      <c r="Q4290" s="200" t="s">
        <v>3946</v>
      </c>
      <c r="R4290" s="201" t="s">
        <v>5273</v>
      </c>
      <c r="S4290" s="390" t="s">
        <v>53</v>
      </c>
      <c r="T4290" s="197" t="s">
        <v>3074</v>
      </c>
      <c r="U4290" s="197" t="s">
        <v>3075</v>
      </c>
      <c r="V4290" s="197" t="s">
        <v>3072</v>
      </c>
      <c r="W4290" s="318"/>
      <c r="X4290" s="650" t="s">
        <v>12361</v>
      </c>
      <c r="Y4290" s="358" t="s">
        <v>7018</v>
      </c>
      <c r="Z4290" s="253">
        <v>1012</v>
      </c>
      <c r="AA4290" s="253">
        <v>6</v>
      </c>
      <c r="AB4290" s="35">
        <f t="shared" ref="AB4290:AB4353" ca="1" si="109">RAND()</f>
        <v>0.84448177802535673</v>
      </c>
      <c r="AC4290" s="820"/>
      <c r="AD4290" s="824" t="s">
        <v>14932</v>
      </c>
      <c r="AE4290" s="944"/>
      <c r="AF4290" s="925">
        <f>IF(X4290=X4289,AF4289,0)+IF(ISNUMBER(I4290),IF(I4290&lt;1,I4290,I4290*VLOOKUP(J4290,Summary!$H$2:$I$9,2)),VLOOKUP(J4290,Summary!$J$2:$K$9,2)*IF(ISNUMBER(H4290),H4290,1))</f>
        <v>7.7893518518518515E-2</v>
      </c>
      <c r="AG4290" s="293">
        <v>4289</v>
      </c>
      <c r="AH4290" s="94"/>
      <c r="AI4290" s="94"/>
      <c r="AJ4290" s="43"/>
    </row>
    <row r="4291" spans="1:36" s="3" customFormat="1" ht="12" customHeight="1" x14ac:dyDescent="0.25">
      <c r="A4291" s="553" t="s">
        <v>6287</v>
      </c>
      <c r="B4291" s="554" t="s">
        <v>3221</v>
      </c>
      <c r="C4291" s="553">
        <v>9</v>
      </c>
      <c r="D4291" s="424" t="s">
        <v>6290</v>
      </c>
      <c r="E4291" s="319" t="s">
        <v>5210</v>
      </c>
      <c r="F4291" s="198">
        <v>39741</v>
      </c>
      <c r="G4291" s="198">
        <v>39748</v>
      </c>
      <c r="H4291" s="199">
        <v>2</v>
      </c>
      <c r="I4291" s="791">
        <f>TIME(0,28,17)+TIME(0,28, 2)</f>
        <v>3.9108796296296301E-2</v>
      </c>
      <c r="J4291" s="904" t="s">
        <v>1588</v>
      </c>
      <c r="K4291" s="200" t="s">
        <v>3451</v>
      </c>
      <c r="L4291" s="200" t="s">
        <v>936</v>
      </c>
      <c r="M4291" s="200"/>
      <c r="N4291" s="200" t="s">
        <v>7375</v>
      </c>
      <c r="O4291" s="200" t="s">
        <v>3365</v>
      </c>
      <c r="P4291" s="197" t="s">
        <v>461</v>
      </c>
      <c r="Q4291" s="200" t="s">
        <v>3946</v>
      </c>
      <c r="R4291" s="201" t="s">
        <v>5273</v>
      </c>
      <c r="S4291" s="390" t="s">
        <v>53</v>
      </c>
      <c r="T4291" s="197" t="s">
        <v>3074</v>
      </c>
      <c r="U4291" s="197" t="s">
        <v>3075</v>
      </c>
      <c r="V4291" s="197" t="s">
        <v>3072</v>
      </c>
      <c r="W4291" s="318"/>
      <c r="X4291" s="650" t="s">
        <v>12361</v>
      </c>
      <c r="Y4291" s="358" t="s">
        <v>7018</v>
      </c>
      <c r="Z4291" s="253">
        <v>1019</v>
      </c>
      <c r="AA4291" s="253">
        <v>4.5</v>
      </c>
      <c r="AB4291" s="35">
        <f t="shared" ca="1" si="109"/>
        <v>0.2347102629044715</v>
      </c>
      <c r="AC4291" s="820"/>
      <c r="AD4291" s="824" t="s">
        <v>14933</v>
      </c>
      <c r="AE4291" s="944"/>
      <c r="AF4291" s="925">
        <f>IF(X4291=X4290,AF4290,0)+IF(ISNUMBER(I4291),IF(I4291&lt;1,I4291,I4291*VLOOKUP(J4291,Summary!$H$2:$I$9,2)),VLOOKUP(J4291,Summary!$J$2:$K$9,2)*IF(ISNUMBER(H4291),H4291,1))</f>
        <v>0.11700231481481482</v>
      </c>
      <c r="AG4291" s="293">
        <v>4290</v>
      </c>
      <c r="AH4291" s="94"/>
      <c r="AI4291" s="94"/>
    </row>
    <row r="4292" spans="1:36" s="43" customFormat="1" ht="12" customHeight="1" x14ac:dyDescent="0.25">
      <c r="A4292" s="405" t="s">
        <v>6287</v>
      </c>
      <c r="B4292" s="406" t="s">
        <v>3221</v>
      </c>
      <c r="C4292" s="405">
        <v>3</v>
      </c>
      <c r="D4292" s="407" t="s">
        <v>6429</v>
      </c>
      <c r="E4292" s="315" t="s">
        <v>6431</v>
      </c>
      <c r="F4292" s="196">
        <v>39765</v>
      </c>
      <c r="G4292" s="196"/>
      <c r="H4292" s="170" t="str">
        <f>IF(J4292="Book","n/a","")</f>
        <v/>
      </c>
      <c r="I4292" s="746">
        <f>TIME(1,4,29)</f>
        <v>4.4780092592592587E-2</v>
      </c>
      <c r="J4292" s="899" t="s">
        <v>4706</v>
      </c>
      <c r="K4292" s="167" t="s">
        <v>6237</v>
      </c>
      <c r="L4292" s="167" t="s">
        <v>3365</v>
      </c>
      <c r="M4292" s="167" t="s">
        <v>6401</v>
      </c>
      <c r="N4292" s="167"/>
      <c r="O4292" s="167" t="s">
        <v>3365</v>
      </c>
      <c r="P4292" s="168" t="s">
        <v>6383</v>
      </c>
      <c r="Q4292" s="167" t="s">
        <v>3950</v>
      </c>
      <c r="R4292" s="172" t="s">
        <v>2242</v>
      </c>
      <c r="S4292" s="388" t="s">
        <v>53</v>
      </c>
      <c r="T4292" s="168" t="s">
        <v>3074</v>
      </c>
      <c r="U4292" s="168" t="s">
        <v>3075</v>
      </c>
      <c r="V4292" s="168" t="s">
        <v>3072</v>
      </c>
      <c r="W4292" s="312"/>
      <c r="X4292" s="644" t="s">
        <v>12361</v>
      </c>
      <c r="Y4292" s="352" t="s">
        <v>5643</v>
      </c>
      <c r="Z4292" s="353">
        <v>1999</v>
      </c>
      <c r="AA4292" s="353"/>
      <c r="AB4292" s="31">
        <f t="shared" ca="1" si="109"/>
        <v>0.7948248197165082</v>
      </c>
      <c r="AC4292" s="810"/>
      <c r="AD4292" s="825" t="s">
        <v>16625</v>
      </c>
      <c r="AE4292" s="940"/>
      <c r="AF4292" s="920">
        <f>IF(X4292=X4291,AF4291,0)+IF(ISNUMBER(I4292),IF(I4292&lt;1,I4292,I4292*VLOOKUP(J4292,Summary!$H$2:$I$9,2)),VLOOKUP(J4292,Summary!$J$2:$K$9,2)*IF(ISNUMBER(H4292),H4292,1))</f>
        <v>0.1617824074074074</v>
      </c>
      <c r="AG4292" s="287">
        <v>4291</v>
      </c>
      <c r="AH4292" s="94"/>
      <c r="AI4292" s="94"/>
      <c r="AJ4292" s="29"/>
    </row>
    <row r="4293" spans="1:36" s="3" customFormat="1" ht="12" customHeight="1" x14ac:dyDescent="0.25">
      <c r="A4293" s="405" t="s">
        <v>6287</v>
      </c>
      <c r="B4293" s="406" t="s">
        <v>3221</v>
      </c>
      <c r="C4293" s="405">
        <v>4</v>
      </c>
      <c r="D4293" s="407" t="s">
        <v>6430</v>
      </c>
      <c r="E4293" s="315" t="s">
        <v>6432</v>
      </c>
      <c r="F4293" s="196">
        <v>39765</v>
      </c>
      <c r="G4293" s="196"/>
      <c r="H4293" s="170" t="str">
        <f>IF(J4293="Book","n/a","")</f>
        <v/>
      </c>
      <c r="I4293" s="746">
        <f>TIME(1,6,20)</f>
        <v>4.6064814814814815E-2</v>
      </c>
      <c r="J4293" s="899" t="s">
        <v>4706</v>
      </c>
      <c r="K4293" s="167" t="s">
        <v>7375</v>
      </c>
      <c r="L4293" s="167" t="s">
        <v>3365</v>
      </c>
      <c r="M4293" s="167" t="s">
        <v>6401</v>
      </c>
      <c r="N4293" s="167"/>
      <c r="O4293" s="167" t="s">
        <v>3365</v>
      </c>
      <c r="P4293" s="168" t="s">
        <v>6382</v>
      </c>
      <c r="Q4293" s="167" t="s">
        <v>3950</v>
      </c>
      <c r="R4293" s="172" t="s">
        <v>2242</v>
      </c>
      <c r="S4293" s="388" t="s">
        <v>53</v>
      </c>
      <c r="T4293" s="168" t="s">
        <v>3074</v>
      </c>
      <c r="U4293" s="168" t="s">
        <v>3075</v>
      </c>
      <c r="V4293" s="168" t="s">
        <v>3072</v>
      </c>
      <c r="W4293" s="312"/>
      <c r="X4293" s="644" t="s">
        <v>12361</v>
      </c>
      <c r="Y4293" s="352" t="s">
        <v>5643</v>
      </c>
      <c r="Z4293" s="353">
        <v>1999</v>
      </c>
      <c r="AA4293" s="353"/>
      <c r="AB4293" s="31">
        <f t="shared" ca="1" si="109"/>
        <v>0.74446334385022239</v>
      </c>
      <c r="AC4293" s="810"/>
      <c r="AD4293" s="825" t="s">
        <v>14585</v>
      </c>
      <c r="AE4293" s="940"/>
      <c r="AF4293" s="920">
        <f>IF(X4293=X4292,AF4292,0)+IF(ISNUMBER(I4293),IF(I4293&lt;1,I4293,I4293*VLOOKUP(J4293,Summary!$H$2:$I$9,2)),VLOOKUP(J4293,Summary!$J$2:$K$9,2)*IF(ISNUMBER(H4293),H4293,1))</f>
        <v>0.20784722222222221</v>
      </c>
      <c r="AG4293" s="287">
        <v>4292</v>
      </c>
      <c r="AH4293" s="94"/>
      <c r="AI4293" s="94"/>
    </row>
    <row r="4294" spans="1:36" s="26" customFormat="1" ht="12" customHeight="1" x14ac:dyDescent="0.25">
      <c r="A4294" s="553" t="s">
        <v>6287</v>
      </c>
      <c r="B4294" s="554" t="s">
        <v>3221</v>
      </c>
      <c r="C4294" s="553">
        <v>10</v>
      </c>
      <c r="D4294" s="424" t="s">
        <v>6291</v>
      </c>
      <c r="E4294" s="319" t="s">
        <v>5211</v>
      </c>
      <c r="F4294" s="198">
        <v>39755</v>
      </c>
      <c r="G4294" s="198">
        <v>39762</v>
      </c>
      <c r="H4294" s="199">
        <v>2</v>
      </c>
      <c r="I4294" s="791">
        <f>TIME(0,28, 2)+TIME(0,27,51)</f>
        <v>3.8807870370370375E-2</v>
      </c>
      <c r="J4294" s="904" t="s">
        <v>1588</v>
      </c>
      <c r="K4294" s="200" t="s">
        <v>4425</v>
      </c>
      <c r="L4294" s="200" t="s">
        <v>2770</v>
      </c>
      <c r="M4294" s="200"/>
      <c r="N4294" s="200" t="s">
        <v>7375</v>
      </c>
      <c r="O4294" s="200" t="s">
        <v>3365</v>
      </c>
      <c r="P4294" s="197" t="s">
        <v>461</v>
      </c>
      <c r="Q4294" s="200" t="s">
        <v>3946</v>
      </c>
      <c r="R4294" s="201" t="s">
        <v>5273</v>
      </c>
      <c r="S4294" s="390" t="s">
        <v>53</v>
      </c>
      <c r="T4294" s="197" t="s">
        <v>3074</v>
      </c>
      <c r="U4294" s="197" t="s">
        <v>3075</v>
      </c>
      <c r="V4294" s="197" t="s">
        <v>3072</v>
      </c>
      <c r="W4294" s="318"/>
      <c r="X4294" s="650" t="s">
        <v>12361</v>
      </c>
      <c r="Y4294" s="358" t="s">
        <v>7018</v>
      </c>
      <c r="Z4294" s="253">
        <v>1018</v>
      </c>
      <c r="AA4294" s="253">
        <v>4.5</v>
      </c>
      <c r="AB4294" s="35">
        <f t="shared" ca="1" si="109"/>
        <v>0.26388972944608202</v>
      </c>
      <c r="AC4294" s="820"/>
      <c r="AD4294" s="824" t="s">
        <v>14934</v>
      </c>
      <c r="AE4294" s="944"/>
      <c r="AF4294" s="925">
        <f>IF(X4294=X4293,AF4293,0)+IF(ISNUMBER(I4294),IF(I4294&lt;1,I4294,I4294*VLOOKUP(J4294,Summary!$H$2:$I$9,2)),VLOOKUP(J4294,Summary!$J$2:$K$9,2)*IF(ISNUMBER(H4294),H4294,1))</f>
        <v>0.24665509259259258</v>
      </c>
      <c r="AG4294" s="293">
        <v>4293</v>
      </c>
      <c r="AH4294" s="94"/>
      <c r="AI4294" s="94"/>
    </row>
    <row r="4295" spans="1:36" s="3" customFormat="1" ht="12" customHeight="1" x14ac:dyDescent="0.25">
      <c r="A4295" s="553" t="s">
        <v>6287</v>
      </c>
      <c r="B4295" s="554" t="s">
        <v>3221</v>
      </c>
      <c r="C4295" s="553">
        <v>11</v>
      </c>
      <c r="D4295" s="424" t="s">
        <v>6292</v>
      </c>
      <c r="E4295" s="319" t="s">
        <v>4307</v>
      </c>
      <c r="F4295" s="198">
        <v>39769</v>
      </c>
      <c r="G4295" s="198">
        <v>39776</v>
      </c>
      <c r="H4295" s="199">
        <v>2</v>
      </c>
      <c r="I4295" s="791">
        <f>TIME(0,28,16)+TIME(0,27,51)</f>
        <v>3.8969907407407411E-2</v>
      </c>
      <c r="J4295" s="904" t="s">
        <v>1588</v>
      </c>
      <c r="K4295" s="200" t="s">
        <v>3451</v>
      </c>
      <c r="L4295" s="200" t="s">
        <v>4544</v>
      </c>
      <c r="M4295" s="200"/>
      <c r="N4295" s="200" t="s">
        <v>7375</v>
      </c>
      <c r="O4295" s="200" t="s">
        <v>3365</v>
      </c>
      <c r="P4295" s="197" t="s">
        <v>461</v>
      </c>
      <c r="Q4295" s="200" t="s">
        <v>3946</v>
      </c>
      <c r="R4295" s="201" t="s">
        <v>5273</v>
      </c>
      <c r="S4295" s="390" t="s">
        <v>53</v>
      </c>
      <c r="T4295" s="197" t="s">
        <v>3074</v>
      </c>
      <c r="U4295" s="197" t="s">
        <v>3075</v>
      </c>
      <c r="V4295" s="197" t="s">
        <v>3072</v>
      </c>
      <c r="W4295" s="318"/>
      <c r="X4295" s="650" t="s">
        <v>12361</v>
      </c>
      <c r="Y4295" s="358" t="s">
        <v>7018</v>
      </c>
      <c r="Z4295" s="253">
        <v>1005</v>
      </c>
      <c r="AA4295" s="253">
        <v>8.5</v>
      </c>
      <c r="AB4295" s="35">
        <f t="shared" ca="1" si="109"/>
        <v>0.33503951889994366</v>
      </c>
      <c r="AC4295" s="820"/>
      <c r="AD4295" s="824" t="s">
        <v>16753</v>
      </c>
      <c r="AE4295" s="944" t="s">
        <v>16664</v>
      </c>
      <c r="AF4295" s="925">
        <f>IF(X4295=X4294,AF4294,0)+IF(ISNUMBER(I4295),IF(I4295&lt;1,I4295,I4295*VLOOKUP(J4295,Summary!$H$2:$I$9,2)),VLOOKUP(J4295,Summary!$J$2:$K$9,2)*IF(ISNUMBER(H4295),H4295,1))</f>
        <v>0.28562500000000002</v>
      </c>
      <c r="AG4295" s="293">
        <v>4294</v>
      </c>
      <c r="AH4295" s="94"/>
      <c r="AI4295" s="94"/>
      <c r="AJ4295" s="29"/>
    </row>
    <row r="4296" spans="1:36" s="29" customFormat="1" ht="12" customHeight="1" x14ac:dyDescent="0.25">
      <c r="A4296" s="553" t="s">
        <v>6287</v>
      </c>
      <c r="B4296" s="553" t="s">
        <v>3221</v>
      </c>
      <c r="C4296" s="553">
        <v>12</v>
      </c>
      <c r="D4296" s="424" t="s">
        <v>4306</v>
      </c>
      <c r="E4296" s="319" t="s">
        <v>2769</v>
      </c>
      <c r="F4296" s="198">
        <v>39783</v>
      </c>
      <c r="G4296" s="198">
        <v>39790</v>
      </c>
      <c r="H4296" s="199">
        <v>2</v>
      </c>
      <c r="I4296" s="791">
        <f>TIME(0,28, 6)+TIME(0,28, 4)</f>
        <v>3.9004629629629632E-2</v>
      </c>
      <c r="J4296" s="904" t="s">
        <v>1588</v>
      </c>
      <c r="K4296" s="200" t="s">
        <v>4152</v>
      </c>
      <c r="L4296" s="200" t="s">
        <v>4544</v>
      </c>
      <c r="M4296" s="200"/>
      <c r="N4296" s="200" t="s">
        <v>7375</v>
      </c>
      <c r="O4296" s="200" t="s">
        <v>3365</v>
      </c>
      <c r="P4296" s="197" t="s">
        <v>461</v>
      </c>
      <c r="Q4296" s="200" t="s">
        <v>3946</v>
      </c>
      <c r="R4296" s="201" t="s">
        <v>5273</v>
      </c>
      <c r="S4296" s="390" t="s">
        <v>53</v>
      </c>
      <c r="T4296" s="197" t="s">
        <v>3074</v>
      </c>
      <c r="U4296" s="197" t="s">
        <v>16919</v>
      </c>
      <c r="V4296" s="197" t="s">
        <v>3072</v>
      </c>
      <c r="W4296" s="318"/>
      <c r="X4296" s="650" t="s">
        <v>12361</v>
      </c>
      <c r="Y4296" s="358" t="s">
        <v>7018</v>
      </c>
      <c r="Z4296" s="253">
        <v>1016</v>
      </c>
      <c r="AA4296" s="253">
        <v>5</v>
      </c>
      <c r="AB4296" s="35">
        <f t="shared" ca="1" si="109"/>
        <v>0.53674198893978564</v>
      </c>
      <c r="AC4296" s="820"/>
      <c r="AD4296" s="824" t="s">
        <v>14935</v>
      </c>
      <c r="AE4296" s="944"/>
      <c r="AF4296" s="925">
        <f>IF(X4296=X4295,AF4295,0)+IF(ISNUMBER(I4296),IF(I4296&lt;1,I4296,I4296*VLOOKUP(J4296,Summary!$H$2:$I$9,2)),VLOOKUP(J4296,Summary!$J$2:$K$9,2)*IF(ISNUMBER(H4296),H4296,1))</f>
        <v>0.32462962962962966</v>
      </c>
      <c r="AG4296" s="293">
        <v>4295</v>
      </c>
      <c r="AH4296" s="94"/>
      <c r="AI4296" s="94"/>
    </row>
    <row r="4297" spans="1:36" s="43" customFormat="1" ht="12" customHeight="1" x14ac:dyDescent="0.25">
      <c r="A4297" s="588" t="s">
        <v>6287</v>
      </c>
      <c r="B4297" s="589" t="s">
        <v>3221</v>
      </c>
      <c r="C4297" s="588">
        <v>1</v>
      </c>
      <c r="D4297" s="509" t="s">
        <v>374</v>
      </c>
      <c r="E4297" s="335" t="s">
        <v>373</v>
      </c>
      <c r="F4297" s="223">
        <v>39885</v>
      </c>
      <c r="G4297" s="223"/>
      <c r="H4297" s="242">
        <v>1</v>
      </c>
      <c r="I4297" s="792">
        <f>TIME(0,5,14)</f>
        <v>3.6342592592592594E-3</v>
      </c>
      <c r="J4297" s="909" t="s">
        <v>1588</v>
      </c>
      <c r="K4297" s="243" t="s">
        <v>6340</v>
      </c>
      <c r="L4297" s="243" t="s">
        <v>2770</v>
      </c>
      <c r="M4297" s="243"/>
      <c r="N4297" s="243"/>
      <c r="O4297" s="243" t="s">
        <v>1644</v>
      </c>
      <c r="P4297" s="241" t="s">
        <v>461</v>
      </c>
      <c r="Q4297" s="243" t="s">
        <v>3946</v>
      </c>
      <c r="R4297" s="244" t="s">
        <v>5270</v>
      </c>
      <c r="S4297" s="395" t="s">
        <v>53</v>
      </c>
      <c r="T4297" s="241" t="s">
        <v>3074</v>
      </c>
      <c r="U4297" s="241" t="s">
        <v>3075</v>
      </c>
      <c r="V4297" s="241" t="s">
        <v>3072</v>
      </c>
      <c r="W4297" s="335" t="s">
        <v>373</v>
      </c>
      <c r="X4297" s="667" t="s">
        <v>12361</v>
      </c>
      <c r="Y4297" s="375" t="s">
        <v>7018</v>
      </c>
      <c r="Z4297" s="242">
        <v>1027</v>
      </c>
      <c r="AA4297" s="377">
        <v>2.5</v>
      </c>
      <c r="AB4297" s="55">
        <f t="shared" ca="1" si="109"/>
        <v>0.59519403201242704</v>
      </c>
      <c r="AC4297" s="834"/>
      <c r="AD4297" s="835" t="s">
        <v>14585</v>
      </c>
      <c r="AE4297" s="957"/>
      <c r="AF4297" s="930">
        <f>IF(X4297=X4296,AF4296,0)+IF(ISNUMBER(I4297),IF(I4297&lt;1,I4297,I4297*VLOOKUP(J4297,Summary!$H$2:$I$9,2)),VLOOKUP(J4297,Summary!$J$2:$K$9,2)*IF(ISNUMBER(H4297),H4297,1))</f>
        <v>0.32826388888888891</v>
      </c>
      <c r="AG4297" s="302">
        <v>4296</v>
      </c>
      <c r="AH4297" s="94"/>
      <c r="AI4297" s="94"/>
      <c r="AJ4297" s="29"/>
    </row>
    <row r="4298" spans="1:36" s="43" customFormat="1" ht="12" customHeight="1" x14ac:dyDescent="0.25">
      <c r="A4298" s="598" t="s">
        <v>13106</v>
      </c>
      <c r="B4298" s="598">
        <v>10</v>
      </c>
      <c r="C4298" s="598">
        <v>1</v>
      </c>
      <c r="D4298" s="509" t="s">
        <v>2818</v>
      </c>
      <c r="E4298" s="335" t="s">
        <v>7292</v>
      </c>
      <c r="F4298" s="223">
        <v>39814</v>
      </c>
      <c r="G4298" s="223"/>
      <c r="H4298" s="242">
        <v>1</v>
      </c>
      <c r="I4298" s="792">
        <f>TIME(0,6,29)</f>
        <v>4.5023148148148149E-3</v>
      </c>
      <c r="J4298" s="909" t="s">
        <v>1588</v>
      </c>
      <c r="K4298" s="243" t="s">
        <v>3373</v>
      </c>
      <c r="L4298" s="243" t="s">
        <v>4961</v>
      </c>
      <c r="M4298" s="243"/>
      <c r="N4298" s="243" t="s">
        <v>3373</v>
      </c>
      <c r="O4298" s="243" t="s">
        <v>3365</v>
      </c>
      <c r="P4298" s="241" t="s">
        <v>461</v>
      </c>
      <c r="Q4298" s="243" t="s">
        <v>3946</v>
      </c>
      <c r="R4298" s="244" t="s">
        <v>5271</v>
      </c>
      <c r="S4298" s="395"/>
      <c r="T4298" s="241"/>
      <c r="U4298" s="241"/>
      <c r="V4298" s="241"/>
      <c r="W4298" s="335" t="s">
        <v>7292</v>
      </c>
      <c r="X4298" s="667" t="s">
        <v>13104</v>
      </c>
      <c r="Y4298" s="375" t="s">
        <v>7018</v>
      </c>
      <c r="Z4298" s="376">
        <v>248</v>
      </c>
      <c r="AA4298" s="377">
        <v>3.5</v>
      </c>
      <c r="AB4298" s="55">
        <f t="shared" ca="1" si="109"/>
        <v>0.63875017736975992</v>
      </c>
      <c r="AC4298" s="834"/>
      <c r="AD4298" s="835"/>
      <c r="AE4298" s="957"/>
      <c r="AF4298" s="930">
        <f>IF(X4298=X4297,AF4297,0)+IF(ISNUMBER(I4298),IF(I4298&lt;1,I4298,I4298*VLOOKUP(J4298,Summary!$H$2:$I$9,2)),VLOOKUP(J4298,Summary!$J$2:$K$9,2)*IF(ISNUMBER(H4298),H4298,1))</f>
        <v>4.5023148148148149E-3</v>
      </c>
      <c r="AG4298" s="302">
        <v>4297</v>
      </c>
      <c r="AH4298" s="94"/>
      <c r="AI4298" s="94"/>
      <c r="AJ4298" s="29"/>
    </row>
    <row r="4299" spans="1:36" s="3" customFormat="1" ht="12" customHeight="1" x14ac:dyDescent="0.25">
      <c r="A4299" s="600" t="s">
        <v>13106</v>
      </c>
      <c r="B4299" s="600">
        <v>10</v>
      </c>
      <c r="C4299" s="600">
        <v>2009.07</v>
      </c>
      <c r="D4299" s="434" t="s">
        <v>1725</v>
      </c>
      <c r="E4299" s="324" t="s">
        <v>1722</v>
      </c>
      <c r="F4299" s="174">
        <v>39661</v>
      </c>
      <c r="G4299" s="175"/>
      <c r="H4299" s="176" t="s">
        <v>461</v>
      </c>
      <c r="I4299" s="176">
        <v>9</v>
      </c>
      <c r="J4299" s="900" t="s">
        <v>2755</v>
      </c>
      <c r="K4299" s="157" t="s">
        <v>7375</v>
      </c>
      <c r="L4299" s="157" t="s">
        <v>6058</v>
      </c>
      <c r="M4299" s="157"/>
      <c r="N4299" s="157"/>
      <c r="O4299" s="157"/>
      <c r="P4299" s="173" t="s">
        <v>772</v>
      </c>
      <c r="Q4299" s="157" t="s">
        <v>4841</v>
      </c>
      <c r="R4299" s="179" t="s">
        <v>3976</v>
      </c>
      <c r="S4299" s="354"/>
      <c r="T4299" s="173"/>
      <c r="U4299" s="173"/>
      <c r="V4299" s="173"/>
      <c r="W4299" s="324" t="s">
        <v>1722</v>
      </c>
      <c r="X4299" s="656" t="s">
        <v>13104</v>
      </c>
      <c r="Y4299" s="363" t="s">
        <v>6868</v>
      </c>
      <c r="Z4299" s="364">
        <v>999</v>
      </c>
      <c r="AA4299" s="364"/>
      <c r="AB4299" s="32">
        <f t="shared" ca="1" si="109"/>
        <v>0.36861812711066588</v>
      </c>
      <c r="AC4299" s="812"/>
      <c r="AD4299" s="763"/>
      <c r="AE4299" s="951"/>
      <c r="AF4299" s="921">
        <f>IF(X4299=X4298,AF4298,0)+IF(ISNUMBER(I4299),IF(I4299&lt;1,I4299,I4299*VLOOKUP(J4299,Summary!$H$2:$I$9,2)),VLOOKUP(J4299,Summary!$J$2:$K$9,2)*IF(ISNUMBER(H4299),H4299,1))</f>
        <v>1.0752314814814815E-2</v>
      </c>
      <c r="AG4299" s="288">
        <v>4298</v>
      </c>
      <c r="AH4299" s="94"/>
      <c r="AI4299" s="94"/>
      <c r="AJ4299" s="43"/>
    </row>
    <row r="4300" spans="1:36" s="29" customFormat="1" ht="12" customHeight="1" x14ac:dyDescent="0.25">
      <c r="A4300" s="600" t="s">
        <v>13106</v>
      </c>
      <c r="B4300" s="600">
        <v>10</v>
      </c>
      <c r="C4300" s="600">
        <v>4</v>
      </c>
      <c r="D4300" s="176" t="s">
        <v>3112</v>
      </c>
      <c r="E4300" s="324" t="s">
        <v>7901</v>
      </c>
      <c r="F4300" s="174">
        <v>39783</v>
      </c>
      <c r="G4300" s="175"/>
      <c r="H4300" s="176">
        <v>2</v>
      </c>
      <c r="I4300" s="176">
        <v>14</v>
      </c>
      <c r="J4300" s="900" t="s">
        <v>2755</v>
      </c>
      <c r="K4300" s="157" t="s">
        <v>6410</v>
      </c>
      <c r="L4300" s="157" t="s">
        <v>3543</v>
      </c>
      <c r="M4300" s="157"/>
      <c r="N4300" s="157"/>
      <c r="O4300" s="157"/>
      <c r="P4300" s="173" t="s">
        <v>461</v>
      </c>
      <c r="Q4300" s="157" t="s">
        <v>3946</v>
      </c>
      <c r="R4300" s="179" t="s">
        <v>7896</v>
      </c>
      <c r="S4300" s="354"/>
      <c r="T4300" s="173"/>
      <c r="U4300" s="173"/>
      <c r="V4300" s="173"/>
      <c r="W4300" s="324" t="s">
        <v>7901</v>
      </c>
      <c r="X4300" s="656" t="s">
        <v>13104</v>
      </c>
      <c r="Y4300" s="363"/>
      <c r="Z4300" s="364"/>
      <c r="AA4300" s="364"/>
      <c r="AB4300" s="32">
        <f t="shared" ca="1" si="109"/>
        <v>0.94076544424288611</v>
      </c>
      <c r="AC4300" s="812"/>
      <c r="AD4300" s="763"/>
      <c r="AE4300" s="951"/>
      <c r="AF4300" s="921">
        <f>IF(X4300=X4299,AF4299,0)+IF(ISNUMBER(I4300),IF(I4300&lt;1,I4300,I4300*VLOOKUP(J4300,Summary!$H$2:$I$9,2)),VLOOKUP(J4300,Summary!$J$2:$K$9,2)*IF(ISNUMBER(H4300),H4300,1))</f>
        <v>2.0474537037037038E-2</v>
      </c>
      <c r="AG4300" s="288">
        <v>4299</v>
      </c>
      <c r="AH4300" s="94"/>
      <c r="AI4300" s="94"/>
      <c r="AJ4300" s="1"/>
    </row>
    <row r="4301" spans="1:36" s="29" customFormat="1" ht="12" customHeight="1" x14ac:dyDescent="0.25">
      <c r="A4301" s="604" t="s">
        <v>13106</v>
      </c>
      <c r="B4301" s="604">
        <v>10</v>
      </c>
      <c r="C4301" s="604">
        <v>30</v>
      </c>
      <c r="D4301" s="417" t="s">
        <v>7703</v>
      </c>
      <c r="E4301" s="316" t="s">
        <v>7293</v>
      </c>
      <c r="F4301" s="195">
        <v>39808</v>
      </c>
      <c r="G4301" s="195"/>
      <c r="H4301" s="188" t="str">
        <f>IF(J4301="Book","n/a","")</f>
        <v>n/a</v>
      </c>
      <c r="I4301" s="188">
        <v>248</v>
      </c>
      <c r="J4301" s="902" t="s">
        <v>6868</v>
      </c>
      <c r="K4301" s="162" t="s">
        <v>2311</v>
      </c>
      <c r="L4301" s="162" t="str">
        <f>IF(J4301="Book","n/a","")</f>
        <v>n/a</v>
      </c>
      <c r="M4301" s="162"/>
      <c r="N4301" s="162"/>
      <c r="O4301" s="162"/>
      <c r="P4301" s="178" t="s">
        <v>9045</v>
      </c>
      <c r="Q4301" s="162" t="s">
        <v>3953</v>
      </c>
      <c r="R4301" s="189" t="s">
        <v>2711</v>
      </c>
      <c r="S4301" s="366"/>
      <c r="T4301" s="178"/>
      <c r="U4301" s="178"/>
      <c r="V4301" s="178"/>
      <c r="W4301" s="316" t="s">
        <v>7293</v>
      </c>
      <c r="X4301" s="648" t="s">
        <v>13104</v>
      </c>
      <c r="Y4301" s="356"/>
      <c r="Z4301" s="272">
        <v>98</v>
      </c>
      <c r="AA4301" s="272">
        <v>5</v>
      </c>
      <c r="AB4301" s="34">
        <f t="shared" ca="1" si="109"/>
        <v>0.59098795100127</v>
      </c>
      <c r="AC4301" s="814"/>
      <c r="AD4301" s="815" t="s">
        <v>16507</v>
      </c>
      <c r="AE4301" s="942"/>
      <c r="AF4301" s="923">
        <f>IF(X4301=X4300,AF4300,0)+IF(ISNUMBER(I4301),IF(I4301&lt;1,I4301,I4301*VLOOKUP(J4301,Summary!$H$2:$I$9,2)),VLOOKUP(J4301,Summary!$J$2:$K$9,2)*IF(ISNUMBER(H4301),H4301,1))</f>
        <v>0.19269675925925925</v>
      </c>
      <c r="AG4301" s="291">
        <v>4300</v>
      </c>
      <c r="AH4301" s="94"/>
      <c r="AI4301" s="94"/>
      <c r="AJ4301" s="43"/>
    </row>
    <row r="4302" spans="1:36" s="29" customFormat="1" ht="12" customHeight="1" x14ac:dyDescent="0.25">
      <c r="A4302" s="605" t="s">
        <v>13106</v>
      </c>
      <c r="B4302" s="605">
        <v>10</v>
      </c>
      <c r="C4302" s="605">
        <v>4</v>
      </c>
      <c r="D4302" s="407" t="s">
        <v>4140</v>
      </c>
      <c r="E4302" s="315" t="s">
        <v>7294</v>
      </c>
      <c r="F4302" s="196">
        <v>39996</v>
      </c>
      <c r="G4302" s="196"/>
      <c r="H4302" s="170">
        <v>2</v>
      </c>
      <c r="I4302" s="747">
        <f>TIME(2,0,0)</f>
        <v>8.3333333333333329E-2</v>
      </c>
      <c r="J4302" s="899" t="s">
        <v>4706</v>
      </c>
      <c r="K4302" s="167" t="s">
        <v>179</v>
      </c>
      <c r="L4302" s="167" t="s">
        <v>3365</v>
      </c>
      <c r="M4302" s="167"/>
      <c r="N4302" s="167"/>
      <c r="O4302" s="167"/>
      <c r="P4302" s="168" t="s">
        <v>8923</v>
      </c>
      <c r="Q4302" s="167" t="s">
        <v>3950</v>
      </c>
      <c r="R4302" s="172" t="s">
        <v>2240</v>
      </c>
      <c r="S4302" s="388"/>
      <c r="T4302" s="168"/>
      <c r="U4302" s="168"/>
      <c r="V4302" s="168"/>
      <c r="W4302" s="312"/>
      <c r="X4302" s="644" t="s">
        <v>13104</v>
      </c>
      <c r="Y4302" s="352"/>
      <c r="Z4302" s="353"/>
      <c r="AA4302" s="353"/>
      <c r="AB4302" s="31">
        <f t="shared" ca="1" si="109"/>
        <v>0.1739155330497214</v>
      </c>
      <c r="AC4302" s="810"/>
      <c r="AD4302" s="811" t="s">
        <v>16561</v>
      </c>
      <c r="AE4302" s="940" t="s">
        <v>12543</v>
      </c>
      <c r="AF4302" s="920">
        <f>IF(X4302=X4301,AF4301,0)+IF(ISNUMBER(I4302),IF(I4302&lt;1,I4302,I4302*VLOOKUP(J4302,Summary!$H$2:$I$9,2)),VLOOKUP(J4302,Summary!$J$2:$K$9,2)*IF(ISNUMBER(H4302),H4302,1))</f>
        <v>0.27603009259259259</v>
      </c>
      <c r="AG4302" s="287">
        <v>4301</v>
      </c>
      <c r="AH4302" s="94"/>
      <c r="AI4302" s="94"/>
      <c r="AJ4302" s="3"/>
    </row>
    <row r="4303" spans="1:36" s="22" customFormat="1" ht="12" customHeight="1" x14ac:dyDescent="0.25">
      <c r="A4303" s="599" t="s">
        <v>13106</v>
      </c>
      <c r="B4303" s="599">
        <v>10</v>
      </c>
      <c r="C4303" s="599">
        <v>199</v>
      </c>
      <c r="D4303" s="424" t="s">
        <v>7295</v>
      </c>
      <c r="E4303" s="319" t="s">
        <v>7296</v>
      </c>
      <c r="F4303" s="198">
        <v>39807</v>
      </c>
      <c r="G4303" s="198"/>
      <c r="H4303" s="199">
        <v>1</v>
      </c>
      <c r="I4303" s="791">
        <f>TIME(0,60,27)</f>
        <v>4.1979166666666672E-2</v>
      </c>
      <c r="J4303" s="904" t="s">
        <v>1588</v>
      </c>
      <c r="K4303" s="200" t="s">
        <v>3373</v>
      </c>
      <c r="L4303" s="200" t="s">
        <v>3631</v>
      </c>
      <c r="M4303" s="200"/>
      <c r="N4303" s="200" t="s">
        <v>3373</v>
      </c>
      <c r="O4303" s="200" t="s">
        <v>3632</v>
      </c>
      <c r="P4303" s="197" t="s">
        <v>461</v>
      </c>
      <c r="Q4303" s="200" t="s">
        <v>3946</v>
      </c>
      <c r="R4303" s="201" t="s">
        <v>5280</v>
      </c>
      <c r="S4303" s="390" t="s">
        <v>3076</v>
      </c>
      <c r="T4303" s="197" t="s">
        <v>3077</v>
      </c>
      <c r="U4303" s="197"/>
      <c r="V4303" s="197"/>
      <c r="W4303" s="319" t="s">
        <v>7296</v>
      </c>
      <c r="X4303" s="651" t="s">
        <v>13104</v>
      </c>
      <c r="Y4303" s="358" t="s">
        <v>6141</v>
      </c>
      <c r="Z4303" s="253">
        <v>212</v>
      </c>
      <c r="AA4303" s="253">
        <v>4.5</v>
      </c>
      <c r="AB4303" s="35">
        <f t="shared" ca="1" si="109"/>
        <v>0.70785839803440298</v>
      </c>
      <c r="AC4303" s="820"/>
      <c r="AD4303" s="845" t="s">
        <v>16584</v>
      </c>
      <c r="AE4303" s="967"/>
      <c r="AF4303" s="925">
        <f>IF(X4303=X4302,AF4302,0)+IF(ISNUMBER(I4303),IF(I4303&lt;1,I4303,I4303*VLOOKUP(J4303,Summary!$H$2:$I$9,2)),VLOOKUP(J4303,Summary!$J$2:$K$9,2)*IF(ISNUMBER(H4303),H4303,1))</f>
        <v>0.31800925925925927</v>
      </c>
      <c r="AG4303" s="293">
        <v>4302</v>
      </c>
      <c r="AH4303" s="94"/>
      <c r="AI4303" s="94"/>
    </row>
    <row r="4304" spans="1:36" s="43" customFormat="1" ht="12" customHeight="1" x14ac:dyDescent="0.25">
      <c r="A4304" s="606" t="s">
        <v>13106</v>
      </c>
      <c r="B4304" s="606">
        <v>10</v>
      </c>
      <c r="C4304" s="606">
        <v>1.1000000000000001</v>
      </c>
      <c r="D4304" s="226" t="s">
        <v>11031</v>
      </c>
      <c r="E4304" s="331" t="s">
        <v>11043</v>
      </c>
      <c r="F4304" s="233">
        <v>41843</v>
      </c>
      <c r="G4304" s="233">
        <v>41920</v>
      </c>
      <c r="H4304" s="226">
        <v>3</v>
      </c>
      <c r="I4304" s="226">
        <v>68</v>
      </c>
      <c r="J4304" s="907" t="s">
        <v>1796</v>
      </c>
      <c r="K4304" s="228" t="s">
        <v>11023</v>
      </c>
      <c r="L4304" s="228" t="s">
        <v>8340</v>
      </c>
      <c r="M4304" s="228" t="s">
        <v>11028</v>
      </c>
      <c r="N4304" s="228" t="s">
        <v>10882</v>
      </c>
      <c r="O4304" s="228"/>
      <c r="P4304" s="225" t="s">
        <v>461</v>
      </c>
      <c r="Q4304" s="228" t="s">
        <v>7076</v>
      </c>
      <c r="R4304" s="227" t="s">
        <v>10877</v>
      </c>
      <c r="S4304" s="369"/>
      <c r="T4304" s="225" t="s">
        <v>10886</v>
      </c>
      <c r="U4304" s="225"/>
      <c r="V4304" s="225"/>
      <c r="W4304" s="331"/>
      <c r="X4304" s="663" t="s">
        <v>13104</v>
      </c>
      <c r="Y4304" s="369" t="s">
        <v>6000</v>
      </c>
      <c r="Z4304" s="226"/>
      <c r="AA4304" s="226"/>
      <c r="AB4304" s="38">
        <f t="shared" ca="1" si="109"/>
        <v>0.36817183043202029</v>
      </c>
      <c r="AC4304" s="830"/>
      <c r="AD4304" s="831"/>
      <c r="AE4304" s="963"/>
      <c r="AF4304" s="928">
        <f>IF(X4304=X4303,AF4303,0)+IF(ISNUMBER(I4304),IF(I4304&lt;1,I4304,I4304*VLOOKUP(J4304,Summary!$H$2:$I$9,2)),VLOOKUP(J4304,Summary!$J$2:$K$9,2)*IF(ISNUMBER(H4304),H4304,1))</f>
        <v>0.34162037037037041</v>
      </c>
      <c r="AG4304" s="304">
        <v>4303</v>
      </c>
      <c r="AH4304" s="94"/>
      <c r="AI4304" s="94"/>
    </row>
    <row r="4305" spans="1:36" s="43" customFormat="1" ht="12" customHeight="1" x14ac:dyDescent="0.25">
      <c r="A4305" s="603" t="s">
        <v>13106</v>
      </c>
      <c r="B4305" s="603">
        <v>10</v>
      </c>
      <c r="C4305" s="603">
        <v>1.2</v>
      </c>
      <c r="D4305" s="185" t="s">
        <v>11032</v>
      </c>
      <c r="E4305" s="314" t="s">
        <v>11044</v>
      </c>
      <c r="F4305" s="184">
        <v>41948</v>
      </c>
      <c r="G4305" s="184">
        <v>41990</v>
      </c>
      <c r="H4305" s="185">
        <v>2</v>
      </c>
      <c r="I4305" s="185">
        <v>45</v>
      </c>
      <c r="J4305" s="901" t="s">
        <v>1796</v>
      </c>
      <c r="K4305" s="163" t="s">
        <v>11023</v>
      </c>
      <c r="L4305" s="163" t="s">
        <v>11024</v>
      </c>
      <c r="M4305" s="163" t="s">
        <v>11025</v>
      </c>
      <c r="N4305" s="163" t="s">
        <v>10882</v>
      </c>
      <c r="O4305" s="163"/>
      <c r="P4305" s="182" t="s">
        <v>461</v>
      </c>
      <c r="Q4305" s="163" t="s">
        <v>7076</v>
      </c>
      <c r="R4305" s="186" t="s">
        <v>10877</v>
      </c>
      <c r="S4305" s="355"/>
      <c r="T4305" s="182" t="s">
        <v>10886</v>
      </c>
      <c r="U4305" s="182"/>
      <c r="V4305" s="182"/>
      <c r="W4305" s="314"/>
      <c r="X4305" s="646" t="s">
        <v>13104</v>
      </c>
      <c r="Y4305" s="355" t="s">
        <v>6000</v>
      </c>
      <c r="Z4305" s="185"/>
      <c r="AA4305" s="185"/>
      <c r="AB4305" s="33">
        <f t="shared" ca="1" si="109"/>
        <v>0.77459335544257746</v>
      </c>
      <c r="AC4305" s="813"/>
      <c r="AD4305" s="211"/>
      <c r="AE4305" s="941"/>
      <c r="AF4305" s="922">
        <f>IF(X4305=X4304,AF4304,0)+IF(ISNUMBER(I4305),IF(I4305&lt;1,I4305,I4305*VLOOKUP(J4305,Summary!$H$2:$I$9,2)),VLOOKUP(J4305,Summary!$J$2:$K$9,2)*IF(ISNUMBER(H4305),H4305,1))</f>
        <v>0.35724537037037041</v>
      </c>
      <c r="AG4305" s="290">
        <v>4304</v>
      </c>
      <c r="AH4305" s="94"/>
      <c r="AI4305" s="94"/>
    </row>
    <row r="4306" spans="1:36" s="3" customFormat="1" ht="12" customHeight="1" x14ac:dyDescent="0.25">
      <c r="A4306" s="606" t="s">
        <v>13106</v>
      </c>
      <c r="B4306" s="606">
        <v>10</v>
      </c>
      <c r="C4306" s="606">
        <v>1.3</v>
      </c>
      <c r="D4306" s="226" t="s">
        <v>11033</v>
      </c>
      <c r="E4306" s="331" t="s">
        <v>11045</v>
      </c>
      <c r="F4306" s="233">
        <v>42018</v>
      </c>
      <c r="G4306" s="233">
        <v>42099</v>
      </c>
      <c r="H4306" s="226">
        <v>4</v>
      </c>
      <c r="I4306" s="226">
        <v>90</v>
      </c>
      <c r="J4306" s="907" t="s">
        <v>1796</v>
      </c>
      <c r="K4306" s="228" t="s">
        <v>10900</v>
      </c>
      <c r="L4306" s="228" t="s">
        <v>11055</v>
      </c>
      <c r="M4306" s="228" t="s">
        <v>10934</v>
      </c>
      <c r="N4306" s="228" t="s">
        <v>10882</v>
      </c>
      <c r="O4306" s="228"/>
      <c r="P4306" s="225" t="s">
        <v>461</v>
      </c>
      <c r="Q4306" s="228" t="s">
        <v>7076</v>
      </c>
      <c r="R4306" s="227" t="s">
        <v>10877</v>
      </c>
      <c r="S4306" s="369"/>
      <c r="T4306" s="225" t="s">
        <v>10886</v>
      </c>
      <c r="U4306" s="225"/>
      <c r="V4306" s="225"/>
      <c r="W4306" s="331"/>
      <c r="X4306" s="663" t="s">
        <v>13104</v>
      </c>
      <c r="Y4306" s="369" t="s">
        <v>6000</v>
      </c>
      <c r="Z4306" s="226"/>
      <c r="AA4306" s="226"/>
      <c r="AB4306" s="38">
        <f t="shared" ca="1" si="109"/>
        <v>0.6333341788198209</v>
      </c>
      <c r="AC4306" s="830"/>
      <c r="AD4306" s="831"/>
      <c r="AE4306" s="963"/>
      <c r="AF4306" s="928">
        <f>IF(X4306=X4305,AF4305,0)+IF(ISNUMBER(I4306),IF(I4306&lt;1,I4306,I4306*VLOOKUP(J4306,Summary!$H$2:$I$9,2)),VLOOKUP(J4306,Summary!$J$2:$K$9,2)*IF(ISNUMBER(H4306),H4306,1))</f>
        <v>0.38849537037037041</v>
      </c>
      <c r="AG4306" s="304">
        <v>4305</v>
      </c>
      <c r="AH4306" s="94"/>
      <c r="AI4306" s="94"/>
      <c r="AJ4306" s="29"/>
    </row>
    <row r="4307" spans="1:36" s="43" customFormat="1" ht="12" customHeight="1" x14ac:dyDescent="0.25">
      <c r="A4307" s="603" t="s">
        <v>13106</v>
      </c>
      <c r="B4307" s="603">
        <v>10</v>
      </c>
      <c r="C4307" s="603">
        <v>3</v>
      </c>
      <c r="D4307" s="185" t="s">
        <v>11021</v>
      </c>
      <c r="E4307" s="314" t="s">
        <v>11022</v>
      </c>
      <c r="F4307" s="184">
        <v>42126</v>
      </c>
      <c r="G4307" s="184"/>
      <c r="H4307" s="185">
        <v>1</v>
      </c>
      <c r="I4307" s="185">
        <v>6</v>
      </c>
      <c r="J4307" s="901" t="s">
        <v>1796</v>
      </c>
      <c r="K4307" s="163" t="s">
        <v>11023</v>
      </c>
      <c r="L4307" s="163" t="s">
        <v>11024</v>
      </c>
      <c r="M4307" s="163" t="s">
        <v>11025</v>
      </c>
      <c r="N4307" s="163"/>
      <c r="O4307" s="163"/>
      <c r="P4307" s="182" t="s">
        <v>461</v>
      </c>
      <c r="Q4307" s="163" t="s">
        <v>7076</v>
      </c>
      <c r="R4307" s="186" t="s">
        <v>10880</v>
      </c>
      <c r="S4307" s="355"/>
      <c r="T4307" s="182" t="s">
        <v>10886</v>
      </c>
      <c r="U4307" s="182"/>
      <c r="V4307" s="182"/>
      <c r="W4307" s="314" t="s">
        <v>11022</v>
      </c>
      <c r="X4307" s="646" t="s">
        <v>13104</v>
      </c>
      <c r="Y4307" s="355"/>
      <c r="Z4307" s="185"/>
      <c r="AA4307" s="185"/>
      <c r="AB4307" s="33">
        <f t="shared" ca="1" si="109"/>
        <v>0.57601485002084574</v>
      </c>
      <c r="AC4307" s="813"/>
      <c r="AD4307" s="211"/>
      <c r="AE4307" s="941"/>
      <c r="AF4307" s="922">
        <f>IF(X4307=X4306,AF4306,0)+IF(ISNUMBER(I4307),IF(I4307&lt;1,I4307,I4307*VLOOKUP(J4307,Summary!$H$2:$I$9,2)),VLOOKUP(J4307,Summary!$J$2:$K$9,2)*IF(ISNUMBER(H4307),H4307,1))</f>
        <v>0.39057870370370373</v>
      </c>
      <c r="AG4307" s="290">
        <v>4306</v>
      </c>
      <c r="AH4307" s="94"/>
      <c r="AI4307" s="94"/>
    </row>
    <row r="4308" spans="1:36" s="29" customFormat="1" ht="12" customHeight="1" x14ac:dyDescent="0.25">
      <c r="A4308" s="603" t="s">
        <v>13106</v>
      </c>
      <c r="B4308" s="603">
        <v>10</v>
      </c>
      <c r="C4308" s="603">
        <v>4</v>
      </c>
      <c r="D4308" s="185" t="s">
        <v>11034</v>
      </c>
      <c r="E4308" s="314" t="s">
        <v>4834</v>
      </c>
      <c r="F4308" s="184">
        <v>42137</v>
      </c>
      <c r="G4308" s="184"/>
      <c r="H4308" s="185">
        <v>1</v>
      </c>
      <c r="I4308" s="185">
        <v>22</v>
      </c>
      <c r="J4308" s="901" t="s">
        <v>1796</v>
      </c>
      <c r="K4308" s="163" t="s">
        <v>10900</v>
      </c>
      <c r="L4308" s="163" t="s">
        <v>11024</v>
      </c>
      <c r="M4308" s="163" t="s">
        <v>10920</v>
      </c>
      <c r="N4308" s="163" t="s">
        <v>10882</v>
      </c>
      <c r="O4308" s="163"/>
      <c r="P4308" s="182" t="s">
        <v>461</v>
      </c>
      <c r="Q4308" s="163" t="s">
        <v>7076</v>
      </c>
      <c r="R4308" s="186" t="s">
        <v>10880</v>
      </c>
      <c r="S4308" s="355"/>
      <c r="T4308" s="182" t="s">
        <v>10886</v>
      </c>
      <c r="U4308" s="182"/>
      <c r="V4308" s="182" t="s">
        <v>10885</v>
      </c>
      <c r="W4308" s="314" t="s">
        <v>4834</v>
      </c>
      <c r="X4308" s="646" t="s">
        <v>13104</v>
      </c>
      <c r="Y4308" s="355"/>
      <c r="Z4308" s="185"/>
      <c r="AA4308" s="185"/>
      <c r="AB4308" s="33">
        <f t="shared" ca="1" si="109"/>
        <v>0.69523499099939634</v>
      </c>
      <c r="AC4308" s="813"/>
      <c r="AD4308" s="211"/>
      <c r="AE4308" s="941"/>
      <c r="AF4308" s="922">
        <f>IF(X4308=X4307,AF4307,0)+IF(ISNUMBER(I4308),IF(I4308&lt;1,I4308,I4308*VLOOKUP(J4308,Summary!$H$2:$I$9,2)),VLOOKUP(J4308,Summary!$J$2:$K$9,2)*IF(ISNUMBER(H4308),H4308,1))</f>
        <v>0.3982175925925926</v>
      </c>
      <c r="AG4308" s="290">
        <v>4307</v>
      </c>
      <c r="AH4308" s="94"/>
      <c r="AI4308" s="94"/>
    </row>
    <row r="4309" spans="1:36" s="29" customFormat="1" ht="12" customHeight="1" x14ac:dyDescent="0.25">
      <c r="A4309" s="603" t="s">
        <v>13106</v>
      </c>
      <c r="B4309" s="603">
        <v>10</v>
      </c>
      <c r="C4309" s="603">
        <v>1.4</v>
      </c>
      <c r="D4309" s="185" t="s">
        <v>11060</v>
      </c>
      <c r="E4309" s="314" t="s">
        <v>11046</v>
      </c>
      <c r="F4309" s="184">
        <v>42165</v>
      </c>
      <c r="G4309" s="184">
        <v>42179</v>
      </c>
      <c r="H4309" s="185">
        <v>2</v>
      </c>
      <c r="I4309" s="185">
        <v>44</v>
      </c>
      <c r="J4309" s="901" t="s">
        <v>1796</v>
      </c>
      <c r="K4309" s="163" t="s">
        <v>11023</v>
      </c>
      <c r="L4309" s="163" t="s">
        <v>11056</v>
      </c>
      <c r="M4309" s="163" t="s">
        <v>11028</v>
      </c>
      <c r="N4309" s="163" t="s">
        <v>10882</v>
      </c>
      <c r="O4309" s="163"/>
      <c r="P4309" s="182" t="s">
        <v>461</v>
      </c>
      <c r="Q4309" s="163" t="s">
        <v>7076</v>
      </c>
      <c r="R4309" s="186" t="s">
        <v>10877</v>
      </c>
      <c r="S4309" s="355">
        <v>9</v>
      </c>
      <c r="T4309" s="182" t="s">
        <v>10886</v>
      </c>
      <c r="U4309" s="182"/>
      <c r="V4309" s="182" t="s">
        <v>10885</v>
      </c>
      <c r="W4309" s="314"/>
      <c r="X4309" s="646" t="s">
        <v>13104</v>
      </c>
      <c r="Y4309" s="355" t="s">
        <v>6000</v>
      </c>
      <c r="Z4309" s="185"/>
      <c r="AA4309" s="185"/>
      <c r="AB4309" s="33">
        <f t="shared" ca="1" si="109"/>
        <v>0.33111760882373731</v>
      </c>
      <c r="AC4309" s="813"/>
      <c r="AD4309" s="211"/>
      <c r="AE4309" s="941"/>
      <c r="AF4309" s="922">
        <f>IF(X4309=X4308,AF4308,0)+IF(ISNUMBER(I4309),IF(I4309&lt;1,I4309,I4309*VLOOKUP(J4309,Summary!$H$2:$I$9,2)),VLOOKUP(J4309,Summary!$J$2:$K$9,2)*IF(ISNUMBER(H4309),H4309,1))</f>
        <v>0.41349537037037037</v>
      </c>
      <c r="AG4309" s="290">
        <v>4308</v>
      </c>
      <c r="AH4309" s="94"/>
      <c r="AI4309" s="94"/>
    </row>
    <row r="4310" spans="1:36" s="43" customFormat="1" ht="12" customHeight="1" x14ac:dyDescent="0.25">
      <c r="A4310" s="603" t="s">
        <v>13106</v>
      </c>
      <c r="B4310" s="603">
        <v>10</v>
      </c>
      <c r="C4310" s="603">
        <v>1.5</v>
      </c>
      <c r="D4310" s="185" t="s">
        <v>11061</v>
      </c>
      <c r="E4310" s="314" t="s">
        <v>11057</v>
      </c>
      <c r="F4310" s="184">
        <v>42214</v>
      </c>
      <c r="G4310" s="184">
        <v>42228</v>
      </c>
      <c r="H4310" s="185">
        <v>2</v>
      </c>
      <c r="I4310" s="185">
        <v>45</v>
      </c>
      <c r="J4310" s="901" t="s">
        <v>1796</v>
      </c>
      <c r="K4310" s="163" t="s">
        <v>11023</v>
      </c>
      <c r="L4310" s="163" t="s">
        <v>11058</v>
      </c>
      <c r="M4310" s="163" t="s">
        <v>10920</v>
      </c>
      <c r="N4310" s="163" t="s">
        <v>10882</v>
      </c>
      <c r="O4310" s="163"/>
      <c r="P4310" s="182" t="s">
        <v>461</v>
      </c>
      <c r="Q4310" s="163" t="s">
        <v>7076</v>
      </c>
      <c r="R4310" s="186" t="s">
        <v>10877</v>
      </c>
      <c r="S4310" s="355"/>
      <c r="T4310" s="182" t="s">
        <v>10886</v>
      </c>
      <c r="U4310" s="182"/>
      <c r="V4310" s="182" t="s">
        <v>10885</v>
      </c>
      <c r="W4310" s="314"/>
      <c r="X4310" s="646" t="s">
        <v>13104</v>
      </c>
      <c r="Y4310" s="355" t="s">
        <v>6000</v>
      </c>
      <c r="Z4310" s="185"/>
      <c r="AA4310" s="185"/>
      <c r="AB4310" s="33">
        <f t="shared" ca="1" si="109"/>
        <v>0.13067510383885128</v>
      </c>
      <c r="AC4310" s="813"/>
      <c r="AD4310" s="211"/>
      <c r="AE4310" s="941"/>
      <c r="AF4310" s="922">
        <f>IF(X4310=X4309,AF4309,0)+IF(ISNUMBER(I4310),IF(I4310&lt;1,I4310,I4310*VLOOKUP(J4310,Summary!$H$2:$I$9,2)),VLOOKUP(J4310,Summary!$J$2:$K$9,2)*IF(ISNUMBER(H4310),H4310,1))</f>
        <v>0.42912037037037037</v>
      </c>
      <c r="AG4310" s="290">
        <v>4309</v>
      </c>
      <c r="AH4310" s="94"/>
      <c r="AI4310" s="94"/>
    </row>
    <row r="4311" spans="1:36" s="43" customFormat="1" ht="12" customHeight="1" x14ac:dyDescent="0.25">
      <c r="A4311" s="603" t="s">
        <v>13106</v>
      </c>
      <c r="B4311" s="603">
        <v>10</v>
      </c>
      <c r="C4311" s="603">
        <v>1.6</v>
      </c>
      <c r="D4311" s="185" t="s">
        <v>11062</v>
      </c>
      <c r="E4311" s="314" t="s">
        <v>4339</v>
      </c>
      <c r="F4311" s="184">
        <v>42249</v>
      </c>
      <c r="G4311" s="184"/>
      <c r="H4311" s="185">
        <v>1</v>
      </c>
      <c r="I4311" s="185">
        <v>22</v>
      </c>
      <c r="J4311" s="901" t="s">
        <v>1796</v>
      </c>
      <c r="K4311" s="163" t="s">
        <v>11023</v>
      </c>
      <c r="L4311" s="163" t="s">
        <v>11059</v>
      </c>
      <c r="M4311" s="163" t="s">
        <v>11028</v>
      </c>
      <c r="N4311" s="163" t="s">
        <v>10882</v>
      </c>
      <c r="O4311" s="163"/>
      <c r="P4311" s="182" t="s">
        <v>461</v>
      </c>
      <c r="Q4311" s="163" t="s">
        <v>7076</v>
      </c>
      <c r="R4311" s="186" t="s">
        <v>10877</v>
      </c>
      <c r="S4311" s="355"/>
      <c r="T4311" s="182" t="s">
        <v>10886</v>
      </c>
      <c r="U4311" s="182"/>
      <c r="V4311" s="182" t="s">
        <v>10885</v>
      </c>
      <c r="W4311" s="314" t="s">
        <v>4339</v>
      </c>
      <c r="X4311" s="646" t="s">
        <v>13104</v>
      </c>
      <c r="Y4311" s="355" t="s">
        <v>6000</v>
      </c>
      <c r="Z4311" s="185"/>
      <c r="AA4311" s="185"/>
      <c r="AB4311" s="33">
        <f t="shared" ca="1" si="109"/>
        <v>0.73853119119120247</v>
      </c>
      <c r="AC4311" s="813"/>
      <c r="AD4311" s="211"/>
      <c r="AE4311" s="941"/>
      <c r="AF4311" s="922">
        <f>IF(X4311=X4310,AF4310,0)+IF(ISNUMBER(I4311),IF(I4311&lt;1,I4311,I4311*VLOOKUP(J4311,Summary!$H$2:$I$9,2)),VLOOKUP(J4311,Summary!$J$2:$K$9,2)*IF(ISNUMBER(H4311),H4311,1))</f>
        <v>0.43675925925925929</v>
      </c>
      <c r="AG4311" s="290">
        <v>4310</v>
      </c>
      <c r="AH4311" s="94"/>
      <c r="AI4311" s="94"/>
    </row>
    <row r="4312" spans="1:36" s="43" customFormat="1" ht="12" customHeight="1" x14ac:dyDescent="0.25">
      <c r="A4312" s="603" t="s">
        <v>13106</v>
      </c>
      <c r="B4312" s="603">
        <v>10</v>
      </c>
      <c r="C4312" s="603">
        <v>2.1</v>
      </c>
      <c r="D4312" s="185" t="s">
        <v>11035</v>
      </c>
      <c r="E4312" s="314" t="s">
        <v>11047</v>
      </c>
      <c r="F4312" s="184">
        <v>42270</v>
      </c>
      <c r="G4312" s="184">
        <v>42298</v>
      </c>
      <c r="H4312" s="185">
        <v>2</v>
      </c>
      <c r="I4312" s="185">
        <v>44</v>
      </c>
      <c r="J4312" s="901" t="s">
        <v>1796</v>
      </c>
      <c r="K4312" s="163" t="s">
        <v>11023</v>
      </c>
      <c r="L4312" s="163" t="s">
        <v>11024</v>
      </c>
      <c r="M4312" s="163" t="s">
        <v>11025</v>
      </c>
      <c r="N4312" s="163" t="s">
        <v>10882</v>
      </c>
      <c r="O4312" s="163"/>
      <c r="P4312" s="182" t="s">
        <v>461</v>
      </c>
      <c r="Q4312" s="163" t="s">
        <v>7076</v>
      </c>
      <c r="R4312" s="186" t="s">
        <v>10877</v>
      </c>
      <c r="S4312" s="355"/>
      <c r="T4312" s="182" t="s">
        <v>10886</v>
      </c>
      <c r="U4312" s="182"/>
      <c r="V4312" s="182"/>
      <c r="W4312" s="314"/>
      <c r="X4312" s="646" t="s">
        <v>13104</v>
      </c>
      <c r="Y4312" s="355" t="s">
        <v>6000</v>
      </c>
      <c r="Z4312" s="185"/>
      <c r="AA4312" s="185"/>
      <c r="AB4312" s="33">
        <f t="shared" ca="1" si="109"/>
        <v>0.37664930027296528</v>
      </c>
      <c r="AC4312" s="813"/>
      <c r="AD4312" s="211"/>
      <c r="AE4312" s="941"/>
      <c r="AF4312" s="922">
        <f>IF(X4312=X4311,AF4311,0)+IF(ISNUMBER(I4312),IF(I4312&lt;1,I4312,I4312*VLOOKUP(J4312,Summary!$H$2:$I$9,2)),VLOOKUP(J4312,Summary!$J$2:$K$9,2)*IF(ISNUMBER(H4312),H4312,1))</f>
        <v>0.45203703703703707</v>
      </c>
      <c r="AG4312" s="290">
        <v>4311</v>
      </c>
      <c r="AH4312" s="94"/>
      <c r="AI4312" s="94"/>
      <c r="AJ4312" s="29"/>
    </row>
    <row r="4313" spans="1:36" s="44" customFormat="1" ht="12" customHeight="1" x14ac:dyDescent="0.25">
      <c r="A4313" s="603" t="s">
        <v>13106</v>
      </c>
      <c r="B4313" s="603">
        <v>10</v>
      </c>
      <c r="C4313" s="603">
        <v>2.2000000000000002</v>
      </c>
      <c r="D4313" s="185" t="s">
        <v>11036</v>
      </c>
      <c r="E4313" s="314" t="s">
        <v>11063</v>
      </c>
      <c r="F4313" s="184">
        <v>42340</v>
      </c>
      <c r="G4313" s="184"/>
      <c r="H4313" s="185">
        <v>1</v>
      </c>
      <c r="I4313" s="185">
        <v>22</v>
      </c>
      <c r="J4313" s="901" t="s">
        <v>1796</v>
      </c>
      <c r="K4313" s="163" t="s">
        <v>11023</v>
      </c>
      <c r="L4313" s="163" t="s">
        <v>11064</v>
      </c>
      <c r="M4313" s="163" t="s">
        <v>11065</v>
      </c>
      <c r="N4313" s="163" t="s">
        <v>10882</v>
      </c>
      <c r="O4313" s="163"/>
      <c r="P4313" s="182" t="s">
        <v>461</v>
      </c>
      <c r="Q4313" s="163" t="s">
        <v>7076</v>
      </c>
      <c r="R4313" s="186" t="s">
        <v>10877</v>
      </c>
      <c r="S4313" s="355" t="s">
        <v>3068</v>
      </c>
      <c r="T4313" s="182"/>
      <c r="U4313" s="182"/>
      <c r="V4313" s="182" t="s">
        <v>10885</v>
      </c>
      <c r="W4313" s="314" t="s">
        <v>11063</v>
      </c>
      <c r="X4313" s="646" t="s">
        <v>13104</v>
      </c>
      <c r="Y4313" s="355" t="s">
        <v>6000</v>
      </c>
      <c r="Z4313" s="185"/>
      <c r="AA4313" s="185"/>
      <c r="AB4313" s="33">
        <f t="shared" ca="1" si="109"/>
        <v>0.37553400428054262</v>
      </c>
      <c r="AC4313" s="813"/>
      <c r="AD4313" s="211"/>
      <c r="AE4313" s="941"/>
      <c r="AF4313" s="922">
        <f>IF(X4313=X4312,AF4312,0)+IF(ISNUMBER(I4313),IF(I4313&lt;1,I4313,I4313*VLOOKUP(J4313,Summary!$H$2:$I$9,2)),VLOOKUP(J4313,Summary!$J$2:$K$9,2)*IF(ISNUMBER(H4313),H4313,1))</f>
        <v>0.45967592592592599</v>
      </c>
      <c r="AG4313" s="290">
        <v>4312</v>
      </c>
      <c r="AH4313" s="94"/>
      <c r="AI4313" s="94"/>
    </row>
    <row r="4314" spans="1:36" s="29" customFormat="1" ht="12" customHeight="1" x14ac:dyDescent="0.25">
      <c r="A4314" s="603" t="s">
        <v>13106</v>
      </c>
      <c r="B4314" s="603">
        <v>10</v>
      </c>
      <c r="C4314" s="603">
        <v>2.2999999999999998</v>
      </c>
      <c r="D4314" s="185" t="s">
        <v>11037</v>
      </c>
      <c r="E4314" s="314" t="s">
        <v>11048</v>
      </c>
      <c r="F4314" s="184">
        <v>42375</v>
      </c>
      <c r="G4314" s="184">
        <v>42396</v>
      </c>
      <c r="H4314" s="185">
        <v>2</v>
      </c>
      <c r="I4314" s="185">
        <v>44</v>
      </c>
      <c r="J4314" s="901" t="s">
        <v>1796</v>
      </c>
      <c r="K4314" s="163" t="s">
        <v>11023</v>
      </c>
      <c r="L4314" s="163" t="s">
        <v>11066</v>
      </c>
      <c r="M4314" s="163" t="s">
        <v>11067</v>
      </c>
      <c r="N4314" s="163" t="s">
        <v>10882</v>
      </c>
      <c r="O4314" s="163"/>
      <c r="P4314" s="182" t="s">
        <v>461</v>
      </c>
      <c r="Q4314" s="163" t="s">
        <v>7076</v>
      </c>
      <c r="R4314" s="186" t="s">
        <v>10877</v>
      </c>
      <c r="S4314" s="355"/>
      <c r="T4314" s="182" t="s">
        <v>10886</v>
      </c>
      <c r="U4314" s="182"/>
      <c r="V4314" s="182"/>
      <c r="W4314" s="314"/>
      <c r="X4314" s="646" t="s">
        <v>13104</v>
      </c>
      <c r="Y4314" s="355" t="s">
        <v>6000</v>
      </c>
      <c r="Z4314" s="185"/>
      <c r="AA4314" s="185"/>
      <c r="AB4314" s="33">
        <f t="shared" ca="1" si="109"/>
        <v>0.79208512211012128</v>
      </c>
      <c r="AC4314" s="813"/>
      <c r="AD4314" s="211"/>
      <c r="AE4314" s="941"/>
      <c r="AF4314" s="922">
        <f>IF(X4314=X4313,AF4313,0)+IF(ISNUMBER(I4314),IF(I4314&lt;1,I4314,I4314*VLOOKUP(J4314,Summary!$H$2:$I$9,2)),VLOOKUP(J4314,Summary!$J$2:$K$9,2)*IF(ISNUMBER(H4314),H4314,1))</f>
        <v>0.47495370370370377</v>
      </c>
      <c r="AG4314" s="290">
        <v>4313</v>
      </c>
      <c r="AH4314" s="94"/>
      <c r="AI4314" s="94"/>
      <c r="AJ4314" s="1"/>
    </row>
    <row r="4315" spans="1:36" s="3" customFormat="1" ht="12" customHeight="1" x14ac:dyDescent="0.25">
      <c r="A4315" s="603" t="s">
        <v>13106</v>
      </c>
      <c r="B4315" s="603">
        <v>10</v>
      </c>
      <c r="C4315" s="603">
        <v>2.4</v>
      </c>
      <c r="D4315" s="185" t="s">
        <v>11038</v>
      </c>
      <c r="E4315" s="314" t="s">
        <v>11049</v>
      </c>
      <c r="F4315" s="184">
        <v>42410</v>
      </c>
      <c r="G4315" s="184">
        <v>42452</v>
      </c>
      <c r="H4315" s="185">
        <v>2</v>
      </c>
      <c r="I4315" s="185">
        <v>44</v>
      </c>
      <c r="J4315" s="901" t="s">
        <v>1796</v>
      </c>
      <c r="K4315" s="163" t="s">
        <v>11023</v>
      </c>
      <c r="L4315" s="163" t="s">
        <v>11068</v>
      </c>
      <c r="M4315" s="163" t="s">
        <v>11067</v>
      </c>
      <c r="N4315" s="163" t="s">
        <v>10882</v>
      </c>
      <c r="O4315" s="163"/>
      <c r="P4315" s="182" t="s">
        <v>461</v>
      </c>
      <c r="Q4315" s="163" t="s">
        <v>7076</v>
      </c>
      <c r="R4315" s="186" t="s">
        <v>10877</v>
      </c>
      <c r="S4315" s="355" t="s">
        <v>3068</v>
      </c>
      <c r="T4315" s="182" t="s">
        <v>10886</v>
      </c>
      <c r="U4315" s="182"/>
      <c r="V4315" s="182" t="s">
        <v>10885</v>
      </c>
      <c r="W4315" s="314"/>
      <c r="X4315" s="646" t="s">
        <v>13104</v>
      </c>
      <c r="Y4315" s="355"/>
      <c r="Z4315" s="185"/>
      <c r="AA4315" s="185"/>
      <c r="AB4315" s="33">
        <f t="shared" ca="1" si="109"/>
        <v>0.18196648162749873</v>
      </c>
      <c r="AC4315" s="813"/>
      <c r="AD4315" s="211"/>
      <c r="AE4315" s="941"/>
      <c r="AF4315" s="922">
        <f>IF(X4315=X4314,AF4314,0)+IF(ISNUMBER(I4315),IF(I4315&lt;1,I4315,I4315*VLOOKUP(J4315,Summary!$H$2:$I$9,2)),VLOOKUP(J4315,Summary!$J$2:$K$9,2)*IF(ISNUMBER(H4315),H4315,1))</f>
        <v>0.49023148148148155</v>
      </c>
      <c r="AG4315" s="290">
        <v>4314</v>
      </c>
      <c r="AH4315" s="94"/>
      <c r="AI4315" s="94"/>
    </row>
    <row r="4316" spans="1:36" s="3" customFormat="1" ht="12" customHeight="1" x14ac:dyDescent="0.25">
      <c r="A4316" s="603" t="s">
        <v>13106</v>
      </c>
      <c r="B4316" s="603">
        <v>10</v>
      </c>
      <c r="C4316" s="603">
        <v>9</v>
      </c>
      <c r="D4316" s="185" t="s">
        <v>11026</v>
      </c>
      <c r="E4316" s="314" t="s">
        <v>11027</v>
      </c>
      <c r="F4316" s="184">
        <v>42497</v>
      </c>
      <c r="G4316" s="184"/>
      <c r="H4316" s="185">
        <v>1</v>
      </c>
      <c r="I4316" s="185">
        <v>6</v>
      </c>
      <c r="J4316" s="901" t="s">
        <v>1796</v>
      </c>
      <c r="K4316" s="163" t="s">
        <v>11023</v>
      </c>
      <c r="L4316" s="163" t="s">
        <v>11024</v>
      </c>
      <c r="M4316" s="163" t="s">
        <v>11028</v>
      </c>
      <c r="N4316" s="163"/>
      <c r="O4316" s="163"/>
      <c r="P4316" s="182" t="s">
        <v>461</v>
      </c>
      <c r="Q4316" s="163" t="s">
        <v>7076</v>
      </c>
      <c r="R4316" s="186" t="s">
        <v>10880</v>
      </c>
      <c r="S4316" s="355"/>
      <c r="T4316" s="182" t="s">
        <v>10886</v>
      </c>
      <c r="U4316" s="182"/>
      <c r="V4316" s="182" t="s">
        <v>10885</v>
      </c>
      <c r="W4316" s="314" t="s">
        <v>11027</v>
      </c>
      <c r="X4316" s="646" t="s">
        <v>13104</v>
      </c>
      <c r="Y4316" s="355"/>
      <c r="Z4316" s="185"/>
      <c r="AA4316" s="185"/>
      <c r="AB4316" s="33">
        <f t="shared" ca="1" si="109"/>
        <v>0.156096874881409</v>
      </c>
      <c r="AC4316" s="813"/>
      <c r="AD4316" s="211"/>
      <c r="AE4316" s="941"/>
      <c r="AF4316" s="922">
        <f>IF(X4316=X4315,AF4315,0)+IF(ISNUMBER(I4316),IF(I4316&lt;1,I4316,I4316*VLOOKUP(J4316,Summary!$H$2:$I$9,2)),VLOOKUP(J4316,Summary!$J$2:$K$9,2)*IF(ISNUMBER(H4316),H4316,1))</f>
        <v>0.49231481481481487</v>
      </c>
      <c r="AG4316" s="290">
        <v>4315</v>
      </c>
      <c r="AH4316" s="94"/>
      <c r="AI4316" s="94"/>
      <c r="AJ4316" s="29"/>
    </row>
    <row r="4317" spans="1:36" s="3" customFormat="1" ht="12" customHeight="1" x14ac:dyDescent="0.25">
      <c r="A4317" s="603" t="s">
        <v>13106</v>
      </c>
      <c r="B4317" s="603">
        <v>10</v>
      </c>
      <c r="C4317" s="603">
        <v>2.5</v>
      </c>
      <c r="D4317" s="185" t="s">
        <v>11039</v>
      </c>
      <c r="E4317" s="314" t="s">
        <v>11050</v>
      </c>
      <c r="F4317" s="184">
        <v>42466</v>
      </c>
      <c r="G4317" s="184">
        <v>42494</v>
      </c>
      <c r="H4317" s="185">
        <v>2</v>
      </c>
      <c r="I4317" s="185">
        <v>44</v>
      </c>
      <c r="J4317" s="901" t="s">
        <v>1796</v>
      </c>
      <c r="K4317" s="163" t="s">
        <v>11023</v>
      </c>
      <c r="L4317" s="163" t="s">
        <v>11069</v>
      </c>
      <c r="M4317" s="163" t="s">
        <v>11070</v>
      </c>
      <c r="N4317" s="163" t="s">
        <v>10882</v>
      </c>
      <c r="O4317" s="163"/>
      <c r="P4317" s="182" t="s">
        <v>461</v>
      </c>
      <c r="Q4317" s="163" t="s">
        <v>7076</v>
      </c>
      <c r="R4317" s="186" t="s">
        <v>10877</v>
      </c>
      <c r="S4317" s="355"/>
      <c r="T4317" s="182" t="s">
        <v>10886</v>
      </c>
      <c r="U4317" s="182"/>
      <c r="V4317" s="182" t="s">
        <v>10885</v>
      </c>
      <c r="W4317" s="314"/>
      <c r="X4317" s="646" t="s">
        <v>13104</v>
      </c>
      <c r="Y4317" s="355"/>
      <c r="Z4317" s="185"/>
      <c r="AA4317" s="185"/>
      <c r="AB4317" s="33">
        <f t="shared" ca="1" si="109"/>
        <v>0.16258598285177572</v>
      </c>
      <c r="AC4317" s="813"/>
      <c r="AD4317" s="211"/>
      <c r="AE4317" s="941"/>
      <c r="AF4317" s="922">
        <f>IF(X4317=X4316,AF4316,0)+IF(ISNUMBER(I4317),IF(I4317&lt;1,I4317,I4317*VLOOKUP(J4317,Summary!$H$2:$I$9,2)),VLOOKUP(J4317,Summary!$J$2:$K$9,2)*IF(ISNUMBER(H4317),H4317,1))</f>
        <v>0.5075925925925926</v>
      </c>
      <c r="AG4317" s="290">
        <v>4316</v>
      </c>
      <c r="AH4317" s="94"/>
      <c r="AI4317" s="94"/>
    </row>
    <row r="4318" spans="1:36" s="1" customFormat="1" ht="12" customHeight="1" x14ac:dyDescent="0.25">
      <c r="A4318" s="603" t="s">
        <v>13106</v>
      </c>
      <c r="B4318" s="603">
        <v>10</v>
      </c>
      <c r="C4318" s="603">
        <v>2.6</v>
      </c>
      <c r="D4318" s="185" t="s">
        <v>11040</v>
      </c>
      <c r="E4318" s="314" t="s">
        <v>11051</v>
      </c>
      <c r="F4318" s="184">
        <v>42515</v>
      </c>
      <c r="G4318" s="184"/>
      <c r="H4318" s="185">
        <v>1</v>
      </c>
      <c r="I4318" s="185">
        <v>20</v>
      </c>
      <c r="J4318" s="901" t="s">
        <v>1796</v>
      </c>
      <c r="K4318" s="163" t="s">
        <v>11023</v>
      </c>
      <c r="L4318" s="163" t="s">
        <v>8340</v>
      </c>
      <c r="M4318" s="163" t="s">
        <v>11067</v>
      </c>
      <c r="N4318" s="163" t="s">
        <v>10882</v>
      </c>
      <c r="O4318" s="163"/>
      <c r="P4318" s="182" t="s">
        <v>461</v>
      </c>
      <c r="Q4318" s="163" t="s">
        <v>7076</v>
      </c>
      <c r="R4318" s="186" t="s">
        <v>10877</v>
      </c>
      <c r="S4318" s="355"/>
      <c r="T4318" s="182" t="s">
        <v>10886</v>
      </c>
      <c r="U4318" s="182"/>
      <c r="V4318" s="182" t="s">
        <v>10885</v>
      </c>
      <c r="W4318" s="314" t="s">
        <v>11051</v>
      </c>
      <c r="X4318" s="646" t="s">
        <v>13104</v>
      </c>
      <c r="Y4318" s="355"/>
      <c r="Z4318" s="185"/>
      <c r="AA4318" s="185"/>
      <c r="AB4318" s="33">
        <f t="shared" ca="1" si="109"/>
        <v>0.44100207415827553</v>
      </c>
      <c r="AC4318" s="813"/>
      <c r="AD4318" s="211"/>
      <c r="AE4318" s="941"/>
      <c r="AF4318" s="922">
        <f>IF(X4318=X4317,AF4317,0)+IF(ISNUMBER(I4318),IF(I4318&lt;1,I4318,I4318*VLOOKUP(J4318,Summary!$H$2:$I$9,2)),VLOOKUP(J4318,Summary!$J$2:$K$9,2)*IF(ISNUMBER(H4318),H4318,1))</f>
        <v>0.51453703703703701</v>
      </c>
      <c r="AG4318" s="290">
        <v>4317</v>
      </c>
      <c r="AH4318" s="94"/>
      <c r="AI4318" s="94"/>
      <c r="AJ4318" s="43"/>
    </row>
    <row r="4319" spans="1:36" s="1" customFormat="1" ht="12" customHeight="1" x14ac:dyDescent="0.25">
      <c r="A4319" s="603" t="s">
        <v>13106</v>
      </c>
      <c r="B4319" s="603">
        <v>10</v>
      </c>
      <c r="C4319" s="603">
        <v>2.7</v>
      </c>
      <c r="D4319" s="185" t="s">
        <v>11041</v>
      </c>
      <c r="E4319" s="314" t="s">
        <v>11052</v>
      </c>
      <c r="F4319" s="184">
        <v>42536</v>
      </c>
      <c r="G4319" s="184">
        <v>42564</v>
      </c>
      <c r="H4319" s="185">
        <v>2</v>
      </c>
      <c r="I4319" s="185">
        <v>44</v>
      </c>
      <c r="J4319" s="901" t="s">
        <v>1796</v>
      </c>
      <c r="K4319" s="163" t="s">
        <v>11023</v>
      </c>
      <c r="L4319" s="163" t="s">
        <v>13506</v>
      </c>
      <c r="M4319" s="163" t="s">
        <v>13507</v>
      </c>
      <c r="N4319" s="163" t="s">
        <v>10882</v>
      </c>
      <c r="O4319" s="163"/>
      <c r="P4319" s="182" t="s">
        <v>461</v>
      </c>
      <c r="Q4319" s="163" t="s">
        <v>7076</v>
      </c>
      <c r="R4319" s="186" t="s">
        <v>10877</v>
      </c>
      <c r="S4319" s="355"/>
      <c r="T4319" s="182" t="s">
        <v>10886</v>
      </c>
      <c r="U4319" s="182"/>
      <c r="V4319" s="182" t="s">
        <v>10885</v>
      </c>
      <c r="W4319" s="314" t="s">
        <v>11054</v>
      </c>
      <c r="X4319" s="646" t="s">
        <v>13104</v>
      </c>
      <c r="Y4319" s="355"/>
      <c r="Z4319" s="185"/>
      <c r="AA4319" s="185"/>
      <c r="AB4319" s="33">
        <f t="shared" ca="1" si="109"/>
        <v>4.6016018080992649E-2</v>
      </c>
      <c r="AC4319" s="813"/>
      <c r="AD4319" s="211"/>
      <c r="AE4319" s="941"/>
      <c r="AF4319" s="922">
        <f>IF(X4319=X4318,AF4318,0)+IF(ISNUMBER(I4319),IF(I4319&lt;1,I4319,I4319*VLOOKUP(J4319,Summary!$H$2:$I$9,2)),VLOOKUP(J4319,Summary!$J$2:$K$9,2)*IF(ISNUMBER(H4319),H4319,1))</f>
        <v>0.52981481481481474</v>
      </c>
      <c r="AG4319" s="290">
        <v>4318</v>
      </c>
      <c r="AH4319" s="94"/>
      <c r="AI4319" s="94"/>
      <c r="AJ4319" s="3"/>
    </row>
    <row r="4320" spans="1:36" s="1" customFormat="1" ht="12" customHeight="1" x14ac:dyDescent="0.25">
      <c r="A4320" s="603" t="s">
        <v>13106</v>
      </c>
      <c r="B4320" s="603">
        <v>10</v>
      </c>
      <c r="C4320" s="603">
        <v>3.3</v>
      </c>
      <c r="D4320" s="185" t="s">
        <v>13516</v>
      </c>
      <c r="E4320" s="314" t="s">
        <v>13515</v>
      </c>
      <c r="F4320" s="184">
        <v>42872</v>
      </c>
      <c r="G4320" s="184"/>
      <c r="H4320" s="185">
        <v>1</v>
      </c>
      <c r="I4320" s="185">
        <v>23</v>
      </c>
      <c r="J4320" s="901" t="s">
        <v>1796</v>
      </c>
      <c r="K4320" s="163" t="s">
        <v>9479</v>
      </c>
      <c r="L4320" s="163" t="s">
        <v>11000</v>
      </c>
      <c r="M4320" s="163" t="s">
        <v>10920</v>
      </c>
      <c r="N4320" s="163" t="s">
        <v>13483</v>
      </c>
      <c r="O4320" s="163"/>
      <c r="P4320" s="182" t="s">
        <v>461</v>
      </c>
      <c r="Q4320" s="163" t="s">
        <v>7076</v>
      </c>
      <c r="R4320" s="186" t="s">
        <v>10877</v>
      </c>
      <c r="S4320" s="355"/>
      <c r="T4320" s="182" t="s">
        <v>10886</v>
      </c>
      <c r="U4320" s="182"/>
      <c r="V4320" s="182"/>
      <c r="W4320" s="314" t="s">
        <v>13515</v>
      </c>
      <c r="X4320" s="646" t="s">
        <v>13104</v>
      </c>
      <c r="Y4320" s="355"/>
      <c r="Z4320" s="185"/>
      <c r="AA4320" s="185"/>
      <c r="AB4320" s="33">
        <f t="shared" ca="1" si="109"/>
        <v>0.13982660019251225</v>
      </c>
      <c r="AC4320" s="813"/>
      <c r="AD4320" s="211"/>
      <c r="AE4320" s="941"/>
      <c r="AF4320" s="922">
        <f>IF(X4320=X4319,AF4319,0)+IF(ISNUMBER(I4320),IF(I4320&lt;1,I4320,I4320*VLOOKUP(J4320,Summary!$H$2:$I$9,2)),VLOOKUP(J4320,Summary!$J$2:$K$9,2)*IF(ISNUMBER(H4320),H4320,1))</f>
        <v>0.53780092592592588</v>
      </c>
      <c r="AG4320" s="290">
        <v>4319</v>
      </c>
      <c r="AH4320" s="94"/>
      <c r="AI4320" s="94"/>
      <c r="AJ4320" s="43"/>
    </row>
    <row r="4321" spans="1:36" s="29" customFormat="1" ht="12" customHeight="1" x14ac:dyDescent="0.25">
      <c r="A4321" s="606" t="s">
        <v>13106</v>
      </c>
      <c r="B4321" s="606">
        <v>10</v>
      </c>
      <c r="C4321" s="606">
        <v>2.8</v>
      </c>
      <c r="D4321" s="226" t="s">
        <v>11042</v>
      </c>
      <c r="E4321" s="331" t="s">
        <v>11053</v>
      </c>
      <c r="F4321" s="233">
        <v>42592</v>
      </c>
      <c r="G4321" s="233">
        <v>42725</v>
      </c>
      <c r="H4321" s="226">
        <v>5</v>
      </c>
      <c r="I4321" s="226">
        <v>110</v>
      </c>
      <c r="J4321" s="907" t="s">
        <v>1796</v>
      </c>
      <c r="K4321" s="228" t="s">
        <v>11023</v>
      </c>
      <c r="L4321" s="228" t="s">
        <v>13508</v>
      </c>
      <c r="M4321" s="228" t="s">
        <v>13509</v>
      </c>
      <c r="N4321" s="228" t="s">
        <v>13496</v>
      </c>
      <c r="O4321" s="228"/>
      <c r="P4321" s="225" t="s">
        <v>461</v>
      </c>
      <c r="Q4321" s="228" t="s">
        <v>7076</v>
      </c>
      <c r="R4321" s="227" t="s">
        <v>10877</v>
      </c>
      <c r="S4321" s="369"/>
      <c r="T4321" s="225" t="s">
        <v>10886</v>
      </c>
      <c r="U4321" s="225" t="s">
        <v>13512</v>
      </c>
      <c r="V4321" s="225" t="s">
        <v>10885</v>
      </c>
      <c r="W4321" s="331" t="s">
        <v>11071</v>
      </c>
      <c r="X4321" s="663" t="s">
        <v>13104</v>
      </c>
      <c r="Y4321" s="369"/>
      <c r="Z4321" s="226"/>
      <c r="AA4321" s="226"/>
      <c r="AB4321" s="38">
        <f t="shared" ca="1" si="109"/>
        <v>0.3769297045273704</v>
      </c>
      <c r="AC4321" s="830"/>
      <c r="AD4321" s="831"/>
      <c r="AE4321" s="963"/>
      <c r="AF4321" s="928">
        <f>IF(X4321=X4320,AF4320,0)+IF(ISNUMBER(I4321),IF(I4321&lt;1,I4321,I4321*VLOOKUP(J4321,Summary!$H$2:$I$9,2)),VLOOKUP(J4321,Summary!$J$2:$K$9,2)*IF(ISNUMBER(H4321),H4321,1))</f>
        <v>0.5759953703703703</v>
      </c>
      <c r="AG4321" s="304">
        <v>4320</v>
      </c>
      <c r="AH4321" s="94"/>
      <c r="AI4321" s="94"/>
      <c r="AJ4321" s="43"/>
    </row>
    <row r="4322" spans="1:36" s="43" customFormat="1" ht="12" customHeight="1" x14ac:dyDescent="0.25">
      <c r="A4322" s="603" t="s">
        <v>13106</v>
      </c>
      <c r="B4322" s="603">
        <v>10</v>
      </c>
      <c r="C4322" s="603">
        <v>1</v>
      </c>
      <c r="D4322" s="185" t="s">
        <v>15278</v>
      </c>
      <c r="E4322" s="314" t="s">
        <v>15279</v>
      </c>
      <c r="F4322" s="184">
        <v>43292</v>
      </c>
      <c r="G4322" s="184"/>
      <c r="H4322" s="185">
        <v>1</v>
      </c>
      <c r="I4322" s="185">
        <v>22</v>
      </c>
      <c r="J4322" s="901" t="s">
        <v>1796</v>
      </c>
      <c r="K4322" s="163" t="s">
        <v>9479</v>
      </c>
      <c r="L4322" s="163" t="s">
        <v>15280</v>
      </c>
      <c r="M4322" s="163" t="s">
        <v>10898</v>
      </c>
      <c r="N4322" s="163" t="s">
        <v>13496</v>
      </c>
      <c r="O4322" s="163"/>
      <c r="P4322" s="182" t="s">
        <v>461</v>
      </c>
      <c r="Q4322" s="163" t="s">
        <v>7076</v>
      </c>
      <c r="R4322" s="186" t="s">
        <v>10877</v>
      </c>
      <c r="S4322" s="355"/>
      <c r="T4322" s="182" t="s">
        <v>10886</v>
      </c>
      <c r="U4322" s="182"/>
      <c r="V4322" s="182" t="s">
        <v>10885</v>
      </c>
      <c r="W4322" s="314" t="s">
        <v>15279</v>
      </c>
      <c r="X4322" s="646" t="s">
        <v>13104</v>
      </c>
      <c r="Y4322" s="355" t="s">
        <v>6000</v>
      </c>
      <c r="Z4322" s="185"/>
      <c r="AA4322" s="185"/>
      <c r="AB4322" s="33">
        <f t="shared" ca="1" si="109"/>
        <v>0.67932644554667942</v>
      </c>
      <c r="AC4322" s="813"/>
      <c r="AD4322" s="211"/>
      <c r="AE4322" s="941"/>
      <c r="AF4322" s="922">
        <f>IF(X4322=X4321,AF4321,0)+IF(ISNUMBER(I4322),IF(I4322&lt;1,I4322,I4322*VLOOKUP(J4322,Summary!$H$2:$I$9,2)),VLOOKUP(J4322,Summary!$J$2:$K$9,2)*IF(ISNUMBER(H4322),H4322,1))</f>
        <v>0.58363425925925916</v>
      </c>
      <c r="AG4322" s="290">
        <v>4321</v>
      </c>
      <c r="AH4322" s="94"/>
      <c r="AI4322" s="94"/>
      <c r="AJ4322" s="29"/>
    </row>
    <row r="4323" spans="1:36" s="29" customFormat="1" ht="12" customHeight="1" x14ac:dyDescent="0.25">
      <c r="A4323" s="603" t="s">
        <v>13106</v>
      </c>
      <c r="B4323" s="603">
        <v>10</v>
      </c>
      <c r="C4323" s="744">
        <v>0.1</v>
      </c>
      <c r="D4323" s="185" t="s">
        <v>15397</v>
      </c>
      <c r="E4323" s="314" t="s">
        <v>15398</v>
      </c>
      <c r="F4323" s="184">
        <v>43369</v>
      </c>
      <c r="G4323" s="184"/>
      <c r="H4323" s="185">
        <v>1</v>
      </c>
      <c r="I4323" s="185">
        <v>5</v>
      </c>
      <c r="J4323" s="901" t="s">
        <v>1796</v>
      </c>
      <c r="K4323" s="163" t="s">
        <v>2675</v>
      </c>
      <c r="L4323" s="163" t="s">
        <v>3365</v>
      </c>
      <c r="M4323" s="163" t="s">
        <v>3365</v>
      </c>
      <c r="N4323" s="163"/>
      <c r="O4323" s="163"/>
      <c r="P4323" s="182" t="s">
        <v>461</v>
      </c>
      <c r="Q4323" s="163" t="s">
        <v>7076</v>
      </c>
      <c r="R4323" s="186" t="s">
        <v>10877</v>
      </c>
      <c r="S4323" s="355"/>
      <c r="T4323" s="182" t="s">
        <v>10886</v>
      </c>
      <c r="U4323" s="182"/>
      <c r="V4323" s="182" t="s">
        <v>10885</v>
      </c>
      <c r="W4323" s="314" t="s">
        <v>15398</v>
      </c>
      <c r="X4323" s="646" t="s">
        <v>13104</v>
      </c>
      <c r="Y4323" s="355"/>
      <c r="Z4323" s="185"/>
      <c r="AA4323" s="185"/>
      <c r="AB4323" s="33">
        <f t="shared" ca="1" si="109"/>
        <v>0.11692899646921151</v>
      </c>
      <c r="AC4323" s="813"/>
      <c r="AD4323" s="819"/>
      <c r="AE4323" s="875"/>
      <c r="AF4323" s="922">
        <f>IF(X4323=X4322,AF4322,0)+IF(ISNUMBER(I4323),IF(I4323&lt;1,I4323,I4323*VLOOKUP(J4323,Summary!$H$2:$I$9,2)),VLOOKUP(J4323,Summary!$J$2:$K$9,2)*IF(ISNUMBER(H4323),H4323,1))</f>
        <v>0.58537037037037032</v>
      </c>
      <c r="AG4323" s="290">
        <v>4322</v>
      </c>
      <c r="AH4323" s="94"/>
      <c r="AI4323" s="94"/>
    </row>
    <row r="4324" spans="1:36" s="43" customFormat="1" ht="12" customHeight="1" x14ac:dyDescent="0.25">
      <c r="A4324" s="603" t="s">
        <v>13106</v>
      </c>
      <c r="B4324" s="603">
        <v>10</v>
      </c>
      <c r="C4324" s="603">
        <v>3.1</v>
      </c>
      <c r="D4324" s="185" t="s">
        <v>13510</v>
      </c>
      <c r="E4324" s="314" t="s">
        <v>13511</v>
      </c>
      <c r="F4324" s="184">
        <v>42746</v>
      </c>
      <c r="G4324" s="184">
        <v>42781</v>
      </c>
      <c r="H4324" s="185">
        <v>2</v>
      </c>
      <c r="I4324" s="185">
        <v>44</v>
      </c>
      <c r="J4324" s="901" t="s">
        <v>1796</v>
      </c>
      <c r="K4324" s="163" t="s">
        <v>11023</v>
      </c>
      <c r="L4324" s="163" t="s">
        <v>13506</v>
      </c>
      <c r="M4324" s="163" t="s">
        <v>11028</v>
      </c>
      <c r="N4324" s="163" t="s">
        <v>13483</v>
      </c>
      <c r="O4324" s="163"/>
      <c r="P4324" s="182" t="s">
        <v>461</v>
      </c>
      <c r="Q4324" s="163" t="s">
        <v>7076</v>
      </c>
      <c r="R4324" s="186" t="s">
        <v>10877</v>
      </c>
      <c r="S4324" s="355"/>
      <c r="T4324" s="182" t="s">
        <v>10886</v>
      </c>
      <c r="U4324" s="182" t="s">
        <v>13512</v>
      </c>
      <c r="V4324" s="182" t="s">
        <v>10885</v>
      </c>
      <c r="W4324" s="314"/>
      <c r="X4324" s="646" t="s">
        <v>13104</v>
      </c>
      <c r="Y4324" s="355"/>
      <c r="Z4324" s="185"/>
      <c r="AA4324" s="185"/>
      <c r="AB4324" s="33">
        <f t="shared" ca="1" si="109"/>
        <v>0.29055060055859572</v>
      </c>
      <c r="AC4324" s="813"/>
      <c r="AD4324" s="211"/>
      <c r="AE4324" s="941"/>
      <c r="AF4324" s="922">
        <f>IF(X4324=X4323,AF4323,0)+IF(ISNUMBER(I4324),IF(I4324&lt;1,I4324,I4324*VLOOKUP(J4324,Summary!$H$2:$I$9,2)),VLOOKUP(J4324,Summary!$J$2:$K$9,2)*IF(ISNUMBER(H4324),H4324,1))</f>
        <v>0.60064814814814804</v>
      </c>
      <c r="AG4324" s="290">
        <v>4323</v>
      </c>
      <c r="AH4324" s="94"/>
      <c r="AI4324" s="94"/>
      <c r="AJ4324" s="2"/>
    </row>
    <row r="4325" spans="1:36" s="43" customFormat="1" ht="12" customHeight="1" x14ac:dyDescent="0.25">
      <c r="A4325" s="603" t="s">
        <v>13106</v>
      </c>
      <c r="B4325" s="603">
        <v>10</v>
      </c>
      <c r="C4325" s="603">
        <v>3.2</v>
      </c>
      <c r="D4325" s="185" t="s">
        <v>13513</v>
      </c>
      <c r="E4325" s="314" t="s">
        <v>13514</v>
      </c>
      <c r="F4325" s="184">
        <v>42809</v>
      </c>
      <c r="G4325" s="184">
        <v>42844</v>
      </c>
      <c r="H4325" s="185">
        <v>2</v>
      </c>
      <c r="I4325" s="185">
        <v>44</v>
      </c>
      <c r="J4325" s="901" t="s">
        <v>1796</v>
      </c>
      <c r="K4325" s="163" t="s">
        <v>11023</v>
      </c>
      <c r="L4325" s="163" t="s">
        <v>13506</v>
      </c>
      <c r="M4325" s="163" t="s">
        <v>11028</v>
      </c>
      <c r="N4325" s="163" t="s">
        <v>13483</v>
      </c>
      <c r="O4325" s="163"/>
      <c r="P4325" s="182" t="s">
        <v>461</v>
      </c>
      <c r="Q4325" s="163" t="s">
        <v>7076</v>
      </c>
      <c r="R4325" s="186" t="s">
        <v>10877</v>
      </c>
      <c r="S4325" s="355"/>
      <c r="T4325" s="182" t="s">
        <v>10886</v>
      </c>
      <c r="U4325" s="182" t="s">
        <v>13512</v>
      </c>
      <c r="V4325" s="182" t="s">
        <v>10885</v>
      </c>
      <c r="W4325" s="314"/>
      <c r="X4325" s="646" t="s">
        <v>13104</v>
      </c>
      <c r="Y4325" s="355"/>
      <c r="Z4325" s="185"/>
      <c r="AA4325" s="185"/>
      <c r="AB4325" s="33">
        <f t="shared" ca="1" si="109"/>
        <v>0.31923679022544937</v>
      </c>
      <c r="AC4325" s="813"/>
      <c r="AD4325" s="211"/>
      <c r="AE4325" s="941"/>
      <c r="AF4325" s="922">
        <f>IF(X4325=X4324,AF4324,0)+IF(ISNUMBER(I4325),IF(I4325&lt;1,I4325,I4325*VLOOKUP(J4325,Summary!$H$2:$I$9,2)),VLOOKUP(J4325,Summary!$J$2:$K$9,2)*IF(ISNUMBER(H4325),H4325,1))</f>
        <v>0.61592592592592577</v>
      </c>
      <c r="AG4325" s="290">
        <v>4324</v>
      </c>
      <c r="AH4325" s="94"/>
      <c r="AI4325" s="94"/>
    </row>
    <row r="4326" spans="1:36" s="3" customFormat="1" ht="12" customHeight="1" x14ac:dyDescent="0.25">
      <c r="A4326" s="606" t="s">
        <v>13106</v>
      </c>
      <c r="B4326" s="606">
        <v>10</v>
      </c>
      <c r="C4326" s="606">
        <v>3.4</v>
      </c>
      <c r="D4326" s="226" t="s">
        <v>13517</v>
      </c>
      <c r="E4326" s="331" t="s">
        <v>13518</v>
      </c>
      <c r="F4326" s="233">
        <v>42907</v>
      </c>
      <c r="G4326" s="233">
        <v>43026</v>
      </c>
      <c r="H4326" s="226">
        <v>4</v>
      </c>
      <c r="I4326" s="226">
        <v>89</v>
      </c>
      <c r="J4326" s="907" t="s">
        <v>1796</v>
      </c>
      <c r="K4326" s="228" t="s">
        <v>11023</v>
      </c>
      <c r="L4326" s="228" t="s">
        <v>13506</v>
      </c>
      <c r="M4326" s="228" t="s">
        <v>11028</v>
      </c>
      <c r="N4326" s="228" t="s">
        <v>13483</v>
      </c>
      <c r="O4326" s="228"/>
      <c r="P4326" s="225" t="s">
        <v>461</v>
      </c>
      <c r="Q4326" s="228" t="s">
        <v>7076</v>
      </c>
      <c r="R4326" s="227" t="s">
        <v>10877</v>
      </c>
      <c r="S4326" s="369" t="s">
        <v>13522</v>
      </c>
      <c r="T4326" s="225" t="s">
        <v>10886</v>
      </c>
      <c r="U4326" s="225" t="s">
        <v>13512</v>
      </c>
      <c r="V4326" s="225" t="s">
        <v>10885</v>
      </c>
      <c r="W4326" s="331"/>
      <c r="X4326" s="663" t="s">
        <v>13104</v>
      </c>
      <c r="Y4326" s="369"/>
      <c r="Z4326" s="226"/>
      <c r="AA4326" s="226"/>
      <c r="AB4326" s="38">
        <f t="shared" ca="1" si="109"/>
        <v>0.81054462703271912</v>
      </c>
      <c r="AC4326" s="830"/>
      <c r="AD4326" s="831"/>
      <c r="AE4326" s="963"/>
      <c r="AF4326" s="928">
        <f>IF(X4326=X4325,AF4325,0)+IF(ISNUMBER(I4326),IF(I4326&lt;1,I4326,I4326*VLOOKUP(J4326,Summary!$H$2:$I$9,2)),VLOOKUP(J4326,Summary!$J$2:$K$9,2)*IF(ISNUMBER(H4326),H4326,1))</f>
        <v>0.64682870370370349</v>
      </c>
      <c r="AG4326" s="304">
        <v>4325</v>
      </c>
      <c r="AH4326" s="94"/>
      <c r="AI4326" s="94"/>
      <c r="AJ4326" s="43"/>
    </row>
    <row r="4327" spans="1:36" s="22" customFormat="1" ht="12" customHeight="1" x14ac:dyDescent="0.2">
      <c r="A4327" s="606" t="s">
        <v>13106</v>
      </c>
      <c r="B4327" s="606">
        <v>10</v>
      </c>
      <c r="C4327" s="606">
        <v>3.5</v>
      </c>
      <c r="D4327" s="226" t="s">
        <v>13519</v>
      </c>
      <c r="E4327" s="331" t="s">
        <v>13520</v>
      </c>
      <c r="F4327" s="233">
        <v>43061</v>
      </c>
      <c r="G4327" s="233">
        <v>43166</v>
      </c>
      <c r="H4327" s="226">
        <v>4</v>
      </c>
      <c r="I4327" s="226">
        <v>88</v>
      </c>
      <c r="J4327" s="907" t="s">
        <v>1796</v>
      </c>
      <c r="K4327" s="228" t="s">
        <v>11023</v>
      </c>
      <c r="L4327" s="228" t="s">
        <v>13506</v>
      </c>
      <c r="M4327" s="228" t="s">
        <v>13521</v>
      </c>
      <c r="N4327" s="228" t="s">
        <v>13496</v>
      </c>
      <c r="O4327" s="228"/>
      <c r="P4327" s="225" t="s">
        <v>461</v>
      </c>
      <c r="Q4327" s="228" t="s">
        <v>7076</v>
      </c>
      <c r="R4327" s="227" t="s">
        <v>10877</v>
      </c>
      <c r="S4327" s="369">
        <v>12</v>
      </c>
      <c r="T4327" s="225" t="s">
        <v>10886</v>
      </c>
      <c r="U4327" s="225" t="s">
        <v>13512</v>
      </c>
      <c r="V4327" s="225" t="s">
        <v>10885</v>
      </c>
      <c r="W4327" s="331"/>
      <c r="X4327" s="663" t="s">
        <v>13104</v>
      </c>
      <c r="Y4327" s="369"/>
      <c r="Z4327" s="226"/>
      <c r="AA4327" s="226"/>
      <c r="AB4327" s="38">
        <f t="shared" ca="1" si="109"/>
        <v>0.94365090820792796</v>
      </c>
      <c r="AC4327" s="830"/>
      <c r="AD4327" s="831"/>
      <c r="AE4327" s="963"/>
      <c r="AF4327" s="928">
        <f>IF(X4327=X4326,AF4326,0)+IF(ISNUMBER(I4327),IF(I4327&lt;1,I4327,I4327*VLOOKUP(J4327,Summary!$H$2:$I$9,2)),VLOOKUP(J4327,Summary!$J$2:$K$9,2)*IF(ISNUMBER(H4327),H4327,1))</f>
        <v>0.67738425925925905</v>
      </c>
      <c r="AG4327" s="304">
        <v>4326</v>
      </c>
      <c r="AH4327" s="94"/>
      <c r="AI4327" s="94"/>
    </row>
    <row r="4328" spans="1:36" s="3" customFormat="1" ht="12" customHeight="1" x14ac:dyDescent="0.25">
      <c r="A4328" s="405" t="s">
        <v>13106</v>
      </c>
      <c r="B4328" s="596" t="s">
        <v>2650</v>
      </c>
      <c r="C4328" s="510">
        <v>1.1000000000000001</v>
      </c>
      <c r="D4328" s="407" t="s">
        <v>14512</v>
      </c>
      <c r="E4328" s="312" t="s">
        <v>14515</v>
      </c>
      <c r="F4328" s="196">
        <v>43256</v>
      </c>
      <c r="G4328" s="170"/>
      <c r="H4328" s="170">
        <v>1</v>
      </c>
      <c r="I4328" s="747">
        <f>TIME(0,60,0)</f>
        <v>4.1666666666666664E-2</v>
      </c>
      <c r="J4328" s="899" t="s">
        <v>4706</v>
      </c>
      <c r="K4328" s="167" t="s">
        <v>6452</v>
      </c>
      <c r="L4328" s="167" t="s">
        <v>3296</v>
      </c>
      <c r="M4328" s="167"/>
      <c r="N4328" s="167"/>
      <c r="O4328" s="167"/>
      <c r="P4328" s="168" t="s">
        <v>14513</v>
      </c>
      <c r="Q4328" s="167" t="s">
        <v>3947</v>
      </c>
      <c r="R4328" s="172" t="s">
        <v>14514</v>
      </c>
      <c r="S4328" s="388"/>
      <c r="T4328" s="168"/>
      <c r="U4328" s="168" t="s">
        <v>3629</v>
      </c>
      <c r="V4328" s="168"/>
      <c r="W4328" s="312" t="s">
        <v>14515</v>
      </c>
      <c r="X4328" s="644" t="s">
        <v>13104</v>
      </c>
      <c r="Y4328" s="352"/>
      <c r="Z4328" s="353"/>
      <c r="AA4328" s="353"/>
      <c r="AB4328" s="31">
        <f t="shared" ca="1" si="109"/>
        <v>0.93087269796847261</v>
      </c>
      <c r="AC4328" s="810"/>
      <c r="AD4328" s="811"/>
      <c r="AE4328" s="940"/>
      <c r="AF4328" s="920">
        <f>IF(X4328=X4327,AF4327,0)+IF(ISNUMBER(I4328),IF(I4328&lt;1,I4328,I4328*VLOOKUP(J4328,Summary!$H$2:$I$9,2)),VLOOKUP(J4328,Summary!$J$2:$K$9,2)*IF(ISNUMBER(H4328),H4328,1))</f>
        <v>0.71905092592592568</v>
      </c>
      <c r="AG4328" s="287">
        <v>4327</v>
      </c>
      <c r="AH4328" s="94"/>
      <c r="AI4328" s="94"/>
      <c r="AJ4328" s="43"/>
    </row>
    <row r="4329" spans="1:36" s="3" customFormat="1" ht="12" customHeight="1" x14ac:dyDescent="0.25">
      <c r="A4329" s="405" t="s">
        <v>13106</v>
      </c>
      <c r="B4329" s="596" t="s">
        <v>2650</v>
      </c>
      <c r="C4329" s="510">
        <v>1.2</v>
      </c>
      <c r="D4329" s="407" t="s">
        <v>14516</v>
      </c>
      <c r="E4329" s="312" t="s">
        <v>14517</v>
      </c>
      <c r="F4329" s="196">
        <v>43256</v>
      </c>
      <c r="G4329" s="170"/>
      <c r="H4329" s="170">
        <v>1</v>
      </c>
      <c r="I4329" s="747">
        <f>TIME(0,60,0)</f>
        <v>4.1666666666666664E-2</v>
      </c>
      <c r="J4329" s="899" t="s">
        <v>4706</v>
      </c>
      <c r="K4329" s="167" t="s">
        <v>5666</v>
      </c>
      <c r="L4329" s="167" t="s">
        <v>3296</v>
      </c>
      <c r="M4329" s="167"/>
      <c r="N4329" s="167"/>
      <c r="O4329" s="167"/>
      <c r="P4329" s="168" t="s">
        <v>14513</v>
      </c>
      <c r="Q4329" s="167" t="s">
        <v>3947</v>
      </c>
      <c r="R4329" s="172" t="s">
        <v>14514</v>
      </c>
      <c r="S4329" s="388"/>
      <c r="T4329" s="168"/>
      <c r="U4329" s="168" t="s">
        <v>3629</v>
      </c>
      <c r="V4329" s="168"/>
      <c r="W4329" s="312" t="s">
        <v>14517</v>
      </c>
      <c r="X4329" s="644" t="s">
        <v>13104</v>
      </c>
      <c r="Y4329" s="352"/>
      <c r="Z4329" s="353"/>
      <c r="AA4329" s="353"/>
      <c r="AB4329" s="31">
        <f t="shared" ca="1" si="109"/>
        <v>0.24917331992476177</v>
      </c>
      <c r="AC4329" s="810"/>
      <c r="AD4329" s="811"/>
      <c r="AE4329" s="940"/>
      <c r="AF4329" s="920">
        <f>IF(X4329=X4328,AF4328,0)+IF(ISNUMBER(I4329),IF(I4329&lt;1,I4329,I4329*VLOOKUP(J4329,Summary!$H$2:$I$9,2)),VLOOKUP(J4329,Summary!$J$2:$K$9,2)*IF(ISNUMBER(H4329),H4329,1))</f>
        <v>0.76071759259259231</v>
      </c>
      <c r="AG4329" s="287">
        <v>4328</v>
      </c>
      <c r="AH4329" s="94"/>
      <c r="AI4329" s="94"/>
    </row>
    <row r="4330" spans="1:36" s="43" customFormat="1" ht="12" customHeight="1" x14ac:dyDescent="0.25">
      <c r="A4330" s="405" t="s">
        <v>13106</v>
      </c>
      <c r="B4330" s="596" t="s">
        <v>2650</v>
      </c>
      <c r="C4330" s="510">
        <v>1.3</v>
      </c>
      <c r="D4330" s="407" t="s">
        <v>14518</v>
      </c>
      <c r="E4330" s="312" t="s">
        <v>14520</v>
      </c>
      <c r="F4330" s="196">
        <v>43256</v>
      </c>
      <c r="G4330" s="170"/>
      <c r="H4330" s="170">
        <v>1</v>
      </c>
      <c r="I4330" s="747">
        <f>TIME(0,60,0)</f>
        <v>4.1666666666666664E-2</v>
      </c>
      <c r="J4330" s="899" t="s">
        <v>4706</v>
      </c>
      <c r="K4330" s="167" t="s">
        <v>14522</v>
      </c>
      <c r="L4330" s="167" t="s">
        <v>3296</v>
      </c>
      <c r="M4330" s="167"/>
      <c r="N4330" s="167"/>
      <c r="O4330" s="167"/>
      <c r="P4330" s="168" t="s">
        <v>14513</v>
      </c>
      <c r="Q4330" s="167" t="s">
        <v>3947</v>
      </c>
      <c r="R4330" s="172" t="s">
        <v>14514</v>
      </c>
      <c r="S4330" s="388"/>
      <c r="T4330" s="168"/>
      <c r="U4330" s="168" t="s">
        <v>3629</v>
      </c>
      <c r="V4330" s="168"/>
      <c r="W4330" s="312" t="s">
        <v>14520</v>
      </c>
      <c r="X4330" s="644" t="s">
        <v>13104</v>
      </c>
      <c r="Y4330" s="352"/>
      <c r="Z4330" s="353"/>
      <c r="AA4330" s="353"/>
      <c r="AB4330" s="31">
        <f t="shared" ca="1" si="109"/>
        <v>0.70228106780857402</v>
      </c>
      <c r="AC4330" s="810"/>
      <c r="AD4330" s="811"/>
      <c r="AE4330" s="940"/>
      <c r="AF4330" s="920">
        <f>IF(X4330=X4329,AF4329,0)+IF(ISNUMBER(I4330),IF(I4330&lt;1,I4330,I4330*VLOOKUP(J4330,Summary!$H$2:$I$9,2)),VLOOKUP(J4330,Summary!$J$2:$K$9,2)*IF(ISNUMBER(H4330),H4330,1))</f>
        <v>0.80238425925925894</v>
      </c>
      <c r="AG4330" s="287">
        <v>4329</v>
      </c>
      <c r="AH4330" s="94"/>
      <c r="AI4330" s="94"/>
      <c r="AJ4330" s="1"/>
    </row>
    <row r="4331" spans="1:36" s="43" customFormat="1" ht="12" customHeight="1" x14ac:dyDescent="0.25">
      <c r="A4331" s="605" t="s">
        <v>13106</v>
      </c>
      <c r="B4331" s="605">
        <v>10</v>
      </c>
      <c r="C4331" s="605">
        <v>1.4</v>
      </c>
      <c r="D4331" s="407" t="s">
        <v>14519</v>
      </c>
      <c r="E4331" s="312" t="s">
        <v>14521</v>
      </c>
      <c r="F4331" s="196">
        <v>43256</v>
      </c>
      <c r="G4331" s="170"/>
      <c r="H4331" s="170">
        <v>1</v>
      </c>
      <c r="I4331" s="747">
        <f>TIME(0,60,0)</f>
        <v>4.1666666666666664E-2</v>
      </c>
      <c r="J4331" s="899" t="s">
        <v>4706</v>
      </c>
      <c r="K4331" s="167" t="s">
        <v>12163</v>
      </c>
      <c r="L4331" s="167" t="s">
        <v>3296</v>
      </c>
      <c r="M4331" s="167"/>
      <c r="N4331" s="167"/>
      <c r="O4331" s="167"/>
      <c r="P4331" s="168" t="s">
        <v>14513</v>
      </c>
      <c r="Q4331" s="167" t="s">
        <v>3947</v>
      </c>
      <c r="R4331" s="172" t="s">
        <v>14514</v>
      </c>
      <c r="S4331" s="388"/>
      <c r="T4331" s="168"/>
      <c r="U4331" s="168" t="s">
        <v>3629</v>
      </c>
      <c r="V4331" s="168"/>
      <c r="W4331" s="312" t="s">
        <v>14521</v>
      </c>
      <c r="X4331" s="644" t="s">
        <v>13104</v>
      </c>
      <c r="Y4331" s="352"/>
      <c r="Z4331" s="353"/>
      <c r="AA4331" s="353"/>
      <c r="AB4331" s="31">
        <f t="shared" ca="1" si="109"/>
        <v>0.80659054853224066</v>
      </c>
      <c r="AC4331" s="810"/>
      <c r="AD4331" s="811"/>
      <c r="AE4331" s="940"/>
      <c r="AF4331" s="920">
        <f>IF(X4331=X4330,AF4330,0)+IF(ISNUMBER(I4331),IF(I4331&lt;1,I4331,I4331*VLOOKUP(J4331,Summary!$H$2:$I$9,2)),VLOOKUP(J4331,Summary!$J$2:$K$9,2)*IF(ISNUMBER(H4331),H4331,1))</f>
        <v>0.84405092592592557</v>
      </c>
      <c r="AG4331" s="287">
        <v>4330</v>
      </c>
      <c r="AH4331" s="94"/>
      <c r="AI4331" s="94"/>
      <c r="AJ4331" s="3"/>
    </row>
    <row r="4332" spans="1:36" s="1" customFormat="1" ht="12" customHeight="1" x14ac:dyDescent="0.25">
      <c r="A4332" s="605" t="s">
        <v>13106</v>
      </c>
      <c r="B4332" s="605">
        <v>10</v>
      </c>
      <c r="C4332" s="605">
        <v>1.3</v>
      </c>
      <c r="D4332" s="407" t="s">
        <v>13088</v>
      </c>
      <c r="E4332" s="315" t="s">
        <v>13091</v>
      </c>
      <c r="F4332" s="196">
        <v>43165</v>
      </c>
      <c r="G4332" s="196"/>
      <c r="H4332" s="170">
        <v>1</v>
      </c>
      <c r="I4332" s="747">
        <f>TIME(0,60,0)</f>
        <v>4.1666666666666664E-2</v>
      </c>
      <c r="J4332" s="899" t="s">
        <v>4706</v>
      </c>
      <c r="K4332" s="167" t="s">
        <v>10797</v>
      </c>
      <c r="L4332" s="167" t="s">
        <v>12662</v>
      </c>
      <c r="M4332" s="167"/>
      <c r="N4332" s="167"/>
      <c r="O4332" s="167"/>
      <c r="P4332" s="168" t="s">
        <v>13085</v>
      </c>
      <c r="Q4332" s="167" t="s">
        <v>3947</v>
      </c>
      <c r="R4332" s="172" t="s">
        <v>13086</v>
      </c>
      <c r="S4332" s="388"/>
      <c r="T4332" s="168"/>
      <c r="U4332" s="168"/>
      <c r="V4332" s="168"/>
      <c r="W4332" s="315" t="s">
        <v>13091</v>
      </c>
      <c r="X4332" s="647" t="s">
        <v>13104</v>
      </c>
      <c r="Y4332" s="352"/>
      <c r="Z4332" s="353"/>
      <c r="AA4332" s="353"/>
      <c r="AB4332" s="31">
        <f t="shared" ca="1" si="109"/>
        <v>0.7636876845746069</v>
      </c>
      <c r="AC4332" s="810"/>
      <c r="AD4332" s="811"/>
      <c r="AE4332" s="940"/>
      <c r="AF4332" s="920">
        <f>IF(X4332=X4331,AF4331,0)+IF(ISNUMBER(I4332),IF(I4332&lt;1,I4332,I4332*VLOOKUP(J4332,Summary!$H$2:$I$9,2)),VLOOKUP(J4332,Summary!$J$2:$K$9,2)*IF(ISNUMBER(H4332),H4332,1))</f>
        <v>0.8857175925925922</v>
      </c>
      <c r="AG4332" s="287">
        <v>4331</v>
      </c>
      <c r="AH4332" s="94"/>
      <c r="AI4332" s="94"/>
      <c r="AJ4332" s="29"/>
    </row>
    <row r="4333" spans="1:36" s="1" customFormat="1" ht="12" customHeight="1" x14ac:dyDescent="0.25">
      <c r="A4333" s="603" t="s">
        <v>13106</v>
      </c>
      <c r="B4333" s="603">
        <v>10</v>
      </c>
      <c r="C4333" s="603">
        <v>14.1</v>
      </c>
      <c r="D4333" s="428" t="s">
        <v>316</v>
      </c>
      <c r="E4333" s="325" t="s">
        <v>320</v>
      </c>
      <c r="F4333" s="183">
        <v>40057</v>
      </c>
      <c r="G4333" s="183"/>
      <c r="H4333" s="185">
        <v>1</v>
      </c>
      <c r="I4333" s="185">
        <v>22</v>
      </c>
      <c r="J4333" s="901" t="s">
        <v>1796</v>
      </c>
      <c r="K4333" s="158" t="s">
        <v>321</v>
      </c>
      <c r="L4333" s="158" t="s">
        <v>5716</v>
      </c>
      <c r="M4333" s="158" t="s">
        <v>2150</v>
      </c>
      <c r="N4333" s="158" t="s">
        <v>6573</v>
      </c>
      <c r="O4333" s="158"/>
      <c r="P4333" s="182" t="s">
        <v>461</v>
      </c>
      <c r="Q4333" s="158" t="s">
        <v>5719</v>
      </c>
      <c r="R4333" s="207" t="s">
        <v>5718</v>
      </c>
      <c r="S4333" s="355"/>
      <c r="T4333" s="182" t="s">
        <v>2333</v>
      </c>
      <c r="U4333" s="182"/>
      <c r="V4333" s="182"/>
      <c r="W4333" s="325" t="s">
        <v>320</v>
      </c>
      <c r="X4333" s="657" t="s">
        <v>13104</v>
      </c>
      <c r="Y4333" s="355" t="s">
        <v>6000</v>
      </c>
      <c r="Z4333" s="362"/>
      <c r="AA4333" s="362"/>
      <c r="AB4333" s="33">
        <f t="shared" ca="1" si="109"/>
        <v>9.9501844822655006E-2</v>
      </c>
      <c r="AC4333" s="813"/>
      <c r="AD4333" s="211" t="s">
        <v>16454</v>
      </c>
      <c r="AE4333" s="949"/>
      <c r="AF4333" s="922">
        <f>IF(X4333=X4332,AF4332,0)+IF(ISNUMBER(I4333),IF(I4333&lt;1,I4333,I4333*VLOOKUP(J4333,Summary!$H$2:$I$9,2)),VLOOKUP(J4333,Summary!$J$2:$K$9,2)*IF(ISNUMBER(H4333),H4333,1))</f>
        <v>0.89335648148148106</v>
      </c>
      <c r="AG4333" s="295">
        <v>4332</v>
      </c>
      <c r="AH4333" s="94"/>
      <c r="AI4333" s="94"/>
    </row>
    <row r="4334" spans="1:36" s="1" customFormat="1" ht="12" customHeight="1" x14ac:dyDescent="0.25">
      <c r="A4334" s="603" t="s">
        <v>13106</v>
      </c>
      <c r="B4334" s="603">
        <v>10</v>
      </c>
      <c r="C4334" s="603">
        <v>21</v>
      </c>
      <c r="D4334" s="428" t="s">
        <v>1840</v>
      </c>
      <c r="E4334" s="325" t="s">
        <v>1841</v>
      </c>
      <c r="F4334" s="184">
        <v>39820</v>
      </c>
      <c r="G4334" s="184">
        <v>39834</v>
      </c>
      <c r="H4334" s="185">
        <v>2</v>
      </c>
      <c r="I4334" s="185">
        <v>8</v>
      </c>
      <c r="J4334" s="901" t="s">
        <v>1796</v>
      </c>
      <c r="K4334" s="158" t="s">
        <v>5148</v>
      </c>
      <c r="L4334" s="158" t="s">
        <v>7928</v>
      </c>
      <c r="M4334" s="158" t="s">
        <v>254</v>
      </c>
      <c r="N4334" s="158" t="s">
        <v>4511</v>
      </c>
      <c r="O4334" s="158"/>
      <c r="P4334" s="182" t="s">
        <v>461</v>
      </c>
      <c r="Q4334" s="158" t="s">
        <v>4798</v>
      </c>
      <c r="R4334" s="207" t="s">
        <v>4795</v>
      </c>
      <c r="S4334" s="355"/>
      <c r="T4334" s="182"/>
      <c r="U4334" s="182"/>
      <c r="V4334" s="182"/>
      <c r="W4334" s="321" t="s">
        <v>8475</v>
      </c>
      <c r="X4334" s="653" t="s">
        <v>13104</v>
      </c>
      <c r="Y4334" s="361"/>
      <c r="Z4334" s="362"/>
      <c r="AA4334" s="362"/>
      <c r="AB4334" s="33">
        <f t="shared" ca="1" si="109"/>
        <v>0.91200919986079787</v>
      </c>
      <c r="AC4334" s="813"/>
      <c r="AD4334" s="211"/>
      <c r="AE4334" s="949"/>
      <c r="AF4334" s="922">
        <f>IF(X4334=X4333,AF4333,0)+IF(ISNUMBER(I4334),IF(I4334&lt;1,I4334,I4334*VLOOKUP(J4334,Summary!$H$2:$I$9,2)),VLOOKUP(J4334,Summary!$J$2:$K$9,2)*IF(ISNUMBER(H4334),H4334,1))</f>
        <v>0.89613425925925883</v>
      </c>
      <c r="AG4334" s="295">
        <v>4333</v>
      </c>
      <c r="AH4334" s="94"/>
      <c r="AI4334" s="94"/>
      <c r="AJ4334" s="3"/>
    </row>
    <row r="4335" spans="1:36" s="43" customFormat="1" ht="12" customHeight="1" x14ac:dyDescent="0.25">
      <c r="A4335" s="604" t="s">
        <v>13106</v>
      </c>
      <c r="B4335" s="604">
        <v>10</v>
      </c>
      <c r="C4335" s="604">
        <v>4</v>
      </c>
      <c r="D4335" s="417" t="s">
        <v>7704</v>
      </c>
      <c r="E4335" s="316" t="s">
        <v>3633</v>
      </c>
      <c r="F4335" s="195">
        <v>39870</v>
      </c>
      <c r="G4335" s="195"/>
      <c r="H4335" s="188" t="str">
        <f>IF(J4335="Book","n/a","")</f>
        <v>n/a</v>
      </c>
      <c r="I4335" s="188">
        <v>112</v>
      </c>
      <c r="J4335" s="902" t="s">
        <v>6868</v>
      </c>
      <c r="K4335" s="162" t="s">
        <v>4552</v>
      </c>
      <c r="L4335" s="162" t="str">
        <f>IF(J4335="Book","n/a","")</f>
        <v>n/a</v>
      </c>
      <c r="M4335" s="162"/>
      <c r="N4335" s="162"/>
      <c r="O4335" s="162"/>
      <c r="P4335" s="178" t="s">
        <v>8628</v>
      </c>
      <c r="Q4335" s="162" t="s">
        <v>3953</v>
      </c>
      <c r="R4335" s="189" t="s">
        <v>2712</v>
      </c>
      <c r="S4335" s="366"/>
      <c r="T4335" s="178"/>
      <c r="U4335" s="178"/>
      <c r="V4335" s="178"/>
      <c r="W4335" s="316" t="s">
        <v>3633</v>
      </c>
      <c r="X4335" s="648" t="s">
        <v>13104</v>
      </c>
      <c r="Y4335" s="356" t="s">
        <v>6868</v>
      </c>
      <c r="Z4335" s="272"/>
      <c r="AA4335" s="272"/>
      <c r="AB4335" s="34">
        <f t="shared" ca="1" si="109"/>
        <v>0.33131989275987517</v>
      </c>
      <c r="AC4335" s="814"/>
      <c r="AD4335" s="818" t="s">
        <v>14585</v>
      </c>
      <c r="AE4335" s="942"/>
      <c r="AF4335" s="923">
        <f>IF(X4335=X4334,AF4334,0)+IF(ISNUMBER(I4335),IF(I4335&lt;1,I4335,I4335*VLOOKUP(J4335,Summary!$H$2:$I$9,2)),VLOOKUP(J4335,Summary!$J$2:$K$9,2)*IF(ISNUMBER(H4335),H4335,1))</f>
        <v>0.97391203703703666</v>
      </c>
      <c r="AG4335" s="291">
        <v>4334</v>
      </c>
      <c r="AH4335" s="94"/>
      <c r="AI4335" s="94"/>
    </row>
    <row r="4336" spans="1:36" s="1" customFormat="1" ht="12" customHeight="1" x14ac:dyDescent="0.25">
      <c r="A4336" s="603" t="s">
        <v>13106</v>
      </c>
      <c r="B4336" s="603">
        <v>10</v>
      </c>
      <c r="C4336" s="603">
        <v>22</v>
      </c>
      <c r="D4336" s="428" t="s">
        <v>1843</v>
      </c>
      <c r="E4336" s="325" t="s">
        <v>1844</v>
      </c>
      <c r="F4336" s="184">
        <v>39848</v>
      </c>
      <c r="G4336" s="184">
        <v>39862</v>
      </c>
      <c r="H4336" s="185">
        <v>2</v>
      </c>
      <c r="I4336" s="185">
        <v>8</v>
      </c>
      <c r="J4336" s="901" t="s">
        <v>1796</v>
      </c>
      <c r="K4336" s="158" t="s">
        <v>1842</v>
      </c>
      <c r="L4336" s="158" t="s">
        <v>7928</v>
      </c>
      <c r="M4336" s="158" t="s">
        <v>254</v>
      </c>
      <c r="N4336" s="158" t="s">
        <v>4511</v>
      </c>
      <c r="O4336" s="158"/>
      <c r="P4336" s="182" t="s">
        <v>461</v>
      </c>
      <c r="Q4336" s="158" t="s">
        <v>4798</v>
      </c>
      <c r="R4336" s="207" t="s">
        <v>4795</v>
      </c>
      <c r="S4336" s="355"/>
      <c r="T4336" s="182"/>
      <c r="U4336" s="182"/>
      <c r="V4336" s="182"/>
      <c r="W4336" s="321" t="s">
        <v>8476</v>
      </c>
      <c r="X4336" s="653" t="s">
        <v>13104</v>
      </c>
      <c r="Y4336" s="361"/>
      <c r="Z4336" s="362"/>
      <c r="AA4336" s="362"/>
      <c r="AB4336" s="33">
        <f t="shared" ca="1" si="109"/>
        <v>0.62449116121545523</v>
      </c>
      <c r="AC4336" s="813"/>
      <c r="AD4336" s="211"/>
      <c r="AE4336" s="949"/>
      <c r="AF4336" s="922">
        <f>IF(X4336=X4335,AF4335,0)+IF(ISNUMBER(I4336),IF(I4336&lt;1,I4336,I4336*VLOOKUP(J4336,Summary!$H$2:$I$9,2)),VLOOKUP(J4336,Summary!$J$2:$K$9,2)*IF(ISNUMBER(H4336),H4336,1))</f>
        <v>0.97668981481481443</v>
      </c>
      <c r="AG4336" s="295">
        <v>4335</v>
      </c>
      <c r="AH4336" s="94"/>
      <c r="AI4336" s="94"/>
      <c r="AJ4336" s="2"/>
    </row>
    <row r="4337" spans="1:36" s="3" customFormat="1" ht="12" customHeight="1" x14ac:dyDescent="0.25">
      <c r="A4337" s="603" t="s">
        <v>13106</v>
      </c>
      <c r="B4337" s="603">
        <v>10</v>
      </c>
      <c r="C4337" s="603">
        <v>23</v>
      </c>
      <c r="D4337" s="428" t="s">
        <v>6945</v>
      </c>
      <c r="E4337" s="325" t="s">
        <v>1255</v>
      </c>
      <c r="F4337" s="184">
        <v>39876</v>
      </c>
      <c r="G4337" s="184">
        <v>39890</v>
      </c>
      <c r="H4337" s="185">
        <v>2</v>
      </c>
      <c r="I4337" s="185">
        <v>8</v>
      </c>
      <c r="J4337" s="901" t="s">
        <v>1796</v>
      </c>
      <c r="K4337" s="158" t="s">
        <v>7805</v>
      </c>
      <c r="L4337" s="158" t="s">
        <v>7928</v>
      </c>
      <c r="M4337" s="158" t="s">
        <v>254</v>
      </c>
      <c r="N4337" s="158" t="s">
        <v>4511</v>
      </c>
      <c r="O4337" s="158"/>
      <c r="P4337" s="182" t="s">
        <v>461</v>
      </c>
      <c r="Q4337" s="158" t="s">
        <v>4798</v>
      </c>
      <c r="R4337" s="207" t="s">
        <v>4795</v>
      </c>
      <c r="S4337" s="355"/>
      <c r="T4337" s="182"/>
      <c r="U4337" s="182"/>
      <c r="V4337" s="182"/>
      <c r="W4337" s="321" t="s">
        <v>8477</v>
      </c>
      <c r="X4337" s="653" t="s">
        <v>13104</v>
      </c>
      <c r="Y4337" s="361"/>
      <c r="Z4337" s="362"/>
      <c r="AA4337" s="362"/>
      <c r="AB4337" s="33">
        <f t="shared" ca="1" si="109"/>
        <v>0.68896261928771751</v>
      </c>
      <c r="AC4337" s="813"/>
      <c r="AD4337" s="211"/>
      <c r="AE4337" s="949"/>
      <c r="AF4337" s="922">
        <f>IF(X4337=X4336,AF4336,0)+IF(ISNUMBER(I4337),IF(I4337&lt;1,I4337,I4337*VLOOKUP(J4337,Summary!$H$2:$I$9,2)),VLOOKUP(J4337,Summary!$J$2:$K$9,2)*IF(ISNUMBER(H4337),H4337,1))</f>
        <v>0.9794675925925922</v>
      </c>
      <c r="AG4337" s="295">
        <v>4336</v>
      </c>
      <c r="AH4337" s="94"/>
      <c r="AI4337" s="94"/>
      <c r="AJ4337" s="1"/>
    </row>
    <row r="4338" spans="1:36" s="43" customFormat="1" ht="12" customHeight="1" x14ac:dyDescent="0.25">
      <c r="A4338" s="605" t="s">
        <v>13106</v>
      </c>
      <c r="B4338" s="605">
        <v>10</v>
      </c>
      <c r="C4338" s="605">
        <v>2.4</v>
      </c>
      <c r="D4338" s="407" t="s">
        <v>13102</v>
      </c>
      <c r="E4338" s="315" t="s">
        <v>13103</v>
      </c>
      <c r="F4338" s="196">
        <v>43146</v>
      </c>
      <c r="G4338" s="170"/>
      <c r="H4338" s="170">
        <v>1</v>
      </c>
      <c r="I4338" s="747">
        <f>TIME(0,60,0)</f>
        <v>4.1666666666666664E-2</v>
      </c>
      <c r="J4338" s="899" t="s">
        <v>4706</v>
      </c>
      <c r="K4338" s="167" t="s">
        <v>11343</v>
      </c>
      <c r="L4338" s="167" t="s">
        <v>2313</v>
      </c>
      <c r="M4338" s="167"/>
      <c r="N4338" s="167"/>
      <c r="O4338" s="167"/>
      <c r="P4338" s="168" t="s">
        <v>13037</v>
      </c>
      <c r="Q4338" s="167" t="s">
        <v>3947</v>
      </c>
      <c r="R4338" s="172" t="s">
        <v>11446</v>
      </c>
      <c r="S4338" s="388"/>
      <c r="T4338" s="168"/>
      <c r="U4338" s="168"/>
      <c r="V4338" s="168"/>
      <c r="W4338" s="315" t="s">
        <v>13103</v>
      </c>
      <c r="X4338" s="647" t="s">
        <v>13104</v>
      </c>
      <c r="Y4338" s="352"/>
      <c r="Z4338" s="353"/>
      <c r="AA4338" s="353"/>
      <c r="AB4338" s="31">
        <f t="shared" ca="1" si="109"/>
        <v>0.89943458114786667</v>
      </c>
      <c r="AC4338" s="810"/>
      <c r="AD4338" s="811"/>
      <c r="AE4338" s="940"/>
      <c r="AF4338" s="920">
        <f>IF(X4338=X4337,AF4337,0)+IF(ISNUMBER(I4338),IF(I4338&lt;1,I4338,I4338*VLOOKUP(J4338,Summary!$H$2:$I$9,2)),VLOOKUP(J4338,Summary!$J$2:$K$9,2)*IF(ISNUMBER(H4338),H4338,1))</f>
        <v>1.0211342592592589</v>
      </c>
      <c r="AG4338" s="287">
        <v>4337</v>
      </c>
      <c r="AH4338" s="94"/>
      <c r="AI4338" s="94"/>
    </row>
    <row r="4339" spans="1:36" s="43" customFormat="1" ht="12" customHeight="1" x14ac:dyDescent="0.25">
      <c r="A4339" s="604" t="s">
        <v>13106</v>
      </c>
      <c r="B4339" s="604">
        <v>10</v>
      </c>
      <c r="C4339" s="604">
        <v>1</v>
      </c>
      <c r="D4339" s="417" t="s">
        <v>7705</v>
      </c>
      <c r="E4339" s="316" t="s">
        <v>3634</v>
      </c>
      <c r="F4339" s="195">
        <v>39814</v>
      </c>
      <c r="G4339" s="195"/>
      <c r="H4339" s="188" t="str">
        <f t="shared" ref="H4339:H4348" si="110">IF(J4339="Book","n/a","")</f>
        <v>n/a</v>
      </c>
      <c r="I4339" s="188">
        <v>128</v>
      </c>
      <c r="J4339" s="902" t="s">
        <v>6868</v>
      </c>
      <c r="K4339" s="162" t="s">
        <v>543</v>
      </c>
      <c r="L4339" s="162" t="str">
        <f t="shared" ref="L4339:L4348" si="111">IF(J4339="Book","n/a","")</f>
        <v>n/a</v>
      </c>
      <c r="M4339" s="162"/>
      <c r="N4339" s="162"/>
      <c r="O4339" s="162"/>
      <c r="P4339" s="178" t="s">
        <v>8846</v>
      </c>
      <c r="Q4339" s="162" t="s">
        <v>3954</v>
      </c>
      <c r="R4339" s="189" t="s">
        <v>2713</v>
      </c>
      <c r="S4339" s="366"/>
      <c r="T4339" s="178"/>
      <c r="U4339" s="178"/>
      <c r="V4339" s="178"/>
      <c r="W4339" s="316" t="s">
        <v>10163</v>
      </c>
      <c r="X4339" s="648" t="s">
        <v>13104</v>
      </c>
      <c r="Y4339" s="356" t="s">
        <v>6868</v>
      </c>
      <c r="Z4339" s="272">
        <v>89</v>
      </c>
      <c r="AA4339" s="272">
        <v>5.5</v>
      </c>
      <c r="AB4339" s="34">
        <f t="shared" ca="1" si="109"/>
        <v>0.5804182714708146</v>
      </c>
      <c r="AC4339" s="814"/>
      <c r="AD4339" s="815" t="s">
        <v>16068</v>
      </c>
      <c r="AE4339" s="942" t="s">
        <v>12543</v>
      </c>
      <c r="AF4339" s="923">
        <f>IF(X4339=X4338,AF4338,0)+IF(ISNUMBER(I4339),IF(I4339&lt;1,I4339,I4339*VLOOKUP(J4339,Summary!$H$2:$I$9,2)),VLOOKUP(J4339,Summary!$J$2:$K$9,2)*IF(ISNUMBER(H4339),H4339,1))</f>
        <v>1.1100231481481477</v>
      </c>
      <c r="AG4339" s="291">
        <v>4338</v>
      </c>
      <c r="AH4339" s="94"/>
      <c r="AI4339" s="94"/>
      <c r="AJ4339" s="3"/>
    </row>
    <row r="4340" spans="1:36" s="29" customFormat="1" ht="12" customHeight="1" x14ac:dyDescent="0.25">
      <c r="A4340" s="604" t="s">
        <v>13106</v>
      </c>
      <c r="B4340" s="604">
        <v>10</v>
      </c>
      <c r="C4340" s="604">
        <v>2</v>
      </c>
      <c r="D4340" s="417" t="s">
        <v>7706</v>
      </c>
      <c r="E4340" s="316" t="s">
        <v>4527</v>
      </c>
      <c r="F4340" s="195">
        <v>39814</v>
      </c>
      <c r="G4340" s="195"/>
      <c r="H4340" s="188" t="str">
        <f t="shared" si="110"/>
        <v>n/a</v>
      </c>
      <c r="I4340" s="188">
        <v>128</v>
      </c>
      <c r="J4340" s="902" t="s">
        <v>6868</v>
      </c>
      <c r="K4340" s="162" t="s">
        <v>6355</v>
      </c>
      <c r="L4340" s="162" t="str">
        <f t="shared" si="111"/>
        <v>n/a</v>
      </c>
      <c r="M4340" s="162"/>
      <c r="N4340" s="162"/>
      <c r="O4340" s="162"/>
      <c r="P4340" s="178" t="s">
        <v>8847</v>
      </c>
      <c r="Q4340" s="162" t="s">
        <v>3954</v>
      </c>
      <c r="R4340" s="189" t="s">
        <v>2713</v>
      </c>
      <c r="S4340" s="366"/>
      <c r="T4340" s="178"/>
      <c r="U4340" s="178"/>
      <c r="V4340" s="178"/>
      <c r="W4340" s="316" t="s">
        <v>10156</v>
      </c>
      <c r="X4340" s="648" t="s">
        <v>13104</v>
      </c>
      <c r="Y4340" s="356" t="s">
        <v>6868</v>
      </c>
      <c r="Z4340" s="272">
        <v>235</v>
      </c>
      <c r="AA4340" s="272">
        <v>1</v>
      </c>
      <c r="AB4340" s="34">
        <f t="shared" ca="1" si="109"/>
        <v>0.32815464601022193</v>
      </c>
      <c r="AC4340" s="814"/>
      <c r="AD4340" s="815" t="s">
        <v>16473</v>
      </c>
      <c r="AE4340" s="942" t="s">
        <v>12543</v>
      </c>
      <c r="AF4340" s="923">
        <f>IF(X4340=X4339,AF4339,0)+IF(ISNUMBER(I4340),IF(I4340&lt;1,I4340,I4340*VLOOKUP(J4340,Summary!$H$2:$I$9,2)),VLOOKUP(J4340,Summary!$J$2:$K$9,2)*IF(ISNUMBER(H4340),H4340,1))</f>
        <v>1.1989120370370365</v>
      </c>
      <c r="AG4340" s="291">
        <v>4339</v>
      </c>
      <c r="AH4340" s="94"/>
      <c r="AI4340" s="94"/>
      <c r="AJ4340" s="1"/>
    </row>
    <row r="4341" spans="1:36" s="43" customFormat="1" ht="12" customHeight="1" x14ac:dyDescent="0.25">
      <c r="A4341" s="604" t="s">
        <v>13106</v>
      </c>
      <c r="B4341" s="604">
        <v>10</v>
      </c>
      <c r="C4341" s="604">
        <v>3</v>
      </c>
      <c r="D4341" s="417" t="s">
        <v>7707</v>
      </c>
      <c r="E4341" s="316" t="s">
        <v>5281</v>
      </c>
      <c r="F4341" s="195">
        <v>39845</v>
      </c>
      <c r="G4341" s="195"/>
      <c r="H4341" s="188" t="str">
        <f t="shared" si="110"/>
        <v>n/a</v>
      </c>
      <c r="I4341" s="188">
        <v>128</v>
      </c>
      <c r="J4341" s="902" t="s">
        <v>6868</v>
      </c>
      <c r="K4341" s="162" t="s">
        <v>7798</v>
      </c>
      <c r="L4341" s="162" t="str">
        <f t="shared" si="111"/>
        <v>n/a</v>
      </c>
      <c r="M4341" s="162"/>
      <c r="N4341" s="162"/>
      <c r="O4341" s="162"/>
      <c r="P4341" s="178" t="s">
        <v>8848</v>
      </c>
      <c r="Q4341" s="162" t="s">
        <v>3954</v>
      </c>
      <c r="R4341" s="189" t="s">
        <v>2713</v>
      </c>
      <c r="S4341" s="366"/>
      <c r="T4341" s="178"/>
      <c r="U4341" s="178"/>
      <c r="V4341" s="178"/>
      <c r="W4341" s="316" t="s">
        <v>10160</v>
      </c>
      <c r="X4341" s="648" t="s">
        <v>13104</v>
      </c>
      <c r="Y4341" s="356" t="s">
        <v>6868</v>
      </c>
      <c r="Z4341" s="272">
        <v>148</v>
      </c>
      <c r="AA4341" s="272">
        <v>4.5</v>
      </c>
      <c r="AB4341" s="34">
        <f t="shared" ca="1" si="109"/>
        <v>0.31545929259467631</v>
      </c>
      <c r="AC4341" s="814"/>
      <c r="AD4341" s="815" t="s">
        <v>16473</v>
      </c>
      <c r="AE4341" s="942" t="s">
        <v>12543</v>
      </c>
      <c r="AF4341" s="923">
        <f>IF(X4341=X4340,AF4340,0)+IF(ISNUMBER(I4341),IF(I4341&lt;1,I4341,I4341*VLOOKUP(J4341,Summary!$H$2:$I$9,2)),VLOOKUP(J4341,Summary!$J$2:$K$9,2)*IF(ISNUMBER(H4341),H4341,1))</f>
        <v>1.2878009259259253</v>
      </c>
      <c r="AG4341" s="291">
        <v>4340</v>
      </c>
      <c r="AH4341" s="94"/>
      <c r="AI4341" s="94"/>
      <c r="AJ4341" s="1"/>
    </row>
    <row r="4342" spans="1:36" s="29" customFormat="1" ht="12" customHeight="1" x14ac:dyDescent="0.25">
      <c r="A4342" s="604" t="s">
        <v>13106</v>
      </c>
      <c r="B4342" s="604">
        <v>10</v>
      </c>
      <c r="C4342" s="604">
        <v>4</v>
      </c>
      <c r="D4342" s="417" t="s">
        <v>7708</v>
      </c>
      <c r="E4342" s="316" t="s">
        <v>5282</v>
      </c>
      <c r="F4342" s="195">
        <v>39873</v>
      </c>
      <c r="G4342" s="195"/>
      <c r="H4342" s="188" t="str">
        <f t="shared" si="110"/>
        <v>n/a</v>
      </c>
      <c r="I4342" s="188">
        <v>128</v>
      </c>
      <c r="J4342" s="902" t="s">
        <v>6868</v>
      </c>
      <c r="K4342" s="162" t="s">
        <v>543</v>
      </c>
      <c r="L4342" s="162" t="str">
        <f t="shared" si="111"/>
        <v>n/a</v>
      </c>
      <c r="M4342" s="162"/>
      <c r="N4342" s="162"/>
      <c r="O4342" s="162"/>
      <c r="P4342" s="178" t="s">
        <v>8849</v>
      </c>
      <c r="Q4342" s="162" t="s">
        <v>3954</v>
      </c>
      <c r="R4342" s="189" t="s">
        <v>2713</v>
      </c>
      <c r="S4342" s="366"/>
      <c r="T4342" s="178"/>
      <c r="U4342" s="178"/>
      <c r="V4342" s="178"/>
      <c r="W4342" s="316" t="s">
        <v>10164</v>
      </c>
      <c r="X4342" s="648" t="s">
        <v>13104</v>
      </c>
      <c r="Y4342" s="356" t="s">
        <v>6868</v>
      </c>
      <c r="Z4342" s="272">
        <v>106</v>
      </c>
      <c r="AA4342" s="272">
        <v>5</v>
      </c>
      <c r="AB4342" s="34">
        <f t="shared" ca="1" si="109"/>
        <v>0.26415931415648419</v>
      </c>
      <c r="AC4342" s="814"/>
      <c r="AD4342" s="815" t="s">
        <v>16472</v>
      </c>
      <c r="AE4342" s="942" t="s">
        <v>12543</v>
      </c>
      <c r="AF4342" s="923">
        <f>IF(X4342=X4341,AF4341,0)+IF(ISNUMBER(I4342),IF(I4342&lt;1,I4342,I4342*VLOOKUP(J4342,Summary!$H$2:$I$9,2)),VLOOKUP(J4342,Summary!$J$2:$K$9,2)*IF(ISNUMBER(H4342),H4342,1))</f>
        <v>1.3766898148148141</v>
      </c>
      <c r="AG4342" s="291">
        <v>4341</v>
      </c>
      <c r="AH4342" s="94"/>
      <c r="AI4342" s="94"/>
      <c r="AJ4342" s="1"/>
    </row>
    <row r="4343" spans="1:36" s="43" customFormat="1" ht="12" customHeight="1" x14ac:dyDescent="0.25">
      <c r="A4343" s="604" t="s">
        <v>13106</v>
      </c>
      <c r="B4343" s="604">
        <v>10</v>
      </c>
      <c r="C4343" s="604">
        <v>5</v>
      </c>
      <c r="D4343" s="417" t="s">
        <v>7709</v>
      </c>
      <c r="E4343" s="316" t="s">
        <v>5283</v>
      </c>
      <c r="F4343" s="195">
        <v>39904</v>
      </c>
      <c r="G4343" s="195"/>
      <c r="H4343" s="188" t="str">
        <f t="shared" si="110"/>
        <v>n/a</v>
      </c>
      <c r="I4343" s="188">
        <v>128</v>
      </c>
      <c r="J4343" s="902" t="s">
        <v>6868</v>
      </c>
      <c r="K4343" s="162" t="s">
        <v>6237</v>
      </c>
      <c r="L4343" s="162" t="str">
        <f t="shared" si="111"/>
        <v>n/a</v>
      </c>
      <c r="M4343" s="162"/>
      <c r="N4343" s="162"/>
      <c r="O4343" s="162"/>
      <c r="P4343" s="178" t="s">
        <v>8850</v>
      </c>
      <c r="Q4343" s="162" t="s">
        <v>3954</v>
      </c>
      <c r="R4343" s="189" t="s">
        <v>2713</v>
      </c>
      <c r="S4343" s="366"/>
      <c r="T4343" s="178"/>
      <c r="U4343" s="178"/>
      <c r="V4343" s="178"/>
      <c r="W4343" s="316" t="s">
        <v>10162</v>
      </c>
      <c r="X4343" s="648" t="s">
        <v>13104</v>
      </c>
      <c r="Y4343" s="356" t="s">
        <v>6868</v>
      </c>
      <c r="Z4343" s="272">
        <v>81</v>
      </c>
      <c r="AA4343" s="272">
        <v>6</v>
      </c>
      <c r="AB4343" s="34">
        <f t="shared" ca="1" si="109"/>
        <v>0.30280800980251255</v>
      </c>
      <c r="AC4343" s="814"/>
      <c r="AD4343" s="815" t="s">
        <v>14977</v>
      </c>
      <c r="AE4343" s="942"/>
      <c r="AF4343" s="923">
        <f>IF(X4343=X4342,AF4342,0)+IF(ISNUMBER(I4343),IF(I4343&lt;1,I4343,I4343*VLOOKUP(J4343,Summary!$H$2:$I$9,2)),VLOOKUP(J4343,Summary!$J$2:$K$9,2)*IF(ISNUMBER(H4343),H4343,1))</f>
        <v>1.4655787037037029</v>
      </c>
      <c r="AG4343" s="291">
        <v>4342</v>
      </c>
      <c r="AH4343" s="94"/>
      <c r="AI4343" s="94"/>
      <c r="AJ4343" s="1"/>
    </row>
    <row r="4344" spans="1:36" s="43" customFormat="1" ht="12" customHeight="1" x14ac:dyDescent="0.25">
      <c r="A4344" s="604" t="s">
        <v>13106</v>
      </c>
      <c r="B4344" s="604">
        <v>10</v>
      </c>
      <c r="C4344" s="604">
        <v>6</v>
      </c>
      <c r="D4344" s="417" t="s">
        <v>7710</v>
      </c>
      <c r="E4344" s="316" t="s">
        <v>6844</v>
      </c>
      <c r="F4344" s="195">
        <v>39934</v>
      </c>
      <c r="G4344" s="195"/>
      <c r="H4344" s="188" t="str">
        <f t="shared" si="110"/>
        <v>n/a</v>
      </c>
      <c r="I4344" s="188">
        <v>128</v>
      </c>
      <c r="J4344" s="902" t="s">
        <v>6868</v>
      </c>
      <c r="K4344" s="162" t="s">
        <v>4032</v>
      </c>
      <c r="L4344" s="162" t="str">
        <f t="shared" si="111"/>
        <v>n/a</v>
      </c>
      <c r="M4344" s="162"/>
      <c r="N4344" s="162"/>
      <c r="O4344" s="162"/>
      <c r="P4344" s="178" t="s">
        <v>8851</v>
      </c>
      <c r="Q4344" s="162" t="s">
        <v>3954</v>
      </c>
      <c r="R4344" s="189" t="s">
        <v>2713</v>
      </c>
      <c r="S4344" s="366"/>
      <c r="T4344" s="178"/>
      <c r="U4344" s="178"/>
      <c r="V4344" s="178"/>
      <c r="W4344" s="316" t="s">
        <v>10161</v>
      </c>
      <c r="X4344" s="648" t="s">
        <v>13104</v>
      </c>
      <c r="Y4344" s="356" t="s">
        <v>6868</v>
      </c>
      <c r="Z4344" s="272">
        <v>57</v>
      </c>
      <c r="AA4344" s="272">
        <v>6.5</v>
      </c>
      <c r="AB4344" s="34">
        <f t="shared" ca="1" si="109"/>
        <v>0.44688717778779263</v>
      </c>
      <c r="AC4344" s="814"/>
      <c r="AD4344" s="815" t="s">
        <v>16158</v>
      </c>
      <c r="AE4344" s="942" t="s">
        <v>3365</v>
      </c>
      <c r="AF4344" s="923">
        <f>IF(X4344=X4343,AF4343,0)+IF(ISNUMBER(I4344),IF(I4344&lt;1,I4344,I4344*VLOOKUP(J4344,Summary!$H$2:$I$9,2)),VLOOKUP(J4344,Summary!$J$2:$K$9,2)*IF(ISNUMBER(H4344),H4344,1))</f>
        <v>1.5544675925925917</v>
      </c>
      <c r="AG4344" s="291">
        <v>4343</v>
      </c>
      <c r="AH4344" s="94"/>
      <c r="AI4344" s="94"/>
      <c r="AJ4344" s="29"/>
    </row>
    <row r="4345" spans="1:36" s="43" customFormat="1" ht="12" customHeight="1" x14ac:dyDescent="0.25">
      <c r="A4345" s="604" t="s">
        <v>13106</v>
      </c>
      <c r="B4345" s="604">
        <v>10</v>
      </c>
      <c r="C4345" s="604">
        <v>7</v>
      </c>
      <c r="D4345" s="417" t="s">
        <v>7711</v>
      </c>
      <c r="E4345" s="316" t="s">
        <v>6845</v>
      </c>
      <c r="F4345" s="195">
        <v>39965</v>
      </c>
      <c r="G4345" s="195"/>
      <c r="H4345" s="188" t="str">
        <f t="shared" si="110"/>
        <v>n/a</v>
      </c>
      <c r="I4345" s="188">
        <v>128</v>
      </c>
      <c r="J4345" s="902" t="s">
        <v>6868</v>
      </c>
      <c r="K4345" s="162" t="s">
        <v>543</v>
      </c>
      <c r="L4345" s="162" t="str">
        <f t="shared" si="111"/>
        <v>n/a</v>
      </c>
      <c r="M4345" s="162"/>
      <c r="N4345" s="162"/>
      <c r="O4345" s="162"/>
      <c r="P4345" s="178" t="s">
        <v>8852</v>
      </c>
      <c r="Q4345" s="162" t="s">
        <v>3954</v>
      </c>
      <c r="R4345" s="189" t="s">
        <v>2713</v>
      </c>
      <c r="S4345" s="366"/>
      <c r="T4345" s="178"/>
      <c r="U4345" s="178"/>
      <c r="V4345" s="178"/>
      <c r="W4345" s="316" t="s">
        <v>10159</v>
      </c>
      <c r="X4345" s="648" t="s">
        <v>13104</v>
      </c>
      <c r="Y4345" s="356" t="s">
        <v>6868</v>
      </c>
      <c r="Z4345" s="272">
        <v>217</v>
      </c>
      <c r="AA4345" s="272">
        <v>3</v>
      </c>
      <c r="AB4345" s="34">
        <f t="shared" ca="1" si="109"/>
        <v>0.9990437598618066</v>
      </c>
      <c r="AC4345" s="814"/>
      <c r="AD4345" s="815" t="s">
        <v>16472</v>
      </c>
      <c r="AE4345" s="942" t="s">
        <v>12543</v>
      </c>
      <c r="AF4345" s="923">
        <f>IF(X4345=X4344,AF4344,0)+IF(ISNUMBER(I4345),IF(I4345&lt;1,I4345,I4345*VLOOKUP(J4345,Summary!$H$2:$I$9,2)),VLOOKUP(J4345,Summary!$J$2:$K$9,2)*IF(ISNUMBER(H4345),H4345,1))</f>
        <v>1.6433564814814805</v>
      </c>
      <c r="AG4345" s="291">
        <v>4344</v>
      </c>
      <c r="AH4345" s="94"/>
      <c r="AI4345" s="94"/>
    </row>
    <row r="4346" spans="1:36" s="2" customFormat="1" ht="12" customHeight="1" x14ac:dyDescent="0.25">
      <c r="A4346" s="604" t="s">
        <v>13106</v>
      </c>
      <c r="B4346" s="604">
        <v>10</v>
      </c>
      <c r="C4346" s="604">
        <v>8</v>
      </c>
      <c r="D4346" s="417" t="s">
        <v>7712</v>
      </c>
      <c r="E4346" s="316" t="s">
        <v>6846</v>
      </c>
      <c r="F4346" s="195">
        <v>39995</v>
      </c>
      <c r="G4346" s="195"/>
      <c r="H4346" s="188" t="str">
        <f t="shared" si="110"/>
        <v>n/a</v>
      </c>
      <c r="I4346" s="188">
        <v>128</v>
      </c>
      <c r="J4346" s="902" t="s">
        <v>6868</v>
      </c>
      <c r="K4346" s="162" t="s">
        <v>4552</v>
      </c>
      <c r="L4346" s="162" t="str">
        <f t="shared" si="111"/>
        <v>n/a</v>
      </c>
      <c r="M4346" s="162"/>
      <c r="N4346" s="162"/>
      <c r="O4346" s="162"/>
      <c r="P4346" s="178" t="s">
        <v>8853</v>
      </c>
      <c r="Q4346" s="162" t="s">
        <v>3954</v>
      </c>
      <c r="R4346" s="189" t="s">
        <v>2713</v>
      </c>
      <c r="S4346" s="366"/>
      <c r="T4346" s="178"/>
      <c r="U4346" s="178"/>
      <c r="V4346" s="178"/>
      <c r="W4346" s="316" t="s">
        <v>10158</v>
      </c>
      <c r="X4346" s="648" t="s">
        <v>13104</v>
      </c>
      <c r="Y4346" s="356" t="s">
        <v>6868</v>
      </c>
      <c r="Z4346" s="272">
        <v>172</v>
      </c>
      <c r="AA4346" s="272">
        <v>4</v>
      </c>
      <c r="AB4346" s="34">
        <f t="shared" ca="1" si="109"/>
        <v>0.94270179267943965</v>
      </c>
      <c r="AC4346" s="814"/>
      <c r="AD4346" s="815" t="s">
        <v>16068</v>
      </c>
      <c r="AE4346" s="942" t="s">
        <v>12543</v>
      </c>
      <c r="AF4346" s="923">
        <f>IF(X4346=X4345,AF4345,0)+IF(ISNUMBER(I4346),IF(I4346&lt;1,I4346,I4346*VLOOKUP(J4346,Summary!$H$2:$I$9,2)),VLOOKUP(J4346,Summary!$J$2:$K$9,2)*IF(ISNUMBER(H4346),H4346,1))</f>
        <v>1.7322453703703693</v>
      </c>
      <c r="AG4346" s="291">
        <v>4345</v>
      </c>
      <c r="AH4346" s="94"/>
      <c r="AI4346" s="94"/>
      <c r="AJ4346" s="1"/>
    </row>
    <row r="4347" spans="1:36" s="1" customFormat="1" ht="12" customHeight="1" x14ac:dyDescent="0.25">
      <c r="A4347" s="604" t="s">
        <v>13106</v>
      </c>
      <c r="B4347" s="604">
        <v>10</v>
      </c>
      <c r="C4347" s="604">
        <v>9</v>
      </c>
      <c r="D4347" s="417" t="s">
        <v>7713</v>
      </c>
      <c r="E4347" s="316" t="s">
        <v>6847</v>
      </c>
      <c r="F4347" s="195">
        <v>40026</v>
      </c>
      <c r="G4347" s="195"/>
      <c r="H4347" s="188" t="str">
        <f t="shared" si="110"/>
        <v>n/a</v>
      </c>
      <c r="I4347" s="188">
        <v>128</v>
      </c>
      <c r="J4347" s="902" t="s">
        <v>6868</v>
      </c>
      <c r="K4347" s="162" t="s">
        <v>1935</v>
      </c>
      <c r="L4347" s="162" t="str">
        <f t="shared" si="111"/>
        <v>n/a</v>
      </c>
      <c r="M4347" s="162"/>
      <c r="N4347" s="162"/>
      <c r="O4347" s="162"/>
      <c r="P4347" s="178" t="s">
        <v>8854</v>
      </c>
      <c r="Q4347" s="162" t="s">
        <v>3954</v>
      </c>
      <c r="R4347" s="189" t="s">
        <v>2713</v>
      </c>
      <c r="S4347" s="366"/>
      <c r="T4347" s="178"/>
      <c r="U4347" s="178"/>
      <c r="V4347" s="178"/>
      <c r="W4347" s="316" t="s">
        <v>10157</v>
      </c>
      <c r="X4347" s="648" t="s">
        <v>13104</v>
      </c>
      <c r="Y4347" s="356" t="s">
        <v>6868</v>
      </c>
      <c r="Z4347" s="272">
        <v>161</v>
      </c>
      <c r="AA4347" s="272">
        <v>4</v>
      </c>
      <c r="AB4347" s="34">
        <f t="shared" ca="1" si="109"/>
        <v>0.36455729375277068</v>
      </c>
      <c r="AC4347" s="814"/>
      <c r="AD4347" s="815" t="s">
        <v>16074</v>
      </c>
      <c r="AE4347" s="942" t="s">
        <v>12543</v>
      </c>
      <c r="AF4347" s="923">
        <f>IF(X4347=X4346,AF4346,0)+IF(ISNUMBER(I4347),IF(I4347&lt;1,I4347,I4347*VLOOKUP(J4347,Summary!$H$2:$I$9,2)),VLOOKUP(J4347,Summary!$J$2:$K$9,2)*IF(ISNUMBER(H4347),H4347,1))</f>
        <v>1.8211342592592581</v>
      </c>
      <c r="AG4347" s="291">
        <v>4346</v>
      </c>
      <c r="AH4347" s="94"/>
      <c r="AI4347" s="94"/>
      <c r="AJ4347" s="43"/>
    </row>
    <row r="4348" spans="1:36" s="1" customFormat="1" ht="12" customHeight="1" x14ac:dyDescent="0.25">
      <c r="A4348" s="604" t="s">
        <v>13106</v>
      </c>
      <c r="B4348" s="604">
        <v>10</v>
      </c>
      <c r="C4348" s="604">
        <v>10</v>
      </c>
      <c r="D4348" s="417" t="s">
        <v>7507</v>
      </c>
      <c r="E4348" s="316" t="s">
        <v>7508</v>
      </c>
      <c r="F4348" s="195">
        <v>40080</v>
      </c>
      <c r="G4348" s="195"/>
      <c r="H4348" s="188" t="str">
        <f t="shared" si="110"/>
        <v>n/a</v>
      </c>
      <c r="I4348" s="188">
        <v>128</v>
      </c>
      <c r="J4348" s="902" t="s">
        <v>6868</v>
      </c>
      <c r="K4348" s="162" t="s">
        <v>543</v>
      </c>
      <c r="L4348" s="162" t="str">
        <f t="shared" si="111"/>
        <v>n/a</v>
      </c>
      <c r="M4348" s="162"/>
      <c r="N4348" s="162"/>
      <c r="O4348" s="162"/>
      <c r="P4348" s="178" t="s">
        <v>8855</v>
      </c>
      <c r="Q4348" s="162" t="s">
        <v>3954</v>
      </c>
      <c r="R4348" s="189" t="s">
        <v>2713</v>
      </c>
      <c r="S4348" s="366"/>
      <c r="T4348" s="178"/>
      <c r="U4348" s="178"/>
      <c r="V4348" s="178"/>
      <c r="W4348" s="316" t="s">
        <v>2126</v>
      </c>
      <c r="X4348" s="648" t="s">
        <v>13104</v>
      </c>
      <c r="Y4348" s="356" t="s">
        <v>6868</v>
      </c>
      <c r="Z4348" s="272">
        <v>123</v>
      </c>
      <c r="AA4348" s="272">
        <v>5</v>
      </c>
      <c r="AB4348" s="34">
        <f t="shared" ca="1" si="109"/>
        <v>0.42848707919125772</v>
      </c>
      <c r="AC4348" s="814"/>
      <c r="AD4348" s="815" t="s">
        <v>16310</v>
      </c>
      <c r="AE4348" s="942" t="s">
        <v>12543</v>
      </c>
      <c r="AF4348" s="923">
        <f>IF(X4348=X4347,AF4347,0)+IF(ISNUMBER(I4348),IF(I4348&lt;1,I4348,I4348*VLOOKUP(J4348,Summary!$H$2:$I$9,2)),VLOOKUP(J4348,Summary!$J$2:$K$9,2)*IF(ISNUMBER(H4348),H4348,1))</f>
        <v>1.9100231481481469</v>
      </c>
      <c r="AG4348" s="291">
        <v>4347</v>
      </c>
      <c r="AH4348" s="94"/>
      <c r="AI4348" s="94"/>
      <c r="AJ4348" s="43"/>
    </row>
    <row r="4349" spans="1:36" s="1" customFormat="1" ht="12" customHeight="1" x14ac:dyDescent="0.25">
      <c r="A4349" s="603" t="s">
        <v>13106</v>
      </c>
      <c r="B4349" s="603">
        <v>10</v>
      </c>
      <c r="C4349" s="603">
        <v>24</v>
      </c>
      <c r="D4349" s="428" t="s">
        <v>1254</v>
      </c>
      <c r="E4349" s="325" t="s">
        <v>1256</v>
      </c>
      <c r="F4349" s="184">
        <v>39904</v>
      </c>
      <c r="G4349" s="184">
        <v>39918</v>
      </c>
      <c r="H4349" s="185">
        <v>2</v>
      </c>
      <c r="I4349" s="185">
        <v>8</v>
      </c>
      <c r="J4349" s="901" t="s">
        <v>1796</v>
      </c>
      <c r="K4349" s="158" t="s">
        <v>5198</v>
      </c>
      <c r="L4349" s="158" t="s">
        <v>7928</v>
      </c>
      <c r="M4349" s="158" t="s">
        <v>254</v>
      </c>
      <c r="N4349" s="158" t="s">
        <v>4511</v>
      </c>
      <c r="O4349" s="158"/>
      <c r="P4349" s="182" t="s">
        <v>461</v>
      </c>
      <c r="Q4349" s="158" t="s">
        <v>4798</v>
      </c>
      <c r="R4349" s="207" t="s">
        <v>4795</v>
      </c>
      <c r="S4349" s="355"/>
      <c r="T4349" s="182"/>
      <c r="U4349" s="182"/>
      <c r="V4349" s="182"/>
      <c r="W4349" s="321" t="s">
        <v>8478</v>
      </c>
      <c r="X4349" s="653" t="s">
        <v>13104</v>
      </c>
      <c r="Y4349" s="361"/>
      <c r="Z4349" s="362"/>
      <c r="AA4349" s="362"/>
      <c r="AB4349" s="33">
        <f t="shared" ca="1" si="109"/>
        <v>0.34420144759137861</v>
      </c>
      <c r="AC4349" s="813"/>
      <c r="AD4349" s="211"/>
      <c r="AE4349" s="949"/>
      <c r="AF4349" s="922">
        <f>IF(X4349=X4348,AF4348,0)+IF(ISNUMBER(I4349),IF(I4349&lt;1,I4349,I4349*VLOOKUP(J4349,Summary!$H$2:$I$9,2)),VLOOKUP(J4349,Summary!$J$2:$K$9,2)*IF(ISNUMBER(H4349),H4349,1))</f>
        <v>1.9128009259259247</v>
      </c>
      <c r="AG4349" s="295">
        <v>4348</v>
      </c>
      <c r="AH4349" s="94"/>
      <c r="AI4349" s="94"/>
      <c r="AJ4349" s="43"/>
    </row>
    <row r="4350" spans="1:36" s="1" customFormat="1" ht="12" customHeight="1" x14ac:dyDescent="0.25">
      <c r="A4350" s="603" t="s">
        <v>13106</v>
      </c>
      <c r="B4350" s="603">
        <v>10</v>
      </c>
      <c r="C4350" s="603">
        <v>14.2</v>
      </c>
      <c r="D4350" s="428" t="s">
        <v>316</v>
      </c>
      <c r="E4350" s="325" t="s">
        <v>317</v>
      </c>
      <c r="F4350" s="183">
        <v>40057</v>
      </c>
      <c r="G4350" s="183"/>
      <c r="H4350" s="185">
        <v>1</v>
      </c>
      <c r="I4350" s="185">
        <v>11</v>
      </c>
      <c r="J4350" s="901" t="s">
        <v>1796</v>
      </c>
      <c r="K4350" s="158" t="s">
        <v>2335</v>
      </c>
      <c r="L4350" s="158" t="s">
        <v>2335</v>
      </c>
      <c r="M4350" s="158" t="s">
        <v>6567</v>
      </c>
      <c r="N4350" s="158" t="s">
        <v>6573</v>
      </c>
      <c r="O4350" s="158"/>
      <c r="P4350" s="182" t="s">
        <v>461</v>
      </c>
      <c r="Q4350" s="158" t="s">
        <v>5719</v>
      </c>
      <c r="R4350" s="207" t="s">
        <v>5718</v>
      </c>
      <c r="S4350" s="355"/>
      <c r="T4350" s="182"/>
      <c r="U4350" s="182"/>
      <c r="V4350" s="182"/>
      <c r="W4350" s="325" t="s">
        <v>317</v>
      </c>
      <c r="X4350" s="657" t="s">
        <v>13104</v>
      </c>
      <c r="Y4350" s="355" t="s">
        <v>6000</v>
      </c>
      <c r="Z4350" s="362"/>
      <c r="AA4350" s="362"/>
      <c r="AB4350" s="33">
        <f t="shared" ca="1" si="109"/>
        <v>0.45956100155389712</v>
      </c>
      <c r="AC4350" s="813"/>
      <c r="AD4350" s="826" t="s">
        <v>14585</v>
      </c>
      <c r="AE4350" s="949"/>
      <c r="AF4350" s="922">
        <f>IF(X4350=X4349,AF4349,0)+IF(ISNUMBER(I4350),IF(I4350&lt;1,I4350,I4350*VLOOKUP(J4350,Summary!$H$2:$I$9,2)),VLOOKUP(J4350,Summary!$J$2:$K$9,2)*IF(ISNUMBER(H4350),H4350,1))</f>
        <v>1.916620370370369</v>
      </c>
      <c r="AG4350" s="295">
        <v>4349</v>
      </c>
      <c r="AH4350" s="94"/>
      <c r="AI4350" s="94"/>
      <c r="AJ4350" s="43"/>
    </row>
    <row r="4351" spans="1:36" s="1" customFormat="1" ht="12" customHeight="1" x14ac:dyDescent="0.25">
      <c r="A4351" s="605" t="s">
        <v>13106</v>
      </c>
      <c r="B4351" s="605">
        <v>10</v>
      </c>
      <c r="C4351" s="605">
        <v>6</v>
      </c>
      <c r="D4351" s="407" t="s">
        <v>4150</v>
      </c>
      <c r="E4351" s="315" t="s">
        <v>4151</v>
      </c>
      <c r="F4351" s="196">
        <v>40185</v>
      </c>
      <c r="G4351" s="196"/>
      <c r="H4351" s="170">
        <v>2</v>
      </c>
      <c r="I4351" s="747">
        <f>TIME(2,0,0)</f>
        <v>8.3333333333333329E-2</v>
      </c>
      <c r="J4351" s="899" t="s">
        <v>4706</v>
      </c>
      <c r="K4351" s="167" t="s">
        <v>4132</v>
      </c>
      <c r="L4351" s="167"/>
      <c r="M4351" s="167"/>
      <c r="N4351" s="167"/>
      <c r="O4351" s="167"/>
      <c r="P4351" s="168" t="s">
        <v>8924</v>
      </c>
      <c r="Q4351" s="167" t="s">
        <v>3950</v>
      </c>
      <c r="R4351" s="172" t="s">
        <v>2240</v>
      </c>
      <c r="S4351" s="388"/>
      <c r="T4351" s="168"/>
      <c r="U4351" s="168"/>
      <c r="V4351" s="168"/>
      <c r="W4351" s="315" t="s">
        <v>4151</v>
      </c>
      <c r="X4351" s="647" t="s">
        <v>13104</v>
      </c>
      <c r="Y4351" s="352" t="s">
        <v>5423</v>
      </c>
      <c r="Z4351" s="353"/>
      <c r="AA4351" s="353"/>
      <c r="AB4351" s="31">
        <f t="shared" ca="1" si="109"/>
        <v>0.97164571264658084</v>
      </c>
      <c r="AC4351" s="810"/>
      <c r="AD4351" s="811" t="s">
        <v>16406</v>
      </c>
      <c r="AE4351" s="940" t="s">
        <v>3365</v>
      </c>
      <c r="AF4351" s="920">
        <f>IF(X4351=X4350,AF4350,0)+IF(ISNUMBER(I4351),IF(I4351&lt;1,I4351,I4351*VLOOKUP(J4351,Summary!$H$2:$I$9,2)),VLOOKUP(J4351,Summary!$J$2:$K$9,2)*IF(ISNUMBER(H4351),H4351,1))</f>
        <v>1.9999537037037023</v>
      </c>
      <c r="AG4351" s="287">
        <v>4350</v>
      </c>
      <c r="AH4351" s="94"/>
      <c r="AI4351" s="94"/>
      <c r="AJ4351" s="43"/>
    </row>
    <row r="4352" spans="1:36" s="1" customFormat="1" ht="12" customHeight="1" x14ac:dyDescent="0.25">
      <c r="A4352" s="405" t="s">
        <v>7525</v>
      </c>
      <c r="B4352" s="596" t="s">
        <v>3227</v>
      </c>
      <c r="C4352" s="510">
        <v>2</v>
      </c>
      <c r="D4352" s="407" t="s">
        <v>7527</v>
      </c>
      <c r="E4352" s="315" t="s">
        <v>5746</v>
      </c>
      <c r="F4352" s="196">
        <v>39995</v>
      </c>
      <c r="G4352" s="196"/>
      <c r="H4352" s="170">
        <v>1</v>
      </c>
      <c r="I4352" s="746">
        <f>TIME(0,43,47)</f>
        <v>3.0405092592592591E-2</v>
      </c>
      <c r="J4352" s="899" t="s">
        <v>4706</v>
      </c>
      <c r="K4352" s="167" t="s">
        <v>7572</v>
      </c>
      <c r="L4352" s="167" t="s">
        <v>7569</v>
      </c>
      <c r="M4352" s="167"/>
      <c r="N4352" s="167"/>
      <c r="O4352" s="167"/>
      <c r="P4352" s="168" t="s">
        <v>8839</v>
      </c>
      <c r="Q4352" s="167" t="s">
        <v>3948</v>
      </c>
      <c r="R4352" s="172" t="s">
        <v>3157</v>
      </c>
      <c r="S4352" s="388"/>
      <c r="T4352" s="168" t="s">
        <v>3068</v>
      </c>
      <c r="U4352" s="168"/>
      <c r="V4352" s="168"/>
      <c r="W4352" s="312" t="s">
        <v>5746</v>
      </c>
      <c r="X4352" s="644" t="s">
        <v>12360</v>
      </c>
      <c r="Y4352" s="352" t="s">
        <v>1650</v>
      </c>
      <c r="Z4352" s="353">
        <v>41</v>
      </c>
      <c r="AA4352" s="353">
        <v>8.5</v>
      </c>
      <c r="AB4352" s="31">
        <f t="shared" ca="1" si="109"/>
        <v>0.30387068912396931</v>
      </c>
      <c r="AC4352" s="810"/>
      <c r="AD4352" s="825" t="s">
        <v>14585</v>
      </c>
      <c r="AE4352" s="940"/>
      <c r="AF4352" s="920">
        <f>IF(X4352=X4351,AF4351,0)+IF(ISNUMBER(I4352),IF(I4352&lt;1,I4352,I4352*VLOOKUP(J4352,Summary!$H$2:$I$9,2)),VLOOKUP(J4352,Summary!$J$2:$K$9,2)*IF(ISNUMBER(H4352),H4352,1))</f>
        <v>3.0405092592592591E-2</v>
      </c>
      <c r="AG4352" s="287">
        <v>4351</v>
      </c>
      <c r="AH4352" s="94"/>
      <c r="AI4352" s="94"/>
      <c r="AJ4352" s="43"/>
    </row>
    <row r="4353" spans="1:36" s="7" customFormat="1" ht="12" customHeight="1" x14ac:dyDescent="0.25">
      <c r="A4353" s="405" t="s">
        <v>7525</v>
      </c>
      <c r="B4353" s="596" t="s">
        <v>3227</v>
      </c>
      <c r="C4353" s="510">
        <v>3</v>
      </c>
      <c r="D4353" s="407" t="s">
        <v>7528</v>
      </c>
      <c r="E4353" s="315" t="s">
        <v>7570</v>
      </c>
      <c r="F4353" s="196">
        <v>39996</v>
      </c>
      <c r="G4353" s="196"/>
      <c r="H4353" s="170">
        <v>1</v>
      </c>
      <c r="I4353" s="746">
        <f>TIME(0,43,28)</f>
        <v>3.0185185185185186E-2</v>
      </c>
      <c r="J4353" s="899" t="s">
        <v>4706</v>
      </c>
      <c r="K4353" s="167" t="s">
        <v>1643</v>
      </c>
      <c r="L4353" s="167" t="s">
        <v>7569</v>
      </c>
      <c r="M4353" s="167"/>
      <c r="N4353" s="167"/>
      <c r="O4353" s="167"/>
      <c r="P4353" s="168" t="s">
        <v>8838</v>
      </c>
      <c r="Q4353" s="167" t="s">
        <v>3948</v>
      </c>
      <c r="R4353" s="172" t="s">
        <v>3157</v>
      </c>
      <c r="S4353" s="388"/>
      <c r="T4353" s="168" t="s">
        <v>3068</v>
      </c>
      <c r="U4353" s="168"/>
      <c r="V4353" s="168"/>
      <c r="W4353" s="315" t="s">
        <v>7570</v>
      </c>
      <c r="X4353" s="647" t="s">
        <v>12360</v>
      </c>
      <c r="Y4353" s="352" t="s">
        <v>1650</v>
      </c>
      <c r="Z4353" s="353">
        <v>155</v>
      </c>
      <c r="AA4353" s="353">
        <v>6.5</v>
      </c>
      <c r="AB4353" s="31">
        <f t="shared" ca="1" si="109"/>
        <v>0.40624849633159044</v>
      </c>
      <c r="AC4353" s="810"/>
      <c r="AD4353" s="825" t="s">
        <v>14585</v>
      </c>
      <c r="AE4353" s="940"/>
      <c r="AF4353" s="920">
        <f>IF(X4353=X4352,AF4352,0)+IF(ISNUMBER(I4353),IF(I4353&lt;1,I4353,I4353*VLOOKUP(J4353,Summary!$H$2:$I$9,2)),VLOOKUP(J4353,Summary!$J$2:$K$9,2)*IF(ISNUMBER(H4353),H4353,1))</f>
        <v>6.0590277777777778E-2</v>
      </c>
      <c r="AG4353" s="287">
        <v>4352</v>
      </c>
      <c r="AH4353" s="94"/>
      <c r="AI4353" s="94"/>
      <c r="AJ4353" s="43"/>
    </row>
    <row r="4354" spans="1:36" s="7" customFormat="1" ht="12" customHeight="1" x14ac:dyDescent="0.25">
      <c r="A4354" s="405" t="s">
        <v>7525</v>
      </c>
      <c r="B4354" s="596" t="s">
        <v>3227</v>
      </c>
      <c r="C4354" s="510">
        <v>4</v>
      </c>
      <c r="D4354" s="407" t="s">
        <v>7529</v>
      </c>
      <c r="E4354" s="315" t="s">
        <v>7571</v>
      </c>
      <c r="F4354" s="196">
        <v>39997</v>
      </c>
      <c r="G4354" s="196"/>
      <c r="H4354" s="170">
        <v>1</v>
      </c>
      <c r="I4354" s="746">
        <f>TIME(0,43,42)</f>
        <v>3.0347222222222223E-2</v>
      </c>
      <c r="J4354" s="899" t="s">
        <v>4706</v>
      </c>
      <c r="K4354" s="167" t="s">
        <v>4152</v>
      </c>
      <c r="L4354" s="167" t="s">
        <v>7569</v>
      </c>
      <c r="M4354" s="167"/>
      <c r="N4354" s="167"/>
      <c r="O4354" s="167"/>
      <c r="P4354" s="168" t="s">
        <v>8841</v>
      </c>
      <c r="Q4354" s="167" t="s">
        <v>3948</v>
      </c>
      <c r="R4354" s="172" t="s">
        <v>3157</v>
      </c>
      <c r="S4354" s="388"/>
      <c r="T4354" s="168" t="s">
        <v>3068</v>
      </c>
      <c r="U4354" s="168"/>
      <c r="V4354" s="168"/>
      <c r="W4354" s="315" t="s">
        <v>7571</v>
      </c>
      <c r="X4354" s="647" t="s">
        <v>12360</v>
      </c>
      <c r="Y4354" s="352" t="s">
        <v>1650</v>
      </c>
      <c r="Z4354" s="353">
        <v>648</v>
      </c>
      <c r="AA4354" s="353">
        <v>3</v>
      </c>
      <c r="AB4354" s="31">
        <f t="shared" ref="AB4354:AB4417" ca="1" si="112">RAND()</f>
        <v>5.3941624617633854E-3</v>
      </c>
      <c r="AC4354" s="810"/>
      <c r="AD4354" s="825" t="s">
        <v>14585</v>
      </c>
      <c r="AE4354" s="940"/>
      <c r="AF4354" s="920">
        <f>IF(X4354=X4353,AF4353,0)+IF(ISNUMBER(I4354),IF(I4354&lt;1,I4354,I4354*VLOOKUP(J4354,Summary!$H$2:$I$9,2)),VLOOKUP(J4354,Summary!$J$2:$K$9,2)*IF(ISNUMBER(H4354),H4354,1))</f>
        <v>9.0937500000000004E-2</v>
      </c>
      <c r="AG4354" s="287">
        <v>4353</v>
      </c>
      <c r="AH4354" s="94"/>
      <c r="AI4354" s="94"/>
      <c r="AJ4354" s="29"/>
    </row>
    <row r="4355" spans="1:36" s="43" customFormat="1" ht="12" customHeight="1" x14ac:dyDescent="0.25">
      <c r="A4355" s="437" t="s">
        <v>7525</v>
      </c>
      <c r="B4355" s="422" t="s">
        <v>3227</v>
      </c>
      <c r="C4355" s="437">
        <v>15.5</v>
      </c>
      <c r="D4355" s="434" t="s">
        <v>7067</v>
      </c>
      <c r="E4355" s="324" t="s">
        <v>1824</v>
      </c>
      <c r="F4355" s="175">
        <v>40101</v>
      </c>
      <c r="G4355" s="175"/>
      <c r="H4355" s="176">
        <v>1</v>
      </c>
      <c r="I4355" s="176"/>
      <c r="J4355" s="900" t="s">
        <v>2755</v>
      </c>
      <c r="K4355" s="157" t="s">
        <v>4425</v>
      </c>
      <c r="L4355" s="164" t="s">
        <v>461</v>
      </c>
      <c r="M4355" s="157"/>
      <c r="N4355" s="157"/>
      <c r="O4355" s="157"/>
      <c r="P4355" s="173" t="s">
        <v>7069</v>
      </c>
      <c r="Q4355" s="157" t="s">
        <v>3953</v>
      </c>
      <c r="R4355" s="179" t="s">
        <v>2719</v>
      </c>
      <c r="S4355" s="354"/>
      <c r="T4355" s="173" t="s">
        <v>3068</v>
      </c>
      <c r="U4355" s="173"/>
      <c r="V4355" s="173"/>
      <c r="W4355" s="324" t="s">
        <v>1824</v>
      </c>
      <c r="X4355" s="656" t="s">
        <v>12360</v>
      </c>
      <c r="Y4355" s="363"/>
      <c r="Z4355" s="364"/>
      <c r="AA4355" s="364"/>
      <c r="AB4355" s="32">
        <f t="shared" ca="1" si="112"/>
        <v>0.47232406150114437</v>
      </c>
      <c r="AC4355" s="812"/>
      <c r="AD4355" s="842" t="s">
        <v>14585</v>
      </c>
      <c r="AE4355" s="951"/>
      <c r="AF4355" s="921">
        <f>IF(X4355=X4354,AF4354,0)+IF(ISNUMBER(I4355),IF(I4355&lt;1,I4355,I4355*VLOOKUP(J4355,Summary!$H$2:$I$9,2)),VLOOKUP(J4355,Summary!$J$2:$K$9,2)*IF(ISNUMBER(H4355),H4355,1))</f>
        <v>0.10829861111111111</v>
      </c>
      <c r="AG4355" s="288">
        <v>4354</v>
      </c>
      <c r="AH4355" s="94"/>
      <c r="AI4355" s="94"/>
    </row>
    <row r="4356" spans="1:36" s="3" customFormat="1" ht="12" customHeight="1" x14ac:dyDescent="0.25">
      <c r="A4356" s="534" t="s">
        <v>7525</v>
      </c>
      <c r="B4356" s="534" t="s">
        <v>3227</v>
      </c>
      <c r="C4356" s="534">
        <v>15.1</v>
      </c>
      <c r="D4356" s="428" t="s">
        <v>15451</v>
      </c>
      <c r="E4356" s="325" t="s">
        <v>3667</v>
      </c>
      <c r="F4356" s="184">
        <v>39926</v>
      </c>
      <c r="G4356" s="184">
        <v>40164</v>
      </c>
      <c r="H4356" s="185">
        <v>5</v>
      </c>
      <c r="I4356" s="185">
        <v>55</v>
      </c>
      <c r="J4356" s="901" t="s">
        <v>1796</v>
      </c>
      <c r="K4356" s="158" t="s">
        <v>3668</v>
      </c>
      <c r="L4356" s="158" t="s">
        <v>3551</v>
      </c>
      <c r="M4356" s="158"/>
      <c r="N4356" s="158" t="s">
        <v>7078</v>
      </c>
      <c r="O4356" s="158"/>
      <c r="P4356" s="182" t="s">
        <v>461</v>
      </c>
      <c r="Q4356" s="158" t="s">
        <v>7076</v>
      </c>
      <c r="R4356" s="207" t="s">
        <v>74</v>
      </c>
      <c r="S4356" s="355"/>
      <c r="T4356" s="182" t="s">
        <v>3068</v>
      </c>
      <c r="U4356" s="182"/>
      <c r="V4356" s="182"/>
      <c r="W4356" s="321" t="s">
        <v>3667</v>
      </c>
      <c r="X4356" s="653" t="s">
        <v>12360</v>
      </c>
      <c r="Y4356" s="361"/>
      <c r="Z4356" s="362"/>
      <c r="AA4356" s="362"/>
      <c r="AB4356" s="33">
        <f t="shared" ca="1" si="112"/>
        <v>0.34499565205380178</v>
      </c>
      <c r="AC4356" s="813"/>
      <c r="AD4356" s="826" t="s">
        <v>14585</v>
      </c>
      <c r="AE4356" s="949"/>
      <c r="AF4356" s="922">
        <f>IF(X4356=X4355,AF4355,0)+IF(ISNUMBER(I4356),IF(I4356&lt;1,I4356,I4356*VLOOKUP(J4356,Summary!$H$2:$I$9,2)),VLOOKUP(J4356,Summary!$J$2:$K$9,2)*IF(ISNUMBER(H4356),H4356,1))</f>
        <v>0.12739583333333332</v>
      </c>
      <c r="AG4356" s="295">
        <v>4355</v>
      </c>
      <c r="AH4356" s="94"/>
      <c r="AI4356" s="94"/>
      <c r="AJ4356" s="43"/>
    </row>
    <row r="4357" spans="1:36" s="1" customFormat="1" ht="12" customHeight="1" x14ac:dyDescent="0.25">
      <c r="A4357" s="405" t="s">
        <v>7525</v>
      </c>
      <c r="B4357" s="596" t="s">
        <v>3227</v>
      </c>
      <c r="C4357" s="510">
        <v>5</v>
      </c>
      <c r="D4357" s="407" t="s">
        <v>3670</v>
      </c>
      <c r="E4357" s="315" t="s">
        <v>3669</v>
      </c>
      <c r="F4357" s="196">
        <v>40735</v>
      </c>
      <c r="G4357" s="196"/>
      <c r="H4357" s="170">
        <v>1</v>
      </c>
      <c r="I4357" s="746">
        <f>TIME(0,44,10)</f>
        <v>3.0671296296296294E-2</v>
      </c>
      <c r="J4357" s="899" t="s">
        <v>4706</v>
      </c>
      <c r="K4357" s="167" t="s">
        <v>6410</v>
      </c>
      <c r="L4357" s="167" t="s">
        <v>7569</v>
      </c>
      <c r="M4357" s="167"/>
      <c r="N4357" s="167"/>
      <c r="O4357" s="167"/>
      <c r="P4357" s="168" t="s">
        <v>3671</v>
      </c>
      <c r="Q4357" s="167" t="s">
        <v>3948</v>
      </c>
      <c r="R4357" s="172" t="s">
        <v>3157</v>
      </c>
      <c r="S4357" s="388"/>
      <c r="T4357" s="168" t="s">
        <v>3068</v>
      </c>
      <c r="U4357" s="168"/>
      <c r="V4357" s="168"/>
      <c r="W4357" s="315" t="s">
        <v>3669</v>
      </c>
      <c r="X4357" s="647" t="s">
        <v>12360</v>
      </c>
      <c r="Y4357" s="352" t="s">
        <v>5643</v>
      </c>
      <c r="Z4357" s="353">
        <v>2999</v>
      </c>
      <c r="AA4357" s="353"/>
      <c r="AB4357" s="31">
        <f t="shared" ca="1" si="112"/>
        <v>0.69961871727986835</v>
      </c>
      <c r="AC4357" s="810"/>
      <c r="AD4357" s="825" t="s">
        <v>14585</v>
      </c>
      <c r="AE4357" s="940"/>
      <c r="AF4357" s="920">
        <f>IF(X4357=X4356,AF4356,0)+IF(ISNUMBER(I4357),IF(I4357&lt;1,I4357,I4357*VLOOKUP(J4357,Summary!$H$2:$I$9,2)),VLOOKUP(J4357,Summary!$J$2:$K$9,2)*IF(ISNUMBER(H4357),H4357,1))</f>
        <v>0.1580671296296296</v>
      </c>
      <c r="AG4357" s="287">
        <v>4356</v>
      </c>
      <c r="AH4357" s="94"/>
      <c r="AI4357" s="94"/>
      <c r="AJ4357" s="3"/>
    </row>
    <row r="4358" spans="1:36" s="1" customFormat="1" ht="12" customHeight="1" x14ac:dyDescent="0.25">
      <c r="A4358" s="408" t="s">
        <v>7525</v>
      </c>
      <c r="B4358" s="408" t="s">
        <v>3227</v>
      </c>
      <c r="C4358" s="408">
        <v>18.100000000000001</v>
      </c>
      <c r="D4358" s="434" t="s">
        <v>3690</v>
      </c>
      <c r="E4358" s="324" t="s">
        <v>3687</v>
      </c>
      <c r="F4358" s="175">
        <v>40101</v>
      </c>
      <c r="G4358" s="175"/>
      <c r="H4358" s="176">
        <v>1</v>
      </c>
      <c r="I4358" s="176">
        <v>8</v>
      </c>
      <c r="J4358" s="900" t="s">
        <v>2755</v>
      </c>
      <c r="K4358" s="157" t="s">
        <v>1503</v>
      </c>
      <c r="L4358" s="157" t="s">
        <v>4850</v>
      </c>
      <c r="M4358" s="157"/>
      <c r="N4358" s="157" t="s">
        <v>7078</v>
      </c>
      <c r="O4358" s="157"/>
      <c r="P4358" s="173" t="s">
        <v>461</v>
      </c>
      <c r="Q4358" s="157" t="s">
        <v>7076</v>
      </c>
      <c r="R4358" s="179" t="s">
        <v>7077</v>
      </c>
      <c r="S4358" s="354"/>
      <c r="T4358" s="173" t="s">
        <v>3068</v>
      </c>
      <c r="U4358" s="173"/>
      <c r="V4358" s="173"/>
      <c r="W4358" s="324" t="s">
        <v>3687</v>
      </c>
      <c r="X4358" s="656" t="s">
        <v>12360</v>
      </c>
      <c r="Y4358" s="363"/>
      <c r="Z4358" s="364"/>
      <c r="AA4358" s="364"/>
      <c r="AB4358" s="32">
        <f t="shared" ca="1" si="112"/>
        <v>2.1861405254025246E-2</v>
      </c>
      <c r="AC4358" s="812"/>
      <c r="AD4358" s="763"/>
      <c r="AE4358" s="951"/>
      <c r="AF4358" s="921">
        <f>IF(X4358=X4357,AF4357,0)+IF(ISNUMBER(I4358),IF(I4358&lt;1,I4358,I4358*VLOOKUP(J4358,Summary!$H$2:$I$9,2)),VLOOKUP(J4358,Summary!$J$2:$K$9,2)*IF(ISNUMBER(H4358),H4358,1))</f>
        <v>0.16362268518518516</v>
      </c>
      <c r="AG4358" s="288">
        <v>4357</v>
      </c>
      <c r="AH4358" s="94"/>
      <c r="AI4358" s="94"/>
      <c r="AJ4358" s="43"/>
    </row>
    <row r="4359" spans="1:36" s="1" customFormat="1" ht="12" customHeight="1" x14ac:dyDescent="0.25">
      <c r="A4359" s="408" t="s">
        <v>7525</v>
      </c>
      <c r="B4359" s="408" t="s">
        <v>3227</v>
      </c>
      <c r="C4359" s="408">
        <v>18.3</v>
      </c>
      <c r="D4359" s="434" t="s">
        <v>3689</v>
      </c>
      <c r="E4359" s="324" t="s">
        <v>3688</v>
      </c>
      <c r="F4359" s="175">
        <v>40101</v>
      </c>
      <c r="G4359" s="175"/>
      <c r="H4359" s="176">
        <v>1</v>
      </c>
      <c r="I4359" s="176">
        <v>7</v>
      </c>
      <c r="J4359" s="900" t="s">
        <v>2755</v>
      </c>
      <c r="K4359" s="157" t="s">
        <v>4146</v>
      </c>
      <c r="L4359" s="157" t="s">
        <v>7080</v>
      </c>
      <c r="M4359" s="157"/>
      <c r="N4359" s="157" t="s">
        <v>7078</v>
      </c>
      <c r="O4359" s="157"/>
      <c r="P4359" s="173" t="s">
        <v>461</v>
      </c>
      <c r="Q4359" s="157" t="s">
        <v>7076</v>
      </c>
      <c r="R4359" s="179" t="s">
        <v>7077</v>
      </c>
      <c r="S4359" s="354"/>
      <c r="T4359" s="173" t="s">
        <v>3068</v>
      </c>
      <c r="U4359" s="173"/>
      <c r="V4359" s="173"/>
      <c r="W4359" s="324" t="s">
        <v>3688</v>
      </c>
      <c r="X4359" s="656" t="s">
        <v>12360</v>
      </c>
      <c r="Y4359" s="363"/>
      <c r="Z4359" s="364"/>
      <c r="AA4359" s="364"/>
      <c r="AB4359" s="32">
        <f t="shared" ca="1" si="112"/>
        <v>0.73466903826015939</v>
      </c>
      <c r="AC4359" s="812"/>
      <c r="AD4359" s="763"/>
      <c r="AE4359" s="951"/>
      <c r="AF4359" s="921">
        <f>IF(X4359=X4358,AF4358,0)+IF(ISNUMBER(I4359),IF(I4359&lt;1,I4359,I4359*VLOOKUP(J4359,Summary!$H$2:$I$9,2)),VLOOKUP(J4359,Summary!$J$2:$K$9,2)*IF(ISNUMBER(H4359),H4359,1))</f>
        <v>0.16848379629629628</v>
      </c>
      <c r="AG4359" s="288">
        <v>4358</v>
      </c>
      <c r="AH4359" s="94"/>
      <c r="AI4359" s="94"/>
    </row>
    <row r="4360" spans="1:36" s="43" customFormat="1" ht="12" customHeight="1" x14ac:dyDescent="0.25">
      <c r="A4360" s="408" t="s">
        <v>7525</v>
      </c>
      <c r="B4360" s="408" t="s">
        <v>3227</v>
      </c>
      <c r="C4360" s="408">
        <v>19.100000000000001</v>
      </c>
      <c r="D4360" s="434" t="s">
        <v>3685</v>
      </c>
      <c r="E4360" s="324" t="s">
        <v>3683</v>
      </c>
      <c r="F4360" s="175">
        <v>40164</v>
      </c>
      <c r="G4360" s="175"/>
      <c r="H4360" s="176">
        <v>1</v>
      </c>
      <c r="I4360" s="176">
        <v>7</v>
      </c>
      <c r="J4360" s="900" t="s">
        <v>2755</v>
      </c>
      <c r="K4360" s="157" t="s">
        <v>4032</v>
      </c>
      <c r="L4360" s="157" t="s">
        <v>4850</v>
      </c>
      <c r="M4360" s="157"/>
      <c r="N4360" s="157" t="s">
        <v>7078</v>
      </c>
      <c r="O4360" s="157"/>
      <c r="P4360" s="173" t="s">
        <v>461</v>
      </c>
      <c r="Q4360" s="157" t="s">
        <v>7076</v>
      </c>
      <c r="R4360" s="179" t="s">
        <v>7077</v>
      </c>
      <c r="S4360" s="354"/>
      <c r="T4360" s="173" t="s">
        <v>3068</v>
      </c>
      <c r="U4360" s="173"/>
      <c r="V4360" s="173"/>
      <c r="W4360" s="324" t="s">
        <v>3683</v>
      </c>
      <c r="X4360" s="656" t="s">
        <v>12360</v>
      </c>
      <c r="Y4360" s="363"/>
      <c r="Z4360" s="364"/>
      <c r="AA4360" s="364"/>
      <c r="AB4360" s="32">
        <f t="shared" ca="1" si="112"/>
        <v>0.79151693566191117</v>
      </c>
      <c r="AC4360" s="812"/>
      <c r="AD4360" s="763"/>
      <c r="AE4360" s="951"/>
      <c r="AF4360" s="921">
        <f>IF(X4360=X4359,AF4359,0)+IF(ISNUMBER(I4360),IF(I4360&lt;1,I4360,I4360*VLOOKUP(J4360,Summary!$H$2:$I$9,2)),VLOOKUP(J4360,Summary!$J$2:$K$9,2)*IF(ISNUMBER(H4360),H4360,1))</f>
        <v>0.17334490740740741</v>
      </c>
      <c r="AG4360" s="288">
        <v>4359</v>
      </c>
      <c r="AH4360" s="94"/>
      <c r="AI4360" s="94"/>
      <c r="AJ4360" s="29"/>
    </row>
    <row r="4361" spans="1:36" s="3" customFormat="1" ht="12" customHeight="1" x14ac:dyDescent="0.25">
      <c r="A4361" s="408" t="s">
        <v>7525</v>
      </c>
      <c r="B4361" s="408" t="s">
        <v>3227</v>
      </c>
      <c r="C4361" s="408">
        <v>19.3</v>
      </c>
      <c r="D4361" s="434" t="s">
        <v>3686</v>
      </c>
      <c r="E4361" s="324" t="s">
        <v>3684</v>
      </c>
      <c r="F4361" s="175">
        <v>40164</v>
      </c>
      <c r="G4361" s="175"/>
      <c r="H4361" s="176">
        <v>1</v>
      </c>
      <c r="I4361" s="176">
        <v>7</v>
      </c>
      <c r="J4361" s="900" t="s">
        <v>2755</v>
      </c>
      <c r="K4361" s="157" t="s">
        <v>7800</v>
      </c>
      <c r="L4361" s="157" t="s">
        <v>7080</v>
      </c>
      <c r="M4361" s="157"/>
      <c r="N4361" s="157" t="s">
        <v>7078</v>
      </c>
      <c r="O4361" s="157"/>
      <c r="P4361" s="173" t="s">
        <v>461</v>
      </c>
      <c r="Q4361" s="157" t="s">
        <v>7076</v>
      </c>
      <c r="R4361" s="179" t="s">
        <v>7077</v>
      </c>
      <c r="S4361" s="354"/>
      <c r="T4361" s="173" t="s">
        <v>3068</v>
      </c>
      <c r="U4361" s="173"/>
      <c r="V4361" s="173"/>
      <c r="W4361" s="324" t="s">
        <v>3684</v>
      </c>
      <c r="X4361" s="656" t="s">
        <v>12360</v>
      </c>
      <c r="Y4361" s="363"/>
      <c r="Z4361" s="364"/>
      <c r="AA4361" s="364"/>
      <c r="AB4361" s="32">
        <f t="shared" ca="1" si="112"/>
        <v>0.99722492742468505</v>
      </c>
      <c r="AC4361" s="812"/>
      <c r="AD4361" s="763"/>
      <c r="AE4361" s="951"/>
      <c r="AF4361" s="921">
        <f>IF(X4361=X4360,AF4360,0)+IF(ISNUMBER(I4361),IF(I4361&lt;1,I4361,I4361*VLOOKUP(J4361,Summary!$H$2:$I$9,2)),VLOOKUP(J4361,Summary!$J$2:$K$9,2)*IF(ISNUMBER(H4361),H4361,1))</f>
        <v>0.17820601851851853</v>
      </c>
      <c r="AG4361" s="288">
        <v>4360</v>
      </c>
      <c r="AH4361" s="94"/>
      <c r="AI4361" s="94"/>
      <c r="AJ4361" s="7"/>
    </row>
    <row r="4362" spans="1:36" s="3" customFormat="1" ht="12" customHeight="1" x14ac:dyDescent="0.25">
      <c r="A4362" s="534" t="s">
        <v>7525</v>
      </c>
      <c r="B4362" s="534" t="s">
        <v>3227</v>
      </c>
      <c r="C4362" s="534">
        <v>20.2</v>
      </c>
      <c r="D4362" s="428" t="s">
        <v>3693</v>
      </c>
      <c r="E4362" s="325" t="s">
        <v>3691</v>
      </c>
      <c r="F4362" s="184">
        <v>40227</v>
      </c>
      <c r="G4362" s="184"/>
      <c r="H4362" s="185">
        <v>1</v>
      </c>
      <c r="I4362" s="185">
        <v>12</v>
      </c>
      <c r="J4362" s="901" t="s">
        <v>1796</v>
      </c>
      <c r="K4362" s="158" t="s">
        <v>1644</v>
      </c>
      <c r="L4362" s="158" t="s">
        <v>3696</v>
      </c>
      <c r="M4362" s="158" t="s">
        <v>2150</v>
      </c>
      <c r="N4362" s="158" t="s">
        <v>7078</v>
      </c>
      <c r="O4362" s="158"/>
      <c r="P4362" s="182" t="s">
        <v>461</v>
      </c>
      <c r="Q4362" s="158" t="s">
        <v>7076</v>
      </c>
      <c r="R4362" s="207" t="s">
        <v>74</v>
      </c>
      <c r="S4362" s="355"/>
      <c r="T4362" s="182" t="s">
        <v>3068</v>
      </c>
      <c r="U4362" s="182"/>
      <c r="V4362" s="182"/>
      <c r="W4362" s="325" t="s">
        <v>3691</v>
      </c>
      <c r="X4362" s="657" t="s">
        <v>12360</v>
      </c>
      <c r="Y4362" s="361"/>
      <c r="Z4362" s="362"/>
      <c r="AA4362" s="362"/>
      <c r="AB4362" s="33">
        <f t="shared" ca="1" si="112"/>
        <v>3.3348858312632346E-2</v>
      </c>
      <c r="AC4362" s="813"/>
      <c r="AD4362" s="826" t="s">
        <v>14585</v>
      </c>
      <c r="AE4362" s="949"/>
      <c r="AF4362" s="922">
        <f>IF(X4362=X4361,AF4361,0)+IF(ISNUMBER(I4362),IF(I4362&lt;1,I4362,I4362*VLOOKUP(J4362,Summary!$H$2:$I$9,2)),VLOOKUP(J4362,Summary!$J$2:$K$9,2)*IF(ISNUMBER(H4362),H4362,1))</f>
        <v>0.18237268518518521</v>
      </c>
      <c r="AG4362" s="295">
        <v>4361</v>
      </c>
      <c r="AH4362" s="94"/>
      <c r="AI4362" s="94"/>
      <c r="AJ4362" s="1"/>
    </row>
    <row r="4363" spans="1:36" s="2" customFormat="1" ht="12" customHeight="1" x14ac:dyDescent="0.25">
      <c r="A4363" s="408" t="s">
        <v>7525</v>
      </c>
      <c r="B4363" s="408" t="s">
        <v>3227</v>
      </c>
      <c r="C4363" s="408">
        <v>20.100000000000001</v>
      </c>
      <c r="D4363" s="434" t="s">
        <v>3694</v>
      </c>
      <c r="E4363" s="324" t="s">
        <v>3692</v>
      </c>
      <c r="F4363" s="175">
        <v>40227</v>
      </c>
      <c r="G4363" s="175"/>
      <c r="H4363" s="176">
        <v>1</v>
      </c>
      <c r="I4363" s="176">
        <v>6</v>
      </c>
      <c r="J4363" s="900" t="s">
        <v>2755</v>
      </c>
      <c r="K4363" s="157" t="s">
        <v>1825</v>
      </c>
      <c r="L4363" s="157" t="s">
        <v>3551</v>
      </c>
      <c r="M4363" s="157"/>
      <c r="N4363" s="157" t="s">
        <v>7078</v>
      </c>
      <c r="O4363" s="157"/>
      <c r="P4363" s="173" t="s">
        <v>461</v>
      </c>
      <c r="Q4363" s="157" t="s">
        <v>7076</v>
      </c>
      <c r="R4363" s="179" t="s">
        <v>7077</v>
      </c>
      <c r="S4363" s="354"/>
      <c r="T4363" s="173" t="s">
        <v>3068</v>
      </c>
      <c r="U4363" s="173"/>
      <c r="V4363" s="173"/>
      <c r="W4363" s="324" t="s">
        <v>3692</v>
      </c>
      <c r="X4363" s="656" t="s">
        <v>12360</v>
      </c>
      <c r="Y4363" s="363"/>
      <c r="Z4363" s="364"/>
      <c r="AA4363" s="364"/>
      <c r="AB4363" s="32">
        <f t="shared" ca="1" si="112"/>
        <v>0.23758590030419569</v>
      </c>
      <c r="AC4363" s="812"/>
      <c r="AD4363" s="842" t="s">
        <v>14936</v>
      </c>
      <c r="AE4363" s="951" t="s">
        <v>15902</v>
      </c>
      <c r="AF4363" s="921">
        <f>IF(X4363=X4362,AF4362,0)+IF(ISNUMBER(I4363),IF(I4363&lt;1,I4363,I4363*VLOOKUP(J4363,Summary!$H$2:$I$9,2)),VLOOKUP(J4363,Summary!$J$2:$K$9,2)*IF(ISNUMBER(H4363),H4363,1))</f>
        <v>0.18653935185185189</v>
      </c>
      <c r="AG4363" s="288">
        <v>4362</v>
      </c>
      <c r="AH4363" s="94"/>
      <c r="AI4363" s="94"/>
      <c r="AJ4363" s="3"/>
    </row>
    <row r="4364" spans="1:36" s="43" customFormat="1" ht="12" customHeight="1" x14ac:dyDescent="0.25">
      <c r="A4364" s="408" t="s">
        <v>7525</v>
      </c>
      <c r="B4364" s="408" t="s">
        <v>3227</v>
      </c>
      <c r="C4364" s="408">
        <v>20.3</v>
      </c>
      <c r="D4364" s="434" t="s">
        <v>3695</v>
      </c>
      <c r="E4364" s="324" t="s">
        <v>6815</v>
      </c>
      <c r="F4364" s="175">
        <v>40227</v>
      </c>
      <c r="G4364" s="175"/>
      <c r="H4364" s="176">
        <v>1</v>
      </c>
      <c r="I4364" s="176">
        <v>7</v>
      </c>
      <c r="J4364" s="900" t="s">
        <v>2755</v>
      </c>
      <c r="K4364" s="157" t="s">
        <v>4033</v>
      </c>
      <c r="L4364" s="157" t="s">
        <v>7080</v>
      </c>
      <c r="M4364" s="157"/>
      <c r="N4364" s="157" t="s">
        <v>7078</v>
      </c>
      <c r="O4364" s="157"/>
      <c r="P4364" s="173" t="s">
        <v>461</v>
      </c>
      <c r="Q4364" s="157" t="s">
        <v>7076</v>
      </c>
      <c r="R4364" s="179" t="s">
        <v>7077</v>
      </c>
      <c r="S4364" s="354"/>
      <c r="T4364" s="173" t="s">
        <v>3068</v>
      </c>
      <c r="U4364" s="173"/>
      <c r="V4364" s="173"/>
      <c r="W4364" s="324" t="s">
        <v>6815</v>
      </c>
      <c r="X4364" s="656" t="s">
        <v>12360</v>
      </c>
      <c r="Y4364" s="363"/>
      <c r="Z4364" s="364"/>
      <c r="AA4364" s="364"/>
      <c r="AB4364" s="32">
        <f t="shared" ca="1" si="112"/>
        <v>0.70286119297258676</v>
      </c>
      <c r="AC4364" s="812"/>
      <c r="AD4364" s="763"/>
      <c r="AE4364" s="951"/>
      <c r="AF4364" s="921">
        <f>IF(X4364=X4363,AF4363,0)+IF(ISNUMBER(I4364),IF(I4364&lt;1,I4364,I4364*VLOOKUP(J4364,Summary!$H$2:$I$9,2)),VLOOKUP(J4364,Summary!$J$2:$K$9,2)*IF(ISNUMBER(H4364),H4364,1))</f>
        <v>0.19140046296296301</v>
      </c>
      <c r="AG4364" s="288">
        <v>4363</v>
      </c>
      <c r="AH4364" s="94"/>
      <c r="AI4364" s="94"/>
      <c r="AJ4364" s="1"/>
    </row>
    <row r="4365" spans="1:36" s="43" customFormat="1" ht="12" customHeight="1" x14ac:dyDescent="0.25">
      <c r="A4365" s="534" t="s">
        <v>7525</v>
      </c>
      <c r="B4365" s="534" t="s">
        <v>3227</v>
      </c>
      <c r="C4365" s="534"/>
      <c r="D4365" s="428" t="s">
        <v>7663</v>
      </c>
      <c r="E4365" s="325" t="s">
        <v>7659</v>
      </c>
      <c r="F4365" s="183">
        <v>40210</v>
      </c>
      <c r="G4365" s="184"/>
      <c r="H4365" s="185">
        <v>1</v>
      </c>
      <c r="I4365" s="185">
        <v>4</v>
      </c>
      <c r="J4365" s="901" t="s">
        <v>1796</v>
      </c>
      <c r="K4365" s="158" t="s">
        <v>1641</v>
      </c>
      <c r="L4365" s="158" t="s">
        <v>3543</v>
      </c>
      <c r="M4365" s="158"/>
      <c r="N4365" s="158"/>
      <c r="O4365" s="158"/>
      <c r="P4365" s="182" t="s">
        <v>461</v>
      </c>
      <c r="Q4365" s="158" t="s">
        <v>7660</v>
      </c>
      <c r="R4365" s="207" t="s">
        <v>7896</v>
      </c>
      <c r="S4365" s="355"/>
      <c r="T4365" s="182" t="s">
        <v>3068</v>
      </c>
      <c r="U4365" s="182"/>
      <c r="V4365" s="182"/>
      <c r="W4365" s="325" t="s">
        <v>7659</v>
      </c>
      <c r="X4365" s="657" t="s">
        <v>12360</v>
      </c>
      <c r="Y4365" s="361"/>
      <c r="Z4365" s="362"/>
      <c r="AA4365" s="362"/>
      <c r="AB4365" s="33">
        <f t="shared" ca="1" si="112"/>
        <v>0.48041512608197223</v>
      </c>
      <c r="AC4365" s="813"/>
      <c r="AD4365" s="826" t="s">
        <v>14585</v>
      </c>
      <c r="AE4365" s="949"/>
      <c r="AF4365" s="922">
        <f>IF(X4365=X4364,AF4364,0)+IF(ISNUMBER(I4365),IF(I4365&lt;1,I4365,I4365*VLOOKUP(J4365,Summary!$H$2:$I$9,2)),VLOOKUP(J4365,Summary!$J$2:$K$9,2)*IF(ISNUMBER(H4365),H4365,1))</f>
        <v>0.19278935185185189</v>
      </c>
      <c r="AG4365" s="295">
        <v>4364</v>
      </c>
      <c r="AH4365" s="94"/>
      <c r="AI4365" s="94"/>
      <c r="AJ4365" s="1"/>
    </row>
    <row r="4366" spans="1:36" s="29" customFormat="1" ht="12" customHeight="1" x14ac:dyDescent="0.25">
      <c r="A4366" s="408" t="s">
        <v>7525</v>
      </c>
      <c r="B4366" s="408" t="s">
        <v>3227</v>
      </c>
      <c r="C4366" s="408">
        <v>21.1</v>
      </c>
      <c r="D4366" s="434" t="s">
        <v>109</v>
      </c>
      <c r="E4366" s="324" t="s">
        <v>107</v>
      </c>
      <c r="F4366" s="175">
        <v>40283</v>
      </c>
      <c r="G4366" s="175"/>
      <c r="H4366" s="176">
        <v>1</v>
      </c>
      <c r="I4366" s="176">
        <v>6</v>
      </c>
      <c r="J4366" s="900" t="s">
        <v>2755</v>
      </c>
      <c r="K4366" s="157" t="s">
        <v>1826</v>
      </c>
      <c r="L4366" s="157" t="s">
        <v>4850</v>
      </c>
      <c r="M4366" s="157"/>
      <c r="N4366" s="157" t="s">
        <v>7078</v>
      </c>
      <c r="O4366" s="157"/>
      <c r="P4366" s="173" t="s">
        <v>461</v>
      </c>
      <c r="Q4366" s="157" t="s">
        <v>7076</v>
      </c>
      <c r="R4366" s="179" t="s">
        <v>7077</v>
      </c>
      <c r="S4366" s="354"/>
      <c r="T4366" s="173" t="s">
        <v>3068</v>
      </c>
      <c r="U4366" s="173"/>
      <c r="V4366" s="173"/>
      <c r="W4366" s="324" t="s">
        <v>107</v>
      </c>
      <c r="X4366" s="656" t="s">
        <v>12360</v>
      </c>
      <c r="Y4366" s="363"/>
      <c r="Z4366" s="364"/>
      <c r="AA4366" s="364"/>
      <c r="AB4366" s="32">
        <f t="shared" ca="1" si="112"/>
        <v>4.4813208532422544E-2</v>
      </c>
      <c r="AC4366" s="812"/>
      <c r="AD4366" s="763"/>
      <c r="AE4366" s="951"/>
      <c r="AF4366" s="921">
        <f>IF(X4366=X4365,AF4365,0)+IF(ISNUMBER(I4366),IF(I4366&lt;1,I4366,I4366*VLOOKUP(J4366,Summary!$H$2:$I$9,2)),VLOOKUP(J4366,Summary!$J$2:$K$9,2)*IF(ISNUMBER(H4366),H4366,1))</f>
        <v>0.19695601851851857</v>
      </c>
      <c r="AG4366" s="288">
        <v>4365</v>
      </c>
      <c r="AH4366" s="94"/>
      <c r="AI4366" s="94"/>
      <c r="AJ4366" s="1"/>
    </row>
    <row r="4367" spans="1:36" s="3" customFormat="1" ht="12" customHeight="1" x14ac:dyDescent="0.25">
      <c r="A4367" s="408" t="s">
        <v>7525</v>
      </c>
      <c r="B4367" s="408" t="s">
        <v>3227</v>
      </c>
      <c r="C4367" s="408">
        <v>21.3</v>
      </c>
      <c r="D4367" s="434" t="s">
        <v>110</v>
      </c>
      <c r="E4367" s="324" t="s">
        <v>108</v>
      </c>
      <c r="F4367" s="175">
        <v>40283</v>
      </c>
      <c r="G4367" s="175"/>
      <c r="H4367" s="176">
        <v>1</v>
      </c>
      <c r="I4367" s="176">
        <v>7</v>
      </c>
      <c r="J4367" s="900" t="s">
        <v>2755</v>
      </c>
      <c r="K4367" s="157" t="s">
        <v>111</v>
      </c>
      <c r="L4367" s="157" t="s">
        <v>7080</v>
      </c>
      <c r="M4367" s="157"/>
      <c r="N4367" s="157" t="s">
        <v>7078</v>
      </c>
      <c r="O4367" s="157"/>
      <c r="P4367" s="173" t="s">
        <v>461</v>
      </c>
      <c r="Q4367" s="157" t="s">
        <v>7076</v>
      </c>
      <c r="R4367" s="179" t="s">
        <v>7077</v>
      </c>
      <c r="S4367" s="354"/>
      <c r="T4367" s="173" t="s">
        <v>3068</v>
      </c>
      <c r="U4367" s="173"/>
      <c r="V4367" s="173"/>
      <c r="W4367" s="324" t="s">
        <v>108</v>
      </c>
      <c r="X4367" s="656" t="s">
        <v>12360</v>
      </c>
      <c r="Y4367" s="363"/>
      <c r="Z4367" s="364"/>
      <c r="AA4367" s="364"/>
      <c r="AB4367" s="32">
        <f t="shared" ca="1" si="112"/>
        <v>0.77615304424493081</v>
      </c>
      <c r="AC4367" s="812"/>
      <c r="AD4367" s="763"/>
      <c r="AE4367" s="951"/>
      <c r="AF4367" s="921">
        <f>IF(X4367=X4366,AF4366,0)+IF(ISNUMBER(I4367),IF(I4367&lt;1,I4367,I4367*VLOOKUP(J4367,Summary!$H$2:$I$9,2)),VLOOKUP(J4367,Summary!$J$2:$K$9,2)*IF(ISNUMBER(H4367),H4367,1))</f>
        <v>0.20181712962962969</v>
      </c>
      <c r="AG4367" s="288">
        <v>4366</v>
      </c>
      <c r="AH4367" s="94"/>
      <c r="AI4367" s="94"/>
      <c r="AJ4367" s="1"/>
    </row>
    <row r="4368" spans="1:36" s="2" customFormat="1" ht="12" customHeight="1" x14ac:dyDescent="0.25">
      <c r="A4368" s="408" t="s">
        <v>7525</v>
      </c>
      <c r="B4368" s="408" t="s">
        <v>3227</v>
      </c>
      <c r="C4368" s="408">
        <v>22.1</v>
      </c>
      <c r="D4368" s="434" t="s">
        <v>15445</v>
      </c>
      <c r="E4368" s="324" t="s">
        <v>112</v>
      </c>
      <c r="F4368" s="175">
        <v>40353</v>
      </c>
      <c r="G4368" s="175"/>
      <c r="H4368" s="176">
        <v>1</v>
      </c>
      <c r="I4368" s="176">
        <v>7</v>
      </c>
      <c r="J4368" s="900" t="s">
        <v>2755</v>
      </c>
      <c r="K4368" s="157" t="s">
        <v>1643</v>
      </c>
      <c r="L4368" s="157" t="s">
        <v>4850</v>
      </c>
      <c r="M4368" s="157"/>
      <c r="N4368" s="157" t="s">
        <v>7078</v>
      </c>
      <c r="O4368" s="157"/>
      <c r="P4368" s="173" t="s">
        <v>461</v>
      </c>
      <c r="Q4368" s="157" t="s">
        <v>7076</v>
      </c>
      <c r="R4368" s="179" t="s">
        <v>7077</v>
      </c>
      <c r="S4368" s="354"/>
      <c r="T4368" s="173" t="s">
        <v>3068</v>
      </c>
      <c r="U4368" s="173"/>
      <c r="V4368" s="173"/>
      <c r="W4368" s="324" t="s">
        <v>112</v>
      </c>
      <c r="X4368" s="656" t="s">
        <v>12360</v>
      </c>
      <c r="Y4368" s="363"/>
      <c r="Z4368" s="364"/>
      <c r="AA4368" s="364"/>
      <c r="AB4368" s="32">
        <f t="shared" ca="1" si="112"/>
        <v>0.74560600671046784</v>
      </c>
      <c r="AC4368" s="812"/>
      <c r="AD4368" s="763"/>
      <c r="AE4368" s="951"/>
      <c r="AF4368" s="921">
        <f>IF(X4368=X4367,AF4367,0)+IF(ISNUMBER(I4368),IF(I4368&lt;1,I4368,I4368*VLOOKUP(J4368,Summary!$H$2:$I$9,2)),VLOOKUP(J4368,Summary!$J$2:$K$9,2)*IF(ISNUMBER(H4368),H4368,1))</f>
        <v>0.20667824074074082</v>
      </c>
      <c r="AG4368" s="288">
        <v>4367</v>
      </c>
      <c r="AH4368" s="94"/>
      <c r="AI4368" s="94"/>
    </row>
    <row r="4369" spans="1:36" s="29" customFormat="1" ht="12" customHeight="1" x14ac:dyDescent="0.25">
      <c r="A4369" s="408" t="s">
        <v>7525</v>
      </c>
      <c r="B4369" s="408" t="s">
        <v>3227</v>
      </c>
      <c r="C4369" s="408">
        <v>22.2</v>
      </c>
      <c r="D4369" s="434" t="s">
        <v>15446</v>
      </c>
      <c r="E4369" s="324" t="s">
        <v>15444</v>
      </c>
      <c r="F4369" s="175">
        <v>40353</v>
      </c>
      <c r="G4369" s="175"/>
      <c r="H4369" s="176">
        <v>1</v>
      </c>
      <c r="I4369" s="176">
        <v>2</v>
      </c>
      <c r="J4369" s="900" t="s">
        <v>2755</v>
      </c>
      <c r="K4369" s="157" t="s">
        <v>119</v>
      </c>
      <c r="L4369" s="157" t="s">
        <v>3551</v>
      </c>
      <c r="M4369" s="157"/>
      <c r="N4369" s="157" t="s">
        <v>7078</v>
      </c>
      <c r="O4369" s="157"/>
      <c r="P4369" s="173" t="s">
        <v>461</v>
      </c>
      <c r="Q4369" s="157" t="s">
        <v>7076</v>
      </c>
      <c r="R4369" s="179" t="s">
        <v>7077</v>
      </c>
      <c r="S4369" s="354"/>
      <c r="T4369" s="173" t="s">
        <v>3068</v>
      </c>
      <c r="U4369" s="173"/>
      <c r="V4369" s="173"/>
      <c r="W4369" s="324" t="s">
        <v>113</v>
      </c>
      <c r="X4369" s="656" t="s">
        <v>12360</v>
      </c>
      <c r="Y4369" s="363"/>
      <c r="Z4369" s="364"/>
      <c r="AA4369" s="364"/>
      <c r="AB4369" s="32">
        <f t="shared" ca="1" si="112"/>
        <v>0.64484569101643785</v>
      </c>
      <c r="AC4369" s="812"/>
      <c r="AD4369" s="763"/>
      <c r="AE4369" s="951"/>
      <c r="AF4369" s="921">
        <f>IF(X4369=X4368,AF4368,0)+IF(ISNUMBER(I4369),IF(I4369&lt;1,I4369,I4369*VLOOKUP(J4369,Summary!$H$2:$I$9,2)),VLOOKUP(J4369,Summary!$J$2:$K$9,2)*IF(ISNUMBER(H4369),H4369,1))</f>
        <v>0.2080671296296297</v>
      </c>
      <c r="AG4369" s="288">
        <v>4368</v>
      </c>
      <c r="AH4369" s="94"/>
      <c r="AI4369" s="94"/>
      <c r="AJ4369" s="2"/>
    </row>
    <row r="4370" spans="1:36" s="29" customFormat="1" ht="12" customHeight="1" x14ac:dyDescent="0.25">
      <c r="A4370" s="408" t="s">
        <v>7525</v>
      </c>
      <c r="B4370" s="408" t="s">
        <v>3227</v>
      </c>
      <c r="C4370" s="408">
        <v>22.3</v>
      </c>
      <c r="D4370" s="434" t="s">
        <v>15447</v>
      </c>
      <c r="E4370" s="324" t="s">
        <v>15443</v>
      </c>
      <c r="F4370" s="175">
        <v>40353</v>
      </c>
      <c r="G4370" s="175"/>
      <c r="H4370" s="176">
        <v>1</v>
      </c>
      <c r="I4370" s="176">
        <v>2</v>
      </c>
      <c r="J4370" s="900" t="s">
        <v>2755</v>
      </c>
      <c r="K4370" s="157" t="s">
        <v>118</v>
      </c>
      <c r="L4370" s="157" t="s">
        <v>3551</v>
      </c>
      <c r="M4370" s="157"/>
      <c r="N4370" s="157" t="s">
        <v>7078</v>
      </c>
      <c r="O4370" s="157"/>
      <c r="P4370" s="173" t="s">
        <v>461</v>
      </c>
      <c r="Q4370" s="157" t="s">
        <v>7076</v>
      </c>
      <c r="R4370" s="179" t="s">
        <v>7077</v>
      </c>
      <c r="S4370" s="354"/>
      <c r="T4370" s="173" t="s">
        <v>3068</v>
      </c>
      <c r="U4370" s="173"/>
      <c r="V4370" s="173"/>
      <c r="W4370" s="324" t="s">
        <v>114</v>
      </c>
      <c r="X4370" s="656" t="s">
        <v>12360</v>
      </c>
      <c r="Y4370" s="363"/>
      <c r="Z4370" s="364"/>
      <c r="AA4370" s="364"/>
      <c r="AB4370" s="32">
        <f t="shared" ca="1" si="112"/>
        <v>0.20768367025579815</v>
      </c>
      <c r="AC4370" s="812"/>
      <c r="AD4370" s="763"/>
      <c r="AE4370" s="951"/>
      <c r="AF4370" s="921">
        <f>IF(X4370=X4369,AF4369,0)+IF(ISNUMBER(I4370),IF(I4370&lt;1,I4370,I4370*VLOOKUP(J4370,Summary!$H$2:$I$9,2)),VLOOKUP(J4370,Summary!$J$2:$K$9,2)*IF(ISNUMBER(H4370),H4370,1))</f>
        <v>0.20945601851851858</v>
      </c>
      <c r="AG4370" s="288">
        <v>4369</v>
      </c>
      <c r="AH4370" s="94"/>
      <c r="AI4370" s="94"/>
      <c r="AJ4370" s="43"/>
    </row>
    <row r="4371" spans="1:36" s="29" customFormat="1" ht="12" customHeight="1" x14ac:dyDescent="0.25">
      <c r="A4371" s="408" t="s">
        <v>7525</v>
      </c>
      <c r="B4371" s="408" t="s">
        <v>3227</v>
      </c>
      <c r="C4371" s="408">
        <v>22.4</v>
      </c>
      <c r="D4371" s="434" t="s">
        <v>15448</v>
      </c>
      <c r="E4371" s="324" t="s">
        <v>115</v>
      </c>
      <c r="F4371" s="175">
        <v>40353</v>
      </c>
      <c r="G4371" s="175"/>
      <c r="H4371" s="176">
        <v>1</v>
      </c>
      <c r="I4371" s="176">
        <v>2</v>
      </c>
      <c r="J4371" s="900" t="s">
        <v>2755</v>
      </c>
      <c r="K4371" s="157" t="s">
        <v>117</v>
      </c>
      <c r="L4371" s="157" t="s">
        <v>3551</v>
      </c>
      <c r="M4371" s="157"/>
      <c r="N4371" s="157" t="s">
        <v>7078</v>
      </c>
      <c r="O4371" s="157"/>
      <c r="P4371" s="173" t="s">
        <v>461</v>
      </c>
      <c r="Q4371" s="157" t="s">
        <v>7076</v>
      </c>
      <c r="R4371" s="179" t="s">
        <v>7077</v>
      </c>
      <c r="S4371" s="354"/>
      <c r="T4371" s="173" t="s">
        <v>3068</v>
      </c>
      <c r="U4371" s="173"/>
      <c r="V4371" s="173"/>
      <c r="W4371" s="324" t="s">
        <v>115</v>
      </c>
      <c r="X4371" s="656" t="s">
        <v>12360</v>
      </c>
      <c r="Y4371" s="363"/>
      <c r="Z4371" s="364"/>
      <c r="AA4371" s="364"/>
      <c r="AB4371" s="32">
        <f t="shared" ca="1" si="112"/>
        <v>0.61715390623574362</v>
      </c>
      <c r="AC4371" s="812"/>
      <c r="AD4371" s="763"/>
      <c r="AE4371" s="951"/>
      <c r="AF4371" s="921">
        <f>IF(X4371=X4370,AF4370,0)+IF(ISNUMBER(I4371),IF(I4371&lt;1,I4371,I4371*VLOOKUP(J4371,Summary!$H$2:$I$9,2)),VLOOKUP(J4371,Summary!$J$2:$K$9,2)*IF(ISNUMBER(H4371),H4371,1))</f>
        <v>0.21084490740740747</v>
      </c>
      <c r="AG4371" s="288">
        <v>4370</v>
      </c>
      <c r="AH4371" s="94"/>
      <c r="AI4371" s="94"/>
      <c r="AJ4371" s="43"/>
    </row>
    <row r="4372" spans="1:36" s="29" customFormat="1" ht="12" customHeight="1" x14ac:dyDescent="0.25">
      <c r="A4372" s="408" t="s">
        <v>7525</v>
      </c>
      <c r="B4372" s="408" t="s">
        <v>3227</v>
      </c>
      <c r="C4372" s="408">
        <v>22.6</v>
      </c>
      <c r="D4372" s="434" t="s">
        <v>15449</v>
      </c>
      <c r="E4372" s="324" t="s">
        <v>116</v>
      </c>
      <c r="F4372" s="175">
        <v>40353</v>
      </c>
      <c r="G4372" s="175"/>
      <c r="H4372" s="176">
        <v>1</v>
      </c>
      <c r="I4372" s="176">
        <v>7</v>
      </c>
      <c r="J4372" s="900" t="s">
        <v>2755</v>
      </c>
      <c r="K4372" s="157" t="s">
        <v>7800</v>
      </c>
      <c r="L4372" s="157" t="s">
        <v>7080</v>
      </c>
      <c r="M4372" s="157"/>
      <c r="N4372" s="157" t="s">
        <v>7078</v>
      </c>
      <c r="O4372" s="157"/>
      <c r="P4372" s="173" t="s">
        <v>461</v>
      </c>
      <c r="Q4372" s="157" t="s">
        <v>7076</v>
      </c>
      <c r="R4372" s="179" t="s">
        <v>7077</v>
      </c>
      <c r="S4372" s="354"/>
      <c r="T4372" s="173" t="s">
        <v>3068</v>
      </c>
      <c r="U4372" s="173"/>
      <c r="V4372" s="173"/>
      <c r="W4372" s="324" t="s">
        <v>116</v>
      </c>
      <c r="X4372" s="656" t="s">
        <v>12360</v>
      </c>
      <c r="Y4372" s="363"/>
      <c r="Z4372" s="364"/>
      <c r="AA4372" s="364"/>
      <c r="AB4372" s="32">
        <f t="shared" ca="1" si="112"/>
        <v>0.10391576915758649</v>
      </c>
      <c r="AC4372" s="812"/>
      <c r="AD4372" s="763"/>
      <c r="AE4372" s="951"/>
      <c r="AF4372" s="921">
        <f>IF(X4372=X4371,AF4371,0)+IF(ISNUMBER(I4372),IF(I4372&lt;1,I4372,I4372*VLOOKUP(J4372,Summary!$H$2:$I$9,2)),VLOOKUP(J4372,Summary!$J$2:$K$9,2)*IF(ISNUMBER(H4372),H4372,1))</f>
        <v>0.21570601851851859</v>
      </c>
      <c r="AG4372" s="288">
        <v>4371</v>
      </c>
      <c r="AH4372" s="94"/>
      <c r="AI4372" s="94"/>
    </row>
    <row r="4373" spans="1:36" s="29" customFormat="1" ht="12" customHeight="1" x14ac:dyDescent="0.25">
      <c r="A4373" s="408" t="s">
        <v>7525</v>
      </c>
      <c r="B4373" s="408" t="s">
        <v>3227</v>
      </c>
      <c r="C4373" s="408">
        <v>23.2</v>
      </c>
      <c r="D4373" s="434" t="s">
        <v>87</v>
      </c>
      <c r="E4373" s="324" t="s">
        <v>85</v>
      </c>
      <c r="F4373" s="175">
        <v>40409</v>
      </c>
      <c r="G4373" s="175"/>
      <c r="H4373" s="176">
        <v>1</v>
      </c>
      <c r="I4373" s="176">
        <v>7</v>
      </c>
      <c r="J4373" s="900" t="s">
        <v>2755</v>
      </c>
      <c r="K4373" s="157" t="s">
        <v>1826</v>
      </c>
      <c r="L4373" s="157" t="s">
        <v>4850</v>
      </c>
      <c r="M4373" s="157"/>
      <c r="N4373" s="157" t="s">
        <v>7078</v>
      </c>
      <c r="O4373" s="157"/>
      <c r="P4373" s="173" t="s">
        <v>461</v>
      </c>
      <c r="Q4373" s="157" t="s">
        <v>7076</v>
      </c>
      <c r="R4373" s="179" t="s">
        <v>7077</v>
      </c>
      <c r="S4373" s="354"/>
      <c r="T4373" s="173" t="s">
        <v>3068</v>
      </c>
      <c r="U4373" s="173"/>
      <c r="V4373" s="173"/>
      <c r="W4373" s="324" t="s">
        <v>85</v>
      </c>
      <c r="X4373" s="656" t="s">
        <v>12360</v>
      </c>
      <c r="Y4373" s="363"/>
      <c r="Z4373" s="364"/>
      <c r="AA4373" s="364"/>
      <c r="AB4373" s="32">
        <f t="shared" ca="1" si="112"/>
        <v>0.70232906227662983</v>
      </c>
      <c r="AC4373" s="812"/>
      <c r="AD4373" s="763"/>
      <c r="AE4373" s="951"/>
      <c r="AF4373" s="921">
        <f>IF(X4373=X4372,AF4372,0)+IF(ISNUMBER(I4373),IF(I4373&lt;1,I4373,I4373*VLOOKUP(J4373,Summary!$H$2:$I$9,2)),VLOOKUP(J4373,Summary!$J$2:$K$9,2)*IF(ISNUMBER(H4373),H4373,1))</f>
        <v>0.22056712962962971</v>
      </c>
      <c r="AG4373" s="288">
        <v>4372</v>
      </c>
      <c r="AH4373" s="94"/>
      <c r="AI4373" s="94"/>
    </row>
    <row r="4374" spans="1:36" s="29" customFormat="1" ht="12" customHeight="1" x14ac:dyDescent="0.25">
      <c r="A4374" s="534" t="s">
        <v>7525</v>
      </c>
      <c r="B4374" s="534" t="s">
        <v>3227</v>
      </c>
      <c r="C4374" s="534">
        <v>23.3</v>
      </c>
      <c r="D4374" s="428" t="s">
        <v>88</v>
      </c>
      <c r="E4374" s="325" t="s">
        <v>86</v>
      </c>
      <c r="F4374" s="184">
        <v>40409</v>
      </c>
      <c r="G4374" s="184"/>
      <c r="H4374" s="185">
        <v>1</v>
      </c>
      <c r="I4374" s="185">
        <v>11</v>
      </c>
      <c r="J4374" s="901" t="s">
        <v>1796</v>
      </c>
      <c r="K4374" s="158" t="s">
        <v>4147</v>
      </c>
      <c r="L4374" s="158" t="s">
        <v>90</v>
      </c>
      <c r="M4374" s="158"/>
      <c r="N4374" s="158" t="s">
        <v>7078</v>
      </c>
      <c r="O4374" s="158"/>
      <c r="P4374" s="182" t="s">
        <v>461</v>
      </c>
      <c r="Q4374" s="158" t="s">
        <v>7076</v>
      </c>
      <c r="R4374" s="207" t="s">
        <v>74</v>
      </c>
      <c r="S4374" s="355"/>
      <c r="T4374" s="182" t="s">
        <v>3068</v>
      </c>
      <c r="U4374" s="182"/>
      <c r="V4374" s="182"/>
      <c r="W4374" s="325" t="s">
        <v>86</v>
      </c>
      <c r="X4374" s="657" t="s">
        <v>12360</v>
      </c>
      <c r="Y4374" s="361"/>
      <c r="Z4374" s="362"/>
      <c r="AA4374" s="362"/>
      <c r="AB4374" s="33">
        <f t="shared" ca="1" si="112"/>
        <v>0.23044236997690359</v>
      </c>
      <c r="AC4374" s="813"/>
      <c r="AD4374" s="826" t="s">
        <v>14585</v>
      </c>
      <c r="AE4374" s="949"/>
      <c r="AF4374" s="922">
        <f>IF(X4374=X4373,AF4373,0)+IF(ISNUMBER(I4374),IF(I4374&lt;1,I4374,I4374*VLOOKUP(J4374,Summary!$H$2:$I$9,2)),VLOOKUP(J4374,Summary!$J$2:$K$9,2)*IF(ISNUMBER(H4374),H4374,1))</f>
        <v>0.22438657407407414</v>
      </c>
      <c r="AG4374" s="295">
        <v>4373</v>
      </c>
      <c r="AH4374" s="94"/>
      <c r="AI4374" s="94"/>
    </row>
    <row r="4375" spans="1:36" s="2" customFormat="1" ht="12" customHeight="1" x14ac:dyDescent="0.25">
      <c r="A4375" s="408" t="s">
        <v>7525</v>
      </c>
      <c r="B4375" s="408" t="s">
        <v>3227</v>
      </c>
      <c r="C4375" s="408">
        <v>23.4</v>
      </c>
      <c r="D4375" s="434" t="s">
        <v>89</v>
      </c>
      <c r="E4375" s="324" t="s">
        <v>84</v>
      </c>
      <c r="F4375" s="175">
        <v>40409</v>
      </c>
      <c r="G4375" s="175"/>
      <c r="H4375" s="176">
        <v>1</v>
      </c>
      <c r="I4375" s="176">
        <v>7</v>
      </c>
      <c r="J4375" s="900" t="s">
        <v>2755</v>
      </c>
      <c r="K4375" s="157" t="s">
        <v>4146</v>
      </c>
      <c r="L4375" s="157" t="s">
        <v>7080</v>
      </c>
      <c r="M4375" s="157"/>
      <c r="N4375" s="157" t="s">
        <v>7078</v>
      </c>
      <c r="O4375" s="157"/>
      <c r="P4375" s="173" t="s">
        <v>461</v>
      </c>
      <c r="Q4375" s="157" t="s">
        <v>7076</v>
      </c>
      <c r="R4375" s="179" t="s">
        <v>7077</v>
      </c>
      <c r="S4375" s="354"/>
      <c r="T4375" s="173" t="s">
        <v>3068</v>
      </c>
      <c r="U4375" s="173"/>
      <c r="V4375" s="173"/>
      <c r="W4375" s="324" t="s">
        <v>84</v>
      </c>
      <c r="X4375" s="656" t="s">
        <v>12360</v>
      </c>
      <c r="Y4375" s="363"/>
      <c r="Z4375" s="364"/>
      <c r="AA4375" s="364"/>
      <c r="AB4375" s="32">
        <f t="shared" ca="1" si="112"/>
        <v>0.69225804489406262</v>
      </c>
      <c r="AC4375" s="812"/>
      <c r="AD4375" s="763"/>
      <c r="AE4375" s="951"/>
      <c r="AF4375" s="921">
        <f>IF(X4375=X4374,AF4374,0)+IF(ISNUMBER(I4375),IF(I4375&lt;1,I4375,I4375*VLOOKUP(J4375,Summary!$H$2:$I$9,2)),VLOOKUP(J4375,Summary!$J$2:$K$9,2)*IF(ISNUMBER(H4375),H4375,1))</f>
        <v>0.22924768518518526</v>
      </c>
      <c r="AG4375" s="288">
        <v>4374</v>
      </c>
      <c r="AH4375" s="94"/>
      <c r="AI4375" s="94"/>
      <c r="AJ4375" s="29"/>
    </row>
    <row r="4376" spans="1:36" s="29" customFormat="1" ht="12" customHeight="1" x14ac:dyDescent="0.25">
      <c r="A4376" s="408" t="s">
        <v>7525</v>
      </c>
      <c r="B4376" s="408" t="s">
        <v>3227</v>
      </c>
      <c r="C4376" s="408">
        <v>24.1</v>
      </c>
      <c r="D4376" s="434" t="s">
        <v>94</v>
      </c>
      <c r="E4376" s="324" t="s">
        <v>91</v>
      </c>
      <c r="F4376" s="175">
        <v>40479</v>
      </c>
      <c r="G4376" s="175"/>
      <c r="H4376" s="176">
        <v>1</v>
      </c>
      <c r="I4376" s="176">
        <v>7</v>
      </c>
      <c r="J4376" s="900" t="s">
        <v>2755</v>
      </c>
      <c r="K4376" s="157" t="s">
        <v>7800</v>
      </c>
      <c r="L4376" s="157" t="s">
        <v>4850</v>
      </c>
      <c r="M4376" s="157"/>
      <c r="N4376" s="157" t="s">
        <v>7078</v>
      </c>
      <c r="O4376" s="157"/>
      <c r="P4376" s="173" t="s">
        <v>461</v>
      </c>
      <c r="Q4376" s="157" t="s">
        <v>7076</v>
      </c>
      <c r="R4376" s="179" t="s">
        <v>7077</v>
      </c>
      <c r="S4376" s="354"/>
      <c r="T4376" s="173" t="s">
        <v>3068</v>
      </c>
      <c r="U4376" s="173"/>
      <c r="V4376" s="173"/>
      <c r="W4376" s="324" t="s">
        <v>91</v>
      </c>
      <c r="X4376" s="656" t="s">
        <v>12360</v>
      </c>
      <c r="Y4376" s="363"/>
      <c r="Z4376" s="364"/>
      <c r="AA4376" s="364"/>
      <c r="AB4376" s="32">
        <f t="shared" ca="1" si="112"/>
        <v>0.92780894231610467</v>
      </c>
      <c r="AC4376" s="812"/>
      <c r="AD4376" s="763"/>
      <c r="AE4376" s="951"/>
      <c r="AF4376" s="921">
        <f>IF(X4376=X4375,AF4375,0)+IF(ISNUMBER(I4376),IF(I4376&lt;1,I4376,I4376*VLOOKUP(J4376,Summary!$H$2:$I$9,2)),VLOOKUP(J4376,Summary!$J$2:$K$9,2)*IF(ISNUMBER(H4376),H4376,1))</f>
        <v>0.23410879629629638</v>
      </c>
      <c r="AG4376" s="288">
        <v>4375</v>
      </c>
      <c r="AH4376" s="94"/>
      <c r="AI4376" s="94"/>
    </row>
    <row r="4377" spans="1:36" s="29" customFormat="1" ht="12" customHeight="1" x14ac:dyDescent="0.25">
      <c r="A4377" s="408" t="s">
        <v>7525</v>
      </c>
      <c r="B4377" s="408" t="s">
        <v>3227</v>
      </c>
      <c r="C4377" s="408">
        <v>24.2</v>
      </c>
      <c r="D4377" s="434" t="s">
        <v>95</v>
      </c>
      <c r="E4377" s="324" t="s">
        <v>92</v>
      </c>
      <c r="F4377" s="175">
        <v>40479</v>
      </c>
      <c r="G4377" s="175"/>
      <c r="H4377" s="176">
        <v>1</v>
      </c>
      <c r="I4377" s="176">
        <v>6</v>
      </c>
      <c r="J4377" s="900" t="s">
        <v>2755</v>
      </c>
      <c r="K4377" s="157" t="s">
        <v>98</v>
      </c>
      <c r="L4377" s="157" t="s">
        <v>7080</v>
      </c>
      <c r="M4377" s="157"/>
      <c r="N4377" s="157" t="s">
        <v>7078</v>
      </c>
      <c r="O4377" s="157"/>
      <c r="P4377" s="173" t="s">
        <v>461</v>
      </c>
      <c r="Q4377" s="157" t="s">
        <v>7076</v>
      </c>
      <c r="R4377" s="179" t="s">
        <v>7077</v>
      </c>
      <c r="S4377" s="354"/>
      <c r="T4377" s="173" t="s">
        <v>3068</v>
      </c>
      <c r="U4377" s="173"/>
      <c r="V4377" s="173"/>
      <c r="W4377" s="324" t="s">
        <v>92</v>
      </c>
      <c r="X4377" s="656" t="s">
        <v>12360</v>
      </c>
      <c r="Y4377" s="363"/>
      <c r="Z4377" s="364"/>
      <c r="AA4377" s="364"/>
      <c r="AB4377" s="32">
        <f t="shared" ca="1" si="112"/>
        <v>0.32365895400060796</v>
      </c>
      <c r="AC4377" s="812"/>
      <c r="AD4377" s="763"/>
      <c r="AE4377" s="951"/>
      <c r="AF4377" s="921">
        <f>IF(X4377=X4376,AF4376,0)+IF(ISNUMBER(I4377),IF(I4377&lt;1,I4377,I4377*VLOOKUP(J4377,Summary!$H$2:$I$9,2)),VLOOKUP(J4377,Summary!$J$2:$K$9,2)*IF(ISNUMBER(H4377),H4377,1))</f>
        <v>0.23827546296296306</v>
      </c>
      <c r="AG4377" s="288">
        <v>4376</v>
      </c>
      <c r="AH4377" s="94"/>
      <c r="AI4377" s="94"/>
    </row>
    <row r="4378" spans="1:36" s="29" customFormat="1" ht="12" customHeight="1" x14ac:dyDescent="0.25">
      <c r="A4378" s="534" t="s">
        <v>7525</v>
      </c>
      <c r="B4378" s="534" t="s">
        <v>3227</v>
      </c>
      <c r="C4378" s="534">
        <v>24.3</v>
      </c>
      <c r="D4378" s="428" t="s">
        <v>96</v>
      </c>
      <c r="E4378" s="325" t="s">
        <v>93</v>
      </c>
      <c r="F4378" s="184">
        <v>40479</v>
      </c>
      <c r="G4378" s="184"/>
      <c r="H4378" s="185">
        <v>1</v>
      </c>
      <c r="I4378" s="185">
        <v>11</v>
      </c>
      <c r="J4378" s="901" t="s">
        <v>1796</v>
      </c>
      <c r="K4378" s="158" t="s">
        <v>99</v>
      </c>
      <c r="L4378" s="158" t="s">
        <v>100</v>
      </c>
      <c r="M4378" s="158"/>
      <c r="N4378" s="158" t="s">
        <v>7078</v>
      </c>
      <c r="O4378" s="158"/>
      <c r="P4378" s="182" t="s">
        <v>461</v>
      </c>
      <c r="Q4378" s="158" t="s">
        <v>7076</v>
      </c>
      <c r="R4378" s="207" t="s">
        <v>74</v>
      </c>
      <c r="S4378" s="355"/>
      <c r="T4378" s="182" t="s">
        <v>3068</v>
      </c>
      <c r="U4378" s="182"/>
      <c r="V4378" s="182"/>
      <c r="W4378" s="325" t="s">
        <v>93</v>
      </c>
      <c r="X4378" s="657" t="s">
        <v>12360</v>
      </c>
      <c r="Y4378" s="361"/>
      <c r="Z4378" s="362"/>
      <c r="AA4378" s="362"/>
      <c r="AB4378" s="33">
        <f t="shared" ca="1" si="112"/>
        <v>0.78801113045287574</v>
      </c>
      <c r="AC4378" s="813"/>
      <c r="AD4378" s="826" t="s">
        <v>14585</v>
      </c>
      <c r="AE4378" s="949"/>
      <c r="AF4378" s="922">
        <f>IF(X4378=X4377,AF4377,0)+IF(ISNUMBER(I4378),IF(I4378&lt;1,I4378,I4378*VLOOKUP(J4378,Summary!$H$2:$I$9,2)),VLOOKUP(J4378,Summary!$J$2:$K$9,2)*IF(ISNUMBER(H4378),H4378,1))</f>
        <v>0.24209490740740752</v>
      </c>
      <c r="AG4378" s="295">
        <v>4377</v>
      </c>
      <c r="AH4378" s="94"/>
      <c r="AI4378" s="94"/>
    </row>
    <row r="4379" spans="1:36" s="29" customFormat="1" ht="12" customHeight="1" x14ac:dyDescent="0.25">
      <c r="A4379" s="408" t="s">
        <v>7525</v>
      </c>
      <c r="B4379" s="408" t="s">
        <v>3227</v>
      </c>
      <c r="C4379" s="408">
        <v>24.4</v>
      </c>
      <c r="D4379" s="434" t="s">
        <v>97</v>
      </c>
      <c r="E4379" s="324" t="s">
        <v>2345</v>
      </c>
      <c r="F4379" s="175">
        <v>40479</v>
      </c>
      <c r="G4379" s="175"/>
      <c r="H4379" s="176">
        <v>1</v>
      </c>
      <c r="I4379" s="176">
        <v>7</v>
      </c>
      <c r="J4379" s="900" t="s">
        <v>2755</v>
      </c>
      <c r="K4379" s="157" t="s">
        <v>1643</v>
      </c>
      <c r="L4379" s="157" t="s">
        <v>3551</v>
      </c>
      <c r="M4379" s="157"/>
      <c r="N4379" s="157" t="s">
        <v>7078</v>
      </c>
      <c r="O4379" s="157"/>
      <c r="P4379" s="173" t="s">
        <v>461</v>
      </c>
      <c r="Q4379" s="157" t="s">
        <v>7076</v>
      </c>
      <c r="R4379" s="179" t="s">
        <v>7077</v>
      </c>
      <c r="S4379" s="354"/>
      <c r="T4379" s="173" t="s">
        <v>3068</v>
      </c>
      <c r="U4379" s="173"/>
      <c r="V4379" s="173"/>
      <c r="W4379" s="324" t="s">
        <v>2345</v>
      </c>
      <c r="X4379" s="656" t="s">
        <v>12360</v>
      </c>
      <c r="Y4379" s="363"/>
      <c r="Z4379" s="364"/>
      <c r="AA4379" s="364"/>
      <c r="AB4379" s="32">
        <f t="shared" ca="1" si="112"/>
        <v>0.67220934147041966</v>
      </c>
      <c r="AC4379" s="812"/>
      <c r="AD4379" s="763"/>
      <c r="AE4379" s="951"/>
      <c r="AF4379" s="921">
        <f>IF(X4379=X4378,AF4378,0)+IF(ISNUMBER(I4379),IF(I4379&lt;1,I4379,I4379*VLOOKUP(J4379,Summary!$H$2:$I$9,2)),VLOOKUP(J4379,Summary!$J$2:$K$9,2)*IF(ISNUMBER(H4379),H4379,1))</f>
        <v>0.24695601851851864</v>
      </c>
      <c r="AG4379" s="288">
        <v>4378</v>
      </c>
      <c r="AH4379" s="94"/>
      <c r="AI4379" s="94"/>
    </row>
    <row r="4380" spans="1:36" s="2" customFormat="1" ht="12" customHeight="1" x14ac:dyDescent="0.25">
      <c r="A4380" s="405" t="s">
        <v>7525</v>
      </c>
      <c r="B4380" s="596" t="s">
        <v>3227</v>
      </c>
      <c r="C4380" s="510">
        <v>6</v>
      </c>
      <c r="D4380" s="407" t="s">
        <v>3672</v>
      </c>
      <c r="E4380" s="315" t="s">
        <v>3673</v>
      </c>
      <c r="F4380" s="196">
        <v>40736</v>
      </c>
      <c r="G4380" s="196"/>
      <c r="H4380" s="170">
        <v>1</v>
      </c>
      <c r="I4380" s="746">
        <f>TIME(0,43,55)</f>
        <v>3.0497685185185183E-2</v>
      </c>
      <c r="J4380" s="899" t="s">
        <v>4706</v>
      </c>
      <c r="K4380" s="167" t="s">
        <v>3674</v>
      </c>
      <c r="L4380" s="167" t="s">
        <v>7569</v>
      </c>
      <c r="M4380" s="167"/>
      <c r="N4380" s="167"/>
      <c r="O4380" s="167"/>
      <c r="P4380" s="168" t="s">
        <v>3671</v>
      </c>
      <c r="Q4380" s="167" t="s">
        <v>3948</v>
      </c>
      <c r="R4380" s="172" t="s">
        <v>3157</v>
      </c>
      <c r="S4380" s="388"/>
      <c r="T4380" s="168" t="s">
        <v>3068</v>
      </c>
      <c r="U4380" s="168"/>
      <c r="V4380" s="168"/>
      <c r="W4380" s="315" t="s">
        <v>3673</v>
      </c>
      <c r="X4380" s="647" t="s">
        <v>12360</v>
      </c>
      <c r="Y4380" s="352" t="s">
        <v>5643</v>
      </c>
      <c r="Z4380" s="353">
        <v>654</v>
      </c>
      <c r="AA4380" s="353">
        <v>3</v>
      </c>
      <c r="AB4380" s="31">
        <f t="shared" ca="1" si="112"/>
        <v>0.58435353327766681</v>
      </c>
      <c r="AC4380" s="810"/>
      <c r="AD4380" s="825" t="s">
        <v>14585</v>
      </c>
      <c r="AE4380" s="940"/>
      <c r="AF4380" s="920">
        <f>IF(X4380=X4379,AF4379,0)+IF(ISNUMBER(I4380),IF(I4380&lt;1,I4380,I4380*VLOOKUP(J4380,Summary!$H$2:$I$9,2)),VLOOKUP(J4380,Summary!$J$2:$K$9,2)*IF(ISNUMBER(H4380),H4380,1))</f>
        <v>0.27745370370370381</v>
      </c>
      <c r="AG4380" s="287">
        <v>4379</v>
      </c>
      <c r="AH4380" s="94"/>
      <c r="AI4380" s="94"/>
      <c r="AJ4380" s="29"/>
    </row>
    <row r="4381" spans="1:36" s="29" customFormat="1" ht="12" customHeight="1" x14ac:dyDescent="0.25">
      <c r="A4381" s="408" t="s">
        <v>7525</v>
      </c>
      <c r="B4381" s="408" t="s">
        <v>3227</v>
      </c>
      <c r="C4381" s="408">
        <v>25.4</v>
      </c>
      <c r="D4381" s="434" t="s">
        <v>79</v>
      </c>
      <c r="E4381" s="324" t="s">
        <v>80</v>
      </c>
      <c r="F4381" s="175">
        <v>40528</v>
      </c>
      <c r="G4381" s="175"/>
      <c r="H4381" s="176">
        <v>1</v>
      </c>
      <c r="I4381" s="176">
        <v>10</v>
      </c>
      <c r="J4381" s="900" t="s">
        <v>2755</v>
      </c>
      <c r="K4381" s="157" t="s">
        <v>81</v>
      </c>
      <c r="L4381" s="157" t="s">
        <v>7080</v>
      </c>
      <c r="M4381" s="157"/>
      <c r="N4381" s="157" t="s">
        <v>7078</v>
      </c>
      <c r="O4381" s="157"/>
      <c r="P4381" s="173" t="s">
        <v>461</v>
      </c>
      <c r="Q4381" s="157" t="s">
        <v>7076</v>
      </c>
      <c r="R4381" s="179" t="s">
        <v>7077</v>
      </c>
      <c r="S4381" s="354"/>
      <c r="T4381" s="173" t="s">
        <v>3068</v>
      </c>
      <c r="U4381" s="173"/>
      <c r="V4381" s="173"/>
      <c r="W4381" s="324" t="s">
        <v>80</v>
      </c>
      <c r="X4381" s="656" t="s">
        <v>12360</v>
      </c>
      <c r="Y4381" s="363"/>
      <c r="Z4381" s="364"/>
      <c r="AA4381" s="364"/>
      <c r="AB4381" s="32">
        <f t="shared" ca="1" si="112"/>
        <v>0.99149001945466864</v>
      </c>
      <c r="AC4381" s="812"/>
      <c r="AD4381" s="763"/>
      <c r="AE4381" s="951"/>
      <c r="AF4381" s="921">
        <f>IF(X4381=X4380,AF4380,0)+IF(ISNUMBER(I4381),IF(I4381&lt;1,I4381,I4381*VLOOKUP(J4381,Summary!$H$2:$I$9,2)),VLOOKUP(J4381,Summary!$J$2:$K$9,2)*IF(ISNUMBER(H4381),H4381,1))</f>
        <v>0.28439814814814823</v>
      </c>
      <c r="AG4381" s="288">
        <v>4380</v>
      </c>
      <c r="AH4381" s="94"/>
      <c r="AI4381" s="94"/>
    </row>
    <row r="4382" spans="1:36" s="29" customFormat="1" ht="12" customHeight="1" x14ac:dyDescent="0.25">
      <c r="A4382" s="405" t="s">
        <v>7525</v>
      </c>
      <c r="B4382" s="596" t="s">
        <v>3227</v>
      </c>
      <c r="C4382" s="510">
        <v>6</v>
      </c>
      <c r="D4382" s="407" t="s">
        <v>3679</v>
      </c>
      <c r="E4382" s="315" t="s">
        <v>4301</v>
      </c>
      <c r="F4382" s="196">
        <v>40609</v>
      </c>
      <c r="G4382" s="196"/>
      <c r="H4382" s="170">
        <v>2</v>
      </c>
      <c r="I4382" s="746">
        <f>TIME(0,150,0)</f>
        <v>0.10416666666666667</v>
      </c>
      <c r="J4382" s="899" t="s">
        <v>4706</v>
      </c>
      <c r="K4382" s="167" t="s">
        <v>1643</v>
      </c>
      <c r="L4382" s="167"/>
      <c r="M4382" s="167" t="s">
        <v>3677</v>
      </c>
      <c r="N4382" s="167"/>
      <c r="O4382" s="167"/>
      <c r="P4382" s="168" t="s">
        <v>3682</v>
      </c>
      <c r="Q4382" s="167" t="s">
        <v>3950</v>
      </c>
      <c r="R4382" s="172" t="s">
        <v>2710</v>
      </c>
      <c r="S4382" s="388"/>
      <c r="T4382" s="168" t="s">
        <v>3068</v>
      </c>
      <c r="U4382" s="168"/>
      <c r="V4382" s="168"/>
      <c r="W4382" s="312" t="s">
        <v>4301</v>
      </c>
      <c r="X4382" s="644" t="s">
        <v>12360</v>
      </c>
      <c r="Y4382" s="352"/>
      <c r="Z4382" s="353"/>
      <c r="AA4382" s="353"/>
      <c r="AB4382" s="31">
        <f t="shared" ca="1" si="112"/>
        <v>0.12767764316011376</v>
      </c>
      <c r="AC4382" s="810"/>
      <c r="AD4382" s="825" t="s">
        <v>14585</v>
      </c>
      <c r="AE4382" s="940"/>
      <c r="AF4382" s="920">
        <f>IF(X4382=X4381,AF4381,0)+IF(ISNUMBER(I4382),IF(I4382&lt;1,I4382,I4382*VLOOKUP(J4382,Summary!$H$2:$I$9,2)),VLOOKUP(J4382,Summary!$J$2:$K$9,2)*IF(ISNUMBER(H4382),H4382,1))</f>
        <v>0.38856481481481492</v>
      </c>
      <c r="AG4382" s="287">
        <v>4381</v>
      </c>
      <c r="AH4382" s="94"/>
      <c r="AI4382" s="94"/>
    </row>
    <row r="4383" spans="1:36" s="1" customFormat="1" ht="12" customHeight="1" x14ac:dyDescent="0.25">
      <c r="A4383" s="405" t="s">
        <v>7525</v>
      </c>
      <c r="B4383" s="596" t="s">
        <v>3227</v>
      </c>
      <c r="C4383" s="510">
        <v>5</v>
      </c>
      <c r="D4383" s="407" t="s">
        <v>3680</v>
      </c>
      <c r="E4383" s="315" t="s">
        <v>3678</v>
      </c>
      <c r="F4383" s="196">
        <v>40609</v>
      </c>
      <c r="G4383" s="196"/>
      <c r="H4383" s="170">
        <v>1</v>
      </c>
      <c r="I4383" s="747">
        <f>TIME(0,60,0)</f>
        <v>4.1666666666666664E-2</v>
      </c>
      <c r="J4383" s="899" t="s">
        <v>4706</v>
      </c>
      <c r="K4383" s="167" t="s">
        <v>1643</v>
      </c>
      <c r="L4383" s="167"/>
      <c r="M4383" s="167" t="s">
        <v>3677</v>
      </c>
      <c r="N4383" s="167"/>
      <c r="O4383" s="167"/>
      <c r="P4383" s="168" t="s">
        <v>3681</v>
      </c>
      <c r="Q4383" s="167" t="s">
        <v>3950</v>
      </c>
      <c r="R4383" s="172" t="s">
        <v>2710</v>
      </c>
      <c r="S4383" s="388"/>
      <c r="T4383" s="168" t="s">
        <v>3068</v>
      </c>
      <c r="U4383" s="168"/>
      <c r="V4383" s="168"/>
      <c r="W4383" s="315" t="s">
        <v>3678</v>
      </c>
      <c r="X4383" s="647" t="s">
        <v>12360</v>
      </c>
      <c r="Y4383" s="352"/>
      <c r="Z4383" s="353"/>
      <c r="AA4383" s="353"/>
      <c r="AB4383" s="31">
        <f t="shared" ca="1" si="112"/>
        <v>9.5254286353800843E-2</v>
      </c>
      <c r="AC4383" s="810"/>
      <c r="AD4383" s="825" t="s">
        <v>14585</v>
      </c>
      <c r="AE4383" s="940"/>
      <c r="AF4383" s="920">
        <f>IF(X4383=X4382,AF4382,0)+IF(ISNUMBER(I4383),IF(I4383&lt;1,I4383,I4383*VLOOKUP(J4383,Summary!$H$2:$I$9,2)),VLOOKUP(J4383,Summary!$J$2:$K$9,2)*IF(ISNUMBER(H4383),H4383,1))</f>
        <v>0.4302314814814816</v>
      </c>
      <c r="AG4383" s="287">
        <v>4382</v>
      </c>
      <c r="AH4383" s="94"/>
      <c r="AI4383" s="94"/>
      <c r="AJ4383" s="29"/>
    </row>
    <row r="4384" spans="1:36" s="1" customFormat="1" ht="12" customHeight="1" x14ac:dyDescent="0.25">
      <c r="A4384" s="405" t="s">
        <v>7525</v>
      </c>
      <c r="B4384" s="596" t="s">
        <v>3227</v>
      </c>
      <c r="C4384" s="533">
        <v>2.08</v>
      </c>
      <c r="D4384" s="407" t="s">
        <v>10652</v>
      </c>
      <c r="E4384" s="315" t="s">
        <v>10649</v>
      </c>
      <c r="F4384" s="196">
        <v>42689</v>
      </c>
      <c r="G4384" s="196"/>
      <c r="H4384" s="170">
        <v>1</v>
      </c>
      <c r="I4384" s="747">
        <f>TIME(0,60,0)</f>
        <v>4.1666666666666664E-2</v>
      </c>
      <c r="J4384" s="899" t="s">
        <v>4706</v>
      </c>
      <c r="K4384" s="167" t="s">
        <v>1826</v>
      </c>
      <c r="L4384" s="167" t="s">
        <v>179</v>
      </c>
      <c r="M4384" s="167"/>
      <c r="N4384" s="167"/>
      <c r="O4384" s="167"/>
      <c r="P4384" s="168" t="s">
        <v>10648</v>
      </c>
      <c r="Q4384" s="167" t="s">
        <v>3947</v>
      </c>
      <c r="R4384" s="172" t="s">
        <v>10605</v>
      </c>
      <c r="S4384" s="388"/>
      <c r="T4384" s="168" t="s">
        <v>3068</v>
      </c>
      <c r="U4384" s="168"/>
      <c r="V4384" s="168"/>
      <c r="W4384" s="315" t="s">
        <v>11104</v>
      </c>
      <c r="X4384" s="647" t="s">
        <v>12360</v>
      </c>
      <c r="Y4384" s="352"/>
      <c r="Z4384" s="353"/>
      <c r="AA4384" s="353"/>
      <c r="AB4384" s="31">
        <f t="shared" ca="1" si="112"/>
        <v>0.4629535761268273</v>
      </c>
      <c r="AC4384" s="810"/>
      <c r="AD4384" s="825" t="s">
        <v>14585</v>
      </c>
      <c r="AE4384" s="940"/>
      <c r="AF4384" s="920">
        <f>IF(X4384=X4383,AF4383,0)+IF(ISNUMBER(I4384),IF(I4384&lt;1,I4384,I4384*VLOOKUP(J4384,Summary!$H$2:$I$9,2)),VLOOKUP(J4384,Summary!$J$2:$K$9,2)*IF(ISNUMBER(H4384),H4384,1))</f>
        <v>0.47189814814814829</v>
      </c>
      <c r="AG4384" s="287">
        <v>4383</v>
      </c>
      <c r="AH4384" s="94"/>
      <c r="AI4384" s="94"/>
      <c r="AJ4384" s="29"/>
    </row>
    <row r="4385" spans="1:36" s="3" customFormat="1" ht="12" customHeight="1" x14ac:dyDescent="0.25">
      <c r="A4385" s="405" t="s">
        <v>7525</v>
      </c>
      <c r="B4385" s="596" t="s">
        <v>3227</v>
      </c>
      <c r="C4385" s="533">
        <v>2.09</v>
      </c>
      <c r="D4385" s="407" t="s">
        <v>10653</v>
      </c>
      <c r="E4385" s="315" t="s">
        <v>10650</v>
      </c>
      <c r="F4385" s="196">
        <v>42689</v>
      </c>
      <c r="G4385" s="196"/>
      <c r="H4385" s="170">
        <v>1</v>
      </c>
      <c r="I4385" s="747">
        <f>TIME(0,60,0)</f>
        <v>4.1666666666666664E-2</v>
      </c>
      <c r="J4385" s="899" t="s">
        <v>4706</v>
      </c>
      <c r="K4385" s="167" t="s">
        <v>10580</v>
      </c>
      <c r="L4385" s="167" t="s">
        <v>179</v>
      </c>
      <c r="M4385" s="167"/>
      <c r="N4385" s="167"/>
      <c r="O4385" s="167"/>
      <c r="P4385" s="168" t="s">
        <v>10648</v>
      </c>
      <c r="Q4385" s="167" t="s">
        <v>3947</v>
      </c>
      <c r="R4385" s="172" t="s">
        <v>10605</v>
      </c>
      <c r="S4385" s="388"/>
      <c r="T4385" s="168" t="s">
        <v>3068</v>
      </c>
      <c r="U4385" s="168"/>
      <c r="V4385" s="168"/>
      <c r="W4385" s="315" t="s">
        <v>11105</v>
      </c>
      <c r="X4385" s="647" t="s">
        <v>12360</v>
      </c>
      <c r="Y4385" s="352"/>
      <c r="Z4385" s="353"/>
      <c r="AA4385" s="353"/>
      <c r="AB4385" s="31">
        <f t="shared" ca="1" si="112"/>
        <v>0.23649261478146533</v>
      </c>
      <c r="AC4385" s="810"/>
      <c r="AD4385" s="825" t="s">
        <v>14585</v>
      </c>
      <c r="AE4385" s="940"/>
      <c r="AF4385" s="920">
        <f>IF(X4385=X4384,AF4384,0)+IF(ISNUMBER(I4385),IF(I4385&lt;1,I4385,I4385*VLOOKUP(J4385,Summary!$H$2:$I$9,2)),VLOOKUP(J4385,Summary!$J$2:$K$9,2)*IF(ISNUMBER(H4385),H4385,1))</f>
        <v>0.51356481481481497</v>
      </c>
      <c r="AG4385" s="287">
        <v>4384</v>
      </c>
      <c r="AH4385" s="94"/>
      <c r="AI4385" s="94"/>
      <c r="AJ4385" s="1"/>
    </row>
    <row r="4386" spans="1:36" s="1" customFormat="1" ht="12" customHeight="1" x14ac:dyDescent="0.25">
      <c r="A4386" s="405" t="s">
        <v>7525</v>
      </c>
      <c r="B4386" s="596" t="s">
        <v>3227</v>
      </c>
      <c r="C4386" s="533">
        <v>2.1</v>
      </c>
      <c r="D4386" s="407" t="s">
        <v>10654</v>
      </c>
      <c r="E4386" s="315" t="s">
        <v>10651</v>
      </c>
      <c r="F4386" s="196">
        <v>42689</v>
      </c>
      <c r="G4386" s="196"/>
      <c r="H4386" s="170">
        <v>1</v>
      </c>
      <c r="I4386" s="747">
        <f>TIME(0,60,0)</f>
        <v>4.1666666666666664E-2</v>
      </c>
      <c r="J4386" s="899" t="s">
        <v>4706</v>
      </c>
      <c r="K4386" s="167" t="s">
        <v>10631</v>
      </c>
      <c r="L4386" s="167" t="s">
        <v>179</v>
      </c>
      <c r="M4386" s="167"/>
      <c r="N4386" s="167"/>
      <c r="O4386" s="167"/>
      <c r="P4386" s="168" t="s">
        <v>10648</v>
      </c>
      <c r="Q4386" s="167" t="s">
        <v>3947</v>
      </c>
      <c r="R4386" s="172" t="s">
        <v>10605</v>
      </c>
      <c r="S4386" s="388"/>
      <c r="T4386" s="168" t="s">
        <v>3068</v>
      </c>
      <c r="U4386" s="168"/>
      <c r="V4386" s="168"/>
      <c r="W4386" s="315" t="s">
        <v>11106</v>
      </c>
      <c r="X4386" s="647" t="s">
        <v>12360</v>
      </c>
      <c r="Y4386" s="352"/>
      <c r="Z4386" s="353"/>
      <c r="AA4386" s="353"/>
      <c r="AB4386" s="31">
        <f t="shared" ca="1" si="112"/>
        <v>0.33465039256839924</v>
      </c>
      <c r="AC4386" s="810"/>
      <c r="AD4386" s="825" t="s">
        <v>14585</v>
      </c>
      <c r="AE4386" s="940"/>
      <c r="AF4386" s="920">
        <f>IF(X4386=X4385,AF4385,0)+IF(ISNUMBER(I4386),IF(I4386&lt;1,I4386,I4386*VLOOKUP(J4386,Summary!$H$2:$I$9,2)),VLOOKUP(J4386,Summary!$J$2:$K$9,2)*IF(ISNUMBER(H4386),H4386,1))</f>
        <v>0.5552314814814816</v>
      </c>
      <c r="AG4386" s="287">
        <v>4385</v>
      </c>
      <c r="AH4386" s="94"/>
      <c r="AI4386" s="94"/>
      <c r="AJ4386" s="3"/>
    </row>
    <row r="4387" spans="1:36" s="29" customFormat="1" ht="12" customHeight="1" x14ac:dyDescent="0.25">
      <c r="A4387" s="553" t="s">
        <v>7525</v>
      </c>
      <c r="B4387" s="554" t="s">
        <v>3227</v>
      </c>
      <c r="C4387" s="553">
        <v>27</v>
      </c>
      <c r="D4387" s="424" t="s">
        <v>16988</v>
      </c>
      <c r="E4387" s="319" t="s">
        <v>16987</v>
      </c>
      <c r="F4387" s="198">
        <v>40000</v>
      </c>
      <c r="G4387" s="198">
        <v>40004</v>
      </c>
      <c r="H4387" s="199">
        <v>5</v>
      </c>
      <c r="I4387" s="791">
        <f>TIME(4,52,56)</f>
        <v>0.20342592592592593</v>
      </c>
      <c r="J4387" s="904" t="s">
        <v>1588</v>
      </c>
      <c r="K4387" s="200" t="s">
        <v>16989</v>
      </c>
      <c r="L4387" s="200" t="s">
        <v>4961</v>
      </c>
      <c r="M4387" s="200"/>
      <c r="N4387" s="200"/>
      <c r="O4387" s="200" t="s">
        <v>577</v>
      </c>
      <c r="P4387" s="197" t="s">
        <v>461</v>
      </c>
      <c r="Q4387" s="200" t="s">
        <v>3946</v>
      </c>
      <c r="R4387" s="201" t="s">
        <v>5276</v>
      </c>
      <c r="S4387" s="390"/>
      <c r="T4387" s="197" t="s">
        <v>3068</v>
      </c>
      <c r="U4387" s="197"/>
      <c r="V4387" s="197"/>
      <c r="W4387" s="319" t="s">
        <v>16986</v>
      </c>
      <c r="X4387" s="651" t="s">
        <v>12360</v>
      </c>
      <c r="Y4387" s="358" t="s">
        <v>7018</v>
      </c>
      <c r="Z4387" s="253">
        <v>2001</v>
      </c>
      <c r="AA4387" s="253"/>
      <c r="AB4387" s="35">
        <f t="shared" ca="1" si="112"/>
        <v>0.438801680961874</v>
      </c>
      <c r="AC4387" s="820"/>
      <c r="AD4387" s="821" t="s">
        <v>14937</v>
      </c>
      <c r="AE4387" s="944"/>
      <c r="AF4387" s="925">
        <f>IF(X4387=X4386,AF4386,0)+IF(ISNUMBER(I4387),IF(I4387&lt;1,I4387,I4387*VLOOKUP(J4387,Summary!$H$2:$I$9,2)),VLOOKUP(J4387,Summary!$J$2:$K$9,2)*IF(ISNUMBER(H4387),H4387,1))</f>
        <v>0.7586574074074075</v>
      </c>
      <c r="AG4387" s="293">
        <v>4386</v>
      </c>
      <c r="AH4387" s="94"/>
      <c r="AI4387" s="94"/>
      <c r="AJ4387" s="2"/>
    </row>
    <row r="4388" spans="1:36" s="3" customFormat="1" ht="12" customHeight="1" x14ac:dyDescent="0.25">
      <c r="A4388" s="474" t="s">
        <v>7525</v>
      </c>
      <c r="B4388" s="507" t="s">
        <v>3227</v>
      </c>
      <c r="C4388" s="474">
        <v>17</v>
      </c>
      <c r="D4388" s="417" t="s">
        <v>3698</v>
      </c>
      <c r="E4388" s="316" t="s">
        <v>3697</v>
      </c>
      <c r="F4388" s="195">
        <v>40759</v>
      </c>
      <c r="G4388" s="195"/>
      <c r="H4388" s="188" t="s">
        <v>461</v>
      </c>
      <c r="I4388" s="188">
        <v>251</v>
      </c>
      <c r="J4388" s="902" t="s">
        <v>6868</v>
      </c>
      <c r="K4388" s="162" t="s">
        <v>1825</v>
      </c>
      <c r="L4388" s="162" t="s">
        <v>461</v>
      </c>
      <c r="M4388" s="162"/>
      <c r="N4388" s="162"/>
      <c r="O4388" s="162"/>
      <c r="P4388" s="178" t="s">
        <v>3704</v>
      </c>
      <c r="Q4388" s="162" t="s">
        <v>3953</v>
      </c>
      <c r="R4388" s="189" t="s">
        <v>2719</v>
      </c>
      <c r="S4388" s="366"/>
      <c r="T4388" s="178"/>
      <c r="U4388" s="178"/>
      <c r="V4388" s="178"/>
      <c r="W4388" s="316" t="s">
        <v>3697</v>
      </c>
      <c r="X4388" s="648" t="s">
        <v>12360</v>
      </c>
      <c r="Y4388" s="356"/>
      <c r="Z4388" s="272"/>
      <c r="AA4388" s="272"/>
      <c r="AB4388" s="34">
        <f t="shared" ca="1" si="112"/>
        <v>0.41849250675048633</v>
      </c>
      <c r="AC4388" s="814"/>
      <c r="AD4388" s="815" t="s">
        <v>14938</v>
      </c>
      <c r="AE4388" s="942"/>
      <c r="AF4388" s="923">
        <f>IF(X4388=X4387,AF4387,0)+IF(ISNUMBER(I4388),IF(I4388&lt;1,I4388,I4388*VLOOKUP(J4388,Summary!$H$2:$I$9,2)),VLOOKUP(J4388,Summary!$J$2:$K$9,2)*IF(ISNUMBER(H4388),H4388,1))</f>
        <v>0.9329629629629631</v>
      </c>
      <c r="AG4388" s="291">
        <v>4387</v>
      </c>
      <c r="AH4388" s="94"/>
      <c r="AI4388" s="94"/>
      <c r="AJ4388" s="29"/>
    </row>
    <row r="4389" spans="1:36" s="1" customFormat="1" ht="12" customHeight="1" x14ac:dyDescent="0.25">
      <c r="A4389" s="405" t="s">
        <v>7525</v>
      </c>
      <c r="B4389" s="596" t="s">
        <v>3227</v>
      </c>
      <c r="C4389" s="510">
        <v>7</v>
      </c>
      <c r="D4389" s="407" t="s">
        <v>3675</v>
      </c>
      <c r="E4389" s="315" t="s">
        <v>3676</v>
      </c>
      <c r="F4389" s="196">
        <v>40737</v>
      </c>
      <c r="G4389" s="196"/>
      <c r="H4389" s="170">
        <v>1</v>
      </c>
      <c r="I4389" s="746">
        <f>TIME(0,43,59)</f>
        <v>3.0543981481481481E-2</v>
      </c>
      <c r="J4389" s="899" t="s">
        <v>4706</v>
      </c>
      <c r="K4389" s="167" t="s">
        <v>1643</v>
      </c>
      <c r="L4389" s="167" t="s">
        <v>7569</v>
      </c>
      <c r="M4389" s="167"/>
      <c r="N4389" s="167"/>
      <c r="O4389" s="167"/>
      <c r="P4389" s="168" t="s">
        <v>3671</v>
      </c>
      <c r="Q4389" s="167" t="s">
        <v>3948</v>
      </c>
      <c r="R4389" s="172" t="s">
        <v>3157</v>
      </c>
      <c r="S4389" s="388"/>
      <c r="T4389" s="168" t="s">
        <v>3068</v>
      </c>
      <c r="U4389" s="168"/>
      <c r="V4389" s="168"/>
      <c r="W4389" s="315" t="s">
        <v>3676</v>
      </c>
      <c r="X4389" s="647" t="s">
        <v>12360</v>
      </c>
      <c r="Y4389" s="352" t="s">
        <v>5643</v>
      </c>
      <c r="Z4389" s="353">
        <v>386</v>
      </c>
      <c r="AA4389" s="353">
        <v>5</v>
      </c>
      <c r="AB4389" s="31">
        <f t="shared" ca="1" si="112"/>
        <v>0.56513815240134024</v>
      </c>
      <c r="AC4389" s="810"/>
      <c r="AD4389" s="825" t="s">
        <v>15876</v>
      </c>
      <c r="AE4389" s="940"/>
      <c r="AF4389" s="920">
        <f>IF(X4389=X4388,AF4388,0)+IF(ISNUMBER(I4389),IF(I4389&lt;1,I4389,I4389*VLOOKUP(J4389,Summary!$H$2:$I$9,2)),VLOOKUP(J4389,Summary!$J$2:$K$9,2)*IF(ISNUMBER(H4389),H4389,1))</f>
        <v>0.96350694444444462</v>
      </c>
      <c r="AG4389" s="287">
        <v>4388</v>
      </c>
      <c r="AH4389" s="94"/>
      <c r="AI4389" s="94"/>
      <c r="AJ4389" s="29"/>
    </row>
    <row r="4390" spans="1:36" s="1" customFormat="1" ht="12" customHeight="1" x14ac:dyDescent="0.25">
      <c r="A4390" s="408" t="s">
        <v>7525</v>
      </c>
      <c r="B4390" s="408" t="s">
        <v>3227</v>
      </c>
      <c r="C4390" s="408">
        <v>25.2</v>
      </c>
      <c r="D4390" s="434" t="s">
        <v>77</v>
      </c>
      <c r="E4390" s="324" t="s">
        <v>78</v>
      </c>
      <c r="F4390" s="175">
        <v>40528</v>
      </c>
      <c r="G4390" s="175"/>
      <c r="H4390" s="176">
        <v>1</v>
      </c>
      <c r="I4390" s="176">
        <v>6</v>
      </c>
      <c r="J4390" s="900" t="s">
        <v>2755</v>
      </c>
      <c r="K4390" s="157" t="s">
        <v>4032</v>
      </c>
      <c r="L4390" s="157" t="s">
        <v>4850</v>
      </c>
      <c r="M4390" s="157"/>
      <c r="N4390" s="157" t="s">
        <v>7078</v>
      </c>
      <c r="O4390" s="157"/>
      <c r="P4390" s="173" t="s">
        <v>461</v>
      </c>
      <c r="Q4390" s="157" t="s">
        <v>7076</v>
      </c>
      <c r="R4390" s="179" t="s">
        <v>7077</v>
      </c>
      <c r="S4390" s="354"/>
      <c r="T4390" s="173" t="s">
        <v>3068</v>
      </c>
      <c r="U4390" s="173"/>
      <c r="V4390" s="173"/>
      <c r="W4390" s="324" t="s">
        <v>78</v>
      </c>
      <c r="X4390" s="656" t="s">
        <v>12360</v>
      </c>
      <c r="Y4390" s="363"/>
      <c r="Z4390" s="364"/>
      <c r="AA4390" s="364"/>
      <c r="AB4390" s="32">
        <f t="shared" ca="1" si="112"/>
        <v>0.25567298038712094</v>
      </c>
      <c r="AC4390" s="812"/>
      <c r="AD4390" s="763"/>
      <c r="AE4390" s="951"/>
      <c r="AF4390" s="921">
        <f>IF(X4390=X4389,AF4389,0)+IF(ISNUMBER(I4390),IF(I4390&lt;1,I4390,I4390*VLOOKUP(J4390,Summary!$H$2:$I$9,2)),VLOOKUP(J4390,Summary!$J$2:$K$9,2)*IF(ISNUMBER(H4390),H4390,1))</f>
        <v>0.96767361111111128</v>
      </c>
      <c r="AG4390" s="288">
        <v>4389</v>
      </c>
      <c r="AH4390" s="94"/>
      <c r="AI4390" s="94"/>
      <c r="AJ4390" s="29"/>
    </row>
    <row r="4391" spans="1:36" s="22" customFormat="1" ht="12" customHeight="1" x14ac:dyDescent="0.25">
      <c r="A4391" s="553" t="s">
        <v>375</v>
      </c>
      <c r="B4391" s="554" t="s">
        <v>3221</v>
      </c>
      <c r="C4391" s="553">
        <v>13</v>
      </c>
      <c r="D4391" s="424" t="s">
        <v>376</v>
      </c>
      <c r="E4391" s="319" t="s">
        <v>4198</v>
      </c>
      <c r="F4391" s="198">
        <v>40101</v>
      </c>
      <c r="G4391" s="198">
        <v>40102</v>
      </c>
      <c r="H4391" s="199">
        <v>2</v>
      </c>
      <c r="I4391" s="791">
        <f>TIME(0,28, 0)+TIME(0,28,16)</f>
        <v>3.9074074074074074E-2</v>
      </c>
      <c r="J4391" s="904" t="s">
        <v>1588</v>
      </c>
      <c r="K4391" s="200" t="s">
        <v>4152</v>
      </c>
      <c r="L4391" s="200" t="s">
        <v>2770</v>
      </c>
      <c r="M4391" s="200"/>
      <c r="N4391" s="200"/>
      <c r="O4391" s="200" t="s">
        <v>2771</v>
      </c>
      <c r="P4391" s="197" t="s">
        <v>461</v>
      </c>
      <c r="Q4391" s="200" t="s">
        <v>3946</v>
      </c>
      <c r="R4391" s="201" t="s">
        <v>5273</v>
      </c>
      <c r="S4391" s="390" t="s">
        <v>53</v>
      </c>
      <c r="T4391" s="197" t="s">
        <v>3074</v>
      </c>
      <c r="U4391" s="197" t="s">
        <v>3075</v>
      </c>
      <c r="V4391" s="197" t="s">
        <v>3072</v>
      </c>
      <c r="W4391" s="318"/>
      <c r="X4391" s="650" t="s">
        <v>12359</v>
      </c>
      <c r="Y4391" s="358" t="s">
        <v>7018</v>
      </c>
      <c r="Z4391" s="253">
        <v>1025</v>
      </c>
      <c r="AA4391" s="253">
        <v>3.5</v>
      </c>
      <c r="AB4391" s="35">
        <f t="shared" ca="1" si="112"/>
        <v>0.38199337536242228</v>
      </c>
      <c r="AC4391" s="820"/>
      <c r="AD4391" s="824" t="s">
        <v>14585</v>
      </c>
      <c r="AE4391" s="944"/>
      <c r="AF4391" s="925">
        <f>IF(X4391=X4390,AF4390,0)+IF(ISNUMBER(I4391),IF(I4391&lt;1,I4391,I4391*VLOOKUP(J4391,Summary!$H$2:$I$9,2)),VLOOKUP(J4391,Summary!$J$2:$K$9,2)*IF(ISNUMBER(H4391),H4391,1))</f>
        <v>3.9074074074074074E-2</v>
      </c>
      <c r="AG4391" s="293">
        <v>4390</v>
      </c>
      <c r="AH4391" s="94"/>
      <c r="AI4391" s="94"/>
    </row>
    <row r="4392" spans="1:36" s="22" customFormat="1" ht="12" customHeight="1" x14ac:dyDescent="0.25">
      <c r="A4392" s="553" t="s">
        <v>375</v>
      </c>
      <c r="B4392" s="554" t="s">
        <v>3221</v>
      </c>
      <c r="C4392" s="553">
        <v>14</v>
      </c>
      <c r="D4392" s="424" t="s">
        <v>377</v>
      </c>
      <c r="E4392" s="319" t="s">
        <v>5465</v>
      </c>
      <c r="F4392" s="198">
        <v>40108</v>
      </c>
      <c r="G4392" s="198">
        <v>40109</v>
      </c>
      <c r="H4392" s="199">
        <v>2</v>
      </c>
      <c r="I4392" s="791">
        <f>TIME(0,27,44)+TIME(0,27,15)</f>
        <v>3.8182870370370367E-2</v>
      </c>
      <c r="J4392" s="904" t="s">
        <v>1588</v>
      </c>
      <c r="K4392" s="200" t="s">
        <v>4425</v>
      </c>
      <c r="L4392" s="200" t="s">
        <v>1597</v>
      </c>
      <c r="M4392" s="200"/>
      <c r="N4392" s="200"/>
      <c r="O4392" s="200" t="s">
        <v>2771</v>
      </c>
      <c r="P4392" s="197" t="s">
        <v>461</v>
      </c>
      <c r="Q4392" s="200" t="s">
        <v>3946</v>
      </c>
      <c r="R4392" s="201" t="s">
        <v>5273</v>
      </c>
      <c r="S4392" s="390" t="s">
        <v>53</v>
      </c>
      <c r="T4392" s="197" t="s">
        <v>3074</v>
      </c>
      <c r="U4392" s="197" t="s">
        <v>3075</v>
      </c>
      <c r="V4392" s="197" t="s">
        <v>3072</v>
      </c>
      <c r="W4392" s="318"/>
      <c r="X4392" s="650" t="s">
        <v>12359</v>
      </c>
      <c r="Y4392" s="358" t="s">
        <v>7018</v>
      </c>
      <c r="Z4392" s="253">
        <v>1004</v>
      </c>
      <c r="AA4392" s="253">
        <v>9</v>
      </c>
      <c r="AB4392" s="35">
        <f t="shared" ca="1" si="112"/>
        <v>1.7129970110664194E-2</v>
      </c>
      <c r="AC4392" s="820"/>
      <c r="AD4392" s="824" t="s">
        <v>16097</v>
      </c>
      <c r="AE4392" s="944" t="s">
        <v>16563</v>
      </c>
      <c r="AF4392" s="925">
        <f>IF(X4392=X4391,AF4391,0)+IF(ISNUMBER(I4392),IF(I4392&lt;1,I4392,I4392*VLOOKUP(J4392,Summary!$H$2:$I$9,2)),VLOOKUP(J4392,Summary!$J$2:$K$9,2)*IF(ISNUMBER(H4392),H4392,1))</f>
        <v>7.7256944444444448E-2</v>
      </c>
      <c r="AG4392" s="293">
        <v>4391</v>
      </c>
      <c r="AH4392" s="94"/>
      <c r="AI4392" s="94"/>
    </row>
    <row r="4393" spans="1:36" s="22" customFormat="1" ht="12" customHeight="1" x14ac:dyDescent="0.2">
      <c r="A4393" s="481" t="s">
        <v>375</v>
      </c>
      <c r="B4393" s="411" t="s">
        <v>3221</v>
      </c>
      <c r="C4393" s="481"/>
      <c r="D4393" s="428" t="s">
        <v>6405</v>
      </c>
      <c r="E4393" s="325" t="s">
        <v>6404</v>
      </c>
      <c r="F4393" s="208">
        <v>39814</v>
      </c>
      <c r="G4393" s="184"/>
      <c r="H4393" s="185"/>
      <c r="I4393" s="185"/>
      <c r="J4393" s="901" t="s">
        <v>1796</v>
      </c>
      <c r="K4393" s="158" t="s">
        <v>4032</v>
      </c>
      <c r="L4393" s="158" t="s">
        <v>3365</v>
      </c>
      <c r="M4393" s="158" t="s">
        <v>6396</v>
      </c>
      <c r="N4393" s="158"/>
      <c r="O4393" s="158"/>
      <c r="P4393" s="182" t="s">
        <v>461</v>
      </c>
      <c r="Q4393" s="158" t="s">
        <v>3946</v>
      </c>
      <c r="R4393" s="207" t="s">
        <v>6531</v>
      </c>
      <c r="S4393" s="355" t="s">
        <v>53</v>
      </c>
      <c r="T4393" s="182" t="s">
        <v>3074</v>
      </c>
      <c r="U4393" s="182" t="s">
        <v>3075</v>
      </c>
      <c r="V4393" s="182" t="s">
        <v>3072</v>
      </c>
      <c r="W4393" s="321"/>
      <c r="X4393" s="653" t="s">
        <v>12359</v>
      </c>
      <c r="Y4393" s="361"/>
      <c r="Z4393" s="362"/>
      <c r="AA4393" s="362"/>
      <c r="AB4393" s="33">
        <f t="shared" ca="1" si="112"/>
        <v>0.78033891976990277</v>
      </c>
      <c r="AC4393" s="813"/>
      <c r="AD4393" s="826" t="s">
        <v>14585</v>
      </c>
      <c r="AE4393" s="949"/>
      <c r="AF4393" s="922">
        <f>IF(X4393=X4392,AF4392,0)+IF(ISNUMBER(I4393),IF(I4393&lt;1,I4393,I4393*VLOOKUP(J4393,Summary!$H$2:$I$9,2)),VLOOKUP(J4393,Summary!$J$2:$K$9,2)*IF(ISNUMBER(H4393),H4393,1))</f>
        <v>8.0729166666666671E-2</v>
      </c>
      <c r="AG4393" s="295">
        <v>4392</v>
      </c>
      <c r="AH4393" s="94"/>
      <c r="AI4393" s="94"/>
    </row>
    <row r="4394" spans="1:36" s="22" customFormat="1" ht="12" customHeight="1" x14ac:dyDescent="0.2">
      <c r="A4394" s="405" t="s">
        <v>375</v>
      </c>
      <c r="B4394" s="406" t="s">
        <v>3221</v>
      </c>
      <c r="C4394" s="405">
        <v>6</v>
      </c>
      <c r="D4394" s="407" t="s">
        <v>1030</v>
      </c>
      <c r="E4394" s="315" t="s">
        <v>6388</v>
      </c>
      <c r="F4394" s="196">
        <v>40094</v>
      </c>
      <c r="G4394" s="196"/>
      <c r="H4394" s="170" t="str">
        <f>IF(J4394="Book","n/a","")</f>
        <v/>
      </c>
      <c r="I4394" s="746">
        <f>TIME(1,9,25)</f>
        <v>4.8206018518518523E-2</v>
      </c>
      <c r="J4394" s="899" t="s">
        <v>4706</v>
      </c>
      <c r="K4394" s="167" t="s">
        <v>7375</v>
      </c>
      <c r="L4394" s="167" t="s">
        <v>3365</v>
      </c>
      <c r="M4394" s="167" t="s">
        <v>6401</v>
      </c>
      <c r="N4394" s="167"/>
      <c r="O4394" s="167" t="s">
        <v>3365</v>
      </c>
      <c r="P4394" s="168" t="s">
        <v>6390</v>
      </c>
      <c r="Q4394" s="167" t="s">
        <v>3950</v>
      </c>
      <c r="R4394" s="172" t="s">
        <v>2242</v>
      </c>
      <c r="S4394" s="388" t="s">
        <v>53</v>
      </c>
      <c r="T4394" s="168" t="s">
        <v>3074</v>
      </c>
      <c r="U4394" s="168" t="s">
        <v>3075</v>
      </c>
      <c r="V4394" s="168" t="s">
        <v>3072</v>
      </c>
      <c r="W4394" s="312"/>
      <c r="X4394" s="644" t="s">
        <v>12359</v>
      </c>
      <c r="Y4394" s="352" t="s">
        <v>5643</v>
      </c>
      <c r="Z4394" s="353"/>
      <c r="AA4394" s="353"/>
      <c r="AB4394" s="31">
        <f t="shared" ca="1" si="112"/>
        <v>0.17796911726551112</v>
      </c>
      <c r="AC4394" s="810"/>
      <c r="AD4394" s="811" t="s">
        <v>14939</v>
      </c>
      <c r="AE4394" s="940"/>
      <c r="AF4394" s="920">
        <f>IF(X4394=X4393,AF4393,0)+IF(ISNUMBER(I4394),IF(I4394&lt;1,I4394,I4394*VLOOKUP(J4394,Summary!$H$2:$I$9,2)),VLOOKUP(J4394,Summary!$J$2:$K$9,2)*IF(ISNUMBER(H4394),H4394,1))</f>
        <v>0.12893518518518521</v>
      </c>
      <c r="AG4394" s="287">
        <v>4393</v>
      </c>
      <c r="AH4394" s="94"/>
      <c r="AI4394" s="94"/>
    </row>
    <row r="4395" spans="1:36" s="22" customFormat="1" ht="12" customHeight="1" x14ac:dyDescent="0.2">
      <c r="A4395" s="405" t="s">
        <v>375</v>
      </c>
      <c r="B4395" s="406" t="s">
        <v>3221</v>
      </c>
      <c r="C4395" s="405">
        <v>5</v>
      </c>
      <c r="D4395" s="407" t="s">
        <v>1029</v>
      </c>
      <c r="E4395" s="315" t="s">
        <v>6389</v>
      </c>
      <c r="F4395" s="196">
        <v>40094</v>
      </c>
      <c r="G4395" s="196"/>
      <c r="H4395" s="170" t="str">
        <f>IF(J4395="Book","n/a","")</f>
        <v/>
      </c>
      <c r="I4395" s="746">
        <f>TIME(1,5,58)</f>
        <v>4.5810185185185183E-2</v>
      </c>
      <c r="J4395" s="899" t="s">
        <v>4706</v>
      </c>
      <c r="K4395" s="167" t="s">
        <v>179</v>
      </c>
      <c r="L4395" s="167" t="s">
        <v>3365</v>
      </c>
      <c r="M4395" s="167" t="s">
        <v>6401</v>
      </c>
      <c r="N4395" s="167"/>
      <c r="O4395" s="167" t="s">
        <v>3365</v>
      </c>
      <c r="P4395" s="168" t="s">
        <v>6391</v>
      </c>
      <c r="Q4395" s="167" t="s">
        <v>3950</v>
      </c>
      <c r="R4395" s="172" t="s">
        <v>2242</v>
      </c>
      <c r="S4395" s="388" t="s">
        <v>53</v>
      </c>
      <c r="T4395" s="168" t="s">
        <v>3074</v>
      </c>
      <c r="U4395" s="168" t="s">
        <v>3075</v>
      </c>
      <c r="V4395" s="168" t="s">
        <v>3072</v>
      </c>
      <c r="W4395" s="312"/>
      <c r="X4395" s="644" t="s">
        <v>12359</v>
      </c>
      <c r="Y4395" s="352" t="s">
        <v>5643</v>
      </c>
      <c r="Z4395" s="353"/>
      <c r="AA4395" s="353"/>
      <c r="AB4395" s="31">
        <f t="shared" ca="1" si="112"/>
        <v>0.82793485602900663</v>
      </c>
      <c r="AC4395" s="810"/>
      <c r="AD4395" s="811" t="s">
        <v>14939</v>
      </c>
      <c r="AE4395" s="940"/>
      <c r="AF4395" s="920">
        <f>IF(X4395=X4394,AF4394,0)+IF(ISNUMBER(I4395),IF(I4395&lt;1,I4395,I4395*VLOOKUP(J4395,Summary!$H$2:$I$9,2)),VLOOKUP(J4395,Summary!$J$2:$K$9,2)*IF(ISNUMBER(H4395),H4395,1))</f>
        <v>0.17474537037037038</v>
      </c>
      <c r="AG4395" s="287">
        <v>4394</v>
      </c>
      <c r="AH4395" s="94"/>
      <c r="AI4395" s="94"/>
    </row>
    <row r="4396" spans="1:36" s="22" customFormat="1" ht="12" customHeight="1" x14ac:dyDescent="0.25">
      <c r="A4396" s="553" t="s">
        <v>375</v>
      </c>
      <c r="B4396" s="554" t="s">
        <v>3221</v>
      </c>
      <c r="C4396" s="553">
        <v>15</v>
      </c>
      <c r="D4396" s="424" t="s">
        <v>378</v>
      </c>
      <c r="E4396" s="319" t="s">
        <v>5466</v>
      </c>
      <c r="F4396" s="198">
        <v>40115</v>
      </c>
      <c r="G4396" s="198">
        <v>40116</v>
      </c>
      <c r="H4396" s="199">
        <v>2</v>
      </c>
      <c r="I4396" s="791">
        <f>TIME(0,27,49)+TIME(0,28,17)</f>
        <v>3.8958333333333331E-2</v>
      </c>
      <c r="J4396" s="904" t="s">
        <v>1588</v>
      </c>
      <c r="K4396" s="200" t="s">
        <v>3451</v>
      </c>
      <c r="L4396" s="200" t="s">
        <v>2770</v>
      </c>
      <c r="M4396" s="200"/>
      <c r="N4396" s="200"/>
      <c r="O4396" s="200" t="s">
        <v>2771</v>
      </c>
      <c r="P4396" s="197" t="s">
        <v>461</v>
      </c>
      <c r="Q4396" s="200" t="s">
        <v>3946</v>
      </c>
      <c r="R4396" s="201" t="s">
        <v>5273</v>
      </c>
      <c r="S4396" s="390" t="s">
        <v>53</v>
      </c>
      <c r="T4396" s="197" t="s">
        <v>3074</v>
      </c>
      <c r="U4396" s="197" t="s">
        <v>3075</v>
      </c>
      <c r="V4396" s="197" t="s">
        <v>3072</v>
      </c>
      <c r="W4396" s="318"/>
      <c r="X4396" s="650" t="s">
        <v>12359</v>
      </c>
      <c r="Y4396" s="358" t="s">
        <v>7018</v>
      </c>
      <c r="Z4396" s="253">
        <v>1008</v>
      </c>
      <c r="AA4396" s="253">
        <v>7</v>
      </c>
      <c r="AB4396" s="35">
        <f t="shared" ca="1" si="112"/>
        <v>0.79466146500873858</v>
      </c>
      <c r="AC4396" s="820"/>
      <c r="AD4396" s="821" t="s">
        <v>14939</v>
      </c>
      <c r="AE4396" s="944"/>
      <c r="AF4396" s="925">
        <f>IF(X4396=X4395,AF4395,0)+IF(ISNUMBER(I4396),IF(I4396&lt;1,I4396,I4396*VLOOKUP(J4396,Summary!$H$2:$I$9,2)),VLOOKUP(J4396,Summary!$J$2:$K$9,2)*IF(ISNUMBER(H4396),H4396,1))</f>
        <v>0.21370370370370373</v>
      </c>
      <c r="AG4396" s="293">
        <v>4395</v>
      </c>
      <c r="AH4396" s="94"/>
      <c r="AI4396" s="94"/>
    </row>
    <row r="4397" spans="1:36" s="43" customFormat="1" ht="12" customHeight="1" x14ac:dyDescent="0.25">
      <c r="A4397" s="410" t="s">
        <v>375</v>
      </c>
      <c r="B4397" s="410" t="s">
        <v>2650</v>
      </c>
      <c r="C4397" s="410"/>
      <c r="D4397" s="176" t="s">
        <v>14450</v>
      </c>
      <c r="E4397" s="313" t="s">
        <v>13737</v>
      </c>
      <c r="F4397" s="174">
        <v>42795</v>
      </c>
      <c r="G4397" s="181"/>
      <c r="H4397" s="176" t="s">
        <v>461</v>
      </c>
      <c r="I4397" s="176">
        <v>19</v>
      </c>
      <c r="J4397" s="900" t="s">
        <v>2755</v>
      </c>
      <c r="K4397" s="164" t="s">
        <v>13719</v>
      </c>
      <c r="L4397" s="164" t="s">
        <v>461</v>
      </c>
      <c r="M4397" s="164"/>
      <c r="N4397" s="164"/>
      <c r="O4397" s="164"/>
      <c r="P4397" s="173"/>
      <c r="Q4397" s="164" t="s">
        <v>13674</v>
      </c>
      <c r="R4397" s="177" t="s">
        <v>13703</v>
      </c>
      <c r="S4397" s="354"/>
      <c r="T4397" s="173"/>
      <c r="U4397" s="173" t="s">
        <v>2597</v>
      </c>
      <c r="V4397" s="173"/>
      <c r="W4397" s="313" t="s">
        <v>13737</v>
      </c>
      <c r="X4397" s="645" t="s">
        <v>12359</v>
      </c>
      <c r="Y4397" s="354"/>
      <c r="Z4397" s="157"/>
      <c r="AA4397" s="176"/>
      <c r="AB4397" s="32">
        <f t="shared" ca="1" si="112"/>
        <v>0.11138718096502476</v>
      </c>
      <c r="AC4397" s="812"/>
      <c r="AD4397" s="763"/>
      <c r="AE4397" s="807"/>
      <c r="AF4397" s="921">
        <f>IF(X4397=X4396,AF4396,0)+IF(ISNUMBER(I4397),IF(I4397&lt;1,I4397,I4397*VLOOKUP(J4397,Summary!$H$2:$I$9,2)),VLOOKUP(J4397,Summary!$J$2:$K$9,2)*IF(ISNUMBER(H4397),H4397,1))</f>
        <v>0.22689814814814818</v>
      </c>
      <c r="AG4397" s="289">
        <v>4396</v>
      </c>
      <c r="AH4397" s="94"/>
      <c r="AI4397" s="94"/>
      <c r="AJ4397" s="29"/>
    </row>
    <row r="4398" spans="1:36" s="22" customFormat="1" ht="12" customHeight="1" x14ac:dyDescent="0.25">
      <c r="A4398" s="410" t="s">
        <v>375</v>
      </c>
      <c r="B4398" s="410" t="s">
        <v>2650</v>
      </c>
      <c r="C4398" s="410"/>
      <c r="D4398" s="176" t="s">
        <v>14433</v>
      </c>
      <c r="E4398" s="313" t="s">
        <v>13722</v>
      </c>
      <c r="F4398" s="175">
        <v>42497</v>
      </c>
      <c r="G4398" s="181"/>
      <c r="H4398" s="176" t="s">
        <v>461</v>
      </c>
      <c r="I4398" s="176"/>
      <c r="J4398" s="900" t="s">
        <v>2755</v>
      </c>
      <c r="K4398" s="164" t="s">
        <v>3500</v>
      </c>
      <c r="L4398" s="164" t="s">
        <v>461</v>
      </c>
      <c r="M4398" s="164"/>
      <c r="N4398" s="164"/>
      <c r="O4398" s="164"/>
      <c r="P4398" s="173"/>
      <c r="Q4398" s="164" t="s">
        <v>13674</v>
      </c>
      <c r="R4398" s="177" t="s">
        <v>13703</v>
      </c>
      <c r="S4398" s="354"/>
      <c r="T4398" s="173"/>
      <c r="U4398" s="173" t="s">
        <v>2597</v>
      </c>
      <c r="V4398" s="173"/>
      <c r="W4398" s="313" t="s">
        <v>13722</v>
      </c>
      <c r="X4398" s="645" t="s">
        <v>12359</v>
      </c>
      <c r="Y4398" s="354"/>
      <c r="Z4398" s="157"/>
      <c r="AA4398" s="176"/>
      <c r="AB4398" s="32">
        <f t="shared" ca="1" si="112"/>
        <v>0.98008003307866409</v>
      </c>
      <c r="AC4398" s="812"/>
      <c r="AD4398" s="763"/>
      <c r="AE4398" s="807"/>
      <c r="AF4398" s="921">
        <f>IF(X4398=X4397,AF4397,0)+IF(ISNUMBER(I4398),IF(I4398&lt;1,I4398,I4398*VLOOKUP(J4398,Summary!$H$2:$I$9,2)),VLOOKUP(J4398,Summary!$J$2:$K$9,2)*IF(ISNUMBER(H4398),H4398,1))</f>
        <v>0.24425925925925929</v>
      </c>
      <c r="AG4398" s="289">
        <v>4397</v>
      </c>
      <c r="AH4398" s="94"/>
      <c r="AI4398" s="94"/>
    </row>
    <row r="4399" spans="1:36" s="3" customFormat="1" ht="12" customHeight="1" x14ac:dyDescent="0.25">
      <c r="A4399" s="553" t="s">
        <v>375</v>
      </c>
      <c r="B4399" s="554" t="s">
        <v>3221</v>
      </c>
      <c r="C4399" s="553">
        <v>16</v>
      </c>
      <c r="D4399" s="424" t="s">
        <v>4195</v>
      </c>
      <c r="E4399" s="319" t="s">
        <v>5467</v>
      </c>
      <c r="F4399" s="198">
        <v>40122</v>
      </c>
      <c r="G4399" s="198">
        <v>40123</v>
      </c>
      <c r="H4399" s="199">
        <v>2</v>
      </c>
      <c r="I4399" s="791">
        <f>TIME(0,28, 7)+TIME(0,28,15)</f>
        <v>3.9143518518518522E-2</v>
      </c>
      <c r="J4399" s="904" t="s">
        <v>1588</v>
      </c>
      <c r="K4399" s="200" t="s">
        <v>4152</v>
      </c>
      <c r="L4399" s="200" t="s">
        <v>1597</v>
      </c>
      <c r="M4399" s="200"/>
      <c r="N4399" s="200"/>
      <c r="O4399" s="200" t="s">
        <v>2771</v>
      </c>
      <c r="P4399" s="197" t="s">
        <v>461</v>
      </c>
      <c r="Q4399" s="200" t="s">
        <v>3946</v>
      </c>
      <c r="R4399" s="201" t="s">
        <v>5273</v>
      </c>
      <c r="S4399" s="390" t="s">
        <v>53</v>
      </c>
      <c r="T4399" s="197" t="s">
        <v>3074</v>
      </c>
      <c r="U4399" s="197" t="s">
        <v>3075</v>
      </c>
      <c r="V4399" s="197" t="s">
        <v>3072</v>
      </c>
      <c r="W4399" s="318"/>
      <c r="X4399" s="650" t="s">
        <v>12359</v>
      </c>
      <c r="Y4399" s="358" t="s">
        <v>7018</v>
      </c>
      <c r="Z4399" s="253">
        <v>1015</v>
      </c>
      <c r="AA4399" s="253">
        <v>5</v>
      </c>
      <c r="AB4399" s="35">
        <f t="shared" ca="1" si="112"/>
        <v>9.199041830246335E-3</v>
      </c>
      <c r="AC4399" s="820"/>
      <c r="AD4399" s="824" t="s">
        <v>14940</v>
      </c>
      <c r="AE4399" s="944"/>
      <c r="AF4399" s="925">
        <f>IF(X4399=X4398,AF4398,0)+IF(ISNUMBER(I4399),IF(I4399&lt;1,I4399,I4399*VLOOKUP(J4399,Summary!$H$2:$I$9,2)),VLOOKUP(J4399,Summary!$J$2:$K$9,2)*IF(ISNUMBER(H4399),H4399,1))</f>
        <v>0.28340277777777778</v>
      </c>
      <c r="AG4399" s="293">
        <v>4398</v>
      </c>
      <c r="AH4399" s="94"/>
      <c r="AI4399" s="94"/>
      <c r="AJ4399" s="1"/>
    </row>
    <row r="4400" spans="1:36" s="1" customFormat="1" ht="12" customHeight="1" x14ac:dyDescent="0.25">
      <c r="A4400" s="553" t="s">
        <v>375</v>
      </c>
      <c r="B4400" s="554" t="s">
        <v>3221</v>
      </c>
      <c r="C4400" s="553">
        <v>17</v>
      </c>
      <c r="D4400" s="424" t="s">
        <v>4196</v>
      </c>
      <c r="E4400" s="319" t="s">
        <v>6408</v>
      </c>
      <c r="F4400" s="198">
        <v>40129</v>
      </c>
      <c r="G4400" s="198">
        <v>40130</v>
      </c>
      <c r="H4400" s="199">
        <v>2</v>
      </c>
      <c r="I4400" s="791">
        <f>TIME(0,28,16)+TIME(0,27,48)</f>
        <v>3.8935185185185184E-2</v>
      </c>
      <c r="J4400" s="904" t="s">
        <v>1588</v>
      </c>
      <c r="K4400" s="200" t="s">
        <v>4152</v>
      </c>
      <c r="L4400" s="200" t="s">
        <v>2770</v>
      </c>
      <c r="M4400" s="200"/>
      <c r="N4400" s="200"/>
      <c r="O4400" s="200" t="s">
        <v>2771</v>
      </c>
      <c r="P4400" s="197" t="s">
        <v>461</v>
      </c>
      <c r="Q4400" s="200" t="s">
        <v>3946</v>
      </c>
      <c r="R4400" s="201" t="s">
        <v>5273</v>
      </c>
      <c r="S4400" s="390" t="s">
        <v>53</v>
      </c>
      <c r="T4400" s="197" t="s">
        <v>3074</v>
      </c>
      <c r="U4400" s="197" t="s">
        <v>3075</v>
      </c>
      <c r="V4400" s="197" t="s">
        <v>3072</v>
      </c>
      <c r="W4400" s="318"/>
      <c r="X4400" s="650" t="s">
        <v>12359</v>
      </c>
      <c r="Y4400" s="358" t="s">
        <v>7018</v>
      </c>
      <c r="Z4400" s="253">
        <v>1028</v>
      </c>
      <c r="AA4400" s="253">
        <v>1</v>
      </c>
      <c r="AB4400" s="35">
        <f t="shared" ca="1" si="112"/>
        <v>0.88391014938035173</v>
      </c>
      <c r="AC4400" s="820"/>
      <c r="AD4400" s="824" t="s">
        <v>14940</v>
      </c>
      <c r="AE4400" s="944"/>
      <c r="AF4400" s="925">
        <f>IF(X4400=X4399,AF4399,0)+IF(ISNUMBER(I4400),IF(I4400&lt;1,I4400,I4400*VLOOKUP(J4400,Summary!$H$2:$I$9,2)),VLOOKUP(J4400,Summary!$J$2:$K$9,2)*IF(ISNUMBER(H4400),H4400,1))</f>
        <v>0.32233796296296297</v>
      </c>
      <c r="AG4400" s="293">
        <v>4399</v>
      </c>
      <c r="AH4400" s="94"/>
      <c r="AI4400" s="94"/>
    </row>
    <row r="4401" spans="1:36" s="1" customFormat="1" ht="12" customHeight="1" x14ac:dyDescent="0.25">
      <c r="A4401" s="553" t="s">
        <v>375</v>
      </c>
      <c r="B4401" s="554" t="s">
        <v>3221</v>
      </c>
      <c r="C4401" s="553">
        <v>18</v>
      </c>
      <c r="D4401" s="424" t="s">
        <v>4197</v>
      </c>
      <c r="E4401" s="319" t="s">
        <v>6409</v>
      </c>
      <c r="F4401" s="198">
        <v>40136</v>
      </c>
      <c r="G4401" s="198">
        <v>40137</v>
      </c>
      <c r="H4401" s="199">
        <v>2</v>
      </c>
      <c r="I4401" s="791">
        <f>TIME(0,27,54)+TIME(0,27,46)</f>
        <v>3.8657407407407404E-2</v>
      </c>
      <c r="J4401" s="904" t="s">
        <v>1588</v>
      </c>
      <c r="K4401" s="200" t="s">
        <v>6410</v>
      </c>
      <c r="L4401" s="200" t="s">
        <v>1597</v>
      </c>
      <c r="M4401" s="200"/>
      <c r="N4401" s="200"/>
      <c r="O4401" s="200" t="s">
        <v>2771</v>
      </c>
      <c r="P4401" s="197" t="s">
        <v>461</v>
      </c>
      <c r="Q4401" s="200" t="s">
        <v>3946</v>
      </c>
      <c r="R4401" s="201" t="s">
        <v>5273</v>
      </c>
      <c r="S4401" s="390" t="s">
        <v>53</v>
      </c>
      <c r="T4401" s="197" t="s">
        <v>3074</v>
      </c>
      <c r="U4401" s="197" t="s">
        <v>3075</v>
      </c>
      <c r="V4401" s="197" t="s">
        <v>3072</v>
      </c>
      <c r="W4401" s="318"/>
      <c r="X4401" s="650" t="s">
        <v>12359</v>
      </c>
      <c r="Y4401" s="358" t="s">
        <v>7018</v>
      </c>
      <c r="Z4401" s="253">
        <v>1010</v>
      </c>
      <c r="AA4401" s="253">
        <v>6.5</v>
      </c>
      <c r="AB4401" s="35">
        <f t="shared" ca="1" si="112"/>
        <v>0.90979954688799258</v>
      </c>
      <c r="AC4401" s="820"/>
      <c r="AD4401" s="821" t="s">
        <v>14941</v>
      </c>
      <c r="AE4401" s="944"/>
      <c r="AF4401" s="925">
        <f>IF(X4401=X4400,AF4400,0)+IF(ISNUMBER(I4401),IF(I4401&lt;1,I4401,I4401*VLOOKUP(J4401,Summary!$H$2:$I$9,2)),VLOOKUP(J4401,Summary!$J$2:$K$9,2)*IF(ISNUMBER(H4401),H4401,1))</f>
        <v>0.36099537037037038</v>
      </c>
      <c r="AG4401" s="293">
        <v>4400</v>
      </c>
      <c r="AH4401" s="94"/>
      <c r="AI4401" s="94"/>
    </row>
    <row r="4402" spans="1:36" s="22" customFormat="1" ht="12" customHeight="1" x14ac:dyDescent="0.2">
      <c r="A4402" s="405" t="s">
        <v>375</v>
      </c>
      <c r="B4402" s="406" t="s">
        <v>3221</v>
      </c>
      <c r="C4402" s="405">
        <v>8</v>
      </c>
      <c r="D4402" s="407" t="s">
        <v>6386</v>
      </c>
      <c r="E4402" s="315" t="s">
        <v>1031</v>
      </c>
      <c r="F4402" s="196">
        <v>40224</v>
      </c>
      <c r="G4402" s="196"/>
      <c r="H4402" s="170" t="str">
        <f>IF(J4402="Book","n/a","")</f>
        <v/>
      </c>
      <c r="I4402" s="746">
        <f>TIME(1,19,42)</f>
        <v>5.5347222222222221E-2</v>
      </c>
      <c r="J4402" s="899" t="s">
        <v>4706</v>
      </c>
      <c r="K4402" s="167" t="s">
        <v>5146</v>
      </c>
      <c r="L4402" s="167" t="s">
        <v>3365</v>
      </c>
      <c r="M4402" s="167" t="s">
        <v>6401</v>
      </c>
      <c r="N4402" s="167"/>
      <c r="O4402" s="167" t="s">
        <v>3365</v>
      </c>
      <c r="P4402" s="168" t="s">
        <v>6385</v>
      </c>
      <c r="Q4402" s="167" t="s">
        <v>3951</v>
      </c>
      <c r="R4402" s="172" t="s">
        <v>2242</v>
      </c>
      <c r="S4402" s="388" t="s">
        <v>53</v>
      </c>
      <c r="T4402" s="168" t="s">
        <v>3074</v>
      </c>
      <c r="U4402" s="168" t="s">
        <v>3075</v>
      </c>
      <c r="V4402" s="168" t="s">
        <v>3072</v>
      </c>
      <c r="W4402" s="312"/>
      <c r="X4402" s="644" t="s">
        <v>12359</v>
      </c>
      <c r="Y4402" s="352" t="s">
        <v>5643</v>
      </c>
      <c r="Z4402" s="353"/>
      <c r="AA4402" s="353"/>
      <c r="AB4402" s="31">
        <f t="shared" ca="1" si="112"/>
        <v>0.36537000725115865</v>
      </c>
      <c r="AC4402" s="810"/>
      <c r="AD4402" s="811" t="s">
        <v>15881</v>
      </c>
      <c r="AE4402" s="940" t="s">
        <v>15882</v>
      </c>
      <c r="AF4402" s="920">
        <f>IF(X4402=X4401,AF4401,0)+IF(ISNUMBER(I4402),IF(I4402&lt;1,I4402,I4402*VLOOKUP(J4402,Summary!$H$2:$I$9,2)),VLOOKUP(J4402,Summary!$J$2:$K$9,2)*IF(ISNUMBER(H4402),H4402,1))</f>
        <v>0.4163425925925926</v>
      </c>
      <c r="AG4402" s="287">
        <v>4401</v>
      </c>
      <c r="AH4402" s="94"/>
      <c r="AI4402" s="94"/>
    </row>
    <row r="4403" spans="1:36" s="22" customFormat="1" ht="12" customHeight="1" x14ac:dyDescent="0.25">
      <c r="A4403" s="588"/>
      <c r="B4403" s="589" t="s">
        <v>2650</v>
      </c>
      <c r="C4403" s="588"/>
      <c r="D4403" s="509"/>
      <c r="E4403" s="335" t="s">
        <v>15355</v>
      </c>
      <c r="F4403" s="223">
        <v>40035</v>
      </c>
      <c r="G4403" s="223"/>
      <c r="H4403" s="242">
        <v>1</v>
      </c>
      <c r="I4403" s="792">
        <f>TIME(0,2,3)</f>
        <v>1.423611111111111E-3</v>
      </c>
      <c r="J4403" s="909" t="s">
        <v>1588</v>
      </c>
      <c r="K4403" s="243" t="s">
        <v>15356</v>
      </c>
      <c r="L4403" s="243" t="s">
        <v>6843</v>
      </c>
      <c r="M4403" s="243"/>
      <c r="N4403" s="243"/>
      <c r="O4403" s="243"/>
      <c r="P4403" s="241" t="s">
        <v>461</v>
      </c>
      <c r="Q4403" s="243" t="s">
        <v>3946</v>
      </c>
      <c r="R4403" s="244" t="s">
        <v>237</v>
      </c>
      <c r="S4403" s="395"/>
      <c r="T4403" s="241" t="s">
        <v>2597</v>
      </c>
      <c r="U4403" s="241"/>
      <c r="V4403" s="241"/>
      <c r="W4403" s="335" t="s">
        <v>15355</v>
      </c>
      <c r="X4403" s="667" t="s">
        <v>12511</v>
      </c>
      <c r="Y4403" s="375" t="s">
        <v>6141</v>
      </c>
      <c r="Z4403" s="377"/>
      <c r="AA4403" s="377"/>
      <c r="AB4403" s="55">
        <f t="shared" ca="1" si="112"/>
        <v>0.33195203869894041</v>
      </c>
      <c r="AC4403" s="834"/>
      <c r="AD4403" s="835"/>
      <c r="AE4403" s="957"/>
      <c r="AF4403" s="930">
        <f>IF(X4403=X4402,AF4402,0)+IF(ISNUMBER(I4403),IF(I4403&lt;1,I4403,I4403*VLOOKUP(J4403,Summary!$H$2:$I$9,2)),VLOOKUP(J4403,Summary!$J$2:$K$9,2)*IF(ISNUMBER(H4403),H4403,1))</f>
        <v>1.423611111111111E-3</v>
      </c>
      <c r="AG4403" s="302">
        <v>4402</v>
      </c>
      <c r="AH4403" s="94"/>
      <c r="AI4403" s="94"/>
    </row>
    <row r="4404" spans="1:36" s="22" customFormat="1" ht="12" customHeight="1" x14ac:dyDescent="0.25">
      <c r="A4404" s="604" t="s">
        <v>15669</v>
      </c>
      <c r="B4404" s="604">
        <v>10</v>
      </c>
      <c r="C4404" s="604">
        <v>31</v>
      </c>
      <c r="D4404" s="417" t="s">
        <v>7714</v>
      </c>
      <c r="E4404" s="316" t="s">
        <v>6848</v>
      </c>
      <c r="F4404" s="195">
        <v>39905</v>
      </c>
      <c r="G4404" s="195"/>
      <c r="H4404" s="188" t="str">
        <f>IF(J4404="Book","n/a","")</f>
        <v>n/a</v>
      </c>
      <c r="I4404" s="188">
        <v>247</v>
      </c>
      <c r="J4404" s="902" t="s">
        <v>6868</v>
      </c>
      <c r="K4404" s="162" t="s">
        <v>6355</v>
      </c>
      <c r="L4404" s="162" t="str">
        <f>IF(J4404="Book","n/a","")</f>
        <v>n/a</v>
      </c>
      <c r="M4404" s="162"/>
      <c r="N4404" s="162"/>
      <c r="O4404" s="162"/>
      <c r="P4404" s="178" t="s">
        <v>9046</v>
      </c>
      <c r="Q4404" s="162" t="s">
        <v>3953</v>
      </c>
      <c r="R4404" s="189" t="s">
        <v>2711</v>
      </c>
      <c r="S4404" s="366"/>
      <c r="T4404" s="178"/>
      <c r="U4404" s="178"/>
      <c r="V4404" s="178"/>
      <c r="W4404" s="316" t="s">
        <v>6848</v>
      </c>
      <c r="X4404" s="648" t="s">
        <v>12511</v>
      </c>
      <c r="Y4404" s="356"/>
      <c r="Z4404" s="272">
        <v>127</v>
      </c>
      <c r="AA4404" s="272">
        <v>5</v>
      </c>
      <c r="AB4404" s="34">
        <f t="shared" ca="1" si="112"/>
        <v>0.66211962449103101</v>
      </c>
      <c r="AC4404" s="814"/>
      <c r="AD4404" s="815" t="s">
        <v>16205</v>
      </c>
      <c r="AE4404" s="942"/>
      <c r="AF4404" s="923">
        <f>IF(X4404=X4403,AF4403,0)+IF(ISNUMBER(I4404),IF(I4404&lt;1,I4404,I4404*VLOOKUP(J4404,Summary!$H$2:$I$9,2)),VLOOKUP(J4404,Summary!$J$2:$K$9,2)*IF(ISNUMBER(H4404),H4404,1))</f>
        <v>0.17295138888888889</v>
      </c>
      <c r="AG4404" s="291">
        <v>4403</v>
      </c>
      <c r="AH4404" s="94"/>
      <c r="AI4404" s="94"/>
    </row>
    <row r="4405" spans="1:36" s="43" customFormat="1" ht="12" customHeight="1" x14ac:dyDescent="0.25">
      <c r="A4405" s="604" t="s">
        <v>15669</v>
      </c>
      <c r="B4405" s="604">
        <v>10</v>
      </c>
      <c r="C4405" s="604">
        <v>32</v>
      </c>
      <c r="D4405" s="417" t="s">
        <v>7715</v>
      </c>
      <c r="E4405" s="316" t="s">
        <v>6849</v>
      </c>
      <c r="F4405" s="195">
        <v>39905</v>
      </c>
      <c r="G4405" s="195"/>
      <c r="H4405" s="188" t="str">
        <f>IF(J4405="Book","n/a","")</f>
        <v>n/a</v>
      </c>
      <c r="I4405" s="188">
        <v>237</v>
      </c>
      <c r="J4405" s="902" t="s">
        <v>6868</v>
      </c>
      <c r="K4405" s="162" t="s">
        <v>5664</v>
      </c>
      <c r="L4405" s="162" t="str">
        <f>IF(J4405="Book","n/a","")</f>
        <v>n/a</v>
      </c>
      <c r="M4405" s="162"/>
      <c r="N4405" s="162"/>
      <c r="O4405" s="162"/>
      <c r="P4405" s="178" t="s">
        <v>9047</v>
      </c>
      <c r="Q4405" s="162" t="s">
        <v>3953</v>
      </c>
      <c r="R4405" s="189" t="s">
        <v>2711</v>
      </c>
      <c r="S4405" s="366"/>
      <c r="T4405" s="178"/>
      <c r="U4405" s="178"/>
      <c r="V4405" s="178"/>
      <c r="W4405" s="316" t="s">
        <v>6849</v>
      </c>
      <c r="X4405" s="648" t="s">
        <v>12511</v>
      </c>
      <c r="Y4405" s="356"/>
      <c r="Z4405" s="272"/>
      <c r="AA4405" s="272"/>
      <c r="AB4405" s="34">
        <f t="shared" ca="1" si="112"/>
        <v>0.19023513121559932</v>
      </c>
      <c r="AC4405" s="814"/>
      <c r="AD4405" s="818" t="s">
        <v>15043</v>
      </c>
      <c r="AE4405" s="942"/>
      <c r="AF4405" s="923">
        <f>IF(X4405=X4404,AF4404,0)+IF(ISNUMBER(I4405),IF(I4405&lt;1,I4405,I4405*VLOOKUP(J4405,Summary!$H$2:$I$9,2)),VLOOKUP(J4405,Summary!$J$2:$K$9,2)*IF(ISNUMBER(H4405),H4405,1))</f>
        <v>0.33753472222222225</v>
      </c>
      <c r="AG4405" s="291">
        <v>4404</v>
      </c>
      <c r="AH4405" s="94"/>
      <c r="AI4405" s="94"/>
      <c r="AJ4405" s="29"/>
    </row>
    <row r="4406" spans="1:36" s="43" customFormat="1" ht="12" customHeight="1" x14ac:dyDescent="0.25">
      <c r="A4406" s="604" t="s">
        <v>15669</v>
      </c>
      <c r="B4406" s="604">
        <v>10</v>
      </c>
      <c r="C4406" s="604">
        <v>33</v>
      </c>
      <c r="D4406" s="417" t="s">
        <v>7716</v>
      </c>
      <c r="E4406" s="316" t="s">
        <v>6850</v>
      </c>
      <c r="F4406" s="195">
        <v>39905</v>
      </c>
      <c r="G4406" s="195"/>
      <c r="H4406" s="188" t="str">
        <f>IF(J4406="Book","n/a","")</f>
        <v>n/a</v>
      </c>
      <c r="I4406" s="188">
        <v>249</v>
      </c>
      <c r="J4406" s="902" t="s">
        <v>6868</v>
      </c>
      <c r="K4406" s="162" t="s">
        <v>4032</v>
      </c>
      <c r="L4406" s="162" t="str">
        <f>IF(J4406="Book","n/a","")</f>
        <v>n/a</v>
      </c>
      <c r="M4406" s="162"/>
      <c r="N4406" s="162"/>
      <c r="O4406" s="162"/>
      <c r="P4406" s="178" t="s">
        <v>9048</v>
      </c>
      <c r="Q4406" s="162" t="s">
        <v>3953</v>
      </c>
      <c r="R4406" s="189" t="s">
        <v>2711</v>
      </c>
      <c r="S4406" s="366"/>
      <c r="T4406" s="178"/>
      <c r="U4406" s="178"/>
      <c r="V4406" s="178"/>
      <c r="W4406" s="316" t="s">
        <v>6850</v>
      </c>
      <c r="X4406" s="648" t="s">
        <v>12511</v>
      </c>
      <c r="Y4406" s="356"/>
      <c r="Z4406" s="272">
        <v>16</v>
      </c>
      <c r="AA4406" s="272">
        <v>9</v>
      </c>
      <c r="AB4406" s="34">
        <f t="shared" ca="1" si="112"/>
        <v>0.51470521416970649</v>
      </c>
      <c r="AC4406" s="814"/>
      <c r="AD4406" s="815" t="s">
        <v>16244</v>
      </c>
      <c r="AE4406" s="942" t="s">
        <v>12543</v>
      </c>
      <c r="AF4406" s="923">
        <f>IF(X4406=X4405,AF4405,0)+IF(ISNUMBER(I4406),IF(I4406&lt;1,I4406,I4406*VLOOKUP(J4406,Summary!$H$2:$I$9,2)),VLOOKUP(J4406,Summary!$J$2:$K$9,2)*IF(ISNUMBER(H4406),H4406,1))</f>
        <v>0.51045138888888886</v>
      </c>
      <c r="AG4406" s="291">
        <v>4405</v>
      </c>
      <c r="AH4406" s="94"/>
      <c r="AI4406" s="94"/>
      <c r="AJ4406" s="29"/>
    </row>
    <row r="4407" spans="1:36" s="43" customFormat="1" ht="12" customHeight="1" x14ac:dyDescent="0.25">
      <c r="A4407" s="599" t="s">
        <v>15669</v>
      </c>
      <c r="B4407" s="599">
        <v>10</v>
      </c>
      <c r="C4407" s="599">
        <v>200</v>
      </c>
      <c r="D4407" s="424" t="s">
        <v>6851</v>
      </c>
      <c r="E4407" s="319" t="s">
        <v>6852</v>
      </c>
      <c r="F4407" s="198">
        <v>39914</v>
      </c>
      <c r="G4407" s="198"/>
      <c r="H4407" s="199">
        <v>1</v>
      </c>
      <c r="I4407" s="791">
        <f>TIME(0,58,54)</f>
        <v>4.0902777777777781E-2</v>
      </c>
      <c r="J4407" s="904" t="s">
        <v>1588</v>
      </c>
      <c r="K4407" s="200" t="s">
        <v>6853</v>
      </c>
      <c r="L4407" s="200" t="s">
        <v>6949</v>
      </c>
      <c r="M4407" s="200"/>
      <c r="N4407" s="200" t="s">
        <v>3373</v>
      </c>
      <c r="O4407" s="200" t="s">
        <v>6854</v>
      </c>
      <c r="P4407" s="197" t="s">
        <v>461</v>
      </c>
      <c r="Q4407" s="200" t="s">
        <v>3946</v>
      </c>
      <c r="R4407" s="201" t="s">
        <v>5280</v>
      </c>
      <c r="S4407" s="390"/>
      <c r="T4407" s="197"/>
      <c r="U4407" s="197"/>
      <c r="V4407" s="197" t="s">
        <v>3078</v>
      </c>
      <c r="W4407" s="319" t="s">
        <v>6852</v>
      </c>
      <c r="X4407" s="651" t="s">
        <v>12511</v>
      </c>
      <c r="Y4407" s="358" t="s">
        <v>6141</v>
      </c>
      <c r="Z4407" s="253">
        <v>169</v>
      </c>
      <c r="AA4407" s="253">
        <v>5</v>
      </c>
      <c r="AB4407" s="35">
        <f t="shared" ca="1" si="112"/>
        <v>0.67274562429768059</v>
      </c>
      <c r="AC4407" s="820"/>
      <c r="AD4407" s="821" t="s">
        <v>14931</v>
      </c>
      <c r="AE4407" s="967"/>
      <c r="AF4407" s="925">
        <f>IF(X4407=X4406,AF4406,0)+IF(ISNUMBER(I4407),IF(I4407&lt;1,I4407,I4407*VLOOKUP(J4407,Summary!$H$2:$I$9,2)),VLOOKUP(J4407,Summary!$J$2:$K$9,2)*IF(ISNUMBER(H4407),H4407,1))</f>
        <v>0.55135416666666659</v>
      </c>
      <c r="AG4407" s="293">
        <v>4406</v>
      </c>
      <c r="AH4407" s="94"/>
      <c r="AI4407" s="94"/>
    </row>
    <row r="4408" spans="1:36" s="43" customFormat="1" ht="12" customHeight="1" x14ac:dyDescent="0.25">
      <c r="A4408" s="405" t="s">
        <v>15669</v>
      </c>
      <c r="B4408" s="406" t="s">
        <v>2650</v>
      </c>
      <c r="C4408" s="565">
        <v>1.01</v>
      </c>
      <c r="D4408" s="407" t="s">
        <v>15172</v>
      </c>
      <c r="E4408" s="315" t="s">
        <v>15174</v>
      </c>
      <c r="F4408" s="196">
        <v>43335</v>
      </c>
      <c r="G4408" s="170"/>
      <c r="H4408" s="170">
        <v>1</v>
      </c>
      <c r="I4408" s="747">
        <f>TIME(0,60,0)</f>
        <v>4.1666666666666664E-2</v>
      </c>
      <c r="J4408" s="899" t="s">
        <v>4706</v>
      </c>
      <c r="K4408" s="167" t="s">
        <v>5666</v>
      </c>
      <c r="L4408" s="167" t="s">
        <v>12662</v>
      </c>
      <c r="M4408" s="167"/>
      <c r="N4408" s="167" t="s">
        <v>6452</v>
      </c>
      <c r="O4408" s="167" t="s">
        <v>3295</v>
      </c>
      <c r="P4408" s="168" t="s">
        <v>15163</v>
      </c>
      <c r="Q4408" s="167" t="s">
        <v>3947</v>
      </c>
      <c r="R4408" s="172" t="s">
        <v>15166</v>
      </c>
      <c r="S4408" s="388"/>
      <c r="T4408" s="168"/>
      <c r="U4408" s="168"/>
      <c r="V4408" s="168" t="s">
        <v>3078</v>
      </c>
      <c r="W4408" s="315" t="s">
        <v>15174</v>
      </c>
      <c r="X4408" s="647" t="s">
        <v>12511</v>
      </c>
      <c r="Y4408" s="352"/>
      <c r="Z4408" s="353"/>
      <c r="AA4408" s="353"/>
      <c r="AB4408" s="31">
        <f t="shared" ca="1" si="112"/>
        <v>0.20835973741287384</v>
      </c>
      <c r="AC4408" s="810"/>
      <c r="AD4408" s="825"/>
      <c r="AE4408" s="940"/>
      <c r="AF4408" s="920">
        <f>IF(X4408=X4407,AF4407,0)+IF(ISNUMBER(I4408),IF(I4408&lt;1,I4408,I4408*VLOOKUP(J4408,Summary!$H$2:$I$9,2)),VLOOKUP(J4408,Summary!$J$2:$K$9,2)*IF(ISNUMBER(H4408),H4408,1))</f>
        <v>0.59302083333333322</v>
      </c>
      <c r="AG4408" s="287">
        <v>4407</v>
      </c>
      <c r="AH4408" s="94"/>
      <c r="AI4408" s="94"/>
      <c r="AJ4408" s="29"/>
    </row>
    <row r="4409" spans="1:36" s="29" customFormat="1" ht="12" customHeight="1" x14ac:dyDescent="0.25">
      <c r="A4409" s="405" t="s">
        <v>15669</v>
      </c>
      <c r="B4409" s="406" t="s">
        <v>2650</v>
      </c>
      <c r="C4409" s="565">
        <v>1.02</v>
      </c>
      <c r="D4409" s="407" t="s">
        <v>15173</v>
      </c>
      <c r="E4409" s="315" t="s">
        <v>15175</v>
      </c>
      <c r="F4409" s="196">
        <v>43335</v>
      </c>
      <c r="G4409" s="170"/>
      <c r="H4409" s="170">
        <v>1</v>
      </c>
      <c r="I4409" s="747">
        <f>TIME(0,60,0)</f>
        <v>4.1666666666666664E-2</v>
      </c>
      <c r="J4409" s="899" t="s">
        <v>4706</v>
      </c>
      <c r="K4409" s="167" t="s">
        <v>1643</v>
      </c>
      <c r="L4409" s="167" t="s">
        <v>12662</v>
      </c>
      <c r="M4409" s="167"/>
      <c r="N4409" s="167" t="s">
        <v>6452</v>
      </c>
      <c r="O4409" s="167" t="s">
        <v>3295</v>
      </c>
      <c r="P4409" s="168" t="s">
        <v>15163</v>
      </c>
      <c r="Q4409" s="167" t="s">
        <v>3947</v>
      </c>
      <c r="R4409" s="172" t="s">
        <v>15166</v>
      </c>
      <c r="S4409" s="388"/>
      <c r="T4409" s="168"/>
      <c r="U4409" s="168"/>
      <c r="V4409" s="168" t="s">
        <v>3078</v>
      </c>
      <c r="W4409" s="315" t="s">
        <v>15175</v>
      </c>
      <c r="X4409" s="647" t="s">
        <v>12511</v>
      </c>
      <c r="Y4409" s="352"/>
      <c r="Z4409" s="353"/>
      <c r="AA4409" s="353"/>
      <c r="AB4409" s="31">
        <f t="shared" ca="1" si="112"/>
        <v>0.6761380359248752</v>
      </c>
      <c r="AC4409" s="810"/>
      <c r="AD4409" s="825"/>
      <c r="AE4409" s="940"/>
      <c r="AF4409" s="920">
        <f>IF(X4409=X4408,AF4408,0)+IF(ISNUMBER(I4409),IF(I4409&lt;1,I4409,I4409*VLOOKUP(J4409,Summary!$H$2:$I$9,2)),VLOOKUP(J4409,Summary!$J$2:$K$9,2)*IF(ISNUMBER(H4409),H4409,1))</f>
        <v>0.63468749999999985</v>
      </c>
      <c r="AG4409" s="287">
        <v>4408</v>
      </c>
      <c r="AH4409" s="94"/>
      <c r="AI4409" s="94"/>
      <c r="AJ4409" s="43"/>
    </row>
    <row r="4410" spans="1:36" s="1" customFormat="1" ht="12" customHeight="1" x14ac:dyDescent="0.25">
      <c r="A4410" s="603" t="s">
        <v>15669</v>
      </c>
      <c r="B4410" s="603">
        <v>10</v>
      </c>
      <c r="C4410" s="603">
        <v>25</v>
      </c>
      <c r="D4410" s="428" t="s">
        <v>7806</v>
      </c>
      <c r="E4410" s="325" t="s">
        <v>7807</v>
      </c>
      <c r="F4410" s="184">
        <v>39932</v>
      </c>
      <c r="G4410" s="184">
        <v>39946</v>
      </c>
      <c r="H4410" s="185">
        <v>2</v>
      </c>
      <c r="I4410" s="185">
        <v>8</v>
      </c>
      <c r="J4410" s="901" t="s">
        <v>1796</v>
      </c>
      <c r="K4410" s="158" t="s">
        <v>4797</v>
      </c>
      <c r="L4410" s="158" t="s">
        <v>7928</v>
      </c>
      <c r="M4410" s="158" t="s">
        <v>254</v>
      </c>
      <c r="N4410" s="158" t="s">
        <v>4511</v>
      </c>
      <c r="O4410" s="158"/>
      <c r="P4410" s="182" t="s">
        <v>461</v>
      </c>
      <c r="Q4410" s="158" t="s">
        <v>4798</v>
      </c>
      <c r="R4410" s="207" t="s">
        <v>4795</v>
      </c>
      <c r="S4410" s="355"/>
      <c r="T4410" s="182"/>
      <c r="U4410" s="182"/>
      <c r="V4410" s="182"/>
      <c r="W4410" s="321" t="s">
        <v>8479</v>
      </c>
      <c r="X4410" s="653" t="s">
        <v>12511</v>
      </c>
      <c r="Y4410" s="361"/>
      <c r="Z4410" s="362"/>
      <c r="AA4410" s="362"/>
      <c r="AB4410" s="33">
        <f t="shared" ca="1" si="112"/>
        <v>0.5539936203975574</v>
      </c>
      <c r="AC4410" s="813"/>
      <c r="AD4410" s="211"/>
      <c r="AE4410" s="949"/>
      <c r="AF4410" s="922">
        <f>IF(X4410=X4409,AF4409,0)+IF(ISNUMBER(I4410),IF(I4410&lt;1,I4410,I4410*VLOOKUP(J4410,Summary!$H$2:$I$9,2)),VLOOKUP(J4410,Summary!$J$2:$K$9,2)*IF(ISNUMBER(H4410),H4410,1))</f>
        <v>0.63746527777777762</v>
      </c>
      <c r="AG4410" s="295">
        <v>4409</v>
      </c>
      <c r="AH4410" s="94"/>
      <c r="AI4410" s="94"/>
      <c r="AJ4410" s="43"/>
    </row>
    <row r="4411" spans="1:36" s="1" customFormat="1" ht="12" customHeight="1" x14ac:dyDescent="0.25">
      <c r="A4411" s="605" t="s">
        <v>15669</v>
      </c>
      <c r="B4411" s="605">
        <v>10</v>
      </c>
      <c r="C4411" s="605">
        <v>1.4</v>
      </c>
      <c r="D4411" s="407" t="s">
        <v>13087</v>
      </c>
      <c r="E4411" s="315" t="s">
        <v>13092</v>
      </c>
      <c r="F4411" s="196">
        <v>43165</v>
      </c>
      <c r="G4411" s="196"/>
      <c r="H4411" s="170">
        <v>1</v>
      </c>
      <c r="I4411" s="747">
        <f>TIME(0,60,0)</f>
        <v>4.1666666666666664E-2</v>
      </c>
      <c r="J4411" s="899" t="s">
        <v>4706</v>
      </c>
      <c r="K4411" s="167" t="s">
        <v>6452</v>
      </c>
      <c r="L4411" s="167" t="s">
        <v>12662</v>
      </c>
      <c r="M4411" s="167"/>
      <c r="N4411" s="167"/>
      <c r="O4411" s="167"/>
      <c r="P4411" s="168" t="s">
        <v>13085</v>
      </c>
      <c r="Q4411" s="167" t="s">
        <v>3947</v>
      </c>
      <c r="R4411" s="172" t="s">
        <v>13086</v>
      </c>
      <c r="S4411" s="388"/>
      <c r="T4411" s="168"/>
      <c r="U4411" s="168"/>
      <c r="V4411" s="168"/>
      <c r="W4411" s="315" t="s">
        <v>13092</v>
      </c>
      <c r="X4411" s="647" t="s">
        <v>12511</v>
      </c>
      <c r="Y4411" s="352"/>
      <c r="Z4411" s="353"/>
      <c r="AA4411" s="353"/>
      <c r="AB4411" s="31">
        <f t="shared" ca="1" si="112"/>
        <v>0.72460386162404811</v>
      </c>
      <c r="AC4411" s="810"/>
      <c r="AD4411" s="811"/>
      <c r="AE4411" s="940"/>
      <c r="AF4411" s="920">
        <f>IF(X4411=X4410,AF4410,0)+IF(ISNUMBER(I4411),IF(I4411&lt;1,I4411,I4411*VLOOKUP(J4411,Summary!$H$2:$I$9,2)),VLOOKUP(J4411,Summary!$J$2:$K$9,2)*IF(ISNUMBER(H4411),H4411,1))</f>
        <v>0.67913194444444425</v>
      </c>
      <c r="AG4411" s="287">
        <v>4410</v>
      </c>
      <c r="AH4411" s="94"/>
      <c r="AI4411" s="94"/>
    </row>
    <row r="4412" spans="1:36" s="3" customFormat="1" ht="12" customHeight="1" x14ac:dyDescent="0.25">
      <c r="A4412" s="600" t="s">
        <v>15669</v>
      </c>
      <c r="B4412" s="600">
        <v>10</v>
      </c>
      <c r="C4412" s="600">
        <v>2010.01</v>
      </c>
      <c r="D4412" s="434" t="s">
        <v>1730</v>
      </c>
      <c r="E4412" s="324" t="s">
        <v>1731</v>
      </c>
      <c r="F4412" s="174">
        <v>40026</v>
      </c>
      <c r="G4412" s="175"/>
      <c r="H4412" s="176" t="s">
        <v>461</v>
      </c>
      <c r="I4412" s="176">
        <v>10</v>
      </c>
      <c r="J4412" s="900" t="s">
        <v>2755</v>
      </c>
      <c r="K4412" s="157" t="s">
        <v>1641</v>
      </c>
      <c r="L4412" s="157" t="s">
        <v>3835</v>
      </c>
      <c r="M4412" s="157"/>
      <c r="N4412" s="157"/>
      <c r="O4412" s="157"/>
      <c r="P4412" s="173" t="s">
        <v>774</v>
      </c>
      <c r="Q4412" s="157" t="s">
        <v>4841</v>
      </c>
      <c r="R4412" s="179" t="s">
        <v>3976</v>
      </c>
      <c r="S4412" s="354"/>
      <c r="T4412" s="173"/>
      <c r="U4412" s="173"/>
      <c r="V4412" s="173"/>
      <c r="W4412" s="324" t="s">
        <v>1731</v>
      </c>
      <c r="X4412" s="656" t="s">
        <v>12511</v>
      </c>
      <c r="Y4412" s="363" t="s">
        <v>6868</v>
      </c>
      <c r="Z4412" s="364">
        <v>999</v>
      </c>
      <c r="AA4412" s="364"/>
      <c r="AB4412" s="32">
        <f t="shared" ca="1" si="112"/>
        <v>0.26049926595255601</v>
      </c>
      <c r="AC4412" s="812"/>
      <c r="AD4412" s="763"/>
      <c r="AE4412" s="951"/>
      <c r="AF4412" s="921">
        <f>IF(X4412=X4411,AF4411,0)+IF(ISNUMBER(I4412),IF(I4412&lt;1,I4412,I4412*VLOOKUP(J4412,Summary!$H$2:$I$9,2)),VLOOKUP(J4412,Summary!$J$2:$K$9,2)*IF(ISNUMBER(H4412),H4412,1))</f>
        <v>0.68607638888888867</v>
      </c>
      <c r="AG4412" s="288">
        <v>4411</v>
      </c>
      <c r="AH4412" s="94"/>
      <c r="AI4412" s="94"/>
      <c r="AJ4412" s="29"/>
    </row>
    <row r="4413" spans="1:36" s="1" customFormat="1" ht="12" customHeight="1" x14ac:dyDescent="0.25">
      <c r="A4413" s="600" t="s">
        <v>15669</v>
      </c>
      <c r="B4413" s="600">
        <v>10</v>
      </c>
      <c r="C4413" s="600">
        <v>2010.02</v>
      </c>
      <c r="D4413" s="434" t="s">
        <v>1730</v>
      </c>
      <c r="E4413" s="324" t="s">
        <v>1732</v>
      </c>
      <c r="F4413" s="174">
        <v>40026</v>
      </c>
      <c r="G4413" s="175"/>
      <c r="H4413" s="176" t="s">
        <v>461</v>
      </c>
      <c r="I4413" s="176">
        <v>9</v>
      </c>
      <c r="J4413" s="900" t="s">
        <v>2755</v>
      </c>
      <c r="K4413" s="157" t="s">
        <v>4552</v>
      </c>
      <c r="L4413" s="157" t="s">
        <v>3543</v>
      </c>
      <c r="M4413" s="157"/>
      <c r="N4413" s="157"/>
      <c r="O4413" s="157"/>
      <c r="P4413" s="173" t="s">
        <v>774</v>
      </c>
      <c r="Q4413" s="157" t="s">
        <v>4841</v>
      </c>
      <c r="R4413" s="179" t="s">
        <v>3976</v>
      </c>
      <c r="S4413" s="354"/>
      <c r="T4413" s="173"/>
      <c r="U4413" s="173"/>
      <c r="V4413" s="173"/>
      <c r="W4413" s="324" t="s">
        <v>1732</v>
      </c>
      <c r="X4413" s="656" t="s">
        <v>12511</v>
      </c>
      <c r="Y4413" s="363" t="s">
        <v>6868</v>
      </c>
      <c r="Z4413" s="364">
        <v>999</v>
      </c>
      <c r="AA4413" s="364"/>
      <c r="AB4413" s="32">
        <f t="shared" ca="1" si="112"/>
        <v>0.20568374283134117</v>
      </c>
      <c r="AC4413" s="812"/>
      <c r="AD4413" s="763"/>
      <c r="AE4413" s="951"/>
      <c r="AF4413" s="921">
        <f>IF(X4413=X4412,AF4412,0)+IF(ISNUMBER(I4413),IF(I4413&lt;1,I4413,I4413*VLOOKUP(J4413,Summary!$H$2:$I$9,2)),VLOOKUP(J4413,Summary!$J$2:$K$9,2)*IF(ISNUMBER(H4413),H4413,1))</f>
        <v>0.69232638888888864</v>
      </c>
      <c r="AG4413" s="288">
        <v>4412</v>
      </c>
      <c r="AH4413" s="94"/>
      <c r="AI4413" s="94"/>
      <c r="AJ4413" s="43"/>
    </row>
    <row r="4414" spans="1:36" s="1" customFormat="1" ht="12" customHeight="1" x14ac:dyDescent="0.25">
      <c r="A4414" s="604" t="s">
        <v>15669</v>
      </c>
      <c r="B4414" s="604">
        <v>10</v>
      </c>
      <c r="C4414" s="604">
        <v>34</v>
      </c>
      <c r="D4414" s="417" t="s">
        <v>7717</v>
      </c>
      <c r="E4414" s="316" t="s">
        <v>4143</v>
      </c>
      <c r="F4414" s="195">
        <v>40059</v>
      </c>
      <c r="G4414" s="195"/>
      <c r="H4414" s="188" t="str">
        <f>IF(J4414="Book","n/a","")</f>
        <v>n/a</v>
      </c>
      <c r="I4414" s="188">
        <v>241</v>
      </c>
      <c r="J4414" s="902" t="s">
        <v>6868</v>
      </c>
      <c r="K4414" s="162" t="s">
        <v>4146</v>
      </c>
      <c r="L4414" s="162" t="str">
        <f>IF(J4414="Book","n/a","")</f>
        <v>n/a</v>
      </c>
      <c r="M4414" s="162"/>
      <c r="N4414" s="162"/>
      <c r="O4414" s="162"/>
      <c r="P4414" s="178" t="s">
        <v>9049</v>
      </c>
      <c r="Q4414" s="162" t="s">
        <v>3953</v>
      </c>
      <c r="R4414" s="189" t="s">
        <v>2711</v>
      </c>
      <c r="S4414" s="366"/>
      <c r="T4414" s="178"/>
      <c r="U4414" s="178"/>
      <c r="V4414" s="178"/>
      <c r="W4414" s="316" t="s">
        <v>4143</v>
      </c>
      <c r="X4414" s="648" t="s">
        <v>12511</v>
      </c>
      <c r="Y4414" s="356"/>
      <c r="Z4414" s="272">
        <v>179</v>
      </c>
      <c r="AA4414" s="272">
        <v>3.5</v>
      </c>
      <c r="AB4414" s="34">
        <f t="shared" ca="1" si="112"/>
        <v>0.46098984843659441</v>
      </c>
      <c r="AC4414" s="814"/>
      <c r="AD4414" s="815" t="s">
        <v>16213</v>
      </c>
      <c r="AE4414" s="942"/>
      <c r="AF4414" s="923">
        <f>IF(X4414=X4413,AF4413,0)+IF(ISNUMBER(I4414),IF(I4414&lt;1,I4414,I4414*VLOOKUP(J4414,Summary!$H$2:$I$9,2)),VLOOKUP(J4414,Summary!$J$2:$K$9,2)*IF(ISNUMBER(H4414),H4414,1))</f>
        <v>0.85968749999999972</v>
      </c>
      <c r="AG4414" s="291">
        <v>4413</v>
      </c>
      <c r="AH4414" s="94"/>
      <c r="AI4414" s="94"/>
      <c r="AJ4414" s="43"/>
    </row>
    <row r="4415" spans="1:36" s="1" customFormat="1" ht="12" customHeight="1" x14ac:dyDescent="0.25">
      <c r="A4415" s="600" t="s">
        <v>15669</v>
      </c>
      <c r="B4415" s="600">
        <v>10</v>
      </c>
      <c r="C4415" s="600">
        <v>6</v>
      </c>
      <c r="D4415" s="176" t="s">
        <v>13114</v>
      </c>
      <c r="E4415" s="313" t="s">
        <v>13119</v>
      </c>
      <c r="F4415" s="175">
        <v>41767</v>
      </c>
      <c r="G4415" s="174"/>
      <c r="H4415" s="176">
        <v>1</v>
      </c>
      <c r="I4415" s="176"/>
      <c r="J4415" s="900" t="s">
        <v>2755</v>
      </c>
      <c r="K4415" s="164" t="s">
        <v>13122</v>
      </c>
      <c r="L4415" s="164" t="s">
        <v>461</v>
      </c>
      <c r="M4415" s="164"/>
      <c r="N4415" s="164"/>
      <c r="O4415" s="164"/>
      <c r="P4415" s="173"/>
      <c r="Q4415" s="164" t="s">
        <v>2173</v>
      </c>
      <c r="R4415" s="177" t="s">
        <v>10233</v>
      </c>
      <c r="S4415" s="354"/>
      <c r="T4415" s="173"/>
      <c r="U4415" s="173"/>
      <c r="V4415" s="173"/>
      <c r="W4415" s="313" t="s">
        <v>13119</v>
      </c>
      <c r="X4415" s="656" t="s">
        <v>12511</v>
      </c>
      <c r="Y4415" s="354"/>
      <c r="Z4415" s="176"/>
      <c r="AA4415" s="176"/>
      <c r="AB4415" s="32">
        <f t="shared" ca="1" si="112"/>
        <v>0.67790989797087287</v>
      </c>
      <c r="AC4415" s="812"/>
      <c r="AD4415" s="763"/>
      <c r="AE4415" s="807"/>
      <c r="AF4415" s="921">
        <f>IF(X4415=X4414,AF4414,0)+IF(ISNUMBER(I4415),IF(I4415&lt;1,I4415,I4415*VLOOKUP(J4415,Summary!$H$2:$I$9,2)),VLOOKUP(J4415,Summary!$J$2:$K$9,2)*IF(ISNUMBER(H4415),H4415,1))</f>
        <v>0.87704861111111088</v>
      </c>
      <c r="AG4415" s="289">
        <v>4414</v>
      </c>
      <c r="AH4415" s="94"/>
      <c r="AI4415" s="94"/>
      <c r="AJ4415" s="43"/>
    </row>
    <row r="4416" spans="1:36" s="1" customFormat="1" ht="12" customHeight="1" x14ac:dyDescent="0.25">
      <c r="A4416" s="603" t="s">
        <v>15669</v>
      </c>
      <c r="B4416" s="603">
        <v>10</v>
      </c>
      <c r="C4416" s="603">
        <v>6</v>
      </c>
      <c r="D4416" s="428" t="s">
        <v>2148</v>
      </c>
      <c r="E4416" s="325" t="s">
        <v>7440</v>
      </c>
      <c r="F4416" s="183">
        <v>39995</v>
      </c>
      <c r="G4416" s="183"/>
      <c r="H4416" s="185">
        <v>1</v>
      </c>
      <c r="I4416" s="185">
        <v>22</v>
      </c>
      <c r="J4416" s="901" t="s">
        <v>1796</v>
      </c>
      <c r="K4416" s="158" t="s">
        <v>2151</v>
      </c>
      <c r="L4416" s="158" t="s">
        <v>2152</v>
      </c>
      <c r="M4416" s="158" t="s">
        <v>6576</v>
      </c>
      <c r="N4416" s="158" t="s">
        <v>6573</v>
      </c>
      <c r="O4416" s="158"/>
      <c r="P4416" s="182" t="s">
        <v>461</v>
      </c>
      <c r="Q4416" s="158" t="s">
        <v>5719</v>
      </c>
      <c r="R4416" s="207" t="s">
        <v>5718</v>
      </c>
      <c r="S4416" s="355"/>
      <c r="T4416" s="182"/>
      <c r="U4416" s="182"/>
      <c r="V4416" s="182"/>
      <c r="W4416" s="325" t="s">
        <v>7440</v>
      </c>
      <c r="X4416" s="657" t="s">
        <v>12511</v>
      </c>
      <c r="Y4416" s="355" t="s">
        <v>6000</v>
      </c>
      <c r="Z4416" s="362"/>
      <c r="AA4416" s="362"/>
      <c r="AB4416" s="33">
        <f t="shared" ca="1" si="112"/>
        <v>0.68419377834685802</v>
      </c>
      <c r="AC4416" s="813"/>
      <c r="AD4416" s="211"/>
      <c r="AE4416" s="941"/>
      <c r="AF4416" s="922">
        <f>IF(X4416=X4415,AF4415,0)+IF(ISNUMBER(I4416),IF(I4416&lt;1,I4416,I4416*VLOOKUP(J4416,Summary!$H$2:$I$9,2)),VLOOKUP(J4416,Summary!$J$2:$K$9,2)*IF(ISNUMBER(H4416),H4416,1))</f>
        <v>0.88468749999999974</v>
      </c>
      <c r="AG4416" s="290">
        <v>4415</v>
      </c>
      <c r="AH4416" s="94"/>
      <c r="AI4416" s="94"/>
      <c r="AJ4416" s="43"/>
    </row>
    <row r="4417" spans="1:36" s="7" customFormat="1" ht="12" customHeight="1" x14ac:dyDescent="0.25">
      <c r="A4417" s="603" t="s">
        <v>15669</v>
      </c>
      <c r="B4417" s="603">
        <v>10</v>
      </c>
      <c r="C4417" s="603">
        <v>134</v>
      </c>
      <c r="D4417" s="428" t="s">
        <v>6827</v>
      </c>
      <c r="E4417" s="325" t="s">
        <v>7688</v>
      </c>
      <c r="F4417" s="184">
        <v>39736</v>
      </c>
      <c r="G4417" s="184">
        <v>39792</v>
      </c>
      <c r="H4417" s="185">
        <v>3</v>
      </c>
      <c r="I4417" s="185">
        <v>31</v>
      </c>
      <c r="J4417" s="901" t="s">
        <v>1796</v>
      </c>
      <c r="K4417" s="158" t="s">
        <v>6060</v>
      </c>
      <c r="L4417" s="158" t="s">
        <v>6057</v>
      </c>
      <c r="M4417" s="158" t="s">
        <v>252</v>
      </c>
      <c r="N4417" s="158" t="s">
        <v>1279</v>
      </c>
      <c r="O4417" s="158"/>
      <c r="P4417" s="182" t="s">
        <v>461</v>
      </c>
      <c r="Q4417" s="158" t="s">
        <v>4104</v>
      </c>
      <c r="R4417" s="207" t="s">
        <v>5266</v>
      </c>
      <c r="S4417" s="355" t="s">
        <v>1827</v>
      </c>
      <c r="T4417" s="182"/>
      <c r="U4417" s="182"/>
      <c r="V4417" s="182"/>
      <c r="W4417" s="321"/>
      <c r="X4417" s="653" t="s">
        <v>12511</v>
      </c>
      <c r="Y4417" s="361"/>
      <c r="Z4417" s="362"/>
      <c r="AA4417" s="362"/>
      <c r="AB4417" s="33">
        <f t="shared" ca="1" si="112"/>
        <v>0.89755539015985641</v>
      </c>
      <c r="AC4417" s="813"/>
      <c r="AD4417" s="211" t="s">
        <v>16497</v>
      </c>
      <c r="AE4417" s="949" t="s">
        <v>12543</v>
      </c>
      <c r="AF4417" s="922">
        <f>IF(X4417=X4416,AF4416,0)+IF(ISNUMBER(I4417),IF(I4417&lt;1,I4417,I4417*VLOOKUP(J4417,Summary!$H$2:$I$9,2)),VLOOKUP(J4417,Summary!$J$2:$K$9,2)*IF(ISNUMBER(H4417),H4417,1))</f>
        <v>0.89545138888888864</v>
      </c>
      <c r="AG4417" s="295">
        <v>4416</v>
      </c>
      <c r="AH4417" s="94"/>
      <c r="AI4417" s="94"/>
      <c r="AJ4417" s="43"/>
    </row>
    <row r="4418" spans="1:36" s="7" customFormat="1" ht="12" customHeight="1" x14ac:dyDescent="0.25">
      <c r="A4418" s="603" t="s">
        <v>15669</v>
      </c>
      <c r="B4418" s="603">
        <v>10</v>
      </c>
      <c r="C4418" s="603">
        <v>135</v>
      </c>
      <c r="D4418" s="428" t="s">
        <v>1828</v>
      </c>
      <c r="E4418" s="325" t="s">
        <v>7689</v>
      </c>
      <c r="F4418" s="184">
        <v>39820</v>
      </c>
      <c r="G4418" s="184">
        <v>39876</v>
      </c>
      <c r="H4418" s="185">
        <v>3</v>
      </c>
      <c r="I4418" s="185">
        <v>30</v>
      </c>
      <c r="J4418" s="901" t="s">
        <v>1796</v>
      </c>
      <c r="K4418" s="158" t="s">
        <v>6060</v>
      </c>
      <c r="L4418" s="158" t="s">
        <v>3828</v>
      </c>
      <c r="M4418" s="158" t="s">
        <v>252</v>
      </c>
      <c r="N4418" s="158" t="s">
        <v>1279</v>
      </c>
      <c r="O4418" s="158"/>
      <c r="P4418" s="182" t="s">
        <v>461</v>
      </c>
      <c r="Q4418" s="158" t="s">
        <v>4104</v>
      </c>
      <c r="R4418" s="207" t="s">
        <v>5266</v>
      </c>
      <c r="S4418" s="355" t="s">
        <v>1827</v>
      </c>
      <c r="T4418" s="182"/>
      <c r="U4418" s="182"/>
      <c r="V4418" s="182"/>
      <c r="W4418" s="321"/>
      <c r="X4418" s="653" t="s">
        <v>12511</v>
      </c>
      <c r="Y4418" s="361"/>
      <c r="Z4418" s="362"/>
      <c r="AA4418" s="362"/>
      <c r="AB4418" s="33">
        <f t="shared" ref="AB4418:AB4481" ca="1" si="113">RAND()</f>
        <v>0.65377972875708301</v>
      </c>
      <c r="AC4418" s="813"/>
      <c r="AD4418" s="211" t="s">
        <v>15870</v>
      </c>
      <c r="AE4418" s="949"/>
      <c r="AF4418" s="922">
        <f>IF(X4418=X4417,AF4417,0)+IF(ISNUMBER(I4418),IF(I4418&lt;1,I4418,I4418*VLOOKUP(J4418,Summary!$H$2:$I$9,2)),VLOOKUP(J4418,Summary!$J$2:$K$9,2)*IF(ISNUMBER(H4418),H4418,1))</f>
        <v>0.90586805555555527</v>
      </c>
      <c r="AG4418" s="295">
        <v>4417</v>
      </c>
      <c r="AH4418" s="94"/>
      <c r="AI4418" s="94"/>
      <c r="AJ4418" s="43"/>
    </row>
    <row r="4419" spans="1:36" s="29" customFormat="1" ht="12" customHeight="1" x14ac:dyDescent="0.25">
      <c r="A4419" s="603" t="s">
        <v>15669</v>
      </c>
      <c r="B4419" s="603">
        <v>10</v>
      </c>
      <c r="C4419" s="603">
        <v>136</v>
      </c>
      <c r="D4419" s="428" t="s">
        <v>1830</v>
      </c>
      <c r="E4419" s="325" t="s">
        <v>7690</v>
      </c>
      <c r="F4419" s="184">
        <v>39904</v>
      </c>
      <c r="G4419" s="184">
        <v>39932</v>
      </c>
      <c r="H4419" s="185">
        <v>2</v>
      </c>
      <c r="I4419" s="185">
        <v>20</v>
      </c>
      <c r="J4419" s="901" t="s">
        <v>1796</v>
      </c>
      <c r="K4419" s="158" t="s">
        <v>6060</v>
      </c>
      <c r="L4419" s="158" t="s">
        <v>1829</v>
      </c>
      <c r="M4419" s="158" t="s">
        <v>252</v>
      </c>
      <c r="N4419" s="158" t="s">
        <v>1279</v>
      </c>
      <c r="O4419" s="158"/>
      <c r="P4419" s="182" t="s">
        <v>461</v>
      </c>
      <c r="Q4419" s="158" t="s">
        <v>4104</v>
      </c>
      <c r="R4419" s="207" t="s">
        <v>5266</v>
      </c>
      <c r="S4419" s="355" t="s">
        <v>1827</v>
      </c>
      <c r="T4419" s="182"/>
      <c r="U4419" s="182"/>
      <c r="V4419" s="182"/>
      <c r="W4419" s="321"/>
      <c r="X4419" s="653" t="s">
        <v>12511</v>
      </c>
      <c r="Y4419" s="361"/>
      <c r="Z4419" s="362"/>
      <c r="AA4419" s="362"/>
      <c r="AB4419" s="33">
        <f t="shared" ca="1" si="113"/>
        <v>0.81184702112084117</v>
      </c>
      <c r="AC4419" s="813"/>
      <c r="AD4419" s="211" t="s">
        <v>16500</v>
      </c>
      <c r="AE4419" s="949" t="s">
        <v>12543</v>
      </c>
      <c r="AF4419" s="922">
        <f>IF(X4419=X4418,AF4418,0)+IF(ISNUMBER(I4419),IF(I4419&lt;1,I4419,I4419*VLOOKUP(J4419,Summary!$H$2:$I$9,2)),VLOOKUP(J4419,Summary!$J$2:$K$9,2)*IF(ISNUMBER(H4419),H4419,1))</f>
        <v>0.91281249999999969</v>
      </c>
      <c r="AG4419" s="295">
        <v>4418</v>
      </c>
      <c r="AH4419" s="94"/>
      <c r="AI4419" s="94"/>
    </row>
    <row r="4420" spans="1:36" s="45" customFormat="1" ht="12" customHeight="1" x14ac:dyDescent="0.3">
      <c r="A4420" s="603" t="s">
        <v>15669</v>
      </c>
      <c r="B4420" s="603">
        <v>10</v>
      </c>
      <c r="C4420" s="603">
        <v>137</v>
      </c>
      <c r="D4420" s="428" t="s">
        <v>1831</v>
      </c>
      <c r="E4420" s="325" t="s">
        <v>7691</v>
      </c>
      <c r="F4420" s="184">
        <v>39960</v>
      </c>
      <c r="G4420" s="184">
        <v>40044</v>
      </c>
      <c r="H4420" s="185">
        <v>4</v>
      </c>
      <c r="I4420" s="185">
        <v>40</v>
      </c>
      <c r="J4420" s="901" t="s">
        <v>1796</v>
      </c>
      <c r="K4420" s="158" t="s">
        <v>6060</v>
      </c>
      <c r="L4420" s="158" t="s">
        <v>6057</v>
      </c>
      <c r="M4420" s="158" t="s">
        <v>252</v>
      </c>
      <c r="N4420" s="158" t="s">
        <v>1279</v>
      </c>
      <c r="O4420" s="158"/>
      <c r="P4420" s="182" t="s">
        <v>461</v>
      </c>
      <c r="Q4420" s="158" t="s">
        <v>4104</v>
      </c>
      <c r="R4420" s="207" t="s">
        <v>5266</v>
      </c>
      <c r="S4420" s="355" t="s">
        <v>1827</v>
      </c>
      <c r="T4420" s="182"/>
      <c r="U4420" s="182"/>
      <c r="V4420" s="182"/>
      <c r="W4420" s="321"/>
      <c r="X4420" s="653" t="s">
        <v>12511</v>
      </c>
      <c r="Y4420" s="361"/>
      <c r="Z4420" s="362"/>
      <c r="AA4420" s="362"/>
      <c r="AB4420" s="33">
        <f t="shared" ca="1" si="113"/>
        <v>0.19277319785382629</v>
      </c>
      <c r="AC4420" s="813"/>
      <c r="AD4420" s="211" t="s">
        <v>15879</v>
      </c>
      <c r="AE4420" s="949"/>
      <c r="AF4420" s="922">
        <f>IF(X4420=X4419,AF4419,0)+IF(ISNUMBER(I4420),IF(I4420&lt;1,I4420,I4420*VLOOKUP(J4420,Summary!$H$2:$I$9,2)),VLOOKUP(J4420,Summary!$J$2:$K$9,2)*IF(ISNUMBER(H4420),H4420,1))</f>
        <v>0.92670138888888853</v>
      </c>
      <c r="AG4420" s="295">
        <v>4419</v>
      </c>
      <c r="AH4420" s="94"/>
      <c r="AI4420" s="94"/>
      <c r="AJ4420" s="1"/>
    </row>
    <row r="4421" spans="1:36" s="45" customFormat="1" ht="12" customHeight="1" x14ac:dyDescent="0.3">
      <c r="A4421" s="603" t="s">
        <v>15669</v>
      </c>
      <c r="B4421" s="603">
        <v>10</v>
      </c>
      <c r="C4421" s="603">
        <v>138</v>
      </c>
      <c r="D4421" s="428" t="s">
        <v>1832</v>
      </c>
      <c r="E4421" s="325" t="s">
        <v>7692</v>
      </c>
      <c r="F4421" s="184">
        <v>40072</v>
      </c>
      <c r="G4421" s="184"/>
      <c r="H4421" s="185">
        <v>1</v>
      </c>
      <c r="I4421" s="185">
        <v>10</v>
      </c>
      <c r="J4421" s="901" t="s">
        <v>1796</v>
      </c>
      <c r="K4421" s="158" t="s">
        <v>6060</v>
      </c>
      <c r="L4421" s="158" t="s">
        <v>6058</v>
      </c>
      <c r="M4421" s="158" t="s">
        <v>1833</v>
      </c>
      <c r="N4421" s="158" t="s">
        <v>1279</v>
      </c>
      <c r="O4421" s="158"/>
      <c r="P4421" s="182" t="s">
        <v>461</v>
      </c>
      <c r="Q4421" s="158" t="s">
        <v>4104</v>
      </c>
      <c r="R4421" s="207" t="s">
        <v>5266</v>
      </c>
      <c r="S4421" s="355" t="s">
        <v>1827</v>
      </c>
      <c r="T4421" s="182"/>
      <c r="U4421" s="182"/>
      <c r="V4421" s="182"/>
      <c r="W4421" s="325" t="s">
        <v>7692</v>
      </c>
      <c r="X4421" s="657" t="s">
        <v>12511</v>
      </c>
      <c r="Y4421" s="361"/>
      <c r="Z4421" s="362"/>
      <c r="AA4421" s="362"/>
      <c r="AB4421" s="33">
        <f t="shared" ca="1" si="113"/>
        <v>0.71374826890070098</v>
      </c>
      <c r="AC4421" s="813"/>
      <c r="AD4421" s="211" t="s">
        <v>16526</v>
      </c>
      <c r="AE4421" s="949" t="s">
        <v>12543</v>
      </c>
      <c r="AF4421" s="922">
        <f>IF(X4421=X4420,AF4420,0)+IF(ISNUMBER(I4421),IF(I4421&lt;1,I4421,I4421*VLOOKUP(J4421,Summary!$H$2:$I$9,2)),VLOOKUP(J4421,Summary!$J$2:$K$9,2)*IF(ISNUMBER(H4421),H4421,1))</f>
        <v>0.93017361111111074</v>
      </c>
      <c r="AG4421" s="295">
        <v>4420</v>
      </c>
      <c r="AH4421" s="94"/>
      <c r="AI4421" s="94"/>
      <c r="AJ4421" s="1"/>
    </row>
    <row r="4422" spans="1:36" s="1" customFormat="1" ht="12" customHeight="1" x14ac:dyDescent="0.25">
      <c r="A4422" s="603" t="s">
        <v>15669</v>
      </c>
      <c r="B4422" s="603">
        <v>10</v>
      </c>
      <c r="C4422" s="603">
        <v>139</v>
      </c>
      <c r="D4422" s="428" t="s">
        <v>1834</v>
      </c>
      <c r="E4422" s="325" t="s">
        <v>7693</v>
      </c>
      <c r="F4422" s="184">
        <v>40100</v>
      </c>
      <c r="G4422" s="184"/>
      <c r="H4422" s="185">
        <v>1</v>
      </c>
      <c r="I4422" s="185">
        <v>10</v>
      </c>
      <c r="J4422" s="901" t="s">
        <v>1796</v>
      </c>
      <c r="K4422" s="158" t="s">
        <v>6060</v>
      </c>
      <c r="L4422" s="158" t="s">
        <v>3828</v>
      </c>
      <c r="M4422" s="158" t="s">
        <v>252</v>
      </c>
      <c r="N4422" s="158" t="s">
        <v>1279</v>
      </c>
      <c r="O4422" s="158"/>
      <c r="P4422" s="182" t="s">
        <v>461</v>
      </c>
      <c r="Q4422" s="158" t="s">
        <v>4104</v>
      </c>
      <c r="R4422" s="207" t="s">
        <v>5266</v>
      </c>
      <c r="S4422" s="355" t="s">
        <v>1827</v>
      </c>
      <c r="T4422" s="182"/>
      <c r="U4422" s="182"/>
      <c r="V4422" s="182"/>
      <c r="W4422" s="325" t="s">
        <v>7693</v>
      </c>
      <c r="X4422" s="657" t="s">
        <v>12511</v>
      </c>
      <c r="Y4422" s="361"/>
      <c r="Z4422" s="362"/>
      <c r="AA4422" s="362"/>
      <c r="AB4422" s="33">
        <f t="shared" ca="1" si="113"/>
        <v>0.85234330191007757</v>
      </c>
      <c r="AC4422" s="813"/>
      <c r="AD4422" s="211" t="s">
        <v>16496</v>
      </c>
      <c r="AE4422" s="949" t="s">
        <v>12543</v>
      </c>
      <c r="AF4422" s="922">
        <f>IF(X4422=X4421,AF4421,0)+IF(ISNUMBER(I4422),IF(I4422&lt;1,I4422,I4422*VLOOKUP(J4422,Summary!$H$2:$I$9,2)),VLOOKUP(J4422,Summary!$J$2:$K$9,2)*IF(ISNUMBER(H4422),H4422,1))</f>
        <v>0.93364583333333295</v>
      </c>
      <c r="AG4422" s="295">
        <v>4421</v>
      </c>
      <c r="AH4422" s="94"/>
      <c r="AI4422" s="94"/>
    </row>
    <row r="4423" spans="1:36" s="1" customFormat="1" ht="12" customHeight="1" x14ac:dyDescent="0.25">
      <c r="A4423" s="603" t="s">
        <v>15669</v>
      </c>
      <c r="B4423" s="603">
        <v>10</v>
      </c>
      <c r="C4423" s="603">
        <v>140</v>
      </c>
      <c r="D4423" s="428" t="s">
        <v>1835</v>
      </c>
      <c r="E4423" s="325" t="s">
        <v>2434</v>
      </c>
      <c r="F4423" s="184">
        <v>40128</v>
      </c>
      <c r="G4423" s="184">
        <v>40156</v>
      </c>
      <c r="H4423" s="185">
        <v>2</v>
      </c>
      <c r="I4423" s="185">
        <v>20</v>
      </c>
      <c r="J4423" s="901" t="s">
        <v>1796</v>
      </c>
      <c r="K4423" s="158" t="s">
        <v>6060</v>
      </c>
      <c r="L4423" s="158" t="s">
        <v>1836</v>
      </c>
      <c r="M4423" s="158" t="s">
        <v>252</v>
      </c>
      <c r="N4423" s="158" t="s">
        <v>1279</v>
      </c>
      <c r="O4423" s="158"/>
      <c r="P4423" s="182" t="s">
        <v>461</v>
      </c>
      <c r="Q4423" s="158" t="s">
        <v>4104</v>
      </c>
      <c r="R4423" s="207" t="s">
        <v>5266</v>
      </c>
      <c r="S4423" s="355" t="s">
        <v>1827</v>
      </c>
      <c r="T4423" s="182"/>
      <c r="U4423" s="182"/>
      <c r="V4423" s="182"/>
      <c r="W4423" s="321"/>
      <c r="X4423" s="653" t="s">
        <v>12511</v>
      </c>
      <c r="Y4423" s="361"/>
      <c r="Z4423" s="362"/>
      <c r="AA4423" s="362"/>
      <c r="AB4423" s="33">
        <f t="shared" ca="1" si="113"/>
        <v>0.91360059768122315</v>
      </c>
      <c r="AC4423" s="813"/>
      <c r="AD4423" s="826" t="s">
        <v>14585</v>
      </c>
      <c r="AE4423" s="949"/>
      <c r="AF4423" s="922">
        <f>IF(X4423=X4422,AF4422,0)+IF(ISNUMBER(I4423),IF(I4423&lt;1,I4423,I4423*VLOOKUP(J4423,Summary!$H$2:$I$9,2)),VLOOKUP(J4423,Summary!$J$2:$K$9,2)*IF(ISNUMBER(H4423),H4423,1))</f>
        <v>0.94059027777777737</v>
      </c>
      <c r="AG4423" s="295">
        <v>4422</v>
      </c>
      <c r="AH4423" s="94"/>
      <c r="AI4423" s="94"/>
      <c r="AJ4423" s="7"/>
    </row>
    <row r="4424" spans="1:36" s="26" customFormat="1" ht="12" customHeight="1" x14ac:dyDescent="0.2">
      <c r="A4424" s="778" t="s">
        <v>15669</v>
      </c>
      <c r="B4424" s="778">
        <v>10</v>
      </c>
      <c r="C4424" s="778">
        <v>141</v>
      </c>
      <c r="D4424" s="781" t="s">
        <v>1837</v>
      </c>
      <c r="E4424" s="782" t="s">
        <v>2435</v>
      </c>
      <c r="F4424" s="777">
        <v>40184</v>
      </c>
      <c r="G4424" s="777">
        <v>40296</v>
      </c>
      <c r="H4424" s="282">
        <v>5</v>
      </c>
      <c r="I4424" s="282">
        <v>52</v>
      </c>
      <c r="J4424" s="915" t="s">
        <v>1796</v>
      </c>
      <c r="K4424" s="783" t="s">
        <v>6060</v>
      </c>
      <c r="L4424" s="783" t="s">
        <v>6057</v>
      </c>
      <c r="M4424" s="783" t="s">
        <v>252</v>
      </c>
      <c r="N4424" s="783" t="s">
        <v>1279</v>
      </c>
      <c r="O4424" s="783"/>
      <c r="P4424" s="280" t="s">
        <v>461</v>
      </c>
      <c r="Q4424" s="783" t="s">
        <v>4104</v>
      </c>
      <c r="R4424" s="784" t="s">
        <v>5266</v>
      </c>
      <c r="S4424" s="389" t="s">
        <v>1827</v>
      </c>
      <c r="T4424" s="280"/>
      <c r="U4424" s="280"/>
      <c r="V4424" s="280"/>
      <c r="W4424" s="785"/>
      <c r="X4424" s="786" t="s">
        <v>12511</v>
      </c>
      <c r="Y4424" s="787"/>
      <c r="Z4424" s="788"/>
      <c r="AA4424" s="788"/>
      <c r="AB4424" s="121">
        <f t="shared" ca="1" si="113"/>
        <v>0.37577098147112475</v>
      </c>
      <c r="AC4424" s="851"/>
      <c r="AD4424" s="852" t="s">
        <v>16527</v>
      </c>
      <c r="AE4424" s="972" t="s">
        <v>16524</v>
      </c>
      <c r="AF4424" s="936">
        <f>IF(X4424=X4423,AF4423,0)+IF(ISNUMBER(I4424),IF(I4424&lt;1,I4424,I4424*VLOOKUP(J4424,Summary!$H$2:$I$9,2)),VLOOKUP(J4424,Summary!$J$2:$K$9,2)*IF(ISNUMBER(H4424),H4424,1))</f>
        <v>0.95864583333333298</v>
      </c>
      <c r="AG4424" s="308">
        <v>4423</v>
      </c>
      <c r="AH4424" s="94"/>
      <c r="AI4424" s="94"/>
    </row>
    <row r="4425" spans="1:36" s="22" customFormat="1" ht="12" customHeight="1" x14ac:dyDescent="0.25">
      <c r="A4425" s="604" t="s">
        <v>15669</v>
      </c>
      <c r="B4425" s="604">
        <v>10</v>
      </c>
      <c r="C4425" s="604">
        <v>35</v>
      </c>
      <c r="D4425" s="417" t="s">
        <v>7718</v>
      </c>
      <c r="E4425" s="316" t="s">
        <v>4145</v>
      </c>
      <c r="F4425" s="195">
        <v>40059</v>
      </c>
      <c r="G4425" s="195"/>
      <c r="H4425" s="188" t="str">
        <f>IF(J4425="Book","n/a","")</f>
        <v>n/a</v>
      </c>
      <c r="I4425" s="188">
        <v>241</v>
      </c>
      <c r="J4425" s="902" t="s">
        <v>6868</v>
      </c>
      <c r="K4425" s="162" t="s">
        <v>4148</v>
      </c>
      <c r="L4425" s="162" t="str">
        <f>IF(J4425="Book","n/a","")</f>
        <v>n/a</v>
      </c>
      <c r="M4425" s="162"/>
      <c r="N4425" s="162"/>
      <c r="O4425" s="162"/>
      <c r="P4425" s="178" t="s">
        <v>9050</v>
      </c>
      <c r="Q4425" s="162" t="s">
        <v>3953</v>
      </c>
      <c r="R4425" s="189" t="s">
        <v>2711</v>
      </c>
      <c r="S4425" s="366"/>
      <c r="T4425" s="178"/>
      <c r="U4425" s="178"/>
      <c r="V4425" s="178"/>
      <c r="W4425" s="316" t="s">
        <v>4145</v>
      </c>
      <c r="X4425" s="648" t="s">
        <v>12511</v>
      </c>
      <c r="Y4425" s="356"/>
      <c r="Z4425" s="272">
        <v>100</v>
      </c>
      <c r="AA4425" s="272">
        <v>5</v>
      </c>
      <c r="AB4425" s="34">
        <f t="shared" ca="1" si="113"/>
        <v>0.69314677400555913</v>
      </c>
      <c r="AC4425" s="814"/>
      <c r="AD4425" s="815" t="s">
        <v>16077</v>
      </c>
      <c r="AE4425" s="942"/>
      <c r="AF4425" s="923">
        <f>IF(X4425=X4424,AF4424,0)+IF(ISNUMBER(I4425),IF(I4425&lt;1,I4425,I4425*VLOOKUP(J4425,Summary!$H$2:$I$9,2)),VLOOKUP(J4425,Summary!$J$2:$K$9,2)*IF(ISNUMBER(H4425),H4425,1))</f>
        <v>1.126006944444444</v>
      </c>
      <c r="AG4425" s="291">
        <v>4424</v>
      </c>
      <c r="AH4425" s="94"/>
      <c r="AI4425" s="94"/>
    </row>
    <row r="4426" spans="1:36" s="1" customFormat="1" ht="12" customHeight="1" x14ac:dyDescent="0.25">
      <c r="A4426" s="600" t="s">
        <v>15669</v>
      </c>
      <c r="B4426" s="600">
        <v>10</v>
      </c>
      <c r="C4426" s="600"/>
      <c r="D4426" s="176" t="s">
        <v>3112</v>
      </c>
      <c r="E4426" s="313" t="s">
        <v>15547</v>
      </c>
      <c r="F4426" s="174">
        <v>39995</v>
      </c>
      <c r="G4426" s="175"/>
      <c r="H4426" s="176">
        <v>3</v>
      </c>
      <c r="I4426" s="176">
        <v>22</v>
      </c>
      <c r="J4426" s="900" t="s">
        <v>2755</v>
      </c>
      <c r="K4426" s="164" t="s">
        <v>1641</v>
      </c>
      <c r="L4426" s="164"/>
      <c r="M4426" s="164"/>
      <c r="N4426" s="164"/>
      <c r="O4426" s="164"/>
      <c r="P4426" s="173" t="s">
        <v>461</v>
      </c>
      <c r="Q4426" s="164" t="s">
        <v>3946</v>
      </c>
      <c r="R4426" s="177" t="s">
        <v>7896</v>
      </c>
      <c r="S4426" s="354"/>
      <c r="T4426" s="173"/>
      <c r="U4426" s="173"/>
      <c r="V4426" s="173"/>
      <c r="W4426" s="313"/>
      <c r="X4426" s="656" t="s">
        <v>12511</v>
      </c>
      <c r="Y4426" s="354" t="s">
        <v>6000</v>
      </c>
      <c r="Z4426" s="176"/>
      <c r="AA4426" s="176"/>
      <c r="AB4426" s="32">
        <f t="shared" ca="1" si="113"/>
        <v>0.31743316497141216</v>
      </c>
      <c r="AC4426" s="812"/>
      <c r="AD4426" s="763"/>
      <c r="AE4426" s="807"/>
      <c r="AF4426" s="921">
        <f>IF(X4426=X4425,AF4425,0)+IF(ISNUMBER(I4426),IF(I4426&lt;1,I4426,I4426*VLOOKUP(J4426,Summary!$H$2:$I$9,2)),VLOOKUP(J4426,Summary!$J$2:$K$9,2)*IF(ISNUMBER(H4426),H4426,1))</f>
        <v>1.1412847222222218</v>
      </c>
      <c r="AG4426" s="289">
        <v>4425</v>
      </c>
      <c r="AH4426" s="94"/>
      <c r="AI4426" s="94"/>
      <c r="AJ4426" s="7"/>
    </row>
    <row r="4427" spans="1:36" s="3" customFormat="1" ht="12" customHeight="1" x14ac:dyDescent="0.3">
      <c r="A4427" s="603" t="s">
        <v>15669</v>
      </c>
      <c r="B4427" s="603">
        <v>10</v>
      </c>
      <c r="C4427" s="603">
        <v>2010.01</v>
      </c>
      <c r="D4427" s="428" t="s">
        <v>5385</v>
      </c>
      <c r="E4427" s="325" t="s">
        <v>5386</v>
      </c>
      <c r="F4427" s="183">
        <v>40026</v>
      </c>
      <c r="G4427" s="183"/>
      <c r="H4427" s="185">
        <v>1</v>
      </c>
      <c r="I4427" s="185">
        <v>6</v>
      </c>
      <c r="J4427" s="901" t="s">
        <v>1796</v>
      </c>
      <c r="K4427" s="158" t="s">
        <v>4032</v>
      </c>
      <c r="L4427" s="158" t="s">
        <v>3832</v>
      </c>
      <c r="M4427" s="158" t="s">
        <v>252</v>
      </c>
      <c r="N4427" s="158"/>
      <c r="O4427" s="158"/>
      <c r="P4427" s="182" t="s">
        <v>773</v>
      </c>
      <c r="Q4427" s="158" t="s">
        <v>3954</v>
      </c>
      <c r="R4427" s="207" t="s">
        <v>4600</v>
      </c>
      <c r="S4427" s="355"/>
      <c r="T4427" s="182"/>
      <c r="U4427" s="182"/>
      <c r="V4427" s="182"/>
      <c r="W4427" s="325" t="s">
        <v>5386</v>
      </c>
      <c r="X4427" s="657" t="s">
        <v>12511</v>
      </c>
      <c r="Y4427" s="361" t="s">
        <v>6868</v>
      </c>
      <c r="Z4427" s="362"/>
      <c r="AA4427" s="362"/>
      <c r="AB4427" s="33">
        <f t="shared" ca="1" si="113"/>
        <v>0.64247805902161659</v>
      </c>
      <c r="AC4427" s="813"/>
      <c r="AD4427" s="211"/>
      <c r="AE4427" s="949"/>
      <c r="AF4427" s="922">
        <f>IF(X4427=X4426,AF4426,0)+IF(ISNUMBER(I4427),IF(I4427&lt;1,I4427,I4427*VLOOKUP(J4427,Summary!$H$2:$I$9,2)),VLOOKUP(J4427,Summary!$J$2:$K$9,2)*IF(ISNUMBER(H4427),H4427,1))</f>
        <v>1.1433680555555552</v>
      </c>
      <c r="AG4427" s="295">
        <v>4426</v>
      </c>
      <c r="AH4427" s="94"/>
      <c r="AI4427" s="94"/>
      <c r="AJ4427" s="45"/>
    </row>
    <row r="4428" spans="1:36" s="29" customFormat="1" ht="12" customHeight="1" x14ac:dyDescent="0.25">
      <c r="A4428" s="603" t="s">
        <v>15669</v>
      </c>
      <c r="B4428" s="603">
        <v>10</v>
      </c>
      <c r="C4428" s="603">
        <v>2010.02</v>
      </c>
      <c r="D4428" s="428" t="s">
        <v>5385</v>
      </c>
      <c r="E4428" s="325" t="s">
        <v>5387</v>
      </c>
      <c r="F4428" s="183">
        <v>40026</v>
      </c>
      <c r="G4428" s="184"/>
      <c r="H4428" s="185">
        <v>1</v>
      </c>
      <c r="I4428" s="185">
        <v>6</v>
      </c>
      <c r="J4428" s="901" t="s">
        <v>1796</v>
      </c>
      <c r="K4428" s="158" t="s">
        <v>4147</v>
      </c>
      <c r="L4428" s="158" t="s">
        <v>3832</v>
      </c>
      <c r="M4428" s="158" t="s">
        <v>252</v>
      </c>
      <c r="N4428" s="158"/>
      <c r="O4428" s="158"/>
      <c r="P4428" s="182" t="s">
        <v>773</v>
      </c>
      <c r="Q4428" s="158" t="s">
        <v>3954</v>
      </c>
      <c r="R4428" s="207" t="s">
        <v>4600</v>
      </c>
      <c r="S4428" s="355"/>
      <c r="T4428" s="182"/>
      <c r="U4428" s="182"/>
      <c r="V4428" s="182"/>
      <c r="W4428" s="325" t="s">
        <v>5387</v>
      </c>
      <c r="X4428" s="657" t="s">
        <v>12511</v>
      </c>
      <c r="Y4428" s="361" t="s">
        <v>6868</v>
      </c>
      <c r="Z4428" s="362"/>
      <c r="AA4428" s="362"/>
      <c r="AB4428" s="33">
        <f t="shared" ca="1" si="113"/>
        <v>0.30297578608064413</v>
      </c>
      <c r="AC4428" s="813"/>
      <c r="AD4428" s="211"/>
      <c r="AE4428" s="949"/>
      <c r="AF4428" s="922">
        <f>IF(X4428=X4427,AF4427,0)+IF(ISNUMBER(I4428),IF(I4428&lt;1,I4428,I4428*VLOOKUP(J4428,Summary!$H$2:$I$9,2)),VLOOKUP(J4428,Summary!$J$2:$K$9,2)*IF(ISNUMBER(H4428),H4428,1))</f>
        <v>1.1454513888888886</v>
      </c>
      <c r="AG4428" s="295">
        <v>4427</v>
      </c>
      <c r="AH4428" s="94"/>
      <c r="AI4428" s="94"/>
    </row>
    <row r="4429" spans="1:36" s="2" customFormat="1" ht="12" customHeight="1" x14ac:dyDescent="0.3">
      <c r="A4429" s="600" t="s">
        <v>15669</v>
      </c>
      <c r="B4429" s="600">
        <v>10</v>
      </c>
      <c r="C4429" s="600">
        <v>2010.03</v>
      </c>
      <c r="D4429" s="434" t="s">
        <v>1730</v>
      </c>
      <c r="E4429" s="324" t="s">
        <v>1733</v>
      </c>
      <c r="F4429" s="174">
        <v>40026</v>
      </c>
      <c r="G4429" s="175"/>
      <c r="H4429" s="176" t="s">
        <v>461</v>
      </c>
      <c r="I4429" s="176">
        <v>9</v>
      </c>
      <c r="J4429" s="900" t="s">
        <v>2755</v>
      </c>
      <c r="K4429" s="157" t="s">
        <v>4964</v>
      </c>
      <c r="L4429" s="157" t="s">
        <v>4850</v>
      </c>
      <c r="M4429" s="157"/>
      <c r="N4429" s="157"/>
      <c r="O4429" s="157"/>
      <c r="P4429" s="173" t="s">
        <v>774</v>
      </c>
      <c r="Q4429" s="157" t="s">
        <v>4841</v>
      </c>
      <c r="R4429" s="179" t="s">
        <v>3976</v>
      </c>
      <c r="S4429" s="354"/>
      <c r="T4429" s="173"/>
      <c r="U4429" s="173"/>
      <c r="V4429" s="173"/>
      <c r="W4429" s="324" t="s">
        <v>1733</v>
      </c>
      <c r="X4429" s="656" t="s">
        <v>12511</v>
      </c>
      <c r="Y4429" s="363" t="s">
        <v>6868</v>
      </c>
      <c r="Z4429" s="364">
        <v>999</v>
      </c>
      <c r="AA4429" s="364"/>
      <c r="AB4429" s="32">
        <f t="shared" ca="1" si="113"/>
        <v>0.25245010677061075</v>
      </c>
      <c r="AC4429" s="812"/>
      <c r="AD4429" s="763"/>
      <c r="AE4429" s="951"/>
      <c r="AF4429" s="921">
        <f>IF(X4429=X4428,AF4428,0)+IF(ISNUMBER(I4429),IF(I4429&lt;1,I4429,I4429*VLOOKUP(J4429,Summary!$H$2:$I$9,2)),VLOOKUP(J4429,Summary!$J$2:$K$9,2)*IF(ISNUMBER(H4429),H4429,1))</f>
        <v>1.1517013888888887</v>
      </c>
      <c r="AG4429" s="288">
        <v>4428</v>
      </c>
      <c r="AH4429" s="94"/>
      <c r="AI4429" s="94"/>
      <c r="AJ4429" s="45"/>
    </row>
    <row r="4430" spans="1:36" s="3" customFormat="1" ht="12" customHeight="1" x14ac:dyDescent="0.25">
      <c r="A4430" s="603" t="s">
        <v>15669</v>
      </c>
      <c r="B4430" s="603">
        <v>10</v>
      </c>
      <c r="C4430" s="603">
        <v>2010.04</v>
      </c>
      <c r="D4430" s="428" t="s">
        <v>1730</v>
      </c>
      <c r="E4430" s="325" t="s">
        <v>5380</v>
      </c>
      <c r="F4430" s="183">
        <v>40026</v>
      </c>
      <c r="G4430" s="184"/>
      <c r="H4430" s="185">
        <v>1</v>
      </c>
      <c r="I4430" s="185">
        <v>8</v>
      </c>
      <c r="J4430" s="901" t="s">
        <v>1796</v>
      </c>
      <c r="K4430" s="158" t="s">
        <v>177</v>
      </c>
      <c r="L4430" s="158" t="s">
        <v>5382</v>
      </c>
      <c r="M4430" s="158"/>
      <c r="N4430" s="158" t="s">
        <v>4105</v>
      </c>
      <c r="O4430" s="158"/>
      <c r="P4430" s="182" t="s">
        <v>774</v>
      </c>
      <c r="Q4430" s="158" t="s">
        <v>4841</v>
      </c>
      <c r="R4430" s="207" t="s">
        <v>3976</v>
      </c>
      <c r="S4430" s="355"/>
      <c r="T4430" s="182"/>
      <c r="U4430" s="182"/>
      <c r="V4430" s="182"/>
      <c r="W4430" s="325" t="s">
        <v>5380</v>
      </c>
      <c r="X4430" s="657" t="s">
        <v>12511</v>
      </c>
      <c r="Y4430" s="361" t="s">
        <v>6868</v>
      </c>
      <c r="Z4430" s="362">
        <v>999</v>
      </c>
      <c r="AA4430" s="362"/>
      <c r="AB4430" s="33">
        <f t="shared" ca="1" si="113"/>
        <v>0.98580247073827343</v>
      </c>
      <c r="AC4430" s="813"/>
      <c r="AD4430" s="211"/>
      <c r="AE4430" s="949"/>
      <c r="AF4430" s="922">
        <f>IF(X4430=X4429,AF4429,0)+IF(ISNUMBER(I4430),IF(I4430&lt;1,I4430,I4430*VLOOKUP(J4430,Summary!$H$2:$I$9,2)),VLOOKUP(J4430,Summary!$J$2:$K$9,2)*IF(ISNUMBER(H4430),H4430,1))</f>
        <v>1.1544791666666665</v>
      </c>
      <c r="AG4430" s="295">
        <v>4429</v>
      </c>
      <c r="AH4430" s="94"/>
      <c r="AI4430" s="94"/>
      <c r="AJ4430" s="1"/>
    </row>
    <row r="4431" spans="1:36" s="1" customFormat="1" ht="12" customHeight="1" x14ac:dyDescent="0.25">
      <c r="A4431" s="600" t="s">
        <v>15669</v>
      </c>
      <c r="B4431" s="600">
        <v>10</v>
      </c>
      <c r="C4431" s="600">
        <v>2010.05</v>
      </c>
      <c r="D4431" s="434" t="s">
        <v>1730</v>
      </c>
      <c r="E4431" s="324" t="s">
        <v>1734</v>
      </c>
      <c r="F4431" s="174">
        <v>40026</v>
      </c>
      <c r="G4431" s="175"/>
      <c r="H4431" s="176" t="s">
        <v>461</v>
      </c>
      <c r="I4431" s="176">
        <v>9</v>
      </c>
      <c r="J4431" s="900" t="s">
        <v>2755</v>
      </c>
      <c r="K4431" s="157" t="s">
        <v>1591</v>
      </c>
      <c r="L4431" s="157" t="s">
        <v>5383</v>
      </c>
      <c r="M4431" s="157"/>
      <c r="N4431" s="157"/>
      <c r="O4431" s="157"/>
      <c r="P4431" s="173" t="s">
        <v>774</v>
      </c>
      <c r="Q4431" s="157" t="s">
        <v>4841</v>
      </c>
      <c r="R4431" s="179" t="s">
        <v>3976</v>
      </c>
      <c r="S4431" s="354"/>
      <c r="T4431" s="173"/>
      <c r="U4431" s="173"/>
      <c r="V4431" s="173"/>
      <c r="W4431" s="324" t="s">
        <v>1734</v>
      </c>
      <c r="X4431" s="656" t="s">
        <v>12511</v>
      </c>
      <c r="Y4431" s="363" t="s">
        <v>6868</v>
      </c>
      <c r="Z4431" s="364">
        <v>999</v>
      </c>
      <c r="AA4431" s="364"/>
      <c r="AB4431" s="32">
        <f t="shared" ca="1" si="113"/>
        <v>0.39152805397837864</v>
      </c>
      <c r="AC4431" s="812"/>
      <c r="AD4431" s="763"/>
      <c r="AE4431" s="951"/>
      <c r="AF4431" s="921">
        <f>IF(X4431=X4430,AF4430,0)+IF(ISNUMBER(I4431),IF(I4431&lt;1,I4431,I4431*VLOOKUP(J4431,Summary!$H$2:$I$9,2)),VLOOKUP(J4431,Summary!$J$2:$K$9,2)*IF(ISNUMBER(H4431),H4431,1))</f>
        <v>1.1607291666666666</v>
      </c>
      <c r="AG4431" s="288">
        <v>4430</v>
      </c>
      <c r="AH4431" s="94"/>
      <c r="AI4431" s="94"/>
    </row>
    <row r="4432" spans="1:36" s="3" customFormat="1" ht="12" customHeight="1" x14ac:dyDescent="0.25">
      <c r="A4432" s="600" t="s">
        <v>15669</v>
      </c>
      <c r="B4432" s="600">
        <v>10</v>
      </c>
      <c r="C4432" s="600">
        <v>2010.06</v>
      </c>
      <c r="D4432" s="434" t="s">
        <v>1730</v>
      </c>
      <c r="E4432" s="324" t="s">
        <v>1735</v>
      </c>
      <c r="F4432" s="174">
        <v>40026</v>
      </c>
      <c r="G4432" s="175"/>
      <c r="H4432" s="176" t="s">
        <v>461</v>
      </c>
      <c r="I4432" s="176">
        <v>8</v>
      </c>
      <c r="J4432" s="900" t="s">
        <v>2755</v>
      </c>
      <c r="K4432" s="157" t="s">
        <v>6948</v>
      </c>
      <c r="L4432" s="157" t="s">
        <v>3551</v>
      </c>
      <c r="M4432" s="157"/>
      <c r="N4432" s="157"/>
      <c r="O4432" s="157"/>
      <c r="P4432" s="173" t="s">
        <v>774</v>
      </c>
      <c r="Q4432" s="157" t="s">
        <v>4841</v>
      </c>
      <c r="R4432" s="179" t="s">
        <v>3976</v>
      </c>
      <c r="S4432" s="354"/>
      <c r="T4432" s="173"/>
      <c r="U4432" s="173"/>
      <c r="V4432" s="173"/>
      <c r="W4432" s="324" t="s">
        <v>1735</v>
      </c>
      <c r="X4432" s="656" t="s">
        <v>12511</v>
      </c>
      <c r="Y4432" s="363" t="s">
        <v>6868</v>
      </c>
      <c r="Z4432" s="364">
        <v>999</v>
      </c>
      <c r="AA4432" s="364"/>
      <c r="AB4432" s="32">
        <f t="shared" ca="1" si="113"/>
        <v>0.32568646424754921</v>
      </c>
      <c r="AC4432" s="812"/>
      <c r="AD4432" s="763"/>
      <c r="AE4432" s="951"/>
      <c r="AF4432" s="921">
        <f>IF(X4432=X4431,AF4431,0)+IF(ISNUMBER(I4432),IF(I4432&lt;1,I4432,I4432*VLOOKUP(J4432,Summary!$H$2:$I$9,2)),VLOOKUP(J4432,Summary!$J$2:$K$9,2)*IF(ISNUMBER(H4432),H4432,1))</f>
        <v>1.1662847222222221</v>
      </c>
      <c r="AG4432" s="288">
        <v>4431</v>
      </c>
      <c r="AH4432" s="94"/>
      <c r="AI4432" s="94"/>
      <c r="AJ4432" s="1"/>
    </row>
    <row r="4433" spans="1:36" s="22" customFormat="1" ht="12" customHeight="1" x14ac:dyDescent="0.25">
      <c r="A4433" s="600" t="s">
        <v>15669</v>
      </c>
      <c r="B4433" s="600">
        <v>10</v>
      </c>
      <c r="C4433" s="600">
        <v>2010.07</v>
      </c>
      <c r="D4433" s="434" t="s">
        <v>1730</v>
      </c>
      <c r="E4433" s="324" t="s">
        <v>5381</v>
      </c>
      <c r="F4433" s="174">
        <v>40026</v>
      </c>
      <c r="G4433" s="175"/>
      <c r="H4433" s="176" t="s">
        <v>461</v>
      </c>
      <c r="I4433" s="176">
        <v>10</v>
      </c>
      <c r="J4433" s="900" t="s">
        <v>2755</v>
      </c>
      <c r="K4433" s="157" t="s">
        <v>5658</v>
      </c>
      <c r="L4433" s="157" t="s">
        <v>3551</v>
      </c>
      <c r="M4433" s="157"/>
      <c r="N4433" s="157"/>
      <c r="O4433" s="157"/>
      <c r="P4433" s="173" t="s">
        <v>774</v>
      </c>
      <c r="Q4433" s="157" t="s">
        <v>4841</v>
      </c>
      <c r="R4433" s="179" t="s">
        <v>3976</v>
      </c>
      <c r="S4433" s="354"/>
      <c r="T4433" s="173"/>
      <c r="U4433" s="173"/>
      <c r="V4433" s="173"/>
      <c r="W4433" s="324" t="s">
        <v>5381</v>
      </c>
      <c r="X4433" s="656" t="s">
        <v>12511</v>
      </c>
      <c r="Y4433" s="363" t="s">
        <v>6868</v>
      </c>
      <c r="Z4433" s="364">
        <v>999</v>
      </c>
      <c r="AA4433" s="364"/>
      <c r="AB4433" s="32">
        <f t="shared" ca="1" si="113"/>
        <v>0.94144158364349351</v>
      </c>
      <c r="AC4433" s="812"/>
      <c r="AD4433" s="837"/>
      <c r="AE4433" s="951"/>
      <c r="AF4433" s="921">
        <f>IF(X4433=X4432,AF4432,0)+IF(ISNUMBER(I4433),IF(I4433&lt;1,I4433,I4433*VLOOKUP(J4433,Summary!$H$2:$I$9,2)),VLOOKUP(J4433,Summary!$J$2:$K$9,2)*IF(ISNUMBER(H4433),H4433,1))</f>
        <v>1.1732291666666665</v>
      </c>
      <c r="AG4433" s="288">
        <v>4432</v>
      </c>
      <c r="AH4433" s="94"/>
      <c r="AI4433" s="94"/>
    </row>
    <row r="4434" spans="1:36" s="29" customFormat="1" ht="12" customHeight="1" x14ac:dyDescent="0.25">
      <c r="A4434" s="600" t="s">
        <v>15669</v>
      </c>
      <c r="B4434" s="600">
        <v>10</v>
      </c>
      <c r="C4434" s="600">
        <v>2010.08</v>
      </c>
      <c r="D4434" s="434" t="s">
        <v>1730</v>
      </c>
      <c r="E4434" s="324" t="s">
        <v>1736</v>
      </c>
      <c r="F4434" s="174">
        <v>40026</v>
      </c>
      <c r="G4434" s="175"/>
      <c r="H4434" s="176" t="s">
        <v>461</v>
      </c>
      <c r="I4434" s="176">
        <v>9</v>
      </c>
      <c r="J4434" s="900" t="s">
        <v>2755</v>
      </c>
      <c r="K4434" s="157" t="s">
        <v>1503</v>
      </c>
      <c r="L4434" s="157" t="s">
        <v>5384</v>
      </c>
      <c r="M4434" s="157"/>
      <c r="N4434" s="157"/>
      <c r="O4434" s="157"/>
      <c r="P4434" s="173" t="s">
        <v>774</v>
      </c>
      <c r="Q4434" s="157" t="s">
        <v>4841</v>
      </c>
      <c r="R4434" s="179" t="s">
        <v>3976</v>
      </c>
      <c r="S4434" s="354"/>
      <c r="T4434" s="173"/>
      <c r="U4434" s="173"/>
      <c r="V4434" s="173"/>
      <c r="W4434" s="324" t="s">
        <v>1736</v>
      </c>
      <c r="X4434" s="656" t="s">
        <v>12511</v>
      </c>
      <c r="Y4434" s="363" t="s">
        <v>6868</v>
      </c>
      <c r="Z4434" s="364">
        <v>999</v>
      </c>
      <c r="AA4434" s="364"/>
      <c r="AB4434" s="32">
        <f t="shared" ca="1" si="113"/>
        <v>0.89413094886166389</v>
      </c>
      <c r="AC4434" s="812"/>
      <c r="AD4434" s="763"/>
      <c r="AE4434" s="951"/>
      <c r="AF4434" s="921">
        <f>IF(X4434=X4433,AF4433,0)+IF(ISNUMBER(I4434),IF(I4434&lt;1,I4434,I4434*VLOOKUP(J4434,Summary!$H$2:$I$9,2)),VLOOKUP(J4434,Summary!$J$2:$K$9,2)*IF(ISNUMBER(H4434),H4434,1))</f>
        <v>1.1794791666666666</v>
      </c>
      <c r="AG4434" s="288">
        <v>4433</v>
      </c>
      <c r="AH4434" s="94"/>
      <c r="AI4434" s="94"/>
    </row>
    <row r="4435" spans="1:36" s="22" customFormat="1" ht="12" customHeight="1" x14ac:dyDescent="0.25">
      <c r="A4435" s="604" t="s">
        <v>15670</v>
      </c>
      <c r="B4435" s="604">
        <v>10</v>
      </c>
      <c r="C4435" s="604">
        <v>36</v>
      </c>
      <c r="D4435" s="417" t="s">
        <v>7719</v>
      </c>
      <c r="E4435" s="316" t="s">
        <v>4144</v>
      </c>
      <c r="F4435" s="195">
        <v>40059</v>
      </c>
      <c r="G4435" s="195"/>
      <c r="H4435" s="188" t="str">
        <f>IF(J4435="Book","n/a","")</f>
        <v>n/a</v>
      </c>
      <c r="I4435" s="188">
        <v>239</v>
      </c>
      <c r="J4435" s="902" t="s">
        <v>6868</v>
      </c>
      <c r="K4435" s="162" t="s">
        <v>4147</v>
      </c>
      <c r="L4435" s="162" t="str">
        <f>IF(J4435="Book","n/a","")</f>
        <v>n/a</v>
      </c>
      <c r="M4435" s="162"/>
      <c r="N4435" s="162"/>
      <c r="O4435" s="162"/>
      <c r="P4435" s="178" t="s">
        <v>9051</v>
      </c>
      <c r="Q4435" s="162" t="s">
        <v>3953</v>
      </c>
      <c r="R4435" s="189" t="s">
        <v>2711</v>
      </c>
      <c r="S4435" s="366"/>
      <c r="T4435" s="178"/>
      <c r="U4435" s="178"/>
      <c r="V4435" s="178"/>
      <c r="W4435" s="316" t="s">
        <v>4144</v>
      </c>
      <c r="X4435" s="648" t="s">
        <v>12347</v>
      </c>
      <c r="Y4435" s="356"/>
      <c r="Z4435" s="272"/>
      <c r="AA4435" s="272"/>
      <c r="AB4435" s="34">
        <f t="shared" ca="1" si="113"/>
        <v>0.93972562437150109</v>
      </c>
      <c r="AC4435" s="814"/>
      <c r="AD4435" s="871" t="s">
        <v>15074</v>
      </c>
      <c r="AE4435" s="942"/>
      <c r="AF4435" s="923">
        <f>IF(X4435=X4434,AF4434,0)+IF(ISNUMBER(I4435),IF(I4435&lt;1,I4435,I4435*VLOOKUP(J4435,Summary!$H$2:$I$9,2)),VLOOKUP(J4435,Summary!$J$2:$K$9,2)*IF(ISNUMBER(H4435),H4435,1))</f>
        <v>0.16597222222222222</v>
      </c>
      <c r="AG4435" s="291">
        <v>4434</v>
      </c>
      <c r="AH4435" s="94"/>
      <c r="AI4435" s="94"/>
    </row>
    <row r="4436" spans="1:36" s="43" customFormat="1" ht="12" customHeight="1" x14ac:dyDescent="0.25">
      <c r="A4436" s="605" t="s">
        <v>15670</v>
      </c>
      <c r="B4436" s="605">
        <v>10</v>
      </c>
      <c r="C4436" s="605">
        <v>5</v>
      </c>
      <c r="D4436" s="407" t="s">
        <v>4141</v>
      </c>
      <c r="E4436" s="315" t="s">
        <v>4142</v>
      </c>
      <c r="F4436" s="196">
        <v>40094</v>
      </c>
      <c r="G4436" s="196"/>
      <c r="H4436" s="170">
        <v>2</v>
      </c>
      <c r="I4436" s="747">
        <f>TIME(2,0,0)</f>
        <v>8.3333333333333329E-2</v>
      </c>
      <c r="J4436" s="899" t="s">
        <v>4706</v>
      </c>
      <c r="K4436" s="167" t="s">
        <v>6356</v>
      </c>
      <c r="L4436" s="167" t="str">
        <f>IF(J4436="Book","n/a","")</f>
        <v/>
      </c>
      <c r="M4436" s="167"/>
      <c r="N4436" s="167"/>
      <c r="O4436" s="167"/>
      <c r="P4436" s="168" t="s">
        <v>8920</v>
      </c>
      <c r="Q4436" s="167" t="s">
        <v>3950</v>
      </c>
      <c r="R4436" s="172" t="s">
        <v>2240</v>
      </c>
      <c r="S4436" s="388"/>
      <c r="T4436" s="168"/>
      <c r="U4436" s="168"/>
      <c r="V4436" s="168"/>
      <c r="W4436" s="312" t="s">
        <v>11500</v>
      </c>
      <c r="X4436" s="644" t="s">
        <v>12347</v>
      </c>
      <c r="Y4436" s="352"/>
      <c r="Z4436" s="353">
        <v>623</v>
      </c>
      <c r="AA4436" s="353">
        <v>3</v>
      </c>
      <c r="AB4436" s="31">
        <f t="shared" ca="1" si="113"/>
        <v>0.9761734001917195</v>
      </c>
      <c r="AC4436" s="810"/>
      <c r="AD4436" s="811" t="s">
        <v>16426</v>
      </c>
      <c r="AE4436" s="940" t="s">
        <v>12543</v>
      </c>
      <c r="AF4436" s="920">
        <f>IF(X4436=X4435,AF4435,0)+IF(ISNUMBER(I4436),IF(I4436&lt;1,I4436,I4436*VLOOKUP(J4436,Summary!$H$2:$I$9,2)),VLOOKUP(J4436,Summary!$J$2:$K$9,2)*IF(ISNUMBER(H4436),H4436,1))</f>
        <v>0.24930555555555556</v>
      </c>
      <c r="AG4436" s="287">
        <v>4435</v>
      </c>
      <c r="AH4436" s="94"/>
      <c r="AI4436" s="94"/>
      <c r="AJ4436" s="2"/>
    </row>
    <row r="4437" spans="1:36" s="43" customFormat="1" ht="12" customHeight="1" x14ac:dyDescent="0.25">
      <c r="A4437" s="603" t="s">
        <v>15670</v>
      </c>
      <c r="B4437" s="603">
        <v>10</v>
      </c>
      <c r="C4437" s="603">
        <v>4</v>
      </c>
      <c r="D4437" s="428" t="s">
        <v>2147</v>
      </c>
      <c r="E4437" s="325" t="s">
        <v>7439</v>
      </c>
      <c r="F4437" s="183">
        <v>39934</v>
      </c>
      <c r="G4437" s="183"/>
      <c r="H4437" s="185">
        <v>1</v>
      </c>
      <c r="I4437" s="185">
        <v>22</v>
      </c>
      <c r="J4437" s="901" t="s">
        <v>1796</v>
      </c>
      <c r="K4437" s="158" t="s">
        <v>3303</v>
      </c>
      <c r="L4437" s="158" t="s">
        <v>1836</v>
      </c>
      <c r="M4437" s="158" t="s">
        <v>2150</v>
      </c>
      <c r="N4437" s="158" t="s">
        <v>6573</v>
      </c>
      <c r="O4437" s="158"/>
      <c r="P4437" s="182" t="s">
        <v>461</v>
      </c>
      <c r="Q4437" s="158" t="s">
        <v>5719</v>
      </c>
      <c r="R4437" s="207" t="s">
        <v>5718</v>
      </c>
      <c r="S4437" s="355"/>
      <c r="T4437" s="182"/>
      <c r="U4437" s="182"/>
      <c r="V4437" s="182"/>
      <c r="W4437" s="325" t="s">
        <v>7439</v>
      </c>
      <c r="X4437" s="657" t="s">
        <v>12347</v>
      </c>
      <c r="Y4437" s="355" t="s">
        <v>6000</v>
      </c>
      <c r="Z4437" s="362">
        <v>999</v>
      </c>
      <c r="AA4437" s="362"/>
      <c r="AB4437" s="33">
        <f t="shared" ca="1" si="113"/>
        <v>0.90333716180104784</v>
      </c>
      <c r="AC4437" s="813"/>
      <c r="AD4437" s="211" t="s">
        <v>16634</v>
      </c>
      <c r="AE4437" s="941"/>
      <c r="AF4437" s="922">
        <f>IF(X4437=X4436,AF4436,0)+IF(ISNUMBER(I4437),IF(I4437&lt;1,I4437,I4437*VLOOKUP(J4437,Summary!$H$2:$I$9,2)),VLOOKUP(J4437,Summary!$J$2:$K$9,2)*IF(ISNUMBER(H4437),H4437,1))</f>
        <v>0.25694444444444442</v>
      </c>
      <c r="AG4437" s="290">
        <v>4436</v>
      </c>
      <c r="AH4437" s="94"/>
      <c r="AI4437" s="94"/>
      <c r="AJ4437" s="3"/>
    </row>
    <row r="4438" spans="1:36" s="29" customFormat="1" ht="12" customHeight="1" x14ac:dyDescent="0.25">
      <c r="A4438" s="603" t="s">
        <v>15670</v>
      </c>
      <c r="B4438" s="603">
        <v>10</v>
      </c>
      <c r="C4438" s="603">
        <v>7</v>
      </c>
      <c r="D4438" s="428" t="s">
        <v>17</v>
      </c>
      <c r="E4438" s="325" t="s">
        <v>7441</v>
      </c>
      <c r="F4438" s="183">
        <v>39995</v>
      </c>
      <c r="G4438" s="183">
        <v>40026</v>
      </c>
      <c r="H4438" s="185">
        <v>2</v>
      </c>
      <c r="I4438" s="185">
        <v>44</v>
      </c>
      <c r="J4438" s="901" t="s">
        <v>1796</v>
      </c>
      <c r="K4438" s="158" t="s">
        <v>3303</v>
      </c>
      <c r="L4438" s="158" t="s">
        <v>2153</v>
      </c>
      <c r="M4438" s="158" t="s">
        <v>2332</v>
      </c>
      <c r="N4438" s="158" t="s">
        <v>6573</v>
      </c>
      <c r="O4438" s="158"/>
      <c r="P4438" s="182" t="s">
        <v>461</v>
      </c>
      <c r="Q4438" s="158" t="s">
        <v>5719</v>
      </c>
      <c r="R4438" s="207" t="s">
        <v>5718</v>
      </c>
      <c r="S4438" s="355"/>
      <c r="T4438" s="182" t="s">
        <v>2333</v>
      </c>
      <c r="U4438" s="182" t="s">
        <v>2334</v>
      </c>
      <c r="V4438" s="182"/>
      <c r="W4438" s="321"/>
      <c r="X4438" s="653" t="s">
        <v>12347</v>
      </c>
      <c r="Y4438" s="355" t="s">
        <v>6000</v>
      </c>
      <c r="Z4438" s="362">
        <v>999</v>
      </c>
      <c r="AA4438" s="362"/>
      <c r="AB4438" s="33">
        <f t="shared" ca="1" si="113"/>
        <v>0.12793689622039017</v>
      </c>
      <c r="AC4438" s="813"/>
      <c r="AD4438" s="211" t="s">
        <v>16695</v>
      </c>
      <c r="AE4438" s="941"/>
      <c r="AF4438" s="922">
        <f>IF(X4438=X4437,AF4437,0)+IF(ISNUMBER(I4438),IF(I4438&lt;1,I4438,I4438*VLOOKUP(J4438,Summary!$H$2:$I$9,2)),VLOOKUP(J4438,Summary!$J$2:$K$9,2)*IF(ISNUMBER(H4438),H4438,1))</f>
        <v>0.2722222222222222</v>
      </c>
      <c r="AG4438" s="290">
        <v>4437</v>
      </c>
      <c r="AH4438" s="94"/>
      <c r="AI4438" s="94"/>
    </row>
    <row r="4439" spans="1:36" s="3" customFormat="1" ht="12" customHeight="1" x14ac:dyDescent="0.25">
      <c r="A4439" s="606" t="s">
        <v>15670</v>
      </c>
      <c r="B4439" s="606">
        <v>10</v>
      </c>
      <c r="C4439" s="606">
        <v>9</v>
      </c>
      <c r="D4439" s="493" t="s">
        <v>18</v>
      </c>
      <c r="E4439" s="333" t="s">
        <v>2149</v>
      </c>
      <c r="F4439" s="766">
        <v>40057</v>
      </c>
      <c r="G4439" s="766">
        <v>40148</v>
      </c>
      <c r="H4439" s="226">
        <v>4</v>
      </c>
      <c r="I4439" s="226">
        <v>88</v>
      </c>
      <c r="J4439" s="907" t="s">
        <v>1796</v>
      </c>
      <c r="K4439" s="165" t="s">
        <v>3303</v>
      </c>
      <c r="L4439" s="165" t="s">
        <v>2335</v>
      </c>
      <c r="M4439" s="165" t="s">
        <v>6567</v>
      </c>
      <c r="N4439" s="165" t="s">
        <v>6573</v>
      </c>
      <c r="O4439" s="165"/>
      <c r="P4439" s="225" t="s">
        <v>461</v>
      </c>
      <c r="Q4439" s="165" t="s">
        <v>5719</v>
      </c>
      <c r="R4439" s="234" t="s">
        <v>5718</v>
      </c>
      <c r="S4439" s="369"/>
      <c r="T4439" s="225" t="s">
        <v>2333</v>
      </c>
      <c r="U4439" s="225" t="s">
        <v>2334</v>
      </c>
      <c r="V4439" s="225"/>
      <c r="W4439" s="338"/>
      <c r="X4439" s="670" t="s">
        <v>12347</v>
      </c>
      <c r="Y4439" s="369" t="s">
        <v>6000</v>
      </c>
      <c r="Z4439" s="269">
        <v>999</v>
      </c>
      <c r="AA4439" s="269"/>
      <c r="AB4439" s="38">
        <f t="shared" ca="1" si="113"/>
        <v>0.77133435756227409</v>
      </c>
      <c r="AC4439" s="830"/>
      <c r="AD4439" s="831" t="s">
        <v>16696</v>
      </c>
      <c r="AE4439" s="963" t="s">
        <v>12543</v>
      </c>
      <c r="AF4439" s="928">
        <f>IF(X4439=X4438,AF4438,0)+IF(ISNUMBER(I4439),IF(I4439&lt;1,I4439,I4439*VLOOKUP(J4439,Summary!$H$2:$I$9,2)),VLOOKUP(J4439,Summary!$J$2:$K$9,2)*IF(ISNUMBER(H4439),H4439,1))</f>
        <v>0.30277777777777776</v>
      </c>
      <c r="AG4439" s="304">
        <v>4438</v>
      </c>
      <c r="AH4439" s="94"/>
      <c r="AI4439" s="94"/>
    </row>
    <row r="4440" spans="1:36" s="3" customFormat="1" ht="12" customHeight="1" x14ac:dyDescent="0.25">
      <c r="A4440" s="603" t="s">
        <v>15670</v>
      </c>
      <c r="B4440" s="603">
        <v>10</v>
      </c>
      <c r="C4440" s="603">
        <v>11</v>
      </c>
      <c r="D4440" s="428" t="s">
        <v>19</v>
      </c>
      <c r="E4440" s="325" t="s">
        <v>2145</v>
      </c>
      <c r="F4440" s="183">
        <v>40179</v>
      </c>
      <c r="G4440" s="183">
        <v>40210</v>
      </c>
      <c r="H4440" s="185">
        <v>2</v>
      </c>
      <c r="I4440" s="185">
        <v>44</v>
      </c>
      <c r="J4440" s="901" t="s">
        <v>1796</v>
      </c>
      <c r="K4440" s="158" t="s">
        <v>3303</v>
      </c>
      <c r="L4440" s="158" t="s">
        <v>2153</v>
      </c>
      <c r="M4440" s="158" t="s">
        <v>2332</v>
      </c>
      <c r="N4440" s="158" t="s">
        <v>6573</v>
      </c>
      <c r="O4440" s="158"/>
      <c r="P4440" s="182" t="s">
        <v>461</v>
      </c>
      <c r="Q4440" s="158" t="s">
        <v>5719</v>
      </c>
      <c r="R4440" s="207" t="s">
        <v>5718</v>
      </c>
      <c r="S4440" s="355"/>
      <c r="T4440" s="182" t="s">
        <v>2333</v>
      </c>
      <c r="U4440" s="182" t="s">
        <v>2334</v>
      </c>
      <c r="V4440" s="182"/>
      <c r="W4440" s="321"/>
      <c r="X4440" s="653" t="s">
        <v>12347</v>
      </c>
      <c r="Y4440" s="355" t="s">
        <v>6000</v>
      </c>
      <c r="Z4440" s="362">
        <v>999</v>
      </c>
      <c r="AA4440" s="362"/>
      <c r="AB4440" s="33">
        <f t="shared" ca="1" si="113"/>
        <v>0.87754950033020829</v>
      </c>
      <c r="AC4440" s="813"/>
      <c r="AD4440" s="211"/>
      <c r="AE4440" s="941"/>
      <c r="AF4440" s="922">
        <f>IF(X4440=X4439,AF4439,0)+IF(ISNUMBER(I4440),IF(I4440&lt;1,I4440,I4440*VLOOKUP(J4440,Summary!$H$2:$I$9,2)),VLOOKUP(J4440,Summary!$J$2:$K$9,2)*IF(ISNUMBER(H4440),H4440,1))</f>
        <v>0.31805555555555554</v>
      </c>
      <c r="AG4440" s="290">
        <v>4439</v>
      </c>
      <c r="AH4440" s="94"/>
      <c r="AI4440" s="94"/>
      <c r="AJ4440" s="1"/>
    </row>
    <row r="4441" spans="1:36" s="3" customFormat="1" ht="12" customHeight="1" x14ac:dyDescent="0.25">
      <c r="A4441" s="606" t="s">
        <v>15670</v>
      </c>
      <c r="B4441" s="606">
        <v>10</v>
      </c>
      <c r="C4441" s="606">
        <v>12</v>
      </c>
      <c r="D4441" s="493" t="s">
        <v>20</v>
      </c>
      <c r="E4441" s="333" t="s">
        <v>2146</v>
      </c>
      <c r="F4441" s="766">
        <v>40238</v>
      </c>
      <c r="G4441" s="766">
        <v>40330</v>
      </c>
      <c r="H4441" s="226">
        <v>4</v>
      </c>
      <c r="I4441" s="226">
        <v>88</v>
      </c>
      <c r="J4441" s="907" t="s">
        <v>1796</v>
      </c>
      <c r="K4441" s="165" t="s">
        <v>3303</v>
      </c>
      <c r="L4441" s="165" t="s">
        <v>2336</v>
      </c>
      <c r="M4441" s="165" t="s">
        <v>6567</v>
      </c>
      <c r="N4441" s="165" t="s">
        <v>6573</v>
      </c>
      <c r="O4441" s="165"/>
      <c r="P4441" s="225" t="s">
        <v>461</v>
      </c>
      <c r="Q4441" s="165" t="s">
        <v>5719</v>
      </c>
      <c r="R4441" s="234" t="s">
        <v>5718</v>
      </c>
      <c r="S4441" s="369"/>
      <c r="T4441" s="225" t="s">
        <v>2333</v>
      </c>
      <c r="U4441" s="225" t="s">
        <v>2334</v>
      </c>
      <c r="V4441" s="225"/>
      <c r="W4441" s="338"/>
      <c r="X4441" s="670" t="s">
        <v>12347</v>
      </c>
      <c r="Y4441" s="369" t="s">
        <v>6000</v>
      </c>
      <c r="Z4441" s="269">
        <v>999</v>
      </c>
      <c r="AA4441" s="269"/>
      <c r="AB4441" s="38">
        <f t="shared" ca="1" si="113"/>
        <v>0.96292627729612734</v>
      </c>
      <c r="AC4441" s="830"/>
      <c r="AD4441" s="831" t="s">
        <v>14585</v>
      </c>
      <c r="AE4441" s="963"/>
      <c r="AF4441" s="928">
        <f>IF(X4441=X4440,AF4440,0)+IF(ISNUMBER(I4441),IF(I4441&lt;1,I4441,I4441*VLOOKUP(J4441,Summary!$H$2:$I$9,2)),VLOOKUP(J4441,Summary!$J$2:$K$9,2)*IF(ISNUMBER(H4441),H4441,1))</f>
        <v>0.34861111111111109</v>
      </c>
      <c r="AG4441" s="304">
        <v>4440</v>
      </c>
      <c r="AH4441" s="94"/>
      <c r="AI4441" s="94"/>
    </row>
    <row r="4442" spans="1:36" s="29" customFormat="1" ht="12" customHeight="1" x14ac:dyDescent="0.25">
      <c r="A4442" s="603" t="s">
        <v>15670</v>
      </c>
      <c r="B4442" s="603">
        <v>10</v>
      </c>
      <c r="C4442" s="603">
        <v>14.4</v>
      </c>
      <c r="D4442" s="428" t="s">
        <v>316</v>
      </c>
      <c r="E4442" s="325" t="s">
        <v>318</v>
      </c>
      <c r="F4442" s="183">
        <v>40057</v>
      </c>
      <c r="G4442" s="183"/>
      <c r="H4442" s="185">
        <v>1</v>
      </c>
      <c r="I4442" s="185">
        <v>4</v>
      </c>
      <c r="J4442" s="901" t="s">
        <v>1796</v>
      </c>
      <c r="K4442" s="158" t="s">
        <v>3303</v>
      </c>
      <c r="L4442" s="158" t="s">
        <v>2335</v>
      </c>
      <c r="M4442" s="158" t="s">
        <v>6567</v>
      </c>
      <c r="N4442" s="158" t="s">
        <v>6573</v>
      </c>
      <c r="O4442" s="158"/>
      <c r="P4442" s="182" t="s">
        <v>461</v>
      </c>
      <c r="Q4442" s="158" t="s">
        <v>5719</v>
      </c>
      <c r="R4442" s="207" t="s">
        <v>5718</v>
      </c>
      <c r="S4442" s="355"/>
      <c r="T4442" s="182" t="s">
        <v>2333</v>
      </c>
      <c r="U4442" s="182"/>
      <c r="V4442" s="182"/>
      <c r="W4442" s="325" t="s">
        <v>318</v>
      </c>
      <c r="X4442" s="657" t="s">
        <v>12347</v>
      </c>
      <c r="Y4442" s="355" t="s">
        <v>6000</v>
      </c>
      <c r="Z4442" s="362">
        <v>999</v>
      </c>
      <c r="AA4442" s="362"/>
      <c r="AB4442" s="33">
        <f t="shared" ca="1" si="113"/>
        <v>0.18145899787481434</v>
      </c>
      <c r="AC4442" s="813"/>
      <c r="AD4442" s="826" t="s">
        <v>14585</v>
      </c>
      <c r="AE4442" s="941"/>
      <c r="AF4442" s="922">
        <f>IF(X4442=X4441,AF4441,0)+IF(ISNUMBER(I4442),IF(I4442&lt;1,I4442,I4442*VLOOKUP(J4442,Summary!$H$2:$I$9,2)),VLOOKUP(J4442,Summary!$J$2:$K$9,2)*IF(ISNUMBER(H4442),H4442,1))</f>
        <v>0.35</v>
      </c>
      <c r="AG4442" s="290">
        <v>4441</v>
      </c>
      <c r="AH4442" s="94"/>
      <c r="AI4442" s="94"/>
      <c r="AJ4442" s="43"/>
    </row>
    <row r="4443" spans="1:36" s="3" customFormat="1" ht="12" customHeight="1" x14ac:dyDescent="0.25">
      <c r="A4443" s="606" t="s">
        <v>15670</v>
      </c>
      <c r="B4443" s="606">
        <v>10</v>
      </c>
      <c r="C4443" s="606">
        <v>13</v>
      </c>
      <c r="D4443" s="493" t="s">
        <v>21</v>
      </c>
      <c r="E4443" s="333" t="s">
        <v>315</v>
      </c>
      <c r="F4443" s="766">
        <v>40360</v>
      </c>
      <c r="G4443" s="766">
        <v>40452</v>
      </c>
      <c r="H4443" s="226">
        <v>4</v>
      </c>
      <c r="I4443" s="226">
        <v>88</v>
      </c>
      <c r="J4443" s="907" t="s">
        <v>1796</v>
      </c>
      <c r="K4443" s="165" t="s">
        <v>3303</v>
      </c>
      <c r="L4443" s="165" t="s">
        <v>2335</v>
      </c>
      <c r="M4443" s="165" t="s">
        <v>6567</v>
      </c>
      <c r="N4443" s="165" t="s">
        <v>6573</v>
      </c>
      <c r="O4443" s="165"/>
      <c r="P4443" s="225" t="s">
        <v>461</v>
      </c>
      <c r="Q4443" s="165" t="s">
        <v>5719</v>
      </c>
      <c r="R4443" s="234" t="s">
        <v>5718</v>
      </c>
      <c r="S4443" s="369"/>
      <c r="T4443" s="225" t="s">
        <v>2333</v>
      </c>
      <c r="U4443" s="225" t="s">
        <v>2334</v>
      </c>
      <c r="V4443" s="225"/>
      <c r="W4443" s="338"/>
      <c r="X4443" s="670" t="s">
        <v>12347</v>
      </c>
      <c r="Y4443" s="369" t="s">
        <v>6000</v>
      </c>
      <c r="Z4443" s="269">
        <v>999</v>
      </c>
      <c r="AA4443" s="269"/>
      <c r="AB4443" s="38">
        <f t="shared" ca="1" si="113"/>
        <v>0.57996442408920634</v>
      </c>
      <c r="AC4443" s="830"/>
      <c r="AD4443" s="831" t="s">
        <v>16697</v>
      </c>
      <c r="AE4443" s="953" t="s">
        <v>12543</v>
      </c>
      <c r="AF4443" s="928">
        <f>IF(X4443=X4442,AF4442,0)+IF(ISNUMBER(I4443),IF(I4443&lt;1,I4443,I4443*VLOOKUP(J4443,Summary!$H$2:$I$9,2)),VLOOKUP(J4443,Summary!$J$2:$K$9,2)*IF(ISNUMBER(H4443),H4443,1))</f>
        <v>0.38055555555555554</v>
      </c>
      <c r="AG4443" s="300">
        <v>4442</v>
      </c>
      <c r="AH4443" s="94"/>
      <c r="AI4443" s="94"/>
      <c r="AJ4443" s="43"/>
    </row>
    <row r="4444" spans="1:36" s="3" customFormat="1" ht="12" customHeight="1" x14ac:dyDescent="0.25">
      <c r="A4444" s="599" t="s">
        <v>15670</v>
      </c>
      <c r="B4444" s="599">
        <v>10</v>
      </c>
      <c r="C4444" s="599">
        <v>201</v>
      </c>
      <c r="D4444" s="424" t="s">
        <v>6855</v>
      </c>
      <c r="E4444" s="319" t="s">
        <v>6856</v>
      </c>
      <c r="F4444" s="198">
        <v>40132</v>
      </c>
      <c r="G4444" s="198"/>
      <c r="H4444" s="199">
        <v>1</v>
      </c>
      <c r="I4444" s="791">
        <f>TIME(0,62, 4)</f>
        <v>4.3101851851851856E-2</v>
      </c>
      <c r="J4444" s="904" t="s">
        <v>1588</v>
      </c>
      <c r="K4444" s="200" t="s">
        <v>6857</v>
      </c>
      <c r="L4444" s="200" t="s">
        <v>4544</v>
      </c>
      <c r="M4444" s="200"/>
      <c r="N4444" s="200" t="s">
        <v>3373</v>
      </c>
      <c r="O4444" s="200" t="s">
        <v>6858</v>
      </c>
      <c r="P4444" s="197" t="s">
        <v>461</v>
      </c>
      <c r="Q4444" s="200" t="s">
        <v>3946</v>
      </c>
      <c r="R4444" s="201" t="s">
        <v>5280</v>
      </c>
      <c r="S4444" s="390" t="s">
        <v>3080</v>
      </c>
      <c r="T4444" s="197"/>
      <c r="U4444" s="197"/>
      <c r="V4444" s="197"/>
      <c r="W4444" s="319" t="s">
        <v>6856</v>
      </c>
      <c r="X4444" s="651" t="s">
        <v>12347</v>
      </c>
      <c r="Y4444" s="358" t="s">
        <v>6141</v>
      </c>
      <c r="Z4444" s="253">
        <v>110</v>
      </c>
      <c r="AA4444" s="253">
        <v>6.5</v>
      </c>
      <c r="AB4444" s="35">
        <f t="shared" ca="1" si="113"/>
        <v>0.74028509536211284</v>
      </c>
      <c r="AC4444" s="820"/>
      <c r="AD4444" s="821" t="s">
        <v>16096</v>
      </c>
      <c r="AE4444" s="967"/>
      <c r="AF4444" s="925">
        <f>IF(X4444=X4443,AF4443,0)+IF(ISNUMBER(I4444),IF(I4444&lt;1,I4444,I4444*VLOOKUP(J4444,Summary!$H$2:$I$9,2)),VLOOKUP(J4444,Summary!$J$2:$K$9,2)*IF(ISNUMBER(H4444),H4444,1))</f>
        <v>0.42365740740740737</v>
      </c>
      <c r="AG4444" s="293">
        <v>4443</v>
      </c>
      <c r="AH4444" s="94"/>
      <c r="AI4444" s="94"/>
      <c r="AJ4444" s="2"/>
    </row>
    <row r="4445" spans="1:36" s="3" customFormat="1" ht="12" customHeight="1" x14ac:dyDescent="0.25">
      <c r="A4445" s="600" t="s">
        <v>15670</v>
      </c>
      <c r="B4445" s="600">
        <v>10</v>
      </c>
      <c r="C4445" s="600">
        <v>3</v>
      </c>
      <c r="D4445" s="176" t="s">
        <v>13112</v>
      </c>
      <c r="E4445" s="313" t="s">
        <v>13117</v>
      </c>
      <c r="F4445" s="175">
        <v>41676</v>
      </c>
      <c r="G4445" s="174"/>
      <c r="H4445" s="176">
        <v>1</v>
      </c>
      <c r="I4445" s="176"/>
      <c r="J4445" s="900" t="s">
        <v>2755</v>
      </c>
      <c r="K4445" s="164" t="s">
        <v>13120</v>
      </c>
      <c r="L4445" s="164" t="s">
        <v>461</v>
      </c>
      <c r="M4445" s="164"/>
      <c r="N4445" s="164"/>
      <c r="O4445" s="164"/>
      <c r="P4445" s="173"/>
      <c r="Q4445" s="164" t="s">
        <v>2173</v>
      </c>
      <c r="R4445" s="177" t="s">
        <v>10233</v>
      </c>
      <c r="S4445" s="354"/>
      <c r="T4445" s="173"/>
      <c r="U4445" s="173"/>
      <c r="V4445" s="173" t="s">
        <v>3078</v>
      </c>
      <c r="W4445" s="313" t="s">
        <v>13117</v>
      </c>
      <c r="X4445" s="645" t="s">
        <v>12347</v>
      </c>
      <c r="Y4445" s="354"/>
      <c r="Z4445" s="176"/>
      <c r="AA4445" s="176"/>
      <c r="AB4445" s="32">
        <f t="shared" ca="1" si="113"/>
        <v>0.67652531571128227</v>
      </c>
      <c r="AC4445" s="812"/>
      <c r="AD4445" s="763"/>
      <c r="AE4445" s="807"/>
      <c r="AF4445" s="921">
        <f>IF(X4445=X4444,AF4444,0)+IF(ISNUMBER(I4445),IF(I4445&lt;1,I4445,I4445*VLOOKUP(J4445,Summary!$H$2:$I$9,2)),VLOOKUP(J4445,Summary!$J$2:$K$9,2)*IF(ISNUMBER(H4445),H4445,1))</f>
        <v>0.44101851851851848</v>
      </c>
      <c r="AG4445" s="289">
        <v>4444</v>
      </c>
      <c r="AH4445" s="94"/>
      <c r="AI4445" s="94"/>
    </row>
    <row r="4446" spans="1:36" s="3" customFormat="1" ht="12" customHeight="1" x14ac:dyDescent="0.25">
      <c r="A4446" s="599" t="s">
        <v>15670</v>
      </c>
      <c r="B4446" s="599">
        <v>10</v>
      </c>
      <c r="C4446" s="599">
        <v>1</v>
      </c>
      <c r="D4446" s="424" t="s">
        <v>3554</v>
      </c>
      <c r="E4446" s="319" t="s">
        <v>4149</v>
      </c>
      <c r="F4446" s="198">
        <v>40138</v>
      </c>
      <c r="G4446" s="198">
        <v>40143</v>
      </c>
      <c r="H4446" s="188" t="str">
        <f>IF(J4446="Book","n/a","")</f>
        <v/>
      </c>
      <c r="I4446" s="791">
        <f>TIME(0,45,0)</f>
        <v>3.125E-2</v>
      </c>
      <c r="J4446" s="904" t="s">
        <v>1588</v>
      </c>
      <c r="K4446" s="200" t="s">
        <v>4152</v>
      </c>
      <c r="L4446" s="200" t="s">
        <v>7375</v>
      </c>
      <c r="M4446" s="200"/>
      <c r="N4446" s="200"/>
      <c r="O4446" s="200" t="s">
        <v>3376</v>
      </c>
      <c r="P4446" s="197" t="s">
        <v>461</v>
      </c>
      <c r="Q4446" s="200" t="s">
        <v>3946</v>
      </c>
      <c r="R4446" s="201" t="s">
        <v>5274</v>
      </c>
      <c r="S4446" s="390" t="s">
        <v>3081</v>
      </c>
      <c r="T4446" s="197" t="s">
        <v>3082</v>
      </c>
      <c r="U4446" s="197"/>
      <c r="V4446" s="197"/>
      <c r="W4446" s="318"/>
      <c r="X4446" s="650" t="s">
        <v>12347</v>
      </c>
      <c r="Y4446" s="358" t="s">
        <v>7018</v>
      </c>
      <c r="Z4446" s="253">
        <v>312</v>
      </c>
      <c r="AA4446" s="253">
        <v>1</v>
      </c>
      <c r="AB4446" s="35">
        <f t="shared" ca="1" si="113"/>
        <v>0.13670110665260804</v>
      </c>
      <c r="AC4446" s="820"/>
      <c r="AD4446" s="821" t="s">
        <v>16771</v>
      </c>
      <c r="AE4446" s="944"/>
      <c r="AF4446" s="925">
        <f>IF(X4446=X4445,AF4445,0)+IF(ISNUMBER(I4446),IF(I4446&lt;1,I4446,I4446*VLOOKUP(J4446,Summary!$H$2:$I$9,2)),VLOOKUP(J4446,Summary!$J$2:$K$9,2)*IF(ISNUMBER(H4446),H4446,1))</f>
        <v>0.47226851851851848</v>
      </c>
      <c r="AG4446" s="293">
        <v>4445</v>
      </c>
      <c r="AH4446" s="94"/>
      <c r="AI4446" s="94"/>
    </row>
    <row r="4447" spans="1:36" s="29" customFormat="1" ht="12" customHeight="1" x14ac:dyDescent="0.25">
      <c r="A4447" s="603" t="s">
        <v>15670</v>
      </c>
      <c r="B4447" s="603">
        <v>10</v>
      </c>
      <c r="C4447" s="603">
        <v>56</v>
      </c>
      <c r="D4447" s="428" t="s">
        <v>1148</v>
      </c>
      <c r="E4447" s="325" t="s">
        <v>2436</v>
      </c>
      <c r="F4447" s="184">
        <v>39815</v>
      </c>
      <c r="G4447" s="184">
        <v>39820</v>
      </c>
      <c r="H4447" s="185">
        <v>1</v>
      </c>
      <c r="I4447" s="185">
        <v>5</v>
      </c>
      <c r="J4447" s="901" t="s">
        <v>1796</v>
      </c>
      <c r="K4447" s="158" t="s">
        <v>4147</v>
      </c>
      <c r="L4447" s="158" t="s">
        <v>3832</v>
      </c>
      <c r="M4447" s="158" t="s">
        <v>254</v>
      </c>
      <c r="N4447" s="158" t="s">
        <v>5317</v>
      </c>
      <c r="O4447" s="158"/>
      <c r="P4447" s="182" t="s">
        <v>461</v>
      </c>
      <c r="Q4447" s="158" t="s">
        <v>4929</v>
      </c>
      <c r="R4447" s="207" t="s">
        <v>4796</v>
      </c>
      <c r="S4447" s="355" t="s">
        <v>322</v>
      </c>
      <c r="T4447" s="182"/>
      <c r="U4447" s="182"/>
      <c r="V4447" s="182"/>
      <c r="W4447" s="325" t="s">
        <v>2436</v>
      </c>
      <c r="X4447" s="657" t="s">
        <v>12347</v>
      </c>
      <c r="Y4447" s="361"/>
      <c r="Z4447" s="362"/>
      <c r="AA4447" s="362"/>
      <c r="AB4447" s="33">
        <f t="shared" ca="1" si="113"/>
        <v>0.55938923165355581</v>
      </c>
      <c r="AC4447" s="813"/>
      <c r="AD4447" s="211"/>
      <c r="AE4447" s="949"/>
      <c r="AF4447" s="922">
        <f>IF(X4447=X4446,AF4446,0)+IF(ISNUMBER(I4447),IF(I4447&lt;1,I4447,I4447*VLOOKUP(J4447,Summary!$H$2:$I$9,2)),VLOOKUP(J4447,Summary!$J$2:$K$9,2)*IF(ISNUMBER(H4447),H4447,1))</f>
        <v>0.47400462962962958</v>
      </c>
      <c r="AG4447" s="295">
        <v>4446</v>
      </c>
      <c r="AH4447" s="94"/>
      <c r="AI4447" s="94"/>
      <c r="AJ4447" s="2"/>
    </row>
    <row r="4448" spans="1:36" s="22" customFormat="1" ht="12" customHeight="1" x14ac:dyDescent="0.2">
      <c r="A4448" s="603" t="s">
        <v>15670</v>
      </c>
      <c r="B4448" s="603">
        <v>10</v>
      </c>
      <c r="C4448" s="603">
        <v>57</v>
      </c>
      <c r="D4448" s="428" t="s">
        <v>1149</v>
      </c>
      <c r="E4448" s="325" t="s">
        <v>3635</v>
      </c>
      <c r="F4448" s="184">
        <v>39821</v>
      </c>
      <c r="G4448" s="184">
        <v>39827</v>
      </c>
      <c r="H4448" s="185">
        <v>1</v>
      </c>
      <c r="I4448" s="185">
        <v>5</v>
      </c>
      <c r="J4448" s="901" t="s">
        <v>1796</v>
      </c>
      <c r="K4448" s="158" t="s">
        <v>4032</v>
      </c>
      <c r="L4448" s="158" t="s">
        <v>3832</v>
      </c>
      <c r="M4448" s="158" t="s">
        <v>254</v>
      </c>
      <c r="N4448" s="158" t="s">
        <v>5317</v>
      </c>
      <c r="O4448" s="158"/>
      <c r="P4448" s="182" t="s">
        <v>461</v>
      </c>
      <c r="Q4448" s="158" t="s">
        <v>4929</v>
      </c>
      <c r="R4448" s="207" t="s">
        <v>4796</v>
      </c>
      <c r="S4448" s="355" t="s">
        <v>322</v>
      </c>
      <c r="T4448" s="182"/>
      <c r="U4448" s="182"/>
      <c r="V4448" s="182"/>
      <c r="W4448" s="325" t="s">
        <v>3635</v>
      </c>
      <c r="X4448" s="657" t="s">
        <v>12347</v>
      </c>
      <c r="Y4448" s="361"/>
      <c r="Z4448" s="362"/>
      <c r="AA4448" s="362"/>
      <c r="AB4448" s="33">
        <f t="shared" ca="1" si="113"/>
        <v>0.9754040048261815</v>
      </c>
      <c r="AC4448" s="813"/>
      <c r="AD4448" s="836"/>
      <c r="AE4448" s="949"/>
      <c r="AF4448" s="922">
        <f>IF(X4448=X4447,AF4447,0)+IF(ISNUMBER(I4448),IF(I4448&lt;1,I4448,I4448*VLOOKUP(J4448,Summary!$H$2:$I$9,2)),VLOOKUP(J4448,Summary!$J$2:$K$9,2)*IF(ISNUMBER(H4448),H4448,1))</f>
        <v>0.47574074074074069</v>
      </c>
      <c r="AG4448" s="295">
        <v>4447</v>
      </c>
      <c r="AH4448" s="94"/>
      <c r="AI4448" s="94"/>
    </row>
    <row r="4449" spans="1:36" s="43" customFormat="1" ht="12" customHeight="1" x14ac:dyDescent="0.25">
      <c r="A4449" s="603" t="s">
        <v>15670</v>
      </c>
      <c r="B4449" s="603">
        <v>10</v>
      </c>
      <c r="C4449" s="603">
        <v>58</v>
      </c>
      <c r="D4449" s="428" t="s">
        <v>1150</v>
      </c>
      <c r="E4449" s="325" t="s">
        <v>3636</v>
      </c>
      <c r="F4449" s="184">
        <v>39828</v>
      </c>
      <c r="G4449" s="184">
        <v>39834</v>
      </c>
      <c r="H4449" s="185">
        <v>1</v>
      </c>
      <c r="I4449" s="185">
        <v>5</v>
      </c>
      <c r="J4449" s="901" t="s">
        <v>1796</v>
      </c>
      <c r="K4449" s="158" t="s">
        <v>4147</v>
      </c>
      <c r="L4449" s="158" t="s">
        <v>3832</v>
      </c>
      <c r="M4449" s="158" t="s">
        <v>254</v>
      </c>
      <c r="N4449" s="158" t="s">
        <v>5317</v>
      </c>
      <c r="O4449" s="158"/>
      <c r="P4449" s="182" t="s">
        <v>461</v>
      </c>
      <c r="Q4449" s="158" t="s">
        <v>4929</v>
      </c>
      <c r="R4449" s="207" t="s">
        <v>4796</v>
      </c>
      <c r="S4449" s="355" t="s">
        <v>322</v>
      </c>
      <c r="T4449" s="182"/>
      <c r="U4449" s="182"/>
      <c r="V4449" s="182"/>
      <c r="W4449" s="325" t="s">
        <v>3636</v>
      </c>
      <c r="X4449" s="657" t="s">
        <v>12347</v>
      </c>
      <c r="Y4449" s="361"/>
      <c r="Z4449" s="362"/>
      <c r="AA4449" s="362"/>
      <c r="AB4449" s="33">
        <f t="shared" ca="1" si="113"/>
        <v>0.27599666299133918</v>
      </c>
      <c r="AC4449" s="813"/>
      <c r="AD4449" s="211"/>
      <c r="AE4449" s="949"/>
      <c r="AF4449" s="922">
        <f>IF(X4449=X4448,AF4448,0)+IF(ISNUMBER(I4449),IF(I4449&lt;1,I4449,I4449*VLOOKUP(J4449,Summary!$H$2:$I$9,2)),VLOOKUP(J4449,Summary!$J$2:$K$9,2)*IF(ISNUMBER(H4449),H4449,1))</f>
        <v>0.47747685185185179</v>
      </c>
      <c r="AG4449" s="295">
        <v>4448</v>
      </c>
      <c r="AH4449" s="94"/>
      <c r="AI4449" s="94"/>
      <c r="AJ4449" s="29"/>
    </row>
    <row r="4450" spans="1:36" s="3" customFormat="1" ht="12" customHeight="1" x14ac:dyDescent="0.25">
      <c r="A4450" s="603" t="s">
        <v>15670</v>
      </c>
      <c r="B4450" s="603">
        <v>10</v>
      </c>
      <c r="C4450" s="603">
        <v>59</v>
      </c>
      <c r="D4450" s="428" t="s">
        <v>1151</v>
      </c>
      <c r="E4450" s="325" t="s">
        <v>3637</v>
      </c>
      <c r="F4450" s="184">
        <v>39835</v>
      </c>
      <c r="G4450" s="184">
        <v>39841</v>
      </c>
      <c r="H4450" s="185">
        <v>1</v>
      </c>
      <c r="I4450" s="185">
        <v>5</v>
      </c>
      <c r="J4450" s="901" t="s">
        <v>1796</v>
      </c>
      <c r="K4450" s="158" t="s">
        <v>4672</v>
      </c>
      <c r="L4450" s="158" t="s">
        <v>3832</v>
      </c>
      <c r="M4450" s="158" t="s">
        <v>254</v>
      </c>
      <c r="N4450" s="158" t="s">
        <v>5317</v>
      </c>
      <c r="O4450" s="158"/>
      <c r="P4450" s="182" t="s">
        <v>461</v>
      </c>
      <c r="Q4450" s="158" t="s">
        <v>4929</v>
      </c>
      <c r="R4450" s="207" t="s">
        <v>4796</v>
      </c>
      <c r="S4450" s="355" t="s">
        <v>322</v>
      </c>
      <c r="T4450" s="182"/>
      <c r="U4450" s="182"/>
      <c r="V4450" s="182"/>
      <c r="W4450" s="325" t="s">
        <v>3637</v>
      </c>
      <c r="X4450" s="657" t="s">
        <v>12347</v>
      </c>
      <c r="Y4450" s="361"/>
      <c r="Z4450" s="362"/>
      <c r="AA4450" s="362"/>
      <c r="AB4450" s="33">
        <f t="shared" ca="1" si="113"/>
        <v>3.8190028638205642E-2</v>
      </c>
      <c r="AC4450" s="813"/>
      <c r="AD4450" s="211"/>
      <c r="AE4450" s="949"/>
      <c r="AF4450" s="922">
        <f>IF(X4450=X4449,AF4449,0)+IF(ISNUMBER(I4450),IF(I4450&lt;1,I4450,I4450*VLOOKUP(J4450,Summary!$H$2:$I$9,2)),VLOOKUP(J4450,Summary!$J$2:$K$9,2)*IF(ISNUMBER(H4450),H4450,1))</f>
        <v>0.4792129629629629</v>
      </c>
      <c r="AG4450" s="295">
        <v>4449</v>
      </c>
      <c r="AH4450" s="94"/>
      <c r="AI4450" s="94"/>
      <c r="AJ4450" s="29"/>
    </row>
    <row r="4451" spans="1:36" s="3" customFormat="1" ht="12" customHeight="1" x14ac:dyDescent="0.25">
      <c r="A4451" s="603" t="s">
        <v>15670</v>
      </c>
      <c r="B4451" s="603">
        <v>10</v>
      </c>
      <c r="C4451" s="603">
        <v>60</v>
      </c>
      <c r="D4451" s="428" t="s">
        <v>1152</v>
      </c>
      <c r="E4451" s="325" t="s">
        <v>3638</v>
      </c>
      <c r="F4451" s="184">
        <v>39842</v>
      </c>
      <c r="G4451" s="184">
        <v>39848</v>
      </c>
      <c r="H4451" s="185">
        <v>1</v>
      </c>
      <c r="I4451" s="185">
        <v>5</v>
      </c>
      <c r="J4451" s="901" t="s">
        <v>1796</v>
      </c>
      <c r="K4451" s="158" t="s">
        <v>4672</v>
      </c>
      <c r="L4451" s="158" t="s">
        <v>3832</v>
      </c>
      <c r="M4451" s="158" t="s">
        <v>254</v>
      </c>
      <c r="N4451" s="158" t="s">
        <v>5317</v>
      </c>
      <c r="O4451" s="158"/>
      <c r="P4451" s="182" t="s">
        <v>461</v>
      </c>
      <c r="Q4451" s="158" t="s">
        <v>4929</v>
      </c>
      <c r="R4451" s="207" t="s">
        <v>4796</v>
      </c>
      <c r="S4451" s="355" t="s">
        <v>322</v>
      </c>
      <c r="T4451" s="182"/>
      <c r="U4451" s="182"/>
      <c r="V4451" s="182"/>
      <c r="W4451" s="325" t="s">
        <v>3638</v>
      </c>
      <c r="X4451" s="657" t="s">
        <v>12347</v>
      </c>
      <c r="Y4451" s="361"/>
      <c r="Z4451" s="362"/>
      <c r="AA4451" s="362"/>
      <c r="AB4451" s="33">
        <f t="shared" ca="1" si="113"/>
        <v>0.18824597180325109</v>
      </c>
      <c r="AC4451" s="813"/>
      <c r="AD4451" s="211"/>
      <c r="AE4451" s="949"/>
      <c r="AF4451" s="922">
        <f>IF(X4451=X4450,AF4450,0)+IF(ISNUMBER(I4451),IF(I4451&lt;1,I4451,I4451*VLOOKUP(J4451,Summary!$H$2:$I$9,2)),VLOOKUP(J4451,Summary!$J$2:$K$9,2)*IF(ISNUMBER(H4451),H4451,1))</f>
        <v>0.480949074074074</v>
      </c>
      <c r="AG4451" s="295">
        <v>4450</v>
      </c>
      <c r="AH4451" s="94"/>
      <c r="AI4451" s="94"/>
    </row>
    <row r="4452" spans="1:36" s="3" customFormat="1" ht="12" customHeight="1" x14ac:dyDescent="0.25">
      <c r="A4452" s="603" t="s">
        <v>15670</v>
      </c>
      <c r="B4452" s="603">
        <v>10</v>
      </c>
      <c r="C4452" s="603">
        <v>61</v>
      </c>
      <c r="D4452" s="428" t="s">
        <v>1153</v>
      </c>
      <c r="E4452" s="325" t="s">
        <v>3639</v>
      </c>
      <c r="F4452" s="184">
        <v>39849</v>
      </c>
      <c r="G4452" s="184">
        <v>39855</v>
      </c>
      <c r="H4452" s="185">
        <v>1</v>
      </c>
      <c r="I4452" s="185">
        <v>5</v>
      </c>
      <c r="J4452" s="901" t="s">
        <v>1796</v>
      </c>
      <c r="K4452" s="158" t="s">
        <v>4147</v>
      </c>
      <c r="L4452" s="158" t="s">
        <v>3832</v>
      </c>
      <c r="M4452" s="158" t="s">
        <v>254</v>
      </c>
      <c r="N4452" s="158" t="s">
        <v>5317</v>
      </c>
      <c r="O4452" s="158"/>
      <c r="P4452" s="182" t="s">
        <v>461</v>
      </c>
      <c r="Q4452" s="158" t="s">
        <v>4929</v>
      </c>
      <c r="R4452" s="207" t="s">
        <v>4796</v>
      </c>
      <c r="S4452" s="355" t="s">
        <v>322</v>
      </c>
      <c r="T4452" s="182"/>
      <c r="U4452" s="182"/>
      <c r="V4452" s="182"/>
      <c r="W4452" s="325" t="s">
        <v>3639</v>
      </c>
      <c r="X4452" s="657" t="s">
        <v>12347</v>
      </c>
      <c r="Y4452" s="361"/>
      <c r="Z4452" s="362"/>
      <c r="AA4452" s="362"/>
      <c r="AB4452" s="33">
        <f t="shared" ca="1" si="113"/>
        <v>0.73517762383769192</v>
      </c>
      <c r="AC4452" s="813"/>
      <c r="AD4452" s="211"/>
      <c r="AE4452" s="949"/>
      <c r="AF4452" s="922">
        <f>IF(X4452=X4451,AF4451,0)+IF(ISNUMBER(I4452),IF(I4452&lt;1,I4452,I4452*VLOOKUP(J4452,Summary!$H$2:$I$9,2)),VLOOKUP(J4452,Summary!$J$2:$K$9,2)*IF(ISNUMBER(H4452),H4452,1))</f>
        <v>0.48268518518518511</v>
      </c>
      <c r="AG4452" s="295">
        <v>4451</v>
      </c>
      <c r="AH4452" s="94"/>
      <c r="AI4452" s="94"/>
    </row>
    <row r="4453" spans="1:36" s="57" customFormat="1" ht="12" customHeight="1" x14ac:dyDescent="0.25">
      <c r="A4453" s="603" t="s">
        <v>15670</v>
      </c>
      <c r="B4453" s="603">
        <v>10</v>
      </c>
      <c r="C4453" s="603">
        <v>62</v>
      </c>
      <c r="D4453" s="428" t="s">
        <v>1154</v>
      </c>
      <c r="E4453" s="325" t="s">
        <v>3640</v>
      </c>
      <c r="F4453" s="184">
        <v>39856</v>
      </c>
      <c r="G4453" s="184">
        <v>39862</v>
      </c>
      <c r="H4453" s="185">
        <v>1</v>
      </c>
      <c r="I4453" s="185">
        <v>5</v>
      </c>
      <c r="J4453" s="901" t="s">
        <v>1796</v>
      </c>
      <c r="K4453" s="158" t="s">
        <v>3284</v>
      </c>
      <c r="L4453" s="158" t="s">
        <v>3832</v>
      </c>
      <c r="M4453" s="158" t="s">
        <v>254</v>
      </c>
      <c r="N4453" s="158" t="s">
        <v>5317</v>
      </c>
      <c r="O4453" s="158"/>
      <c r="P4453" s="182" t="s">
        <v>461</v>
      </c>
      <c r="Q4453" s="158" t="s">
        <v>4929</v>
      </c>
      <c r="R4453" s="207" t="s">
        <v>4796</v>
      </c>
      <c r="S4453" s="355" t="s">
        <v>322</v>
      </c>
      <c r="T4453" s="182"/>
      <c r="U4453" s="182"/>
      <c r="V4453" s="182"/>
      <c r="W4453" s="325" t="s">
        <v>3640</v>
      </c>
      <c r="X4453" s="657" t="s">
        <v>12347</v>
      </c>
      <c r="Y4453" s="361"/>
      <c r="Z4453" s="362"/>
      <c r="AA4453" s="362"/>
      <c r="AB4453" s="33">
        <f t="shared" ca="1" si="113"/>
        <v>0.74494543452693329</v>
      </c>
      <c r="AC4453" s="813"/>
      <c r="AD4453" s="211"/>
      <c r="AE4453" s="949"/>
      <c r="AF4453" s="922">
        <f>IF(X4453=X4452,AF4452,0)+IF(ISNUMBER(I4453),IF(I4453&lt;1,I4453,I4453*VLOOKUP(J4453,Summary!$H$2:$I$9,2)),VLOOKUP(J4453,Summary!$J$2:$K$9,2)*IF(ISNUMBER(H4453),H4453,1))</f>
        <v>0.48442129629629621</v>
      </c>
      <c r="AG4453" s="295">
        <v>4452</v>
      </c>
      <c r="AH4453" s="94"/>
      <c r="AI4453" s="94"/>
      <c r="AJ4453" s="3"/>
    </row>
    <row r="4454" spans="1:36" s="2" customFormat="1" ht="12" customHeight="1" x14ac:dyDescent="0.25">
      <c r="A4454" s="603" t="s">
        <v>15670</v>
      </c>
      <c r="B4454" s="603">
        <v>10</v>
      </c>
      <c r="C4454" s="603">
        <v>63</v>
      </c>
      <c r="D4454" s="428" t="s">
        <v>1155</v>
      </c>
      <c r="E4454" s="325" t="s">
        <v>3641</v>
      </c>
      <c r="F4454" s="184">
        <v>39863</v>
      </c>
      <c r="G4454" s="184">
        <v>39869</v>
      </c>
      <c r="H4454" s="185">
        <v>1</v>
      </c>
      <c r="I4454" s="185">
        <v>5</v>
      </c>
      <c r="J4454" s="901" t="s">
        <v>1796</v>
      </c>
      <c r="K4454" s="158" t="s">
        <v>4032</v>
      </c>
      <c r="L4454" s="158" t="s">
        <v>3832</v>
      </c>
      <c r="M4454" s="158" t="s">
        <v>254</v>
      </c>
      <c r="N4454" s="158" t="s">
        <v>5317</v>
      </c>
      <c r="O4454" s="158"/>
      <c r="P4454" s="182" t="s">
        <v>461</v>
      </c>
      <c r="Q4454" s="158" t="s">
        <v>4929</v>
      </c>
      <c r="R4454" s="207" t="s">
        <v>4796</v>
      </c>
      <c r="S4454" s="355" t="s">
        <v>322</v>
      </c>
      <c r="T4454" s="182"/>
      <c r="U4454" s="182"/>
      <c r="V4454" s="182"/>
      <c r="W4454" s="325" t="s">
        <v>3641</v>
      </c>
      <c r="X4454" s="657" t="s">
        <v>12347</v>
      </c>
      <c r="Y4454" s="361"/>
      <c r="Z4454" s="362"/>
      <c r="AA4454" s="362"/>
      <c r="AB4454" s="33">
        <f t="shared" ca="1" si="113"/>
        <v>0.50919220494394823</v>
      </c>
      <c r="AC4454" s="813"/>
      <c r="AD4454" s="211"/>
      <c r="AE4454" s="949"/>
      <c r="AF4454" s="922">
        <f>IF(X4454=X4453,AF4453,0)+IF(ISNUMBER(I4454),IF(I4454&lt;1,I4454,I4454*VLOOKUP(J4454,Summary!$H$2:$I$9,2)),VLOOKUP(J4454,Summary!$J$2:$K$9,2)*IF(ISNUMBER(H4454),H4454,1))</f>
        <v>0.48615740740740732</v>
      </c>
      <c r="AG4454" s="295">
        <v>4453</v>
      </c>
      <c r="AH4454" s="94"/>
      <c r="AI4454" s="94"/>
      <c r="AJ4454" s="3"/>
    </row>
    <row r="4455" spans="1:36" s="2" customFormat="1" ht="12" customHeight="1" x14ac:dyDescent="0.25">
      <c r="A4455" s="603" t="s">
        <v>15670</v>
      </c>
      <c r="B4455" s="603">
        <v>10</v>
      </c>
      <c r="C4455" s="603">
        <v>64</v>
      </c>
      <c r="D4455" s="428" t="s">
        <v>1156</v>
      </c>
      <c r="E4455" s="325" t="s">
        <v>3642</v>
      </c>
      <c r="F4455" s="184">
        <v>39870</v>
      </c>
      <c r="G4455" s="184">
        <v>39876</v>
      </c>
      <c r="H4455" s="185">
        <v>1</v>
      </c>
      <c r="I4455" s="185">
        <v>5</v>
      </c>
      <c r="J4455" s="901" t="s">
        <v>1796</v>
      </c>
      <c r="K4455" s="158" t="s">
        <v>4147</v>
      </c>
      <c r="L4455" s="158" t="s">
        <v>3832</v>
      </c>
      <c r="M4455" s="158" t="s">
        <v>254</v>
      </c>
      <c r="N4455" s="158" t="s">
        <v>5317</v>
      </c>
      <c r="O4455" s="158"/>
      <c r="P4455" s="182" t="s">
        <v>461</v>
      </c>
      <c r="Q4455" s="158" t="s">
        <v>4929</v>
      </c>
      <c r="R4455" s="207" t="s">
        <v>4796</v>
      </c>
      <c r="S4455" s="355" t="s">
        <v>322</v>
      </c>
      <c r="T4455" s="182"/>
      <c r="U4455" s="182"/>
      <c r="V4455" s="182"/>
      <c r="W4455" s="325" t="s">
        <v>3642</v>
      </c>
      <c r="X4455" s="657" t="s">
        <v>12347</v>
      </c>
      <c r="Y4455" s="361"/>
      <c r="Z4455" s="362"/>
      <c r="AA4455" s="362"/>
      <c r="AB4455" s="33">
        <f t="shared" ca="1" si="113"/>
        <v>7.0117068178121911E-2</v>
      </c>
      <c r="AC4455" s="813"/>
      <c r="AD4455" s="211"/>
      <c r="AE4455" s="949"/>
      <c r="AF4455" s="922">
        <f>IF(X4455=X4454,AF4454,0)+IF(ISNUMBER(I4455),IF(I4455&lt;1,I4455,I4455*VLOOKUP(J4455,Summary!$H$2:$I$9,2)),VLOOKUP(J4455,Summary!$J$2:$K$9,2)*IF(ISNUMBER(H4455),H4455,1))</f>
        <v>0.48789351851851842</v>
      </c>
      <c r="AG4455" s="295">
        <v>4454</v>
      </c>
      <c r="AH4455" s="94"/>
      <c r="AI4455" s="94"/>
      <c r="AJ4455" s="3"/>
    </row>
    <row r="4456" spans="1:36" s="2" customFormat="1" ht="12" customHeight="1" x14ac:dyDescent="0.25">
      <c r="A4456" s="603" t="s">
        <v>15670</v>
      </c>
      <c r="B4456" s="603">
        <v>10</v>
      </c>
      <c r="C4456" s="603">
        <v>65</v>
      </c>
      <c r="D4456" s="428" t="s">
        <v>1157</v>
      </c>
      <c r="E4456" s="325" t="s">
        <v>3643</v>
      </c>
      <c r="F4456" s="184">
        <v>39877</v>
      </c>
      <c r="G4456" s="184">
        <v>39883</v>
      </c>
      <c r="H4456" s="185">
        <v>1</v>
      </c>
      <c r="I4456" s="185">
        <v>5</v>
      </c>
      <c r="J4456" s="901" t="s">
        <v>1796</v>
      </c>
      <c r="K4456" s="158" t="s">
        <v>5664</v>
      </c>
      <c r="L4456" s="158" t="s">
        <v>3832</v>
      </c>
      <c r="M4456" s="158" t="s">
        <v>254</v>
      </c>
      <c r="N4456" s="158" t="s">
        <v>5317</v>
      </c>
      <c r="O4456" s="158"/>
      <c r="P4456" s="182" t="s">
        <v>461</v>
      </c>
      <c r="Q4456" s="158" t="s">
        <v>4929</v>
      </c>
      <c r="R4456" s="207" t="s">
        <v>4796</v>
      </c>
      <c r="S4456" s="355" t="s">
        <v>322</v>
      </c>
      <c r="T4456" s="182"/>
      <c r="U4456" s="182"/>
      <c r="V4456" s="182"/>
      <c r="W4456" s="325" t="s">
        <v>3643</v>
      </c>
      <c r="X4456" s="657" t="s">
        <v>12347</v>
      </c>
      <c r="Y4456" s="361"/>
      <c r="Z4456" s="362"/>
      <c r="AA4456" s="362"/>
      <c r="AB4456" s="33">
        <f t="shared" ca="1" si="113"/>
        <v>0.2770681675730875</v>
      </c>
      <c r="AC4456" s="813"/>
      <c r="AD4456" s="211"/>
      <c r="AE4456" s="949"/>
      <c r="AF4456" s="922">
        <f>IF(X4456=X4455,AF4455,0)+IF(ISNUMBER(I4456),IF(I4456&lt;1,I4456,I4456*VLOOKUP(J4456,Summary!$H$2:$I$9,2)),VLOOKUP(J4456,Summary!$J$2:$K$9,2)*IF(ISNUMBER(H4456),H4456,1))</f>
        <v>0.48962962962962953</v>
      </c>
      <c r="AG4456" s="295">
        <v>4455</v>
      </c>
      <c r="AH4456" s="94"/>
      <c r="AI4456" s="94"/>
      <c r="AJ4456" s="3"/>
    </row>
    <row r="4457" spans="1:36" s="2" customFormat="1" ht="12" customHeight="1" x14ac:dyDescent="0.25">
      <c r="A4457" s="603" t="s">
        <v>15670</v>
      </c>
      <c r="B4457" s="603">
        <v>10</v>
      </c>
      <c r="C4457" s="603">
        <v>66</v>
      </c>
      <c r="D4457" s="428" t="s">
        <v>1158</v>
      </c>
      <c r="E4457" s="325" t="s">
        <v>3644</v>
      </c>
      <c r="F4457" s="184">
        <v>39884</v>
      </c>
      <c r="G4457" s="184">
        <v>39890</v>
      </c>
      <c r="H4457" s="185">
        <v>1</v>
      </c>
      <c r="I4457" s="185">
        <v>5</v>
      </c>
      <c r="J4457" s="901" t="s">
        <v>1796</v>
      </c>
      <c r="K4457" s="158" t="s">
        <v>5660</v>
      </c>
      <c r="L4457" s="158" t="s">
        <v>3832</v>
      </c>
      <c r="M4457" s="158" t="s">
        <v>254</v>
      </c>
      <c r="N4457" s="158" t="s">
        <v>5317</v>
      </c>
      <c r="O4457" s="158"/>
      <c r="P4457" s="182" t="s">
        <v>461</v>
      </c>
      <c r="Q4457" s="158" t="s">
        <v>4929</v>
      </c>
      <c r="R4457" s="207" t="s">
        <v>4796</v>
      </c>
      <c r="S4457" s="355" t="s">
        <v>322</v>
      </c>
      <c r="T4457" s="182"/>
      <c r="U4457" s="182"/>
      <c r="V4457" s="182"/>
      <c r="W4457" s="325" t="s">
        <v>3644</v>
      </c>
      <c r="X4457" s="657" t="s">
        <v>12347</v>
      </c>
      <c r="Y4457" s="361"/>
      <c r="Z4457" s="362"/>
      <c r="AA4457" s="362"/>
      <c r="AB4457" s="33">
        <f t="shared" ca="1" si="113"/>
        <v>0.87929311330497095</v>
      </c>
      <c r="AC4457" s="813"/>
      <c r="AD4457" s="211"/>
      <c r="AE4457" s="949"/>
      <c r="AF4457" s="922">
        <f>IF(X4457=X4456,AF4456,0)+IF(ISNUMBER(I4457),IF(I4457&lt;1,I4457,I4457*VLOOKUP(J4457,Summary!$H$2:$I$9,2)),VLOOKUP(J4457,Summary!$J$2:$K$9,2)*IF(ISNUMBER(H4457),H4457,1))</f>
        <v>0.49136574074074063</v>
      </c>
      <c r="AG4457" s="295">
        <v>4456</v>
      </c>
      <c r="AH4457" s="94"/>
      <c r="AI4457" s="94"/>
      <c r="AJ4457" s="3"/>
    </row>
    <row r="4458" spans="1:36" s="29" customFormat="1" ht="12" customHeight="1" x14ac:dyDescent="0.25">
      <c r="A4458" s="603" t="s">
        <v>15670</v>
      </c>
      <c r="B4458" s="603">
        <v>10</v>
      </c>
      <c r="C4458" s="603">
        <v>67</v>
      </c>
      <c r="D4458" s="428" t="s">
        <v>1159</v>
      </c>
      <c r="E4458" s="325" t="s">
        <v>3645</v>
      </c>
      <c r="F4458" s="184">
        <v>39891</v>
      </c>
      <c r="G4458" s="184">
        <v>39897</v>
      </c>
      <c r="H4458" s="185">
        <v>1</v>
      </c>
      <c r="I4458" s="185">
        <v>5</v>
      </c>
      <c r="J4458" s="901" t="s">
        <v>1796</v>
      </c>
      <c r="K4458" s="158" t="s">
        <v>4032</v>
      </c>
      <c r="L4458" s="158" t="s">
        <v>3832</v>
      </c>
      <c r="M4458" s="158" t="s">
        <v>254</v>
      </c>
      <c r="N4458" s="158" t="s">
        <v>5317</v>
      </c>
      <c r="O4458" s="158"/>
      <c r="P4458" s="182" t="s">
        <v>461</v>
      </c>
      <c r="Q4458" s="158" t="s">
        <v>4929</v>
      </c>
      <c r="R4458" s="207" t="s">
        <v>4796</v>
      </c>
      <c r="S4458" s="355" t="s">
        <v>322</v>
      </c>
      <c r="T4458" s="182"/>
      <c r="U4458" s="182"/>
      <c r="V4458" s="182"/>
      <c r="W4458" s="325" t="s">
        <v>3645</v>
      </c>
      <c r="X4458" s="657" t="s">
        <v>12347</v>
      </c>
      <c r="Y4458" s="361"/>
      <c r="Z4458" s="362"/>
      <c r="AA4458" s="362"/>
      <c r="AB4458" s="33">
        <f t="shared" ca="1" si="113"/>
        <v>0.4346941158960177</v>
      </c>
      <c r="AC4458" s="813"/>
      <c r="AD4458" s="211"/>
      <c r="AE4458" s="949"/>
      <c r="AF4458" s="922">
        <f>IF(X4458=X4457,AF4457,0)+IF(ISNUMBER(I4458),IF(I4458&lt;1,I4458,I4458*VLOOKUP(J4458,Summary!$H$2:$I$9,2)),VLOOKUP(J4458,Summary!$J$2:$K$9,2)*IF(ISNUMBER(H4458),H4458,1))</f>
        <v>0.49310185185185174</v>
      </c>
      <c r="AG4458" s="295">
        <v>4457</v>
      </c>
      <c r="AH4458" s="94"/>
      <c r="AI4458" s="94"/>
    </row>
    <row r="4459" spans="1:36" s="29" customFormat="1" ht="12" customHeight="1" x14ac:dyDescent="0.25">
      <c r="A4459" s="603" t="s">
        <v>15670</v>
      </c>
      <c r="B4459" s="603">
        <v>10</v>
      </c>
      <c r="C4459" s="603">
        <v>68</v>
      </c>
      <c r="D4459" s="428" t="s">
        <v>1160</v>
      </c>
      <c r="E4459" s="325" t="s">
        <v>3646</v>
      </c>
      <c r="F4459" s="184">
        <v>39898</v>
      </c>
      <c r="G4459" s="184">
        <v>39904</v>
      </c>
      <c r="H4459" s="185">
        <v>1</v>
      </c>
      <c r="I4459" s="185">
        <v>5</v>
      </c>
      <c r="J4459" s="901" t="s">
        <v>1796</v>
      </c>
      <c r="K4459" s="158" t="s">
        <v>5664</v>
      </c>
      <c r="L4459" s="158" t="s">
        <v>3832</v>
      </c>
      <c r="M4459" s="158" t="s">
        <v>254</v>
      </c>
      <c r="N4459" s="158" t="s">
        <v>5317</v>
      </c>
      <c r="O4459" s="158"/>
      <c r="P4459" s="182" t="s">
        <v>461</v>
      </c>
      <c r="Q4459" s="158" t="s">
        <v>4929</v>
      </c>
      <c r="R4459" s="207" t="s">
        <v>4796</v>
      </c>
      <c r="S4459" s="355" t="s">
        <v>322</v>
      </c>
      <c r="T4459" s="182"/>
      <c r="U4459" s="182"/>
      <c r="V4459" s="182"/>
      <c r="W4459" s="325" t="s">
        <v>3646</v>
      </c>
      <c r="X4459" s="657" t="s">
        <v>12347</v>
      </c>
      <c r="Y4459" s="361"/>
      <c r="Z4459" s="362"/>
      <c r="AA4459" s="362"/>
      <c r="AB4459" s="33">
        <f t="shared" ca="1" si="113"/>
        <v>0.94585297828720905</v>
      </c>
      <c r="AC4459" s="813"/>
      <c r="AD4459" s="211"/>
      <c r="AE4459" s="949"/>
      <c r="AF4459" s="922">
        <f>IF(X4459=X4458,AF4458,0)+IF(ISNUMBER(I4459),IF(I4459&lt;1,I4459,I4459*VLOOKUP(J4459,Summary!$H$2:$I$9,2)),VLOOKUP(J4459,Summary!$J$2:$K$9,2)*IF(ISNUMBER(H4459),H4459,1))</f>
        <v>0.49483796296296284</v>
      </c>
      <c r="AG4459" s="295">
        <v>4458</v>
      </c>
      <c r="AH4459" s="94"/>
      <c r="AI4459" s="94"/>
    </row>
    <row r="4460" spans="1:36" s="1" customFormat="1" ht="12" customHeight="1" x14ac:dyDescent="0.25">
      <c r="A4460" s="603" t="s">
        <v>15670</v>
      </c>
      <c r="B4460" s="603">
        <v>10</v>
      </c>
      <c r="C4460" s="603">
        <v>69</v>
      </c>
      <c r="D4460" s="428" t="s">
        <v>1161</v>
      </c>
      <c r="E4460" s="325" t="s">
        <v>4673</v>
      </c>
      <c r="F4460" s="184">
        <v>39905</v>
      </c>
      <c r="G4460" s="184">
        <v>39911</v>
      </c>
      <c r="H4460" s="185">
        <v>1</v>
      </c>
      <c r="I4460" s="185">
        <v>4</v>
      </c>
      <c r="J4460" s="901" t="s">
        <v>1796</v>
      </c>
      <c r="K4460" s="158" t="s">
        <v>4032</v>
      </c>
      <c r="L4460" s="158" t="s">
        <v>3832</v>
      </c>
      <c r="M4460" s="158" t="s">
        <v>254</v>
      </c>
      <c r="N4460" s="158" t="s">
        <v>5317</v>
      </c>
      <c r="O4460" s="158"/>
      <c r="P4460" s="182" t="s">
        <v>461</v>
      </c>
      <c r="Q4460" s="158" t="s">
        <v>4929</v>
      </c>
      <c r="R4460" s="207" t="s">
        <v>4796</v>
      </c>
      <c r="S4460" s="355" t="s">
        <v>322</v>
      </c>
      <c r="T4460" s="182"/>
      <c r="U4460" s="182"/>
      <c r="V4460" s="182"/>
      <c r="W4460" s="325" t="s">
        <v>4673</v>
      </c>
      <c r="X4460" s="657" t="s">
        <v>12347</v>
      </c>
      <c r="Y4460" s="361"/>
      <c r="Z4460" s="362"/>
      <c r="AA4460" s="362"/>
      <c r="AB4460" s="33">
        <f t="shared" ca="1" si="113"/>
        <v>7.4270768112801644E-2</v>
      </c>
      <c r="AC4460" s="813"/>
      <c r="AD4460" s="211"/>
      <c r="AE4460" s="949"/>
      <c r="AF4460" s="922">
        <f>IF(X4460=X4459,AF4459,0)+IF(ISNUMBER(I4460),IF(I4460&lt;1,I4460,I4460*VLOOKUP(J4460,Summary!$H$2:$I$9,2)),VLOOKUP(J4460,Summary!$J$2:$K$9,2)*IF(ISNUMBER(H4460),H4460,1))</f>
        <v>0.49622685185185172</v>
      </c>
      <c r="AG4460" s="295">
        <v>4459</v>
      </c>
      <c r="AH4460" s="94"/>
      <c r="AI4460" s="94"/>
      <c r="AJ4460" s="29"/>
    </row>
    <row r="4461" spans="1:36" s="45" customFormat="1" ht="12" customHeight="1" x14ac:dyDescent="0.3">
      <c r="A4461" s="603" t="s">
        <v>15670</v>
      </c>
      <c r="B4461" s="603">
        <v>10</v>
      </c>
      <c r="C4461" s="603">
        <v>70</v>
      </c>
      <c r="D4461" s="428" t="s">
        <v>1162</v>
      </c>
      <c r="E4461" s="325" t="s">
        <v>3647</v>
      </c>
      <c r="F4461" s="184">
        <v>39912</v>
      </c>
      <c r="G4461" s="184">
        <v>39918</v>
      </c>
      <c r="H4461" s="185">
        <v>1</v>
      </c>
      <c r="I4461" s="185">
        <v>4</v>
      </c>
      <c r="J4461" s="901" t="s">
        <v>1796</v>
      </c>
      <c r="K4461" s="158" t="s">
        <v>4147</v>
      </c>
      <c r="L4461" s="158" t="s">
        <v>3832</v>
      </c>
      <c r="M4461" s="158" t="s">
        <v>254</v>
      </c>
      <c r="N4461" s="158" t="s">
        <v>5317</v>
      </c>
      <c r="O4461" s="158"/>
      <c r="P4461" s="182" t="s">
        <v>461</v>
      </c>
      <c r="Q4461" s="158" t="s">
        <v>4929</v>
      </c>
      <c r="R4461" s="207" t="s">
        <v>4796</v>
      </c>
      <c r="S4461" s="355" t="s">
        <v>322</v>
      </c>
      <c r="T4461" s="182"/>
      <c r="U4461" s="182"/>
      <c r="V4461" s="182"/>
      <c r="W4461" s="325" t="s">
        <v>3647</v>
      </c>
      <c r="X4461" s="657" t="s">
        <v>12347</v>
      </c>
      <c r="Y4461" s="361"/>
      <c r="Z4461" s="362"/>
      <c r="AA4461" s="362"/>
      <c r="AB4461" s="33">
        <f t="shared" ca="1" si="113"/>
        <v>2.3699088116484357E-2</v>
      </c>
      <c r="AC4461" s="813"/>
      <c r="AD4461" s="211"/>
      <c r="AE4461" s="949"/>
      <c r="AF4461" s="922">
        <f>IF(X4461=X4460,AF4460,0)+IF(ISNUMBER(I4461),IF(I4461&lt;1,I4461,I4461*VLOOKUP(J4461,Summary!$H$2:$I$9,2)),VLOOKUP(J4461,Summary!$J$2:$K$9,2)*IF(ISNUMBER(H4461),H4461,1))</f>
        <v>0.49761574074074061</v>
      </c>
      <c r="AG4461" s="295">
        <v>4460</v>
      </c>
      <c r="AH4461" s="94"/>
      <c r="AI4461" s="94"/>
      <c r="AJ4461" s="7"/>
    </row>
    <row r="4462" spans="1:36" s="29" customFormat="1" ht="12" customHeight="1" x14ac:dyDescent="0.25">
      <c r="A4462" s="603" t="s">
        <v>15670</v>
      </c>
      <c r="B4462" s="603">
        <v>10</v>
      </c>
      <c r="C4462" s="603">
        <v>71</v>
      </c>
      <c r="D4462" s="428" t="s">
        <v>1163</v>
      </c>
      <c r="E4462" s="325" t="s">
        <v>3648</v>
      </c>
      <c r="F4462" s="184">
        <v>39919</v>
      </c>
      <c r="G4462" s="184">
        <v>39925</v>
      </c>
      <c r="H4462" s="185">
        <v>1</v>
      </c>
      <c r="I4462" s="185">
        <v>4</v>
      </c>
      <c r="J4462" s="901" t="s">
        <v>1796</v>
      </c>
      <c r="K4462" s="158" t="s">
        <v>176</v>
      </c>
      <c r="L4462" s="158" t="s">
        <v>3832</v>
      </c>
      <c r="M4462" s="158" t="s">
        <v>254</v>
      </c>
      <c r="N4462" s="158" t="s">
        <v>5317</v>
      </c>
      <c r="O4462" s="158"/>
      <c r="P4462" s="182" t="s">
        <v>461</v>
      </c>
      <c r="Q4462" s="158" t="s">
        <v>4929</v>
      </c>
      <c r="R4462" s="207" t="s">
        <v>4796</v>
      </c>
      <c r="S4462" s="355" t="s">
        <v>322</v>
      </c>
      <c r="T4462" s="182"/>
      <c r="U4462" s="182"/>
      <c r="V4462" s="182"/>
      <c r="W4462" s="325" t="s">
        <v>3648</v>
      </c>
      <c r="X4462" s="657" t="s">
        <v>12347</v>
      </c>
      <c r="Y4462" s="361"/>
      <c r="Z4462" s="362"/>
      <c r="AA4462" s="362"/>
      <c r="AB4462" s="33">
        <f t="shared" ca="1" si="113"/>
        <v>3.1884372742669309E-2</v>
      </c>
      <c r="AC4462" s="813"/>
      <c r="AD4462" s="211"/>
      <c r="AE4462" s="949"/>
      <c r="AF4462" s="922">
        <f>IF(X4462=X4461,AF4461,0)+IF(ISNUMBER(I4462),IF(I4462&lt;1,I4462,I4462*VLOOKUP(J4462,Summary!$H$2:$I$9,2)),VLOOKUP(J4462,Summary!$J$2:$K$9,2)*IF(ISNUMBER(H4462),H4462,1))</f>
        <v>0.49900462962962949</v>
      </c>
      <c r="AG4462" s="295">
        <v>4461</v>
      </c>
      <c r="AH4462" s="94"/>
      <c r="AI4462" s="94"/>
      <c r="AJ4462" s="43"/>
    </row>
    <row r="4463" spans="1:36" s="29" customFormat="1" ht="12" customHeight="1" x14ac:dyDescent="0.25">
      <c r="A4463" s="603" t="s">
        <v>15670</v>
      </c>
      <c r="B4463" s="603">
        <v>10</v>
      </c>
      <c r="C4463" s="603">
        <v>72</v>
      </c>
      <c r="D4463" s="428" t="s">
        <v>1164</v>
      </c>
      <c r="E4463" s="325" t="s">
        <v>3649</v>
      </c>
      <c r="F4463" s="184">
        <v>39926</v>
      </c>
      <c r="G4463" s="184">
        <v>39932</v>
      </c>
      <c r="H4463" s="185">
        <v>1</v>
      </c>
      <c r="I4463" s="185">
        <v>4</v>
      </c>
      <c r="J4463" s="901" t="s">
        <v>1796</v>
      </c>
      <c r="K4463" s="158" t="s">
        <v>4147</v>
      </c>
      <c r="L4463" s="158" t="s">
        <v>3832</v>
      </c>
      <c r="M4463" s="158" t="s">
        <v>254</v>
      </c>
      <c r="N4463" s="158" t="s">
        <v>5317</v>
      </c>
      <c r="O4463" s="158"/>
      <c r="P4463" s="182" t="s">
        <v>461</v>
      </c>
      <c r="Q4463" s="158" t="s">
        <v>4929</v>
      </c>
      <c r="R4463" s="207" t="s">
        <v>4796</v>
      </c>
      <c r="S4463" s="355" t="s">
        <v>322</v>
      </c>
      <c r="T4463" s="182"/>
      <c r="U4463" s="182"/>
      <c r="V4463" s="182"/>
      <c r="W4463" s="325" t="s">
        <v>3649</v>
      </c>
      <c r="X4463" s="657" t="s">
        <v>12347</v>
      </c>
      <c r="Y4463" s="361"/>
      <c r="Z4463" s="362"/>
      <c r="AA4463" s="362"/>
      <c r="AB4463" s="33">
        <f t="shared" ca="1" si="113"/>
        <v>0.25717253333234324</v>
      </c>
      <c r="AC4463" s="813"/>
      <c r="AD4463" s="211"/>
      <c r="AE4463" s="949"/>
      <c r="AF4463" s="922">
        <f>IF(X4463=X4462,AF4462,0)+IF(ISNUMBER(I4463),IF(I4463&lt;1,I4463,I4463*VLOOKUP(J4463,Summary!$H$2:$I$9,2)),VLOOKUP(J4463,Summary!$J$2:$K$9,2)*IF(ISNUMBER(H4463),H4463,1))</f>
        <v>0.50039351851851843</v>
      </c>
      <c r="AG4463" s="295">
        <v>4462</v>
      </c>
      <c r="AH4463" s="94"/>
      <c r="AI4463" s="94"/>
      <c r="AJ4463" s="3"/>
    </row>
    <row r="4464" spans="1:36" s="29" customFormat="1" ht="12" customHeight="1" x14ac:dyDescent="0.25">
      <c r="A4464" s="603" t="s">
        <v>15670</v>
      </c>
      <c r="B4464" s="603">
        <v>10</v>
      </c>
      <c r="C4464" s="603">
        <v>73</v>
      </c>
      <c r="D4464" s="428" t="s">
        <v>1165</v>
      </c>
      <c r="E4464" s="325" t="s">
        <v>3650</v>
      </c>
      <c r="F4464" s="184">
        <v>39933</v>
      </c>
      <c r="G4464" s="184">
        <v>39939</v>
      </c>
      <c r="H4464" s="185">
        <v>1</v>
      </c>
      <c r="I4464" s="185">
        <v>4</v>
      </c>
      <c r="J4464" s="901" t="s">
        <v>1796</v>
      </c>
      <c r="K4464" s="158" t="s">
        <v>4032</v>
      </c>
      <c r="L4464" s="158" t="s">
        <v>3832</v>
      </c>
      <c r="M4464" s="158" t="s">
        <v>254</v>
      </c>
      <c r="N4464" s="158" t="s">
        <v>5317</v>
      </c>
      <c r="O4464" s="158"/>
      <c r="P4464" s="182" t="s">
        <v>461</v>
      </c>
      <c r="Q4464" s="158" t="s">
        <v>4929</v>
      </c>
      <c r="R4464" s="207" t="s">
        <v>4796</v>
      </c>
      <c r="S4464" s="355" t="s">
        <v>322</v>
      </c>
      <c r="T4464" s="182"/>
      <c r="U4464" s="182"/>
      <c r="V4464" s="182"/>
      <c r="W4464" s="325" t="s">
        <v>3650</v>
      </c>
      <c r="X4464" s="657" t="s">
        <v>12347</v>
      </c>
      <c r="Y4464" s="361"/>
      <c r="Z4464" s="362"/>
      <c r="AA4464" s="362"/>
      <c r="AB4464" s="33">
        <f t="shared" ca="1" si="113"/>
        <v>0.93856544592899349</v>
      </c>
      <c r="AC4464" s="813"/>
      <c r="AD4464" s="211"/>
      <c r="AE4464" s="949"/>
      <c r="AF4464" s="922">
        <f>IF(X4464=X4463,AF4463,0)+IF(ISNUMBER(I4464),IF(I4464&lt;1,I4464,I4464*VLOOKUP(J4464,Summary!$H$2:$I$9,2)),VLOOKUP(J4464,Summary!$J$2:$K$9,2)*IF(ISNUMBER(H4464),H4464,1))</f>
        <v>0.50178240740740732</v>
      </c>
      <c r="AG4464" s="295">
        <v>4463</v>
      </c>
      <c r="AH4464" s="94"/>
      <c r="AI4464" s="94"/>
      <c r="AJ4464" s="1"/>
    </row>
    <row r="4465" spans="1:36" s="29" customFormat="1" ht="12" customHeight="1" x14ac:dyDescent="0.25">
      <c r="A4465" s="603" t="s">
        <v>15670</v>
      </c>
      <c r="B4465" s="603">
        <v>10</v>
      </c>
      <c r="C4465" s="603">
        <v>74</v>
      </c>
      <c r="D4465" s="428" t="s">
        <v>1166</v>
      </c>
      <c r="E4465" s="325" t="s">
        <v>3651</v>
      </c>
      <c r="F4465" s="184">
        <v>39940</v>
      </c>
      <c r="G4465" s="184">
        <v>39946</v>
      </c>
      <c r="H4465" s="185">
        <v>1</v>
      </c>
      <c r="I4465" s="185">
        <v>4</v>
      </c>
      <c r="J4465" s="901" t="s">
        <v>1796</v>
      </c>
      <c r="K4465" s="158" t="s">
        <v>176</v>
      </c>
      <c r="L4465" s="158" t="s">
        <v>3832</v>
      </c>
      <c r="M4465" s="158" t="s">
        <v>254</v>
      </c>
      <c r="N4465" s="158" t="s">
        <v>5317</v>
      </c>
      <c r="O4465" s="158"/>
      <c r="P4465" s="182" t="s">
        <v>461</v>
      </c>
      <c r="Q4465" s="158" t="s">
        <v>4929</v>
      </c>
      <c r="R4465" s="207" t="s">
        <v>4796</v>
      </c>
      <c r="S4465" s="355" t="s">
        <v>322</v>
      </c>
      <c r="T4465" s="182"/>
      <c r="U4465" s="182"/>
      <c r="V4465" s="182"/>
      <c r="W4465" s="325" t="s">
        <v>3651</v>
      </c>
      <c r="X4465" s="657" t="s">
        <v>12347</v>
      </c>
      <c r="Y4465" s="361"/>
      <c r="Z4465" s="362"/>
      <c r="AA4465" s="362"/>
      <c r="AB4465" s="33">
        <f t="shared" ca="1" si="113"/>
        <v>0.77530864608229622</v>
      </c>
      <c r="AC4465" s="813"/>
      <c r="AD4465" s="211"/>
      <c r="AE4465" s="949"/>
      <c r="AF4465" s="922">
        <f>IF(X4465=X4464,AF4464,0)+IF(ISNUMBER(I4465),IF(I4465&lt;1,I4465,I4465*VLOOKUP(J4465,Summary!$H$2:$I$9,2)),VLOOKUP(J4465,Summary!$J$2:$K$9,2)*IF(ISNUMBER(H4465),H4465,1))</f>
        <v>0.5031712962962962</v>
      </c>
      <c r="AG4465" s="295">
        <v>4464</v>
      </c>
      <c r="AH4465" s="94"/>
      <c r="AI4465" s="94"/>
    </row>
    <row r="4466" spans="1:36" s="45" customFormat="1" ht="12" customHeight="1" x14ac:dyDescent="0.3">
      <c r="A4466" s="603" t="s">
        <v>15670</v>
      </c>
      <c r="B4466" s="603">
        <v>10</v>
      </c>
      <c r="C4466" s="603">
        <v>75</v>
      </c>
      <c r="D4466" s="428" t="s">
        <v>1167</v>
      </c>
      <c r="E4466" s="325" t="s">
        <v>3652</v>
      </c>
      <c r="F4466" s="184">
        <v>39947</v>
      </c>
      <c r="G4466" s="184">
        <v>39953</v>
      </c>
      <c r="H4466" s="185">
        <v>1</v>
      </c>
      <c r="I4466" s="185">
        <v>4</v>
      </c>
      <c r="J4466" s="901" t="s">
        <v>1796</v>
      </c>
      <c r="K4466" s="158" t="s">
        <v>4672</v>
      </c>
      <c r="L4466" s="158" t="s">
        <v>3832</v>
      </c>
      <c r="M4466" s="158" t="s">
        <v>254</v>
      </c>
      <c r="N4466" s="158" t="s">
        <v>5317</v>
      </c>
      <c r="O4466" s="158"/>
      <c r="P4466" s="182" t="s">
        <v>461</v>
      </c>
      <c r="Q4466" s="158" t="s">
        <v>4929</v>
      </c>
      <c r="R4466" s="207" t="s">
        <v>4796</v>
      </c>
      <c r="S4466" s="355" t="s">
        <v>322</v>
      </c>
      <c r="T4466" s="182"/>
      <c r="U4466" s="182"/>
      <c r="V4466" s="182"/>
      <c r="W4466" s="325" t="s">
        <v>3652</v>
      </c>
      <c r="X4466" s="657" t="s">
        <v>12347</v>
      </c>
      <c r="Y4466" s="361"/>
      <c r="Z4466" s="362"/>
      <c r="AA4466" s="362"/>
      <c r="AB4466" s="33">
        <f t="shared" ca="1" si="113"/>
        <v>0.37904290066117652</v>
      </c>
      <c r="AC4466" s="813"/>
      <c r="AD4466" s="211"/>
      <c r="AE4466" s="949"/>
      <c r="AF4466" s="922">
        <f>IF(X4466=X4465,AF4465,0)+IF(ISNUMBER(I4466),IF(I4466&lt;1,I4466,I4466*VLOOKUP(J4466,Summary!$H$2:$I$9,2)),VLOOKUP(J4466,Summary!$J$2:$K$9,2)*IF(ISNUMBER(H4466),H4466,1))</f>
        <v>0.50456018518518508</v>
      </c>
      <c r="AG4466" s="295">
        <v>4465</v>
      </c>
      <c r="AH4466" s="94"/>
      <c r="AI4466" s="94"/>
      <c r="AJ4466" s="7"/>
    </row>
    <row r="4467" spans="1:36" s="29" customFormat="1" ht="12" customHeight="1" x14ac:dyDescent="0.25">
      <c r="A4467" s="603" t="s">
        <v>15670</v>
      </c>
      <c r="B4467" s="603">
        <v>10</v>
      </c>
      <c r="C4467" s="603">
        <v>76</v>
      </c>
      <c r="D4467" s="428" t="s">
        <v>1168</v>
      </c>
      <c r="E4467" s="325" t="s">
        <v>3653</v>
      </c>
      <c r="F4467" s="184">
        <v>39954</v>
      </c>
      <c r="G4467" s="184">
        <v>39960</v>
      </c>
      <c r="H4467" s="185">
        <v>1</v>
      </c>
      <c r="I4467" s="185">
        <v>4</v>
      </c>
      <c r="J4467" s="901" t="s">
        <v>1796</v>
      </c>
      <c r="K4467" s="158" t="s">
        <v>4147</v>
      </c>
      <c r="L4467" s="158" t="s">
        <v>3832</v>
      </c>
      <c r="M4467" s="158" t="s">
        <v>254</v>
      </c>
      <c r="N4467" s="158" t="s">
        <v>5317</v>
      </c>
      <c r="O4467" s="158"/>
      <c r="P4467" s="182" t="s">
        <v>461</v>
      </c>
      <c r="Q4467" s="158" t="s">
        <v>4929</v>
      </c>
      <c r="R4467" s="207" t="s">
        <v>4796</v>
      </c>
      <c r="S4467" s="355" t="s">
        <v>322</v>
      </c>
      <c r="T4467" s="182"/>
      <c r="U4467" s="182"/>
      <c r="V4467" s="182"/>
      <c r="W4467" s="325" t="s">
        <v>3653</v>
      </c>
      <c r="X4467" s="657" t="s">
        <v>12347</v>
      </c>
      <c r="Y4467" s="361"/>
      <c r="Z4467" s="362"/>
      <c r="AA4467" s="362"/>
      <c r="AB4467" s="33">
        <f t="shared" ca="1" si="113"/>
        <v>0.59711557060974874</v>
      </c>
      <c r="AC4467" s="813"/>
      <c r="AD4467" s="211"/>
      <c r="AE4467" s="949"/>
      <c r="AF4467" s="922">
        <f>IF(X4467=X4466,AF4466,0)+IF(ISNUMBER(I4467),IF(I4467&lt;1,I4467,I4467*VLOOKUP(J4467,Summary!$H$2:$I$9,2)),VLOOKUP(J4467,Summary!$J$2:$K$9,2)*IF(ISNUMBER(H4467),H4467,1))</f>
        <v>0.50594907407407397</v>
      </c>
      <c r="AG4467" s="295">
        <v>4466</v>
      </c>
      <c r="AH4467" s="94"/>
      <c r="AI4467" s="94"/>
    </row>
    <row r="4468" spans="1:36" s="7" customFormat="1" ht="12" customHeight="1" x14ac:dyDescent="0.3">
      <c r="A4468" s="603" t="s">
        <v>15670</v>
      </c>
      <c r="B4468" s="603">
        <v>10</v>
      </c>
      <c r="C4468" s="603">
        <v>77</v>
      </c>
      <c r="D4468" s="428" t="s">
        <v>1169</v>
      </c>
      <c r="E4468" s="325" t="s">
        <v>3654</v>
      </c>
      <c r="F4468" s="184">
        <v>39961</v>
      </c>
      <c r="G4468" s="184">
        <v>39967</v>
      </c>
      <c r="H4468" s="185">
        <v>1</v>
      </c>
      <c r="I4468" s="185">
        <v>4</v>
      </c>
      <c r="J4468" s="901" t="s">
        <v>1796</v>
      </c>
      <c r="K4468" s="158" t="s">
        <v>176</v>
      </c>
      <c r="L4468" s="158" t="s">
        <v>3832</v>
      </c>
      <c r="M4468" s="158" t="s">
        <v>254</v>
      </c>
      <c r="N4468" s="158" t="s">
        <v>5317</v>
      </c>
      <c r="O4468" s="158"/>
      <c r="P4468" s="182" t="s">
        <v>461</v>
      </c>
      <c r="Q4468" s="158" t="s">
        <v>4929</v>
      </c>
      <c r="R4468" s="207" t="s">
        <v>4796</v>
      </c>
      <c r="S4468" s="355" t="s">
        <v>322</v>
      </c>
      <c r="T4468" s="182"/>
      <c r="U4468" s="182"/>
      <c r="V4468" s="182"/>
      <c r="W4468" s="325" t="s">
        <v>3654</v>
      </c>
      <c r="X4468" s="657" t="s">
        <v>12347</v>
      </c>
      <c r="Y4468" s="361"/>
      <c r="Z4468" s="362"/>
      <c r="AA4468" s="362"/>
      <c r="AB4468" s="33">
        <f t="shared" ca="1" si="113"/>
        <v>0.91314395054950559</v>
      </c>
      <c r="AC4468" s="813"/>
      <c r="AD4468" s="211"/>
      <c r="AE4468" s="949"/>
      <c r="AF4468" s="922">
        <f>IF(X4468=X4467,AF4467,0)+IF(ISNUMBER(I4468),IF(I4468&lt;1,I4468,I4468*VLOOKUP(J4468,Summary!$H$2:$I$9,2)),VLOOKUP(J4468,Summary!$J$2:$K$9,2)*IF(ISNUMBER(H4468),H4468,1))</f>
        <v>0.50733796296296285</v>
      </c>
      <c r="AG4468" s="295">
        <v>4467</v>
      </c>
      <c r="AH4468" s="94"/>
      <c r="AI4468" s="94"/>
      <c r="AJ4468" s="45"/>
    </row>
    <row r="4469" spans="1:36" s="29" customFormat="1" ht="12" customHeight="1" x14ac:dyDescent="0.25">
      <c r="A4469" s="603" t="s">
        <v>15670</v>
      </c>
      <c r="B4469" s="603">
        <v>10</v>
      </c>
      <c r="C4469" s="603">
        <v>78</v>
      </c>
      <c r="D4469" s="428" t="s">
        <v>1170</v>
      </c>
      <c r="E4469" s="325" t="s">
        <v>3655</v>
      </c>
      <c r="F4469" s="184">
        <v>39968</v>
      </c>
      <c r="G4469" s="184">
        <v>39974</v>
      </c>
      <c r="H4469" s="185">
        <v>1</v>
      </c>
      <c r="I4469" s="185">
        <v>4</v>
      </c>
      <c r="J4469" s="901" t="s">
        <v>1796</v>
      </c>
      <c r="K4469" s="158" t="s">
        <v>4147</v>
      </c>
      <c r="L4469" s="158" t="s">
        <v>3832</v>
      </c>
      <c r="M4469" s="158" t="s">
        <v>254</v>
      </c>
      <c r="N4469" s="158" t="s">
        <v>5317</v>
      </c>
      <c r="O4469" s="158"/>
      <c r="P4469" s="182" t="s">
        <v>461</v>
      </c>
      <c r="Q4469" s="158" t="s">
        <v>4929</v>
      </c>
      <c r="R4469" s="207" t="s">
        <v>4796</v>
      </c>
      <c r="S4469" s="355" t="s">
        <v>322</v>
      </c>
      <c r="T4469" s="182"/>
      <c r="U4469" s="182"/>
      <c r="V4469" s="182"/>
      <c r="W4469" s="325" t="s">
        <v>3655</v>
      </c>
      <c r="X4469" s="657" t="s">
        <v>12347</v>
      </c>
      <c r="Y4469" s="361"/>
      <c r="Z4469" s="362"/>
      <c r="AA4469" s="362"/>
      <c r="AB4469" s="33">
        <f t="shared" ca="1" si="113"/>
        <v>0.75937226376825662</v>
      </c>
      <c r="AC4469" s="813"/>
      <c r="AD4469" s="211"/>
      <c r="AE4469" s="949"/>
      <c r="AF4469" s="922">
        <f>IF(X4469=X4468,AF4468,0)+IF(ISNUMBER(I4469),IF(I4469&lt;1,I4469,I4469*VLOOKUP(J4469,Summary!$H$2:$I$9,2)),VLOOKUP(J4469,Summary!$J$2:$K$9,2)*IF(ISNUMBER(H4469),H4469,1))</f>
        <v>0.50872685185185174</v>
      </c>
      <c r="AG4469" s="295">
        <v>4468</v>
      </c>
      <c r="AH4469" s="94"/>
      <c r="AI4469" s="94"/>
    </row>
    <row r="4470" spans="1:36" s="29" customFormat="1" ht="12" customHeight="1" x14ac:dyDescent="0.25">
      <c r="A4470" s="603" t="s">
        <v>15670</v>
      </c>
      <c r="B4470" s="603">
        <v>10</v>
      </c>
      <c r="C4470" s="603">
        <v>79</v>
      </c>
      <c r="D4470" s="428" t="s">
        <v>1171</v>
      </c>
      <c r="E4470" s="325" t="s">
        <v>3656</v>
      </c>
      <c r="F4470" s="184">
        <v>39975</v>
      </c>
      <c r="G4470" s="184">
        <v>39981</v>
      </c>
      <c r="H4470" s="185">
        <v>1</v>
      </c>
      <c r="I4470" s="185">
        <v>4</v>
      </c>
      <c r="J4470" s="901" t="s">
        <v>1796</v>
      </c>
      <c r="K4470" s="158" t="s">
        <v>4672</v>
      </c>
      <c r="L4470" s="158" t="s">
        <v>3832</v>
      </c>
      <c r="M4470" s="158" t="s">
        <v>254</v>
      </c>
      <c r="N4470" s="158" t="s">
        <v>5317</v>
      </c>
      <c r="O4470" s="158"/>
      <c r="P4470" s="182" t="s">
        <v>461</v>
      </c>
      <c r="Q4470" s="158" t="s">
        <v>4929</v>
      </c>
      <c r="R4470" s="207" t="s">
        <v>4796</v>
      </c>
      <c r="S4470" s="355" t="s">
        <v>322</v>
      </c>
      <c r="T4470" s="182"/>
      <c r="U4470" s="182"/>
      <c r="V4470" s="182"/>
      <c r="W4470" s="325" t="s">
        <v>3656</v>
      </c>
      <c r="X4470" s="657" t="s">
        <v>12347</v>
      </c>
      <c r="Y4470" s="361"/>
      <c r="Z4470" s="362"/>
      <c r="AA4470" s="362"/>
      <c r="AB4470" s="33">
        <f t="shared" ca="1" si="113"/>
        <v>0.58660540507173475</v>
      </c>
      <c r="AC4470" s="813"/>
      <c r="AD4470" s="211"/>
      <c r="AE4470" s="949"/>
      <c r="AF4470" s="922">
        <f>IF(X4470=X4469,AF4469,0)+IF(ISNUMBER(I4470),IF(I4470&lt;1,I4470,I4470*VLOOKUP(J4470,Summary!$H$2:$I$9,2)),VLOOKUP(J4470,Summary!$J$2:$K$9,2)*IF(ISNUMBER(H4470),H4470,1))</f>
        <v>0.51011574074074062</v>
      </c>
      <c r="AG4470" s="295">
        <v>4469</v>
      </c>
      <c r="AH4470" s="94"/>
      <c r="AI4470" s="94"/>
    </row>
    <row r="4471" spans="1:36" s="43" customFormat="1" ht="12" customHeight="1" x14ac:dyDescent="0.25">
      <c r="A4471" s="603" t="s">
        <v>15670</v>
      </c>
      <c r="B4471" s="603">
        <v>10</v>
      </c>
      <c r="C4471" s="603">
        <v>80</v>
      </c>
      <c r="D4471" s="428" t="s">
        <v>1172</v>
      </c>
      <c r="E4471" s="325" t="s">
        <v>3657</v>
      </c>
      <c r="F4471" s="184">
        <v>39982</v>
      </c>
      <c r="G4471" s="184">
        <v>39988</v>
      </c>
      <c r="H4471" s="185">
        <v>1</v>
      </c>
      <c r="I4471" s="185">
        <v>4</v>
      </c>
      <c r="J4471" s="901" t="s">
        <v>1796</v>
      </c>
      <c r="K4471" s="158" t="s">
        <v>4672</v>
      </c>
      <c r="L4471" s="158" t="s">
        <v>3832</v>
      </c>
      <c r="M4471" s="158" t="s">
        <v>254</v>
      </c>
      <c r="N4471" s="158" t="s">
        <v>5317</v>
      </c>
      <c r="O4471" s="158"/>
      <c r="P4471" s="182" t="s">
        <v>461</v>
      </c>
      <c r="Q4471" s="158" t="s">
        <v>4929</v>
      </c>
      <c r="R4471" s="207" t="s">
        <v>4796</v>
      </c>
      <c r="S4471" s="355" t="s">
        <v>322</v>
      </c>
      <c r="T4471" s="182"/>
      <c r="U4471" s="182"/>
      <c r="V4471" s="182"/>
      <c r="W4471" s="325" t="s">
        <v>3657</v>
      </c>
      <c r="X4471" s="657" t="s">
        <v>12347</v>
      </c>
      <c r="Y4471" s="361"/>
      <c r="Z4471" s="362"/>
      <c r="AA4471" s="362"/>
      <c r="AB4471" s="33">
        <f t="shared" ca="1" si="113"/>
        <v>0.64632387567056881</v>
      </c>
      <c r="AC4471" s="813"/>
      <c r="AD4471" s="211"/>
      <c r="AE4471" s="949"/>
      <c r="AF4471" s="922">
        <f>IF(X4471=X4470,AF4470,0)+IF(ISNUMBER(I4471),IF(I4471&lt;1,I4471,I4471*VLOOKUP(J4471,Summary!$H$2:$I$9,2)),VLOOKUP(J4471,Summary!$J$2:$K$9,2)*IF(ISNUMBER(H4471),H4471,1))</f>
        <v>0.5115046296296295</v>
      </c>
      <c r="AG4471" s="295">
        <v>4470</v>
      </c>
      <c r="AH4471" s="94"/>
      <c r="AI4471" s="94"/>
      <c r="AJ4471" s="29"/>
    </row>
    <row r="4472" spans="1:36" s="3" customFormat="1" ht="12" customHeight="1" x14ac:dyDescent="0.25">
      <c r="A4472" s="603" t="s">
        <v>15670</v>
      </c>
      <c r="B4472" s="603">
        <v>10</v>
      </c>
      <c r="C4472" s="603">
        <v>81</v>
      </c>
      <c r="D4472" s="428" t="s">
        <v>1173</v>
      </c>
      <c r="E4472" s="325" t="s">
        <v>3658</v>
      </c>
      <c r="F4472" s="184">
        <v>39989</v>
      </c>
      <c r="G4472" s="184">
        <v>39995</v>
      </c>
      <c r="H4472" s="185">
        <v>1</v>
      </c>
      <c r="I4472" s="185">
        <v>4</v>
      </c>
      <c r="J4472" s="901" t="s">
        <v>1796</v>
      </c>
      <c r="K4472" s="158" t="s">
        <v>4032</v>
      </c>
      <c r="L4472" s="158" t="s">
        <v>3832</v>
      </c>
      <c r="M4472" s="158" t="s">
        <v>254</v>
      </c>
      <c r="N4472" s="158" t="s">
        <v>5317</v>
      </c>
      <c r="O4472" s="158"/>
      <c r="P4472" s="182" t="s">
        <v>461</v>
      </c>
      <c r="Q4472" s="158" t="s">
        <v>4929</v>
      </c>
      <c r="R4472" s="207" t="s">
        <v>4796</v>
      </c>
      <c r="S4472" s="355" t="s">
        <v>322</v>
      </c>
      <c r="T4472" s="182"/>
      <c r="U4472" s="182"/>
      <c r="V4472" s="182"/>
      <c r="W4472" s="325" t="s">
        <v>3658</v>
      </c>
      <c r="X4472" s="657" t="s">
        <v>12347</v>
      </c>
      <c r="Y4472" s="361"/>
      <c r="Z4472" s="362"/>
      <c r="AA4472" s="362"/>
      <c r="AB4472" s="33">
        <f t="shared" ca="1" si="113"/>
        <v>9.0825597611681408E-2</v>
      </c>
      <c r="AC4472" s="813"/>
      <c r="AD4472" s="211"/>
      <c r="AE4472" s="949"/>
      <c r="AF4472" s="922">
        <f>IF(X4472=X4471,AF4471,0)+IF(ISNUMBER(I4472),IF(I4472&lt;1,I4472,I4472*VLOOKUP(J4472,Summary!$H$2:$I$9,2)),VLOOKUP(J4472,Summary!$J$2:$K$9,2)*IF(ISNUMBER(H4472),H4472,1))</f>
        <v>0.51289351851851839</v>
      </c>
      <c r="AG4472" s="295">
        <v>4471</v>
      </c>
      <c r="AH4472" s="94"/>
      <c r="AI4472" s="94"/>
      <c r="AJ4472" s="1"/>
    </row>
    <row r="4473" spans="1:36" s="3" customFormat="1" ht="12" customHeight="1" x14ac:dyDescent="0.25">
      <c r="A4473" s="603" t="s">
        <v>15670</v>
      </c>
      <c r="B4473" s="603">
        <v>10</v>
      </c>
      <c r="C4473" s="603">
        <v>82</v>
      </c>
      <c r="D4473" s="428" t="s">
        <v>1174</v>
      </c>
      <c r="E4473" s="325" t="s">
        <v>6805</v>
      </c>
      <c r="F4473" s="184">
        <v>39996</v>
      </c>
      <c r="G4473" s="184">
        <v>40002</v>
      </c>
      <c r="H4473" s="185">
        <v>1</v>
      </c>
      <c r="I4473" s="185">
        <v>4</v>
      </c>
      <c r="J4473" s="901" t="s">
        <v>1796</v>
      </c>
      <c r="K4473" s="158" t="s">
        <v>4147</v>
      </c>
      <c r="L4473" s="158" t="s">
        <v>3832</v>
      </c>
      <c r="M4473" s="158" t="s">
        <v>254</v>
      </c>
      <c r="N4473" s="158" t="s">
        <v>5317</v>
      </c>
      <c r="O4473" s="158"/>
      <c r="P4473" s="182" t="s">
        <v>461</v>
      </c>
      <c r="Q4473" s="158" t="s">
        <v>4929</v>
      </c>
      <c r="R4473" s="207" t="s">
        <v>4796</v>
      </c>
      <c r="S4473" s="355" t="s">
        <v>322</v>
      </c>
      <c r="T4473" s="182" t="s">
        <v>331</v>
      </c>
      <c r="U4473" s="182"/>
      <c r="V4473" s="182"/>
      <c r="W4473" s="325" t="s">
        <v>6805</v>
      </c>
      <c r="X4473" s="657" t="s">
        <v>12347</v>
      </c>
      <c r="Y4473" s="361"/>
      <c r="Z4473" s="362"/>
      <c r="AA4473" s="362"/>
      <c r="AB4473" s="33">
        <f t="shared" ca="1" si="113"/>
        <v>0.56078037811594861</v>
      </c>
      <c r="AC4473" s="813"/>
      <c r="AD4473" s="211"/>
      <c r="AE4473" s="949"/>
      <c r="AF4473" s="922">
        <f>IF(X4473=X4472,AF4472,0)+IF(ISNUMBER(I4473),IF(I4473&lt;1,I4473,I4473*VLOOKUP(J4473,Summary!$H$2:$I$9,2)),VLOOKUP(J4473,Summary!$J$2:$K$9,2)*IF(ISNUMBER(H4473),H4473,1))</f>
        <v>0.51428240740740727</v>
      </c>
      <c r="AG4473" s="295">
        <v>4472</v>
      </c>
      <c r="AH4473" s="94"/>
      <c r="AI4473" s="94"/>
      <c r="AJ4473" s="1"/>
    </row>
    <row r="4474" spans="1:36" s="3" customFormat="1" ht="12" customHeight="1" x14ac:dyDescent="0.25">
      <c r="A4474" s="603" t="s">
        <v>15670</v>
      </c>
      <c r="B4474" s="603">
        <v>10</v>
      </c>
      <c r="C4474" s="603">
        <v>83</v>
      </c>
      <c r="D4474" s="428" t="s">
        <v>1175</v>
      </c>
      <c r="E4474" s="325" t="s">
        <v>6806</v>
      </c>
      <c r="F4474" s="184">
        <v>40003</v>
      </c>
      <c r="G4474" s="184">
        <v>40009</v>
      </c>
      <c r="H4474" s="185">
        <v>1</v>
      </c>
      <c r="I4474" s="185">
        <v>4</v>
      </c>
      <c r="J4474" s="901" t="s">
        <v>1796</v>
      </c>
      <c r="K4474" s="158" t="s">
        <v>4672</v>
      </c>
      <c r="L4474" s="158" t="s">
        <v>3832</v>
      </c>
      <c r="M4474" s="158" t="s">
        <v>254</v>
      </c>
      <c r="N4474" s="158" t="s">
        <v>5317</v>
      </c>
      <c r="O4474" s="158"/>
      <c r="P4474" s="182" t="s">
        <v>461</v>
      </c>
      <c r="Q4474" s="158" t="s">
        <v>4929</v>
      </c>
      <c r="R4474" s="207" t="s">
        <v>4796</v>
      </c>
      <c r="S4474" s="355" t="s">
        <v>322</v>
      </c>
      <c r="T4474" s="182" t="s">
        <v>331</v>
      </c>
      <c r="U4474" s="182"/>
      <c r="V4474" s="182"/>
      <c r="W4474" s="325" t="s">
        <v>6806</v>
      </c>
      <c r="X4474" s="657" t="s">
        <v>12347</v>
      </c>
      <c r="Y4474" s="361"/>
      <c r="Z4474" s="362"/>
      <c r="AA4474" s="362"/>
      <c r="AB4474" s="33">
        <f t="shared" ca="1" si="113"/>
        <v>0.7255148613085215</v>
      </c>
      <c r="AC4474" s="813"/>
      <c r="AD4474" s="211"/>
      <c r="AE4474" s="949"/>
      <c r="AF4474" s="922">
        <f>IF(X4474=X4473,AF4473,0)+IF(ISNUMBER(I4474),IF(I4474&lt;1,I4474,I4474*VLOOKUP(J4474,Summary!$H$2:$I$9,2)),VLOOKUP(J4474,Summary!$J$2:$K$9,2)*IF(ISNUMBER(H4474),H4474,1))</f>
        <v>0.51567129629629616</v>
      </c>
      <c r="AG4474" s="295">
        <v>4473</v>
      </c>
      <c r="AH4474" s="94"/>
      <c r="AI4474" s="94"/>
      <c r="AJ4474" s="1"/>
    </row>
    <row r="4475" spans="1:36" s="43" customFormat="1" ht="12" customHeight="1" x14ac:dyDescent="0.25">
      <c r="A4475" s="603" t="s">
        <v>15670</v>
      </c>
      <c r="B4475" s="603">
        <v>10</v>
      </c>
      <c r="C4475" s="603">
        <v>84</v>
      </c>
      <c r="D4475" s="428" t="s">
        <v>1176</v>
      </c>
      <c r="E4475" s="325" t="s">
        <v>6807</v>
      </c>
      <c r="F4475" s="184">
        <v>40010</v>
      </c>
      <c r="G4475" s="184">
        <v>40016</v>
      </c>
      <c r="H4475" s="185">
        <v>1</v>
      </c>
      <c r="I4475" s="185">
        <v>4</v>
      </c>
      <c r="J4475" s="901" t="s">
        <v>1796</v>
      </c>
      <c r="K4475" s="158" t="s">
        <v>176</v>
      </c>
      <c r="L4475" s="158" t="s">
        <v>3832</v>
      </c>
      <c r="M4475" s="158" t="s">
        <v>254</v>
      </c>
      <c r="N4475" s="158" t="s">
        <v>5317</v>
      </c>
      <c r="O4475" s="158"/>
      <c r="P4475" s="182" t="s">
        <v>461</v>
      </c>
      <c r="Q4475" s="158" t="s">
        <v>4929</v>
      </c>
      <c r="R4475" s="207" t="s">
        <v>4796</v>
      </c>
      <c r="S4475" s="355" t="s">
        <v>322</v>
      </c>
      <c r="T4475" s="182" t="s">
        <v>331</v>
      </c>
      <c r="U4475" s="182"/>
      <c r="V4475" s="182"/>
      <c r="W4475" s="325" t="s">
        <v>6807</v>
      </c>
      <c r="X4475" s="657" t="s">
        <v>12347</v>
      </c>
      <c r="Y4475" s="361"/>
      <c r="Z4475" s="362"/>
      <c r="AA4475" s="362"/>
      <c r="AB4475" s="33">
        <f t="shared" ca="1" si="113"/>
        <v>0.12707122431637385</v>
      </c>
      <c r="AC4475" s="813"/>
      <c r="AD4475" s="211"/>
      <c r="AE4475" s="949"/>
      <c r="AF4475" s="922">
        <f>IF(X4475=X4474,AF4474,0)+IF(ISNUMBER(I4475),IF(I4475&lt;1,I4475,I4475*VLOOKUP(J4475,Summary!$H$2:$I$9,2)),VLOOKUP(J4475,Summary!$J$2:$K$9,2)*IF(ISNUMBER(H4475),H4475,1))</f>
        <v>0.51706018518518504</v>
      </c>
      <c r="AG4475" s="295">
        <v>4474</v>
      </c>
      <c r="AH4475" s="94"/>
      <c r="AI4475" s="94"/>
    </row>
    <row r="4476" spans="1:36" s="43" customFormat="1" ht="12" customHeight="1" x14ac:dyDescent="0.25">
      <c r="A4476" s="603" t="s">
        <v>15670</v>
      </c>
      <c r="B4476" s="603">
        <v>10</v>
      </c>
      <c r="C4476" s="603">
        <v>85</v>
      </c>
      <c r="D4476" s="428" t="s">
        <v>1177</v>
      </c>
      <c r="E4476" s="325" t="s">
        <v>6808</v>
      </c>
      <c r="F4476" s="184">
        <v>40017</v>
      </c>
      <c r="G4476" s="184">
        <v>40023</v>
      </c>
      <c r="H4476" s="185">
        <v>1</v>
      </c>
      <c r="I4476" s="185">
        <v>4</v>
      </c>
      <c r="J4476" s="901" t="s">
        <v>1796</v>
      </c>
      <c r="K4476" s="158" t="s">
        <v>6353</v>
      </c>
      <c r="L4476" s="158" t="s">
        <v>3832</v>
      </c>
      <c r="M4476" s="158" t="s">
        <v>254</v>
      </c>
      <c r="N4476" s="158" t="s">
        <v>5317</v>
      </c>
      <c r="O4476" s="158"/>
      <c r="P4476" s="182" t="s">
        <v>461</v>
      </c>
      <c r="Q4476" s="158" t="s">
        <v>4929</v>
      </c>
      <c r="R4476" s="207" t="s">
        <v>4796</v>
      </c>
      <c r="S4476" s="355" t="s">
        <v>322</v>
      </c>
      <c r="T4476" s="182" t="s">
        <v>331</v>
      </c>
      <c r="U4476" s="182"/>
      <c r="V4476" s="182"/>
      <c r="W4476" s="325" t="s">
        <v>6808</v>
      </c>
      <c r="X4476" s="657" t="s">
        <v>12347</v>
      </c>
      <c r="Y4476" s="361"/>
      <c r="Z4476" s="362"/>
      <c r="AA4476" s="362"/>
      <c r="AB4476" s="33">
        <f t="shared" ca="1" si="113"/>
        <v>0.70434384087122937</v>
      </c>
      <c r="AC4476" s="813"/>
      <c r="AD4476" s="211"/>
      <c r="AE4476" s="949"/>
      <c r="AF4476" s="922">
        <f>IF(X4476=X4475,AF4475,0)+IF(ISNUMBER(I4476),IF(I4476&lt;1,I4476,I4476*VLOOKUP(J4476,Summary!$H$2:$I$9,2)),VLOOKUP(J4476,Summary!$J$2:$K$9,2)*IF(ISNUMBER(H4476),H4476,1))</f>
        <v>0.51844907407407392</v>
      </c>
      <c r="AG4476" s="295">
        <v>4475</v>
      </c>
      <c r="AH4476" s="94"/>
      <c r="AI4476" s="94"/>
      <c r="AJ4476" s="29"/>
    </row>
    <row r="4477" spans="1:36" s="22" customFormat="1" ht="12" customHeight="1" x14ac:dyDescent="0.2">
      <c r="A4477" s="603" t="s">
        <v>15670</v>
      </c>
      <c r="B4477" s="603">
        <v>10</v>
      </c>
      <c r="C4477" s="603">
        <v>86</v>
      </c>
      <c r="D4477" s="428" t="s">
        <v>1178</v>
      </c>
      <c r="E4477" s="325" t="s">
        <v>6809</v>
      </c>
      <c r="F4477" s="184">
        <v>40024</v>
      </c>
      <c r="G4477" s="184">
        <v>40030</v>
      </c>
      <c r="H4477" s="185">
        <v>1</v>
      </c>
      <c r="I4477" s="185">
        <v>4</v>
      </c>
      <c r="J4477" s="901" t="s">
        <v>1796</v>
      </c>
      <c r="K4477" s="158" t="s">
        <v>4672</v>
      </c>
      <c r="L4477" s="158" t="s">
        <v>3832</v>
      </c>
      <c r="M4477" s="158" t="s">
        <v>254</v>
      </c>
      <c r="N4477" s="158" t="s">
        <v>5317</v>
      </c>
      <c r="O4477" s="158"/>
      <c r="P4477" s="182" t="s">
        <v>461</v>
      </c>
      <c r="Q4477" s="158" t="s">
        <v>4929</v>
      </c>
      <c r="R4477" s="207" t="s">
        <v>4796</v>
      </c>
      <c r="S4477" s="355" t="s">
        <v>322</v>
      </c>
      <c r="T4477" s="182" t="s">
        <v>331</v>
      </c>
      <c r="U4477" s="182"/>
      <c r="V4477" s="182"/>
      <c r="W4477" s="325" t="s">
        <v>6809</v>
      </c>
      <c r="X4477" s="657" t="s">
        <v>12347</v>
      </c>
      <c r="Y4477" s="361"/>
      <c r="Z4477" s="362"/>
      <c r="AA4477" s="362"/>
      <c r="AB4477" s="33">
        <f t="shared" ca="1" si="113"/>
        <v>0.12097920586765709</v>
      </c>
      <c r="AC4477" s="813"/>
      <c r="AD4477" s="836"/>
      <c r="AE4477" s="949"/>
      <c r="AF4477" s="922">
        <f>IF(X4477=X4476,AF4476,0)+IF(ISNUMBER(I4477),IF(I4477&lt;1,I4477,I4477*VLOOKUP(J4477,Summary!$H$2:$I$9,2)),VLOOKUP(J4477,Summary!$J$2:$K$9,2)*IF(ISNUMBER(H4477),H4477,1))</f>
        <v>0.51983796296296281</v>
      </c>
      <c r="AG4477" s="295">
        <v>4476</v>
      </c>
      <c r="AH4477" s="94"/>
      <c r="AI4477" s="94"/>
    </row>
    <row r="4478" spans="1:36" s="43" customFormat="1" ht="12" customHeight="1" x14ac:dyDescent="0.25">
      <c r="A4478" s="603" t="s">
        <v>15670</v>
      </c>
      <c r="B4478" s="603">
        <v>10</v>
      </c>
      <c r="C4478" s="603">
        <v>87</v>
      </c>
      <c r="D4478" s="428" t="s">
        <v>1179</v>
      </c>
      <c r="E4478" s="325" t="s">
        <v>6810</v>
      </c>
      <c r="F4478" s="184">
        <v>40031</v>
      </c>
      <c r="G4478" s="184">
        <v>40037</v>
      </c>
      <c r="H4478" s="185">
        <v>1</v>
      </c>
      <c r="I4478" s="185">
        <v>4</v>
      </c>
      <c r="J4478" s="901" t="s">
        <v>1796</v>
      </c>
      <c r="K4478" s="158" t="s">
        <v>6353</v>
      </c>
      <c r="L4478" s="158" t="s">
        <v>3832</v>
      </c>
      <c r="M4478" s="158" t="s">
        <v>254</v>
      </c>
      <c r="N4478" s="158" t="s">
        <v>5317</v>
      </c>
      <c r="O4478" s="158"/>
      <c r="P4478" s="182" t="s">
        <v>461</v>
      </c>
      <c r="Q4478" s="158" t="s">
        <v>4929</v>
      </c>
      <c r="R4478" s="207" t="s">
        <v>4796</v>
      </c>
      <c r="S4478" s="355" t="s">
        <v>322</v>
      </c>
      <c r="T4478" s="182" t="s">
        <v>331</v>
      </c>
      <c r="U4478" s="182"/>
      <c r="V4478" s="182"/>
      <c r="W4478" s="325" t="s">
        <v>6810</v>
      </c>
      <c r="X4478" s="657" t="s">
        <v>12347</v>
      </c>
      <c r="Y4478" s="361"/>
      <c r="Z4478" s="362"/>
      <c r="AA4478" s="362"/>
      <c r="AB4478" s="33">
        <f t="shared" ca="1" si="113"/>
        <v>0.82874488969086324</v>
      </c>
      <c r="AC4478" s="813"/>
      <c r="AD4478" s="211"/>
      <c r="AE4478" s="949"/>
      <c r="AF4478" s="922">
        <f>IF(X4478=X4477,AF4477,0)+IF(ISNUMBER(I4478),IF(I4478&lt;1,I4478,I4478*VLOOKUP(J4478,Summary!$H$2:$I$9,2)),VLOOKUP(J4478,Summary!$J$2:$K$9,2)*IF(ISNUMBER(H4478),H4478,1))</f>
        <v>0.52122685185185169</v>
      </c>
      <c r="AG4478" s="295">
        <v>4477</v>
      </c>
      <c r="AH4478" s="94"/>
      <c r="AI4478" s="94"/>
    </row>
    <row r="4479" spans="1:36" s="1" customFormat="1" ht="12" customHeight="1" x14ac:dyDescent="0.25">
      <c r="A4479" s="603" t="s">
        <v>15670</v>
      </c>
      <c r="B4479" s="603">
        <v>10</v>
      </c>
      <c r="C4479" s="603">
        <v>88</v>
      </c>
      <c r="D4479" s="428" t="s">
        <v>278</v>
      </c>
      <c r="E4479" s="325" t="s">
        <v>6811</v>
      </c>
      <c r="F4479" s="184">
        <v>40038</v>
      </c>
      <c r="G4479" s="184">
        <v>40044</v>
      </c>
      <c r="H4479" s="185">
        <v>1</v>
      </c>
      <c r="I4479" s="185">
        <v>4</v>
      </c>
      <c r="J4479" s="901" t="s">
        <v>1796</v>
      </c>
      <c r="K4479" s="158" t="s">
        <v>4147</v>
      </c>
      <c r="L4479" s="158" t="s">
        <v>3832</v>
      </c>
      <c r="M4479" s="158" t="s">
        <v>254</v>
      </c>
      <c r="N4479" s="158" t="s">
        <v>5317</v>
      </c>
      <c r="O4479" s="158"/>
      <c r="P4479" s="182" t="s">
        <v>461</v>
      </c>
      <c r="Q4479" s="158" t="s">
        <v>4929</v>
      </c>
      <c r="R4479" s="207" t="s">
        <v>4796</v>
      </c>
      <c r="S4479" s="355" t="s">
        <v>322</v>
      </c>
      <c r="T4479" s="182" t="s">
        <v>331</v>
      </c>
      <c r="U4479" s="182"/>
      <c r="V4479" s="182"/>
      <c r="W4479" s="325" t="s">
        <v>6811</v>
      </c>
      <c r="X4479" s="657" t="s">
        <v>12347</v>
      </c>
      <c r="Y4479" s="361"/>
      <c r="Z4479" s="362"/>
      <c r="AA4479" s="362"/>
      <c r="AB4479" s="33">
        <f t="shared" ca="1" si="113"/>
        <v>0.85843145091372797</v>
      </c>
      <c r="AC4479" s="813"/>
      <c r="AD4479" s="211"/>
      <c r="AE4479" s="949"/>
      <c r="AF4479" s="922">
        <f>IF(X4479=X4478,AF4478,0)+IF(ISNUMBER(I4479),IF(I4479&lt;1,I4479,I4479*VLOOKUP(J4479,Summary!$H$2:$I$9,2)),VLOOKUP(J4479,Summary!$J$2:$K$9,2)*IF(ISNUMBER(H4479),H4479,1))</f>
        <v>0.52261574074074058</v>
      </c>
      <c r="AG4479" s="295">
        <v>4478</v>
      </c>
      <c r="AH4479" s="94"/>
      <c r="AI4479" s="94"/>
      <c r="AJ4479" s="29"/>
    </row>
    <row r="4480" spans="1:36" s="29" customFormat="1" ht="12" customHeight="1" x14ac:dyDescent="0.25">
      <c r="A4480" s="603" t="s">
        <v>15670</v>
      </c>
      <c r="B4480" s="603">
        <v>10</v>
      </c>
      <c r="C4480" s="603">
        <v>89</v>
      </c>
      <c r="D4480" s="428" t="s">
        <v>279</v>
      </c>
      <c r="E4480" s="325" t="s">
        <v>6812</v>
      </c>
      <c r="F4480" s="184">
        <v>40045</v>
      </c>
      <c r="G4480" s="184">
        <v>40051</v>
      </c>
      <c r="H4480" s="185">
        <v>1</v>
      </c>
      <c r="I4480" s="185">
        <v>4</v>
      </c>
      <c r="J4480" s="901" t="s">
        <v>1796</v>
      </c>
      <c r="K4480" s="158" t="s">
        <v>176</v>
      </c>
      <c r="L4480" s="158" t="s">
        <v>3832</v>
      </c>
      <c r="M4480" s="158" t="s">
        <v>254</v>
      </c>
      <c r="N4480" s="158" t="s">
        <v>5317</v>
      </c>
      <c r="O4480" s="158"/>
      <c r="P4480" s="182" t="s">
        <v>461</v>
      </c>
      <c r="Q4480" s="158" t="s">
        <v>4929</v>
      </c>
      <c r="R4480" s="207" t="s">
        <v>4796</v>
      </c>
      <c r="S4480" s="355" t="s">
        <v>322</v>
      </c>
      <c r="T4480" s="182" t="s">
        <v>331</v>
      </c>
      <c r="U4480" s="182"/>
      <c r="V4480" s="182"/>
      <c r="W4480" s="325" t="s">
        <v>6812</v>
      </c>
      <c r="X4480" s="657" t="s">
        <v>12347</v>
      </c>
      <c r="Y4480" s="361"/>
      <c r="Z4480" s="362"/>
      <c r="AA4480" s="362"/>
      <c r="AB4480" s="33">
        <f t="shared" ca="1" si="113"/>
        <v>0.30968871976662027</v>
      </c>
      <c r="AC4480" s="813"/>
      <c r="AD4480" s="211"/>
      <c r="AE4480" s="949"/>
      <c r="AF4480" s="922">
        <f>IF(X4480=X4479,AF4479,0)+IF(ISNUMBER(I4480),IF(I4480&lt;1,I4480,I4480*VLOOKUP(J4480,Summary!$H$2:$I$9,2)),VLOOKUP(J4480,Summary!$J$2:$K$9,2)*IF(ISNUMBER(H4480),H4480,1))</f>
        <v>0.52400462962962946</v>
      </c>
      <c r="AG4480" s="295">
        <v>4479</v>
      </c>
      <c r="AH4480" s="94"/>
      <c r="AI4480" s="94"/>
      <c r="AJ4480" s="57"/>
    </row>
    <row r="4481" spans="1:36" s="2" customFormat="1" ht="12" customHeight="1" x14ac:dyDescent="0.25">
      <c r="A4481" s="603" t="s">
        <v>15670</v>
      </c>
      <c r="B4481" s="603">
        <v>10</v>
      </c>
      <c r="C4481" s="603">
        <v>90</v>
      </c>
      <c r="D4481" s="428" t="s">
        <v>280</v>
      </c>
      <c r="E4481" s="325" t="s">
        <v>6813</v>
      </c>
      <c r="F4481" s="184">
        <v>40052</v>
      </c>
      <c r="G4481" s="184">
        <v>40058</v>
      </c>
      <c r="H4481" s="185">
        <v>1</v>
      </c>
      <c r="I4481" s="185">
        <v>4</v>
      </c>
      <c r="J4481" s="901" t="s">
        <v>1796</v>
      </c>
      <c r="K4481" s="158" t="s">
        <v>176</v>
      </c>
      <c r="L4481" s="158" t="s">
        <v>3832</v>
      </c>
      <c r="M4481" s="158" t="s">
        <v>254</v>
      </c>
      <c r="N4481" s="158" t="s">
        <v>5317</v>
      </c>
      <c r="O4481" s="158"/>
      <c r="P4481" s="182" t="s">
        <v>461</v>
      </c>
      <c r="Q4481" s="158" t="s">
        <v>4929</v>
      </c>
      <c r="R4481" s="207" t="s">
        <v>4796</v>
      </c>
      <c r="S4481" s="355" t="s">
        <v>322</v>
      </c>
      <c r="T4481" s="182" t="s">
        <v>331</v>
      </c>
      <c r="U4481" s="182"/>
      <c r="V4481" s="182"/>
      <c r="W4481" s="325" t="s">
        <v>6813</v>
      </c>
      <c r="X4481" s="657" t="s">
        <v>12347</v>
      </c>
      <c r="Y4481" s="361"/>
      <c r="Z4481" s="362"/>
      <c r="AA4481" s="362"/>
      <c r="AB4481" s="33">
        <f t="shared" ca="1" si="113"/>
        <v>0.32687524470183837</v>
      </c>
      <c r="AC4481" s="813"/>
      <c r="AD4481" s="211"/>
      <c r="AE4481" s="949"/>
      <c r="AF4481" s="922">
        <f>IF(X4481=X4480,AF4480,0)+IF(ISNUMBER(I4481),IF(I4481&lt;1,I4481,I4481*VLOOKUP(J4481,Summary!$H$2:$I$9,2)),VLOOKUP(J4481,Summary!$J$2:$K$9,2)*IF(ISNUMBER(H4481),H4481,1))</f>
        <v>0.52539351851851834</v>
      </c>
      <c r="AG4481" s="295">
        <v>4480</v>
      </c>
      <c r="AH4481" s="94"/>
      <c r="AI4481" s="94"/>
    </row>
    <row r="4482" spans="1:36" s="43" customFormat="1" ht="12" customHeight="1" x14ac:dyDescent="0.25">
      <c r="A4482" s="603" t="s">
        <v>15670</v>
      </c>
      <c r="B4482" s="603">
        <v>10</v>
      </c>
      <c r="C4482" s="603">
        <v>91</v>
      </c>
      <c r="D4482" s="428" t="s">
        <v>281</v>
      </c>
      <c r="E4482" s="325" t="s">
        <v>6814</v>
      </c>
      <c r="F4482" s="184">
        <v>40059</v>
      </c>
      <c r="G4482" s="184">
        <v>40065</v>
      </c>
      <c r="H4482" s="185">
        <v>1</v>
      </c>
      <c r="I4482" s="185">
        <v>4</v>
      </c>
      <c r="J4482" s="901" t="s">
        <v>1796</v>
      </c>
      <c r="K4482" s="158" t="s">
        <v>4147</v>
      </c>
      <c r="L4482" s="158" t="s">
        <v>3832</v>
      </c>
      <c r="M4482" s="158" t="s">
        <v>254</v>
      </c>
      <c r="N4482" s="158" t="s">
        <v>5317</v>
      </c>
      <c r="O4482" s="158"/>
      <c r="P4482" s="182" t="s">
        <v>461</v>
      </c>
      <c r="Q4482" s="158" t="s">
        <v>4929</v>
      </c>
      <c r="R4482" s="207" t="s">
        <v>4796</v>
      </c>
      <c r="S4482" s="355" t="s">
        <v>322</v>
      </c>
      <c r="T4482" s="182" t="s">
        <v>331</v>
      </c>
      <c r="U4482" s="182"/>
      <c r="V4482" s="182"/>
      <c r="W4482" s="325" t="s">
        <v>6814</v>
      </c>
      <c r="X4482" s="657" t="s">
        <v>12347</v>
      </c>
      <c r="Y4482" s="361"/>
      <c r="Z4482" s="362"/>
      <c r="AA4482" s="362"/>
      <c r="AB4482" s="33">
        <f t="shared" ref="AB4482:AB4545" ca="1" si="114">RAND()</f>
        <v>0.83416975218378286</v>
      </c>
      <c r="AC4482" s="813"/>
      <c r="AD4482" s="211"/>
      <c r="AE4482" s="949"/>
      <c r="AF4482" s="922">
        <f>IF(X4482=X4481,AF4481,0)+IF(ISNUMBER(I4482),IF(I4482&lt;1,I4482,I4482*VLOOKUP(J4482,Summary!$H$2:$I$9,2)),VLOOKUP(J4482,Summary!$J$2:$K$9,2)*IF(ISNUMBER(H4482),H4482,1))</f>
        <v>0.52678240740740723</v>
      </c>
      <c r="AG4482" s="295">
        <v>4481</v>
      </c>
      <c r="AH4482" s="94"/>
      <c r="AI4482" s="94"/>
      <c r="AJ4482" s="2"/>
    </row>
    <row r="4483" spans="1:36" s="43" customFormat="1" ht="12" customHeight="1" x14ac:dyDescent="0.25">
      <c r="A4483" s="603" t="s">
        <v>15670</v>
      </c>
      <c r="B4483" s="603">
        <v>10</v>
      </c>
      <c r="C4483" s="603">
        <v>92</v>
      </c>
      <c r="D4483" s="428" t="s">
        <v>282</v>
      </c>
      <c r="E4483" s="325" t="s">
        <v>6815</v>
      </c>
      <c r="F4483" s="184">
        <v>40066</v>
      </c>
      <c r="G4483" s="184">
        <v>40072</v>
      </c>
      <c r="H4483" s="185">
        <v>1</v>
      </c>
      <c r="I4483" s="185">
        <v>4</v>
      </c>
      <c r="J4483" s="901" t="s">
        <v>1796</v>
      </c>
      <c r="K4483" s="158" t="s">
        <v>6353</v>
      </c>
      <c r="L4483" s="158" t="s">
        <v>3832</v>
      </c>
      <c r="M4483" s="158" t="s">
        <v>254</v>
      </c>
      <c r="N4483" s="158" t="s">
        <v>5317</v>
      </c>
      <c r="O4483" s="158"/>
      <c r="P4483" s="182" t="s">
        <v>461</v>
      </c>
      <c r="Q4483" s="158" t="s">
        <v>4929</v>
      </c>
      <c r="R4483" s="207" t="s">
        <v>4796</v>
      </c>
      <c r="S4483" s="355" t="s">
        <v>322</v>
      </c>
      <c r="T4483" s="182" t="s">
        <v>331</v>
      </c>
      <c r="U4483" s="182"/>
      <c r="V4483" s="182"/>
      <c r="W4483" s="325" t="s">
        <v>6815</v>
      </c>
      <c r="X4483" s="657" t="s">
        <v>12347</v>
      </c>
      <c r="Y4483" s="361"/>
      <c r="Z4483" s="362"/>
      <c r="AA4483" s="362"/>
      <c r="AB4483" s="33">
        <f t="shared" ca="1" si="114"/>
        <v>0.20732412852515081</v>
      </c>
      <c r="AC4483" s="813"/>
      <c r="AD4483" s="211"/>
      <c r="AE4483" s="949"/>
      <c r="AF4483" s="922">
        <f>IF(X4483=X4482,AF4482,0)+IF(ISNUMBER(I4483),IF(I4483&lt;1,I4483,I4483*VLOOKUP(J4483,Summary!$H$2:$I$9,2)),VLOOKUP(J4483,Summary!$J$2:$K$9,2)*IF(ISNUMBER(H4483),H4483,1))</f>
        <v>0.52817129629629611</v>
      </c>
      <c r="AG4483" s="295">
        <v>4482</v>
      </c>
      <c r="AH4483" s="94"/>
      <c r="AI4483" s="94"/>
      <c r="AJ4483" s="3"/>
    </row>
    <row r="4484" spans="1:36" s="43" customFormat="1" ht="12" customHeight="1" x14ac:dyDescent="0.25">
      <c r="A4484" s="603" t="s">
        <v>15670</v>
      </c>
      <c r="B4484" s="603">
        <v>10</v>
      </c>
      <c r="C4484" s="603">
        <v>93</v>
      </c>
      <c r="D4484" s="428" t="s">
        <v>283</v>
      </c>
      <c r="E4484" s="325" t="s">
        <v>4674</v>
      </c>
      <c r="F4484" s="184">
        <v>40073</v>
      </c>
      <c r="G4484" s="184">
        <v>40079</v>
      </c>
      <c r="H4484" s="185">
        <v>1</v>
      </c>
      <c r="I4484" s="185">
        <v>4</v>
      </c>
      <c r="J4484" s="901" t="s">
        <v>1796</v>
      </c>
      <c r="K4484" s="158" t="s">
        <v>4147</v>
      </c>
      <c r="L4484" s="158" t="s">
        <v>3832</v>
      </c>
      <c r="M4484" s="158" t="s">
        <v>254</v>
      </c>
      <c r="N4484" s="158" t="s">
        <v>5317</v>
      </c>
      <c r="O4484" s="158"/>
      <c r="P4484" s="182" t="s">
        <v>461</v>
      </c>
      <c r="Q4484" s="158" t="s">
        <v>4929</v>
      </c>
      <c r="R4484" s="207" t="s">
        <v>4796</v>
      </c>
      <c r="S4484" s="355" t="s">
        <v>322</v>
      </c>
      <c r="T4484" s="182" t="s">
        <v>331</v>
      </c>
      <c r="U4484" s="182"/>
      <c r="V4484" s="182"/>
      <c r="W4484" s="325" t="s">
        <v>4674</v>
      </c>
      <c r="X4484" s="657" t="s">
        <v>12347</v>
      </c>
      <c r="Y4484" s="361"/>
      <c r="Z4484" s="362"/>
      <c r="AA4484" s="362"/>
      <c r="AB4484" s="33">
        <f t="shared" ca="1" si="114"/>
        <v>0.86809182737795731</v>
      </c>
      <c r="AC4484" s="813"/>
      <c r="AD4484" s="211"/>
      <c r="AE4484" s="949"/>
      <c r="AF4484" s="922">
        <f>IF(X4484=X4483,AF4483,0)+IF(ISNUMBER(I4484),IF(I4484&lt;1,I4484,I4484*VLOOKUP(J4484,Summary!$H$2:$I$9,2)),VLOOKUP(J4484,Summary!$J$2:$K$9,2)*IF(ISNUMBER(H4484),H4484,1))</f>
        <v>0.529560185185185</v>
      </c>
      <c r="AG4484" s="295">
        <v>4483</v>
      </c>
      <c r="AH4484" s="94"/>
      <c r="AI4484" s="94"/>
      <c r="AJ4484" s="2"/>
    </row>
    <row r="4485" spans="1:36" s="43" customFormat="1" ht="12" customHeight="1" x14ac:dyDescent="0.25">
      <c r="A4485" s="603" t="s">
        <v>15670</v>
      </c>
      <c r="B4485" s="603">
        <v>10</v>
      </c>
      <c r="C4485" s="603">
        <v>94</v>
      </c>
      <c r="D4485" s="428" t="s">
        <v>284</v>
      </c>
      <c r="E4485" s="325" t="s">
        <v>6816</v>
      </c>
      <c r="F4485" s="184">
        <v>40080</v>
      </c>
      <c r="G4485" s="184">
        <v>40086</v>
      </c>
      <c r="H4485" s="185">
        <v>1</v>
      </c>
      <c r="I4485" s="185">
        <v>4</v>
      </c>
      <c r="J4485" s="901" t="s">
        <v>1796</v>
      </c>
      <c r="K4485" s="158" t="s">
        <v>6353</v>
      </c>
      <c r="L4485" s="158" t="s">
        <v>3832</v>
      </c>
      <c r="M4485" s="158" t="s">
        <v>254</v>
      </c>
      <c r="N4485" s="158" t="s">
        <v>5317</v>
      </c>
      <c r="O4485" s="158"/>
      <c r="P4485" s="182" t="s">
        <v>461</v>
      </c>
      <c r="Q4485" s="158" t="s">
        <v>4929</v>
      </c>
      <c r="R4485" s="207" t="s">
        <v>4796</v>
      </c>
      <c r="S4485" s="355" t="s">
        <v>322</v>
      </c>
      <c r="T4485" s="182" t="s">
        <v>331</v>
      </c>
      <c r="U4485" s="182"/>
      <c r="V4485" s="182"/>
      <c r="W4485" s="325" t="s">
        <v>6816</v>
      </c>
      <c r="X4485" s="657" t="s">
        <v>12347</v>
      </c>
      <c r="Y4485" s="361"/>
      <c r="Z4485" s="362"/>
      <c r="AA4485" s="362"/>
      <c r="AB4485" s="33">
        <f t="shared" ca="1" si="114"/>
        <v>0.86705456140836334</v>
      </c>
      <c r="AC4485" s="813"/>
      <c r="AD4485" s="211"/>
      <c r="AE4485" s="949"/>
      <c r="AF4485" s="922">
        <f>IF(X4485=X4484,AF4484,0)+IF(ISNUMBER(I4485),IF(I4485&lt;1,I4485,I4485*VLOOKUP(J4485,Summary!$H$2:$I$9,2)),VLOOKUP(J4485,Summary!$J$2:$K$9,2)*IF(ISNUMBER(H4485),H4485,1))</f>
        <v>0.53094907407407388</v>
      </c>
      <c r="AG4485" s="295">
        <v>4484</v>
      </c>
      <c r="AH4485" s="94"/>
      <c r="AI4485" s="94"/>
    </row>
    <row r="4486" spans="1:36" s="29" customFormat="1" ht="12" customHeight="1" x14ac:dyDescent="0.25">
      <c r="A4486" s="603" t="s">
        <v>15670</v>
      </c>
      <c r="B4486" s="603">
        <v>10</v>
      </c>
      <c r="C4486" s="603">
        <v>95</v>
      </c>
      <c r="D4486" s="428" t="s">
        <v>285</v>
      </c>
      <c r="E4486" s="325" t="s">
        <v>6817</v>
      </c>
      <c r="F4486" s="184">
        <v>40087</v>
      </c>
      <c r="G4486" s="184" t="s">
        <v>4675</v>
      </c>
      <c r="H4486" s="185">
        <v>1</v>
      </c>
      <c r="I4486" s="185">
        <v>4</v>
      </c>
      <c r="J4486" s="901" t="s">
        <v>1796</v>
      </c>
      <c r="K4486" s="158" t="s">
        <v>4147</v>
      </c>
      <c r="L4486" s="158" t="s">
        <v>3832</v>
      </c>
      <c r="M4486" s="158" t="s">
        <v>254</v>
      </c>
      <c r="N4486" s="158" t="s">
        <v>5317</v>
      </c>
      <c r="O4486" s="158"/>
      <c r="P4486" s="182" t="s">
        <v>461</v>
      </c>
      <c r="Q4486" s="158" t="s">
        <v>4929</v>
      </c>
      <c r="R4486" s="207" t="s">
        <v>4796</v>
      </c>
      <c r="S4486" s="355" t="s">
        <v>322</v>
      </c>
      <c r="T4486" s="182" t="s">
        <v>331</v>
      </c>
      <c r="U4486" s="182"/>
      <c r="V4486" s="182"/>
      <c r="W4486" s="325" t="s">
        <v>6817</v>
      </c>
      <c r="X4486" s="657" t="s">
        <v>12347</v>
      </c>
      <c r="Y4486" s="361"/>
      <c r="Z4486" s="362"/>
      <c r="AA4486" s="362"/>
      <c r="AB4486" s="33">
        <f t="shared" ca="1" si="114"/>
        <v>0.65294951267759016</v>
      </c>
      <c r="AC4486" s="813"/>
      <c r="AD4486" s="211"/>
      <c r="AE4486" s="949"/>
      <c r="AF4486" s="922">
        <f>IF(X4486=X4485,AF4485,0)+IF(ISNUMBER(I4486),IF(I4486&lt;1,I4486,I4486*VLOOKUP(J4486,Summary!$H$2:$I$9,2)),VLOOKUP(J4486,Summary!$J$2:$K$9,2)*IF(ISNUMBER(H4486),H4486,1))</f>
        <v>0.53233796296296276</v>
      </c>
      <c r="AG4486" s="295">
        <v>4485</v>
      </c>
      <c r="AH4486" s="94"/>
      <c r="AI4486" s="94"/>
    </row>
    <row r="4487" spans="1:36" s="43" customFormat="1" ht="12" customHeight="1" x14ac:dyDescent="0.25">
      <c r="A4487" s="603" t="s">
        <v>15670</v>
      </c>
      <c r="B4487" s="603">
        <v>10</v>
      </c>
      <c r="C4487" s="603">
        <v>96</v>
      </c>
      <c r="D4487" s="428" t="s">
        <v>286</v>
      </c>
      <c r="E4487" s="325" t="s">
        <v>6818</v>
      </c>
      <c r="F4487" s="184">
        <v>40094</v>
      </c>
      <c r="G4487" s="184">
        <v>40100</v>
      </c>
      <c r="H4487" s="185">
        <v>1</v>
      </c>
      <c r="I4487" s="185">
        <v>4</v>
      </c>
      <c r="J4487" s="901" t="s">
        <v>1796</v>
      </c>
      <c r="K4487" s="158" t="s">
        <v>6353</v>
      </c>
      <c r="L4487" s="158" t="s">
        <v>3832</v>
      </c>
      <c r="M4487" s="158" t="s">
        <v>254</v>
      </c>
      <c r="N4487" s="158" t="s">
        <v>5317</v>
      </c>
      <c r="O4487" s="158"/>
      <c r="P4487" s="182" t="s">
        <v>461</v>
      </c>
      <c r="Q4487" s="158" t="s">
        <v>4929</v>
      </c>
      <c r="R4487" s="207" t="s">
        <v>4796</v>
      </c>
      <c r="S4487" s="355" t="s">
        <v>322</v>
      </c>
      <c r="T4487" s="182"/>
      <c r="U4487" s="182"/>
      <c r="V4487" s="182"/>
      <c r="W4487" s="325" t="s">
        <v>6818</v>
      </c>
      <c r="X4487" s="657" t="s">
        <v>12347</v>
      </c>
      <c r="Y4487" s="361"/>
      <c r="Z4487" s="362"/>
      <c r="AA4487" s="362"/>
      <c r="AB4487" s="33">
        <f t="shared" ca="1" si="114"/>
        <v>0.67640774710610485</v>
      </c>
      <c r="AC4487" s="813"/>
      <c r="AD4487" s="211"/>
      <c r="AE4487" s="949"/>
      <c r="AF4487" s="922">
        <f>IF(X4487=X4486,AF4486,0)+IF(ISNUMBER(I4487),IF(I4487&lt;1,I4487,I4487*VLOOKUP(J4487,Summary!$H$2:$I$9,2)),VLOOKUP(J4487,Summary!$J$2:$K$9,2)*IF(ISNUMBER(H4487),H4487,1))</f>
        <v>0.53372685185185165</v>
      </c>
      <c r="AG4487" s="295">
        <v>4486</v>
      </c>
      <c r="AH4487" s="94"/>
      <c r="AI4487" s="94"/>
      <c r="AJ4487" s="2"/>
    </row>
    <row r="4488" spans="1:36" s="43" customFormat="1" ht="12" customHeight="1" x14ac:dyDescent="0.25">
      <c r="A4488" s="603" t="s">
        <v>15670</v>
      </c>
      <c r="B4488" s="603">
        <v>10</v>
      </c>
      <c r="C4488" s="603">
        <v>97</v>
      </c>
      <c r="D4488" s="428" t="s">
        <v>287</v>
      </c>
      <c r="E4488" s="325" t="s">
        <v>6819</v>
      </c>
      <c r="F4488" s="184">
        <v>40101</v>
      </c>
      <c r="G4488" s="184">
        <v>40107</v>
      </c>
      <c r="H4488" s="185">
        <v>1</v>
      </c>
      <c r="I4488" s="185">
        <v>4</v>
      </c>
      <c r="J4488" s="901" t="s">
        <v>1796</v>
      </c>
      <c r="K4488" s="158" t="s">
        <v>4672</v>
      </c>
      <c r="L4488" s="158" t="s">
        <v>3832</v>
      </c>
      <c r="M4488" s="158" t="s">
        <v>254</v>
      </c>
      <c r="N4488" s="158" t="s">
        <v>5317</v>
      </c>
      <c r="O4488" s="158"/>
      <c r="P4488" s="182" t="s">
        <v>461</v>
      </c>
      <c r="Q4488" s="158" t="s">
        <v>4929</v>
      </c>
      <c r="R4488" s="207" t="s">
        <v>4796</v>
      </c>
      <c r="S4488" s="355" t="s">
        <v>322</v>
      </c>
      <c r="T4488" s="182"/>
      <c r="U4488" s="182"/>
      <c r="V4488" s="182"/>
      <c r="W4488" s="325" t="s">
        <v>6819</v>
      </c>
      <c r="X4488" s="657" t="s">
        <v>12347</v>
      </c>
      <c r="Y4488" s="361"/>
      <c r="Z4488" s="362"/>
      <c r="AA4488" s="362"/>
      <c r="AB4488" s="33">
        <f t="shared" ca="1" si="114"/>
        <v>0.97617286407861359</v>
      </c>
      <c r="AC4488" s="813"/>
      <c r="AD4488" s="211"/>
      <c r="AE4488" s="949"/>
      <c r="AF4488" s="922">
        <f>IF(X4488=X4487,AF4487,0)+IF(ISNUMBER(I4488),IF(I4488&lt;1,I4488,I4488*VLOOKUP(J4488,Summary!$H$2:$I$9,2)),VLOOKUP(J4488,Summary!$J$2:$K$9,2)*IF(ISNUMBER(H4488),H4488,1))</f>
        <v>0.53511574074074053</v>
      </c>
      <c r="AG4488" s="295">
        <v>4487</v>
      </c>
      <c r="AH4488" s="94"/>
      <c r="AI4488" s="94"/>
    </row>
    <row r="4489" spans="1:36" s="29" customFormat="1" ht="12" customHeight="1" x14ac:dyDescent="0.25">
      <c r="A4489" s="603" t="s">
        <v>15670</v>
      </c>
      <c r="B4489" s="603">
        <v>10</v>
      </c>
      <c r="C4489" s="603">
        <v>98</v>
      </c>
      <c r="D4489" s="428" t="s">
        <v>288</v>
      </c>
      <c r="E4489" s="325" t="s">
        <v>6820</v>
      </c>
      <c r="F4489" s="184">
        <v>40108</v>
      </c>
      <c r="G4489" s="184">
        <v>40114</v>
      </c>
      <c r="H4489" s="185">
        <v>1</v>
      </c>
      <c r="I4489" s="185">
        <v>4</v>
      </c>
      <c r="J4489" s="901" t="s">
        <v>1796</v>
      </c>
      <c r="K4489" s="158" t="s">
        <v>4147</v>
      </c>
      <c r="L4489" s="158" t="s">
        <v>3832</v>
      </c>
      <c r="M4489" s="158" t="s">
        <v>254</v>
      </c>
      <c r="N4489" s="158" t="s">
        <v>5317</v>
      </c>
      <c r="O4489" s="158"/>
      <c r="P4489" s="182" t="s">
        <v>461</v>
      </c>
      <c r="Q4489" s="158" t="s">
        <v>4929</v>
      </c>
      <c r="R4489" s="207" t="s">
        <v>4796</v>
      </c>
      <c r="S4489" s="355" t="s">
        <v>322</v>
      </c>
      <c r="T4489" s="182"/>
      <c r="U4489" s="182"/>
      <c r="V4489" s="182"/>
      <c r="W4489" s="325" t="s">
        <v>6820</v>
      </c>
      <c r="X4489" s="657" t="s">
        <v>12347</v>
      </c>
      <c r="Y4489" s="361"/>
      <c r="Z4489" s="362"/>
      <c r="AA4489" s="362"/>
      <c r="AB4489" s="33">
        <f t="shared" ca="1" si="114"/>
        <v>0.52902564477528624</v>
      </c>
      <c r="AC4489" s="813"/>
      <c r="AD4489" s="211"/>
      <c r="AE4489" s="949"/>
      <c r="AF4489" s="922">
        <f>IF(X4489=X4488,AF4488,0)+IF(ISNUMBER(I4489),IF(I4489&lt;1,I4489,I4489*VLOOKUP(J4489,Summary!$H$2:$I$9,2)),VLOOKUP(J4489,Summary!$J$2:$K$9,2)*IF(ISNUMBER(H4489),H4489,1))</f>
        <v>0.53650462962962941</v>
      </c>
      <c r="AG4489" s="295">
        <v>4488</v>
      </c>
      <c r="AH4489" s="94"/>
      <c r="AI4489" s="94"/>
    </row>
    <row r="4490" spans="1:36" s="1" customFormat="1" ht="12" customHeight="1" x14ac:dyDescent="0.25">
      <c r="A4490" s="603" t="s">
        <v>15670</v>
      </c>
      <c r="B4490" s="603">
        <v>10</v>
      </c>
      <c r="C4490" s="603">
        <v>99</v>
      </c>
      <c r="D4490" s="428" t="s">
        <v>289</v>
      </c>
      <c r="E4490" s="325" t="s">
        <v>6821</v>
      </c>
      <c r="F4490" s="184">
        <v>40115</v>
      </c>
      <c r="G4490" s="184">
        <v>40121</v>
      </c>
      <c r="H4490" s="185">
        <v>1</v>
      </c>
      <c r="I4490" s="185">
        <v>4</v>
      </c>
      <c r="J4490" s="901" t="s">
        <v>1796</v>
      </c>
      <c r="K4490" s="158" t="s">
        <v>4672</v>
      </c>
      <c r="L4490" s="158" t="s">
        <v>3832</v>
      </c>
      <c r="M4490" s="158" t="s">
        <v>254</v>
      </c>
      <c r="N4490" s="158" t="s">
        <v>5317</v>
      </c>
      <c r="O4490" s="158"/>
      <c r="P4490" s="182" t="s">
        <v>461</v>
      </c>
      <c r="Q4490" s="158" t="s">
        <v>4929</v>
      </c>
      <c r="R4490" s="207" t="s">
        <v>4796</v>
      </c>
      <c r="S4490" s="355" t="s">
        <v>322</v>
      </c>
      <c r="T4490" s="182"/>
      <c r="U4490" s="182"/>
      <c r="V4490" s="182"/>
      <c r="W4490" s="325" t="s">
        <v>6821</v>
      </c>
      <c r="X4490" s="657" t="s">
        <v>12347</v>
      </c>
      <c r="Y4490" s="361"/>
      <c r="Z4490" s="362"/>
      <c r="AA4490" s="362"/>
      <c r="AB4490" s="33">
        <f t="shared" ca="1" si="114"/>
        <v>2.5514006375478626E-2</v>
      </c>
      <c r="AC4490" s="813"/>
      <c r="AD4490" s="211"/>
      <c r="AE4490" s="949"/>
      <c r="AF4490" s="922">
        <f>IF(X4490=X4489,AF4489,0)+IF(ISNUMBER(I4490),IF(I4490&lt;1,I4490,I4490*VLOOKUP(J4490,Summary!$H$2:$I$9,2)),VLOOKUP(J4490,Summary!$J$2:$K$9,2)*IF(ISNUMBER(H4490),H4490,1))</f>
        <v>0.5378935185185183</v>
      </c>
      <c r="AG4490" s="295">
        <v>4489</v>
      </c>
      <c r="AH4490" s="94"/>
      <c r="AI4490" s="94"/>
    </row>
    <row r="4491" spans="1:36" s="29" customFormat="1" ht="12" customHeight="1" x14ac:dyDescent="0.25">
      <c r="A4491" s="603" t="s">
        <v>15670</v>
      </c>
      <c r="B4491" s="603">
        <v>10</v>
      </c>
      <c r="C4491" s="603">
        <v>100</v>
      </c>
      <c r="D4491" s="428" t="s">
        <v>290</v>
      </c>
      <c r="E4491" s="325" t="s">
        <v>4676</v>
      </c>
      <c r="F4491" s="184">
        <v>40122</v>
      </c>
      <c r="G4491" s="184">
        <v>40128</v>
      </c>
      <c r="H4491" s="185">
        <v>1</v>
      </c>
      <c r="I4491" s="185">
        <v>4</v>
      </c>
      <c r="J4491" s="901" t="s">
        <v>1796</v>
      </c>
      <c r="K4491" s="158" t="s">
        <v>4032</v>
      </c>
      <c r="L4491" s="158" t="s">
        <v>3832</v>
      </c>
      <c r="M4491" s="158" t="s">
        <v>254</v>
      </c>
      <c r="N4491" s="158" t="s">
        <v>5317</v>
      </c>
      <c r="O4491" s="158"/>
      <c r="P4491" s="182" t="s">
        <v>461</v>
      </c>
      <c r="Q4491" s="158" t="s">
        <v>4929</v>
      </c>
      <c r="R4491" s="207" t="s">
        <v>4796</v>
      </c>
      <c r="S4491" s="355" t="s">
        <v>322</v>
      </c>
      <c r="T4491" s="182"/>
      <c r="U4491" s="182"/>
      <c r="V4491" s="182"/>
      <c r="W4491" s="325" t="s">
        <v>4676</v>
      </c>
      <c r="X4491" s="657" t="s">
        <v>12347</v>
      </c>
      <c r="Y4491" s="361"/>
      <c r="Z4491" s="362"/>
      <c r="AA4491" s="362"/>
      <c r="AB4491" s="33">
        <f t="shared" ca="1" si="114"/>
        <v>0.91161429538985106</v>
      </c>
      <c r="AC4491" s="813"/>
      <c r="AD4491" s="211"/>
      <c r="AE4491" s="949"/>
      <c r="AF4491" s="922">
        <f>IF(X4491=X4490,AF4490,0)+IF(ISNUMBER(I4491),IF(I4491&lt;1,I4491,I4491*VLOOKUP(J4491,Summary!$H$2:$I$9,2)),VLOOKUP(J4491,Summary!$J$2:$K$9,2)*IF(ISNUMBER(H4491),H4491,1))</f>
        <v>0.53928240740740718</v>
      </c>
      <c r="AG4491" s="295">
        <v>4490</v>
      </c>
      <c r="AH4491" s="94"/>
      <c r="AI4491" s="94"/>
    </row>
    <row r="4492" spans="1:36" s="29" customFormat="1" ht="12" customHeight="1" x14ac:dyDescent="0.25">
      <c r="A4492" s="603" t="s">
        <v>15670</v>
      </c>
      <c r="B4492" s="603">
        <v>10</v>
      </c>
      <c r="C4492" s="603">
        <v>101</v>
      </c>
      <c r="D4492" s="428" t="s">
        <v>291</v>
      </c>
      <c r="E4492" s="325" t="s">
        <v>6822</v>
      </c>
      <c r="F4492" s="184">
        <v>40129</v>
      </c>
      <c r="G4492" s="184">
        <v>40135</v>
      </c>
      <c r="H4492" s="185">
        <v>1</v>
      </c>
      <c r="I4492" s="185">
        <v>4</v>
      </c>
      <c r="J4492" s="901" t="s">
        <v>1796</v>
      </c>
      <c r="K4492" s="158" t="s">
        <v>176</v>
      </c>
      <c r="L4492" s="158" t="s">
        <v>3832</v>
      </c>
      <c r="M4492" s="158" t="s">
        <v>254</v>
      </c>
      <c r="N4492" s="158" t="s">
        <v>5317</v>
      </c>
      <c r="O4492" s="158"/>
      <c r="P4492" s="182" t="s">
        <v>461</v>
      </c>
      <c r="Q4492" s="158" t="s">
        <v>4929</v>
      </c>
      <c r="R4492" s="207" t="s">
        <v>4796</v>
      </c>
      <c r="S4492" s="355" t="s">
        <v>322</v>
      </c>
      <c r="T4492" s="182"/>
      <c r="U4492" s="182"/>
      <c r="V4492" s="182"/>
      <c r="W4492" s="325" t="s">
        <v>6822</v>
      </c>
      <c r="X4492" s="657" t="s">
        <v>12347</v>
      </c>
      <c r="Y4492" s="361"/>
      <c r="Z4492" s="362"/>
      <c r="AA4492" s="362"/>
      <c r="AB4492" s="33">
        <f t="shared" ca="1" si="114"/>
        <v>0.56798052217646067</v>
      </c>
      <c r="AC4492" s="813"/>
      <c r="AD4492" s="211"/>
      <c r="AE4492" s="949"/>
      <c r="AF4492" s="922">
        <f>IF(X4492=X4491,AF4491,0)+IF(ISNUMBER(I4492),IF(I4492&lt;1,I4492,I4492*VLOOKUP(J4492,Summary!$H$2:$I$9,2)),VLOOKUP(J4492,Summary!$J$2:$K$9,2)*IF(ISNUMBER(H4492),H4492,1))</f>
        <v>0.54067129629629607</v>
      </c>
      <c r="AG4492" s="295">
        <v>4491</v>
      </c>
      <c r="AH4492" s="94"/>
      <c r="AI4492" s="94"/>
      <c r="AJ4492" s="43"/>
    </row>
    <row r="4493" spans="1:36" s="43" customFormat="1" ht="12" customHeight="1" x14ac:dyDescent="0.25">
      <c r="A4493" s="603" t="s">
        <v>15670</v>
      </c>
      <c r="B4493" s="603">
        <v>10</v>
      </c>
      <c r="C4493" s="603">
        <v>102</v>
      </c>
      <c r="D4493" s="428" t="s">
        <v>292</v>
      </c>
      <c r="E4493" s="325" t="s">
        <v>6823</v>
      </c>
      <c r="F4493" s="184">
        <v>40136</v>
      </c>
      <c r="G4493" s="184">
        <v>40142</v>
      </c>
      <c r="H4493" s="185">
        <v>1</v>
      </c>
      <c r="I4493" s="185">
        <v>4</v>
      </c>
      <c r="J4493" s="901" t="s">
        <v>1796</v>
      </c>
      <c r="K4493" s="158" t="s">
        <v>4032</v>
      </c>
      <c r="L4493" s="158" t="s">
        <v>3832</v>
      </c>
      <c r="M4493" s="158" t="s">
        <v>254</v>
      </c>
      <c r="N4493" s="158" t="s">
        <v>5317</v>
      </c>
      <c r="O4493" s="158"/>
      <c r="P4493" s="182" t="s">
        <v>461</v>
      </c>
      <c r="Q4493" s="158" t="s">
        <v>4929</v>
      </c>
      <c r="R4493" s="207" t="s">
        <v>4796</v>
      </c>
      <c r="S4493" s="355" t="s">
        <v>322</v>
      </c>
      <c r="T4493" s="182"/>
      <c r="U4493" s="182"/>
      <c r="V4493" s="182"/>
      <c r="W4493" s="325" t="s">
        <v>6823</v>
      </c>
      <c r="X4493" s="657" t="s">
        <v>12347</v>
      </c>
      <c r="Y4493" s="361"/>
      <c r="Z4493" s="362"/>
      <c r="AA4493" s="362"/>
      <c r="AB4493" s="33">
        <f t="shared" ca="1" si="114"/>
        <v>0.6705837028556727</v>
      </c>
      <c r="AC4493" s="813"/>
      <c r="AD4493" s="211"/>
      <c r="AE4493" s="949"/>
      <c r="AF4493" s="922">
        <f>IF(X4493=X4492,AF4492,0)+IF(ISNUMBER(I4493),IF(I4493&lt;1,I4493,I4493*VLOOKUP(J4493,Summary!$H$2:$I$9,2)),VLOOKUP(J4493,Summary!$J$2:$K$9,2)*IF(ISNUMBER(H4493),H4493,1))</f>
        <v>0.54206018518518495</v>
      </c>
      <c r="AG4493" s="295">
        <v>4492</v>
      </c>
      <c r="AH4493" s="94"/>
      <c r="AI4493" s="94"/>
    </row>
    <row r="4494" spans="1:36" s="29" customFormat="1" ht="12" customHeight="1" x14ac:dyDescent="0.25">
      <c r="A4494" s="603" t="s">
        <v>15670</v>
      </c>
      <c r="B4494" s="603">
        <v>10</v>
      </c>
      <c r="C4494" s="603">
        <v>103</v>
      </c>
      <c r="D4494" s="428" t="s">
        <v>6370</v>
      </c>
      <c r="E4494" s="325" t="s">
        <v>6824</v>
      </c>
      <c r="F4494" s="184">
        <v>40143</v>
      </c>
      <c r="G4494" s="184">
        <v>40149</v>
      </c>
      <c r="H4494" s="185">
        <v>1</v>
      </c>
      <c r="I4494" s="185">
        <v>4</v>
      </c>
      <c r="J4494" s="901" t="s">
        <v>1796</v>
      </c>
      <c r="K4494" s="158" t="s">
        <v>6353</v>
      </c>
      <c r="L4494" s="158" t="s">
        <v>3832</v>
      </c>
      <c r="M4494" s="158" t="s">
        <v>254</v>
      </c>
      <c r="N4494" s="158" t="s">
        <v>5317</v>
      </c>
      <c r="O4494" s="158"/>
      <c r="P4494" s="182" t="s">
        <v>461</v>
      </c>
      <c r="Q4494" s="158" t="s">
        <v>4929</v>
      </c>
      <c r="R4494" s="207" t="s">
        <v>4796</v>
      </c>
      <c r="S4494" s="355" t="s">
        <v>322</v>
      </c>
      <c r="T4494" s="182"/>
      <c r="U4494" s="182"/>
      <c r="V4494" s="182"/>
      <c r="W4494" s="325" t="s">
        <v>6824</v>
      </c>
      <c r="X4494" s="657" t="s">
        <v>12347</v>
      </c>
      <c r="Y4494" s="361"/>
      <c r="Z4494" s="362"/>
      <c r="AA4494" s="362"/>
      <c r="AB4494" s="33">
        <f t="shared" ca="1" si="114"/>
        <v>0.89448467656765285</v>
      </c>
      <c r="AC4494" s="813"/>
      <c r="AD4494" s="211"/>
      <c r="AE4494" s="949"/>
      <c r="AF4494" s="922">
        <f>IF(X4494=X4493,AF4493,0)+IF(ISNUMBER(I4494),IF(I4494&lt;1,I4494,I4494*VLOOKUP(J4494,Summary!$H$2:$I$9,2)),VLOOKUP(J4494,Summary!$J$2:$K$9,2)*IF(ISNUMBER(H4494),H4494,1))</f>
        <v>0.54344907407407383</v>
      </c>
      <c r="AG4494" s="295">
        <v>4493</v>
      </c>
      <c r="AH4494" s="94"/>
      <c r="AI4494" s="94"/>
    </row>
    <row r="4495" spans="1:36" s="22" customFormat="1" ht="12" customHeight="1" x14ac:dyDescent="0.2">
      <c r="A4495" s="603" t="s">
        <v>15670</v>
      </c>
      <c r="B4495" s="603">
        <v>10</v>
      </c>
      <c r="C4495" s="603">
        <v>104</v>
      </c>
      <c r="D4495" s="428" t="s">
        <v>6371</v>
      </c>
      <c r="E4495" s="325" t="s">
        <v>6825</v>
      </c>
      <c r="F4495" s="184">
        <v>40150</v>
      </c>
      <c r="G4495" s="184">
        <v>40156</v>
      </c>
      <c r="H4495" s="185">
        <v>1</v>
      </c>
      <c r="I4495" s="185">
        <v>4</v>
      </c>
      <c r="J4495" s="901" t="s">
        <v>1796</v>
      </c>
      <c r="K4495" s="158" t="s">
        <v>4147</v>
      </c>
      <c r="L4495" s="158" t="s">
        <v>3832</v>
      </c>
      <c r="M4495" s="158" t="s">
        <v>254</v>
      </c>
      <c r="N4495" s="158" t="s">
        <v>5317</v>
      </c>
      <c r="O4495" s="158"/>
      <c r="P4495" s="182" t="s">
        <v>461</v>
      </c>
      <c r="Q4495" s="158" t="s">
        <v>4929</v>
      </c>
      <c r="R4495" s="207" t="s">
        <v>4796</v>
      </c>
      <c r="S4495" s="355" t="s">
        <v>322</v>
      </c>
      <c r="T4495" s="182"/>
      <c r="U4495" s="182"/>
      <c r="V4495" s="182"/>
      <c r="W4495" s="325" t="s">
        <v>6825</v>
      </c>
      <c r="X4495" s="657" t="s">
        <v>12347</v>
      </c>
      <c r="Y4495" s="361"/>
      <c r="Z4495" s="362"/>
      <c r="AA4495" s="362"/>
      <c r="AB4495" s="33">
        <f t="shared" ca="1" si="114"/>
        <v>0.86820906935240749</v>
      </c>
      <c r="AC4495" s="813"/>
      <c r="AD4495" s="211"/>
      <c r="AE4495" s="949"/>
      <c r="AF4495" s="922">
        <f>IF(X4495=X4494,AF4494,0)+IF(ISNUMBER(I4495),IF(I4495&lt;1,I4495,I4495*VLOOKUP(J4495,Summary!$H$2:$I$9,2)),VLOOKUP(J4495,Summary!$J$2:$K$9,2)*IF(ISNUMBER(H4495),H4495,1))</f>
        <v>0.54483796296296272</v>
      </c>
      <c r="AG4495" s="295">
        <v>4494</v>
      </c>
      <c r="AH4495" s="94"/>
      <c r="AI4495" s="94"/>
    </row>
    <row r="4496" spans="1:36" s="22" customFormat="1" ht="12" customHeight="1" x14ac:dyDescent="0.2">
      <c r="A4496" s="603" t="s">
        <v>15670</v>
      </c>
      <c r="B4496" s="603">
        <v>10</v>
      </c>
      <c r="C4496" s="603">
        <v>105</v>
      </c>
      <c r="D4496" s="428" t="s">
        <v>6372</v>
      </c>
      <c r="E4496" s="325" t="s">
        <v>6826</v>
      </c>
      <c r="F4496" s="184">
        <v>40157</v>
      </c>
      <c r="G4496" s="184">
        <v>40163</v>
      </c>
      <c r="H4496" s="185">
        <v>1</v>
      </c>
      <c r="I4496" s="185">
        <v>4</v>
      </c>
      <c r="J4496" s="901" t="s">
        <v>1796</v>
      </c>
      <c r="K4496" s="158" t="s">
        <v>6353</v>
      </c>
      <c r="L4496" s="158" t="s">
        <v>3832</v>
      </c>
      <c r="M4496" s="158" t="s">
        <v>254</v>
      </c>
      <c r="N4496" s="158" t="s">
        <v>5317</v>
      </c>
      <c r="O4496" s="158"/>
      <c r="P4496" s="182" t="s">
        <v>461</v>
      </c>
      <c r="Q4496" s="158" t="s">
        <v>4929</v>
      </c>
      <c r="R4496" s="207" t="s">
        <v>4796</v>
      </c>
      <c r="S4496" s="355" t="s">
        <v>322</v>
      </c>
      <c r="T4496" s="182"/>
      <c r="U4496" s="182"/>
      <c r="V4496" s="182"/>
      <c r="W4496" s="325" t="s">
        <v>6826</v>
      </c>
      <c r="X4496" s="657" t="s">
        <v>12347</v>
      </c>
      <c r="Y4496" s="361"/>
      <c r="Z4496" s="362"/>
      <c r="AA4496" s="362"/>
      <c r="AB4496" s="33">
        <f t="shared" ca="1" si="114"/>
        <v>0.90014782789727954</v>
      </c>
      <c r="AC4496" s="813"/>
      <c r="AD4496" s="211"/>
      <c r="AE4496" s="949"/>
      <c r="AF4496" s="922">
        <f>IF(X4496=X4495,AF4495,0)+IF(ISNUMBER(I4496),IF(I4496&lt;1,I4496,I4496*VLOOKUP(J4496,Summary!$H$2:$I$9,2)),VLOOKUP(J4496,Summary!$J$2:$K$9,2)*IF(ISNUMBER(H4496),H4496,1))</f>
        <v>0.5462268518518516</v>
      </c>
      <c r="AG4496" s="295">
        <v>4495</v>
      </c>
      <c r="AH4496" s="94"/>
      <c r="AI4496" s="94"/>
    </row>
    <row r="4497" spans="1:36" s="22" customFormat="1" ht="12" customHeight="1" x14ac:dyDescent="0.2">
      <c r="A4497" s="603" t="s">
        <v>15670</v>
      </c>
      <c r="B4497" s="603">
        <v>10</v>
      </c>
      <c r="C4497" s="603">
        <v>106</v>
      </c>
      <c r="D4497" s="428" t="s">
        <v>462</v>
      </c>
      <c r="E4497" s="325" t="s">
        <v>329</v>
      </c>
      <c r="F4497" s="184">
        <v>40164</v>
      </c>
      <c r="G4497" s="184">
        <v>40541</v>
      </c>
      <c r="H4497" s="185">
        <v>1</v>
      </c>
      <c r="I4497" s="185">
        <v>4</v>
      </c>
      <c r="J4497" s="901" t="s">
        <v>1796</v>
      </c>
      <c r="K4497" s="158" t="s">
        <v>6353</v>
      </c>
      <c r="L4497" s="158" t="s">
        <v>3832</v>
      </c>
      <c r="M4497" s="158" t="s">
        <v>254</v>
      </c>
      <c r="N4497" s="158" t="s">
        <v>5317</v>
      </c>
      <c r="O4497" s="158"/>
      <c r="P4497" s="182" t="s">
        <v>461</v>
      </c>
      <c r="Q4497" s="158" t="s">
        <v>4929</v>
      </c>
      <c r="R4497" s="207" t="s">
        <v>4796</v>
      </c>
      <c r="S4497" s="355" t="s">
        <v>322</v>
      </c>
      <c r="T4497" s="182"/>
      <c r="U4497" s="182"/>
      <c r="V4497" s="182"/>
      <c r="W4497" s="325" t="s">
        <v>329</v>
      </c>
      <c r="X4497" s="657" t="s">
        <v>12347</v>
      </c>
      <c r="Y4497" s="361"/>
      <c r="Z4497" s="362"/>
      <c r="AA4497" s="362"/>
      <c r="AB4497" s="33">
        <f t="shared" ca="1" si="114"/>
        <v>0.67513964299050089</v>
      </c>
      <c r="AC4497" s="813"/>
      <c r="AD4497" s="211"/>
      <c r="AE4497" s="949"/>
      <c r="AF4497" s="922">
        <f>IF(X4497=X4496,AF4496,0)+IF(ISNUMBER(I4497),IF(I4497&lt;1,I4497,I4497*VLOOKUP(J4497,Summary!$H$2:$I$9,2)),VLOOKUP(J4497,Summary!$J$2:$K$9,2)*IF(ISNUMBER(H4497),H4497,1))</f>
        <v>0.54761574074074049</v>
      </c>
      <c r="AG4497" s="295">
        <v>4496</v>
      </c>
      <c r="AH4497" s="94"/>
      <c r="AI4497" s="94"/>
    </row>
    <row r="4498" spans="1:36" s="22" customFormat="1" ht="12" customHeight="1" x14ac:dyDescent="0.2">
      <c r="A4498" s="603" t="s">
        <v>15670</v>
      </c>
      <c r="B4498" s="603">
        <v>10</v>
      </c>
      <c r="C4498" s="603">
        <v>107</v>
      </c>
      <c r="D4498" s="428" t="s">
        <v>463</v>
      </c>
      <c r="E4498" s="325" t="s">
        <v>328</v>
      </c>
      <c r="F4498" s="184">
        <v>40177</v>
      </c>
      <c r="G4498" s="184">
        <v>40184</v>
      </c>
      <c r="H4498" s="185">
        <v>1</v>
      </c>
      <c r="I4498" s="185">
        <v>4</v>
      </c>
      <c r="J4498" s="901" t="s">
        <v>1796</v>
      </c>
      <c r="K4498" s="158" t="s">
        <v>4147</v>
      </c>
      <c r="L4498" s="158" t="s">
        <v>3832</v>
      </c>
      <c r="M4498" s="158" t="s">
        <v>254</v>
      </c>
      <c r="N4498" s="158" t="s">
        <v>5317</v>
      </c>
      <c r="O4498" s="158"/>
      <c r="P4498" s="182" t="s">
        <v>461</v>
      </c>
      <c r="Q4498" s="158" t="s">
        <v>4929</v>
      </c>
      <c r="R4498" s="207" t="s">
        <v>4796</v>
      </c>
      <c r="S4498" s="355" t="s">
        <v>322</v>
      </c>
      <c r="T4498" s="182"/>
      <c r="U4498" s="182"/>
      <c r="V4498" s="182"/>
      <c r="W4498" s="325" t="s">
        <v>328</v>
      </c>
      <c r="X4498" s="657" t="s">
        <v>12347</v>
      </c>
      <c r="Y4498" s="361"/>
      <c r="Z4498" s="362"/>
      <c r="AA4498" s="362"/>
      <c r="AB4498" s="33">
        <f t="shared" ca="1" si="114"/>
        <v>0.71973238311247267</v>
      </c>
      <c r="AC4498" s="813"/>
      <c r="AD4498" s="211"/>
      <c r="AE4498" s="949"/>
      <c r="AF4498" s="922">
        <f>IF(X4498=X4497,AF4497,0)+IF(ISNUMBER(I4498),IF(I4498&lt;1,I4498,I4498*VLOOKUP(J4498,Summary!$H$2:$I$9,2)),VLOOKUP(J4498,Summary!$J$2:$K$9,2)*IF(ISNUMBER(H4498),H4498,1))</f>
        <v>0.54900462962962937</v>
      </c>
      <c r="AG4498" s="295">
        <v>4497</v>
      </c>
      <c r="AH4498" s="94"/>
      <c r="AI4498" s="94"/>
    </row>
    <row r="4499" spans="1:36" s="22" customFormat="1" ht="12" customHeight="1" x14ac:dyDescent="0.2">
      <c r="A4499" s="603" t="s">
        <v>15670</v>
      </c>
      <c r="B4499" s="603">
        <v>10</v>
      </c>
      <c r="C4499" s="603">
        <v>108</v>
      </c>
      <c r="D4499" s="428" t="s">
        <v>464</v>
      </c>
      <c r="E4499" s="325" t="s">
        <v>327</v>
      </c>
      <c r="F4499" s="184">
        <v>40185</v>
      </c>
      <c r="G4499" s="184">
        <v>40191</v>
      </c>
      <c r="H4499" s="185">
        <v>1</v>
      </c>
      <c r="I4499" s="185">
        <v>4</v>
      </c>
      <c r="J4499" s="901" t="s">
        <v>1796</v>
      </c>
      <c r="K4499" s="158" t="s">
        <v>6353</v>
      </c>
      <c r="L4499" s="158" t="s">
        <v>3832</v>
      </c>
      <c r="M4499" s="158" t="s">
        <v>254</v>
      </c>
      <c r="N4499" s="158" t="s">
        <v>5317</v>
      </c>
      <c r="O4499" s="158"/>
      <c r="P4499" s="182" t="s">
        <v>461</v>
      </c>
      <c r="Q4499" s="158" t="s">
        <v>4929</v>
      </c>
      <c r="R4499" s="207" t="s">
        <v>4796</v>
      </c>
      <c r="S4499" s="355" t="s">
        <v>322</v>
      </c>
      <c r="T4499" s="182"/>
      <c r="U4499" s="182"/>
      <c r="V4499" s="182"/>
      <c r="W4499" s="325" t="s">
        <v>327</v>
      </c>
      <c r="X4499" s="657" t="s">
        <v>12347</v>
      </c>
      <c r="Y4499" s="361"/>
      <c r="Z4499" s="362"/>
      <c r="AA4499" s="362"/>
      <c r="AB4499" s="33">
        <f t="shared" ca="1" si="114"/>
        <v>0.40970455606048728</v>
      </c>
      <c r="AC4499" s="813"/>
      <c r="AD4499" s="211"/>
      <c r="AE4499" s="949"/>
      <c r="AF4499" s="922">
        <f>IF(X4499=X4498,AF4498,0)+IF(ISNUMBER(I4499),IF(I4499&lt;1,I4499,I4499*VLOOKUP(J4499,Summary!$H$2:$I$9,2)),VLOOKUP(J4499,Summary!$J$2:$K$9,2)*IF(ISNUMBER(H4499),H4499,1))</f>
        <v>0.55039351851851825</v>
      </c>
      <c r="AG4499" s="295">
        <v>4498</v>
      </c>
      <c r="AH4499" s="94"/>
      <c r="AI4499" s="94"/>
    </row>
    <row r="4500" spans="1:36" s="22" customFormat="1" ht="12" customHeight="1" x14ac:dyDescent="0.2">
      <c r="A4500" s="603" t="s">
        <v>15670</v>
      </c>
      <c r="B4500" s="603">
        <v>10</v>
      </c>
      <c r="C4500" s="603">
        <v>109</v>
      </c>
      <c r="D4500" s="428" t="s">
        <v>465</v>
      </c>
      <c r="E4500" s="325" t="s">
        <v>326</v>
      </c>
      <c r="F4500" s="184">
        <v>40192</v>
      </c>
      <c r="G4500" s="184">
        <v>40198</v>
      </c>
      <c r="H4500" s="185">
        <v>1</v>
      </c>
      <c r="I4500" s="185">
        <v>4</v>
      </c>
      <c r="J4500" s="901" t="s">
        <v>1796</v>
      </c>
      <c r="K4500" s="158" t="s">
        <v>4147</v>
      </c>
      <c r="L4500" s="158" t="s">
        <v>3832</v>
      </c>
      <c r="M4500" s="158" t="s">
        <v>254</v>
      </c>
      <c r="N4500" s="158" t="s">
        <v>5317</v>
      </c>
      <c r="O4500" s="158"/>
      <c r="P4500" s="182" t="s">
        <v>461</v>
      </c>
      <c r="Q4500" s="158" t="s">
        <v>4929</v>
      </c>
      <c r="R4500" s="207" t="s">
        <v>4796</v>
      </c>
      <c r="S4500" s="355" t="s">
        <v>322</v>
      </c>
      <c r="T4500" s="182"/>
      <c r="U4500" s="182"/>
      <c r="V4500" s="182"/>
      <c r="W4500" s="325" t="s">
        <v>326</v>
      </c>
      <c r="X4500" s="657" t="s">
        <v>12347</v>
      </c>
      <c r="Y4500" s="361"/>
      <c r="Z4500" s="362"/>
      <c r="AA4500" s="362"/>
      <c r="AB4500" s="33">
        <f t="shared" ca="1" si="114"/>
        <v>0.18378726820777358</v>
      </c>
      <c r="AC4500" s="813"/>
      <c r="AD4500" s="211"/>
      <c r="AE4500" s="949"/>
      <c r="AF4500" s="922">
        <f>IF(X4500=X4499,AF4499,0)+IF(ISNUMBER(I4500),IF(I4500&lt;1,I4500,I4500*VLOOKUP(J4500,Summary!$H$2:$I$9,2)),VLOOKUP(J4500,Summary!$J$2:$K$9,2)*IF(ISNUMBER(H4500),H4500,1))</f>
        <v>0.55178240740740714</v>
      </c>
      <c r="AG4500" s="295">
        <v>4499</v>
      </c>
      <c r="AH4500" s="94"/>
      <c r="AI4500" s="94"/>
    </row>
    <row r="4501" spans="1:36" s="22" customFormat="1" ht="12" customHeight="1" x14ac:dyDescent="0.2">
      <c r="A4501" s="603" t="s">
        <v>15670</v>
      </c>
      <c r="B4501" s="603">
        <v>10</v>
      </c>
      <c r="C4501" s="603">
        <v>110</v>
      </c>
      <c r="D4501" s="428" t="s">
        <v>466</v>
      </c>
      <c r="E4501" s="325" t="s">
        <v>325</v>
      </c>
      <c r="F4501" s="184">
        <v>40199</v>
      </c>
      <c r="G4501" s="184">
        <v>40205</v>
      </c>
      <c r="H4501" s="185">
        <v>1</v>
      </c>
      <c r="I4501" s="185">
        <v>4</v>
      </c>
      <c r="J4501" s="901" t="s">
        <v>1796</v>
      </c>
      <c r="K4501" s="158" t="s">
        <v>6353</v>
      </c>
      <c r="L4501" s="158" t="s">
        <v>3832</v>
      </c>
      <c r="M4501" s="158" t="s">
        <v>254</v>
      </c>
      <c r="N4501" s="158" t="s">
        <v>5317</v>
      </c>
      <c r="O4501" s="158"/>
      <c r="P4501" s="182" t="s">
        <v>461</v>
      </c>
      <c r="Q4501" s="158" t="s">
        <v>4929</v>
      </c>
      <c r="R4501" s="207" t="s">
        <v>4796</v>
      </c>
      <c r="S4501" s="355" t="s">
        <v>322</v>
      </c>
      <c r="T4501" s="182"/>
      <c r="U4501" s="182"/>
      <c r="V4501" s="182"/>
      <c r="W4501" s="325" t="s">
        <v>325</v>
      </c>
      <c r="X4501" s="657" t="s">
        <v>12347</v>
      </c>
      <c r="Y4501" s="361"/>
      <c r="Z4501" s="362"/>
      <c r="AA4501" s="362"/>
      <c r="AB4501" s="33">
        <f t="shared" ca="1" si="114"/>
        <v>0.90808684255100347</v>
      </c>
      <c r="AC4501" s="813"/>
      <c r="AD4501" s="211"/>
      <c r="AE4501" s="949"/>
      <c r="AF4501" s="922">
        <f>IF(X4501=X4500,AF4500,0)+IF(ISNUMBER(I4501),IF(I4501&lt;1,I4501,I4501*VLOOKUP(J4501,Summary!$H$2:$I$9,2)),VLOOKUP(J4501,Summary!$J$2:$K$9,2)*IF(ISNUMBER(H4501),H4501,1))</f>
        <v>0.55317129629629602</v>
      </c>
      <c r="AG4501" s="295">
        <v>4500</v>
      </c>
      <c r="AH4501" s="94"/>
      <c r="AI4501" s="94"/>
    </row>
    <row r="4502" spans="1:36" s="3" customFormat="1" ht="12" customHeight="1" x14ac:dyDescent="0.25">
      <c r="A4502" s="603" t="s">
        <v>15670</v>
      </c>
      <c r="B4502" s="603">
        <v>10</v>
      </c>
      <c r="C4502" s="603">
        <v>111</v>
      </c>
      <c r="D4502" s="428" t="s">
        <v>4663</v>
      </c>
      <c r="E4502" s="325" t="s">
        <v>324</v>
      </c>
      <c r="F4502" s="184">
        <v>40206</v>
      </c>
      <c r="G4502" s="184">
        <v>40212</v>
      </c>
      <c r="H4502" s="185">
        <v>1</v>
      </c>
      <c r="I4502" s="185">
        <v>4</v>
      </c>
      <c r="J4502" s="901" t="s">
        <v>1796</v>
      </c>
      <c r="K4502" s="158" t="s">
        <v>4147</v>
      </c>
      <c r="L4502" s="158" t="s">
        <v>3832</v>
      </c>
      <c r="M4502" s="158" t="s">
        <v>254</v>
      </c>
      <c r="N4502" s="158" t="s">
        <v>5317</v>
      </c>
      <c r="O4502" s="158"/>
      <c r="P4502" s="182" t="s">
        <v>461</v>
      </c>
      <c r="Q4502" s="158" t="s">
        <v>4929</v>
      </c>
      <c r="R4502" s="207" t="s">
        <v>4796</v>
      </c>
      <c r="S4502" s="355" t="s">
        <v>322</v>
      </c>
      <c r="T4502" s="182"/>
      <c r="U4502" s="182"/>
      <c r="V4502" s="182"/>
      <c r="W4502" s="325" t="s">
        <v>324</v>
      </c>
      <c r="X4502" s="657" t="s">
        <v>12347</v>
      </c>
      <c r="Y4502" s="361"/>
      <c r="Z4502" s="362"/>
      <c r="AA4502" s="362"/>
      <c r="AB4502" s="33">
        <f t="shared" ca="1" si="114"/>
        <v>0.87047318256252904</v>
      </c>
      <c r="AC4502" s="813"/>
      <c r="AD4502" s="211"/>
      <c r="AE4502" s="949"/>
      <c r="AF4502" s="922">
        <f>IF(X4502=X4501,AF4501,0)+IF(ISNUMBER(I4502),IF(I4502&lt;1,I4502,I4502*VLOOKUP(J4502,Summary!$H$2:$I$9,2)),VLOOKUP(J4502,Summary!$J$2:$K$9,2)*IF(ISNUMBER(H4502),H4502,1))</f>
        <v>0.55456018518518491</v>
      </c>
      <c r="AG4502" s="295">
        <v>4501</v>
      </c>
      <c r="AH4502" s="94"/>
      <c r="AI4502" s="94"/>
      <c r="AJ4502" s="1"/>
    </row>
    <row r="4503" spans="1:36" s="1" customFormat="1" ht="12" customHeight="1" x14ac:dyDescent="0.25">
      <c r="A4503" s="603" t="s">
        <v>15670</v>
      </c>
      <c r="B4503" s="603">
        <v>10</v>
      </c>
      <c r="C4503" s="603">
        <v>112</v>
      </c>
      <c r="D4503" s="428" t="s">
        <v>4664</v>
      </c>
      <c r="E4503" s="325" t="s">
        <v>323</v>
      </c>
      <c r="F4503" s="184">
        <v>40213</v>
      </c>
      <c r="G4503" s="184">
        <v>40219</v>
      </c>
      <c r="H4503" s="185">
        <v>1</v>
      </c>
      <c r="I4503" s="185">
        <v>4</v>
      </c>
      <c r="J4503" s="901" t="s">
        <v>1796</v>
      </c>
      <c r="K4503" s="158" t="s">
        <v>4147</v>
      </c>
      <c r="L4503" s="158" t="s">
        <v>3832</v>
      </c>
      <c r="M4503" s="158" t="s">
        <v>254</v>
      </c>
      <c r="N4503" s="158" t="s">
        <v>5317</v>
      </c>
      <c r="O4503" s="158"/>
      <c r="P4503" s="182" t="s">
        <v>461</v>
      </c>
      <c r="Q4503" s="158" t="s">
        <v>4929</v>
      </c>
      <c r="R4503" s="207" t="s">
        <v>4796</v>
      </c>
      <c r="S4503" s="355" t="s">
        <v>322</v>
      </c>
      <c r="T4503" s="182"/>
      <c r="U4503" s="182"/>
      <c r="V4503" s="182"/>
      <c r="W4503" s="325" t="s">
        <v>323</v>
      </c>
      <c r="X4503" s="657" t="s">
        <v>12347</v>
      </c>
      <c r="Y4503" s="361"/>
      <c r="Z4503" s="362"/>
      <c r="AA4503" s="362"/>
      <c r="AB4503" s="33">
        <f t="shared" ca="1" si="114"/>
        <v>0.95561764316307007</v>
      </c>
      <c r="AC4503" s="813"/>
      <c r="AD4503" s="211"/>
      <c r="AE4503" s="949"/>
      <c r="AF4503" s="922">
        <f>IF(X4503=X4502,AF4502,0)+IF(ISNUMBER(I4503),IF(I4503&lt;1,I4503,I4503*VLOOKUP(J4503,Summary!$H$2:$I$9,2)),VLOOKUP(J4503,Summary!$J$2:$K$9,2)*IF(ISNUMBER(H4503),H4503,1))</f>
        <v>0.55594907407407379</v>
      </c>
      <c r="AG4503" s="295">
        <v>4502</v>
      </c>
      <c r="AH4503" s="94"/>
      <c r="AI4503" s="94"/>
    </row>
    <row r="4504" spans="1:36" s="3" customFormat="1" ht="12" customHeight="1" x14ac:dyDescent="0.25">
      <c r="A4504" s="600" t="s">
        <v>15670</v>
      </c>
      <c r="B4504" s="600">
        <v>10</v>
      </c>
      <c r="C4504" s="600">
        <v>5</v>
      </c>
      <c r="D4504" s="176" t="s">
        <v>3112</v>
      </c>
      <c r="E4504" s="313" t="s">
        <v>3119</v>
      </c>
      <c r="F4504" s="175">
        <v>40153</v>
      </c>
      <c r="G4504" s="175">
        <v>40157</v>
      </c>
      <c r="H4504" s="176">
        <v>2</v>
      </c>
      <c r="I4504" s="176">
        <v>13</v>
      </c>
      <c r="J4504" s="900" t="s">
        <v>2755</v>
      </c>
      <c r="K4504" s="164" t="s">
        <v>3118</v>
      </c>
      <c r="L4504" s="164"/>
      <c r="M4504" s="164"/>
      <c r="N4504" s="164"/>
      <c r="O4504" s="164"/>
      <c r="P4504" s="173" t="s">
        <v>461</v>
      </c>
      <c r="Q4504" s="164" t="s">
        <v>3946</v>
      </c>
      <c r="R4504" s="177" t="s">
        <v>7896</v>
      </c>
      <c r="S4504" s="354"/>
      <c r="T4504" s="173"/>
      <c r="U4504" s="173"/>
      <c r="V4504" s="173"/>
      <c r="W4504" s="313"/>
      <c r="X4504" s="645" t="s">
        <v>12347</v>
      </c>
      <c r="Y4504" s="354" t="s">
        <v>6000</v>
      </c>
      <c r="Z4504" s="176"/>
      <c r="AA4504" s="176"/>
      <c r="AB4504" s="32">
        <f t="shared" ca="1" si="114"/>
        <v>0.28990656336405196</v>
      </c>
      <c r="AC4504" s="812"/>
      <c r="AD4504" s="763"/>
      <c r="AE4504" s="807"/>
      <c r="AF4504" s="921">
        <f>IF(X4504=X4503,AF4503,0)+IF(ISNUMBER(I4504),IF(I4504&lt;1,I4504,I4504*VLOOKUP(J4504,Summary!$H$2:$I$9,2)),VLOOKUP(J4504,Summary!$J$2:$K$9,2)*IF(ISNUMBER(H4504),H4504,1))</f>
        <v>0.56497685185185154</v>
      </c>
      <c r="AG4504" s="289">
        <v>4503</v>
      </c>
      <c r="AH4504" s="94"/>
      <c r="AI4504" s="94"/>
    </row>
    <row r="4505" spans="1:36" s="1" customFormat="1" ht="12" customHeight="1" x14ac:dyDescent="0.25">
      <c r="A4505" s="603" t="s">
        <v>15670</v>
      </c>
      <c r="B4505" s="603">
        <v>10</v>
      </c>
      <c r="C4505" s="603">
        <v>113</v>
      </c>
      <c r="D4505" s="428" t="s">
        <v>4665</v>
      </c>
      <c r="E4505" s="325" t="s">
        <v>332</v>
      </c>
      <c r="F4505" s="184">
        <v>40220</v>
      </c>
      <c r="G4505" s="184">
        <v>40226</v>
      </c>
      <c r="H4505" s="185">
        <v>1</v>
      </c>
      <c r="I4505" s="185">
        <v>4</v>
      </c>
      <c r="J4505" s="901" t="s">
        <v>1796</v>
      </c>
      <c r="K4505" s="158" t="s">
        <v>1641</v>
      </c>
      <c r="L4505" s="158" t="s">
        <v>3832</v>
      </c>
      <c r="M4505" s="158" t="s">
        <v>254</v>
      </c>
      <c r="N4505" s="158" t="s">
        <v>5317</v>
      </c>
      <c r="O4505" s="158"/>
      <c r="P4505" s="182" t="s">
        <v>461</v>
      </c>
      <c r="Q4505" s="158" t="s">
        <v>4929</v>
      </c>
      <c r="R4505" s="207" t="s">
        <v>4796</v>
      </c>
      <c r="S4505" s="355"/>
      <c r="T4505" s="182"/>
      <c r="U4505" s="182"/>
      <c r="V4505" s="182"/>
      <c r="W4505" s="325" t="s">
        <v>332</v>
      </c>
      <c r="X4505" s="657" t="s">
        <v>12347</v>
      </c>
      <c r="Y4505" s="361"/>
      <c r="Z4505" s="362"/>
      <c r="AA4505" s="362"/>
      <c r="AB4505" s="33">
        <f t="shared" ca="1" si="114"/>
        <v>0.49367250947482211</v>
      </c>
      <c r="AC4505" s="813"/>
      <c r="AD4505" s="211"/>
      <c r="AE4505" s="949"/>
      <c r="AF4505" s="922">
        <f>IF(X4505=X4504,AF4504,0)+IF(ISNUMBER(I4505),IF(I4505&lt;1,I4505,I4505*VLOOKUP(J4505,Summary!$H$2:$I$9,2)),VLOOKUP(J4505,Summary!$J$2:$K$9,2)*IF(ISNUMBER(H4505),H4505,1))</f>
        <v>0.56636574074074042</v>
      </c>
      <c r="AG4505" s="295">
        <v>4504</v>
      </c>
      <c r="AH4505" s="94"/>
      <c r="AI4505" s="94"/>
    </row>
    <row r="4506" spans="1:36" s="3" customFormat="1" ht="12" customHeight="1" x14ac:dyDescent="0.25">
      <c r="A4506" s="603" t="s">
        <v>15670</v>
      </c>
      <c r="B4506" s="603">
        <v>10</v>
      </c>
      <c r="C4506" s="603">
        <v>114</v>
      </c>
      <c r="D4506" s="428" t="s">
        <v>4666</v>
      </c>
      <c r="E4506" s="325" t="s">
        <v>7574</v>
      </c>
      <c r="F4506" s="184">
        <v>40227</v>
      </c>
      <c r="G4506" s="184">
        <v>40233</v>
      </c>
      <c r="H4506" s="185">
        <v>1</v>
      </c>
      <c r="I4506" s="185">
        <v>4</v>
      </c>
      <c r="J4506" s="901" t="s">
        <v>1796</v>
      </c>
      <c r="K4506" s="158" t="s">
        <v>4032</v>
      </c>
      <c r="L4506" s="158" t="s">
        <v>3832</v>
      </c>
      <c r="M4506" s="158" t="s">
        <v>254</v>
      </c>
      <c r="N4506" s="158" t="s">
        <v>5317</v>
      </c>
      <c r="O4506" s="158"/>
      <c r="P4506" s="182" t="s">
        <v>461</v>
      </c>
      <c r="Q4506" s="158" t="s">
        <v>4929</v>
      </c>
      <c r="R4506" s="207" t="s">
        <v>4796</v>
      </c>
      <c r="S4506" s="355"/>
      <c r="T4506" s="182"/>
      <c r="U4506" s="182"/>
      <c r="V4506" s="182"/>
      <c r="W4506" s="325" t="s">
        <v>7574</v>
      </c>
      <c r="X4506" s="657" t="s">
        <v>12347</v>
      </c>
      <c r="Y4506" s="361"/>
      <c r="Z4506" s="362"/>
      <c r="AA4506" s="362"/>
      <c r="AB4506" s="33">
        <f t="shared" ca="1" si="114"/>
        <v>0.26900207869687898</v>
      </c>
      <c r="AC4506" s="813"/>
      <c r="AD4506" s="211"/>
      <c r="AE4506" s="949"/>
      <c r="AF4506" s="922">
        <f>IF(X4506=X4505,AF4505,0)+IF(ISNUMBER(I4506),IF(I4506&lt;1,I4506,I4506*VLOOKUP(J4506,Summary!$H$2:$I$9,2)),VLOOKUP(J4506,Summary!$J$2:$K$9,2)*IF(ISNUMBER(H4506),H4506,1))</f>
        <v>0.5677546296296293</v>
      </c>
      <c r="AG4506" s="295">
        <v>4505</v>
      </c>
      <c r="AH4506" s="94"/>
      <c r="AI4506" s="94"/>
    </row>
    <row r="4507" spans="1:36" s="3" customFormat="1" ht="12" customHeight="1" x14ac:dyDescent="0.25">
      <c r="A4507" s="603" t="s">
        <v>15670</v>
      </c>
      <c r="B4507" s="603">
        <v>10</v>
      </c>
      <c r="C4507" s="603">
        <v>115</v>
      </c>
      <c r="D4507" s="428" t="s">
        <v>4667</v>
      </c>
      <c r="E4507" s="325" t="s">
        <v>7575</v>
      </c>
      <c r="F4507" s="184">
        <v>40234</v>
      </c>
      <c r="G4507" s="184">
        <v>40240</v>
      </c>
      <c r="H4507" s="185">
        <v>1</v>
      </c>
      <c r="I4507" s="185">
        <v>4</v>
      </c>
      <c r="J4507" s="901" t="s">
        <v>1796</v>
      </c>
      <c r="K4507" s="158" t="s">
        <v>2479</v>
      </c>
      <c r="L4507" s="158" t="s">
        <v>3832</v>
      </c>
      <c r="M4507" s="158" t="s">
        <v>254</v>
      </c>
      <c r="N4507" s="158" t="s">
        <v>5317</v>
      </c>
      <c r="O4507" s="158"/>
      <c r="P4507" s="182" t="s">
        <v>461</v>
      </c>
      <c r="Q4507" s="158" t="s">
        <v>4929</v>
      </c>
      <c r="R4507" s="207" t="s">
        <v>4796</v>
      </c>
      <c r="S4507" s="355"/>
      <c r="T4507" s="182"/>
      <c r="U4507" s="182"/>
      <c r="V4507" s="182"/>
      <c r="W4507" s="325" t="s">
        <v>7575</v>
      </c>
      <c r="X4507" s="657" t="s">
        <v>12347</v>
      </c>
      <c r="Y4507" s="361"/>
      <c r="Z4507" s="362"/>
      <c r="AA4507" s="362"/>
      <c r="AB4507" s="33">
        <f t="shared" ca="1" si="114"/>
        <v>0.27912701982860566</v>
      </c>
      <c r="AC4507" s="813"/>
      <c r="AD4507" s="211"/>
      <c r="AE4507" s="949"/>
      <c r="AF4507" s="922">
        <f>IF(X4507=X4506,AF4506,0)+IF(ISNUMBER(I4507),IF(I4507&lt;1,I4507,I4507*VLOOKUP(J4507,Summary!$H$2:$I$9,2)),VLOOKUP(J4507,Summary!$J$2:$K$9,2)*IF(ISNUMBER(H4507),H4507,1))</f>
        <v>0.56914351851851819</v>
      </c>
      <c r="AG4507" s="295">
        <v>4506</v>
      </c>
      <c r="AH4507" s="94"/>
      <c r="AI4507" s="94"/>
      <c r="AJ4507" s="1"/>
    </row>
    <row r="4508" spans="1:36" s="44" customFormat="1" ht="12" customHeight="1" x14ac:dyDescent="0.25">
      <c r="A4508" s="604" t="s">
        <v>15670</v>
      </c>
      <c r="B4508" s="604">
        <v>10</v>
      </c>
      <c r="C4508" s="604">
        <v>5</v>
      </c>
      <c r="D4508" s="417" t="s">
        <v>7720</v>
      </c>
      <c r="E4508" s="316" t="s">
        <v>1637</v>
      </c>
      <c r="F4508" s="195">
        <v>40185</v>
      </c>
      <c r="G4508" s="195"/>
      <c r="H4508" s="188" t="str">
        <f>IF(J4508="Book","n/a","")</f>
        <v>n/a</v>
      </c>
      <c r="I4508" s="188">
        <v>100</v>
      </c>
      <c r="J4508" s="902" t="s">
        <v>6868</v>
      </c>
      <c r="K4508" s="162" t="s">
        <v>543</v>
      </c>
      <c r="L4508" s="162" t="s">
        <v>461</v>
      </c>
      <c r="M4508" s="162"/>
      <c r="N4508" s="162"/>
      <c r="O4508" s="162"/>
      <c r="P4508" s="178" t="s">
        <v>8629</v>
      </c>
      <c r="Q4508" s="162" t="s">
        <v>3953</v>
      </c>
      <c r="R4508" s="189" t="s">
        <v>2712</v>
      </c>
      <c r="S4508" s="366"/>
      <c r="T4508" s="178"/>
      <c r="U4508" s="178"/>
      <c r="V4508" s="178"/>
      <c r="W4508" s="316" t="s">
        <v>1637</v>
      </c>
      <c r="X4508" s="648" t="s">
        <v>12347</v>
      </c>
      <c r="Y4508" s="356"/>
      <c r="Z4508" s="272">
        <v>218</v>
      </c>
      <c r="AA4508" s="272">
        <v>3</v>
      </c>
      <c r="AB4508" s="34">
        <f t="shared" ca="1" si="114"/>
        <v>0.83375156114676474</v>
      </c>
      <c r="AC4508" s="814"/>
      <c r="AD4508" s="815" t="s">
        <v>15875</v>
      </c>
      <c r="AE4508" s="942"/>
      <c r="AF4508" s="923">
        <f>IF(X4508=X4507,AF4507,0)+IF(ISNUMBER(I4508),IF(I4508&lt;1,I4508,I4508*VLOOKUP(J4508,Summary!$H$2:$I$9,2)),VLOOKUP(J4508,Summary!$J$2:$K$9,2)*IF(ISNUMBER(H4508),H4508,1))</f>
        <v>0.63858796296296261</v>
      </c>
      <c r="AG4508" s="291">
        <v>4507</v>
      </c>
      <c r="AH4508" s="94"/>
      <c r="AI4508" s="94"/>
      <c r="AJ4508" s="7"/>
    </row>
    <row r="4509" spans="1:36" s="43" customFormat="1" ht="12" customHeight="1" x14ac:dyDescent="0.25">
      <c r="A4509" s="603" t="s">
        <v>15670</v>
      </c>
      <c r="B4509" s="603">
        <v>10</v>
      </c>
      <c r="C4509" s="603">
        <v>116</v>
      </c>
      <c r="D4509" s="428" t="s">
        <v>4668</v>
      </c>
      <c r="E4509" s="325" t="s">
        <v>7576</v>
      </c>
      <c r="F4509" s="184">
        <v>40241</v>
      </c>
      <c r="G4509" s="184">
        <v>40247</v>
      </c>
      <c r="H4509" s="185">
        <v>1</v>
      </c>
      <c r="I4509" s="185">
        <v>4</v>
      </c>
      <c r="J4509" s="901" t="s">
        <v>1796</v>
      </c>
      <c r="K4509" s="158" t="s">
        <v>4147</v>
      </c>
      <c r="L4509" s="158" t="s">
        <v>3832</v>
      </c>
      <c r="M4509" s="158" t="s">
        <v>254</v>
      </c>
      <c r="N4509" s="158" t="s">
        <v>5317</v>
      </c>
      <c r="O4509" s="158"/>
      <c r="P4509" s="182" t="s">
        <v>461</v>
      </c>
      <c r="Q4509" s="158" t="s">
        <v>4929</v>
      </c>
      <c r="R4509" s="207" t="s">
        <v>4796</v>
      </c>
      <c r="S4509" s="355"/>
      <c r="T4509" s="182"/>
      <c r="U4509" s="182"/>
      <c r="V4509" s="182"/>
      <c r="W4509" s="325" t="s">
        <v>7576</v>
      </c>
      <c r="X4509" s="657" t="s">
        <v>12347</v>
      </c>
      <c r="Y4509" s="361"/>
      <c r="Z4509" s="362"/>
      <c r="AA4509" s="362"/>
      <c r="AB4509" s="33">
        <f t="shared" ca="1" si="114"/>
        <v>0.94800358999569767</v>
      </c>
      <c r="AC4509" s="813"/>
      <c r="AD4509" s="211"/>
      <c r="AE4509" s="949"/>
      <c r="AF4509" s="922">
        <f>IF(X4509=X4508,AF4508,0)+IF(ISNUMBER(I4509),IF(I4509&lt;1,I4509,I4509*VLOOKUP(J4509,Summary!$H$2:$I$9,2)),VLOOKUP(J4509,Summary!$J$2:$K$9,2)*IF(ISNUMBER(H4509),H4509,1))</f>
        <v>0.63997685185185149</v>
      </c>
      <c r="AG4509" s="295">
        <v>4508</v>
      </c>
      <c r="AH4509" s="94"/>
      <c r="AI4509" s="94"/>
      <c r="AJ4509" s="1"/>
    </row>
    <row r="4510" spans="1:36" s="3" customFormat="1" ht="12" customHeight="1" x14ac:dyDescent="0.25">
      <c r="A4510" s="603" t="s">
        <v>15670</v>
      </c>
      <c r="B4510" s="603">
        <v>10</v>
      </c>
      <c r="C4510" s="603">
        <v>117</v>
      </c>
      <c r="D4510" s="428" t="s">
        <v>4669</v>
      </c>
      <c r="E4510" s="325" t="s">
        <v>1262</v>
      </c>
      <c r="F4510" s="184">
        <v>40248</v>
      </c>
      <c r="G4510" s="184">
        <v>40254</v>
      </c>
      <c r="H4510" s="185">
        <v>1</v>
      </c>
      <c r="I4510" s="185">
        <v>4</v>
      </c>
      <c r="J4510" s="901" t="s">
        <v>1796</v>
      </c>
      <c r="K4510" s="158" t="s">
        <v>4147</v>
      </c>
      <c r="L4510" s="158" t="s">
        <v>3832</v>
      </c>
      <c r="M4510" s="158" t="s">
        <v>254</v>
      </c>
      <c r="N4510" s="158" t="s">
        <v>5317</v>
      </c>
      <c r="O4510" s="158"/>
      <c r="P4510" s="182" t="s">
        <v>461</v>
      </c>
      <c r="Q4510" s="158" t="s">
        <v>4929</v>
      </c>
      <c r="R4510" s="207" t="s">
        <v>4796</v>
      </c>
      <c r="S4510" s="355"/>
      <c r="T4510" s="182"/>
      <c r="U4510" s="182"/>
      <c r="V4510" s="182"/>
      <c r="W4510" s="325" t="s">
        <v>1262</v>
      </c>
      <c r="X4510" s="657" t="s">
        <v>12347</v>
      </c>
      <c r="Y4510" s="361"/>
      <c r="Z4510" s="362"/>
      <c r="AA4510" s="362"/>
      <c r="AB4510" s="33">
        <f t="shared" ca="1" si="114"/>
        <v>0.62197715992890545</v>
      </c>
      <c r="AC4510" s="813"/>
      <c r="AD4510" s="211"/>
      <c r="AE4510" s="949"/>
      <c r="AF4510" s="922">
        <f>IF(X4510=X4509,AF4509,0)+IF(ISNUMBER(I4510),IF(I4510&lt;1,I4510,I4510*VLOOKUP(J4510,Summary!$H$2:$I$9,2)),VLOOKUP(J4510,Summary!$J$2:$K$9,2)*IF(ISNUMBER(H4510),H4510,1))</f>
        <v>0.64136574074074038</v>
      </c>
      <c r="AG4510" s="295">
        <v>4509</v>
      </c>
      <c r="AH4510" s="94"/>
      <c r="AI4510" s="94"/>
    </row>
    <row r="4511" spans="1:36" s="3" customFormat="1" ht="12" customHeight="1" x14ac:dyDescent="0.25">
      <c r="A4511" s="603" t="s">
        <v>15670</v>
      </c>
      <c r="B4511" s="603">
        <v>10</v>
      </c>
      <c r="C4511" s="603">
        <v>118</v>
      </c>
      <c r="D4511" s="428" t="s">
        <v>4670</v>
      </c>
      <c r="E4511" s="325" t="s">
        <v>2901</v>
      </c>
      <c r="F4511" s="184">
        <v>40255</v>
      </c>
      <c r="G4511" s="184">
        <v>40261</v>
      </c>
      <c r="H4511" s="185">
        <v>1</v>
      </c>
      <c r="I4511" s="185">
        <v>4</v>
      </c>
      <c r="J4511" s="901" t="s">
        <v>1796</v>
      </c>
      <c r="K4511" s="158" t="s">
        <v>1641</v>
      </c>
      <c r="L4511" s="158" t="s">
        <v>3832</v>
      </c>
      <c r="M4511" s="158" t="s">
        <v>254</v>
      </c>
      <c r="N4511" s="158" t="s">
        <v>5317</v>
      </c>
      <c r="O4511" s="158"/>
      <c r="P4511" s="182" t="s">
        <v>461</v>
      </c>
      <c r="Q4511" s="158" t="s">
        <v>4929</v>
      </c>
      <c r="R4511" s="207" t="s">
        <v>4796</v>
      </c>
      <c r="S4511" s="355"/>
      <c r="T4511" s="182"/>
      <c r="U4511" s="182"/>
      <c r="V4511" s="182"/>
      <c r="W4511" s="325" t="s">
        <v>2901</v>
      </c>
      <c r="X4511" s="657" t="s">
        <v>12347</v>
      </c>
      <c r="Y4511" s="361"/>
      <c r="Z4511" s="362"/>
      <c r="AA4511" s="362"/>
      <c r="AB4511" s="33">
        <f t="shared" ca="1" si="114"/>
        <v>0.93662768015211484</v>
      </c>
      <c r="AC4511" s="813"/>
      <c r="AD4511" s="211" t="s">
        <v>15115</v>
      </c>
      <c r="AE4511" s="949"/>
      <c r="AF4511" s="922">
        <f>IF(X4511=X4510,AF4510,0)+IF(ISNUMBER(I4511),IF(I4511&lt;1,I4511,I4511*VLOOKUP(J4511,Summary!$H$2:$I$9,2)),VLOOKUP(J4511,Summary!$J$2:$K$9,2)*IF(ISNUMBER(H4511),H4511,1))</f>
        <v>0.64275462962962926</v>
      </c>
      <c r="AG4511" s="295">
        <v>4510</v>
      </c>
      <c r="AH4511" s="94"/>
      <c r="AI4511" s="94"/>
    </row>
    <row r="4512" spans="1:36" s="2" customFormat="1" ht="12" customHeight="1" x14ac:dyDescent="0.25">
      <c r="A4512" s="603" t="s">
        <v>15670</v>
      </c>
      <c r="B4512" s="603">
        <v>10</v>
      </c>
      <c r="C4512" s="603">
        <v>14.3</v>
      </c>
      <c r="D4512" s="428" t="s">
        <v>316</v>
      </c>
      <c r="E4512" s="325" t="s">
        <v>319</v>
      </c>
      <c r="F4512" s="183">
        <v>40057</v>
      </c>
      <c r="G4512" s="183"/>
      <c r="H4512" s="185">
        <v>1</v>
      </c>
      <c r="I4512" s="185">
        <v>11</v>
      </c>
      <c r="J4512" s="901" t="s">
        <v>1796</v>
      </c>
      <c r="K4512" s="158" t="s">
        <v>2153</v>
      </c>
      <c r="L4512" s="158" t="s">
        <v>2153</v>
      </c>
      <c r="M4512" s="158"/>
      <c r="N4512" s="158" t="s">
        <v>6573</v>
      </c>
      <c r="O4512" s="158"/>
      <c r="P4512" s="182" t="s">
        <v>461</v>
      </c>
      <c r="Q4512" s="158" t="s">
        <v>5719</v>
      </c>
      <c r="R4512" s="207" t="s">
        <v>5718</v>
      </c>
      <c r="S4512" s="355"/>
      <c r="T4512" s="182" t="s">
        <v>2333</v>
      </c>
      <c r="U4512" s="182"/>
      <c r="V4512" s="182"/>
      <c r="W4512" s="325" t="s">
        <v>319</v>
      </c>
      <c r="X4512" s="657" t="s">
        <v>12347</v>
      </c>
      <c r="Y4512" s="355" t="s">
        <v>6000</v>
      </c>
      <c r="Z4512" s="362">
        <v>999</v>
      </c>
      <c r="AA4512" s="362"/>
      <c r="AB4512" s="33">
        <f t="shared" ca="1" si="114"/>
        <v>0.15538948820896448</v>
      </c>
      <c r="AC4512" s="813"/>
      <c r="AD4512" s="211"/>
      <c r="AE4512" s="949"/>
      <c r="AF4512" s="922">
        <f>IF(X4512=X4511,AF4511,0)+IF(ISNUMBER(I4512),IF(I4512&lt;1,I4512,I4512*VLOOKUP(J4512,Summary!$H$2:$I$9,2)),VLOOKUP(J4512,Summary!$J$2:$K$9,2)*IF(ISNUMBER(H4512),H4512,1))</f>
        <v>0.64657407407407375</v>
      </c>
      <c r="AG4512" s="295">
        <v>4511</v>
      </c>
      <c r="AH4512" s="94"/>
      <c r="AI4512" s="94"/>
      <c r="AJ4512" s="3"/>
    </row>
    <row r="4513" spans="1:36" s="7" customFormat="1" ht="12" customHeight="1" x14ac:dyDescent="0.25">
      <c r="A4513" s="609" t="s">
        <v>15670</v>
      </c>
      <c r="B4513" s="609" t="s">
        <v>2650</v>
      </c>
      <c r="C4513" s="609"/>
      <c r="D4513" s="509" t="s">
        <v>3112</v>
      </c>
      <c r="E4513" s="335" t="s">
        <v>817</v>
      </c>
      <c r="F4513" s="223">
        <v>40171</v>
      </c>
      <c r="G4513" s="223"/>
      <c r="H4513" s="242">
        <v>1</v>
      </c>
      <c r="I4513" s="792">
        <f>TIME(0,3,21)</f>
        <v>2.3263888888888887E-3</v>
      </c>
      <c r="J4513" s="909" t="s">
        <v>1588</v>
      </c>
      <c r="K4513" s="243" t="s">
        <v>3365</v>
      </c>
      <c r="L4513" s="243" t="s">
        <v>3365</v>
      </c>
      <c r="M4513" s="243"/>
      <c r="N4513" s="243"/>
      <c r="O4513" s="243"/>
      <c r="P4513" s="241" t="s">
        <v>461</v>
      </c>
      <c r="Q4513" s="243" t="s">
        <v>3946</v>
      </c>
      <c r="R4513" s="244" t="s">
        <v>7896</v>
      </c>
      <c r="S4513" s="395"/>
      <c r="T4513" s="241"/>
      <c r="U4513" s="241"/>
      <c r="V4513" s="241"/>
      <c r="W4513" s="335" t="s">
        <v>817</v>
      </c>
      <c r="X4513" s="667" t="s">
        <v>12347</v>
      </c>
      <c r="Y4513" s="375"/>
      <c r="Z4513" s="377"/>
      <c r="AA4513" s="377"/>
      <c r="AB4513" s="55">
        <f t="shared" ca="1" si="114"/>
        <v>0.12718280129417481</v>
      </c>
      <c r="AC4513" s="834"/>
      <c r="AD4513" s="835"/>
      <c r="AE4513" s="957"/>
      <c r="AF4513" s="930">
        <f>IF(X4513=X4512,AF4512,0)+IF(ISNUMBER(I4513),IF(I4513&lt;1,I4513,I4513*VLOOKUP(J4513,Summary!$H$2:$I$9,2)),VLOOKUP(J4513,Summary!$J$2:$K$9,2)*IF(ISNUMBER(H4513),H4513,1))</f>
        <v>0.64890046296296267</v>
      </c>
      <c r="AG4513" s="302">
        <v>4512</v>
      </c>
      <c r="AH4513" s="94"/>
      <c r="AI4513" s="94"/>
      <c r="AJ4513" s="44"/>
    </row>
    <row r="4514" spans="1:36" s="1" customFormat="1" ht="12" customHeight="1" x14ac:dyDescent="0.25">
      <c r="A4514" s="605" t="s">
        <v>15670</v>
      </c>
      <c r="B4514" s="605">
        <v>10</v>
      </c>
      <c r="C4514" s="605">
        <v>7</v>
      </c>
      <c r="D4514" s="407" t="s">
        <v>1638</v>
      </c>
      <c r="E4514" s="315" t="s">
        <v>12544</v>
      </c>
      <c r="F4514" s="196">
        <v>40241</v>
      </c>
      <c r="G4514" s="196"/>
      <c r="H4514" s="170">
        <v>1</v>
      </c>
      <c r="I4514" s="747">
        <f>TIME(0,60,0)</f>
        <v>4.1666666666666664E-2</v>
      </c>
      <c r="J4514" s="899" t="s">
        <v>4706</v>
      </c>
      <c r="K4514" s="167" t="s">
        <v>1643</v>
      </c>
      <c r="L4514" s="167"/>
      <c r="M4514" s="167" t="s">
        <v>12545</v>
      </c>
      <c r="N4514" s="167"/>
      <c r="O4514" s="167"/>
      <c r="P4514" s="168" t="s">
        <v>12546</v>
      </c>
      <c r="Q4514" s="167" t="s">
        <v>3950</v>
      </c>
      <c r="R4514" s="172" t="s">
        <v>2240</v>
      </c>
      <c r="S4514" s="388"/>
      <c r="T4514" s="168"/>
      <c r="U4514" s="168"/>
      <c r="V4514" s="168"/>
      <c r="W4514" s="315" t="s">
        <v>12544</v>
      </c>
      <c r="X4514" s="647" t="s">
        <v>12347</v>
      </c>
      <c r="Y4514" s="352"/>
      <c r="Z4514" s="353"/>
      <c r="AA4514" s="353"/>
      <c r="AB4514" s="31">
        <f t="shared" ca="1" si="114"/>
        <v>7.9372494943600991E-2</v>
      </c>
      <c r="AC4514" s="810"/>
      <c r="AD4514" s="811" t="s">
        <v>15865</v>
      </c>
      <c r="AE4514" s="940"/>
      <c r="AF4514" s="920">
        <f>IF(X4514=X4513,AF4513,0)+IF(ISNUMBER(I4514),IF(I4514&lt;1,I4514,I4514*VLOOKUP(J4514,Summary!$H$2:$I$9,2)),VLOOKUP(J4514,Summary!$J$2:$K$9,2)*IF(ISNUMBER(H4514),H4514,1))</f>
        <v>0.69056712962962929</v>
      </c>
      <c r="AG4514" s="287">
        <v>4513</v>
      </c>
      <c r="AH4514" s="94"/>
      <c r="AI4514" s="94"/>
      <c r="AJ4514" s="43"/>
    </row>
    <row r="4515" spans="1:36" s="1" customFormat="1" ht="12" customHeight="1" x14ac:dyDescent="0.25">
      <c r="A4515" s="605" t="s">
        <v>15670</v>
      </c>
      <c r="B4515" s="605">
        <v>10</v>
      </c>
      <c r="C4515" s="605">
        <v>1.4</v>
      </c>
      <c r="D4515" s="407" t="s">
        <v>14318</v>
      </c>
      <c r="E4515" s="315" t="s">
        <v>14319</v>
      </c>
      <c r="F4515" s="196">
        <v>43208</v>
      </c>
      <c r="G4515" s="170"/>
      <c r="H4515" s="170">
        <v>1</v>
      </c>
      <c r="I4515" s="747">
        <f>TIME(0,60,0)</f>
        <v>4.1666666666666664E-2</v>
      </c>
      <c r="J4515" s="899" t="s">
        <v>4706</v>
      </c>
      <c r="K4515" s="167" t="s">
        <v>1826</v>
      </c>
      <c r="L4515" s="167" t="s">
        <v>12662</v>
      </c>
      <c r="M4515" s="167" t="s">
        <v>14310</v>
      </c>
      <c r="N4515" s="167"/>
      <c r="O4515" s="167"/>
      <c r="P4515" s="168" t="s">
        <v>14311</v>
      </c>
      <c r="Q4515" s="167" t="s">
        <v>3947</v>
      </c>
      <c r="R4515" s="172" t="s">
        <v>14312</v>
      </c>
      <c r="S4515" s="388"/>
      <c r="T4515" s="168"/>
      <c r="U4515" s="168"/>
      <c r="V4515" s="168" t="s">
        <v>3078</v>
      </c>
      <c r="W4515" s="312" t="s">
        <v>14319</v>
      </c>
      <c r="X4515" s="647" t="s">
        <v>12347</v>
      </c>
      <c r="Y4515" s="352"/>
      <c r="Z4515" s="353"/>
      <c r="AA4515" s="353"/>
      <c r="AB4515" s="31">
        <f t="shared" ca="1" si="114"/>
        <v>0.50135697272869484</v>
      </c>
      <c r="AC4515" s="810"/>
      <c r="AD4515" s="811"/>
      <c r="AE4515" s="940"/>
      <c r="AF4515" s="920">
        <f>IF(X4515=X4514,AF4514,0)+IF(ISNUMBER(I4515),IF(I4515&lt;1,I4515,I4515*VLOOKUP(J4515,Summary!$H$2:$I$9,2)),VLOOKUP(J4515,Summary!$J$2:$K$9,2)*IF(ISNUMBER(H4515),H4515,1))</f>
        <v>0.73223379629629592</v>
      </c>
      <c r="AG4515" s="287">
        <v>4514</v>
      </c>
      <c r="AH4515" s="94"/>
      <c r="AI4515" s="94"/>
      <c r="AJ4515" s="3"/>
    </row>
    <row r="4516" spans="1:36" s="1" customFormat="1" ht="12" customHeight="1" x14ac:dyDescent="0.25">
      <c r="A4516" s="600" t="s">
        <v>15670</v>
      </c>
      <c r="B4516" s="600">
        <v>10</v>
      </c>
      <c r="C4516" s="600">
        <v>6</v>
      </c>
      <c r="D4516" s="176" t="s">
        <v>3112</v>
      </c>
      <c r="E4516" s="313" t="s">
        <v>3120</v>
      </c>
      <c r="F4516" s="175">
        <v>40164</v>
      </c>
      <c r="G4516" s="175">
        <v>40170</v>
      </c>
      <c r="H4516" s="176">
        <v>2</v>
      </c>
      <c r="I4516" s="176">
        <v>13</v>
      </c>
      <c r="J4516" s="900" t="s">
        <v>2755</v>
      </c>
      <c r="K4516" s="164" t="s">
        <v>3121</v>
      </c>
      <c r="L4516" s="164"/>
      <c r="M4516" s="164"/>
      <c r="N4516" s="164"/>
      <c r="O4516" s="164"/>
      <c r="P4516" s="173" t="s">
        <v>461</v>
      </c>
      <c r="Q4516" s="164" t="s">
        <v>3946</v>
      </c>
      <c r="R4516" s="177" t="s">
        <v>7896</v>
      </c>
      <c r="S4516" s="354"/>
      <c r="T4516" s="173"/>
      <c r="U4516" s="173"/>
      <c r="V4516" s="173"/>
      <c r="W4516" s="313"/>
      <c r="X4516" s="645" t="s">
        <v>12347</v>
      </c>
      <c r="Y4516" s="354" t="s">
        <v>6000</v>
      </c>
      <c r="Z4516" s="176"/>
      <c r="AA4516" s="176"/>
      <c r="AB4516" s="32">
        <f t="shared" ca="1" si="114"/>
        <v>0.23300149624133104</v>
      </c>
      <c r="AC4516" s="812"/>
      <c r="AD4516" s="763"/>
      <c r="AE4516" s="807"/>
      <c r="AF4516" s="921">
        <f>IF(X4516=X4515,AF4515,0)+IF(ISNUMBER(I4516),IF(I4516&lt;1,I4516,I4516*VLOOKUP(J4516,Summary!$H$2:$I$9,2)),VLOOKUP(J4516,Summary!$J$2:$K$9,2)*IF(ISNUMBER(H4516),H4516,1))</f>
        <v>0.74126157407407367</v>
      </c>
      <c r="AG4516" s="289">
        <v>4515</v>
      </c>
      <c r="AH4516" s="94"/>
      <c r="AI4516" s="94"/>
      <c r="AJ4516" s="3"/>
    </row>
    <row r="4517" spans="1:36" s="1" customFormat="1" ht="12" customHeight="1" x14ac:dyDescent="0.25">
      <c r="A4517" s="599" t="s">
        <v>15670</v>
      </c>
      <c r="B4517" s="599">
        <v>10</v>
      </c>
      <c r="C4517" s="599">
        <v>202</v>
      </c>
      <c r="D4517" s="424" t="s">
        <v>6859</v>
      </c>
      <c r="E4517" s="319" t="s">
        <v>2126</v>
      </c>
      <c r="F4517" s="198">
        <v>40172</v>
      </c>
      <c r="G4517" s="198">
        <v>40179</v>
      </c>
      <c r="H4517" s="199">
        <v>2</v>
      </c>
      <c r="I4517" s="791">
        <f>TIME(0,59,36)+TIME(0,72,37)</f>
        <v>9.1817129629629624E-2</v>
      </c>
      <c r="J4517" s="904" t="s">
        <v>1588</v>
      </c>
      <c r="K4517" s="200" t="s">
        <v>3373</v>
      </c>
      <c r="L4517" s="200" t="s">
        <v>4961</v>
      </c>
      <c r="M4517" s="200"/>
      <c r="N4517" s="200" t="s">
        <v>3373</v>
      </c>
      <c r="O4517" s="200" t="s">
        <v>6854</v>
      </c>
      <c r="P4517" s="197" t="s">
        <v>461</v>
      </c>
      <c r="Q4517" s="200" t="s">
        <v>3946</v>
      </c>
      <c r="R4517" s="201" t="s">
        <v>5280</v>
      </c>
      <c r="S4517" s="390" t="s">
        <v>3079</v>
      </c>
      <c r="T4517" s="197"/>
      <c r="U4517" s="197"/>
      <c r="V4517" s="197"/>
      <c r="W4517" s="318" t="s">
        <v>8755</v>
      </c>
      <c r="X4517" s="650" t="s">
        <v>12347</v>
      </c>
      <c r="Y4517" s="358" t="s">
        <v>6141</v>
      </c>
      <c r="Z4517" s="253">
        <v>284</v>
      </c>
      <c r="AA4517" s="253">
        <v>2</v>
      </c>
      <c r="AB4517" s="35">
        <f t="shared" ca="1" si="114"/>
        <v>0.57240328107156058</v>
      </c>
      <c r="AC4517" s="820"/>
      <c r="AD4517" s="824" t="s">
        <v>16408</v>
      </c>
      <c r="AE4517" s="944"/>
      <c r="AF4517" s="925">
        <f>IF(X4517=X4516,AF4516,0)+IF(ISNUMBER(I4517),IF(I4517&lt;1,I4517,I4517*VLOOKUP(J4517,Summary!$H$2:$I$9,2)),VLOOKUP(J4517,Summary!$J$2:$K$9,2)*IF(ISNUMBER(H4517),H4517,1))</f>
        <v>0.83307870370370329</v>
      </c>
      <c r="AG4517" s="293">
        <v>4516</v>
      </c>
      <c r="AH4517" s="94"/>
      <c r="AI4517" s="94"/>
      <c r="AJ4517" s="3"/>
    </row>
    <row r="4518" spans="1:36" s="29" customFormat="1" ht="12" customHeight="1" x14ac:dyDescent="0.25">
      <c r="A4518" s="608" t="s">
        <v>15670</v>
      </c>
      <c r="B4518" s="608">
        <v>10</v>
      </c>
      <c r="C4518" s="608">
        <v>7.03</v>
      </c>
      <c r="D4518" s="192" t="s">
        <v>13127</v>
      </c>
      <c r="E4518" s="317" t="s">
        <v>13125</v>
      </c>
      <c r="F4518" s="209">
        <v>42820</v>
      </c>
      <c r="G4518" s="209"/>
      <c r="H4518" s="192">
        <v>1</v>
      </c>
      <c r="I4518" s="753">
        <f>TIME(0,31, 0)</f>
        <v>2.1527777777777781E-2</v>
      </c>
      <c r="J4518" s="903" t="s">
        <v>2755</v>
      </c>
      <c r="K4518" s="194" t="s">
        <v>8131</v>
      </c>
      <c r="L4518" s="194" t="s">
        <v>5662</v>
      </c>
      <c r="M4518" s="194" t="s">
        <v>13123</v>
      </c>
      <c r="N4518" s="194"/>
      <c r="O4518" s="194"/>
      <c r="P4518" s="190" t="s">
        <v>13124</v>
      </c>
      <c r="Q4518" s="194" t="s">
        <v>3947</v>
      </c>
      <c r="R4518" s="193" t="s">
        <v>2722</v>
      </c>
      <c r="S4518" s="357"/>
      <c r="T4518" s="190"/>
      <c r="U4518" s="190" t="s">
        <v>5287</v>
      </c>
      <c r="V4518" s="190" t="s">
        <v>12158</v>
      </c>
      <c r="W4518" s="317" t="s">
        <v>13125</v>
      </c>
      <c r="X4518" s="649" t="s">
        <v>12347</v>
      </c>
      <c r="Y4518" s="357" t="s">
        <v>5643</v>
      </c>
      <c r="Z4518" s="192"/>
      <c r="AA4518" s="192"/>
      <c r="AB4518" s="37">
        <f t="shared" ca="1" si="114"/>
        <v>0.73201930345755606</v>
      </c>
      <c r="AC4518" s="816"/>
      <c r="AD4518" s="817"/>
      <c r="AE4518" s="943"/>
      <c r="AF4518" s="924">
        <f>IF(X4518=X4517,AF4517,0)+IF(ISNUMBER(I4518),IF(I4518&lt;1,I4518,I4518*VLOOKUP(J4518,Summary!$H$2:$I$9,2)),VLOOKUP(J4518,Summary!$J$2:$K$9,2)*IF(ISNUMBER(H4518),H4518,1))</f>
        <v>0.85460648148148111</v>
      </c>
      <c r="AG4518" s="292">
        <v>4517</v>
      </c>
      <c r="AH4518" s="94"/>
      <c r="AI4518" s="94"/>
    </row>
    <row r="4519" spans="1:36" s="1" customFormat="1" ht="12" customHeight="1" x14ac:dyDescent="0.25">
      <c r="A4519" s="603" t="s">
        <v>15670</v>
      </c>
      <c r="B4519" s="603">
        <v>10</v>
      </c>
      <c r="C4519" s="603">
        <v>119</v>
      </c>
      <c r="D4519" s="428" t="s">
        <v>4671</v>
      </c>
      <c r="E4519" s="325" t="s">
        <v>330</v>
      </c>
      <c r="F4519" s="184">
        <v>40262</v>
      </c>
      <c r="G4519" s="184">
        <v>40268</v>
      </c>
      <c r="H4519" s="185">
        <v>1</v>
      </c>
      <c r="I4519" s="185">
        <v>4</v>
      </c>
      <c r="J4519" s="901" t="s">
        <v>1796</v>
      </c>
      <c r="K4519" s="158" t="s">
        <v>4147</v>
      </c>
      <c r="L4519" s="158" t="s">
        <v>3832</v>
      </c>
      <c r="M4519" s="158" t="s">
        <v>254</v>
      </c>
      <c r="N4519" s="158" t="s">
        <v>5317</v>
      </c>
      <c r="O4519" s="158"/>
      <c r="P4519" s="182" t="s">
        <v>461</v>
      </c>
      <c r="Q4519" s="158" t="s">
        <v>4929</v>
      </c>
      <c r="R4519" s="207" t="s">
        <v>4796</v>
      </c>
      <c r="S4519" s="355" t="s">
        <v>322</v>
      </c>
      <c r="T4519" s="182" t="s">
        <v>331</v>
      </c>
      <c r="U4519" s="182"/>
      <c r="V4519" s="182"/>
      <c r="W4519" s="325" t="s">
        <v>330</v>
      </c>
      <c r="X4519" s="657" t="s">
        <v>12347</v>
      </c>
      <c r="Y4519" s="361"/>
      <c r="Z4519" s="362"/>
      <c r="AA4519" s="362"/>
      <c r="AB4519" s="33">
        <f t="shared" ca="1" si="114"/>
        <v>0.76977127600266582</v>
      </c>
      <c r="AC4519" s="813"/>
      <c r="AD4519" s="211"/>
      <c r="AE4519" s="941"/>
      <c r="AF4519" s="922">
        <f>IF(X4519=X4518,AF4518,0)+IF(ISNUMBER(I4519),IF(I4519&lt;1,I4519,I4519*VLOOKUP(J4519,Summary!$H$2:$I$9,2)),VLOOKUP(J4519,Summary!$J$2:$K$9,2)*IF(ISNUMBER(H4519),H4519,1))</f>
        <v>0.85599537037036999</v>
      </c>
      <c r="AG4519" s="290">
        <v>4518</v>
      </c>
      <c r="AH4519" s="94"/>
      <c r="AI4519" s="94"/>
      <c r="AJ4519" s="2"/>
    </row>
    <row r="4520" spans="1:36" s="3" customFormat="1" ht="12" customHeight="1" x14ac:dyDescent="0.25">
      <c r="A4520" s="405" t="s">
        <v>15670</v>
      </c>
      <c r="B4520" s="596" t="s">
        <v>3227</v>
      </c>
      <c r="C4520" s="597">
        <v>1.3</v>
      </c>
      <c r="D4520" s="407" t="s">
        <v>13219</v>
      </c>
      <c r="E4520" s="315" t="s">
        <v>13223</v>
      </c>
      <c r="F4520" s="196">
        <v>42892</v>
      </c>
      <c r="G4520" s="196"/>
      <c r="H4520" s="170">
        <v>1</v>
      </c>
      <c r="I4520" s="747">
        <f>TIME(0,60,0)</f>
        <v>4.1666666666666664E-2</v>
      </c>
      <c r="J4520" s="899" t="s">
        <v>4706</v>
      </c>
      <c r="K4520" s="167" t="s">
        <v>1643</v>
      </c>
      <c r="L4520" s="167" t="s">
        <v>179</v>
      </c>
      <c r="M4520" s="167"/>
      <c r="N4520" s="167"/>
      <c r="O4520" s="167" t="s">
        <v>1643</v>
      </c>
      <c r="P4520" s="168" t="s">
        <v>13216</v>
      </c>
      <c r="Q4520" s="167" t="s">
        <v>3947</v>
      </c>
      <c r="R4520" s="172" t="s">
        <v>10605</v>
      </c>
      <c r="S4520" s="388"/>
      <c r="T4520" s="168" t="s">
        <v>3068</v>
      </c>
      <c r="U4520" s="168"/>
      <c r="V4520" s="168"/>
      <c r="W4520" s="315" t="s">
        <v>13223</v>
      </c>
      <c r="X4520" s="647" t="s">
        <v>12347</v>
      </c>
      <c r="Y4520" s="352"/>
      <c r="Z4520" s="353"/>
      <c r="AA4520" s="353"/>
      <c r="AB4520" s="31">
        <f t="shared" ca="1" si="114"/>
        <v>0.33153865060868748</v>
      </c>
      <c r="AC4520" s="810"/>
      <c r="AD4520" s="811"/>
      <c r="AE4520" s="940"/>
      <c r="AF4520" s="920">
        <f>IF(X4520=X4519,AF4519,0)+IF(ISNUMBER(I4520),IF(I4520&lt;1,I4520,I4520*VLOOKUP(J4520,Summary!$H$2:$I$9,2)),VLOOKUP(J4520,Summary!$J$2:$K$9,2)*IF(ISNUMBER(H4520),H4520,1))</f>
        <v>0.89766203703703662</v>
      </c>
      <c r="AG4520" s="287">
        <v>4519</v>
      </c>
      <c r="AH4520" s="94"/>
      <c r="AI4520" s="94"/>
      <c r="AJ4520" s="1"/>
    </row>
    <row r="4521" spans="1:36" s="2" customFormat="1" ht="12" customHeight="1" x14ac:dyDescent="0.25">
      <c r="A4521" s="553" t="s">
        <v>6333</v>
      </c>
      <c r="B4521" s="553" t="s">
        <v>4457</v>
      </c>
      <c r="C4521" s="610">
        <v>1.01</v>
      </c>
      <c r="D4521" s="424" t="s">
        <v>6334</v>
      </c>
      <c r="E4521" s="319" t="s">
        <v>3846</v>
      </c>
      <c r="F4521" s="198">
        <v>40117</v>
      </c>
      <c r="G4521" s="198"/>
      <c r="H4521" s="199">
        <v>1</v>
      </c>
      <c r="I4521" s="791">
        <f>TIME(0,25,28)</f>
        <v>1.7685185185185182E-2</v>
      </c>
      <c r="J4521" s="904" t="s">
        <v>1588</v>
      </c>
      <c r="K4521" s="200" t="s">
        <v>6337</v>
      </c>
      <c r="L4521" s="200" t="s">
        <v>4112</v>
      </c>
      <c r="M4521" s="200"/>
      <c r="N4521" s="200"/>
      <c r="O4521" s="200" t="s">
        <v>6336</v>
      </c>
      <c r="P4521" s="197" t="s">
        <v>461</v>
      </c>
      <c r="Q4521" s="200" t="s">
        <v>3946</v>
      </c>
      <c r="R4521" s="201" t="s">
        <v>5272</v>
      </c>
      <c r="S4521" s="390" t="s">
        <v>6335</v>
      </c>
      <c r="T4521" s="197"/>
      <c r="U4521" s="197"/>
      <c r="V4521" s="197"/>
      <c r="W4521" s="319" t="s">
        <v>3846</v>
      </c>
      <c r="X4521" s="651" t="s">
        <v>12461</v>
      </c>
      <c r="Y4521" s="358" t="s">
        <v>7018</v>
      </c>
      <c r="Z4521" s="253">
        <v>3999</v>
      </c>
      <c r="AA4521" s="253"/>
      <c r="AB4521" s="35">
        <f t="shared" ca="1" si="114"/>
        <v>0.56692733064785805</v>
      </c>
      <c r="AC4521" s="820"/>
      <c r="AD4521" s="821" t="s">
        <v>16093</v>
      </c>
      <c r="AE4521" s="944"/>
      <c r="AF4521" s="925">
        <f>IF(X4521=X4520,AF4520,0)+IF(ISNUMBER(I4521),IF(I4521&lt;1,I4521,I4521*VLOOKUP(J4521,Summary!$H$2:$I$9,2)),VLOOKUP(J4521,Summary!$J$2:$K$9,2)*IF(ISNUMBER(H4521),H4521,1))</f>
        <v>1.7685185185185182E-2</v>
      </c>
      <c r="AG4521" s="293">
        <v>4520</v>
      </c>
      <c r="AH4521" s="94"/>
      <c r="AI4521" s="94"/>
      <c r="AJ4521" s="1"/>
    </row>
    <row r="4522" spans="1:36" s="29" customFormat="1" ht="12" customHeight="1" x14ac:dyDescent="0.25">
      <c r="A4522" s="553" t="s">
        <v>6333</v>
      </c>
      <c r="B4522" s="554" t="s">
        <v>4457</v>
      </c>
      <c r="C4522" s="610">
        <v>1.02</v>
      </c>
      <c r="D4522" s="424" t="s">
        <v>4250</v>
      </c>
      <c r="E4522" s="319" t="s">
        <v>3847</v>
      </c>
      <c r="F4522" s="198">
        <v>40196</v>
      </c>
      <c r="G4522" s="198"/>
      <c r="H4522" s="199">
        <v>1</v>
      </c>
      <c r="I4522" s="791">
        <f>TIME(0,23,37)</f>
        <v>1.6400462962962964E-2</v>
      </c>
      <c r="J4522" s="904" t="s">
        <v>1588</v>
      </c>
      <c r="K4522" s="200" t="s">
        <v>6337</v>
      </c>
      <c r="L4522" s="200" t="s">
        <v>4113</v>
      </c>
      <c r="M4522" s="200"/>
      <c r="N4522" s="200"/>
      <c r="O4522" s="200" t="s">
        <v>6336</v>
      </c>
      <c r="P4522" s="197" t="s">
        <v>461</v>
      </c>
      <c r="Q4522" s="200" t="s">
        <v>3946</v>
      </c>
      <c r="R4522" s="201" t="s">
        <v>5272</v>
      </c>
      <c r="S4522" s="390" t="s">
        <v>6335</v>
      </c>
      <c r="T4522" s="197"/>
      <c r="U4522" s="197"/>
      <c r="V4522" s="197"/>
      <c r="W4522" s="319" t="s">
        <v>3847</v>
      </c>
      <c r="X4522" s="651" t="s">
        <v>12461</v>
      </c>
      <c r="Y4522" s="358" t="s">
        <v>7018</v>
      </c>
      <c r="Z4522" s="253">
        <v>3999</v>
      </c>
      <c r="AA4522" s="253"/>
      <c r="AB4522" s="35">
        <f t="shared" ca="1" si="114"/>
        <v>0.88495727164204929</v>
      </c>
      <c r="AC4522" s="820"/>
      <c r="AD4522" s="821" t="s">
        <v>16093</v>
      </c>
      <c r="AE4522" s="944"/>
      <c r="AF4522" s="925">
        <f>IF(X4522=X4521,AF4521,0)+IF(ISNUMBER(I4522),IF(I4522&lt;1,I4522,I4522*VLOOKUP(J4522,Summary!$H$2:$I$9,2)),VLOOKUP(J4522,Summary!$J$2:$K$9,2)*IF(ISNUMBER(H4522),H4522,1))</f>
        <v>3.4085648148148143E-2</v>
      </c>
      <c r="AG4522" s="293">
        <v>4521</v>
      </c>
      <c r="AH4522" s="94"/>
      <c r="AI4522" s="94"/>
      <c r="AJ4522" s="1"/>
    </row>
    <row r="4523" spans="1:36" s="29" customFormat="1" ht="12" customHeight="1" x14ac:dyDescent="0.25">
      <c r="A4523" s="553" t="s">
        <v>6333</v>
      </c>
      <c r="B4523" s="554" t="s">
        <v>4457</v>
      </c>
      <c r="C4523" s="610">
        <v>1.03</v>
      </c>
      <c r="D4523" s="424" t="s">
        <v>4251</v>
      </c>
      <c r="E4523" s="319" t="s">
        <v>3848</v>
      </c>
      <c r="F4523" s="198">
        <v>40203</v>
      </c>
      <c r="G4523" s="198"/>
      <c r="H4523" s="199">
        <v>1</v>
      </c>
      <c r="I4523" s="791">
        <f>TIME(0,24,13)</f>
        <v>1.681712962962963E-2</v>
      </c>
      <c r="J4523" s="904" t="s">
        <v>1588</v>
      </c>
      <c r="K4523" s="200" t="s">
        <v>5872</v>
      </c>
      <c r="L4523" s="200" t="s">
        <v>7924</v>
      </c>
      <c r="M4523" s="200"/>
      <c r="N4523" s="200"/>
      <c r="O4523" s="200" t="s">
        <v>6336</v>
      </c>
      <c r="P4523" s="197" t="s">
        <v>461</v>
      </c>
      <c r="Q4523" s="200" t="s">
        <v>3946</v>
      </c>
      <c r="R4523" s="201" t="s">
        <v>5272</v>
      </c>
      <c r="S4523" s="390" t="s">
        <v>6335</v>
      </c>
      <c r="T4523" s="197"/>
      <c r="U4523" s="197"/>
      <c r="V4523" s="197"/>
      <c r="W4523" s="319" t="s">
        <v>3848</v>
      </c>
      <c r="X4523" s="651" t="s">
        <v>12461</v>
      </c>
      <c r="Y4523" s="358" t="s">
        <v>7018</v>
      </c>
      <c r="Z4523" s="253">
        <v>3999</v>
      </c>
      <c r="AA4523" s="253"/>
      <c r="AB4523" s="35">
        <f t="shared" ca="1" si="114"/>
        <v>0.52329309415820813</v>
      </c>
      <c r="AC4523" s="820"/>
      <c r="AD4523" s="821" t="s">
        <v>16093</v>
      </c>
      <c r="AE4523" s="944"/>
      <c r="AF4523" s="925">
        <f>IF(X4523=X4522,AF4522,0)+IF(ISNUMBER(I4523),IF(I4523&lt;1,I4523,I4523*VLOOKUP(J4523,Summary!$H$2:$I$9,2)),VLOOKUP(J4523,Summary!$J$2:$K$9,2)*IF(ISNUMBER(H4523),H4523,1))</f>
        <v>5.0902777777777769E-2</v>
      </c>
      <c r="AG4523" s="293">
        <v>4522</v>
      </c>
      <c r="AH4523" s="94"/>
      <c r="AI4523" s="94"/>
      <c r="AJ4523" s="1"/>
    </row>
    <row r="4524" spans="1:36" s="29" customFormat="1" ht="12" customHeight="1" x14ac:dyDescent="0.25">
      <c r="A4524" s="553" t="s">
        <v>6333</v>
      </c>
      <c r="B4524" s="554" t="s">
        <v>4457</v>
      </c>
      <c r="C4524" s="610">
        <v>1.04</v>
      </c>
      <c r="D4524" s="424" t="s">
        <v>4252</v>
      </c>
      <c r="E4524" s="319" t="s">
        <v>1898</v>
      </c>
      <c r="F4524" s="198">
        <v>40210</v>
      </c>
      <c r="G4524" s="198"/>
      <c r="H4524" s="199">
        <v>1</v>
      </c>
      <c r="I4524" s="791">
        <f>TIME(0,23,31)</f>
        <v>1.6331018518518519E-2</v>
      </c>
      <c r="J4524" s="904" t="s">
        <v>1588</v>
      </c>
      <c r="K4524" s="200" t="s">
        <v>5873</v>
      </c>
      <c r="L4524" s="200" t="s">
        <v>4111</v>
      </c>
      <c r="M4524" s="200"/>
      <c r="N4524" s="200"/>
      <c r="O4524" s="200" t="s">
        <v>6336</v>
      </c>
      <c r="P4524" s="197" t="s">
        <v>461</v>
      </c>
      <c r="Q4524" s="200" t="s">
        <v>3946</v>
      </c>
      <c r="R4524" s="201" t="s">
        <v>5272</v>
      </c>
      <c r="S4524" s="390" t="s">
        <v>6335</v>
      </c>
      <c r="T4524" s="197"/>
      <c r="U4524" s="197"/>
      <c r="V4524" s="197"/>
      <c r="W4524" s="319" t="s">
        <v>1898</v>
      </c>
      <c r="X4524" s="651" t="s">
        <v>12461</v>
      </c>
      <c r="Y4524" s="358" t="s">
        <v>7018</v>
      </c>
      <c r="Z4524" s="253">
        <v>3999</v>
      </c>
      <c r="AA4524" s="253"/>
      <c r="AB4524" s="35">
        <f t="shared" ca="1" si="114"/>
        <v>0.18043129555173498</v>
      </c>
      <c r="AC4524" s="820"/>
      <c r="AD4524" s="821" t="s">
        <v>16093</v>
      </c>
      <c r="AE4524" s="944"/>
      <c r="AF4524" s="925">
        <f>IF(X4524=X4523,AF4523,0)+IF(ISNUMBER(I4524),IF(I4524&lt;1,I4524,I4524*VLOOKUP(J4524,Summary!$H$2:$I$9,2)),VLOOKUP(J4524,Summary!$J$2:$K$9,2)*IF(ISNUMBER(H4524),H4524,1))</f>
        <v>6.7233796296296292E-2</v>
      </c>
      <c r="AG4524" s="293">
        <v>4523</v>
      </c>
      <c r="AH4524" s="94"/>
      <c r="AI4524" s="94"/>
    </row>
    <row r="4525" spans="1:36" s="1" customFormat="1" ht="12" customHeight="1" x14ac:dyDescent="0.25">
      <c r="A4525" s="553" t="s">
        <v>6333</v>
      </c>
      <c r="B4525" s="554" t="s">
        <v>4457</v>
      </c>
      <c r="C4525" s="610">
        <v>1.05</v>
      </c>
      <c r="D4525" s="424" t="s">
        <v>4253</v>
      </c>
      <c r="E4525" s="319" t="s">
        <v>1899</v>
      </c>
      <c r="F4525" s="198">
        <v>40217</v>
      </c>
      <c r="G4525" s="198"/>
      <c r="H4525" s="199">
        <v>1</v>
      </c>
      <c r="I4525" s="791">
        <f>TIME(0,23,28)</f>
        <v>1.6296296296296295E-2</v>
      </c>
      <c r="J4525" s="904" t="s">
        <v>1588</v>
      </c>
      <c r="K4525" s="200" t="s">
        <v>5874</v>
      </c>
      <c r="L4525" s="200" t="s">
        <v>4114</v>
      </c>
      <c r="M4525" s="200"/>
      <c r="N4525" s="200"/>
      <c r="O4525" s="200" t="s">
        <v>6336</v>
      </c>
      <c r="P4525" s="197" t="s">
        <v>461</v>
      </c>
      <c r="Q4525" s="200" t="s">
        <v>3946</v>
      </c>
      <c r="R4525" s="201" t="s">
        <v>5272</v>
      </c>
      <c r="S4525" s="390" t="s">
        <v>6335</v>
      </c>
      <c r="T4525" s="197"/>
      <c r="U4525" s="197"/>
      <c r="V4525" s="197"/>
      <c r="W4525" s="319" t="s">
        <v>1899</v>
      </c>
      <c r="X4525" s="651" t="s">
        <v>12461</v>
      </c>
      <c r="Y4525" s="358" t="s">
        <v>7018</v>
      </c>
      <c r="Z4525" s="253">
        <v>3999</v>
      </c>
      <c r="AA4525" s="253"/>
      <c r="AB4525" s="35">
        <f t="shared" ca="1" si="114"/>
        <v>0.74865574283815439</v>
      </c>
      <c r="AC4525" s="820"/>
      <c r="AD4525" s="821" t="s">
        <v>16093</v>
      </c>
      <c r="AE4525" s="944"/>
      <c r="AF4525" s="925">
        <f>IF(X4525=X4524,AF4524,0)+IF(ISNUMBER(I4525),IF(I4525&lt;1,I4525,I4525*VLOOKUP(J4525,Summary!$H$2:$I$9,2)),VLOOKUP(J4525,Summary!$J$2:$K$9,2)*IF(ISNUMBER(H4525),H4525,1))</f>
        <v>8.3530092592592586E-2</v>
      </c>
      <c r="AG4525" s="293">
        <v>4524</v>
      </c>
      <c r="AH4525" s="94"/>
      <c r="AI4525" s="94"/>
      <c r="AJ4525" s="3"/>
    </row>
    <row r="4526" spans="1:36" s="3" customFormat="1" ht="12" customHeight="1" x14ac:dyDescent="0.25">
      <c r="A4526" s="553" t="s">
        <v>6333</v>
      </c>
      <c r="B4526" s="554" t="s">
        <v>4457</v>
      </c>
      <c r="C4526" s="610">
        <v>1.06</v>
      </c>
      <c r="D4526" s="424" t="s">
        <v>4254</v>
      </c>
      <c r="E4526" s="319" t="s">
        <v>336</v>
      </c>
      <c r="F4526" s="198">
        <v>40224</v>
      </c>
      <c r="G4526" s="198"/>
      <c r="H4526" s="199">
        <v>1</v>
      </c>
      <c r="I4526" s="791">
        <f>TIME(0,25,13)</f>
        <v>1.7511574074074072E-2</v>
      </c>
      <c r="J4526" s="904" t="s">
        <v>1588</v>
      </c>
      <c r="K4526" s="200" t="s">
        <v>5875</v>
      </c>
      <c r="L4526" s="200" t="s">
        <v>7924</v>
      </c>
      <c r="M4526" s="200"/>
      <c r="N4526" s="200"/>
      <c r="O4526" s="200" t="s">
        <v>6336</v>
      </c>
      <c r="P4526" s="197" t="s">
        <v>461</v>
      </c>
      <c r="Q4526" s="200" t="s">
        <v>3946</v>
      </c>
      <c r="R4526" s="201" t="s">
        <v>5272</v>
      </c>
      <c r="S4526" s="390" t="s">
        <v>6335</v>
      </c>
      <c r="T4526" s="197"/>
      <c r="U4526" s="197"/>
      <c r="V4526" s="197"/>
      <c r="W4526" s="319" t="s">
        <v>336</v>
      </c>
      <c r="X4526" s="651" t="s">
        <v>12461</v>
      </c>
      <c r="Y4526" s="358" t="s">
        <v>7018</v>
      </c>
      <c r="Z4526" s="253">
        <v>3999</v>
      </c>
      <c r="AA4526" s="253"/>
      <c r="AB4526" s="35">
        <f t="shared" ca="1" si="114"/>
        <v>0.63180213901526061</v>
      </c>
      <c r="AC4526" s="820"/>
      <c r="AD4526" s="821" t="s">
        <v>16093</v>
      </c>
      <c r="AE4526" s="944"/>
      <c r="AF4526" s="925">
        <f>IF(X4526=X4525,AF4525,0)+IF(ISNUMBER(I4526),IF(I4526&lt;1,I4526,I4526*VLOOKUP(J4526,Summary!$H$2:$I$9,2)),VLOOKUP(J4526,Summary!$J$2:$K$9,2)*IF(ISNUMBER(H4526),H4526,1))</f>
        <v>0.10104166666666665</v>
      </c>
      <c r="AG4526" s="293">
        <v>4525</v>
      </c>
      <c r="AH4526" s="94"/>
      <c r="AI4526" s="94"/>
      <c r="AJ4526" s="2"/>
    </row>
    <row r="4527" spans="1:36" s="2" customFormat="1" ht="12" customHeight="1" x14ac:dyDescent="0.25">
      <c r="A4527" s="553" t="s">
        <v>6333</v>
      </c>
      <c r="B4527" s="554" t="s">
        <v>4457</v>
      </c>
      <c r="C4527" s="610">
        <v>1.07</v>
      </c>
      <c r="D4527" s="424" t="s">
        <v>4255</v>
      </c>
      <c r="E4527" s="319" t="s">
        <v>5852</v>
      </c>
      <c r="F4527" s="198">
        <v>40231</v>
      </c>
      <c r="G4527" s="198"/>
      <c r="H4527" s="199">
        <v>1</v>
      </c>
      <c r="I4527" s="791">
        <f>TIME(0,23,55)</f>
        <v>1.6608796296296299E-2</v>
      </c>
      <c r="J4527" s="904" t="s">
        <v>1588</v>
      </c>
      <c r="K4527" s="200" t="s">
        <v>6337</v>
      </c>
      <c r="L4527" s="200" t="s">
        <v>4114</v>
      </c>
      <c r="M4527" s="200"/>
      <c r="N4527" s="200"/>
      <c r="O4527" s="200" t="s">
        <v>6336</v>
      </c>
      <c r="P4527" s="197" t="s">
        <v>461</v>
      </c>
      <c r="Q4527" s="200" t="s">
        <v>3946</v>
      </c>
      <c r="R4527" s="201" t="s">
        <v>5272</v>
      </c>
      <c r="S4527" s="390" t="s">
        <v>6335</v>
      </c>
      <c r="T4527" s="197"/>
      <c r="U4527" s="197"/>
      <c r="V4527" s="197"/>
      <c r="W4527" s="319" t="s">
        <v>5852</v>
      </c>
      <c r="X4527" s="651" t="s">
        <v>12461</v>
      </c>
      <c r="Y4527" s="358"/>
      <c r="Z4527" s="253">
        <v>3999</v>
      </c>
      <c r="AA4527" s="253"/>
      <c r="AB4527" s="35">
        <f t="shared" ca="1" si="114"/>
        <v>0.84346410287366735</v>
      </c>
      <c r="AC4527" s="820"/>
      <c r="AD4527" s="821" t="s">
        <v>16093</v>
      </c>
      <c r="AE4527" s="944"/>
      <c r="AF4527" s="925">
        <f>IF(X4527=X4526,AF4526,0)+IF(ISNUMBER(I4527),IF(I4527&lt;1,I4527,I4527*VLOOKUP(J4527,Summary!$H$2:$I$9,2)),VLOOKUP(J4527,Summary!$J$2:$K$9,2)*IF(ISNUMBER(H4527),H4527,1))</f>
        <v>0.11765046296296296</v>
      </c>
      <c r="AG4527" s="293">
        <v>4526</v>
      </c>
      <c r="AH4527" s="94"/>
      <c r="AI4527" s="94"/>
      <c r="AJ4527" s="29"/>
    </row>
    <row r="4528" spans="1:36" s="1" customFormat="1" ht="12" customHeight="1" x14ac:dyDescent="0.25">
      <c r="A4528" s="553" t="s">
        <v>6333</v>
      </c>
      <c r="B4528" s="554" t="s">
        <v>4457</v>
      </c>
      <c r="C4528" s="610">
        <v>1.08</v>
      </c>
      <c r="D4528" s="424" t="s">
        <v>4256</v>
      </c>
      <c r="E4528" s="319" t="s">
        <v>5853</v>
      </c>
      <c r="F4528" s="198">
        <v>40238</v>
      </c>
      <c r="G4528" s="198"/>
      <c r="H4528" s="199">
        <v>1</v>
      </c>
      <c r="I4528" s="791">
        <f>TIME(0,25,13)</f>
        <v>1.7511574074074072E-2</v>
      </c>
      <c r="J4528" s="904" t="s">
        <v>1588</v>
      </c>
      <c r="K4528" s="200" t="s">
        <v>5876</v>
      </c>
      <c r="L4528" s="200" t="s">
        <v>4111</v>
      </c>
      <c r="M4528" s="200"/>
      <c r="N4528" s="200"/>
      <c r="O4528" s="200" t="s">
        <v>6336</v>
      </c>
      <c r="P4528" s="197" t="s">
        <v>461</v>
      </c>
      <c r="Q4528" s="200" t="s">
        <v>3946</v>
      </c>
      <c r="R4528" s="201" t="s">
        <v>5272</v>
      </c>
      <c r="S4528" s="390" t="s">
        <v>6335</v>
      </c>
      <c r="T4528" s="197"/>
      <c r="U4528" s="197"/>
      <c r="V4528" s="197"/>
      <c r="W4528" s="319" t="s">
        <v>5853</v>
      </c>
      <c r="X4528" s="651" t="s">
        <v>12461</v>
      </c>
      <c r="Y4528" s="358" t="s">
        <v>7018</v>
      </c>
      <c r="Z4528" s="253">
        <v>3999</v>
      </c>
      <c r="AA4528" s="253"/>
      <c r="AB4528" s="35">
        <f t="shared" ca="1" si="114"/>
        <v>0.44570861659012873</v>
      </c>
      <c r="AC4528" s="820"/>
      <c r="AD4528" s="821" t="s">
        <v>16093</v>
      </c>
      <c r="AE4528" s="944"/>
      <c r="AF4528" s="925">
        <f>IF(X4528=X4527,AF4527,0)+IF(ISNUMBER(I4528),IF(I4528&lt;1,I4528,I4528*VLOOKUP(J4528,Summary!$H$2:$I$9,2)),VLOOKUP(J4528,Summary!$J$2:$K$9,2)*IF(ISNUMBER(H4528),H4528,1))</f>
        <v>0.13516203703703702</v>
      </c>
      <c r="AG4528" s="293">
        <v>4527</v>
      </c>
      <c r="AH4528" s="94"/>
      <c r="AI4528" s="94"/>
      <c r="AJ4528" s="29"/>
    </row>
    <row r="4529" spans="1:36" s="29" customFormat="1" ht="12" customHeight="1" x14ac:dyDescent="0.25">
      <c r="A4529" s="553" t="s">
        <v>6333</v>
      </c>
      <c r="B4529" s="554" t="s">
        <v>4457</v>
      </c>
      <c r="C4529" s="610">
        <v>1.0900000000000001</v>
      </c>
      <c r="D4529" s="424" t="s">
        <v>4257</v>
      </c>
      <c r="E4529" s="319" t="s">
        <v>5854</v>
      </c>
      <c r="F4529" s="198">
        <v>40245</v>
      </c>
      <c r="G4529" s="198"/>
      <c r="H4529" s="199">
        <v>1</v>
      </c>
      <c r="I4529" s="791">
        <f>TIME(0,23,30)</f>
        <v>1.6319444444444445E-2</v>
      </c>
      <c r="J4529" s="904" t="s">
        <v>1588</v>
      </c>
      <c r="K4529" s="200" t="s">
        <v>5877</v>
      </c>
      <c r="L4529" s="200" t="s">
        <v>4114</v>
      </c>
      <c r="M4529" s="200"/>
      <c r="N4529" s="200"/>
      <c r="O4529" s="200" t="s">
        <v>6336</v>
      </c>
      <c r="P4529" s="197" t="s">
        <v>461</v>
      </c>
      <c r="Q4529" s="200" t="s">
        <v>3946</v>
      </c>
      <c r="R4529" s="201" t="s">
        <v>5272</v>
      </c>
      <c r="S4529" s="390" t="s">
        <v>6335</v>
      </c>
      <c r="T4529" s="197"/>
      <c r="U4529" s="197"/>
      <c r="V4529" s="197"/>
      <c r="W4529" s="319" t="s">
        <v>5854</v>
      </c>
      <c r="X4529" s="651" t="s">
        <v>12461</v>
      </c>
      <c r="Y4529" s="358" t="s">
        <v>7018</v>
      </c>
      <c r="Z4529" s="253">
        <v>3999</v>
      </c>
      <c r="AA4529" s="253"/>
      <c r="AB4529" s="35">
        <f t="shared" ca="1" si="114"/>
        <v>0.6516862574467589</v>
      </c>
      <c r="AC4529" s="820"/>
      <c r="AD4529" s="821" t="s">
        <v>16093</v>
      </c>
      <c r="AE4529" s="944"/>
      <c r="AF4529" s="925">
        <f>IF(X4529=X4528,AF4528,0)+IF(ISNUMBER(I4529),IF(I4529&lt;1,I4529,I4529*VLOOKUP(J4529,Summary!$H$2:$I$9,2)),VLOOKUP(J4529,Summary!$J$2:$K$9,2)*IF(ISNUMBER(H4529),H4529,1))</f>
        <v>0.15148148148148147</v>
      </c>
      <c r="AG4529" s="293">
        <v>4528</v>
      </c>
      <c r="AH4529" s="94"/>
      <c r="AI4529" s="94"/>
      <c r="AJ4529" s="3"/>
    </row>
    <row r="4530" spans="1:36" s="29" customFormat="1" ht="12" customHeight="1" x14ac:dyDescent="0.25">
      <c r="A4530" s="553" t="s">
        <v>6333</v>
      </c>
      <c r="B4530" s="554" t="s">
        <v>4457</v>
      </c>
      <c r="C4530" s="611">
        <v>1.1000000000000001</v>
      </c>
      <c r="D4530" s="424" t="s">
        <v>4258</v>
      </c>
      <c r="E4530" s="319" t="s">
        <v>5855</v>
      </c>
      <c r="F4530" s="198">
        <v>40252</v>
      </c>
      <c r="G4530" s="198"/>
      <c r="H4530" s="199">
        <v>1</v>
      </c>
      <c r="I4530" s="791">
        <f>TIME(0,23,31)</f>
        <v>1.6331018518518519E-2</v>
      </c>
      <c r="J4530" s="904" t="s">
        <v>1588</v>
      </c>
      <c r="K4530" s="200" t="s">
        <v>5877</v>
      </c>
      <c r="L4530" s="200" t="s">
        <v>7924</v>
      </c>
      <c r="M4530" s="200"/>
      <c r="N4530" s="200"/>
      <c r="O4530" s="200" t="s">
        <v>6336</v>
      </c>
      <c r="P4530" s="197" t="s">
        <v>461</v>
      </c>
      <c r="Q4530" s="200" t="s">
        <v>3946</v>
      </c>
      <c r="R4530" s="201" t="s">
        <v>5272</v>
      </c>
      <c r="S4530" s="390" t="s">
        <v>6335</v>
      </c>
      <c r="T4530" s="197"/>
      <c r="U4530" s="197"/>
      <c r="V4530" s="197"/>
      <c r="W4530" s="319" t="s">
        <v>5855</v>
      </c>
      <c r="X4530" s="651" t="s">
        <v>12461</v>
      </c>
      <c r="Y4530" s="358" t="s">
        <v>7018</v>
      </c>
      <c r="Z4530" s="253">
        <v>3999</v>
      </c>
      <c r="AA4530" s="253"/>
      <c r="AB4530" s="35">
        <f t="shared" ca="1" si="114"/>
        <v>0.41193009092158495</v>
      </c>
      <c r="AC4530" s="820"/>
      <c r="AD4530" s="821" t="s">
        <v>16093</v>
      </c>
      <c r="AE4530" s="944"/>
      <c r="AF4530" s="925">
        <f>IF(X4530=X4529,AF4529,0)+IF(ISNUMBER(I4530),IF(I4530&lt;1,I4530,I4530*VLOOKUP(J4530,Summary!$H$2:$I$9,2)),VLOOKUP(J4530,Summary!$J$2:$K$9,2)*IF(ISNUMBER(H4530),H4530,1))</f>
        <v>0.16781249999999998</v>
      </c>
      <c r="AG4530" s="293">
        <v>4529</v>
      </c>
      <c r="AH4530" s="94"/>
      <c r="AI4530" s="94"/>
      <c r="AJ4530" s="2"/>
    </row>
    <row r="4531" spans="1:36" s="45" customFormat="1" ht="12" customHeight="1" x14ac:dyDescent="0.3">
      <c r="A4531" s="553" t="s">
        <v>6333</v>
      </c>
      <c r="B4531" s="554" t="s">
        <v>4457</v>
      </c>
      <c r="C4531" s="610">
        <v>1.1100000000000001</v>
      </c>
      <c r="D4531" s="424" t="s">
        <v>4259</v>
      </c>
      <c r="E4531" s="319" t="s">
        <v>5856</v>
      </c>
      <c r="F4531" s="198">
        <v>40259</v>
      </c>
      <c r="G4531" s="198"/>
      <c r="H4531" s="199">
        <v>1</v>
      </c>
      <c r="I4531" s="791">
        <f>TIME(0,23,31)</f>
        <v>1.6331018518518519E-2</v>
      </c>
      <c r="J4531" s="904" t="s">
        <v>1588</v>
      </c>
      <c r="K4531" s="200" t="s">
        <v>5874</v>
      </c>
      <c r="L4531" s="200" t="s">
        <v>4114</v>
      </c>
      <c r="M4531" s="200"/>
      <c r="N4531" s="200"/>
      <c r="O4531" s="200" t="s">
        <v>6336</v>
      </c>
      <c r="P4531" s="197" t="s">
        <v>461</v>
      </c>
      <c r="Q4531" s="200" t="s">
        <v>3946</v>
      </c>
      <c r="R4531" s="201" t="s">
        <v>5272</v>
      </c>
      <c r="S4531" s="390" t="s">
        <v>6335</v>
      </c>
      <c r="T4531" s="197"/>
      <c r="U4531" s="197"/>
      <c r="V4531" s="197"/>
      <c r="W4531" s="319" t="s">
        <v>5856</v>
      </c>
      <c r="X4531" s="651" t="s">
        <v>12461</v>
      </c>
      <c r="Y4531" s="358" t="s">
        <v>7018</v>
      </c>
      <c r="Z4531" s="253">
        <v>3999</v>
      </c>
      <c r="AA4531" s="253"/>
      <c r="AB4531" s="35">
        <f t="shared" ca="1" si="114"/>
        <v>0.63228904806231179</v>
      </c>
      <c r="AC4531" s="820"/>
      <c r="AD4531" s="821" t="s">
        <v>16093</v>
      </c>
      <c r="AE4531" s="944"/>
      <c r="AF4531" s="925">
        <f>IF(X4531=X4530,AF4530,0)+IF(ISNUMBER(I4531),IF(I4531&lt;1,I4531,I4531*VLOOKUP(J4531,Summary!$H$2:$I$9,2)),VLOOKUP(J4531,Summary!$J$2:$K$9,2)*IF(ISNUMBER(H4531),H4531,1))</f>
        <v>0.18414351851851848</v>
      </c>
      <c r="AG4531" s="293">
        <v>4530</v>
      </c>
      <c r="AH4531" s="94"/>
      <c r="AI4531" s="94"/>
      <c r="AJ4531" s="7"/>
    </row>
    <row r="4532" spans="1:36" s="29" customFormat="1" ht="12" customHeight="1" x14ac:dyDescent="0.25">
      <c r="A4532" s="553" t="s">
        <v>6333</v>
      </c>
      <c r="B4532" s="554" t="s">
        <v>4457</v>
      </c>
      <c r="C4532" s="610">
        <v>1.1200000000000001</v>
      </c>
      <c r="D4532" s="424" t="s">
        <v>4260</v>
      </c>
      <c r="E4532" s="319" t="s">
        <v>5857</v>
      </c>
      <c r="F4532" s="198">
        <v>40266</v>
      </c>
      <c r="G4532" s="198"/>
      <c r="H4532" s="199">
        <v>1</v>
      </c>
      <c r="I4532" s="791">
        <f>TIME(0,23,31)</f>
        <v>1.6331018518518519E-2</v>
      </c>
      <c r="J4532" s="904" t="s">
        <v>1588</v>
      </c>
      <c r="K4532" s="200" t="s">
        <v>5878</v>
      </c>
      <c r="L4532" s="200" t="s">
        <v>7924</v>
      </c>
      <c r="M4532" s="200"/>
      <c r="N4532" s="200"/>
      <c r="O4532" s="200" t="s">
        <v>6336</v>
      </c>
      <c r="P4532" s="197" t="s">
        <v>461</v>
      </c>
      <c r="Q4532" s="200" t="s">
        <v>3946</v>
      </c>
      <c r="R4532" s="201" t="s">
        <v>5272</v>
      </c>
      <c r="S4532" s="390" t="s">
        <v>6335</v>
      </c>
      <c r="T4532" s="197"/>
      <c r="U4532" s="197"/>
      <c r="V4532" s="197"/>
      <c r="W4532" s="319" t="s">
        <v>5857</v>
      </c>
      <c r="X4532" s="651" t="s">
        <v>12461</v>
      </c>
      <c r="Y4532" s="358" t="s">
        <v>7018</v>
      </c>
      <c r="Z4532" s="253">
        <v>3999</v>
      </c>
      <c r="AA4532" s="253"/>
      <c r="AB4532" s="35">
        <f t="shared" ca="1" si="114"/>
        <v>0.28593410070670522</v>
      </c>
      <c r="AC4532" s="820"/>
      <c r="AD4532" s="821" t="s">
        <v>16093</v>
      </c>
      <c r="AE4532" s="944"/>
      <c r="AF4532" s="925">
        <f>IF(X4532=X4531,AF4531,0)+IF(ISNUMBER(I4532),IF(I4532&lt;1,I4532,I4532*VLOOKUP(J4532,Summary!$H$2:$I$9,2)),VLOOKUP(J4532,Summary!$J$2:$K$9,2)*IF(ISNUMBER(H4532),H4532,1))</f>
        <v>0.20047453703703699</v>
      </c>
      <c r="AG4532" s="293">
        <v>4531</v>
      </c>
      <c r="AH4532" s="94"/>
      <c r="AI4532" s="94"/>
      <c r="AJ4532" s="3"/>
    </row>
    <row r="4533" spans="1:36" s="1" customFormat="1" ht="12" customHeight="1" x14ac:dyDescent="0.25">
      <c r="A4533" s="553" t="s">
        <v>6333</v>
      </c>
      <c r="B4533" s="554" t="s">
        <v>4457</v>
      </c>
      <c r="C4533" s="610">
        <v>1.1299999999999999</v>
      </c>
      <c r="D4533" s="424" t="s">
        <v>4261</v>
      </c>
      <c r="E4533" s="319" t="s">
        <v>5858</v>
      </c>
      <c r="F4533" s="198">
        <v>40273</v>
      </c>
      <c r="G4533" s="198"/>
      <c r="H4533" s="199">
        <v>1</v>
      </c>
      <c r="I4533" s="791">
        <f>TIME(0,23,30)</f>
        <v>1.6319444444444445E-2</v>
      </c>
      <c r="J4533" s="904" t="s">
        <v>1588</v>
      </c>
      <c r="K4533" s="200" t="s">
        <v>4822</v>
      </c>
      <c r="L4533" s="200" t="s">
        <v>7924</v>
      </c>
      <c r="M4533" s="200"/>
      <c r="N4533" s="200"/>
      <c r="O4533" s="200" t="s">
        <v>6336</v>
      </c>
      <c r="P4533" s="197" t="s">
        <v>461</v>
      </c>
      <c r="Q4533" s="200" t="s">
        <v>3946</v>
      </c>
      <c r="R4533" s="201" t="s">
        <v>5272</v>
      </c>
      <c r="S4533" s="390" t="s">
        <v>6335</v>
      </c>
      <c r="T4533" s="197"/>
      <c r="U4533" s="197"/>
      <c r="V4533" s="197"/>
      <c r="W4533" s="319" t="s">
        <v>5858</v>
      </c>
      <c r="X4533" s="651" t="s">
        <v>12461</v>
      </c>
      <c r="Y4533" s="358" t="s">
        <v>7018</v>
      </c>
      <c r="Z4533" s="253">
        <v>3999</v>
      </c>
      <c r="AA4533" s="253"/>
      <c r="AB4533" s="35">
        <f t="shared" ca="1" si="114"/>
        <v>0.48623226533169239</v>
      </c>
      <c r="AC4533" s="820"/>
      <c r="AD4533" s="821" t="s">
        <v>16093</v>
      </c>
      <c r="AE4533" s="944"/>
      <c r="AF4533" s="925">
        <f>IF(X4533=X4532,AF4532,0)+IF(ISNUMBER(I4533),IF(I4533&lt;1,I4533,I4533*VLOOKUP(J4533,Summary!$H$2:$I$9,2)),VLOOKUP(J4533,Summary!$J$2:$K$9,2)*IF(ISNUMBER(H4533),H4533,1))</f>
        <v>0.21679398148148143</v>
      </c>
      <c r="AG4533" s="293">
        <v>4532</v>
      </c>
      <c r="AH4533" s="94"/>
      <c r="AI4533" s="94"/>
      <c r="AJ4533" s="2"/>
    </row>
    <row r="4534" spans="1:36" s="43" customFormat="1" ht="12" customHeight="1" x14ac:dyDescent="0.25">
      <c r="A4534" s="553" t="s">
        <v>6333</v>
      </c>
      <c r="B4534" s="554" t="s">
        <v>4457</v>
      </c>
      <c r="C4534" s="610">
        <v>1.1399999999999999</v>
      </c>
      <c r="D4534" s="424" t="s">
        <v>3819</v>
      </c>
      <c r="E4534" s="319" t="s">
        <v>5859</v>
      </c>
      <c r="F4534" s="198">
        <v>40280</v>
      </c>
      <c r="G4534" s="198"/>
      <c r="H4534" s="199">
        <v>1</v>
      </c>
      <c r="I4534" s="791">
        <f>TIME(0,26,17)</f>
        <v>1.8252314814814815E-2</v>
      </c>
      <c r="J4534" s="904" t="s">
        <v>1588</v>
      </c>
      <c r="K4534" s="200" t="s">
        <v>5877</v>
      </c>
      <c r="L4534" s="200" t="s">
        <v>4115</v>
      </c>
      <c r="M4534" s="200"/>
      <c r="N4534" s="200"/>
      <c r="O4534" s="200" t="s">
        <v>6336</v>
      </c>
      <c r="P4534" s="197" t="s">
        <v>461</v>
      </c>
      <c r="Q4534" s="200" t="s">
        <v>3946</v>
      </c>
      <c r="R4534" s="201" t="s">
        <v>5272</v>
      </c>
      <c r="S4534" s="390" t="s">
        <v>6335</v>
      </c>
      <c r="T4534" s="197"/>
      <c r="U4534" s="197"/>
      <c r="V4534" s="197"/>
      <c r="W4534" s="319" t="s">
        <v>5859</v>
      </c>
      <c r="X4534" s="651" t="s">
        <v>12461</v>
      </c>
      <c r="Y4534" s="358" t="s">
        <v>7018</v>
      </c>
      <c r="Z4534" s="253">
        <v>3999</v>
      </c>
      <c r="AA4534" s="253"/>
      <c r="AB4534" s="35">
        <f t="shared" ca="1" si="114"/>
        <v>0.58782288289774776</v>
      </c>
      <c r="AC4534" s="820"/>
      <c r="AD4534" s="821" t="s">
        <v>16093</v>
      </c>
      <c r="AE4534" s="944"/>
      <c r="AF4534" s="925">
        <f>IF(X4534=X4533,AF4533,0)+IF(ISNUMBER(I4534),IF(I4534&lt;1,I4534,I4534*VLOOKUP(J4534,Summary!$H$2:$I$9,2)),VLOOKUP(J4534,Summary!$J$2:$K$9,2)*IF(ISNUMBER(H4534),H4534,1))</f>
        <v>0.23504629629629625</v>
      </c>
      <c r="AG4534" s="293">
        <v>4533</v>
      </c>
      <c r="AH4534" s="94"/>
      <c r="AI4534" s="94"/>
      <c r="AJ4534" s="1"/>
    </row>
    <row r="4535" spans="1:36" s="3" customFormat="1" ht="12" customHeight="1" x14ac:dyDescent="0.25">
      <c r="A4535" s="553" t="s">
        <v>6333</v>
      </c>
      <c r="B4535" s="554" t="s">
        <v>4457</v>
      </c>
      <c r="C4535" s="610">
        <v>1.1499999999999999</v>
      </c>
      <c r="D4535" s="424" t="s">
        <v>3820</v>
      </c>
      <c r="E4535" s="319" t="s">
        <v>5860</v>
      </c>
      <c r="F4535" s="198">
        <v>40287</v>
      </c>
      <c r="G4535" s="198"/>
      <c r="H4535" s="199">
        <v>1</v>
      </c>
      <c r="I4535" s="791">
        <f>TIME(0,23,32)</f>
        <v>1.6342592592592593E-2</v>
      </c>
      <c r="J4535" s="904" t="s">
        <v>1588</v>
      </c>
      <c r="K4535" s="200" t="s">
        <v>4823</v>
      </c>
      <c r="L4535" s="200" t="s">
        <v>4111</v>
      </c>
      <c r="M4535" s="200"/>
      <c r="N4535" s="200"/>
      <c r="O4535" s="200" t="s">
        <v>6336</v>
      </c>
      <c r="P4535" s="197" t="s">
        <v>461</v>
      </c>
      <c r="Q4535" s="200" t="s">
        <v>3946</v>
      </c>
      <c r="R4535" s="201" t="s">
        <v>5272</v>
      </c>
      <c r="S4535" s="390" t="s">
        <v>6335</v>
      </c>
      <c r="T4535" s="197"/>
      <c r="U4535" s="197"/>
      <c r="V4535" s="197"/>
      <c r="W4535" s="319" t="s">
        <v>5860</v>
      </c>
      <c r="X4535" s="651" t="s">
        <v>12461</v>
      </c>
      <c r="Y4535" s="358" t="s">
        <v>7018</v>
      </c>
      <c r="Z4535" s="253">
        <v>3999</v>
      </c>
      <c r="AA4535" s="253"/>
      <c r="AB4535" s="35">
        <f t="shared" ca="1" si="114"/>
        <v>0.17501981103538677</v>
      </c>
      <c r="AC4535" s="820"/>
      <c r="AD4535" s="821" t="s">
        <v>16093</v>
      </c>
      <c r="AE4535" s="944"/>
      <c r="AF4535" s="925">
        <f>IF(X4535=X4534,AF4534,0)+IF(ISNUMBER(I4535),IF(I4535&lt;1,I4535,I4535*VLOOKUP(J4535,Summary!$H$2:$I$9,2)),VLOOKUP(J4535,Summary!$J$2:$K$9,2)*IF(ISNUMBER(H4535),H4535,1))</f>
        <v>0.25138888888888883</v>
      </c>
      <c r="AG4535" s="293">
        <v>4534</v>
      </c>
      <c r="AH4535" s="94"/>
      <c r="AI4535" s="94"/>
      <c r="AJ4535" s="29"/>
    </row>
    <row r="4536" spans="1:36" s="29" customFormat="1" ht="12" customHeight="1" x14ac:dyDescent="0.25">
      <c r="A4536" s="553" t="s">
        <v>6333</v>
      </c>
      <c r="B4536" s="554" t="s">
        <v>4457</v>
      </c>
      <c r="C4536" s="610">
        <v>1.1599999999999999</v>
      </c>
      <c r="D4536" s="424" t="s">
        <v>6926</v>
      </c>
      <c r="E4536" s="319" t="s">
        <v>5861</v>
      </c>
      <c r="F4536" s="198">
        <v>40294</v>
      </c>
      <c r="G4536" s="198"/>
      <c r="H4536" s="199">
        <v>1</v>
      </c>
      <c r="I4536" s="791">
        <f>TIME(0,23,31)</f>
        <v>1.6331018518518519E-2</v>
      </c>
      <c r="J4536" s="904" t="s">
        <v>1588</v>
      </c>
      <c r="K4536" s="200" t="s">
        <v>4824</v>
      </c>
      <c r="L4536" s="200" t="s">
        <v>4110</v>
      </c>
      <c r="M4536" s="200"/>
      <c r="N4536" s="200"/>
      <c r="O4536" s="200" t="s">
        <v>6336</v>
      </c>
      <c r="P4536" s="197" t="s">
        <v>461</v>
      </c>
      <c r="Q4536" s="200" t="s">
        <v>3946</v>
      </c>
      <c r="R4536" s="201" t="s">
        <v>5272</v>
      </c>
      <c r="S4536" s="390" t="s">
        <v>6335</v>
      </c>
      <c r="T4536" s="197"/>
      <c r="U4536" s="197"/>
      <c r="V4536" s="197"/>
      <c r="W4536" s="319" t="s">
        <v>5861</v>
      </c>
      <c r="X4536" s="651" t="s">
        <v>12461</v>
      </c>
      <c r="Y4536" s="358" t="s">
        <v>7018</v>
      </c>
      <c r="Z4536" s="253">
        <v>3999</v>
      </c>
      <c r="AA4536" s="253"/>
      <c r="AB4536" s="35">
        <f t="shared" ca="1" si="114"/>
        <v>0.76612914960380618</v>
      </c>
      <c r="AC4536" s="820"/>
      <c r="AD4536" s="824" t="s">
        <v>16094</v>
      </c>
      <c r="AE4536" s="944"/>
      <c r="AF4536" s="925">
        <f>IF(X4536=X4535,AF4535,0)+IF(ISNUMBER(I4536),IF(I4536&lt;1,I4536,I4536*VLOOKUP(J4536,Summary!$H$2:$I$9,2)),VLOOKUP(J4536,Summary!$J$2:$K$9,2)*IF(ISNUMBER(H4536),H4536,1))</f>
        <v>0.26771990740740736</v>
      </c>
      <c r="AG4536" s="293">
        <v>4535</v>
      </c>
      <c r="AH4536" s="94"/>
      <c r="AI4536" s="94"/>
    </row>
    <row r="4537" spans="1:36" s="29" customFormat="1" ht="12" customHeight="1" x14ac:dyDescent="0.25">
      <c r="A4537" s="553" t="s">
        <v>6333</v>
      </c>
      <c r="B4537" s="554" t="s">
        <v>4457</v>
      </c>
      <c r="C4537" s="610">
        <v>1.17</v>
      </c>
      <c r="D4537" s="424" t="s">
        <v>6927</v>
      </c>
      <c r="E4537" s="319" t="s">
        <v>5862</v>
      </c>
      <c r="F4537" s="198">
        <v>40301</v>
      </c>
      <c r="G4537" s="198"/>
      <c r="H4537" s="199">
        <v>1</v>
      </c>
      <c r="I4537" s="791">
        <f>TIME(0,26,17)</f>
        <v>1.8252314814814815E-2</v>
      </c>
      <c r="J4537" s="904" t="s">
        <v>1588</v>
      </c>
      <c r="K4537" s="200" t="s">
        <v>5874</v>
      </c>
      <c r="L4537" s="200" t="s">
        <v>4110</v>
      </c>
      <c r="M4537" s="200"/>
      <c r="N4537" s="200"/>
      <c r="O4537" s="200" t="s">
        <v>6336</v>
      </c>
      <c r="P4537" s="197" t="s">
        <v>461</v>
      </c>
      <c r="Q4537" s="200" t="s">
        <v>3946</v>
      </c>
      <c r="R4537" s="201" t="s">
        <v>5272</v>
      </c>
      <c r="S4537" s="390" t="s">
        <v>6335</v>
      </c>
      <c r="T4537" s="197"/>
      <c r="U4537" s="197"/>
      <c r="V4537" s="197"/>
      <c r="W4537" s="319" t="s">
        <v>5862</v>
      </c>
      <c r="X4537" s="651" t="s">
        <v>12461</v>
      </c>
      <c r="Y4537" s="358" t="s">
        <v>7018</v>
      </c>
      <c r="Z4537" s="253">
        <v>3999</v>
      </c>
      <c r="AA4537" s="253"/>
      <c r="AB4537" s="35">
        <f t="shared" ca="1" si="114"/>
        <v>0.94326120166543292</v>
      </c>
      <c r="AC4537" s="820"/>
      <c r="AD4537" s="821" t="s">
        <v>16093</v>
      </c>
      <c r="AE4537" s="944"/>
      <c r="AF4537" s="925">
        <f>IF(X4537=X4536,AF4536,0)+IF(ISNUMBER(I4537),IF(I4537&lt;1,I4537,I4537*VLOOKUP(J4537,Summary!$H$2:$I$9,2)),VLOOKUP(J4537,Summary!$J$2:$K$9,2)*IF(ISNUMBER(H4537),H4537,1))</f>
        <v>0.28597222222222218</v>
      </c>
      <c r="AG4537" s="293">
        <v>4536</v>
      </c>
      <c r="AH4537" s="94"/>
      <c r="AI4537" s="94"/>
    </row>
    <row r="4538" spans="1:36" s="29" customFormat="1" ht="12" customHeight="1" x14ac:dyDescent="0.25">
      <c r="A4538" s="553" t="s">
        <v>6333</v>
      </c>
      <c r="B4538" s="554" t="s">
        <v>4457</v>
      </c>
      <c r="C4538" s="610">
        <v>1.18</v>
      </c>
      <c r="D4538" s="424" t="s">
        <v>6928</v>
      </c>
      <c r="E4538" s="319" t="s">
        <v>5863</v>
      </c>
      <c r="F4538" s="198">
        <v>40308</v>
      </c>
      <c r="G4538" s="198"/>
      <c r="H4538" s="199">
        <v>1</v>
      </c>
      <c r="I4538" s="791">
        <f>TIME(0,23,33)</f>
        <v>1.6354166666666666E-2</v>
      </c>
      <c r="J4538" s="904" t="s">
        <v>1588</v>
      </c>
      <c r="K4538" s="200" t="s">
        <v>4825</v>
      </c>
      <c r="L4538" s="200" t="s">
        <v>4111</v>
      </c>
      <c r="M4538" s="200"/>
      <c r="N4538" s="200"/>
      <c r="O4538" s="200" t="s">
        <v>6336</v>
      </c>
      <c r="P4538" s="197" t="s">
        <v>461</v>
      </c>
      <c r="Q4538" s="200" t="s">
        <v>3946</v>
      </c>
      <c r="R4538" s="201" t="s">
        <v>5272</v>
      </c>
      <c r="S4538" s="390" t="s">
        <v>6335</v>
      </c>
      <c r="T4538" s="197"/>
      <c r="U4538" s="197"/>
      <c r="V4538" s="197"/>
      <c r="W4538" s="319" t="s">
        <v>5863</v>
      </c>
      <c r="X4538" s="651" t="s">
        <v>12461</v>
      </c>
      <c r="Y4538" s="358" t="s">
        <v>7018</v>
      </c>
      <c r="Z4538" s="253">
        <v>3999</v>
      </c>
      <c r="AA4538" s="253"/>
      <c r="AB4538" s="35">
        <f t="shared" ca="1" si="114"/>
        <v>0.7542452339865312</v>
      </c>
      <c r="AC4538" s="820"/>
      <c r="AD4538" s="821" t="s">
        <v>16093</v>
      </c>
      <c r="AE4538" s="944"/>
      <c r="AF4538" s="925">
        <f>IF(X4538=X4537,AF4537,0)+IF(ISNUMBER(I4538),IF(I4538&lt;1,I4538,I4538*VLOOKUP(J4538,Summary!$H$2:$I$9,2)),VLOOKUP(J4538,Summary!$J$2:$K$9,2)*IF(ISNUMBER(H4538),H4538,1))</f>
        <v>0.30232638888888885</v>
      </c>
      <c r="AG4538" s="293">
        <v>4537</v>
      </c>
      <c r="AH4538" s="94"/>
      <c r="AI4538" s="94"/>
    </row>
    <row r="4539" spans="1:36" s="29" customFormat="1" ht="12" customHeight="1" x14ac:dyDescent="0.25">
      <c r="A4539" s="553" t="s">
        <v>6333</v>
      </c>
      <c r="B4539" s="554" t="s">
        <v>4457</v>
      </c>
      <c r="C4539" s="610">
        <v>1.19</v>
      </c>
      <c r="D4539" s="424" t="s">
        <v>6929</v>
      </c>
      <c r="E4539" s="319" t="s">
        <v>5864</v>
      </c>
      <c r="F4539" s="198">
        <v>40315</v>
      </c>
      <c r="G4539" s="198"/>
      <c r="H4539" s="199">
        <v>1</v>
      </c>
      <c r="I4539" s="791">
        <f>TIME(0,23,31)</f>
        <v>1.6331018518518519E-2</v>
      </c>
      <c r="J4539" s="904" t="s">
        <v>1588</v>
      </c>
      <c r="K4539" s="200" t="s">
        <v>6337</v>
      </c>
      <c r="L4539" s="200" t="s">
        <v>4111</v>
      </c>
      <c r="M4539" s="200"/>
      <c r="N4539" s="200"/>
      <c r="O4539" s="200" t="s">
        <v>6336</v>
      </c>
      <c r="P4539" s="197" t="s">
        <v>461</v>
      </c>
      <c r="Q4539" s="200" t="s">
        <v>3946</v>
      </c>
      <c r="R4539" s="201" t="s">
        <v>5272</v>
      </c>
      <c r="S4539" s="390" t="s">
        <v>6335</v>
      </c>
      <c r="T4539" s="197"/>
      <c r="U4539" s="197"/>
      <c r="V4539" s="197"/>
      <c r="W4539" s="319" t="s">
        <v>5864</v>
      </c>
      <c r="X4539" s="651" t="s">
        <v>12461</v>
      </c>
      <c r="Y4539" s="358" t="s">
        <v>7018</v>
      </c>
      <c r="Z4539" s="253">
        <v>3999</v>
      </c>
      <c r="AA4539" s="253"/>
      <c r="AB4539" s="35">
        <f t="shared" ca="1" si="114"/>
        <v>9.3874144947487803E-3</v>
      </c>
      <c r="AC4539" s="820"/>
      <c r="AD4539" s="821" t="s">
        <v>16093</v>
      </c>
      <c r="AE4539" s="944"/>
      <c r="AF4539" s="925">
        <f>IF(X4539=X4538,AF4538,0)+IF(ISNUMBER(I4539),IF(I4539&lt;1,I4539,I4539*VLOOKUP(J4539,Summary!$H$2:$I$9,2)),VLOOKUP(J4539,Summary!$J$2:$K$9,2)*IF(ISNUMBER(H4539),H4539,1))</f>
        <v>0.31865740740740739</v>
      </c>
      <c r="AG4539" s="293">
        <v>4538</v>
      </c>
      <c r="AH4539" s="94"/>
      <c r="AI4539" s="94"/>
    </row>
    <row r="4540" spans="1:36" s="43" customFormat="1" ht="12" customHeight="1" x14ac:dyDescent="0.25">
      <c r="A4540" s="553" t="s">
        <v>6333</v>
      </c>
      <c r="B4540" s="554" t="s">
        <v>4457</v>
      </c>
      <c r="C4540" s="611">
        <v>1.2</v>
      </c>
      <c r="D4540" s="424" t="s">
        <v>2764</v>
      </c>
      <c r="E4540" s="319" t="s">
        <v>5865</v>
      </c>
      <c r="F4540" s="198">
        <v>40322</v>
      </c>
      <c r="G4540" s="198"/>
      <c r="H4540" s="199">
        <v>1</v>
      </c>
      <c r="I4540" s="791">
        <f>TIME(0,23,59)</f>
        <v>1.6655092592592593E-2</v>
      </c>
      <c r="J4540" s="904" t="s">
        <v>1588</v>
      </c>
      <c r="K4540" s="200" t="s">
        <v>4826</v>
      </c>
      <c r="L4540" s="200" t="s">
        <v>4110</v>
      </c>
      <c r="M4540" s="200"/>
      <c r="N4540" s="200"/>
      <c r="O4540" s="200" t="s">
        <v>6336</v>
      </c>
      <c r="P4540" s="197" t="s">
        <v>461</v>
      </c>
      <c r="Q4540" s="200" t="s">
        <v>3946</v>
      </c>
      <c r="R4540" s="201" t="s">
        <v>5272</v>
      </c>
      <c r="S4540" s="390" t="s">
        <v>6335</v>
      </c>
      <c r="T4540" s="197"/>
      <c r="U4540" s="197"/>
      <c r="V4540" s="197"/>
      <c r="W4540" s="319" t="s">
        <v>5865</v>
      </c>
      <c r="X4540" s="651" t="s">
        <v>12461</v>
      </c>
      <c r="Y4540" s="358" t="s">
        <v>7018</v>
      </c>
      <c r="Z4540" s="253">
        <v>3999</v>
      </c>
      <c r="AA4540" s="253"/>
      <c r="AB4540" s="35">
        <f t="shared" ca="1" si="114"/>
        <v>0.63167371043437903</v>
      </c>
      <c r="AC4540" s="820"/>
      <c r="AD4540" s="821" t="s">
        <v>16093</v>
      </c>
      <c r="AE4540" s="944"/>
      <c r="AF4540" s="925">
        <f>IF(X4540=X4539,AF4539,0)+IF(ISNUMBER(I4540),IF(I4540&lt;1,I4540,I4540*VLOOKUP(J4540,Summary!$H$2:$I$9,2)),VLOOKUP(J4540,Summary!$J$2:$K$9,2)*IF(ISNUMBER(H4540),H4540,1))</f>
        <v>0.33531249999999996</v>
      </c>
      <c r="AG4540" s="293">
        <v>4539</v>
      </c>
      <c r="AH4540" s="94"/>
      <c r="AI4540" s="94"/>
    </row>
    <row r="4541" spans="1:36" s="29" customFormat="1" ht="12" customHeight="1" x14ac:dyDescent="0.25">
      <c r="A4541" s="553" t="s">
        <v>6333</v>
      </c>
      <c r="B4541" s="554" t="s">
        <v>4457</v>
      </c>
      <c r="C4541" s="610">
        <v>1.21</v>
      </c>
      <c r="D4541" s="424" t="s">
        <v>2765</v>
      </c>
      <c r="E4541" s="319" t="s">
        <v>5866</v>
      </c>
      <c r="F4541" s="198">
        <v>40329</v>
      </c>
      <c r="G4541" s="198"/>
      <c r="H4541" s="199">
        <v>1</v>
      </c>
      <c r="I4541" s="791">
        <f>TIME(0,23,56)</f>
        <v>1.6620370370370372E-2</v>
      </c>
      <c r="J4541" s="904" t="s">
        <v>1588</v>
      </c>
      <c r="K4541" s="200" t="s">
        <v>5877</v>
      </c>
      <c r="L4541" s="200" t="s">
        <v>4111</v>
      </c>
      <c r="M4541" s="200"/>
      <c r="N4541" s="200"/>
      <c r="O4541" s="200" t="s">
        <v>6336</v>
      </c>
      <c r="P4541" s="197" t="s">
        <v>461</v>
      </c>
      <c r="Q4541" s="200" t="s">
        <v>3946</v>
      </c>
      <c r="R4541" s="201" t="s">
        <v>5272</v>
      </c>
      <c r="S4541" s="390" t="s">
        <v>6335</v>
      </c>
      <c r="T4541" s="197"/>
      <c r="U4541" s="197"/>
      <c r="V4541" s="197"/>
      <c r="W4541" s="319" t="s">
        <v>5866</v>
      </c>
      <c r="X4541" s="651" t="s">
        <v>12461</v>
      </c>
      <c r="Y4541" s="358" t="s">
        <v>7018</v>
      </c>
      <c r="Z4541" s="253">
        <v>3999</v>
      </c>
      <c r="AA4541" s="253"/>
      <c r="AB4541" s="35">
        <f t="shared" ca="1" si="114"/>
        <v>0.45970191049895426</v>
      </c>
      <c r="AC4541" s="820"/>
      <c r="AD4541" s="821" t="s">
        <v>16093</v>
      </c>
      <c r="AE4541" s="944"/>
      <c r="AF4541" s="925">
        <f>IF(X4541=X4540,AF4540,0)+IF(ISNUMBER(I4541),IF(I4541&lt;1,I4541,I4541*VLOOKUP(J4541,Summary!$H$2:$I$9,2)),VLOOKUP(J4541,Summary!$J$2:$K$9,2)*IF(ISNUMBER(H4541),H4541,1))</f>
        <v>0.35193287037037035</v>
      </c>
      <c r="AG4541" s="293">
        <v>4540</v>
      </c>
      <c r="AH4541" s="94"/>
      <c r="AI4541" s="94"/>
    </row>
    <row r="4542" spans="1:36" s="29" customFormat="1" ht="12" customHeight="1" x14ac:dyDescent="0.25">
      <c r="A4542" s="553" t="s">
        <v>6333</v>
      </c>
      <c r="B4542" s="554" t="s">
        <v>4457</v>
      </c>
      <c r="C4542" s="610">
        <v>1.22</v>
      </c>
      <c r="D4542" s="424" t="s">
        <v>2766</v>
      </c>
      <c r="E4542" s="319" t="s">
        <v>5867</v>
      </c>
      <c r="F4542" s="198">
        <v>40336</v>
      </c>
      <c r="G4542" s="198"/>
      <c r="H4542" s="199">
        <v>1</v>
      </c>
      <c r="I4542" s="791">
        <f>TIME(0,23,57)</f>
        <v>1.6631944444444446E-2</v>
      </c>
      <c r="J4542" s="904" t="s">
        <v>1588</v>
      </c>
      <c r="K4542" s="200" t="s">
        <v>3542</v>
      </c>
      <c r="L4542" s="200" t="s">
        <v>4109</v>
      </c>
      <c r="M4542" s="200"/>
      <c r="N4542" s="200"/>
      <c r="O4542" s="200" t="s">
        <v>6336</v>
      </c>
      <c r="P4542" s="197" t="s">
        <v>461</v>
      </c>
      <c r="Q4542" s="200" t="s">
        <v>3946</v>
      </c>
      <c r="R4542" s="201" t="s">
        <v>5272</v>
      </c>
      <c r="S4542" s="390" t="s">
        <v>6335</v>
      </c>
      <c r="T4542" s="197"/>
      <c r="U4542" s="197"/>
      <c r="V4542" s="197"/>
      <c r="W4542" s="319" t="s">
        <v>5867</v>
      </c>
      <c r="X4542" s="651" t="s">
        <v>12461</v>
      </c>
      <c r="Y4542" s="358" t="s">
        <v>7018</v>
      </c>
      <c r="Z4542" s="253">
        <v>3999</v>
      </c>
      <c r="AA4542" s="253"/>
      <c r="AB4542" s="35">
        <f t="shared" ca="1" si="114"/>
        <v>0.6132432977910286</v>
      </c>
      <c r="AC4542" s="820"/>
      <c r="AD4542" s="821" t="s">
        <v>16093</v>
      </c>
      <c r="AE4542" s="944"/>
      <c r="AF4542" s="925">
        <f>IF(X4542=X4541,AF4541,0)+IF(ISNUMBER(I4542),IF(I4542&lt;1,I4542,I4542*VLOOKUP(J4542,Summary!$H$2:$I$9,2)),VLOOKUP(J4542,Summary!$J$2:$K$9,2)*IF(ISNUMBER(H4542),H4542,1))</f>
        <v>0.36856481481481479</v>
      </c>
      <c r="AG4542" s="293">
        <v>4541</v>
      </c>
      <c r="AH4542" s="94"/>
      <c r="AI4542" s="94"/>
    </row>
    <row r="4543" spans="1:36" s="29" customFormat="1" ht="12" customHeight="1" x14ac:dyDescent="0.25">
      <c r="A4543" s="553" t="s">
        <v>6333</v>
      </c>
      <c r="B4543" s="554" t="s">
        <v>4457</v>
      </c>
      <c r="C4543" s="610">
        <v>1.23</v>
      </c>
      <c r="D4543" s="424" t="s">
        <v>2767</v>
      </c>
      <c r="E4543" s="319" t="s">
        <v>5868</v>
      </c>
      <c r="F4543" s="198">
        <v>40343</v>
      </c>
      <c r="G4543" s="198"/>
      <c r="H4543" s="199">
        <v>1</v>
      </c>
      <c r="I4543" s="791">
        <f>TIME(0,26,17)</f>
        <v>1.8252314814814815E-2</v>
      </c>
      <c r="J4543" s="904" t="s">
        <v>1588</v>
      </c>
      <c r="K4543" s="200" t="s">
        <v>1993</v>
      </c>
      <c r="L4543" s="200" t="s">
        <v>4111</v>
      </c>
      <c r="M4543" s="200"/>
      <c r="N4543" s="200"/>
      <c r="O4543" s="200" t="s">
        <v>6336</v>
      </c>
      <c r="P4543" s="197" t="s">
        <v>461</v>
      </c>
      <c r="Q4543" s="200" t="s">
        <v>3946</v>
      </c>
      <c r="R4543" s="201" t="s">
        <v>5272</v>
      </c>
      <c r="S4543" s="390" t="s">
        <v>6335</v>
      </c>
      <c r="T4543" s="197"/>
      <c r="U4543" s="197"/>
      <c r="V4543" s="197"/>
      <c r="W4543" s="319" t="s">
        <v>5868</v>
      </c>
      <c r="X4543" s="651" t="s">
        <v>12461</v>
      </c>
      <c r="Y4543" s="358" t="s">
        <v>7018</v>
      </c>
      <c r="Z4543" s="253">
        <v>3999</v>
      </c>
      <c r="AA4543" s="253"/>
      <c r="AB4543" s="35">
        <f t="shared" ca="1" si="114"/>
        <v>3.1184476491919799E-2</v>
      </c>
      <c r="AC4543" s="820"/>
      <c r="AD4543" s="821" t="s">
        <v>16093</v>
      </c>
      <c r="AE4543" s="944"/>
      <c r="AF4543" s="925">
        <f>IF(X4543=X4542,AF4542,0)+IF(ISNUMBER(I4543),IF(I4543&lt;1,I4543,I4543*VLOOKUP(J4543,Summary!$H$2:$I$9,2)),VLOOKUP(J4543,Summary!$J$2:$K$9,2)*IF(ISNUMBER(H4543),H4543,1))</f>
        <v>0.38681712962962961</v>
      </c>
      <c r="AG4543" s="293">
        <v>4542</v>
      </c>
      <c r="AH4543" s="94"/>
      <c r="AI4543" s="94"/>
    </row>
    <row r="4544" spans="1:36" s="29" customFormat="1" ht="12" customHeight="1" x14ac:dyDescent="0.25">
      <c r="A4544" s="553" t="s">
        <v>6333</v>
      </c>
      <c r="B4544" s="554" t="s">
        <v>4457</v>
      </c>
      <c r="C4544" s="610">
        <v>1.24</v>
      </c>
      <c r="D4544" s="424" t="s">
        <v>2768</v>
      </c>
      <c r="E4544" s="319" t="s">
        <v>5869</v>
      </c>
      <c r="F4544" s="198">
        <v>40350</v>
      </c>
      <c r="G4544" s="198"/>
      <c r="H4544" s="199">
        <v>1</v>
      </c>
      <c r="I4544" s="791">
        <f>TIME(0,23,58)</f>
        <v>1.6643518518518519E-2</v>
      </c>
      <c r="J4544" s="904" t="s">
        <v>1588</v>
      </c>
      <c r="K4544" s="200" t="s">
        <v>6337</v>
      </c>
      <c r="L4544" s="200" t="s">
        <v>4111</v>
      </c>
      <c r="M4544" s="200"/>
      <c r="N4544" s="200"/>
      <c r="O4544" s="200" t="s">
        <v>6336</v>
      </c>
      <c r="P4544" s="197" t="s">
        <v>461</v>
      </c>
      <c r="Q4544" s="200" t="s">
        <v>3946</v>
      </c>
      <c r="R4544" s="201" t="s">
        <v>5272</v>
      </c>
      <c r="S4544" s="390" t="s">
        <v>6335</v>
      </c>
      <c r="T4544" s="197"/>
      <c r="U4544" s="197"/>
      <c r="V4544" s="197"/>
      <c r="W4544" s="319" t="s">
        <v>5869</v>
      </c>
      <c r="X4544" s="651" t="s">
        <v>12461</v>
      </c>
      <c r="Y4544" s="358" t="s">
        <v>7018</v>
      </c>
      <c r="Z4544" s="253">
        <v>3999</v>
      </c>
      <c r="AA4544" s="253"/>
      <c r="AB4544" s="35">
        <f t="shared" ca="1" si="114"/>
        <v>0.17413905020453158</v>
      </c>
      <c r="AC4544" s="820"/>
      <c r="AD4544" s="821" t="s">
        <v>16093</v>
      </c>
      <c r="AE4544" s="944"/>
      <c r="AF4544" s="925">
        <f>IF(X4544=X4543,AF4543,0)+IF(ISNUMBER(I4544),IF(I4544&lt;1,I4544,I4544*VLOOKUP(J4544,Summary!$H$2:$I$9,2)),VLOOKUP(J4544,Summary!$J$2:$K$9,2)*IF(ISNUMBER(H4544),H4544,1))</f>
        <v>0.40346064814814814</v>
      </c>
      <c r="AG4544" s="293">
        <v>4543</v>
      </c>
      <c r="AH4544" s="94"/>
      <c r="AI4544" s="94"/>
    </row>
    <row r="4545" spans="1:36" s="29" customFormat="1" ht="12" customHeight="1" x14ac:dyDescent="0.25">
      <c r="A4545" s="553" t="s">
        <v>6333</v>
      </c>
      <c r="B4545" s="554" t="s">
        <v>4457</v>
      </c>
      <c r="C4545" s="610">
        <v>1.25</v>
      </c>
      <c r="D4545" s="424" t="s">
        <v>3844</v>
      </c>
      <c r="E4545" s="319" t="s">
        <v>5870</v>
      </c>
      <c r="F4545" s="198">
        <v>40357</v>
      </c>
      <c r="G4545" s="198"/>
      <c r="H4545" s="199">
        <v>1</v>
      </c>
      <c r="I4545" s="791">
        <f>TIME(0,23,59)</f>
        <v>1.6655092592592593E-2</v>
      </c>
      <c r="J4545" s="904" t="s">
        <v>1588</v>
      </c>
      <c r="K4545" s="200" t="s">
        <v>6337</v>
      </c>
      <c r="L4545" s="200" t="s">
        <v>4110</v>
      </c>
      <c r="M4545" s="200"/>
      <c r="N4545" s="200"/>
      <c r="O4545" s="200" t="s">
        <v>6336</v>
      </c>
      <c r="P4545" s="197" t="s">
        <v>461</v>
      </c>
      <c r="Q4545" s="200" t="s">
        <v>3946</v>
      </c>
      <c r="R4545" s="201" t="s">
        <v>5272</v>
      </c>
      <c r="S4545" s="390" t="s">
        <v>6335</v>
      </c>
      <c r="T4545" s="197"/>
      <c r="U4545" s="197"/>
      <c r="V4545" s="197"/>
      <c r="W4545" s="319" t="s">
        <v>5870</v>
      </c>
      <c r="X4545" s="651" t="s">
        <v>12461</v>
      </c>
      <c r="Y4545" s="358" t="s">
        <v>7018</v>
      </c>
      <c r="Z4545" s="253">
        <v>3999</v>
      </c>
      <c r="AA4545" s="253"/>
      <c r="AB4545" s="35">
        <f t="shared" ca="1" si="114"/>
        <v>0.90102455192510256</v>
      </c>
      <c r="AC4545" s="820"/>
      <c r="AD4545" s="821" t="s">
        <v>16093</v>
      </c>
      <c r="AE4545" s="944"/>
      <c r="AF4545" s="925">
        <f>IF(X4545=X4544,AF4544,0)+IF(ISNUMBER(I4545),IF(I4545&lt;1,I4545,I4545*VLOOKUP(J4545,Summary!$H$2:$I$9,2)),VLOOKUP(J4545,Summary!$J$2:$K$9,2)*IF(ISNUMBER(H4545),H4545,1))</f>
        <v>0.42011574074074071</v>
      </c>
      <c r="AG4545" s="293">
        <v>4544</v>
      </c>
      <c r="AH4545" s="94"/>
      <c r="AI4545" s="94"/>
    </row>
    <row r="4546" spans="1:36" s="29" customFormat="1" ht="12" customHeight="1" x14ac:dyDescent="0.25">
      <c r="A4546" s="553" t="s">
        <v>6333</v>
      </c>
      <c r="B4546" s="554" t="s">
        <v>4457</v>
      </c>
      <c r="C4546" s="610">
        <v>1.26</v>
      </c>
      <c r="D4546" s="424" t="s">
        <v>3845</v>
      </c>
      <c r="E4546" s="319" t="s">
        <v>5871</v>
      </c>
      <c r="F4546" s="198">
        <v>40364</v>
      </c>
      <c r="G4546" s="198"/>
      <c r="H4546" s="199">
        <v>1</v>
      </c>
      <c r="I4546" s="791">
        <f>TIME(0,24,0)</f>
        <v>1.6666666666666666E-2</v>
      </c>
      <c r="J4546" s="904" t="s">
        <v>1588</v>
      </c>
      <c r="K4546" s="200" t="s">
        <v>6337</v>
      </c>
      <c r="L4546" s="200" t="s">
        <v>4109</v>
      </c>
      <c r="M4546" s="200"/>
      <c r="N4546" s="200"/>
      <c r="O4546" s="200" t="s">
        <v>6336</v>
      </c>
      <c r="P4546" s="197" t="s">
        <v>461</v>
      </c>
      <c r="Q4546" s="200" t="s">
        <v>3946</v>
      </c>
      <c r="R4546" s="201" t="s">
        <v>5272</v>
      </c>
      <c r="S4546" s="390" t="s">
        <v>6335</v>
      </c>
      <c r="T4546" s="197"/>
      <c r="U4546" s="197"/>
      <c r="V4546" s="197"/>
      <c r="W4546" s="319" t="s">
        <v>5871</v>
      </c>
      <c r="X4546" s="651" t="s">
        <v>12461</v>
      </c>
      <c r="Y4546" s="358" t="s">
        <v>7018</v>
      </c>
      <c r="Z4546" s="253">
        <v>3999</v>
      </c>
      <c r="AA4546" s="253"/>
      <c r="AB4546" s="35">
        <f t="shared" ref="AB4546:AB4609" ca="1" si="115">RAND()</f>
        <v>0.90703051807424162</v>
      </c>
      <c r="AC4546" s="820"/>
      <c r="AD4546" s="821" t="s">
        <v>16093</v>
      </c>
      <c r="AE4546" s="944"/>
      <c r="AF4546" s="925">
        <f>IF(X4546=X4545,AF4545,0)+IF(ISNUMBER(I4546),IF(I4546&lt;1,I4546,I4546*VLOOKUP(J4546,Summary!$H$2:$I$9,2)),VLOOKUP(J4546,Summary!$J$2:$K$9,2)*IF(ISNUMBER(H4546),H4546,1))</f>
        <v>0.43678240740740737</v>
      </c>
      <c r="AG4546" s="293">
        <v>4545</v>
      </c>
      <c r="AH4546" s="94"/>
      <c r="AI4546" s="94"/>
    </row>
    <row r="4547" spans="1:36" s="29" customFormat="1" ht="12" customHeight="1" x14ac:dyDescent="0.25">
      <c r="A4547" s="612" t="s">
        <v>7759</v>
      </c>
      <c r="B4547" s="612">
        <v>11</v>
      </c>
      <c r="C4547" s="612">
        <v>203</v>
      </c>
      <c r="D4547" s="424">
        <v>31.1</v>
      </c>
      <c r="E4547" s="319" t="s">
        <v>2132</v>
      </c>
      <c r="F4547" s="198">
        <v>40271</v>
      </c>
      <c r="G4547" s="198"/>
      <c r="H4547" s="199">
        <v>1</v>
      </c>
      <c r="I4547" s="791">
        <f>TIME(0,64,28)</f>
        <v>4.476851851851852E-2</v>
      </c>
      <c r="J4547" s="904" t="s">
        <v>1588</v>
      </c>
      <c r="K4547" s="200" t="s">
        <v>3810</v>
      </c>
      <c r="L4547" s="200" t="s">
        <v>5293</v>
      </c>
      <c r="M4547" s="200"/>
      <c r="N4547" s="200" t="s">
        <v>3810</v>
      </c>
      <c r="O4547" s="200" t="s">
        <v>5004</v>
      </c>
      <c r="P4547" s="197" t="s">
        <v>461</v>
      </c>
      <c r="Q4547" s="200" t="s">
        <v>3946</v>
      </c>
      <c r="R4547" s="201" t="s">
        <v>5280</v>
      </c>
      <c r="S4547" s="390" t="s">
        <v>2614</v>
      </c>
      <c r="T4547" s="197"/>
      <c r="U4547" s="197"/>
      <c r="V4547" s="197"/>
      <c r="W4547" s="319" t="s">
        <v>2132</v>
      </c>
      <c r="X4547" s="651" t="s">
        <v>15473</v>
      </c>
      <c r="Y4547" s="358" t="s">
        <v>7018</v>
      </c>
      <c r="Z4547" s="253">
        <v>24</v>
      </c>
      <c r="AA4547" s="253">
        <v>9</v>
      </c>
      <c r="AB4547" s="35">
        <f t="shared" ca="1" si="115"/>
        <v>0.97284035481418674</v>
      </c>
      <c r="AC4547" s="820"/>
      <c r="AD4547" s="821" t="s">
        <v>16052</v>
      </c>
      <c r="AE4547" s="967"/>
      <c r="AF4547" s="925">
        <f>IF(X4547=X4546,AF4546,0)+IF(ISNUMBER(I4547),IF(I4547&lt;1,I4547,I4547*VLOOKUP(J4547,Summary!$H$2:$I$9,2)),VLOOKUP(J4547,Summary!$J$2:$K$9,2)*IF(ISNUMBER(H4547),H4547,1))</f>
        <v>4.476851851851852E-2</v>
      </c>
      <c r="AG4547" s="293">
        <v>4546</v>
      </c>
      <c r="AH4547" s="94"/>
      <c r="AI4547" s="94"/>
    </row>
    <row r="4548" spans="1:36" s="10" customFormat="1" ht="12" customHeight="1" x14ac:dyDescent="0.25">
      <c r="A4548" s="613" t="s">
        <v>7759</v>
      </c>
      <c r="B4548" s="613">
        <v>11</v>
      </c>
      <c r="C4548" s="613">
        <v>1</v>
      </c>
      <c r="D4548" s="509" t="s">
        <v>238</v>
      </c>
      <c r="E4548" s="335" t="s">
        <v>7954</v>
      </c>
      <c r="F4548" s="223">
        <v>40490</v>
      </c>
      <c r="G4548" s="223"/>
      <c r="H4548" s="242">
        <v>1</v>
      </c>
      <c r="I4548" s="792">
        <f>TIME(0, 2,46)</f>
        <v>1.9212962962962962E-3</v>
      </c>
      <c r="J4548" s="909" t="s">
        <v>1588</v>
      </c>
      <c r="K4548" s="243" t="s">
        <v>3810</v>
      </c>
      <c r="L4548" s="243" t="s">
        <v>6332</v>
      </c>
      <c r="M4548" s="243"/>
      <c r="N4548" s="243" t="s">
        <v>3810</v>
      </c>
      <c r="O4548" s="243" t="s">
        <v>518</v>
      </c>
      <c r="P4548" s="241" t="s">
        <v>461</v>
      </c>
      <c r="Q4548" s="243" t="s">
        <v>3946</v>
      </c>
      <c r="R4548" s="244" t="s">
        <v>237</v>
      </c>
      <c r="S4548" s="395" t="s">
        <v>2614</v>
      </c>
      <c r="T4548" s="241"/>
      <c r="U4548" s="241"/>
      <c r="V4548" s="241"/>
      <c r="W4548" s="339" t="s">
        <v>10121</v>
      </c>
      <c r="X4548" s="672" t="s">
        <v>15473</v>
      </c>
      <c r="Y4548" s="375"/>
      <c r="Z4548" s="376">
        <v>297</v>
      </c>
      <c r="AA4548" s="377">
        <v>1.5</v>
      </c>
      <c r="AB4548" s="55">
        <f t="shared" ca="1" si="115"/>
        <v>0.98633945429007619</v>
      </c>
      <c r="AC4548" s="834"/>
      <c r="AD4548" s="835"/>
      <c r="AE4548" s="957"/>
      <c r="AF4548" s="930">
        <f>IF(X4548=X4547,AF4547,0)+IF(ISNUMBER(I4548),IF(I4548&lt;1,I4548,I4548*VLOOKUP(J4548,Summary!$H$2:$I$9,2)),VLOOKUP(J4548,Summary!$J$2:$K$9,2)*IF(ISNUMBER(H4548),H4548,1))</f>
        <v>4.6689814814814816E-2</v>
      </c>
      <c r="AG4548" s="302">
        <v>4547</v>
      </c>
      <c r="AH4548" s="94"/>
      <c r="AI4548" s="94"/>
    </row>
    <row r="4549" spans="1:36" s="29" customFormat="1" ht="12" customHeight="1" x14ac:dyDescent="0.25">
      <c r="A4549" s="612" t="s">
        <v>7759</v>
      </c>
      <c r="B4549" s="612">
        <v>11</v>
      </c>
      <c r="C4549" s="612">
        <v>204</v>
      </c>
      <c r="D4549" s="424">
        <v>31.2</v>
      </c>
      <c r="E4549" s="319" t="s">
        <v>5013</v>
      </c>
      <c r="F4549" s="198">
        <v>40278</v>
      </c>
      <c r="G4549" s="198"/>
      <c r="H4549" s="199">
        <v>1</v>
      </c>
      <c r="I4549" s="791">
        <f>TIME(0,41,58)</f>
        <v>2.9143518518518517E-2</v>
      </c>
      <c r="J4549" s="904" t="s">
        <v>1588</v>
      </c>
      <c r="K4549" s="200" t="s">
        <v>3810</v>
      </c>
      <c r="L4549" s="200" t="s">
        <v>5014</v>
      </c>
      <c r="M4549" s="200"/>
      <c r="N4549" s="200" t="s">
        <v>3810</v>
      </c>
      <c r="O4549" s="200" t="s">
        <v>5004</v>
      </c>
      <c r="P4549" s="197" t="s">
        <v>461</v>
      </c>
      <c r="Q4549" s="200" t="s">
        <v>3946</v>
      </c>
      <c r="R4549" s="201" t="s">
        <v>5280</v>
      </c>
      <c r="S4549" s="390" t="s">
        <v>2614</v>
      </c>
      <c r="T4549" s="197"/>
      <c r="U4549" s="197"/>
      <c r="V4549" s="197"/>
      <c r="W4549" s="319" t="s">
        <v>5013</v>
      </c>
      <c r="X4549" s="651" t="s">
        <v>15473</v>
      </c>
      <c r="Y4549" s="358" t="s">
        <v>7018</v>
      </c>
      <c r="Z4549" s="253">
        <v>208</v>
      </c>
      <c r="AA4549" s="253">
        <v>4.5</v>
      </c>
      <c r="AB4549" s="35">
        <f t="shared" ca="1" si="115"/>
        <v>0.17228269950453834</v>
      </c>
      <c r="AC4549" s="820"/>
      <c r="AD4549" s="821" t="s">
        <v>16354</v>
      </c>
      <c r="AE4549" s="967" t="s">
        <v>3365</v>
      </c>
      <c r="AF4549" s="925">
        <f>IF(X4549=X4548,AF4548,0)+IF(ISNUMBER(I4549),IF(I4549&lt;1,I4549,I4549*VLOOKUP(J4549,Summary!$H$2:$I$9,2)),VLOOKUP(J4549,Summary!$J$2:$K$9,2)*IF(ISNUMBER(H4549),H4549,1))</f>
        <v>7.5833333333333336E-2</v>
      </c>
      <c r="AG4549" s="293">
        <v>4548</v>
      </c>
      <c r="AH4549" s="94"/>
      <c r="AI4549" s="94"/>
    </row>
    <row r="4550" spans="1:36" s="22" customFormat="1" ht="12" customHeight="1" x14ac:dyDescent="0.25">
      <c r="A4550" s="612" t="s">
        <v>7759</v>
      </c>
      <c r="B4550" s="612">
        <v>11</v>
      </c>
      <c r="C4550" s="612">
        <v>205</v>
      </c>
      <c r="D4550" s="424" t="s">
        <v>8398</v>
      </c>
      <c r="E4550" s="319" t="s">
        <v>5296</v>
      </c>
      <c r="F4550" s="198">
        <v>40285</v>
      </c>
      <c r="G4550" s="198"/>
      <c r="H4550" s="199">
        <v>1</v>
      </c>
      <c r="I4550" s="791">
        <f>TIME(0,42,29)</f>
        <v>2.9502314814814815E-2</v>
      </c>
      <c r="J4550" s="904" t="s">
        <v>1588</v>
      </c>
      <c r="K4550" s="200" t="s">
        <v>4964</v>
      </c>
      <c r="L4550" s="200" t="s">
        <v>5014</v>
      </c>
      <c r="M4550" s="200"/>
      <c r="N4550" s="200" t="s">
        <v>3810</v>
      </c>
      <c r="O4550" s="200" t="s">
        <v>5004</v>
      </c>
      <c r="P4550" s="197" t="s">
        <v>461</v>
      </c>
      <c r="Q4550" s="200" t="s">
        <v>3946</v>
      </c>
      <c r="R4550" s="201" t="s">
        <v>5280</v>
      </c>
      <c r="S4550" s="390" t="s">
        <v>2614</v>
      </c>
      <c r="T4550" s="197"/>
      <c r="U4550" s="197"/>
      <c r="V4550" s="197"/>
      <c r="W4550" s="319" t="s">
        <v>5296</v>
      </c>
      <c r="X4550" s="651" t="s">
        <v>15473</v>
      </c>
      <c r="Y4550" s="358" t="s">
        <v>7018</v>
      </c>
      <c r="Z4550" s="253">
        <v>239</v>
      </c>
      <c r="AA4550" s="253">
        <v>3.5</v>
      </c>
      <c r="AB4550" s="35">
        <f t="shared" ca="1" si="115"/>
        <v>0.73267003333684433</v>
      </c>
      <c r="AC4550" s="820"/>
      <c r="AD4550" s="821" t="s">
        <v>16724</v>
      </c>
      <c r="AE4550" s="967"/>
      <c r="AF4550" s="925">
        <f>IF(X4550=X4549,AF4549,0)+IF(ISNUMBER(I4550),IF(I4550&lt;1,I4550,I4550*VLOOKUP(J4550,Summary!$H$2:$I$9,2)),VLOOKUP(J4550,Summary!$J$2:$K$9,2)*IF(ISNUMBER(H4550),H4550,1))</f>
        <v>0.10533564814814815</v>
      </c>
      <c r="AG4550" s="293">
        <v>4549</v>
      </c>
      <c r="AH4550" s="94"/>
      <c r="AI4550" s="94"/>
    </row>
    <row r="4551" spans="1:36" s="29" customFormat="1" ht="12" customHeight="1" x14ac:dyDescent="0.25">
      <c r="A4551" s="614" t="s">
        <v>7759</v>
      </c>
      <c r="B4551" s="614">
        <v>11</v>
      </c>
      <c r="C4551" s="614">
        <v>120</v>
      </c>
      <c r="D4551" s="185" t="s">
        <v>597</v>
      </c>
      <c r="E4551" s="314" t="s">
        <v>598</v>
      </c>
      <c r="F4551" s="184">
        <v>40269</v>
      </c>
      <c r="G4551" s="184">
        <v>40282</v>
      </c>
      <c r="H4551" s="185">
        <v>2</v>
      </c>
      <c r="I4551" s="185">
        <v>8</v>
      </c>
      <c r="J4551" s="901" t="s">
        <v>1796</v>
      </c>
      <c r="K4551" s="163" t="s">
        <v>1641</v>
      </c>
      <c r="L4551" s="163" t="s">
        <v>3832</v>
      </c>
      <c r="M4551" s="163" t="s">
        <v>254</v>
      </c>
      <c r="N4551" s="163" t="s">
        <v>5317</v>
      </c>
      <c r="O4551" s="163"/>
      <c r="P4551" s="182" t="s">
        <v>461</v>
      </c>
      <c r="Q4551" s="163" t="s">
        <v>4929</v>
      </c>
      <c r="R4551" s="186" t="s">
        <v>4796</v>
      </c>
      <c r="S4551" s="355" t="s">
        <v>2614</v>
      </c>
      <c r="T4551" s="182"/>
      <c r="U4551" s="182"/>
      <c r="V4551" s="182"/>
      <c r="W4551" s="314"/>
      <c r="X4551" s="646" t="s">
        <v>15473</v>
      </c>
      <c r="Y4551" s="355"/>
      <c r="Z4551" s="185"/>
      <c r="AA4551" s="185"/>
      <c r="AB4551" s="33">
        <f t="shared" ca="1" si="115"/>
        <v>0.723405284449814</v>
      </c>
      <c r="AC4551" s="813"/>
      <c r="AD4551" s="211"/>
      <c r="AE4551" s="941"/>
      <c r="AF4551" s="922">
        <f>IF(X4551=X4550,AF4550,0)+IF(ISNUMBER(I4551),IF(I4551&lt;1,I4551,I4551*VLOOKUP(J4551,Summary!$H$2:$I$9,2)),VLOOKUP(J4551,Summary!$J$2:$K$9,2)*IF(ISNUMBER(H4551),H4551,1))</f>
        <v>0.10811342592592593</v>
      </c>
      <c r="AG4551" s="290">
        <v>4550</v>
      </c>
      <c r="AH4551" s="94"/>
      <c r="AI4551" s="94"/>
    </row>
    <row r="4552" spans="1:36" s="22" customFormat="1" ht="12" customHeight="1" x14ac:dyDescent="0.2">
      <c r="A4552" s="614" t="s">
        <v>7759</v>
      </c>
      <c r="B4552" s="614">
        <v>11</v>
      </c>
      <c r="C4552" s="614">
        <v>121</v>
      </c>
      <c r="D4552" s="185" t="s">
        <v>731</v>
      </c>
      <c r="E4552" s="314" t="s">
        <v>730</v>
      </c>
      <c r="F4552" s="184">
        <v>40283</v>
      </c>
      <c r="G4552" s="184">
        <v>40289</v>
      </c>
      <c r="H4552" s="185">
        <v>1</v>
      </c>
      <c r="I4552" s="185">
        <v>4</v>
      </c>
      <c r="J4552" s="901" t="s">
        <v>1796</v>
      </c>
      <c r="K4552" s="163" t="s">
        <v>1641</v>
      </c>
      <c r="L4552" s="163" t="s">
        <v>3832</v>
      </c>
      <c r="M4552" s="163" t="s">
        <v>254</v>
      </c>
      <c r="N4552" s="163" t="s">
        <v>5317</v>
      </c>
      <c r="O4552" s="163"/>
      <c r="P4552" s="182" t="s">
        <v>461</v>
      </c>
      <c r="Q4552" s="163" t="s">
        <v>4929</v>
      </c>
      <c r="R4552" s="186" t="s">
        <v>4796</v>
      </c>
      <c r="S4552" s="355" t="s">
        <v>2614</v>
      </c>
      <c r="T4552" s="182"/>
      <c r="U4552" s="182"/>
      <c r="V4552" s="182"/>
      <c r="W4552" s="314" t="s">
        <v>730</v>
      </c>
      <c r="X4552" s="646" t="s">
        <v>15473</v>
      </c>
      <c r="Y4552" s="355"/>
      <c r="Z4552" s="185"/>
      <c r="AA4552" s="185"/>
      <c r="AB4552" s="33">
        <f t="shared" ca="1" si="115"/>
        <v>0.56416046463400793</v>
      </c>
      <c r="AC4552" s="813"/>
      <c r="AD4552" s="211"/>
      <c r="AE4552" s="941"/>
      <c r="AF4552" s="922">
        <f>IF(X4552=X4551,AF4551,0)+IF(ISNUMBER(I4552),IF(I4552&lt;1,I4552,I4552*VLOOKUP(J4552,Summary!$H$2:$I$9,2)),VLOOKUP(J4552,Summary!$J$2:$K$9,2)*IF(ISNUMBER(H4552),H4552,1))</f>
        <v>0.10950231481481482</v>
      </c>
      <c r="AG4552" s="290">
        <v>4551</v>
      </c>
      <c r="AH4552" s="94"/>
      <c r="AI4552" s="94"/>
    </row>
    <row r="4553" spans="1:36" s="29" customFormat="1" ht="12" customHeight="1" x14ac:dyDescent="0.25">
      <c r="A4553" s="616" t="s">
        <v>7759</v>
      </c>
      <c r="B4553" s="616">
        <v>11</v>
      </c>
      <c r="C4553" s="616">
        <v>13</v>
      </c>
      <c r="D4553" s="619" t="s">
        <v>15581</v>
      </c>
      <c r="E4553" s="345" t="s">
        <v>15582</v>
      </c>
      <c r="F4553" s="219">
        <v>40297</v>
      </c>
      <c r="G4553" s="219"/>
      <c r="H4553" s="210" t="s">
        <v>461</v>
      </c>
      <c r="I4553" s="210">
        <v>192</v>
      </c>
      <c r="J4553" s="908" t="s">
        <v>15556</v>
      </c>
      <c r="K4553" s="166" t="s">
        <v>6355</v>
      </c>
      <c r="L4553" s="166"/>
      <c r="M4553" s="166"/>
      <c r="N4553" s="166"/>
      <c r="O4553" s="166"/>
      <c r="P4553" s="267" t="s">
        <v>15584</v>
      </c>
      <c r="Q4553" s="166" t="s">
        <v>3953</v>
      </c>
      <c r="R4553" s="268" t="s">
        <v>15583</v>
      </c>
      <c r="S4553" s="386" t="s">
        <v>2614</v>
      </c>
      <c r="T4553" s="267"/>
      <c r="U4553" s="267"/>
      <c r="V4553" s="267"/>
      <c r="W4553" s="345" t="s">
        <v>15582</v>
      </c>
      <c r="X4553" s="680" t="s">
        <v>15473</v>
      </c>
      <c r="Y4553" s="384"/>
      <c r="Z4553" s="385"/>
      <c r="AA4553" s="385"/>
      <c r="AB4553" s="41">
        <f t="shared" ca="1" si="115"/>
        <v>0.41610936895750594</v>
      </c>
      <c r="AC4553" s="832"/>
      <c r="AD4553" s="833"/>
      <c r="AE4553" s="956"/>
      <c r="AF4553" s="929">
        <f>IF(X4553=X4552,AF4552,0)+IF(ISNUMBER(I4553),IF(I4553&lt;1,I4553,I4553*VLOOKUP(J4553,Summary!$H$2:$I$9,2)),VLOOKUP(J4553,Summary!$J$2:$K$9,2)*IF(ISNUMBER(H4553),H4553,1))</f>
        <v>0.17616898148148147</v>
      </c>
      <c r="AG4553" s="307">
        <v>4552</v>
      </c>
      <c r="AH4553" s="94"/>
      <c r="AI4553" s="94"/>
    </row>
    <row r="4554" spans="1:36" s="29" customFormat="1" ht="12" customHeight="1" x14ac:dyDescent="0.25">
      <c r="A4554" s="615" t="s">
        <v>7759</v>
      </c>
      <c r="B4554" s="615">
        <v>11</v>
      </c>
      <c r="C4554" s="615">
        <v>37</v>
      </c>
      <c r="D4554" s="417" t="s">
        <v>7721</v>
      </c>
      <c r="E4554" s="316" t="s">
        <v>1645</v>
      </c>
      <c r="F4554" s="195">
        <v>40290</v>
      </c>
      <c r="G4554" s="195"/>
      <c r="H4554" s="188" t="str">
        <f>IF(J4554="Book","n/a","")</f>
        <v>n/a</v>
      </c>
      <c r="I4554" s="188">
        <v>248</v>
      </c>
      <c r="J4554" s="902" t="s">
        <v>6868</v>
      </c>
      <c r="K4554" s="162" t="s">
        <v>543</v>
      </c>
      <c r="L4554" s="162" t="str">
        <f>IF(J4554="Book","n/a","")</f>
        <v>n/a</v>
      </c>
      <c r="M4554" s="162"/>
      <c r="N4554" s="162"/>
      <c r="O4554" s="162"/>
      <c r="P4554" s="178" t="s">
        <v>9052</v>
      </c>
      <c r="Q4554" s="162" t="s">
        <v>3953</v>
      </c>
      <c r="R4554" s="189" t="s">
        <v>2711</v>
      </c>
      <c r="S4554" s="366" t="s">
        <v>2614</v>
      </c>
      <c r="T4554" s="178"/>
      <c r="U4554" s="178"/>
      <c r="V4554" s="178"/>
      <c r="W4554" s="316" t="s">
        <v>1645</v>
      </c>
      <c r="X4554" s="648" t="s">
        <v>15473</v>
      </c>
      <c r="Y4554" s="356" t="s">
        <v>6868</v>
      </c>
      <c r="Z4554" s="272">
        <v>109</v>
      </c>
      <c r="AA4554" s="272">
        <v>5</v>
      </c>
      <c r="AB4554" s="34">
        <f t="shared" ca="1" si="115"/>
        <v>0.71203348390553922</v>
      </c>
      <c r="AC4554" s="814"/>
      <c r="AD4554" s="815" t="s">
        <v>15875</v>
      </c>
      <c r="AE4554" s="942"/>
      <c r="AF4554" s="923">
        <f>IF(X4554=X4553,AF4553,0)+IF(ISNUMBER(I4554),IF(I4554&lt;1,I4554,I4554*VLOOKUP(J4554,Summary!$H$2:$I$9,2)),VLOOKUP(J4554,Summary!$J$2:$K$9,2)*IF(ISNUMBER(H4554),H4554,1))</f>
        <v>0.34839120370370369</v>
      </c>
      <c r="AG4554" s="291">
        <v>4553</v>
      </c>
      <c r="AH4554" s="94"/>
      <c r="AI4554" s="94"/>
    </row>
    <row r="4555" spans="1:36" s="29" customFormat="1" ht="12" customHeight="1" x14ac:dyDescent="0.25">
      <c r="A4555" s="616" t="s">
        <v>7759</v>
      </c>
      <c r="B4555" s="616">
        <v>11</v>
      </c>
      <c r="C4555" s="616">
        <v>38</v>
      </c>
      <c r="D4555" s="417" t="s">
        <v>7722</v>
      </c>
      <c r="E4555" s="316" t="s">
        <v>5140</v>
      </c>
      <c r="F4555" s="195">
        <v>40290</v>
      </c>
      <c r="G4555" s="195"/>
      <c r="H4555" s="188" t="str">
        <f>IF(J4555="Book","n/a","")</f>
        <v>n/a</v>
      </c>
      <c r="I4555" s="188">
        <v>246</v>
      </c>
      <c r="J4555" s="902" t="s">
        <v>6868</v>
      </c>
      <c r="K4555" s="162" t="s">
        <v>4146</v>
      </c>
      <c r="L4555" s="162" t="str">
        <f>IF(J4555="Book","n/a","")</f>
        <v>n/a</v>
      </c>
      <c r="M4555" s="162"/>
      <c r="N4555" s="162"/>
      <c r="O4555" s="162"/>
      <c r="P4555" s="178" t="s">
        <v>9053</v>
      </c>
      <c r="Q4555" s="162" t="s">
        <v>3953</v>
      </c>
      <c r="R4555" s="189" t="s">
        <v>2711</v>
      </c>
      <c r="S4555" s="366" t="s">
        <v>2614</v>
      </c>
      <c r="T4555" s="178"/>
      <c r="U4555" s="178"/>
      <c r="V4555" s="178"/>
      <c r="W4555" s="316" t="s">
        <v>5140</v>
      </c>
      <c r="X4555" s="648" t="s">
        <v>15473</v>
      </c>
      <c r="Y4555" s="356" t="s">
        <v>6868</v>
      </c>
      <c r="Z4555" s="272"/>
      <c r="AA4555" s="272"/>
      <c r="AB4555" s="34">
        <f t="shared" ca="1" si="115"/>
        <v>0.66058524601453972</v>
      </c>
      <c r="AC4555" s="814"/>
      <c r="AD4555" s="815" t="s">
        <v>16506</v>
      </c>
      <c r="AE4555" s="942"/>
      <c r="AF4555" s="923">
        <f>IF(X4555=X4554,AF4554,0)+IF(ISNUMBER(I4555),IF(I4555&lt;1,I4555,I4555*VLOOKUP(J4555,Summary!$H$2:$I$9,2)),VLOOKUP(J4555,Summary!$J$2:$K$9,2)*IF(ISNUMBER(H4555),H4555,1))</f>
        <v>0.51922453703703697</v>
      </c>
      <c r="AG4555" s="291">
        <v>4554</v>
      </c>
      <c r="AH4555" s="94"/>
      <c r="AI4555" s="94"/>
    </row>
    <row r="4556" spans="1:36" s="29" customFormat="1" ht="12" customHeight="1" x14ac:dyDescent="0.25">
      <c r="A4556" s="616" t="s">
        <v>7759</v>
      </c>
      <c r="B4556" s="616">
        <v>11</v>
      </c>
      <c r="C4556" s="616">
        <v>14</v>
      </c>
      <c r="D4556" s="619" t="s">
        <v>15585</v>
      </c>
      <c r="E4556" s="345" t="s">
        <v>15586</v>
      </c>
      <c r="F4556" s="219">
        <v>40297</v>
      </c>
      <c r="G4556" s="219"/>
      <c r="H4556" s="210" t="s">
        <v>461</v>
      </c>
      <c r="I4556" s="210">
        <v>192</v>
      </c>
      <c r="J4556" s="908" t="s">
        <v>15556</v>
      </c>
      <c r="K4556" s="166" t="s">
        <v>4032</v>
      </c>
      <c r="L4556" s="166"/>
      <c r="M4556" s="166"/>
      <c r="N4556" s="166"/>
      <c r="O4556" s="166"/>
      <c r="P4556" s="267" t="s">
        <v>15587</v>
      </c>
      <c r="Q4556" s="166" t="s">
        <v>3953</v>
      </c>
      <c r="R4556" s="268" t="s">
        <v>15583</v>
      </c>
      <c r="S4556" s="386" t="s">
        <v>2614</v>
      </c>
      <c r="T4556" s="267"/>
      <c r="U4556" s="267"/>
      <c r="V4556" s="267"/>
      <c r="W4556" s="345" t="s">
        <v>15586</v>
      </c>
      <c r="X4556" s="680" t="s">
        <v>15473</v>
      </c>
      <c r="Y4556" s="384"/>
      <c r="Z4556" s="385"/>
      <c r="AA4556" s="385"/>
      <c r="AB4556" s="41">
        <f t="shared" ca="1" si="115"/>
        <v>8.1573186936757192E-2</v>
      </c>
      <c r="AC4556" s="832"/>
      <c r="AD4556" s="833"/>
      <c r="AE4556" s="956"/>
      <c r="AF4556" s="929">
        <f>IF(X4556=X4555,AF4555,0)+IF(ISNUMBER(I4556),IF(I4556&lt;1,I4556,I4556*VLOOKUP(J4556,Summary!$H$2:$I$9,2)),VLOOKUP(J4556,Summary!$J$2:$K$9,2)*IF(ISNUMBER(H4556),H4556,1))</f>
        <v>0.58589120370370362</v>
      </c>
      <c r="AG4556" s="307">
        <v>4555</v>
      </c>
      <c r="AH4556" s="94"/>
      <c r="AI4556" s="94"/>
    </row>
    <row r="4557" spans="1:36" s="29" customFormat="1" ht="12" customHeight="1" x14ac:dyDescent="0.25">
      <c r="A4557" s="617" t="s">
        <v>7759</v>
      </c>
      <c r="B4557" s="617">
        <v>11</v>
      </c>
      <c r="C4557" s="617">
        <v>9</v>
      </c>
      <c r="D4557" s="407" t="s">
        <v>4136</v>
      </c>
      <c r="E4557" s="315" t="s">
        <v>1640</v>
      </c>
      <c r="F4557" s="196">
        <v>40313</v>
      </c>
      <c r="G4557" s="196"/>
      <c r="H4557" s="170">
        <v>1</v>
      </c>
      <c r="I4557" s="746">
        <f>TIME(1,2,43)</f>
        <v>4.355324074074074E-2</v>
      </c>
      <c r="J4557" s="899" t="s">
        <v>4706</v>
      </c>
      <c r="K4557" s="167" t="s">
        <v>1641</v>
      </c>
      <c r="L4557" s="167" t="str">
        <f>IF(J4557="Book","n/a","")</f>
        <v/>
      </c>
      <c r="M4557" s="167" t="s">
        <v>932</v>
      </c>
      <c r="N4557" s="167"/>
      <c r="O4557" s="167"/>
      <c r="P4557" s="168" t="s">
        <v>775</v>
      </c>
      <c r="Q4557" s="167" t="s">
        <v>3950</v>
      </c>
      <c r="R4557" s="172" t="s">
        <v>2240</v>
      </c>
      <c r="S4557" s="388" t="s">
        <v>2614</v>
      </c>
      <c r="T4557" s="168"/>
      <c r="U4557" s="168"/>
      <c r="V4557" s="168"/>
      <c r="W4557" s="315" t="s">
        <v>1640</v>
      </c>
      <c r="X4557" s="647" t="s">
        <v>15473</v>
      </c>
      <c r="Y4557" s="352" t="s">
        <v>5398</v>
      </c>
      <c r="Z4557" s="353"/>
      <c r="AA4557" s="353"/>
      <c r="AB4557" s="31">
        <f t="shared" ca="1" si="115"/>
        <v>0.59280605242388651</v>
      </c>
      <c r="AC4557" s="810"/>
      <c r="AD4557" s="811" t="s">
        <v>16598</v>
      </c>
      <c r="AE4557" s="940"/>
      <c r="AF4557" s="920">
        <f>IF(X4557=X4556,AF4556,0)+IF(ISNUMBER(I4557),IF(I4557&lt;1,I4557,I4557*VLOOKUP(J4557,Summary!$H$2:$I$9,2)),VLOOKUP(J4557,Summary!$J$2:$K$9,2)*IF(ISNUMBER(H4557),H4557,1))</f>
        <v>0.62944444444444436</v>
      </c>
      <c r="AG4557" s="287">
        <v>4556</v>
      </c>
      <c r="AH4557" s="94"/>
      <c r="AI4557" s="94"/>
    </row>
    <row r="4558" spans="1:36" s="43" customFormat="1" ht="12" customHeight="1" x14ac:dyDescent="0.25">
      <c r="A4558" s="618" t="s">
        <v>7759</v>
      </c>
      <c r="B4558" s="618">
        <v>11</v>
      </c>
      <c r="C4558" s="618">
        <v>1.1100000000000001</v>
      </c>
      <c r="D4558" s="176" t="s">
        <v>9265</v>
      </c>
      <c r="E4558" s="313" t="s">
        <v>9266</v>
      </c>
      <c r="F4558" s="175">
        <v>41601</v>
      </c>
      <c r="G4558" s="175"/>
      <c r="H4558" s="176">
        <v>1</v>
      </c>
      <c r="I4558" s="176">
        <v>39</v>
      </c>
      <c r="J4558" s="900" t="s">
        <v>2755</v>
      </c>
      <c r="K4558" s="164" t="s">
        <v>6764</v>
      </c>
      <c r="L4558" s="164"/>
      <c r="M4558" s="164"/>
      <c r="N4558" s="164"/>
      <c r="O4558" s="164"/>
      <c r="P4558" s="173" t="s">
        <v>9237</v>
      </c>
      <c r="Q4558" s="164" t="s">
        <v>9235</v>
      </c>
      <c r="R4558" s="177" t="s">
        <v>9236</v>
      </c>
      <c r="S4558" s="354" t="s">
        <v>2614</v>
      </c>
      <c r="T4558" s="173"/>
      <c r="U4558" s="173"/>
      <c r="V4558" s="173"/>
      <c r="W4558" s="313" t="s">
        <v>9266</v>
      </c>
      <c r="X4558" s="645" t="s">
        <v>15473</v>
      </c>
      <c r="Y4558" s="354" t="s">
        <v>6868</v>
      </c>
      <c r="Z4558" s="353"/>
      <c r="AA4558" s="176"/>
      <c r="AB4558" s="32">
        <f t="shared" ca="1" si="115"/>
        <v>0.41232377114944307</v>
      </c>
      <c r="AC4558" s="812"/>
      <c r="AD4558" s="763"/>
      <c r="AE4558" s="807"/>
      <c r="AF4558" s="921">
        <f>IF(X4558=X4557,AF4557,0)+IF(ISNUMBER(I4558),IF(I4558&lt;1,I4558,I4558*VLOOKUP(J4558,Summary!$H$2:$I$9,2)),VLOOKUP(J4558,Summary!$J$2:$K$9,2)*IF(ISNUMBER(H4558),H4558,1))</f>
        <v>0.65652777777777771</v>
      </c>
      <c r="AG4558" s="289">
        <v>4557</v>
      </c>
      <c r="AH4558" s="94"/>
      <c r="AI4558" s="94"/>
    </row>
    <row r="4559" spans="1:36" s="43" customFormat="1" ht="12" customHeight="1" x14ac:dyDescent="0.25">
      <c r="A4559" s="615" t="s">
        <v>7759</v>
      </c>
      <c r="B4559" s="615">
        <v>11</v>
      </c>
      <c r="C4559" s="615">
        <v>39</v>
      </c>
      <c r="D4559" s="417" t="s">
        <v>7723</v>
      </c>
      <c r="E4559" s="316" t="s">
        <v>5141</v>
      </c>
      <c r="F4559" s="195">
        <v>40290</v>
      </c>
      <c r="G4559" s="195"/>
      <c r="H4559" s="188" t="str">
        <f>IF(J4559="Book","n/a","")</f>
        <v>n/a</v>
      </c>
      <c r="I4559" s="188">
        <v>248</v>
      </c>
      <c r="J4559" s="902" t="s">
        <v>6868</v>
      </c>
      <c r="K4559" s="162" t="s">
        <v>1644</v>
      </c>
      <c r="L4559" s="162" t="str">
        <f>IF(J4559="Book","n/a","")</f>
        <v>n/a</v>
      </c>
      <c r="M4559" s="162"/>
      <c r="N4559" s="162"/>
      <c r="O4559" s="162"/>
      <c r="P4559" s="178" t="s">
        <v>9054</v>
      </c>
      <c r="Q4559" s="162" t="s">
        <v>3953</v>
      </c>
      <c r="R4559" s="189" t="s">
        <v>2711</v>
      </c>
      <c r="S4559" s="366" t="s">
        <v>2614</v>
      </c>
      <c r="T4559" s="178"/>
      <c r="U4559" s="178"/>
      <c r="V4559" s="178"/>
      <c r="W4559" s="316" t="s">
        <v>5141</v>
      </c>
      <c r="X4559" s="648" t="s">
        <v>15473</v>
      </c>
      <c r="Y4559" s="356" t="s">
        <v>5398</v>
      </c>
      <c r="Z4559" s="272"/>
      <c r="AA4559" s="272"/>
      <c r="AB4559" s="34">
        <f t="shared" ca="1" si="115"/>
        <v>0.40290172359207999</v>
      </c>
      <c r="AC4559" s="814"/>
      <c r="AD4559" s="815" t="s">
        <v>15875</v>
      </c>
      <c r="AE4559" s="942"/>
      <c r="AF4559" s="923">
        <f>IF(X4559=X4558,AF4558,0)+IF(ISNUMBER(I4559),IF(I4559&lt;1,I4559,I4559*VLOOKUP(J4559,Summary!$H$2:$I$9,2)),VLOOKUP(J4559,Summary!$J$2:$K$9,2)*IF(ISNUMBER(H4559),H4559,1))</f>
        <v>0.82874999999999988</v>
      </c>
      <c r="AG4559" s="291">
        <v>4558</v>
      </c>
      <c r="AH4559" s="94"/>
      <c r="AI4559" s="94"/>
      <c r="AJ4559" s="29"/>
    </row>
    <row r="4560" spans="1:36" s="43" customFormat="1" ht="12" customHeight="1" x14ac:dyDescent="0.25">
      <c r="A4560" s="612" t="s">
        <v>7759</v>
      </c>
      <c r="B4560" s="612">
        <v>11</v>
      </c>
      <c r="C4560" s="612">
        <v>206</v>
      </c>
      <c r="D4560" s="424" t="s">
        <v>5299</v>
      </c>
      <c r="E4560" s="319" t="s">
        <v>5300</v>
      </c>
      <c r="F4560" s="198">
        <v>40292</v>
      </c>
      <c r="G4560" s="198">
        <v>40299</v>
      </c>
      <c r="H4560" s="199">
        <v>2</v>
      </c>
      <c r="I4560" s="791">
        <f>TIME(0,41,37)+TIME(0,42,37)</f>
        <v>5.8495370370370364E-2</v>
      </c>
      <c r="J4560" s="904" t="s">
        <v>1588</v>
      </c>
      <c r="K4560" s="200" t="s">
        <v>3810</v>
      </c>
      <c r="L4560" s="200" t="s">
        <v>5293</v>
      </c>
      <c r="M4560" s="200"/>
      <c r="N4560" s="200" t="s">
        <v>3810</v>
      </c>
      <c r="O4560" s="200" t="s">
        <v>5004</v>
      </c>
      <c r="P4560" s="197" t="s">
        <v>461</v>
      </c>
      <c r="Q4560" s="200" t="s">
        <v>3946</v>
      </c>
      <c r="R4560" s="201" t="s">
        <v>5280</v>
      </c>
      <c r="S4560" s="390" t="s">
        <v>2614</v>
      </c>
      <c r="T4560" s="197"/>
      <c r="U4560" s="197" t="s">
        <v>7344</v>
      </c>
      <c r="V4560" s="197"/>
      <c r="W4560" s="318" t="s">
        <v>8480</v>
      </c>
      <c r="X4560" s="650" t="s">
        <v>15473</v>
      </c>
      <c r="Y4560" s="358" t="s">
        <v>7018</v>
      </c>
      <c r="Z4560" s="253">
        <v>75</v>
      </c>
      <c r="AA4560" s="253">
        <v>7.5</v>
      </c>
      <c r="AB4560" s="35">
        <f t="shared" ca="1" si="115"/>
        <v>0.20196669531492739</v>
      </c>
      <c r="AC4560" s="820"/>
      <c r="AD4560" s="821" t="s">
        <v>16483</v>
      </c>
      <c r="AE4560" s="944" t="s">
        <v>16075</v>
      </c>
      <c r="AF4560" s="925">
        <f>IF(X4560=X4559,AF4559,0)+IF(ISNUMBER(I4560),IF(I4560&lt;1,I4560,I4560*VLOOKUP(J4560,Summary!$H$2:$I$9,2)),VLOOKUP(J4560,Summary!$J$2:$K$9,2)*IF(ISNUMBER(H4560),H4560,1))</f>
        <v>0.88724537037037021</v>
      </c>
      <c r="AG4560" s="293">
        <v>4559</v>
      </c>
      <c r="AH4560" s="94"/>
      <c r="AI4560" s="94"/>
    </row>
    <row r="4561" spans="1:36" s="1" customFormat="1" ht="12" customHeight="1" x14ac:dyDescent="0.25">
      <c r="A4561" s="613" t="s">
        <v>7759</v>
      </c>
      <c r="B4561" s="613">
        <v>11</v>
      </c>
      <c r="C4561" s="613">
        <v>2</v>
      </c>
      <c r="D4561" s="509" t="s">
        <v>519</v>
      </c>
      <c r="E4561" s="335" t="s">
        <v>7953</v>
      </c>
      <c r="F4561" s="223">
        <v>40490</v>
      </c>
      <c r="G4561" s="223"/>
      <c r="H4561" s="242">
        <v>1</v>
      </c>
      <c r="I4561" s="792">
        <f>TIME(0, 3,54)</f>
        <v>2.7083333333333334E-3</v>
      </c>
      <c r="J4561" s="909" t="s">
        <v>1588</v>
      </c>
      <c r="K4561" s="243" t="s">
        <v>3810</v>
      </c>
      <c r="L4561" s="243" t="s">
        <v>6332</v>
      </c>
      <c r="M4561" s="243"/>
      <c r="N4561" s="243" t="s">
        <v>3810</v>
      </c>
      <c r="O4561" s="243" t="s">
        <v>518</v>
      </c>
      <c r="P4561" s="241" t="s">
        <v>461</v>
      </c>
      <c r="Q4561" s="243" t="s">
        <v>3946</v>
      </c>
      <c r="R4561" s="244" t="s">
        <v>237</v>
      </c>
      <c r="S4561" s="395" t="s">
        <v>2614</v>
      </c>
      <c r="T4561" s="241"/>
      <c r="U4561" s="241"/>
      <c r="V4561" s="241"/>
      <c r="W4561" s="339" t="s">
        <v>10119</v>
      </c>
      <c r="X4561" s="672" t="s">
        <v>15473</v>
      </c>
      <c r="Y4561" s="375"/>
      <c r="Z4561" s="376">
        <v>188</v>
      </c>
      <c r="AA4561" s="377">
        <v>5</v>
      </c>
      <c r="AB4561" s="55">
        <f t="shared" ca="1" si="115"/>
        <v>0.41216445452452866</v>
      </c>
      <c r="AC4561" s="834"/>
      <c r="AD4561" s="835"/>
      <c r="AE4561" s="957"/>
      <c r="AF4561" s="930">
        <f>IF(X4561=X4560,AF4560,0)+IF(ISNUMBER(I4561),IF(I4561&lt;1,I4561,I4561*VLOOKUP(J4561,Summary!$H$2:$I$9,2)),VLOOKUP(J4561,Summary!$J$2:$K$9,2)*IF(ISNUMBER(H4561),H4561,1))</f>
        <v>0.88995370370370352</v>
      </c>
      <c r="AG4561" s="302">
        <v>4560</v>
      </c>
      <c r="AH4561" s="94"/>
      <c r="AI4561" s="94"/>
    </row>
    <row r="4562" spans="1:36" s="43" customFormat="1" ht="12" customHeight="1" x14ac:dyDescent="0.25">
      <c r="A4562" s="612" t="s">
        <v>7759</v>
      </c>
      <c r="B4562" s="612">
        <v>11</v>
      </c>
      <c r="C4562" s="612">
        <v>207</v>
      </c>
      <c r="D4562" s="424">
        <v>31.6</v>
      </c>
      <c r="E4562" s="319" t="s">
        <v>15105</v>
      </c>
      <c r="F4562" s="198">
        <v>40306</v>
      </c>
      <c r="G4562" s="198"/>
      <c r="H4562" s="199">
        <v>1</v>
      </c>
      <c r="I4562" s="791">
        <f>TIME(0,48,11)</f>
        <v>3.3460648148148149E-2</v>
      </c>
      <c r="J4562" s="904" t="s">
        <v>1588</v>
      </c>
      <c r="K4562" s="200" t="s">
        <v>5297</v>
      </c>
      <c r="L4562" s="200" t="s">
        <v>5298</v>
      </c>
      <c r="M4562" s="200"/>
      <c r="N4562" s="200" t="s">
        <v>3810</v>
      </c>
      <c r="O4562" s="200" t="s">
        <v>5004</v>
      </c>
      <c r="P4562" s="197" t="s">
        <v>461</v>
      </c>
      <c r="Q4562" s="200" t="s">
        <v>3946</v>
      </c>
      <c r="R4562" s="201" t="s">
        <v>5280</v>
      </c>
      <c r="S4562" s="390" t="s">
        <v>2614</v>
      </c>
      <c r="T4562" s="197" t="s">
        <v>1738</v>
      </c>
      <c r="U4562" s="197"/>
      <c r="V4562" s="197"/>
      <c r="W4562" s="319" t="s">
        <v>1569</v>
      </c>
      <c r="X4562" s="651" t="s">
        <v>15473</v>
      </c>
      <c r="Y4562" s="358" t="s">
        <v>7018</v>
      </c>
      <c r="Z4562" s="253">
        <v>146</v>
      </c>
      <c r="AA4562" s="253">
        <v>5.5</v>
      </c>
      <c r="AB4562" s="35">
        <f t="shared" ca="1" si="115"/>
        <v>0.95782927768559467</v>
      </c>
      <c r="AC4562" s="820"/>
      <c r="AD4562" s="821" t="s">
        <v>15104</v>
      </c>
      <c r="AE4562" s="967"/>
      <c r="AF4562" s="925">
        <f>IF(X4562=X4561,AF4561,0)+IF(ISNUMBER(I4562),IF(I4562&lt;1,I4562,I4562*VLOOKUP(J4562,Summary!$H$2:$I$9,2)),VLOOKUP(J4562,Summary!$J$2:$K$9,2)*IF(ISNUMBER(H4562),H4562,1))</f>
        <v>0.92341435185185172</v>
      </c>
      <c r="AG4562" s="293">
        <v>4561</v>
      </c>
      <c r="AH4562" s="94"/>
      <c r="AI4562" s="94"/>
    </row>
    <row r="4563" spans="1:36" s="29" customFormat="1" ht="12" customHeight="1" x14ac:dyDescent="0.25">
      <c r="A4563" s="615" t="s">
        <v>7759</v>
      </c>
      <c r="B4563" s="615">
        <v>11</v>
      </c>
      <c r="C4563" s="615">
        <v>40</v>
      </c>
      <c r="D4563" s="417" t="s">
        <v>7724</v>
      </c>
      <c r="E4563" s="316" t="s">
        <v>5143</v>
      </c>
      <c r="F4563" s="195">
        <v>40360</v>
      </c>
      <c r="G4563" s="195"/>
      <c r="H4563" s="188" t="str">
        <f>IF(J4563="Book","n/a","")</f>
        <v>n/a</v>
      </c>
      <c r="I4563" s="188">
        <v>243</v>
      </c>
      <c r="J4563" s="902" t="s">
        <v>6868</v>
      </c>
      <c r="K4563" s="162" t="s">
        <v>1641</v>
      </c>
      <c r="L4563" s="162" t="str">
        <f>IF(J4563="Book","n/a","")</f>
        <v>n/a</v>
      </c>
      <c r="M4563" s="162"/>
      <c r="N4563" s="162"/>
      <c r="O4563" s="162"/>
      <c r="P4563" s="178" t="s">
        <v>9055</v>
      </c>
      <c r="Q4563" s="162" t="s">
        <v>3953</v>
      </c>
      <c r="R4563" s="189" t="s">
        <v>2711</v>
      </c>
      <c r="S4563" s="366" t="s">
        <v>2614</v>
      </c>
      <c r="T4563" s="178" t="s">
        <v>1738</v>
      </c>
      <c r="U4563" s="178"/>
      <c r="V4563" s="178"/>
      <c r="W4563" s="316" t="s">
        <v>5143</v>
      </c>
      <c r="X4563" s="648" t="s">
        <v>15473</v>
      </c>
      <c r="Y4563" s="356" t="s">
        <v>6868</v>
      </c>
      <c r="Z4563" s="272"/>
      <c r="AA4563" s="272"/>
      <c r="AB4563" s="34">
        <f t="shared" ca="1" si="115"/>
        <v>0.23634445009825433</v>
      </c>
      <c r="AC4563" s="814"/>
      <c r="AD4563" s="821" t="s">
        <v>16009</v>
      </c>
      <c r="AE4563" s="950" t="s">
        <v>15860</v>
      </c>
      <c r="AF4563" s="923">
        <f>IF(X4563=X4562,AF4562,0)+IF(ISNUMBER(I4563),IF(I4563&lt;1,I4563,I4563*VLOOKUP(J4563,Summary!$H$2:$I$9,2)),VLOOKUP(J4563,Summary!$J$2:$K$9,2)*IF(ISNUMBER(H4563),H4563,1))</f>
        <v>1.0921643518518518</v>
      </c>
      <c r="AG4563" s="291">
        <v>4562</v>
      </c>
      <c r="AH4563" s="94"/>
      <c r="AI4563" s="94"/>
      <c r="AJ4563" s="43"/>
    </row>
    <row r="4564" spans="1:36" s="1" customFormat="1" ht="12" customHeight="1" x14ac:dyDescent="0.25">
      <c r="A4564" s="615" t="s">
        <v>7759</v>
      </c>
      <c r="B4564" s="615">
        <v>11</v>
      </c>
      <c r="C4564" s="615">
        <v>41</v>
      </c>
      <c r="D4564" s="417" t="s">
        <v>7725</v>
      </c>
      <c r="E4564" s="316" t="s">
        <v>5144</v>
      </c>
      <c r="F4564" s="195">
        <v>40360</v>
      </c>
      <c r="G4564" s="195"/>
      <c r="H4564" s="188" t="str">
        <f>IF(J4564="Book","n/a","")</f>
        <v>n/a</v>
      </c>
      <c r="I4564" s="188">
        <v>244</v>
      </c>
      <c r="J4564" s="902" t="s">
        <v>6868</v>
      </c>
      <c r="K4564" s="162" t="s">
        <v>7797</v>
      </c>
      <c r="L4564" s="162" t="str">
        <f>IF(J4564="Book","n/a","")</f>
        <v>n/a</v>
      </c>
      <c r="M4564" s="162"/>
      <c r="N4564" s="162"/>
      <c r="O4564" s="162"/>
      <c r="P4564" s="178" t="s">
        <v>9056</v>
      </c>
      <c r="Q4564" s="162" t="s">
        <v>3953</v>
      </c>
      <c r="R4564" s="189" t="s">
        <v>2711</v>
      </c>
      <c r="S4564" s="366" t="s">
        <v>2614</v>
      </c>
      <c r="T4564" s="178" t="s">
        <v>1738</v>
      </c>
      <c r="U4564" s="178"/>
      <c r="V4564" s="178"/>
      <c r="W4564" s="316" t="s">
        <v>5144</v>
      </c>
      <c r="X4564" s="648" t="s">
        <v>15473</v>
      </c>
      <c r="Y4564" s="356" t="s">
        <v>6868</v>
      </c>
      <c r="Z4564" s="272">
        <v>118</v>
      </c>
      <c r="AA4564" s="272">
        <v>5</v>
      </c>
      <c r="AB4564" s="34">
        <f t="shared" ca="1" si="115"/>
        <v>0.85917408751700863</v>
      </c>
      <c r="AC4564" s="814"/>
      <c r="AD4564" s="815"/>
      <c r="AE4564" s="942"/>
      <c r="AF4564" s="923">
        <f>IF(X4564=X4563,AF4563,0)+IF(ISNUMBER(I4564),IF(I4564&lt;1,I4564,I4564*VLOOKUP(J4564,Summary!$H$2:$I$9,2)),VLOOKUP(J4564,Summary!$J$2:$K$9,2)*IF(ISNUMBER(H4564),H4564,1))</f>
        <v>1.2616087962962963</v>
      </c>
      <c r="AG4564" s="291">
        <v>4563</v>
      </c>
      <c r="AH4564" s="94"/>
      <c r="AI4564" s="94"/>
    </row>
    <row r="4565" spans="1:36" s="43" customFormat="1" ht="12" customHeight="1" x14ac:dyDescent="0.25">
      <c r="A4565" s="614" t="s">
        <v>7759</v>
      </c>
      <c r="B4565" s="614">
        <v>11</v>
      </c>
      <c r="C4565" s="614"/>
      <c r="D4565" s="185" t="s">
        <v>5315</v>
      </c>
      <c r="E4565" s="314" t="s">
        <v>5316</v>
      </c>
      <c r="F4565" s="183">
        <v>40391</v>
      </c>
      <c r="G4565" s="223"/>
      <c r="H4565" s="185">
        <v>1</v>
      </c>
      <c r="I4565" s="185">
        <v>6</v>
      </c>
      <c r="J4565" s="901" t="s">
        <v>1796</v>
      </c>
      <c r="K4565" s="163" t="s">
        <v>1641</v>
      </c>
      <c r="L4565" s="163" t="s">
        <v>3832</v>
      </c>
      <c r="M4565" s="163" t="s">
        <v>254</v>
      </c>
      <c r="N4565" s="163" t="s">
        <v>5317</v>
      </c>
      <c r="O4565" s="163"/>
      <c r="P4565" s="182" t="s">
        <v>776</v>
      </c>
      <c r="Q4565" s="163" t="s">
        <v>3953</v>
      </c>
      <c r="R4565" s="186" t="s">
        <v>4600</v>
      </c>
      <c r="S4565" s="355" t="s">
        <v>2614</v>
      </c>
      <c r="T4565" s="182" t="s">
        <v>1738</v>
      </c>
      <c r="U4565" s="182"/>
      <c r="V4565" s="182"/>
      <c r="W4565" s="314" t="s">
        <v>5316</v>
      </c>
      <c r="X4565" s="646" t="s">
        <v>15473</v>
      </c>
      <c r="Y4565" s="355" t="s">
        <v>6868</v>
      </c>
      <c r="Z4565" s="185">
        <v>999</v>
      </c>
      <c r="AA4565" s="185"/>
      <c r="AB4565" s="33">
        <f t="shared" ca="1" si="115"/>
        <v>0.14264216583761824</v>
      </c>
      <c r="AC4565" s="813"/>
      <c r="AD4565" s="211"/>
      <c r="AE4565" s="941"/>
      <c r="AF4565" s="922">
        <f>IF(X4565=X4564,AF4564,0)+IF(ISNUMBER(I4565),IF(I4565&lt;1,I4565,I4565*VLOOKUP(J4565,Summary!$H$2:$I$9,2)),VLOOKUP(J4565,Summary!$J$2:$K$9,2)*IF(ISNUMBER(H4565),H4565,1))</f>
        <v>1.2636921296296297</v>
      </c>
      <c r="AG4565" s="290">
        <v>4564</v>
      </c>
      <c r="AH4565" s="94"/>
      <c r="AI4565" s="94"/>
    </row>
    <row r="4566" spans="1:36" s="43" customFormat="1" ht="12" customHeight="1" x14ac:dyDescent="0.25">
      <c r="A4566" s="612" t="s">
        <v>7759</v>
      </c>
      <c r="B4566" s="612">
        <v>11</v>
      </c>
      <c r="C4566" s="612">
        <v>208</v>
      </c>
      <c r="D4566" s="424">
        <v>31.7</v>
      </c>
      <c r="E4566" s="319" t="s">
        <v>343</v>
      </c>
      <c r="F4566" s="198">
        <v>40313</v>
      </c>
      <c r="G4566" s="198"/>
      <c r="H4566" s="199">
        <v>1</v>
      </c>
      <c r="I4566" s="791">
        <f>TIME(0,44, 8)</f>
        <v>3.0648148148148147E-2</v>
      </c>
      <c r="J4566" s="904" t="s">
        <v>1588</v>
      </c>
      <c r="K4566" s="200" t="s">
        <v>5639</v>
      </c>
      <c r="L4566" s="200" t="s">
        <v>5642</v>
      </c>
      <c r="M4566" s="200"/>
      <c r="N4566" s="200" t="s">
        <v>3810</v>
      </c>
      <c r="O4566" s="200" t="s">
        <v>5004</v>
      </c>
      <c r="P4566" s="197" t="s">
        <v>461</v>
      </c>
      <c r="Q4566" s="200" t="s">
        <v>3946</v>
      </c>
      <c r="R4566" s="201" t="s">
        <v>5280</v>
      </c>
      <c r="S4566" s="390" t="s">
        <v>2614</v>
      </c>
      <c r="T4566" s="197" t="s">
        <v>1738</v>
      </c>
      <c r="U4566" s="197"/>
      <c r="V4566" s="197"/>
      <c r="W4566" s="319" t="s">
        <v>343</v>
      </c>
      <c r="X4566" s="651" t="s">
        <v>15473</v>
      </c>
      <c r="Y4566" s="358" t="s">
        <v>7018</v>
      </c>
      <c r="Z4566" s="253">
        <v>34</v>
      </c>
      <c r="AA4566" s="253">
        <v>8.5</v>
      </c>
      <c r="AB4566" s="35">
        <f t="shared" ca="1" si="115"/>
        <v>0.4343035809735889</v>
      </c>
      <c r="AC4566" s="820"/>
      <c r="AD4566" s="821" t="s">
        <v>461</v>
      </c>
      <c r="AE4566" s="967"/>
      <c r="AF4566" s="925">
        <f>IF(X4566=X4565,AF4565,0)+IF(ISNUMBER(I4566),IF(I4566&lt;1,I4566,I4566*VLOOKUP(J4566,Summary!$H$2:$I$9,2)),VLOOKUP(J4566,Summary!$J$2:$K$9,2)*IF(ISNUMBER(H4566),H4566,1))</f>
        <v>1.2943402777777779</v>
      </c>
      <c r="AG4566" s="293">
        <v>4565</v>
      </c>
      <c r="AH4566" s="94"/>
      <c r="AI4566" s="94"/>
    </row>
    <row r="4567" spans="1:36" s="43" customFormat="1" ht="12" customHeight="1" x14ac:dyDescent="0.25">
      <c r="A4567" s="615" t="s">
        <v>7759</v>
      </c>
      <c r="B4567" s="615">
        <v>11</v>
      </c>
      <c r="C4567" s="615">
        <v>42</v>
      </c>
      <c r="D4567" s="417" t="s">
        <v>7726</v>
      </c>
      <c r="E4567" s="316" t="s">
        <v>5142</v>
      </c>
      <c r="F4567" s="195">
        <v>40360</v>
      </c>
      <c r="G4567" s="195"/>
      <c r="H4567" s="188" t="str">
        <f>IF(J4567="Book","n/a","")</f>
        <v>n/a</v>
      </c>
      <c r="I4567" s="188">
        <v>243</v>
      </c>
      <c r="J4567" s="902" t="s">
        <v>6868</v>
      </c>
      <c r="K4567" s="162" t="s">
        <v>7375</v>
      </c>
      <c r="L4567" s="162" t="str">
        <f>IF(J4567="Book","n/a","")</f>
        <v>n/a</v>
      </c>
      <c r="M4567" s="162"/>
      <c r="N4567" s="162"/>
      <c r="O4567" s="162"/>
      <c r="P4567" s="178" t="s">
        <v>9057</v>
      </c>
      <c r="Q4567" s="162" t="s">
        <v>3953</v>
      </c>
      <c r="R4567" s="189" t="s">
        <v>2711</v>
      </c>
      <c r="S4567" s="366" t="s">
        <v>2614</v>
      </c>
      <c r="T4567" s="178" t="s">
        <v>1738</v>
      </c>
      <c r="U4567" s="178"/>
      <c r="V4567" s="178"/>
      <c r="W4567" s="316" t="s">
        <v>5142</v>
      </c>
      <c r="X4567" s="648" t="s">
        <v>15473</v>
      </c>
      <c r="Y4567" s="356" t="s">
        <v>6868</v>
      </c>
      <c r="Z4567" s="272"/>
      <c r="AA4567" s="272"/>
      <c r="AB4567" s="34">
        <f t="shared" ca="1" si="115"/>
        <v>0.27388282531141006</v>
      </c>
      <c r="AC4567" s="814"/>
      <c r="AD4567" s="815" t="s">
        <v>16711</v>
      </c>
      <c r="AE4567" s="942"/>
      <c r="AF4567" s="923">
        <f>IF(X4567=X4566,AF4566,0)+IF(ISNUMBER(I4567),IF(I4567&lt;1,I4567,I4567*VLOOKUP(J4567,Summary!$H$2:$I$9,2)),VLOOKUP(J4567,Summary!$J$2:$K$9,2)*IF(ISNUMBER(H4567),H4567,1))</f>
        <v>1.4630902777777779</v>
      </c>
      <c r="AG4567" s="291">
        <v>4566</v>
      </c>
      <c r="AH4567" s="94"/>
      <c r="AI4567" s="94"/>
    </row>
    <row r="4568" spans="1:36" s="29" customFormat="1" ht="12" customHeight="1" x14ac:dyDescent="0.25">
      <c r="A4568" s="612" t="s">
        <v>7759</v>
      </c>
      <c r="B4568" s="612">
        <v>11</v>
      </c>
      <c r="C4568" s="612">
        <v>209</v>
      </c>
      <c r="D4568" s="424" t="s">
        <v>344</v>
      </c>
      <c r="E4568" s="319" t="s">
        <v>5651</v>
      </c>
      <c r="F4568" s="198">
        <v>40320</v>
      </c>
      <c r="G4568" s="198">
        <v>40327</v>
      </c>
      <c r="H4568" s="199">
        <v>2</v>
      </c>
      <c r="I4568" s="791">
        <f>TIME(0,43,16)+TIME(0,45,40)</f>
        <v>6.1759259259259264E-2</v>
      </c>
      <c r="J4568" s="904" t="s">
        <v>1588</v>
      </c>
      <c r="K4568" s="200" t="s">
        <v>7377</v>
      </c>
      <c r="L4568" s="200" t="s">
        <v>3452</v>
      </c>
      <c r="M4568" s="200"/>
      <c r="N4568" s="200" t="s">
        <v>3810</v>
      </c>
      <c r="O4568" s="200" t="s">
        <v>5004</v>
      </c>
      <c r="P4568" s="197" t="s">
        <v>461</v>
      </c>
      <c r="Q4568" s="200" t="s">
        <v>3946</v>
      </c>
      <c r="R4568" s="201" t="s">
        <v>5280</v>
      </c>
      <c r="S4568" s="390" t="s">
        <v>2614</v>
      </c>
      <c r="T4568" s="197" t="s">
        <v>1738</v>
      </c>
      <c r="U4568" s="197"/>
      <c r="V4568" s="197"/>
      <c r="W4568" s="344" t="s">
        <v>8481</v>
      </c>
      <c r="X4568" s="679" t="s">
        <v>15473</v>
      </c>
      <c r="Y4568" s="358" t="s">
        <v>7018</v>
      </c>
      <c r="Z4568" s="253">
        <v>220</v>
      </c>
      <c r="AA4568" s="253">
        <v>4</v>
      </c>
      <c r="AB4568" s="35">
        <f t="shared" ca="1" si="115"/>
        <v>0.6064380427641175</v>
      </c>
      <c r="AC4568" s="820"/>
      <c r="AD4568" s="821" t="s">
        <v>16082</v>
      </c>
      <c r="AE4568" s="973"/>
      <c r="AF4568" s="925">
        <f>IF(X4568=X4567,AF4567,0)+IF(ISNUMBER(I4568),IF(I4568&lt;1,I4568,I4568*VLOOKUP(J4568,Summary!$H$2:$I$9,2)),VLOOKUP(J4568,Summary!$J$2:$K$9,2)*IF(ISNUMBER(H4568),H4568,1))</f>
        <v>1.5248495370370372</v>
      </c>
      <c r="AG4568" s="293">
        <v>4567</v>
      </c>
      <c r="AH4568" s="94"/>
      <c r="AI4568" s="94"/>
      <c r="AJ4568" s="43"/>
    </row>
    <row r="4569" spans="1:36" s="1" customFormat="1" ht="12" customHeight="1" x14ac:dyDescent="0.25">
      <c r="A4569" s="408" t="s">
        <v>15671</v>
      </c>
      <c r="B4569" s="408" t="s">
        <v>2650</v>
      </c>
      <c r="C4569" s="408"/>
      <c r="D4569" s="176" t="s">
        <v>3107</v>
      </c>
      <c r="E4569" s="313" t="s">
        <v>3109</v>
      </c>
      <c r="F4569" s="175">
        <v>40422</v>
      </c>
      <c r="G4569" s="175"/>
      <c r="H4569" s="176">
        <v>1</v>
      </c>
      <c r="I4569" s="176"/>
      <c r="J4569" s="900" t="s">
        <v>2755</v>
      </c>
      <c r="K4569" s="164" t="s">
        <v>4146</v>
      </c>
      <c r="L4569" s="164" t="s">
        <v>3110</v>
      </c>
      <c r="M4569" s="164"/>
      <c r="N4569" s="164"/>
      <c r="O4569" s="164"/>
      <c r="P4569" s="173" t="s">
        <v>777</v>
      </c>
      <c r="Q4569" s="164" t="s">
        <v>3953</v>
      </c>
      <c r="R4569" s="177" t="s">
        <v>4600</v>
      </c>
      <c r="S4569" s="354" t="s">
        <v>2614</v>
      </c>
      <c r="T4569" s="173"/>
      <c r="U4569" s="173"/>
      <c r="V4569" s="173"/>
      <c r="W4569" s="313" t="s">
        <v>3109</v>
      </c>
      <c r="X4569" s="645" t="s">
        <v>15474</v>
      </c>
      <c r="Y4569" s="354" t="s">
        <v>6868</v>
      </c>
      <c r="Z4569" s="176">
        <v>999</v>
      </c>
      <c r="AA4569" s="176"/>
      <c r="AB4569" s="32">
        <f t="shared" ca="1" si="115"/>
        <v>0.84217622859332819</v>
      </c>
      <c r="AC4569" s="812"/>
      <c r="AD4569" s="763"/>
      <c r="AE4569" s="807"/>
      <c r="AF4569" s="921">
        <f>IF(X4569=X4568,AF4568,0)+IF(ISNUMBER(I4569),IF(I4569&lt;1,I4569,I4569*VLOOKUP(J4569,Summary!$H$2:$I$9,2)),VLOOKUP(J4569,Summary!$J$2:$K$9,2)*IF(ISNUMBER(H4569),H4569,1))</f>
        <v>1.7361111111111112E-2</v>
      </c>
      <c r="AG4569" s="289">
        <v>4568</v>
      </c>
      <c r="AH4569" s="94"/>
      <c r="AI4569" s="94"/>
      <c r="AJ4569" s="7"/>
    </row>
    <row r="4570" spans="1:36" s="2" customFormat="1" ht="12" customHeight="1" x14ac:dyDescent="0.25">
      <c r="A4570" s="614" t="s">
        <v>15671</v>
      </c>
      <c r="B4570" s="614">
        <v>11</v>
      </c>
      <c r="C4570" s="614">
        <v>142</v>
      </c>
      <c r="D4570" s="185" t="s">
        <v>1231</v>
      </c>
      <c r="E4570" s="314" t="s">
        <v>1280</v>
      </c>
      <c r="F4570" s="184">
        <v>40297</v>
      </c>
      <c r="G4570" s="184">
        <v>40353</v>
      </c>
      <c r="H4570" s="185">
        <v>3</v>
      </c>
      <c r="I4570" s="185">
        <v>30</v>
      </c>
      <c r="J4570" s="901" t="s">
        <v>1796</v>
      </c>
      <c r="K4570" s="163" t="s">
        <v>177</v>
      </c>
      <c r="L4570" s="163" t="s">
        <v>3828</v>
      </c>
      <c r="M4570" s="163"/>
      <c r="N4570" s="163" t="s">
        <v>1279</v>
      </c>
      <c r="O4570" s="163"/>
      <c r="P4570" s="182" t="s">
        <v>461</v>
      </c>
      <c r="Q4570" s="163" t="s">
        <v>4104</v>
      </c>
      <c r="R4570" s="186" t="s">
        <v>5266</v>
      </c>
      <c r="S4570" s="355" t="s">
        <v>2614</v>
      </c>
      <c r="T4570" s="182"/>
      <c r="U4570" s="182"/>
      <c r="V4570" s="182"/>
      <c r="W4570" s="314"/>
      <c r="X4570" s="646" t="s">
        <v>15474</v>
      </c>
      <c r="Y4570" s="355"/>
      <c r="Z4570" s="185"/>
      <c r="AA4570" s="185"/>
      <c r="AB4570" s="33">
        <f t="shared" ca="1" si="115"/>
        <v>0.34988697268497004</v>
      </c>
      <c r="AC4570" s="813"/>
      <c r="AD4570" s="211" t="s">
        <v>16325</v>
      </c>
      <c r="AE4570" s="941" t="s">
        <v>12543</v>
      </c>
      <c r="AF4570" s="922">
        <f>IF(X4570=X4569,AF4569,0)+IF(ISNUMBER(I4570),IF(I4570&lt;1,I4570,I4570*VLOOKUP(J4570,Summary!$H$2:$I$9,2)),VLOOKUP(J4570,Summary!$J$2:$K$9,2)*IF(ISNUMBER(H4570),H4570,1))</f>
        <v>2.777777777777778E-2</v>
      </c>
      <c r="AG4570" s="290">
        <v>4569</v>
      </c>
      <c r="AH4570" s="94"/>
      <c r="AI4570" s="94"/>
      <c r="AJ4570" s="29"/>
    </row>
    <row r="4571" spans="1:36" s="43" customFormat="1" ht="12" customHeight="1" x14ac:dyDescent="0.25">
      <c r="A4571" s="614" t="s">
        <v>15671</v>
      </c>
      <c r="B4571" s="614">
        <v>11</v>
      </c>
      <c r="C4571" s="614">
        <v>143</v>
      </c>
      <c r="D4571" s="185" t="s">
        <v>2338</v>
      </c>
      <c r="E4571" s="314" t="s">
        <v>1281</v>
      </c>
      <c r="F4571" s="184">
        <v>40381</v>
      </c>
      <c r="G4571" s="184"/>
      <c r="H4571" s="185">
        <v>1</v>
      </c>
      <c r="I4571" s="185">
        <v>10</v>
      </c>
      <c r="J4571" s="901" t="s">
        <v>1796</v>
      </c>
      <c r="K4571" s="163" t="s">
        <v>177</v>
      </c>
      <c r="L4571" s="163" t="s">
        <v>251</v>
      </c>
      <c r="M4571" s="163" t="s">
        <v>252</v>
      </c>
      <c r="N4571" s="163" t="s">
        <v>1279</v>
      </c>
      <c r="O4571" s="163"/>
      <c r="P4571" s="182" t="s">
        <v>461</v>
      </c>
      <c r="Q4571" s="163" t="s">
        <v>4104</v>
      </c>
      <c r="R4571" s="186" t="s">
        <v>5266</v>
      </c>
      <c r="S4571" s="355" t="s">
        <v>2614</v>
      </c>
      <c r="T4571" s="182"/>
      <c r="U4571" s="182"/>
      <c r="V4571" s="182"/>
      <c r="W4571" s="314" t="s">
        <v>1281</v>
      </c>
      <c r="X4571" s="646" t="s">
        <v>15474</v>
      </c>
      <c r="Y4571" s="355" t="s">
        <v>5464</v>
      </c>
      <c r="Z4571" s="185">
        <v>999</v>
      </c>
      <c r="AA4571" s="185">
        <v>8</v>
      </c>
      <c r="AB4571" s="33">
        <f t="shared" ca="1" si="115"/>
        <v>8.7971478799029668E-2</v>
      </c>
      <c r="AC4571" s="813"/>
      <c r="AD4571" s="211" t="s">
        <v>16192</v>
      </c>
      <c r="AE4571" s="941" t="s">
        <v>3365</v>
      </c>
      <c r="AF4571" s="922">
        <f>IF(X4571=X4570,AF4570,0)+IF(ISNUMBER(I4571),IF(I4571&lt;1,I4571,I4571*VLOOKUP(J4571,Summary!$H$2:$I$9,2)),VLOOKUP(J4571,Summary!$J$2:$K$9,2)*IF(ISNUMBER(H4571),H4571,1))</f>
        <v>3.125E-2</v>
      </c>
      <c r="AG4571" s="290">
        <v>4570</v>
      </c>
      <c r="AH4571" s="94"/>
      <c r="AI4571" s="94"/>
    </row>
    <row r="4572" spans="1:36" s="2" customFormat="1" ht="12" customHeight="1" x14ac:dyDescent="0.25">
      <c r="A4572" s="617" t="s">
        <v>15671</v>
      </c>
      <c r="B4572" s="617">
        <v>11</v>
      </c>
      <c r="C4572" s="617">
        <v>1.1000000000000001</v>
      </c>
      <c r="D4572" s="407" t="s">
        <v>15022</v>
      </c>
      <c r="E4572" s="315" t="s">
        <v>15023</v>
      </c>
      <c r="F4572" s="196">
        <v>43327</v>
      </c>
      <c r="G4572" s="170"/>
      <c r="H4572" s="170">
        <v>1</v>
      </c>
      <c r="I4572" s="747">
        <f>TIME(0,60,0)</f>
        <v>4.1666666666666664E-2</v>
      </c>
      <c r="J4572" s="899" t="s">
        <v>4706</v>
      </c>
      <c r="K4572" s="167" t="s">
        <v>10631</v>
      </c>
      <c r="L4572" s="167" t="s">
        <v>12662</v>
      </c>
      <c r="M4572" s="167" t="s">
        <v>15024</v>
      </c>
      <c r="N4572" s="167" t="s">
        <v>6452</v>
      </c>
      <c r="O4572" s="167" t="s">
        <v>179</v>
      </c>
      <c r="P4572" s="168" t="s">
        <v>15020</v>
      </c>
      <c r="Q4572" s="167" t="s">
        <v>3947</v>
      </c>
      <c r="R4572" s="172" t="s">
        <v>15017</v>
      </c>
      <c r="S4572" s="388" t="s">
        <v>2614</v>
      </c>
      <c r="T4572" s="168"/>
      <c r="U4572" s="168"/>
      <c r="V4572" s="168"/>
      <c r="W4572" s="315" t="s">
        <v>15023</v>
      </c>
      <c r="X4572" s="644" t="s">
        <v>15474</v>
      </c>
      <c r="Y4572" s="352"/>
      <c r="Z4572" s="353"/>
      <c r="AA4572" s="353"/>
      <c r="AB4572" s="31">
        <f t="shared" ca="1" si="115"/>
        <v>4.026832810168679E-2</v>
      </c>
      <c r="AC4572" s="810"/>
      <c r="AD4572" s="811"/>
      <c r="AE4572" s="940"/>
      <c r="AF4572" s="920">
        <f>IF(X4572=X4571,AF4571,0)+IF(ISNUMBER(I4572),IF(I4572&lt;1,I4572,I4572*VLOOKUP(J4572,Summary!$H$2:$I$9,2)),VLOOKUP(J4572,Summary!$J$2:$K$9,2)*IF(ISNUMBER(H4572),H4572,1))</f>
        <v>7.2916666666666657E-2</v>
      </c>
      <c r="AG4572" s="287">
        <v>4571</v>
      </c>
      <c r="AH4572" s="94"/>
      <c r="AI4572" s="94"/>
      <c r="AJ4572" s="43"/>
    </row>
    <row r="4573" spans="1:36" s="2" customFormat="1" ht="12" customHeight="1" x14ac:dyDescent="0.25">
      <c r="A4573" s="618" t="s">
        <v>15671</v>
      </c>
      <c r="B4573" s="618">
        <v>11</v>
      </c>
      <c r="C4573" s="618"/>
      <c r="D4573" s="176"/>
      <c r="E4573" s="313" t="s">
        <v>4916</v>
      </c>
      <c r="F4573" s="266">
        <v>2010</v>
      </c>
      <c r="G4573" s="181"/>
      <c r="H4573" s="176">
        <v>1</v>
      </c>
      <c r="I4573" s="176"/>
      <c r="J4573" s="900" t="s">
        <v>2755</v>
      </c>
      <c r="K4573" s="164" t="s">
        <v>543</v>
      </c>
      <c r="L4573" s="164"/>
      <c r="M4573" s="164"/>
      <c r="N4573" s="164"/>
      <c r="O4573" s="164"/>
      <c r="P4573" s="173" t="s">
        <v>461</v>
      </c>
      <c r="Q4573" s="164" t="s">
        <v>3954</v>
      </c>
      <c r="R4573" s="177" t="s">
        <v>4917</v>
      </c>
      <c r="S4573" s="354" t="s">
        <v>2614</v>
      </c>
      <c r="T4573" s="173"/>
      <c r="U4573" s="173"/>
      <c r="V4573" s="173"/>
      <c r="W4573" s="313" t="s">
        <v>4916</v>
      </c>
      <c r="X4573" s="645" t="s">
        <v>15474</v>
      </c>
      <c r="Y4573" s="354"/>
      <c r="Z4573" s="176"/>
      <c r="AA4573" s="176"/>
      <c r="AB4573" s="32">
        <f t="shared" ca="1" si="115"/>
        <v>0.78219745500626414</v>
      </c>
      <c r="AC4573" s="812"/>
      <c r="AD4573" s="763"/>
      <c r="AE4573" s="807"/>
      <c r="AF4573" s="921">
        <f>IF(X4573=X4572,AF4572,0)+IF(ISNUMBER(I4573),IF(I4573&lt;1,I4573,I4573*VLOOKUP(J4573,Summary!$H$2:$I$9,2)),VLOOKUP(J4573,Summary!$J$2:$K$9,2)*IF(ISNUMBER(H4573),H4573,1))</f>
        <v>9.0277777777777762E-2</v>
      </c>
      <c r="AG4573" s="289">
        <v>4572</v>
      </c>
      <c r="AH4573" s="94"/>
      <c r="AI4573" s="94"/>
      <c r="AJ4573" s="43"/>
    </row>
    <row r="4574" spans="1:36" s="29" customFormat="1" ht="12" customHeight="1" x14ac:dyDescent="0.25">
      <c r="A4574" s="617" t="s">
        <v>15671</v>
      </c>
      <c r="B4574" s="617">
        <v>11</v>
      </c>
      <c r="C4574" s="617">
        <v>8</v>
      </c>
      <c r="D4574" s="407" t="s">
        <v>1639</v>
      </c>
      <c r="E4574" s="315" t="s">
        <v>5806</v>
      </c>
      <c r="F4574" s="196">
        <v>40395</v>
      </c>
      <c r="G4574" s="196"/>
      <c r="H4574" s="170">
        <v>1</v>
      </c>
      <c r="I4574" s="746">
        <f>TIME(1,18,43)</f>
        <v>5.4664351851851846E-2</v>
      </c>
      <c r="J4574" s="899" t="s">
        <v>4706</v>
      </c>
      <c r="K4574" s="167" t="s">
        <v>6237</v>
      </c>
      <c r="L4574" s="167" t="str">
        <f>IF(J4574="Book","n/a","")</f>
        <v/>
      </c>
      <c r="M4574" s="167" t="s">
        <v>930</v>
      </c>
      <c r="N4574" s="167"/>
      <c r="O4574" s="167"/>
      <c r="P4574" s="168" t="s">
        <v>778</v>
      </c>
      <c r="Q4574" s="167" t="s">
        <v>3953</v>
      </c>
      <c r="R4574" s="172" t="s">
        <v>2240</v>
      </c>
      <c r="S4574" s="388" t="s">
        <v>2614</v>
      </c>
      <c r="T4574" s="168"/>
      <c r="U4574" s="168"/>
      <c r="V4574" s="168"/>
      <c r="W4574" s="315" t="s">
        <v>5806</v>
      </c>
      <c r="X4574" s="647" t="s">
        <v>15474</v>
      </c>
      <c r="Y4574" s="352" t="s">
        <v>5398</v>
      </c>
      <c r="Z4574" s="353"/>
      <c r="AA4574" s="353"/>
      <c r="AB4574" s="31">
        <f t="shared" ca="1" si="115"/>
        <v>0.84993083408956616</v>
      </c>
      <c r="AC4574" s="810"/>
      <c r="AD4574" s="811" t="s">
        <v>16085</v>
      </c>
      <c r="AE4574" s="940" t="s">
        <v>12543</v>
      </c>
      <c r="AF4574" s="920">
        <f>IF(X4574=X4573,AF4573,0)+IF(ISNUMBER(I4574),IF(I4574&lt;1,I4574,I4574*VLOOKUP(J4574,Summary!$H$2:$I$9,2)),VLOOKUP(J4574,Summary!$J$2:$K$9,2)*IF(ISNUMBER(H4574),H4574,1))</f>
        <v>0.1449421296296296</v>
      </c>
      <c r="AG4574" s="287">
        <v>4573</v>
      </c>
      <c r="AH4574" s="94"/>
      <c r="AI4574" s="94"/>
    </row>
    <row r="4575" spans="1:36" s="2" customFormat="1" ht="12" customHeight="1" x14ac:dyDescent="0.25">
      <c r="A4575" s="614" t="s">
        <v>15671</v>
      </c>
      <c r="B4575" s="614">
        <v>11</v>
      </c>
      <c r="C4575" s="614">
        <v>122</v>
      </c>
      <c r="D4575" s="185" t="s">
        <v>2424</v>
      </c>
      <c r="E4575" s="314" t="s">
        <v>2430</v>
      </c>
      <c r="F4575" s="184">
        <v>40290</v>
      </c>
      <c r="G4575" s="184">
        <v>40296</v>
      </c>
      <c r="H4575" s="185">
        <v>1</v>
      </c>
      <c r="I4575" s="185">
        <v>4</v>
      </c>
      <c r="J4575" s="901" t="s">
        <v>1796</v>
      </c>
      <c r="K4575" s="163" t="s">
        <v>1641</v>
      </c>
      <c r="L4575" s="163" t="s">
        <v>3832</v>
      </c>
      <c r="M4575" s="163" t="s">
        <v>254</v>
      </c>
      <c r="N4575" s="163" t="s">
        <v>5317</v>
      </c>
      <c r="O4575" s="163"/>
      <c r="P4575" s="182" t="s">
        <v>461</v>
      </c>
      <c r="Q4575" s="163" t="s">
        <v>4929</v>
      </c>
      <c r="R4575" s="186" t="s">
        <v>4796</v>
      </c>
      <c r="S4575" s="355" t="s">
        <v>2614</v>
      </c>
      <c r="T4575" s="182"/>
      <c r="U4575" s="182"/>
      <c r="V4575" s="182"/>
      <c r="W4575" s="314" t="s">
        <v>2430</v>
      </c>
      <c r="X4575" s="646" t="s">
        <v>15474</v>
      </c>
      <c r="Y4575" s="355"/>
      <c r="Z4575" s="185"/>
      <c r="AA4575" s="185"/>
      <c r="AB4575" s="33">
        <f t="shared" ca="1" si="115"/>
        <v>7.9437505274964404E-2</v>
      </c>
      <c r="AC4575" s="813"/>
      <c r="AD4575" s="211"/>
      <c r="AE4575" s="941"/>
      <c r="AF4575" s="922">
        <f>IF(X4575=X4574,AF4574,0)+IF(ISNUMBER(I4575),IF(I4575&lt;1,I4575,I4575*VLOOKUP(J4575,Summary!$H$2:$I$9,2)),VLOOKUP(J4575,Summary!$J$2:$K$9,2)*IF(ISNUMBER(H4575),H4575,1))</f>
        <v>0.14633101851851849</v>
      </c>
      <c r="AG4575" s="290">
        <v>4574</v>
      </c>
      <c r="AH4575" s="94"/>
      <c r="AI4575" s="94"/>
      <c r="AJ4575" s="43"/>
    </row>
    <row r="4576" spans="1:36" s="29" customFormat="1" ht="12" customHeight="1" x14ac:dyDescent="0.25">
      <c r="A4576" s="614" t="s">
        <v>15671</v>
      </c>
      <c r="B4576" s="614">
        <v>11</v>
      </c>
      <c r="C4576" s="614">
        <v>123</v>
      </c>
      <c r="D4576" s="185" t="s">
        <v>2425</v>
      </c>
      <c r="E4576" s="314" t="s">
        <v>3659</v>
      </c>
      <c r="F4576" s="184">
        <v>40297</v>
      </c>
      <c r="G4576" s="184">
        <v>40303</v>
      </c>
      <c r="H4576" s="185">
        <v>1</v>
      </c>
      <c r="I4576" s="185">
        <v>4</v>
      </c>
      <c r="J4576" s="901" t="s">
        <v>1796</v>
      </c>
      <c r="K4576" s="163" t="s">
        <v>5664</v>
      </c>
      <c r="L4576" s="163" t="s">
        <v>3832</v>
      </c>
      <c r="M4576" s="163" t="s">
        <v>254</v>
      </c>
      <c r="N4576" s="163" t="s">
        <v>5317</v>
      </c>
      <c r="O4576" s="163"/>
      <c r="P4576" s="182" t="s">
        <v>461</v>
      </c>
      <c r="Q4576" s="163" t="s">
        <v>4929</v>
      </c>
      <c r="R4576" s="186" t="s">
        <v>4796</v>
      </c>
      <c r="S4576" s="355" t="s">
        <v>2614</v>
      </c>
      <c r="T4576" s="182"/>
      <c r="U4576" s="182"/>
      <c r="V4576" s="182"/>
      <c r="W4576" s="314" t="s">
        <v>3659</v>
      </c>
      <c r="X4576" s="646" t="s">
        <v>15474</v>
      </c>
      <c r="Y4576" s="355"/>
      <c r="Z4576" s="185"/>
      <c r="AA4576" s="185"/>
      <c r="AB4576" s="33">
        <f t="shared" ca="1" si="115"/>
        <v>0.34551801421348904</v>
      </c>
      <c r="AC4576" s="813"/>
      <c r="AD4576" s="211"/>
      <c r="AE4576" s="941"/>
      <c r="AF4576" s="922">
        <f>IF(X4576=X4575,AF4575,0)+IF(ISNUMBER(I4576),IF(I4576&lt;1,I4576,I4576*VLOOKUP(J4576,Summary!$H$2:$I$9,2)),VLOOKUP(J4576,Summary!$J$2:$K$9,2)*IF(ISNUMBER(H4576),H4576,1))</f>
        <v>0.14771990740740737</v>
      </c>
      <c r="AG4576" s="290">
        <v>4575</v>
      </c>
      <c r="AH4576" s="94"/>
      <c r="AI4576" s="94"/>
    </row>
    <row r="4577" spans="1:36" s="29" customFormat="1" ht="12" customHeight="1" x14ac:dyDescent="0.25">
      <c r="A4577" s="614" t="s">
        <v>15671</v>
      </c>
      <c r="B4577" s="614">
        <v>11</v>
      </c>
      <c r="C4577" s="614">
        <v>124</v>
      </c>
      <c r="D4577" s="185" t="s">
        <v>2426</v>
      </c>
      <c r="E4577" s="314" t="s">
        <v>3660</v>
      </c>
      <c r="F4577" s="184">
        <v>40304</v>
      </c>
      <c r="G4577" s="184">
        <v>40310</v>
      </c>
      <c r="H4577" s="185">
        <v>1</v>
      </c>
      <c r="I4577" s="185">
        <v>4</v>
      </c>
      <c r="J4577" s="901" t="s">
        <v>1796</v>
      </c>
      <c r="K4577" s="163" t="s">
        <v>6353</v>
      </c>
      <c r="L4577" s="163" t="s">
        <v>3832</v>
      </c>
      <c r="M4577" s="163" t="s">
        <v>254</v>
      </c>
      <c r="N4577" s="163" t="s">
        <v>5317</v>
      </c>
      <c r="O4577" s="163"/>
      <c r="P4577" s="182" t="s">
        <v>461</v>
      </c>
      <c r="Q4577" s="163" t="s">
        <v>4929</v>
      </c>
      <c r="R4577" s="186" t="s">
        <v>4796</v>
      </c>
      <c r="S4577" s="355" t="s">
        <v>2614</v>
      </c>
      <c r="T4577" s="182"/>
      <c r="U4577" s="182"/>
      <c r="V4577" s="182"/>
      <c r="W4577" s="314" t="s">
        <v>3660</v>
      </c>
      <c r="X4577" s="646" t="s">
        <v>15474</v>
      </c>
      <c r="Y4577" s="355"/>
      <c r="Z4577" s="185"/>
      <c r="AA4577" s="185"/>
      <c r="AB4577" s="33">
        <f t="shared" ca="1" si="115"/>
        <v>0.63102810013188537</v>
      </c>
      <c r="AC4577" s="813"/>
      <c r="AD4577" s="211"/>
      <c r="AE4577" s="941"/>
      <c r="AF4577" s="922">
        <f>IF(X4577=X4576,AF4576,0)+IF(ISNUMBER(I4577),IF(I4577&lt;1,I4577,I4577*VLOOKUP(J4577,Summary!$H$2:$I$9,2)),VLOOKUP(J4577,Summary!$J$2:$K$9,2)*IF(ISNUMBER(H4577),H4577,1))</f>
        <v>0.14910879629629625</v>
      </c>
      <c r="AG4577" s="290">
        <v>4576</v>
      </c>
      <c r="AH4577" s="94"/>
      <c r="AI4577" s="94"/>
    </row>
    <row r="4578" spans="1:36" s="3" customFormat="1" ht="12" customHeight="1" x14ac:dyDescent="0.25">
      <c r="A4578" s="614" t="s">
        <v>15671</v>
      </c>
      <c r="B4578" s="614">
        <v>11</v>
      </c>
      <c r="C4578" s="614">
        <v>125</v>
      </c>
      <c r="D4578" s="185" t="s">
        <v>2427</v>
      </c>
      <c r="E4578" s="314" t="s">
        <v>3661</v>
      </c>
      <c r="F4578" s="184">
        <v>40311</v>
      </c>
      <c r="G4578" s="184">
        <v>40317</v>
      </c>
      <c r="H4578" s="185">
        <v>1</v>
      </c>
      <c r="I4578" s="185">
        <v>4</v>
      </c>
      <c r="J4578" s="901" t="s">
        <v>1796</v>
      </c>
      <c r="K4578" s="163" t="s">
        <v>176</v>
      </c>
      <c r="L4578" s="163" t="s">
        <v>3832</v>
      </c>
      <c r="M4578" s="163" t="s">
        <v>254</v>
      </c>
      <c r="N4578" s="163" t="s">
        <v>5317</v>
      </c>
      <c r="O4578" s="163"/>
      <c r="P4578" s="182" t="s">
        <v>461</v>
      </c>
      <c r="Q4578" s="163" t="s">
        <v>4929</v>
      </c>
      <c r="R4578" s="186" t="s">
        <v>4796</v>
      </c>
      <c r="S4578" s="355" t="s">
        <v>2614</v>
      </c>
      <c r="T4578" s="182"/>
      <c r="U4578" s="182"/>
      <c r="V4578" s="182"/>
      <c r="W4578" s="314" t="s">
        <v>3661</v>
      </c>
      <c r="X4578" s="646" t="s">
        <v>15474</v>
      </c>
      <c r="Y4578" s="355"/>
      <c r="Z4578" s="185"/>
      <c r="AA4578" s="185"/>
      <c r="AB4578" s="33">
        <f t="shared" ca="1" si="115"/>
        <v>4.3299646128520664E-3</v>
      </c>
      <c r="AC4578" s="813"/>
      <c r="AD4578" s="211"/>
      <c r="AE4578" s="941"/>
      <c r="AF4578" s="922">
        <f>IF(X4578=X4577,AF4577,0)+IF(ISNUMBER(I4578),IF(I4578&lt;1,I4578,I4578*VLOOKUP(J4578,Summary!$H$2:$I$9,2)),VLOOKUP(J4578,Summary!$J$2:$K$9,2)*IF(ISNUMBER(H4578),H4578,1))</f>
        <v>0.15049768518518514</v>
      </c>
      <c r="AG4578" s="290">
        <v>4577</v>
      </c>
      <c r="AH4578" s="94"/>
      <c r="AI4578" s="94"/>
    </row>
    <row r="4579" spans="1:36" s="2" customFormat="1" ht="12" customHeight="1" x14ac:dyDescent="0.25">
      <c r="A4579" s="614" t="s">
        <v>15671</v>
      </c>
      <c r="B4579" s="614">
        <v>11</v>
      </c>
      <c r="C4579" s="614">
        <v>126</v>
      </c>
      <c r="D4579" s="185" t="s">
        <v>2428</v>
      </c>
      <c r="E4579" s="314" t="s">
        <v>3087</v>
      </c>
      <c r="F4579" s="184">
        <v>40318</v>
      </c>
      <c r="G4579" s="184">
        <v>40324</v>
      </c>
      <c r="H4579" s="185">
        <v>1</v>
      </c>
      <c r="I4579" s="185">
        <v>4</v>
      </c>
      <c r="J4579" s="901" t="s">
        <v>1796</v>
      </c>
      <c r="K4579" s="163" t="s">
        <v>6353</v>
      </c>
      <c r="L4579" s="163" t="s">
        <v>3832</v>
      </c>
      <c r="M4579" s="163" t="s">
        <v>254</v>
      </c>
      <c r="N4579" s="163" t="s">
        <v>5317</v>
      </c>
      <c r="O4579" s="163"/>
      <c r="P4579" s="182" t="s">
        <v>461</v>
      </c>
      <c r="Q4579" s="163" t="s">
        <v>4929</v>
      </c>
      <c r="R4579" s="186" t="s">
        <v>4796</v>
      </c>
      <c r="S4579" s="355" t="s">
        <v>2614</v>
      </c>
      <c r="T4579" s="182"/>
      <c r="U4579" s="182"/>
      <c r="V4579" s="182"/>
      <c r="W4579" s="314" t="s">
        <v>3087</v>
      </c>
      <c r="X4579" s="646" t="s">
        <v>15474</v>
      </c>
      <c r="Y4579" s="355"/>
      <c r="Z4579" s="185"/>
      <c r="AA4579" s="185"/>
      <c r="AB4579" s="33">
        <f t="shared" ca="1" si="115"/>
        <v>0.85630102296940003</v>
      </c>
      <c r="AC4579" s="813"/>
      <c r="AD4579" s="211"/>
      <c r="AE4579" s="941"/>
      <c r="AF4579" s="922">
        <f>IF(X4579=X4578,AF4578,0)+IF(ISNUMBER(I4579),IF(I4579&lt;1,I4579,I4579*VLOOKUP(J4579,Summary!$H$2:$I$9,2)),VLOOKUP(J4579,Summary!$J$2:$K$9,2)*IF(ISNUMBER(H4579),H4579,1))</f>
        <v>0.15188657407407402</v>
      </c>
      <c r="AG4579" s="290">
        <v>4578</v>
      </c>
      <c r="AH4579" s="94"/>
      <c r="AI4579" s="94"/>
    </row>
    <row r="4580" spans="1:36" s="29" customFormat="1" ht="12" customHeight="1" x14ac:dyDescent="0.25">
      <c r="A4580" s="614" t="s">
        <v>15671</v>
      </c>
      <c r="B4580" s="614">
        <v>11</v>
      </c>
      <c r="C4580" s="614">
        <v>127</v>
      </c>
      <c r="D4580" s="185" t="s">
        <v>2429</v>
      </c>
      <c r="E4580" s="314" t="s">
        <v>3088</v>
      </c>
      <c r="F4580" s="184">
        <v>40325</v>
      </c>
      <c r="G4580" s="184">
        <v>40331</v>
      </c>
      <c r="H4580" s="185">
        <v>1</v>
      </c>
      <c r="I4580" s="185">
        <v>4</v>
      </c>
      <c r="J4580" s="901" t="s">
        <v>1796</v>
      </c>
      <c r="K4580" s="163" t="s">
        <v>1641</v>
      </c>
      <c r="L4580" s="163" t="s">
        <v>3832</v>
      </c>
      <c r="M4580" s="163" t="s">
        <v>254</v>
      </c>
      <c r="N4580" s="163" t="s">
        <v>5317</v>
      </c>
      <c r="O4580" s="163"/>
      <c r="P4580" s="182" t="s">
        <v>461</v>
      </c>
      <c r="Q4580" s="163" t="s">
        <v>4929</v>
      </c>
      <c r="R4580" s="186" t="s">
        <v>4796</v>
      </c>
      <c r="S4580" s="355" t="s">
        <v>2614</v>
      </c>
      <c r="T4580" s="182"/>
      <c r="U4580" s="182"/>
      <c r="V4580" s="182"/>
      <c r="W4580" s="314" t="s">
        <v>3088</v>
      </c>
      <c r="X4580" s="646" t="s">
        <v>15474</v>
      </c>
      <c r="Y4580" s="355"/>
      <c r="Z4580" s="185"/>
      <c r="AA4580" s="185"/>
      <c r="AB4580" s="33">
        <f t="shared" ca="1" si="115"/>
        <v>0.44551646968819325</v>
      </c>
      <c r="AC4580" s="813"/>
      <c r="AD4580" s="211"/>
      <c r="AE4580" s="941"/>
      <c r="AF4580" s="922">
        <f>IF(X4580=X4579,AF4579,0)+IF(ISNUMBER(I4580),IF(I4580&lt;1,I4580,I4580*VLOOKUP(J4580,Summary!$H$2:$I$9,2)),VLOOKUP(J4580,Summary!$J$2:$K$9,2)*IF(ISNUMBER(H4580),H4580,1))</f>
        <v>0.15327546296296291</v>
      </c>
      <c r="AG4580" s="290">
        <v>4579</v>
      </c>
      <c r="AH4580" s="94"/>
      <c r="AI4580" s="94"/>
    </row>
    <row r="4581" spans="1:36" s="29" customFormat="1" ht="12" customHeight="1" x14ac:dyDescent="0.25">
      <c r="A4581" s="613" t="s">
        <v>15671</v>
      </c>
      <c r="B4581" s="613">
        <v>11</v>
      </c>
      <c r="C4581" s="613"/>
      <c r="D4581" s="509" t="s">
        <v>5102</v>
      </c>
      <c r="E4581" s="335" t="s">
        <v>5104</v>
      </c>
      <c r="F4581" s="223">
        <v>41053</v>
      </c>
      <c r="G4581" s="223"/>
      <c r="H4581" s="242">
        <v>1</v>
      </c>
      <c r="I4581" s="792">
        <f>TIME(0,3,28)</f>
        <v>2.4074074074074076E-3</v>
      </c>
      <c r="J4581" s="909" t="s">
        <v>1588</v>
      </c>
      <c r="K4581" s="243" t="s">
        <v>5103</v>
      </c>
      <c r="L4581" s="243"/>
      <c r="M4581" s="243"/>
      <c r="N4581" s="243"/>
      <c r="O4581" s="243" t="s">
        <v>3810</v>
      </c>
      <c r="P4581" s="241" t="s">
        <v>461</v>
      </c>
      <c r="Q4581" s="243" t="s">
        <v>3946</v>
      </c>
      <c r="R4581" s="244" t="s">
        <v>5277</v>
      </c>
      <c r="S4581" s="395" t="s">
        <v>2614</v>
      </c>
      <c r="T4581" s="241"/>
      <c r="U4581" s="241"/>
      <c r="V4581" s="241"/>
      <c r="W4581" s="335" t="s">
        <v>5104</v>
      </c>
      <c r="X4581" s="667" t="s">
        <v>15474</v>
      </c>
      <c r="Y4581" s="375" t="s">
        <v>7018</v>
      </c>
      <c r="Z4581" s="376">
        <v>320</v>
      </c>
      <c r="AA4581" s="377">
        <v>0.5</v>
      </c>
      <c r="AB4581" s="55">
        <f t="shared" ca="1" si="115"/>
        <v>0.6727217362500979</v>
      </c>
      <c r="AC4581" s="834"/>
      <c r="AD4581" s="835"/>
      <c r="AE4581" s="957"/>
      <c r="AF4581" s="930">
        <f>IF(X4581=X4580,AF4580,0)+IF(ISNUMBER(I4581),IF(I4581&lt;1,I4581,I4581*VLOOKUP(J4581,Summary!$H$2:$I$9,2)),VLOOKUP(J4581,Summary!$J$2:$K$9,2)*IF(ISNUMBER(H4581),H4581,1))</f>
        <v>0.15568287037037032</v>
      </c>
      <c r="AG4581" s="302">
        <v>4580</v>
      </c>
      <c r="AH4581" s="94"/>
      <c r="AI4581" s="94"/>
    </row>
    <row r="4582" spans="1:36" s="43" customFormat="1" ht="12" customHeight="1" x14ac:dyDescent="0.25">
      <c r="A4582" s="617" t="s">
        <v>15671</v>
      </c>
      <c r="B4582" s="617">
        <v>11</v>
      </c>
      <c r="C4582" s="617">
        <v>12</v>
      </c>
      <c r="D4582" s="407" t="s">
        <v>12547</v>
      </c>
      <c r="E4582" s="315" t="s">
        <v>3096</v>
      </c>
      <c r="F4582" s="169">
        <v>40603</v>
      </c>
      <c r="G4582" s="196"/>
      <c r="H4582" s="170">
        <v>1</v>
      </c>
      <c r="I4582" s="746">
        <f>TIME(1,19,0)</f>
        <v>5.486111111111111E-2</v>
      </c>
      <c r="J4582" s="899" t="s">
        <v>4706</v>
      </c>
      <c r="K4582" s="167" t="s">
        <v>1033</v>
      </c>
      <c r="L4582" s="167"/>
      <c r="M4582" s="167" t="s">
        <v>1232</v>
      </c>
      <c r="N4582" s="167"/>
      <c r="O4582" s="167"/>
      <c r="P4582" s="168" t="s">
        <v>779</v>
      </c>
      <c r="Q4582" s="167" t="s">
        <v>3950</v>
      </c>
      <c r="R4582" s="172" t="s">
        <v>2240</v>
      </c>
      <c r="S4582" s="388" t="s">
        <v>2614</v>
      </c>
      <c r="T4582" s="168"/>
      <c r="U4582" s="168"/>
      <c r="V4582" s="168"/>
      <c r="W4582" s="315" t="s">
        <v>3096</v>
      </c>
      <c r="X4582" s="647" t="s">
        <v>15474</v>
      </c>
      <c r="Y4582" s="352"/>
      <c r="Z4582" s="353"/>
      <c r="AA4582" s="353"/>
      <c r="AB4582" s="31">
        <f t="shared" ca="1" si="115"/>
        <v>0.49211407375273442</v>
      </c>
      <c r="AC4582" s="810"/>
      <c r="AD4582" s="811" t="s">
        <v>16121</v>
      </c>
      <c r="AE4582" s="940"/>
      <c r="AF4582" s="920">
        <f>IF(X4582=X4581,AF4581,0)+IF(ISNUMBER(I4582),IF(I4582&lt;1,I4582,I4582*VLOOKUP(J4582,Summary!$H$2:$I$9,2)),VLOOKUP(J4582,Summary!$J$2:$K$9,2)*IF(ISNUMBER(H4582),H4582,1))</f>
        <v>0.21054398148148143</v>
      </c>
      <c r="AG4582" s="287">
        <v>4581</v>
      </c>
      <c r="AH4582" s="94"/>
      <c r="AI4582" s="94"/>
    </row>
    <row r="4583" spans="1:36" s="29" customFormat="1" ht="12" customHeight="1" x14ac:dyDescent="0.25">
      <c r="A4583" s="616" t="s">
        <v>15671</v>
      </c>
      <c r="B4583" s="616">
        <v>11</v>
      </c>
      <c r="C4583" s="616">
        <v>1</v>
      </c>
      <c r="D4583" s="619" t="s">
        <v>6303</v>
      </c>
      <c r="E4583" s="345" t="s">
        <v>3347</v>
      </c>
      <c r="F4583" s="219">
        <v>40334</v>
      </c>
      <c r="G4583" s="219"/>
      <c r="H4583" s="210" t="s">
        <v>461</v>
      </c>
      <c r="I4583" s="210"/>
      <c r="J4583" s="908" t="s">
        <v>3346</v>
      </c>
      <c r="K4583" s="166" t="s">
        <v>460</v>
      </c>
      <c r="L4583" s="166" t="s">
        <v>461</v>
      </c>
      <c r="M4583" s="166"/>
      <c r="N4583" s="166"/>
      <c r="O4583" s="166"/>
      <c r="P4583" s="267" t="s">
        <v>461</v>
      </c>
      <c r="Q4583" s="166" t="s">
        <v>3952</v>
      </c>
      <c r="R4583" s="268" t="s">
        <v>2721</v>
      </c>
      <c r="S4583" s="386" t="s">
        <v>2614</v>
      </c>
      <c r="T4583" s="267"/>
      <c r="U4583" s="267"/>
      <c r="V4583" s="267"/>
      <c r="W4583" s="345" t="s">
        <v>3347</v>
      </c>
      <c r="X4583" s="680" t="s">
        <v>15474</v>
      </c>
      <c r="Y4583" s="384" t="s">
        <v>3346</v>
      </c>
      <c r="Z4583" s="385"/>
      <c r="AA4583" s="385"/>
      <c r="AB4583" s="41">
        <f t="shared" ca="1" si="115"/>
        <v>0.90781018630260235</v>
      </c>
      <c r="AC4583" s="832"/>
      <c r="AD4583" s="833"/>
      <c r="AE4583" s="956"/>
      <c r="AF4583" s="929">
        <f>IF(X4583=X4582,AF4582,0)+IF(ISNUMBER(I4583),IF(I4583&lt;1,I4583,I4583*VLOOKUP(J4583,Summary!$H$2:$I$9,2)),VLOOKUP(J4583,Summary!$J$2:$K$9,2)*IF(ISNUMBER(H4583),H4583,1))</f>
        <v>0.25221064814814809</v>
      </c>
      <c r="AG4583" s="307">
        <v>4582</v>
      </c>
      <c r="AH4583" s="94"/>
      <c r="AI4583" s="94"/>
    </row>
    <row r="4584" spans="1:36" s="29" customFormat="1" ht="12" customHeight="1" x14ac:dyDescent="0.25">
      <c r="A4584" s="614" t="s">
        <v>15671</v>
      </c>
      <c r="B4584" s="614">
        <v>11</v>
      </c>
      <c r="C4584" s="614">
        <v>128</v>
      </c>
      <c r="D4584" s="185" t="s">
        <v>3089</v>
      </c>
      <c r="E4584" s="314" t="s">
        <v>3090</v>
      </c>
      <c r="F4584" s="184">
        <v>40332</v>
      </c>
      <c r="G4584" s="184">
        <v>40338</v>
      </c>
      <c r="H4584" s="185">
        <v>1</v>
      </c>
      <c r="I4584" s="185">
        <v>4</v>
      </c>
      <c r="J4584" s="901" t="s">
        <v>1796</v>
      </c>
      <c r="K4584" s="163" t="s">
        <v>176</v>
      </c>
      <c r="L4584" s="163" t="s">
        <v>3832</v>
      </c>
      <c r="M4584" s="163" t="s">
        <v>254</v>
      </c>
      <c r="N4584" s="163" t="s">
        <v>5317</v>
      </c>
      <c r="O4584" s="163"/>
      <c r="P4584" s="182" t="s">
        <v>461</v>
      </c>
      <c r="Q4584" s="163" t="s">
        <v>4929</v>
      </c>
      <c r="R4584" s="186" t="s">
        <v>4796</v>
      </c>
      <c r="S4584" s="355" t="s">
        <v>2614</v>
      </c>
      <c r="T4584" s="182"/>
      <c r="U4584" s="182"/>
      <c r="V4584" s="182"/>
      <c r="W4584" s="314" t="s">
        <v>3090</v>
      </c>
      <c r="X4584" s="646" t="s">
        <v>15474</v>
      </c>
      <c r="Y4584" s="355"/>
      <c r="Z4584" s="185"/>
      <c r="AA4584" s="185"/>
      <c r="AB4584" s="33">
        <f t="shared" ca="1" si="115"/>
        <v>4.6128466235179966E-2</v>
      </c>
      <c r="AC4584" s="813"/>
      <c r="AD4584" s="211"/>
      <c r="AE4584" s="941"/>
      <c r="AF4584" s="922">
        <f>IF(X4584=X4583,AF4583,0)+IF(ISNUMBER(I4584),IF(I4584&lt;1,I4584,I4584*VLOOKUP(J4584,Summary!$H$2:$I$9,2)),VLOOKUP(J4584,Summary!$J$2:$K$9,2)*IF(ISNUMBER(H4584),H4584,1))</f>
        <v>0.25359953703703697</v>
      </c>
      <c r="AG4584" s="290">
        <v>4583</v>
      </c>
      <c r="AH4584" s="94"/>
      <c r="AI4584" s="94"/>
    </row>
    <row r="4585" spans="1:36" s="1" customFormat="1" ht="12" customHeight="1" x14ac:dyDescent="0.25">
      <c r="A4585" s="612" t="s">
        <v>15671</v>
      </c>
      <c r="B4585" s="612">
        <v>11</v>
      </c>
      <c r="C4585" s="612">
        <v>210</v>
      </c>
      <c r="D4585" s="424" t="s">
        <v>5636</v>
      </c>
      <c r="E4585" s="319" t="s">
        <v>5635</v>
      </c>
      <c r="F4585" s="198">
        <v>40334</v>
      </c>
      <c r="G4585" s="198"/>
      <c r="H4585" s="199">
        <v>1</v>
      </c>
      <c r="I4585" s="791">
        <f>TIME(0,46,36)</f>
        <v>3.2361111111111111E-2</v>
      </c>
      <c r="J4585" s="904" t="s">
        <v>1588</v>
      </c>
      <c r="K4585" s="200" t="s">
        <v>5640</v>
      </c>
      <c r="L4585" s="200" t="s">
        <v>5298</v>
      </c>
      <c r="M4585" s="200"/>
      <c r="N4585" s="200" t="s">
        <v>3810</v>
      </c>
      <c r="O4585" s="200" t="s">
        <v>5004</v>
      </c>
      <c r="P4585" s="197" t="s">
        <v>461</v>
      </c>
      <c r="Q4585" s="200" t="s">
        <v>3946</v>
      </c>
      <c r="R4585" s="201" t="s">
        <v>5280</v>
      </c>
      <c r="S4585" s="390" t="s">
        <v>2614</v>
      </c>
      <c r="T4585" s="197"/>
      <c r="U4585" s="197"/>
      <c r="V4585" s="197"/>
      <c r="W4585" s="319" t="s">
        <v>5635</v>
      </c>
      <c r="X4585" s="651" t="s">
        <v>15474</v>
      </c>
      <c r="Y4585" s="358" t="s">
        <v>7018</v>
      </c>
      <c r="Z4585" s="253">
        <v>39</v>
      </c>
      <c r="AA4585" s="253">
        <v>8.5</v>
      </c>
      <c r="AB4585" s="35">
        <f t="shared" ca="1" si="115"/>
        <v>0.38645482710463308</v>
      </c>
      <c r="AC4585" s="820"/>
      <c r="AD4585" s="821" t="s">
        <v>16636</v>
      </c>
      <c r="AE4585" s="967"/>
      <c r="AF4585" s="925">
        <f>IF(X4585=X4584,AF4584,0)+IF(ISNUMBER(I4585),IF(I4585&lt;1,I4585,I4585*VLOOKUP(J4585,Summary!$H$2:$I$9,2)),VLOOKUP(J4585,Summary!$J$2:$K$9,2)*IF(ISNUMBER(H4585),H4585,1))</f>
        <v>0.28596064814814809</v>
      </c>
      <c r="AG4585" s="293">
        <v>4584</v>
      </c>
      <c r="AH4585" s="94"/>
      <c r="AI4585" s="94"/>
    </row>
    <row r="4586" spans="1:36" s="29" customFormat="1" ht="12" customHeight="1" x14ac:dyDescent="0.25">
      <c r="A4586" s="614" t="s">
        <v>15671</v>
      </c>
      <c r="B4586" s="614">
        <v>11</v>
      </c>
      <c r="C4586" s="614">
        <v>129</v>
      </c>
      <c r="D4586" s="185" t="s">
        <v>3093</v>
      </c>
      <c r="E4586" s="314" t="s">
        <v>3091</v>
      </c>
      <c r="F4586" s="184">
        <v>40339</v>
      </c>
      <c r="G4586" s="184">
        <v>40345</v>
      </c>
      <c r="H4586" s="185">
        <v>1</v>
      </c>
      <c r="I4586" s="185">
        <v>4</v>
      </c>
      <c r="J4586" s="901" t="s">
        <v>1796</v>
      </c>
      <c r="K4586" s="163" t="s">
        <v>4147</v>
      </c>
      <c r="L4586" s="163" t="s">
        <v>3832</v>
      </c>
      <c r="M4586" s="163" t="s">
        <v>254</v>
      </c>
      <c r="N4586" s="163" t="s">
        <v>5317</v>
      </c>
      <c r="O4586" s="163"/>
      <c r="P4586" s="182" t="s">
        <v>461</v>
      </c>
      <c r="Q4586" s="163" t="s">
        <v>4929</v>
      </c>
      <c r="R4586" s="186" t="s">
        <v>4796</v>
      </c>
      <c r="S4586" s="355" t="s">
        <v>2614</v>
      </c>
      <c r="T4586" s="182"/>
      <c r="U4586" s="182"/>
      <c r="V4586" s="182"/>
      <c r="W4586" s="314" t="s">
        <v>3091</v>
      </c>
      <c r="X4586" s="646" t="s">
        <v>15474</v>
      </c>
      <c r="Y4586" s="355"/>
      <c r="Z4586" s="185"/>
      <c r="AA4586" s="185"/>
      <c r="AB4586" s="33">
        <f t="shared" ca="1" si="115"/>
        <v>0.1984466979244085</v>
      </c>
      <c r="AC4586" s="813"/>
      <c r="AD4586" s="211"/>
      <c r="AE4586" s="941"/>
      <c r="AF4586" s="922">
        <f>IF(X4586=X4585,AF4585,0)+IF(ISNUMBER(I4586),IF(I4586&lt;1,I4586,I4586*VLOOKUP(J4586,Summary!$H$2:$I$9,2)),VLOOKUP(J4586,Summary!$J$2:$K$9,2)*IF(ISNUMBER(H4586),H4586,1))</f>
        <v>0.28734953703703697</v>
      </c>
      <c r="AG4586" s="290">
        <v>4585</v>
      </c>
      <c r="AH4586" s="94"/>
      <c r="AI4586" s="94"/>
    </row>
    <row r="4587" spans="1:36" s="2" customFormat="1" ht="12" customHeight="1" x14ac:dyDescent="0.25">
      <c r="A4587" s="614" t="s">
        <v>15671</v>
      </c>
      <c r="B4587" s="614">
        <v>11</v>
      </c>
      <c r="C4587" s="614">
        <v>130</v>
      </c>
      <c r="D4587" s="185" t="s">
        <v>3094</v>
      </c>
      <c r="E4587" s="314" t="s">
        <v>6013</v>
      </c>
      <c r="F4587" s="184">
        <v>40346</v>
      </c>
      <c r="G4587" s="184">
        <v>40352</v>
      </c>
      <c r="H4587" s="185">
        <v>1</v>
      </c>
      <c r="I4587" s="185">
        <v>4</v>
      </c>
      <c r="J4587" s="901" t="s">
        <v>1796</v>
      </c>
      <c r="K4587" s="163" t="s">
        <v>1641</v>
      </c>
      <c r="L4587" s="163" t="s">
        <v>3832</v>
      </c>
      <c r="M4587" s="163" t="s">
        <v>254</v>
      </c>
      <c r="N4587" s="163" t="s">
        <v>5317</v>
      </c>
      <c r="O4587" s="163"/>
      <c r="P4587" s="182" t="s">
        <v>461</v>
      </c>
      <c r="Q4587" s="163" t="s">
        <v>4929</v>
      </c>
      <c r="R4587" s="186" t="s">
        <v>4796</v>
      </c>
      <c r="S4587" s="355" t="s">
        <v>2614</v>
      </c>
      <c r="T4587" s="182"/>
      <c r="U4587" s="182"/>
      <c r="V4587" s="182"/>
      <c r="W4587" s="314" t="s">
        <v>6013</v>
      </c>
      <c r="X4587" s="646" t="s">
        <v>15474</v>
      </c>
      <c r="Y4587" s="355"/>
      <c r="Z4587" s="185"/>
      <c r="AA4587" s="185"/>
      <c r="AB4587" s="33">
        <f t="shared" ca="1" si="115"/>
        <v>0.48172309883439246</v>
      </c>
      <c r="AC4587" s="813"/>
      <c r="AD4587" s="211"/>
      <c r="AE4587" s="941"/>
      <c r="AF4587" s="922">
        <f>IF(X4587=X4586,AF4586,0)+IF(ISNUMBER(I4587),IF(I4587&lt;1,I4587,I4587*VLOOKUP(J4587,Summary!$H$2:$I$9,2)),VLOOKUP(J4587,Summary!$J$2:$K$9,2)*IF(ISNUMBER(H4587),H4587,1))</f>
        <v>0.28873842592592586</v>
      </c>
      <c r="AG4587" s="290">
        <v>4586</v>
      </c>
      <c r="AH4587" s="94"/>
      <c r="AI4587" s="94"/>
    </row>
    <row r="4588" spans="1:36" s="43" customFormat="1" ht="12" customHeight="1" x14ac:dyDescent="0.25">
      <c r="A4588" s="614" t="s">
        <v>15671</v>
      </c>
      <c r="B4588" s="614">
        <v>11</v>
      </c>
      <c r="C4588" s="614">
        <v>131</v>
      </c>
      <c r="D4588" s="185" t="s">
        <v>3095</v>
      </c>
      <c r="E4588" s="314" t="s">
        <v>3092</v>
      </c>
      <c r="F4588" s="184">
        <v>40353</v>
      </c>
      <c r="G4588" s="184">
        <v>40359</v>
      </c>
      <c r="H4588" s="185">
        <v>1</v>
      </c>
      <c r="I4588" s="185">
        <v>4</v>
      </c>
      <c r="J4588" s="901" t="s">
        <v>1796</v>
      </c>
      <c r="K4588" s="163" t="s">
        <v>6353</v>
      </c>
      <c r="L4588" s="163" t="s">
        <v>3832</v>
      </c>
      <c r="M4588" s="163" t="s">
        <v>254</v>
      </c>
      <c r="N4588" s="163" t="s">
        <v>5317</v>
      </c>
      <c r="O4588" s="163"/>
      <c r="P4588" s="182" t="s">
        <v>461</v>
      </c>
      <c r="Q4588" s="163" t="s">
        <v>4929</v>
      </c>
      <c r="R4588" s="186" t="s">
        <v>4796</v>
      </c>
      <c r="S4588" s="355" t="s">
        <v>2614</v>
      </c>
      <c r="T4588" s="182"/>
      <c r="U4588" s="182"/>
      <c r="V4588" s="182"/>
      <c r="W4588" s="314" t="s">
        <v>3092</v>
      </c>
      <c r="X4588" s="646" t="s">
        <v>15474</v>
      </c>
      <c r="Y4588" s="355"/>
      <c r="Z4588" s="185"/>
      <c r="AA4588" s="185"/>
      <c r="AB4588" s="33">
        <f t="shared" ca="1" si="115"/>
        <v>0.20834210891308858</v>
      </c>
      <c r="AC4588" s="813"/>
      <c r="AD4588" s="211"/>
      <c r="AE4588" s="941"/>
      <c r="AF4588" s="922">
        <f>IF(X4588=X4587,AF4587,0)+IF(ISNUMBER(I4588),IF(I4588&lt;1,I4588,I4588*VLOOKUP(J4588,Summary!$H$2:$I$9,2)),VLOOKUP(J4588,Summary!$J$2:$K$9,2)*IF(ISNUMBER(H4588),H4588,1))</f>
        <v>0.29012731481481474</v>
      </c>
      <c r="AG4588" s="290">
        <v>4587</v>
      </c>
      <c r="AH4588" s="94"/>
      <c r="AI4588" s="94"/>
    </row>
    <row r="4589" spans="1:36" s="1" customFormat="1" ht="12" customHeight="1" x14ac:dyDescent="0.25">
      <c r="A4589" s="616" t="s">
        <v>15671</v>
      </c>
      <c r="B4589" s="616">
        <v>11</v>
      </c>
      <c r="C4589" s="616">
        <v>2</v>
      </c>
      <c r="D4589" s="619" t="s">
        <v>6304</v>
      </c>
      <c r="E4589" s="345" t="s">
        <v>3348</v>
      </c>
      <c r="F4589" s="219">
        <v>40355</v>
      </c>
      <c r="G4589" s="219"/>
      <c r="H4589" s="210" t="s">
        <v>461</v>
      </c>
      <c r="I4589" s="210"/>
      <c r="J4589" s="908" t="s">
        <v>3346</v>
      </c>
      <c r="K4589" s="166" t="s">
        <v>460</v>
      </c>
      <c r="L4589" s="166" t="s">
        <v>461</v>
      </c>
      <c r="M4589" s="166"/>
      <c r="N4589" s="166"/>
      <c r="O4589" s="166"/>
      <c r="P4589" s="267" t="s">
        <v>461</v>
      </c>
      <c r="Q4589" s="166" t="s">
        <v>3952</v>
      </c>
      <c r="R4589" s="268" t="s">
        <v>2721</v>
      </c>
      <c r="S4589" s="386" t="s">
        <v>2614</v>
      </c>
      <c r="T4589" s="267"/>
      <c r="U4589" s="267"/>
      <c r="V4589" s="267"/>
      <c r="W4589" s="345" t="s">
        <v>3348</v>
      </c>
      <c r="X4589" s="680" t="s">
        <v>15474</v>
      </c>
      <c r="Y4589" s="384" t="s">
        <v>3346</v>
      </c>
      <c r="Z4589" s="385"/>
      <c r="AA4589" s="385"/>
      <c r="AB4589" s="41">
        <f t="shared" ca="1" si="115"/>
        <v>0.23327590689161237</v>
      </c>
      <c r="AC4589" s="832"/>
      <c r="AD4589" s="833"/>
      <c r="AE4589" s="956"/>
      <c r="AF4589" s="929">
        <f>IF(X4589=X4588,AF4588,0)+IF(ISNUMBER(I4589),IF(I4589&lt;1,I4589,I4589*VLOOKUP(J4589,Summary!$H$2:$I$9,2)),VLOOKUP(J4589,Summary!$J$2:$K$9,2)*IF(ISNUMBER(H4589),H4589,1))</f>
        <v>0.33179398148148143</v>
      </c>
      <c r="AG4589" s="307">
        <v>4588</v>
      </c>
      <c r="AH4589" s="94"/>
      <c r="AI4589" s="94"/>
      <c r="AJ4589" s="22"/>
    </row>
    <row r="4590" spans="1:36" s="43" customFormat="1" ht="12" customHeight="1" x14ac:dyDescent="0.25">
      <c r="A4590" s="620" t="s">
        <v>15671</v>
      </c>
      <c r="B4590" s="620">
        <v>11</v>
      </c>
      <c r="C4590" s="620">
        <v>2.5</v>
      </c>
      <c r="D4590" s="602" t="s">
        <v>3122</v>
      </c>
      <c r="E4590" s="343" t="s">
        <v>5058</v>
      </c>
      <c r="F4590" s="181">
        <v>40414</v>
      </c>
      <c r="G4590" s="181"/>
      <c r="H4590" s="263">
        <v>1</v>
      </c>
      <c r="I4590" s="263"/>
      <c r="J4590" s="914" t="s">
        <v>2755</v>
      </c>
      <c r="K4590" s="264" t="s">
        <v>1503</v>
      </c>
      <c r="L4590" s="264" t="s">
        <v>461</v>
      </c>
      <c r="M4590" s="264"/>
      <c r="N4590" s="264"/>
      <c r="O4590" s="264"/>
      <c r="P4590" s="262" t="s">
        <v>461</v>
      </c>
      <c r="Q4590" s="264" t="s">
        <v>3952</v>
      </c>
      <c r="R4590" s="265" t="s">
        <v>2721</v>
      </c>
      <c r="S4590" s="402" t="s">
        <v>2614</v>
      </c>
      <c r="T4590" s="262"/>
      <c r="U4590" s="262"/>
      <c r="V4590" s="262"/>
      <c r="W4590" s="343" t="s">
        <v>5058</v>
      </c>
      <c r="X4590" s="678" t="s">
        <v>15474</v>
      </c>
      <c r="Y4590" s="383"/>
      <c r="Z4590" s="266"/>
      <c r="AA4590" s="266"/>
      <c r="AB4590" s="46">
        <f t="shared" ca="1" si="115"/>
        <v>0.86649698418996135</v>
      </c>
      <c r="AC4590" s="847"/>
      <c r="AD4590" s="848"/>
      <c r="AE4590" s="968"/>
      <c r="AF4590" s="935">
        <f>IF(X4590=X4589,AF4589,0)+IF(ISNUMBER(I4590),IF(I4590&lt;1,I4590,I4590*VLOOKUP(J4590,Summary!$H$2:$I$9,2)),VLOOKUP(J4590,Summary!$J$2:$K$9,2)*IF(ISNUMBER(H4590),H4590,1))</f>
        <v>0.34915509259259253</v>
      </c>
      <c r="AG4590" s="306">
        <v>4589</v>
      </c>
      <c r="AH4590" s="94"/>
      <c r="AI4590" s="94"/>
      <c r="AJ4590" s="2"/>
    </row>
    <row r="4591" spans="1:36" s="57" customFormat="1" ht="12" customHeight="1" x14ac:dyDescent="0.25">
      <c r="A4591" s="616" t="s">
        <v>15671</v>
      </c>
      <c r="B4591" s="616">
        <v>11</v>
      </c>
      <c r="C4591" s="616">
        <v>3</v>
      </c>
      <c r="D4591" s="619" t="s">
        <v>6305</v>
      </c>
      <c r="E4591" s="345" t="s">
        <v>3349</v>
      </c>
      <c r="F4591" s="219">
        <v>40417</v>
      </c>
      <c r="G4591" s="219"/>
      <c r="H4591" s="210" t="s">
        <v>461</v>
      </c>
      <c r="I4591" s="210"/>
      <c r="J4591" s="908" t="s">
        <v>3346</v>
      </c>
      <c r="K4591" s="166" t="s">
        <v>460</v>
      </c>
      <c r="L4591" s="166" t="s">
        <v>461</v>
      </c>
      <c r="M4591" s="166"/>
      <c r="N4591" s="166"/>
      <c r="O4591" s="166"/>
      <c r="P4591" s="267" t="s">
        <v>461</v>
      </c>
      <c r="Q4591" s="166" t="s">
        <v>3952</v>
      </c>
      <c r="R4591" s="268" t="s">
        <v>2721</v>
      </c>
      <c r="S4591" s="386" t="s">
        <v>2614</v>
      </c>
      <c r="T4591" s="267"/>
      <c r="U4591" s="267"/>
      <c r="V4591" s="267"/>
      <c r="W4591" s="345" t="s">
        <v>3349</v>
      </c>
      <c r="X4591" s="680" t="s">
        <v>15474</v>
      </c>
      <c r="Y4591" s="384" t="s">
        <v>3346</v>
      </c>
      <c r="Z4591" s="385"/>
      <c r="AA4591" s="385"/>
      <c r="AB4591" s="41">
        <f t="shared" ca="1" si="115"/>
        <v>0.99027515483275197</v>
      </c>
      <c r="AC4591" s="832"/>
      <c r="AD4591" s="833"/>
      <c r="AE4591" s="956"/>
      <c r="AF4591" s="929">
        <f>IF(X4591=X4590,AF4590,0)+IF(ISNUMBER(I4591),IF(I4591&lt;1,I4591,I4591*VLOOKUP(J4591,Summary!$H$2:$I$9,2)),VLOOKUP(J4591,Summary!$J$2:$K$9,2)*IF(ISNUMBER(H4591),H4591,1))</f>
        <v>0.39082175925925922</v>
      </c>
      <c r="AG4591" s="307">
        <v>4590</v>
      </c>
      <c r="AH4591" s="94"/>
      <c r="AI4591" s="94"/>
    </row>
    <row r="4592" spans="1:36" s="57" customFormat="1" ht="12" customHeight="1" x14ac:dyDescent="0.25">
      <c r="A4592" s="616" t="s">
        <v>15671</v>
      </c>
      <c r="B4592" s="616">
        <v>11</v>
      </c>
      <c r="C4592" s="616">
        <v>4</v>
      </c>
      <c r="D4592" s="619" t="s">
        <v>6306</v>
      </c>
      <c r="E4592" s="345" t="s">
        <v>3350</v>
      </c>
      <c r="F4592" s="219">
        <v>40534</v>
      </c>
      <c r="G4592" s="219"/>
      <c r="H4592" s="210">
        <v>3</v>
      </c>
      <c r="I4592" s="210"/>
      <c r="J4592" s="908" t="s">
        <v>3346</v>
      </c>
      <c r="K4592" s="166" t="s">
        <v>460</v>
      </c>
      <c r="L4592" s="166" t="s">
        <v>461</v>
      </c>
      <c r="M4592" s="166"/>
      <c r="N4592" s="166"/>
      <c r="O4592" s="166"/>
      <c r="P4592" s="267" t="s">
        <v>461</v>
      </c>
      <c r="Q4592" s="166" t="s">
        <v>3952</v>
      </c>
      <c r="R4592" s="268" t="s">
        <v>2721</v>
      </c>
      <c r="S4592" s="386" t="s">
        <v>2614</v>
      </c>
      <c r="T4592" s="267"/>
      <c r="U4592" s="267"/>
      <c r="V4592" s="267"/>
      <c r="W4592" s="345"/>
      <c r="X4592" s="680" t="s">
        <v>15474</v>
      </c>
      <c r="Y4592" s="384" t="s">
        <v>3346</v>
      </c>
      <c r="Z4592" s="385"/>
      <c r="AA4592" s="385"/>
      <c r="AB4592" s="41">
        <f t="shared" ca="1" si="115"/>
        <v>0.72801479987949214</v>
      </c>
      <c r="AC4592" s="832"/>
      <c r="AD4592" s="833"/>
      <c r="AE4592" s="956"/>
      <c r="AF4592" s="929">
        <f>IF(X4592=X4591,AF4591,0)+IF(ISNUMBER(I4592),IF(I4592&lt;1,I4592,I4592*VLOOKUP(J4592,Summary!$H$2:$I$9,2)),VLOOKUP(J4592,Summary!$J$2:$K$9,2)*IF(ISNUMBER(H4592),H4592,1))</f>
        <v>0.51582175925925922</v>
      </c>
      <c r="AG4592" s="307">
        <v>4591</v>
      </c>
      <c r="AH4592" s="94"/>
      <c r="AI4592" s="94"/>
    </row>
    <row r="4593" spans="1:36" s="3" customFormat="1" ht="12" customHeight="1" x14ac:dyDescent="0.25">
      <c r="A4593" s="612" t="s">
        <v>15671</v>
      </c>
      <c r="B4593" s="612">
        <v>11</v>
      </c>
      <c r="C4593" s="612"/>
      <c r="D4593" s="493"/>
      <c r="E4593" s="333" t="s">
        <v>3345</v>
      </c>
      <c r="F4593" s="269">
        <v>2010</v>
      </c>
      <c r="G4593" s="226"/>
      <c r="H4593" s="226" t="s">
        <v>461</v>
      </c>
      <c r="I4593" s="226">
        <v>128</v>
      </c>
      <c r="J4593" s="907" t="s">
        <v>1796</v>
      </c>
      <c r="K4593" s="165" t="s">
        <v>543</v>
      </c>
      <c r="L4593" s="165" t="s">
        <v>4138</v>
      </c>
      <c r="M4593" s="165"/>
      <c r="N4593" s="165"/>
      <c r="O4593" s="165"/>
      <c r="P4593" s="225" t="s">
        <v>9000</v>
      </c>
      <c r="Q4593" s="165" t="s">
        <v>3953</v>
      </c>
      <c r="R4593" s="234" t="s">
        <v>2711</v>
      </c>
      <c r="S4593" s="369" t="s">
        <v>2614</v>
      </c>
      <c r="T4593" s="225"/>
      <c r="U4593" s="225"/>
      <c r="V4593" s="225"/>
      <c r="W4593" s="333" t="s">
        <v>3345</v>
      </c>
      <c r="X4593" s="665" t="s">
        <v>15474</v>
      </c>
      <c r="Y4593" s="372" t="s">
        <v>6868</v>
      </c>
      <c r="Z4593" s="269">
        <v>999</v>
      </c>
      <c r="AA4593" s="269"/>
      <c r="AB4593" s="38">
        <f t="shared" ca="1" si="115"/>
        <v>0.28586201694574254</v>
      </c>
      <c r="AC4593" s="830"/>
      <c r="AD4593" s="831" t="s">
        <v>16399</v>
      </c>
      <c r="AE4593" s="953" t="s">
        <v>12543</v>
      </c>
      <c r="AF4593" s="928">
        <f>IF(X4593=X4592,AF4592,0)+IF(ISNUMBER(I4593),IF(I4593&lt;1,I4593,I4593*VLOOKUP(J4593,Summary!$H$2:$I$9,2)),VLOOKUP(J4593,Summary!$J$2:$K$9,2)*IF(ISNUMBER(H4593),H4593,1))</f>
        <v>0.56026620370370361</v>
      </c>
      <c r="AG4593" s="300">
        <v>4592</v>
      </c>
      <c r="AH4593" s="94"/>
      <c r="AI4593" s="94"/>
    </row>
    <row r="4594" spans="1:36" s="1" customFormat="1" ht="12" customHeight="1" x14ac:dyDescent="0.25">
      <c r="A4594" s="617" t="s">
        <v>15671</v>
      </c>
      <c r="B4594" s="617">
        <v>11</v>
      </c>
      <c r="C4594" s="617">
        <v>10</v>
      </c>
      <c r="D4594" s="407" t="s">
        <v>4137</v>
      </c>
      <c r="E4594" s="315" t="s">
        <v>5807</v>
      </c>
      <c r="F4594" s="196">
        <v>40544</v>
      </c>
      <c r="G4594" s="196"/>
      <c r="H4594" s="170">
        <v>1</v>
      </c>
      <c r="I4594" s="746">
        <f>TIME(1,8,9)</f>
        <v>4.7326388888888883E-2</v>
      </c>
      <c r="J4594" s="899" t="s">
        <v>4706</v>
      </c>
      <c r="K4594" s="167" t="s">
        <v>6235</v>
      </c>
      <c r="L4594" s="161" t="str">
        <f>IF(J4594="Book","n/a","")</f>
        <v/>
      </c>
      <c r="M4594" s="161"/>
      <c r="N4594" s="167"/>
      <c r="O4594" s="167"/>
      <c r="P4594" s="168" t="s">
        <v>8925</v>
      </c>
      <c r="Q4594" s="167" t="s">
        <v>3953</v>
      </c>
      <c r="R4594" s="172" t="s">
        <v>2240</v>
      </c>
      <c r="S4594" s="388" t="s">
        <v>2614</v>
      </c>
      <c r="T4594" s="168"/>
      <c r="U4594" s="168"/>
      <c r="V4594" s="168"/>
      <c r="W4594" s="315" t="s">
        <v>5807</v>
      </c>
      <c r="X4594" s="647" t="s">
        <v>15474</v>
      </c>
      <c r="Y4594" s="352"/>
      <c r="Z4594" s="353"/>
      <c r="AA4594" s="353"/>
      <c r="AB4594" s="31">
        <f t="shared" ca="1" si="115"/>
        <v>2.0384821634598316E-2</v>
      </c>
      <c r="AC4594" s="810"/>
      <c r="AD4594" s="811" t="s">
        <v>15102</v>
      </c>
      <c r="AE4594" s="940" t="s">
        <v>12543</v>
      </c>
      <c r="AF4594" s="920">
        <f>IF(X4594=X4593,AF4593,0)+IF(ISNUMBER(I4594),IF(I4594&lt;1,I4594,I4594*VLOOKUP(J4594,Summary!$H$2:$I$9,2)),VLOOKUP(J4594,Summary!$J$2:$K$9,2)*IF(ISNUMBER(H4594),H4594,1))</f>
        <v>0.60759259259259246</v>
      </c>
      <c r="AG4594" s="287">
        <v>4593</v>
      </c>
      <c r="AH4594" s="94"/>
      <c r="AI4594" s="94"/>
      <c r="AJ4594" s="2"/>
    </row>
    <row r="4595" spans="1:36" s="29" customFormat="1" ht="12" customHeight="1" x14ac:dyDescent="0.25">
      <c r="A4595" s="614" t="s">
        <v>15671</v>
      </c>
      <c r="B4595" s="614">
        <v>11</v>
      </c>
      <c r="C4595" s="614">
        <v>144</v>
      </c>
      <c r="D4595" s="185" t="s">
        <v>2339</v>
      </c>
      <c r="E4595" s="314" t="s">
        <v>1282</v>
      </c>
      <c r="F4595" s="184">
        <v>40408</v>
      </c>
      <c r="G4595" s="184">
        <v>40527</v>
      </c>
      <c r="H4595" s="185">
        <v>4</v>
      </c>
      <c r="I4595" s="185">
        <v>40</v>
      </c>
      <c r="J4595" s="901" t="s">
        <v>1796</v>
      </c>
      <c r="K4595" s="163" t="s">
        <v>177</v>
      </c>
      <c r="L4595" s="163" t="s">
        <v>6057</v>
      </c>
      <c r="M4595" s="163" t="s">
        <v>252</v>
      </c>
      <c r="N4595" s="163" t="s">
        <v>1279</v>
      </c>
      <c r="O4595" s="163"/>
      <c r="P4595" s="182" t="s">
        <v>461</v>
      </c>
      <c r="Q4595" s="163" t="s">
        <v>4104</v>
      </c>
      <c r="R4595" s="186" t="s">
        <v>5266</v>
      </c>
      <c r="S4595" s="355" t="s">
        <v>2614</v>
      </c>
      <c r="T4595" s="182"/>
      <c r="U4595" s="182"/>
      <c r="V4595" s="182"/>
      <c r="W4595" s="314"/>
      <c r="X4595" s="646" t="s">
        <v>15474</v>
      </c>
      <c r="Y4595" s="355"/>
      <c r="Z4595" s="185"/>
      <c r="AA4595" s="185"/>
      <c r="AB4595" s="33">
        <f t="shared" ca="1" si="115"/>
        <v>0.34106564870337219</v>
      </c>
      <c r="AC4595" s="813"/>
      <c r="AD4595" s="211" t="s">
        <v>15875</v>
      </c>
      <c r="AE4595" s="941" t="s">
        <v>15093</v>
      </c>
      <c r="AF4595" s="922">
        <f>IF(X4595=X4594,AF4594,0)+IF(ISNUMBER(I4595),IF(I4595&lt;1,I4595,I4595*VLOOKUP(J4595,Summary!$H$2:$I$9,2)),VLOOKUP(J4595,Summary!$J$2:$K$9,2)*IF(ISNUMBER(H4595),H4595,1))</f>
        <v>0.6214814814814813</v>
      </c>
      <c r="AG4595" s="290">
        <v>4594</v>
      </c>
      <c r="AH4595" s="94"/>
      <c r="AI4595" s="94"/>
    </row>
    <row r="4596" spans="1:36" s="1" customFormat="1" ht="12" customHeight="1" x14ac:dyDescent="0.25">
      <c r="A4596" s="614" t="s">
        <v>15671</v>
      </c>
      <c r="B4596" s="614">
        <v>11</v>
      </c>
      <c r="C4596" s="614">
        <v>146</v>
      </c>
      <c r="D4596" s="185" t="s">
        <v>2341</v>
      </c>
      <c r="E4596" s="314" t="s">
        <v>1284</v>
      </c>
      <c r="F4596" s="184">
        <v>40556</v>
      </c>
      <c r="G4596" s="184">
        <v>40584</v>
      </c>
      <c r="H4596" s="185">
        <v>2</v>
      </c>
      <c r="I4596" s="185">
        <v>20</v>
      </c>
      <c r="J4596" s="901" t="s">
        <v>1796</v>
      </c>
      <c r="K4596" s="163" t="s">
        <v>177</v>
      </c>
      <c r="L4596" s="163" t="s">
        <v>6060</v>
      </c>
      <c r="M4596" s="163" t="s">
        <v>252</v>
      </c>
      <c r="N4596" s="163" t="s">
        <v>1279</v>
      </c>
      <c r="O4596" s="163"/>
      <c r="P4596" s="182" t="s">
        <v>461</v>
      </c>
      <c r="Q4596" s="163" t="s">
        <v>4104</v>
      </c>
      <c r="R4596" s="186" t="s">
        <v>5266</v>
      </c>
      <c r="S4596" s="355" t="s">
        <v>2614</v>
      </c>
      <c r="T4596" s="182"/>
      <c r="U4596" s="182"/>
      <c r="V4596" s="182"/>
      <c r="W4596" s="314"/>
      <c r="X4596" s="646" t="s">
        <v>15474</v>
      </c>
      <c r="Y4596" s="355"/>
      <c r="Z4596" s="185"/>
      <c r="AA4596" s="185"/>
      <c r="AB4596" s="33">
        <f t="shared" ca="1" si="115"/>
        <v>0.8145466766247822</v>
      </c>
      <c r="AC4596" s="813"/>
      <c r="AD4596" s="211" t="s">
        <v>16591</v>
      </c>
      <c r="AE4596" s="941" t="s">
        <v>15093</v>
      </c>
      <c r="AF4596" s="922">
        <f>IF(X4596=X4595,AF4595,0)+IF(ISNUMBER(I4596),IF(I4596&lt;1,I4596,I4596*VLOOKUP(J4596,Summary!$H$2:$I$9,2)),VLOOKUP(J4596,Summary!$J$2:$K$9,2)*IF(ISNUMBER(H4596),H4596,1))</f>
        <v>0.62842592592592572</v>
      </c>
      <c r="AG4596" s="290">
        <v>4595</v>
      </c>
      <c r="AH4596" s="94"/>
      <c r="AI4596" s="94"/>
      <c r="AJ4596" s="2"/>
    </row>
    <row r="4597" spans="1:36" s="3" customFormat="1" ht="12" customHeight="1" x14ac:dyDescent="0.25">
      <c r="A4597" s="614" t="s">
        <v>15671</v>
      </c>
      <c r="B4597" s="614">
        <v>11</v>
      </c>
      <c r="C4597" s="614">
        <v>147</v>
      </c>
      <c r="D4597" s="185" t="s">
        <v>2342</v>
      </c>
      <c r="E4597" s="314" t="s">
        <v>1285</v>
      </c>
      <c r="F4597" s="184">
        <v>40612</v>
      </c>
      <c r="G4597" s="184"/>
      <c r="H4597" s="185">
        <v>1</v>
      </c>
      <c r="I4597" s="185">
        <v>10</v>
      </c>
      <c r="J4597" s="901" t="s">
        <v>1796</v>
      </c>
      <c r="K4597" s="163" t="s">
        <v>177</v>
      </c>
      <c r="L4597" s="163" t="s">
        <v>6061</v>
      </c>
      <c r="M4597" s="163" t="s">
        <v>252</v>
      </c>
      <c r="N4597" s="163" t="s">
        <v>1279</v>
      </c>
      <c r="O4597" s="163"/>
      <c r="P4597" s="182" t="s">
        <v>461</v>
      </c>
      <c r="Q4597" s="163" t="s">
        <v>4104</v>
      </c>
      <c r="R4597" s="186" t="s">
        <v>5266</v>
      </c>
      <c r="S4597" s="355" t="s">
        <v>2614</v>
      </c>
      <c r="T4597" s="182"/>
      <c r="U4597" s="182"/>
      <c r="V4597" s="182"/>
      <c r="W4597" s="314" t="s">
        <v>1285</v>
      </c>
      <c r="X4597" s="646" t="s">
        <v>15474</v>
      </c>
      <c r="Y4597" s="355"/>
      <c r="Z4597" s="185"/>
      <c r="AA4597" s="185"/>
      <c r="AB4597" s="33">
        <f t="shared" ca="1" si="115"/>
        <v>0.17404780074646642</v>
      </c>
      <c r="AC4597" s="813"/>
      <c r="AD4597" s="211" t="s">
        <v>15888</v>
      </c>
      <c r="AE4597" s="941" t="s">
        <v>15093</v>
      </c>
      <c r="AF4597" s="922">
        <f>IF(X4597=X4596,AF4596,0)+IF(ISNUMBER(I4597),IF(I4597&lt;1,I4597,I4597*VLOOKUP(J4597,Summary!$H$2:$I$9,2)),VLOOKUP(J4597,Summary!$J$2:$K$9,2)*IF(ISNUMBER(H4597),H4597,1))</f>
        <v>0.63189814814814793</v>
      </c>
      <c r="AG4597" s="290">
        <v>4596</v>
      </c>
      <c r="AH4597" s="94"/>
      <c r="AI4597" s="94"/>
    </row>
    <row r="4598" spans="1:36" s="29" customFormat="1" ht="12" customHeight="1" x14ac:dyDescent="0.25">
      <c r="A4598" s="614" t="s">
        <v>15671</v>
      </c>
      <c r="B4598" s="614">
        <v>11</v>
      </c>
      <c r="C4598" s="614">
        <v>148</v>
      </c>
      <c r="D4598" s="185" t="s">
        <v>6944</v>
      </c>
      <c r="E4598" s="314" t="s">
        <v>1286</v>
      </c>
      <c r="F4598" s="184">
        <v>40640</v>
      </c>
      <c r="G4598" s="184">
        <v>40668</v>
      </c>
      <c r="H4598" s="185">
        <v>2</v>
      </c>
      <c r="I4598" s="185">
        <v>20</v>
      </c>
      <c r="J4598" s="901" t="s">
        <v>1796</v>
      </c>
      <c r="K4598" s="163" t="s">
        <v>177</v>
      </c>
      <c r="L4598" s="163" t="s">
        <v>3551</v>
      </c>
      <c r="M4598" s="163" t="s">
        <v>252</v>
      </c>
      <c r="N4598" s="163" t="s">
        <v>1279</v>
      </c>
      <c r="O4598" s="163"/>
      <c r="P4598" s="182" t="s">
        <v>461</v>
      </c>
      <c r="Q4598" s="163" t="s">
        <v>4104</v>
      </c>
      <c r="R4598" s="186" t="s">
        <v>5266</v>
      </c>
      <c r="S4598" s="355" t="s">
        <v>2614</v>
      </c>
      <c r="T4598" s="182"/>
      <c r="U4598" s="182"/>
      <c r="V4598" s="182"/>
      <c r="W4598" s="314"/>
      <c r="X4598" s="646" t="s">
        <v>15474</v>
      </c>
      <c r="Y4598" s="355"/>
      <c r="Z4598" s="185"/>
      <c r="AA4598" s="185"/>
      <c r="AB4598" s="33">
        <f t="shared" ca="1" si="115"/>
        <v>0.30076103772807694</v>
      </c>
      <c r="AC4598" s="813"/>
      <c r="AD4598" s="211"/>
      <c r="AE4598" s="941"/>
      <c r="AF4598" s="922">
        <f>IF(X4598=X4597,AF4597,0)+IF(ISNUMBER(I4598),IF(I4598&lt;1,I4598,I4598*VLOOKUP(J4598,Summary!$H$2:$I$9,2)),VLOOKUP(J4598,Summary!$J$2:$K$9,2)*IF(ISNUMBER(H4598),H4598,1))</f>
        <v>0.63884259259259235</v>
      </c>
      <c r="AG4598" s="290">
        <v>4597</v>
      </c>
      <c r="AH4598" s="94"/>
      <c r="AI4598" s="94"/>
    </row>
    <row r="4599" spans="1:36" s="29" customFormat="1" ht="12" customHeight="1" x14ac:dyDescent="0.25">
      <c r="A4599" s="614" t="s">
        <v>15671</v>
      </c>
      <c r="B4599" s="614">
        <v>11</v>
      </c>
      <c r="C4599" s="614">
        <v>149</v>
      </c>
      <c r="D4599" s="185" t="s">
        <v>2337</v>
      </c>
      <c r="E4599" s="314" t="s">
        <v>6062</v>
      </c>
      <c r="F4599" s="184">
        <v>40696</v>
      </c>
      <c r="G4599" s="184">
        <v>40779</v>
      </c>
      <c r="H4599" s="185">
        <v>3</v>
      </c>
      <c r="I4599" s="185">
        <v>30</v>
      </c>
      <c r="J4599" s="901" t="s">
        <v>1796</v>
      </c>
      <c r="K4599" s="163" t="s">
        <v>177</v>
      </c>
      <c r="L4599" s="163" t="s">
        <v>3551</v>
      </c>
      <c r="M4599" s="163" t="s">
        <v>252</v>
      </c>
      <c r="N4599" s="163" t="s">
        <v>1279</v>
      </c>
      <c r="O4599" s="163"/>
      <c r="P4599" s="182" t="s">
        <v>461</v>
      </c>
      <c r="Q4599" s="163" t="s">
        <v>4104</v>
      </c>
      <c r="R4599" s="186" t="s">
        <v>5266</v>
      </c>
      <c r="S4599" s="355" t="s">
        <v>2614</v>
      </c>
      <c r="T4599" s="182"/>
      <c r="U4599" s="182"/>
      <c r="V4599" s="182"/>
      <c r="W4599" s="314"/>
      <c r="X4599" s="646" t="s">
        <v>15474</v>
      </c>
      <c r="Y4599" s="355"/>
      <c r="Z4599" s="185"/>
      <c r="AA4599" s="185"/>
      <c r="AB4599" s="33">
        <f t="shared" ca="1" si="115"/>
        <v>0.34406960812050935</v>
      </c>
      <c r="AC4599" s="813"/>
      <c r="AD4599" s="211" t="s">
        <v>16491</v>
      </c>
      <c r="AE4599" s="941" t="s">
        <v>15094</v>
      </c>
      <c r="AF4599" s="922">
        <f>IF(X4599=X4598,AF4598,0)+IF(ISNUMBER(I4599),IF(I4599&lt;1,I4599,I4599*VLOOKUP(J4599,Summary!$H$2:$I$9,2)),VLOOKUP(J4599,Summary!$J$2:$K$9,2)*IF(ISNUMBER(H4599),H4599,1))</f>
        <v>0.64925925925925898</v>
      </c>
      <c r="AG4599" s="290">
        <v>4598</v>
      </c>
      <c r="AH4599" s="94"/>
      <c r="AI4599" s="94"/>
    </row>
    <row r="4600" spans="1:36" s="29" customFormat="1" ht="12" customHeight="1" x14ac:dyDescent="0.25">
      <c r="A4600" s="614" t="s">
        <v>15671</v>
      </c>
      <c r="B4600" s="614">
        <v>11</v>
      </c>
      <c r="C4600" s="614">
        <v>150</v>
      </c>
      <c r="D4600" s="185" t="s">
        <v>600</v>
      </c>
      <c r="E4600" s="314" t="s">
        <v>599</v>
      </c>
      <c r="F4600" s="184">
        <v>40780</v>
      </c>
      <c r="G4600" s="184">
        <v>40891</v>
      </c>
      <c r="H4600" s="185">
        <v>4</v>
      </c>
      <c r="I4600" s="185">
        <v>42</v>
      </c>
      <c r="J4600" s="901" t="s">
        <v>1796</v>
      </c>
      <c r="K4600" s="163" t="s">
        <v>177</v>
      </c>
      <c r="L4600" s="163" t="s">
        <v>6057</v>
      </c>
      <c r="M4600" s="163" t="s">
        <v>252</v>
      </c>
      <c r="N4600" s="163" t="s">
        <v>1279</v>
      </c>
      <c r="O4600" s="163"/>
      <c r="P4600" s="182" t="s">
        <v>461</v>
      </c>
      <c r="Q4600" s="163" t="s">
        <v>4104</v>
      </c>
      <c r="R4600" s="186" t="s">
        <v>5266</v>
      </c>
      <c r="S4600" s="355" t="s">
        <v>2614</v>
      </c>
      <c r="T4600" s="182"/>
      <c r="U4600" s="182"/>
      <c r="V4600" s="182"/>
      <c r="W4600" s="314"/>
      <c r="X4600" s="646" t="s">
        <v>15474</v>
      </c>
      <c r="Y4600" s="355"/>
      <c r="Z4600" s="185"/>
      <c r="AA4600" s="185"/>
      <c r="AB4600" s="33">
        <f t="shared" ca="1" si="115"/>
        <v>0.47469571244973208</v>
      </c>
      <c r="AC4600" s="813"/>
      <c r="AD4600" s="211" t="s">
        <v>16519</v>
      </c>
      <c r="AE4600" s="941" t="s">
        <v>16520</v>
      </c>
      <c r="AF4600" s="922">
        <f>IF(X4600=X4599,AF4599,0)+IF(ISNUMBER(I4600),IF(I4600&lt;1,I4600,I4600*VLOOKUP(J4600,Summary!$H$2:$I$9,2)),VLOOKUP(J4600,Summary!$J$2:$K$9,2)*IF(ISNUMBER(H4600),H4600,1))</f>
        <v>0.66384259259259226</v>
      </c>
      <c r="AG4600" s="290">
        <v>4599</v>
      </c>
      <c r="AH4600" s="94"/>
      <c r="AI4600" s="94"/>
    </row>
    <row r="4601" spans="1:36" s="29" customFormat="1" ht="12" customHeight="1" x14ac:dyDescent="0.25">
      <c r="A4601" s="614" t="s">
        <v>15671</v>
      </c>
      <c r="B4601" s="614">
        <v>11</v>
      </c>
      <c r="C4601" s="614">
        <v>132</v>
      </c>
      <c r="D4601" s="185" t="s">
        <v>3104</v>
      </c>
      <c r="E4601" s="314" t="s">
        <v>3097</v>
      </c>
      <c r="F4601" s="184">
        <v>40360</v>
      </c>
      <c r="G4601" s="184">
        <v>40366</v>
      </c>
      <c r="H4601" s="185">
        <v>1</v>
      </c>
      <c r="I4601" s="185">
        <v>4</v>
      </c>
      <c r="J4601" s="901" t="s">
        <v>1796</v>
      </c>
      <c r="K4601" s="163" t="s">
        <v>2479</v>
      </c>
      <c r="L4601" s="163" t="s">
        <v>3832</v>
      </c>
      <c r="M4601" s="163" t="s">
        <v>254</v>
      </c>
      <c r="N4601" s="163" t="s">
        <v>5317</v>
      </c>
      <c r="O4601" s="163"/>
      <c r="P4601" s="182" t="s">
        <v>461</v>
      </c>
      <c r="Q4601" s="163" t="s">
        <v>4929</v>
      </c>
      <c r="R4601" s="186" t="s">
        <v>4796</v>
      </c>
      <c r="S4601" s="355" t="s">
        <v>2614</v>
      </c>
      <c r="T4601" s="182"/>
      <c r="U4601" s="182"/>
      <c r="V4601" s="182"/>
      <c r="W4601" s="314" t="s">
        <v>3097</v>
      </c>
      <c r="X4601" s="646" t="s">
        <v>15474</v>
      </c>
      <c r="Y4601" s="355"/>
      <c r="Z4601" s="185"/>
      <c r="AA4601" s="185"/>
      <c r="AB4601" s="33">
        <f t="shared" ca="1" si="115"/>
        <v>0.70337889295980305</v>
      </c>
      <c r="AC4601" s="813"/>
      <c r="AD4601" s="211"/>
      <c r="AE4601" s="941"/>
      <c r="AF4601" s="922">
        <f>IF(X4601=X4600,AF4600,0)+IF(ISNUMBER(I4601),IF(I4601&lt;1,I4601,I4601*VLOOKUP(J4601,Summary!$H$2:$I$9,2)),VLOOKUP(J4601,Summary!$J$2:$K$9,2)*IF(ISNUMBER(H4601),H4601,1))</f>
        <v>0.66523148148148115</v>
      </c>
      <c r="AG4601" s="290">
        <v>4600</v>
      </c>
      <c r="AH4601" s="94"/>
      <c r="AI4601" s="94"/>
    </row>
    <row r="4602" spans="1:36" s="29" customFormat="1" ht="12" customHeight="1" x14ac:dyDescent="0.25">
      <c r="A4602" s="614" t="s">
        <v>15671</v>
      </c>
      <c r="B4602" s="614">
        <v>11</v>
      </c>
      <c r="C4602" s="614">
        <v>133</v>
      </c>
      <c r="D4602" s="185" t="s">
        <v>3105</v>
      </c>
      <c r="E4602" s="314" t="s">
        <v>3098</v>
      </c>
      <c r="F4602" s="184">
        <v>40367</v>
      </c>
      <c r="G4602" s="184">
        <v>40373</v>
      </c>
      <c r="H4602" s="185">
        <v>1</v>
      </c>
      <c r="I4602" s="185">
        <v>4</v>
      </c>
      <c r="J4602" s="901" t="s">
        <v>1796</v>
      </c>
      <c r="K4602" s="163" t="s">
        <v>176</v>
      </c>
      <c r="L4602" s="163" t="s">
        <v>3832</v>
      </c>
      <c r="M4602" s="163" t="s">
        <v>254</v>
      </c>
      <c r="N4602" s="163" t="s">
        <v>5317</v>
      </c>
      <c r="O4602" s="163"/>
      <c r="P4602" s="182" t="s">
        <v>461</v>
      </c>
      <c r="Q4602" s="163" t="s">
        <v>4929</v>
      </c>
      <c r="R4602" s="186" t="s">
        <v>4796</v>
      </c>
      <c r="S4602" s="355" t="s">
        <v>2614</v>
      </c>
      <c r="T4602" s="182"/>
      <c r="U4602" s="182"/>
      <c r="V4602" s="182"/>
      <c r="W4602" s="314" t="s">
        <v>3098</v>
      </c>
      <c r="X4602" s="646" t="s">
        <v>15474</v>
      </c>
      <c r="Y4602" s="355"/>
      <c r="Z4602" s="185"/>
      <c r="AA4602" s="185"/>
      <c r="AB4602" s="33">
        <f t="shared" ca="1" si="115"/>
        <v>0.47897463554484776</v>
      </c>
      <c r="AC4602" s="813"/>
      <c r="AD4602" s="211"/>
      <c r="AE4602" s="941"/>
      <c r="AF4602" s="922">
        <f>IF(X4602=X4601,AF4601,0)+IF(ISNUMBER(I4602),IF(I4602&lt;1,I4602,I4602*VLOOKUP(J4602,Summary!$H$2:$I$9,2)),VLOOKUP(J4602,Summary!$J$2:$K$9,2)*IF(ISNUMBER(H4602),H4602,1))</f>
        <v>0.66662037037037003</v>
      </c>
      <c r="AG4602" s="290">
        <v>4601</v>
      </c>
      <c r="AH4602" s="94"/>
      <c r="AI4602" s="94"/>
    </row>
    <row r="4603" spans="1:36" s="29" customFormat="1" ht="12" customHeight="1" x14ac:dyDescent="0.25">
      <c r="A4603" s="614" t="s">
        <v>15671</v>
      </c>
      <c r="B4603" s="614">
        <v>11</v>
      </c>
      <c r="C4603" s="614">
        <v>134</v>
      </c>
      <c r="D4603" s="185" t="s">
        <v>4558</v>
      </c>
      <c r="E4603" s="314" t="s">
        <v>3099</v>
      </c>
      <c r="F4603" s="184">
        <v>40374</v>
      </c>
      <c r="G4603" s="184">
        <v>40380</v>
      </c>
      <c r="H4603" s="185">
        <v>1</v>
      </c>
      <c r="I4603" s="185">
        <v>4</v>
      </c>
      <c r="J4603" s="901" t="s">
        <v>1796</v>
      </c>
      <c r="K4603" s="163" t="s">
        <v>4147</v>
      </c>
      <c r="L4603" s="163" t="s">
        <v>3832</v>
      </c>
      <c r="M4603" s="163" t="s">
        <v>254</v>
      </c>
      <c r="N4603" s="163" t="s">
        <v>5317</v>
      </c>
      <c r="O4603" s="163"/>
      <c r="P4603" s="182" t="s">
        <v>461</v>
      </c>
      <c r="Q4603" s="163" t="s">
        <v>4929</v>
      </c>
      <c r="R4603" s="186" t="s">
        <v>4796</v>
      </c>
      <c r="S4603" s="355" t="s">
        <v>2614</v>
      </c>
      <c r="T4603" s="182"/>
      <c r="U4603" s="182"/>
      <c r="V4603" s="182"/>
      <c r="W4603" s="314" t="s">
        <v>3099</v>
      </c>
      <c r="X4603" s="646" t="s">
        <v>15474</v>
      </c>
      <c r="Y4603" s="355"/>
      <c r="Z4603" s="185"/>
      <c r="AA4603" s="185"/>
      <c r="AB4603" s="33">
        <f t="shared" ca="1" si="115"/>
        <v>0.66457750031873564</v>
      </c>
      <c r="AC4603" s="813"/>
      <c r="AD4603" s="211"/>
      <c r="AE4603" s="941"/>
      <c r="AF4603" s="922">
        <f>IF(X4603=X4602,AF4602,0)+IF(ISNUMBER(I4603),IF(I4603&lt;1,I4603,I4603*VLOOKUP(J4603,Summary!$H$2:$I$9,2)),VLOOKUP(J4603,Summary!$J$2:$K$9,2)*IF(ISNUMBER(H4603),H4603,1))</f>
        <v>0.66800925925925891</v>
      </c>
      <c r="AG4603" s="290">
        <v>4602</v>
      </c>
      <c r="AH4603" s="94"/>
      <c r="AI4603" s="94"/>
    </row>
    <row r="4604" spans="1:36" s="29" customFormat="1" ht="12" customHeight="1" x14ac:dyDescent="0.25">
      <c r="A4604" s="614" t="s">
        <v>15671</v>
      </c>
      <c r="B4604" s="614">
        <v>11</v>
      </c>
      <c r="C4604" s="614">
        <v>135</v>
      </c>
      <c r="D4604" s="185" t="s">
        <v>4560</v>
      </c>
      <c r="E4604" s="314" t="s">
        <v>3100</v>
      </c>
      <c r="F4604" s="184">
        <v>40381</v>
      </c>
      <c r="G4604" s="184">
        <v>40387</v>
      </c>
      <c r="H4604" s="185">
        <v>1</v>
      </c>
      <c r="I4604" s="185">
        <v>4</v>
      </c>
      <c r="J4604" s="901" t="s">
        <v>1796</v>
      </c>
      <c r="K4604" s="163" t="s">
        <v>6353</v>
      </c>
      <c r="L4604" s="163" t="s">
        <v>3832</v>
      </c>
      <c r="M4604" s="163" t="s">
        <v>254</v>
      </c>
      <c r="N4604" s="163" t="s">
        <v>5317</v>
      </c>
      <c r="O4604" s="163"/>
      <c r="P4604" s="182" t="s">
        <v>461</v>
      </c>
      <c r="Q4604" s="163" t="s">
        <v>4929</v>
      </c>
      <c r="R4604" s="186" t="s">
        <v>4796</v>
      </c>
      <c r="S4604" s="355" t="s">
        <v>2614</v>
      </c>
      <c r="T4604" s="182"/>
      <c r="U4604" s="182"/>
      <c r="V4604" s="182"/>
      <c r="W4604" s="314" t="s">
        <v>3100</v>
      </c>
      <c r="X4604" s="646" t="s">
        <v>15474</v>
      </c>
      <c r="Y4604" s="355"/>
      <c r="Z4604" s="185"/>
      <c r="AA4604" s="185"/>
      <c r="AB4604" s="33">
        <f t="shared" ca="1" si="115"/>
        <v>0.3815680783280585</v>
      </c>
      <c r="AC4604" s="813"/>
      <c r="AD4604" s="211"/>
      <c r="AE4604" s="941"/>
      <c r="AF4604" s="922">
        <f>IF(X4604=X4603,AF4603,0)+IF(ISNUMBER(I4604),IF(I4604&lt;1,I4604,I4604*VLOOKUP(J4604,Summary!$H$2:$I$9,2)),VLOOKUP(J4604,Summary!$J$2:$K$9,2)*IF(ISNUMBER(H4604),H4604,1))</f>
        <v>0.6693981481481478</v>
      </c>
      <c r="AG4604" s="290">
        <v>4603</v>
      </c>
      <c r="AH4604" s="94"/>
      <c r="AI4604" s="94"/>
    </row>
    <row r="4605" spans="1:36" s="22" customFormat="1" ht="12" customHeight="1" x14ac:dyDescent="0.2">
      <c r="A4605" s="614" t="s">
        <v>15671</v>
      </c>
      <c r="B4605" s="614">
        <v>11</v>
      </c>
      <c r="C4605" s="614">
        <v>136</v>
      </c>
      <c r="D4605" s="185" t="s">
        <v>4559</v>
      </c>
      <c r="E4605" s="314" t="s">
        <v>3101</v>
      </c>
      <c r="F4605" s="184">
        <v>40388</v>
      </c>
      <c r="G4605" s="184">
        <v>40394</v>
      </c>
      <c r="H4605" s="185">
        <v>1</v>
      </c>
      <c r="I4605" s="185">
        <v>4</v>
      </c>
      <c r="J4605" s="901" t="s">
        <v>1796</v>
      </c>
      <c r="K4605" s="163" t="s">
        <v>1641</v>
      </c>
      <c r="L4605" s="163" t="s">
        <v>3832</v>
      </c>
      <c r="M4605" s="163" t="s">
        <v>254</v>
      </c>
      <c r="N4605" s="163" t="s">
        <v>5317</v>
      </c>
      <c r="O4605" s="163"/>
      <c r="P4605" s="182" t="s">
        <v>461</v>
      </c>
      <c r="Q4605" s="163" t="s">
        <v>4929</v>
      </c>
      <c r="R4605" s="186" t="s">
        <v>4796</v>
      </c>
      <c r="S4605" s="355" t="s">
        <v>2614</v>
      </c>
      <c r="T4605" s="182"/>
      <c r="U4605" s="182"/>
      <c r="V4605" s="182"/>
      <c r="W4605" s="314" t="s">
        <v>3101</v>
      </c>
      <c r="X4605" s="646" t="s">
        <v>15474</v>
      </c>
      <c r="Y4605" s="355"/>
      <c r="Z4605" s="185"/>
      <c r="AA4605" s="185"/>
      <c r="AB4605" s="33">
        <f t="shared" ca="1" si="115"/>
        <v>0.65759599565764215</v>
      </c>
      <c r="AC4605" s="813"/>
      <c r="AD4605" s="211"/>
      <c r="AE4605" s="941"/>
      <c r="AF4605" s="922">
        <f>IF(X4605=X4604,AF4604,0)+IF(ISNUMBER(I4605),IF(I4605&lt;1,I4605,I4605*VLOOKUP(J4605,Summary!$H$2:$I$9,2)),VLOOKUP(J4605,Summary!$J$2:$K$9,2)*IF(ISNUMBER(H4605),H4605,1))</f>
        <v>0.67078703703703668</v>
      </c>
      <c r="AG4605" s="290">
        <v>4604</v>
      </c>
      <c r="AH4605" s="94"/>
      <c r="AI4605" s="94"/>
    </row>
    <row r="4606" spans="1:36" s="29" customFormat="1" ht="12" customHeight="1" x14ac:dyDescent="0.25">
      <c r="A4606" s="614" t="s">
        <v>15671</v>
      </c>
      <c r="B4606" s="614">
        <v>11</v>
      </c>
      <c r="C4606" s="614">
        <v>137</v>
      </c>
      <c r="D4606" s="185" t="s">
        <v>3103</v>
      </c>
      <c r="E4606" s="314" t="s">
        <v>3102</v>
      </c>
      <c r="F4606" s="184">
        <v>40395</v>
      </c>
      <c r="G4606" s="184">
        <v>40401</v>
      </c>
      <c r="H4606" s="185">
        <v>1</v>
      </c>
      <c r="I4606" s="185">
        <v>4</v>
      </c>
      <c r="J4606" s="901" t="s">
        <v>1796</v>
      </c>
      <c r="K4606" s="163" t="s">
        <v>6353</v>
      </c>
      <c r="L4606" s="163" t="s">
        <v>3832</v>
      </c>
      <c r="M4606" s="163" t="s">
        <v>254</v>
      </c>
      <c r="N4606" s="163" t="s">
        <v>5317</v>
      </c>
      <c r="O4606" s="163"/>
      <c r="P4606" s="182" t="s">
        <v>461</v>
      </c>
      <c r="Q4606" s="163" t="s">
        <v>4929</v>
      </c>
      <c r="R4606" s="186" t="s">
        <v>4796</v>
      </c>
      <c r="S4606" s="355" t="s">
        <v>2614</v>
      </c>
      <c r="T4606" s="182"/>
      <c r="U4606" s="182"/>
      <c r="V4606" s="182"/>
      <c r="W4606" s="314" t="s">
        <v>3102</v>
      </c>
      <c r="X4606" s="646" t="s">
        <v>15474</v>
      </c>
      <c r="Y4606" s="355"/>
      <c r="Z4606" s="185"/>
      <c r="AA4606" s="185"/>
      <c r="AB4606" s="33">
        <f t="shared" ca="1" si="115"/>
        <v>0.71045599778954238</v>
      </c>
      <c r="AC4606" s="813"/>
      <c r="AD4606" s="211"/>
      <c r="AE4606" s="941"/>
      <c r="AF4606" s="922">
        <f>IF(X4606=X4605,AF4605,0)+IF(ISNUMBER(I4606),IF(I4606&lt;1,I4606,I4606*VLOOKUP(J4606,Summary!$H$2:$I$9,2)),VLOOKUP(J4606,Summary!$J$2:$K$9,2)*IF(ISNUMBER(H4606),H4606,1))</f>
        <v>0.67217592592592557</v>
      </c>
      <c r="AG4606" s="290">
        <v>4605</v>
      </c>
      <c r="AH4606" s="94"/>
      <c r="AI4606" s="94"/>
    </row>
    <row r="4607" spans="1:36" s="29" customFormat="1" ht="12" customHeight="1" x14ac:dyDescent="0.25">
      <c r="A4607" s="618" t="s">
        <v>15671</v>
      </c>
      <c r="B4607" s="618">
        <v>11</v>
      </c>
      <c r="C4607" s="618"/>
      <c r="D4607" s="176" t="s">
        <v>5315</v>
      </c>
      <c r="E4607" s="313" t="s">
        <v>5319</v>
      </c>
      <c r="F4607" s="180">
        <v>40391</v>
      </c>
      <c r="G4607" s="181"/>
      <c r="H4607" s="176">
        <v>2</v>
      </c>
      <c r="I4607" s="176">
        <v>8</v>
      </c>
      <c r="J4607" s="900" t="s">
        <v>2755</v>
      </c>
      <c r="K4607" s="164" t="s">
        <v>543</v>
      </c>
      <c r="L4607" s="164" t="s">
        <v>4192</v>
      </c>
      <c r="M4607" s="164"/>
      <c r="N4607" s="164" t="s">
        <v>5317</v>
      </c>
      <c r="O4607" s="164"/>
      <c r="P4607" s="173" t="s">
        <v>776</v>
      </c>
      <c r="Q4607" s="164" t="s">
        <v>3953</v>
      </c>
      <c r="R4607" s="177" t="s">
        <v>4600</v>
      </c>
      <c r="S4607" s="354" t="s">
        <v>2614</v>
      </c>
      <c r="T4607" s="173"/>
      <c r="U4607" s="173"/>
      <c r="V4607" s="173"/>
      <c r="W4607" s="313" t="s">
        <v>5319</v>
      </c>
      <c r="X4607" s="645" t="s">
        <v>15474</v>
      </c>
      <c r="Y4607" s="354" t="s">
        <v>6868</v>
      </c>
      <c r="Z4607" s="176">
        <v>999</v>
      </c>
      <c r="AA4607" s="176"/>
      <c r="AB4607" s="32">
        <f t="shared" ca="1" si="115"/>
        <v>0.75821016528476515</v>
      </c>
      <c r="AC4607" s="812"/>
      <c r="AD4607" s="763"/>
      <c r="AE4607" s="807"/>
      <c r="AF4607" s="921">
        <f>IF(X4607=X4606,AF4606,0)+IF(ISNUMBER(I4607),IF(I4607&lt;1,I4607,I4607*VLOOKUP(J4607,Summary!$H$2:$I$9,2)),VLOOKUP(J4607,Summary!$J$2:$K$9,2)*IF(ISNUMBER(H4607),H4607,1))</f>
        <v>0.6777314814814811</v>
      </c>
      <c r="AG4607" s="289">
        <v>4606</v>
      </c>
      <c r="AH4607" s="94"/>
      <c r="AI4607" s="94"/>
    </row>
    <row r="4608" spans="1:36" s="29" customFormat="1" ht="12" customHeight="1" x14ac:dyDescent="0.25">
      <c r="A4608" s="614" t="s">
        <v>15671</v>
      </c>
      <c r="B4608" s="614">
        <v>11</v>
      </c>
      <c r="C4608" s="614"/>
      <c r="D4608" s="185" t="s">
        <v>5315</v>
      </c>
      <c r="E4608" s="314" t="s">
        <v>5318</v>
      </c>
      <c r="F4608" s="183">
        <v>40391</v>
      </c>
      <c r="G4608" s="223"/>
      <c r="H4608" s="185">
        <v>1</v>
      </c>
      <c r="I4608" s="185">
        <v>6</v>
      </c>
      <c r="J4608" s="901" t="s">
        <v>1796</v>
      </c>
      <c r="K4608" s="163" t="s">
        <v>4032</v>
      </c>
      <c r="L4608" s="163" t="s">
        <v>3832</v>
      </c>
      <c r="M4608" s="163" t="s">
        <v>254</v>
      </c>
      <c r="N4608" s="163" t="s">
        <v>5317</v>
      </c>
      <c r="O4608" s="163"/>
      <c r="P4608" s="182" t="s">
        <v>776</v>
      </c>
      <c r="Q4608" s="163" t="s">
        <v>3953</v>
      </c>
      <c r="R4608" s="186" t="s">
        <v>4600</v>
      </c>
      <c r="S4608" s="355" t="s">
        <v>2614</v>
      </c>
      <c r="T4608" s="182"/>
      <c r="U4608" s="182"/>
      <c r="V4608" s="182"/>
      <c r="W4608" s="314" t="s">
        <v>5318</v>
      </c>
      <c r="X4608" s="646" t="s">
        <v>15474</v>
      </c>
      <c r="Y4608" s="355" t="s">
        <v>6868</v>
      </c>
      <c r="Z4608" s="185">
        <v>999</v>
      </c>
      <c r="AA4608" s="185"/>
      <c r="AB4608" s="33">
        <f t="shared" ca="1" si="115"/>
        <v>7.2928984439824762E-2</v>
      </c>
      <c r="AC4608" s="813"/>
      <c r="AD4608" s="211"/>
      <c r="AE4608" s="941"/>
      <c r="AF4608" s="922">
        <f>IF(X4608=X4607,AF4607,0)+IF(ISNUMBER(I4608),IF(I4608&lt;1,I4608,I4608*VLOOKUP(J4608,Summary!$H$2:$I$9,2)),VLOOKUP(J4608,Summary!$J$2:$K$9,2)*IF(ISNUMBER(H4608),H4608,1))</f>
        <v>0.67981481481481443</v>
      </c>
      <c r="AG4608" s="290">
        <v>4607</v>
      </c>
      <c r="AH4608" s="94"/>
      <c r="AI4608" s="94"/>
    </row>
    <row r="4609" spans="1:35" s="29" customFormat="1" ht="12" customHeight="1" x14ac:dyDescent="0.25">
      <c r="A4609" s="614" t="s">
        <v>15671</v>
      </c>
      <c r="B4609" s="614">
        <v>11</v>
      </c>
      <c r="C4609" s="614">
        <v>138</v>
      </c>
      <c r="D4609" s="185" t="s">
        <v>6373</v>
      </c>
      <c r="E4609" s="314" t="s">
        <v>4561</v>
      </c>
      <c r="F4609" s="184">
        <v>40402</v>
      </c>
      <c r="G4609" s="184">
        <v>40408</v>
      </c>
      <c r="H4609" s="185">
        <v>1</v>
      </c>
      <c r="I4609" s="185">
        <v>4</v>
      </c>
      <c r="J4609" s="901" t="s">
        <v>1796</v>
      </c>
      <c r="K4609" s="163" t="s">
        <v>6353</v>
      </c>
      <c r="L4609" s="163" t="s">
        <v>3832</v>
      </c>
      <c r="M4609" s="163" t="s">
        <v>254</v>
      </c>
      <c r="N4609" s="163" t="s">
        <v>5317</v>
      </c>
      <c r="O4609" s="163"/>
      <c r="P4609" s="182" t="s">
        <v>461</v>
      </c>
      <c r="Q4609" s="163" t="s">
        <v>4929</v>
      </c>
      <c r="R4609" s="186" t="s">
        <v>4796</v>
      </c>
      <c r="S4609" s="355" t="s">
        <v>2614</v>
      </c>
      <c r="T4609" s="182"/>
      <c r="U4609" s="182"/>
      <c r="V4609" s="182"/>
      <c r="W4609" s="314" t="s">
        <v>4561</v>
      </c>
      <c r="X4609" s="646" t="s">
        <v>15474</v>
      </c>
      <c r="Y4609" s="355"/>
      <c r="Z4609" s="185"/>
      <c r="AA4609" s="185"/>
      <c r="AB4609" s="33">
        <f t="shared" ca="1" si="115"/>
        <v>0.76734196531344112</v>
      </c>
      <c r="AC4609" s="813"/>
      <c r="AD4609" s="211"/>
      <c r="AE4609" s="941"/>
      <c r="AF4609" s="922">
        <f>IF(X4609=X4608,AF4608,0)+IF(ISNUMBER(I4609),IF(I4609&lt;1,I4609,I4609*VLOOKUP(J4609,Summary!$H$2:$I$9,2)),VLOOKUP(J4609,Summary!$J$2:$K$9,2)*IF(ISNUMBER(H4609),H4609,1))</f>
        <v>0.68120370370370331</v>
      </c>
      <c r="AG4609" s="290">
        <v>4608</v>
      </c>
      <c r="AH4609" s="94"/>
      <c r="AI4609" s="94"/>
    </row>
    <row r="4610" spans="1:35" s="29" customFormat="1" ht="12" customHeight="1" x14ac:dyDescent="0.25">
      <c r="A4610" s="614" t="s">
        <v>15671</v>
      </c>
      <c r="B4610" s="614">
        <v>11</v>
      </c>
      <c r="C4610" s="614">
        <v>139</v>
      </c>
      <c r="D4610" s="185" t="s">
        <v>6374</v>
      </c>
      <c r="E4610" s="314" t="s">
        <v>4562</v>
      </c>
      <c r="F4610" s="184">
        <v>40409</v>
      </c>
      <c r="G4610" s="184">
        <v>40415</v>
      </c>
      <c r="H4610" s="185">
        <v>1</v>
      </c>
      <c r="I4610" s="185">
        <v>4</v>
      </c>
      <c r="J4610" s="901" t="s">
        <v>1796</v>
      </c>
      <c r="K4610" s="163" t="s">
        <v>176</v>
      </c>
      <c r="L4610" s="163" t="s">
        <v>3832</v>
      </c>
      <c r="M4610" s="163" t="s">
        <v>254</v>
      </c>
      <c r="N4610" s="163" t="s">
        <v>5317</v>
      </c>
      <c r="O4610" s="163"/>
      <c r="P4610" s="182" t="s">
        <v>461</v>
      </c>
      <c r="Q4610" s="163" t="s">
        <v>4929</v>
      </c>
      <c r="R4610" s="186" t="s">
        <v>4796</v>
      </c>
      <c r="S4610" s="355" t="s">
        <v>2614</v>
      </c>
      <c r="T4610" s="182"/>
      <c r="U4610" s="182"/>
      <c r="V4610" s="182"/>
      <c r="W4610" s="314" t="s">
        <v>4562</v>
      </c>
      <c r="X4610" s="646" t="s">
        <v>15474</v>
      </c>
      <c r="Y4610" s="355"/>
      <c r="Z4610" s="185"/>
      <c r="AA4610" s="185"/>
      <c r="AB4610" s="33">
        <f t="shared" ref="AB4610:AB4673" ca="1" si="116">RAND()</f>
        <v>0.11115209013865157</v>
      </c>
      <c r="AC4610" s="813"/>
      <c r="AD4610" s="211"/>
      <c r="AE4610" s="941"/>
      <c r="AF4610" s="922">
        <f>IF(X4610=X4609,AF4609,0)+IF(ISNUMBER(I4610),IF(I4610&lt;1,I4610,I4610*VLOOKUP(J4610,Summary!$H$2:$I$9,2)),VLOOKUP(J4610,Summary!$J$2:$K$9,2)*IF(ISNUMBER(H4610),H4610,1))</f>
        <v>0.6825925925925922</v>
      </c>
      <c r="AG4610" s="290">
        <v>4609</v>
      </c>
      <c r="AH4610" s="94"/>
      <c r="AI4610" s="94"/>
    </row>
    <row r="4611" spans="1:35" s="29" customFormat="1" ht="12" customHeight="1" x14ac:dyDescent="0.25">
      <c r="A4611" s="614" t="s">
        <v>15671</v>
      </c>
      <c r="B4611" s="614">
        <v>11</v>
      </c>
      <c r="C4611" s="614">
        <v>140</v>
      </c>
      <c r="D4611" s="185" t="s">
        <v>6375</v>
      </c>
      <c r="E4611" s="314" t="s">
        <v>4563</v>
      </c>
      <c r="F4611" s="184">
        <v>40416</v>
      </c>
      <c r="G4611" s="184">
        <v>40422</v>
      </c>
      <c r="H4611" s="185">
        <v>1</v>
      </c>
      <c r="I4611" s="185">
        <v>4</v>
      </c>
      <c r="J4611" s="901" t="s">
        <v>1796</v>
      </c>
      <c r="K4611" s="163" t="s">
        <v>176</v>
      </c>
      <c r="L4611" s="163" t="s">
        <v>3832</v>
      </c>
      <c r="M4611" s="163" t="s">
        <v>254</v>
      </c>
      <c r="N4611" s="163" t="s">
        <v>5317</v>
      </c>
      <c r="O4611" s="163"/>
      <c r="P4611" s="182" t="s">
        <v>461</v>
      </c>
      <c r="Q4611" s="163" t="s">
        <v>4929</v>
      </c>
      <c r="R4611" s="186" t="s">
        <v>4796</v>
      </c>
      <c r="S4611" s="355" t="s">
        <v>2614</v>
      </c>
      <c r="T4611" s="182"/>
      <c r="U4611" s="182"/>
      <c r="V4611" s="182"/>
      <c r="W4611" s="314" t="s">
        <v>4563</v>
      </c>
      <c r="X4611" s="646" t="s">
        <v>15474</v>
      </c>
      <c r="Y4611" s="355"/>
      <c r="Z4611" s="185"/>
      <c r="AA4611" s="185"/>
      <c r="AB4611" s="33">
        <f t="shared" ca="1" si="116"/>
        <v>0.49658423007946983</v>
      </c>
      <c r="AC4611" s="813"/>
      <c r="AD4611" s="211"/>
      <c r="AE4611" s="941"/>
      <c r="AF4611" s="922">
        <f>IF(X4611=X4610,AF4610,0)+IF(ISNUMBER(I4611),IF(I4611&lt;1,I4611,I4611*VLOOKUP(J4611,Summary!$H$2:$I$9,2)),VLOOKUP(J4611,Summary!$J$2:$K$9,2)*IF(ISNUMBER(H4611),H4611,1))</f>
        <v>0.68398148148148108</v>
      </c>
      <c r="AG4611" s="290">
        <v>4610</v>
      </c>
      <c r="AH4611" s="94"/>
      <c r="AI4611" s="94"/>
    </row>
    <row r="4612" spans="1:35" s="10" customFormat="1" ht="12" customHeight="1" x14ac:dyDescent="0.25">
      <c r="A4612" s="614" t="s">
        <v>15671</v>
      </c>
      <c r="B4612" s="614">
        <v>11</v>
      </c>
      <c r="C4612" s="614">
        <v>141</v>
      </c>
      <c r="D4612" s="185" t="s">
        <v>6376</v>
      </c>
      <c r="E4612" s="314" t="s">
        <v>4564</v>
      </c>
      <c r="F4612" s="184">
        <v>40423</v>
      </c>
      <c r="G4612" s="184">
        <v>40429</v>
      </c>
      <c r="H4612" s="185">
        <v>1</v>
      </c>
      <c r="I4612" s="185">
        <v>4</v>
      </c>
      <c r="J4612" s="901" t="s">
        <v>1796</v>
      </c>
      <c r="K4612" s="163" t="s">
        <v>6353</v>
      </c>
      <c r="L4612" s="163" t="s">
        <v>3832</v>
      </c>
      <c r="M4612" s="163" t="s">
        <v>254</v>
      </c>
      <c r="N4612" s="163" t="s">
        <v>5317</v>
      </c>
      <c r="O4612" s="163"/>
      <c r="P4612" s="182" t="s">
        <v>461</v>
      </c>
      <c r="Q4612" s="163" t="s">
        <v>4929</v>
      </c>
      <c r="R4612" s="186" t="s">
        <v>4796</v>
      </c>
      <c r="S4612" s="355" t="s">
        <v>2614</v>
      </c>
      <c r="T4612" s="182"/>
      <c r="U4612" s="182"/>
      <c r="V4612" s="182"/>
      <c r="W4612" s="314" t="s">
        <v>4564</v>
      </c>
      <c r="X4612" s="646" t="s">
        <v>15474</v>
      </c>
      <c r="Y4612" s="355"/>
      <c r="Z4612" s="185"/>
      <c r="AA4612" s="185"/>
      <c r="AB4612" s="33">
        <f t="shared" ca="1" si="116"/>
        <v>0.28823375920159333</v>
      </c>
      <c r="AC4612" s="813"/>
      <c r="AD4612" s="211"/>
      <c r="AE4612" s="941"/>
      <c r="AF4612" s="922">
        <f>IF(X4612=X4611,AF4611,0)+IF(ISNUMBER(I4612),IF(I4612&lt;1,I4612,I4612*VLOOKUP(J4612,Summary!$H$2:$I$9,2)),VLOOKUP(J4612,Summary!$J$2:$K$9,2)*IF(ISNUMBER(H4612),H4612,1))</f>
        <v>0.68537037037036996</v>
      </c>
      <c r="AG4612" s="290">
        <v>4611</v>
      </c>
      <c r="AH4612" s="94"/>
      <c r="AI4612" s="94"/>
    </row>
    <row r="4613" spans="1:35" s="29" customFormat="1" ht="12" customHeight="1" x14ac:dyDescent="0.25">
      <c r="A4613" s="616" t="s">
        <v>15671</v>
      </c>
      <c r="B4613" s="616">
        <v>11</v>
      </c>
      <c r="C4613" s="616">
        <v>16</v>
      </c>
      <c r="D4613" s="619" t="s">
        <v>15591</v>
      </c>
      <c r="E4613" s="345" t="s">
        <v>15592</v>
      </c>
      <c r="F4613" s="219">
        <v>40423</v>
      </c>
      <c r="G4613" s="219"/>
      <c r="H4613" s="210" t="s">
        <v>461</v>
      </c>
      <c r="I4613" s="210">
        <v>192</v>
      </c>
      <c r="J4613" s="908" t="s">
        <v>15556</v>
      </c>
      <c r="K4613" s="166" t="s">
        <v>1805</v>
      </c>
      <c r="L4613" s="166"/>
      <c r="M4613" s="166"/>
      <c r="N4613" s="166"/>
      <c r="O4613" s="166"/>
      <c r="P4613" s="267" t="s">
        <v>15593</v>
      </c>
      <c r="Q4613" s="166" t="s">
        <v>3953</v>
      </c>
      <c r="R4613" s="268" t="s">
        <v>15583</v>
      </c>
      <c r="S4613" s="386" t="s">
        <v>2614</v>
      </c>
      <c r="T4613" s="267"/>
      <c r="U4613" s="267"/>
      <c r="V4613" s="267"/>
      <c r="W4613" s="345" t="s">
        <v>15592</v>
      </c>
      <c r="X4613" s="680" t="s">
        <v>15474</v>
      </c>
      <c r="Y4613" s="384"/>
      <c r="Z4613" s="385"/>
      <c r="AA4613" s="385"/>
      <c r="AB4613" s="41">
        <f t="shared" ca="1" si="116"/>
        <v>0.91415094215671522</v>
      </c>
      <c r="AC4613" s="832"/>
      <c r="AD4613" s="833"/>
      <c r="AE4613" s="956"/>
      <c r="AF4613" s="929">
        <f>IF(X4613=X4612,AF4612,0)+IF(ISNUMBER(I4613),IF(I4613&lt;1,I4613,I4613*VLOOKUP(J4613,Summary!$H$2:$I$9,2)),VLOOKUP(J4613,Summary!$J$2:$K$9,2)*IF(ISNUMBER(H4613),H4613,1))</f>
        <v>0.75203703703703662</v>
      </c>
      <c r="AG4613" s="307">
        <v>4612</v>
      </c>
      <c r="AH4613" s="94"/>
      <c r="AI4613" s="94"/>
    </row>
    <row r="4614" spans="1:35" s="29" customFormat="1" ht="12" customHeight="1" x14ac:dyDescent="0.25">
      <c r="A4614" s="617" t="s">
        <v>15671</v>
      </c>
      <c r="B4614" s="617">
        <v>11</v>
      </c>
      <c r="C4614" s="617">
        <v>11</v>
      </c>
      <c r="D4614" s="407" t="s">
        <v>1233</v>
      </c>
      <c r="E4614" s="315" t="s">
        <v>1642</v>
      </c>
      <c r="F4614" s="196">
        <v>40640</v>
      </c>
      <c r="G4614" s="196"/>
      <c r="H4614" s="170">
        <v>1</v>
      </c>
      <c r="I4614" s="746">
        <f>TIME(1,11,57)</f>
        <v>4.9965277777777782E-2</v>
      </c>
      <c r="J4614" s="899" t="s">
        <v>4706</v>
      </c>
      <c r="K4614" s="167" t="s">
        <v>1643</v>
      </c>
      <c r="L4614" s="167" t="str">
        <f>IF(J4614="Book","n/a","")</f>
        <v/>
      </c>
      <c r="M4614" s="167" t="s">
        <v>931</v>
      </c>
      <c r="N4614" s="167"/>
      <c r="O4614" s="167"/>
      <c r="P4614" s="168" t="s">
        <v>780</v>
      </c>
      <c r="Q4614" s="167" t="s">
        <v>3950</v>
      </c>
      <c r="R4614" s="172" t="s">
        <v>2240</v>
      </c>
      <c r="S4614" s="388" t="s">
        <v>2614</v>
      </c>
      <c r="T4614" s="168"/>
      <c r="U4614" s="168"/>
      <c r="V4614" s="168"/>
      <c r="W4614" s="315" t="s">
        <v>1642</v>
      </c>
      <c r="X4614" s="647" t="s">
        <v>15474</v>
      </c>
      <c r="Y4614" s="352" t="s">
        <v>5398</v>
      </c>
      <c r="Z4614" s="353"/>
      <c r="AA4614" s="353"/>
      <c r="AB4614" s="31">
        <f t="shared" ca="1" si="116"/>
        <v>8.8051872216159288E-2</v>
      </c>
      <c r="AC4614" s="810"/>
      <c r="AD4614" s="811" t="s">
        <v>16700</v>
      </c>
      <c r="AE4614" s="940"/>
      <c r="AF4614" s="920">
        <f>IF(X4614=X4613,AF4613,0)+IF(ISNUMBER(I4614),IF(I4614&lt;1,I4614,I4614*VLOOKUP(J4614,Summary!$H$2:$I$9,2)),VLOOKUP(J4614,Summary!$J$2:$K$9,2)*IF(ISNUMBER(H4614),H4614,1))</f>
        <v>0.80200231481481443</v>
      </c>
      <c r="AG4614" s="287">
        <v>4613</v>
      </c>
      <c r="AH4614" s="94"/>
      <c r="AI4614" s="94"/>
    </row>
    <row r="4615" spans="1:35" s="29" customFormat="1" ht="12" customHeight="1" x14ac:dyDescent="0.25">
      <c r="A4615" s="614" t="s">
        <v>15671</v>
      </c>
      <c r="B4615" s="614">
        <v>11</v>
      </c>
      <c r="C4615" s="614">
        <v>142</v>
      </c>
      <c r="D4615" s="185" t="s">
        <v>6377</v>
      </c>
      <c r="E4615" s="314" t="s">
        <v>4565</v>
      </c>
      <c r="F4615" s="184">
        <v>40430</v>
      </c>
      <c r="G4615" s="184">
        <v>40436</v>
      </c>
      <c r="H4615" s="185">
        <v>1</v>
      </c>
      <c r="I4615" s="185">
        <v>4</v>
      </c>
      <c r="J4615" s="901" t="s">
        <v>1796</v>
      </c>
      <c r="K4615" s="163" t="s">
        <v>4147</v>
      </c>
      <c r="L4615" s="163" t="s">
        <v>3832</v>
      </c>
      <c r="M4615" s="163" t="s">
        <v>254</v>
      </c>
      <c r="N4615" s="163" t="s">
        <v>5317</v>
      </c>
      <c r="O4615" s="163"/>
      <c r="P4615" s="182" t="s">
        <v>461</v>
      </c>
      <c r="Q4615" s="163" t="s">
        <v>4929</v>
      </c>
      <c r="R4615" s="186" t="s">
        <v>4796</v>
      </c>
      <c r="S4615" s="355" t="s">
        <v>2614</v>
      </c>
      <c r="T4615" s="182"/>
      <c r="U4615" s="182"/>
      <c r="V4615" s="182"/>
      <c r="W4615" s="314" t="s">
        <v>4565</v>
      </c>
      <c r="X4615" s="646" t="s">
        <v>15474</v>
      </c>
      <c r="Y4615" s="355"/>
      <c r="Z4615" s="185"/>
      <c r="AA4615" s="185"/>
      <c r="AB4615" s="33">
        <f t="shared" ca="1" si="116"/>
        <v>6.4609884686533392E-2</v>
      </c>
      <c r="AC4615" s="813"/>
      <c r="AD4615" s="211"/>
      <c r="AE4615" s="941"/>
      <c r="AF4615" s="922">
        <f>IF(X4615=X4614,AF4614,0)+IF(ISNUMBER(I4615),IF(I4615&lt;1,I4615,I4615*VLOOKUP(J4615,Summary!$H$2:$I$9,2)),VLOOKUP(J4615,Summary!$J$2:$K$9,2)*IF(ISNUMBER(H4615),H4615,1))</f>
        <v>0.80339120370370332</v>
      </c>
      <c r="AG4615" s="290">
        <v>4614</v>
      </c>
      <c r="AH4615" s="94"/>
      <c r="AI4615" s="94"/>
    </row>
    <row r="4616" spans="1:35" s="29" customFormat="1" ht="12" customHeight="1" x14ac:dyDescent="0.25">
      <c r="A4616" s="614" t="s">
        <v>15671</v>
      </c>
      <c r="B4616" s="614">
        <v>11</v>
      </c>
      <c r="C4616" s="614">
        <v>143</v>
      </c>
      <c r="D4616" s="185" t="s">
        <v>6378</v>
      </c>
      <c r="E4616" s="314" t="s">
        <v>4566</v>
      </c>
      <c r="F4616" s="184">
        <v>40437</v>
      </c>
      <c r="G4616" s="184">
        <v>40443</v>
      </c>
      <c r="H4616" s="185">
        <v>1</v>
      </c>
      <c r="I4616" s="185">
        <v>4</v>
      </c>
      <c r="J4616" s="901" t="s">
        <v>1796</v>
      </c>
      <c r="K4616" s="163" t="s">
        <v>563</v>
      </c>
      <c r="L4616" s="163" t="s">
        <v>3832</v>
      </c>
      <c r="M4616" s="163" t="s">
        <v>254</v>
      </c>
      <c r="N4616" s="163" t="s">
        <v>5317</v>
      </c>
      <c r="O4616" s="163"/>
      <c r="P4616" s="182" t="s">
        <v>461</v>
      </c>
      <c r="Q4616" s="163" t="s">
        <v>4929</v>
      </c>
      <c r="R4616" s="186" t="s">
        <v>4796</v>
      </c>
      <c r="S4616" s="355" t="s">
        <v>2614</v>
      </c>
      <c r="T4616" s="182"/>
      <c r="U4616" s="182"/>
      <c r="V4616" s="182"/>
      <c r="W4616" s="314" t="s">
        <v>4566</v>
      </c>
      <c r="X4616" s="646" t="s">
        <v>15474</v>
      </c>
      <c r="Y4616" s="355"/>
      <c r="Z4616" s="185"/>
      <c r="AA4616" s="185"/>
      <c r="AB4616" s="33">
        <f t="shared" ca="1" si="116"/>
        <v>0.68257968072044684</v>
      </c>
      <c r="AC4616" s="813"/>
      <c r="AD4616" s="211"/>
      <c r="AE4616" s="941"/>
      <c r="AF4616" s="922">
        <f>IF(X4616=X4615,AF4615,0)+IF(ISNUMBER(I4616),IF(I4616&lt;1,I4616,I4616*VLOOKUP(J4616,Summary!$H$2:$I$9,2)),VLOOKUP(J4616,Summary!$J$2:$K$9,2)*IF(ISNUMBER(H4616),H4616,1))</f>
        <v>0.8047800925925922</v>
      </c>
      <c r="AG4616" s="290">
        <v>4615</v>
      </c>
      <c r="AH4616" s="94"/>
      <c r="AI4616" s="94"/>
    </row>
    <row r="4617" spans="1:35" s="29" customFormat="1" ht="12" customHeight="1" x14ac:dyDescent="0.25">
      <c r="A4617" s="614" t="s">
        <v>15671</v>
      </c>
      <c r="B4617" s="614">
        <v>11</v>
      </c>
      <c r="C4617" s="614">
        <v>144</v>
      </c>
      <c r="D4617" s="185" t="s">
        <v>6379</v>
      </c>
      <c r="E4617" s="314" t="s">
        <v>4567</v>
      </c>
      <c r="F4617" s="184">
        <v>40434</v>
      </c>
      <c r="G4617" s="184">
        <v>40450</v>
      </c>
      <c r="H4617" s="185">
        <v>1</v>
      </c>
      <c r="I4617" s="185">
        <v>4</v>
      </c>
      <c r="J4617" s="901" t="s">
        <v>1796</v>
      </c>
      <c r="K4617" s="163" t="s">
        <v>176</v>
      </c>
      <c r="L4617" s="163" t="s">
        <v>3832</v>
      </c>
      <c r="M4617" s="163" t="s">
        <v>254</v>
      </c>
      <c r="N4617" s="163" t="s">
        <v>5317</v>
      </c>
      <c r="O4617" s="163"/>
      <c r="P4617" s="182" t="s">
        <v>461</v>
      </c>
      <c r="Q4617" s="163" t="s">
        <v>4929</v>
      </c>
      <c r="R4617" s="186" t="s">
        <v>4796</v>
      </c>
      <c r="S4617" s="355" t="s">
        <v>2614</v>
      </c>
      <c r="T4617" s="182"/>
      <c r="U4617" s="182"/>
      <c r="V4617" s="182"/>
      <c r="W4617" s="314" t="s">
        <v>4567</v>
      </c>
      <c r="X4617" s="646" t="s">
        <v>15474</v>
      </c>
      <c r="Y4617" s="355"/>
      <c r="Z4617" s="185"/>
      <c r="AA4617" s="185"/>
      <c r="AB4617" s="33">
        <f t="shared" ca="1" si="116"/>
        <v>0.5313772675827324</v>
      </c>
      <c r="AC4617" s="813"/>
      <c r="AD4617" s="211"/>
      <c r="AE4617" s="941"/>
      <c r="AF4617" s="922">
        <f>IF(X4617=X4616,AF4616,0)+IF(ISNUMBER(I4617),IF(I4617&lt;1,I4617,I4617*VLOOKUP(J4617,Summary!$H$2:$I$9,2)),VLOOKUP(J4617,Summary!$J$2:$K$9,2)*IF(ISNUMBER(H4617),H4617,1))</f>
        <v>0.80616898148148108</v>
      </c>
      <c r="AG4617" s="290">
        <v>4616</v>
      </c>
      <c r="AH4617" s="94"/>
      <c r="AI4617" s="94"/>
    </row>
    <row r="4618" spans="1:35" s="29" customFormat="1" ht="12" customHeight="1" x14ac:dyDescent="0.25">
      <c r="A4618" s="614" t="s">
        <v>15671</v>
      </c>
      <c r="B4618" s="614">
        <v>11</v>
      </c>
      <c r="C4618" s="614">
        <v>145</v>
      </c>
      <c r="D4618" s="185" t="s">
        <v>1312</v>
      </c>
      <c r="E4618" s="314" t="s">
        <v>4568</v>
      </c>
      <c r="F4618" s="184">
        <v>40451</v>
      </c>
      <c r="G4618" s="184">
        <v>40457</v>
      </c>
      <c r="H4618" s="185">
        <v>1</v>
      </c>
      <c r="I4618" s="185">
        <v>4</v>
      </c>
      <c r="J4618" s="901" t="s">
        <v>1796</v>
      </c>
      <c r="K4618" s="163" t="s">
        <v>6353</v>
      </c>
      <c r="L4618" s="163" t="s">
        <v>3832</v>
      </c>
      <c r="M4618" s="163" t="s">
        <v>254</v>
      </c>
      <c r="N4618" s="163" t="s">
        <v>5317</v>
      </c>
      <c r="O4618" s="163"/>
      <c r="P4618" s="182" t="s">
        <v>461</v>
      </c>
      <c r="Q4618" s="163" t="s">
        <v>4929</v>
      </c>
      <c r="R4618" s="186" t="s">
        <v>4796</v>
      </c>
      <c r="S4618" s="355" t="s">
        <v>2614</v>
      </c>
      <c r="T4618" s="182"/>
      <c r="U4618" s="182"/>
      <c r="V4618" s="182"/>
      <c r="W4618" s="314" t="s">
        <v>4568</v>
      </c>
      <c r="X4618" s="646" t="s">
        <v>15474</v>
      </c>
      <c r="Y4618" s="355"/>
      <c r="Z4618" s="185"/>
      <c r="AA4618" s="185"/>
      <c r="AB4618" s="33">
        <f t="shared" ca="1" si="116"/>
        <v>0.4446051657498189</v>
      </c>
      <c r="AC4618" s="813"/>
      <c r="AD4618" s="211"/>
      <c r="AE4618" s="941"/>
      <c r="AF4618" s="922">
        <f>IF(X4618=X4617,AF4617,0)+IF(ISNUMBER(I4618),IF(I4618&lt;1,I4618,I4618*VLOOKUP(J4618,Summary!$H$2:$I$9,2)),VLOOKUP(J4618,Summary!$J$2:$K$9,2)*IF(ISNUMBER(H4618),H4618,1))</f>
        <v>0.80755787037036997</v>
      </c>
      <c r="AG4618" s="290">
        <v>4617</v>
      </c>
      <c r="AH4618" s="94"/>
      <c r="AI4618" s="94"/>
    </row>
    <row r="4619" spans="1:35" s="57" customFormat="1" ht="12" customHeight="1" x14ac:dyDescent="0.25">
      <c r="A4619" s="614" t="s">
        <v>15671</v>
      </c>
      <c r="B4619" s="614">
        <v>11</v>
      </c>
      <c r="C4619" s="614">
        <v>146</v>
      </c>
      <c r="D4619" s="185" t="s">
        <v>1313</v>
      </c>
      <c r="E4619" s="314" t="s">
        <v>4569</v>
      </c>
      <c r="F4619" s="184">
        <v>40458</v>
      </c>
      <c r="G4619" s="184">
        <v>40464</v>
      </c>
      <c r="H4619" s="185">
        <v>1</v>
      </c>
      <c r="I4619" s="185">
        <v>4</v>
      </c>
      <c r="J4619" s="901" t="s">
        <v>1796</v>
      </c>
      <c r="K4619" s="163" t="s">
        <v>4147</v>
      </c>
      <c r="L4619" s="163" t="s">
        <v>3832</v>
      </c>
      <c r="M4619" s="163" t="s">
        <v>254</v>
      </c>
      <c r="N4619" s="163" t="s">
        <v>5317</v>
      </c>
      <c r="O4619" s="163"/>
      <c r="P4619" s="182" t="s">
        <v>461</v>
      </c>
      <c r="Q4619" s="163" t="s">
        <v>4929</v>
      </c>
      <c r="R4619" s="186" t="s">
        <v>4796</v>
      </c>
      <c r="S4619" s="355" t="s">
        <v>2614</v>
      </c>
      <c r="T4619" s="182"/>
      <c r="U4619" s="182"/>
      <c r="V4619" s="182"/>
      <c r="W4619" s="314" t="s">
        <v>4569</v>
      </c>
      <c r="X4619" s="646" t="s">
        <v>15474</v>
      </c>
      <c r="Y4619" s="355"/>
      <c r="Z4619" s="185"/>
      <c r="AA4619" s="185"/>
      <c r="AB4619" s="33">
        <f t="shared" ca="1" si="116"/>
        <v>0.22551033248449082</v>
      </c>
      <c r="AC4619" s="813"/>
      <c r="AD4619" s="211"/>
      <c r="AE4619" s="941"/>
      <c r="AF4619" s="922">
        <f>IF(X4619=X4618,AF4618,0)+IF(ISNUMBER(I4619),IF(I4619&lt;1,I4619,I4619*VLOOKUP(J4619,Summary!$H$2:$I$9,2)),VLOOKUP(J4619,Summary!$J$2:$K$9,2)*IF(ISNUMBER(H4619),H4619,1))</f>
        <v>0.80894675925925885</v>
      </c>
      <c r="AG4619" s="290">
        <v>4618</v>
      </c>
      <c r="AH4619" s="94"/>
      <c r="AI4619" s="94"/>
    </row>
    <row r="4620" spans="1:35" s="29" customFormat="1" ht="12" customHeight="1" x14ac:dyDescent="0.25">
      <c r="A4620" s="614" t="s">
        <v>15671</v>
      </c>
      <c r="B4620" s="614">
        <v>11</v>
      </c>
      <c r="C4620" s="614">
        <v>147</v>
      </c>
      <c r="D4620" s="185" t="s">
        <v>1314</v>
      </c>
      <c r="E4620" s="314" t="s">
        <v>4570</v>
      </c>
      <c r="F4620" s="184">
        <v>40465</v>
      </c>
      <c r="G4620" s="184">
        <v>40471</v>
      </c>
      <c r="H4620" s="185">
        <v>1</v>
      </c>
      <c r="I4620" s="185">
        <v>4</v>
      </c>
      <c r="J4620" s="901" t="s">
        <v>1796</v>
      </c>
      <c r="K4620" s="163" t="s">
        <v>4032</v>
      </c>
      <c r="L4620" s="163" t="s">
        <v>3832</v>
      </c>
      <c r="M4620" s="163" t="s">
        <v>254</v>
      </c>
      <c r="N4620" s="163" t="s">
        <v>5317</v>
      </c>
      <c r="O4620" s="163"/>
      <c r="P4620" s="182" t="s">
        <v>461</v>
      </c>
      <c r="Q4620" s="163" t="s">
        <v>4929</v>
      </c>
      <c r="R4620" s="186" t="s">
        <v>4796</v>
      </c>
      <c r="S4620" s="355" t="s">
        <v>2614</v>
      </c>
      <c r="T4620" s="182"/>
      <c r="U4620" s="182"/>
      <c r="V4620" s="182"/>
      <c r="W4620" s="314" t="s">
        <v>4570</v>
      </c>
      <c r="X4620" s="646" t="s">
        <v>15474</v>
      </c>
      <c r="Y4620" s="355"/>
      <c r="Z4620" s="185"/>
      <c r="AA4620" s="185"/>
      <c r="AB4620" s="33">
        <f t="shared" ca="1" si="116"/>
        <v>0.63301090193475085</v>
      </c>
      <c r="AC4620" s="813"/>
      <c r="AD4620" s="211"/>
      <c r="AE4620" s="941"/>
      <c r="AF4620" s="922">
        <f>IF(X4620=X4619,AF4619,0)+IF(ISNUMBER(I4620),IF(I4620&lt;1,I4620,I4620*VLOOKUP(J4620,Summary!$H$2:$I$9,2)),VLOOKUP(J4620,Summary!$J$2:$K$9,2)*IF(ISNUMBER(H4620),H4620,1))</f>
        <v>0.81033564814814774</v>
      </c>
      <c r="AG4620" s="290">
        <v>4619</v>
      </c>
      <c r="AH4620" s="94"/>
      <c r="AI4620" s="94"/>
    </row>
    <row r="4621" spans="1:35" s="1" customFormat="1" ht="12" customHeight="1" x14ac:dyDescent="0.25">
      <c r="A4621" s="765" t="s">
        <v>15671</v>
      </c>
      <c r="B4621" s="765">
        <v>11</v>
      </c>
      <c r="C4621" s="765"/>
      <c r="D4621" s="226" t="s">
        <v>3106</v>
      </c>
      <c r="E4621" s="331" t="s">
        <v>4571</v>
      </c>
      <c r="F4621" s="766">
        <v>40634</v>
      </c>
      <c r="G4621" s="766">
        <v>40725</v>
      </c>
      <c r="H4621" s="226">
        <v>4</v>
      </c>
      <c r="I4621" s="226">
        <v>88</v>
      </c>
      <c r="J4621" s="907" t="s">
        <v>1796</v>
      </c>
      <c r="K4621" s="228" t="s">
        <v>1324</v>
      </c>
      <c r="L4621" s="228" t="s">
        <v>5716</v>
      </c>
      <c r="M4621" s="228"/>
      <c r="N4621" s="165" t="s">
        <v>6573</v>
      </c>
      <c r="O4621" s="165"/>
      <c r="P4621" s="225" t="s">
        <v>461</v>
      </c>
      <c r="Q4621" s="165" t="s">
        <v>5719</v>
      </c>
      <c r="R4621" s="227" t="s">
        <v>5718</v>
      </c>
      <c r="S4621" s="369" t="s">
        <v>2614</v>
      </c>
      <c r="T4621" s="225"/>
      <c r="U4621" s="225"/>
      <c r="V4621" s="225"/>
      <c r="W4621" s="331"/>
      <c r="X4621" s="663" t="s">
        <v>15474</v>
      </c>
      <c r="Y4621" s="369" t="s">
        <v>6000</v>
      </c>
      <c r="Z4621" s="226"/>
      <c r="AA4621" s="226"/>
      <c r="AB4621" s="38">
        <f t="shared" ca="1" si="116"/>
        <v>0.31399716384793031</v>
      </c>
      <c r="AC4621" s="830"/>
      <c r="AD4621" s="831" t="s">
        <v>16462</v>
      </c>
      <c r="AE4621" s="963" t="s">
        <v>12543</v>
      </c>
      <c r="AF4621" s="928">
        <f>IF(X4621=X4620,AF4620,0)+IF(ISNUMBER(I4621),IF(I4621&lt;1,I4621,I4621*VLOOKUP(J4621,Summary!$H$2:$I$9,2)),VLOOKUP(J4621,Summary!$J$2:$K$9,2)*IF(ISNUMBER(H4621),H4621,1))</f>
        <v>0.84089120370370329</v>
      </c>
      <c r="AG4621" s="304">
        <v>4620</v>
      </c>
      <c r="AH4621" s="94"/>
      <c r="AI4621" s="94"/>
    </row>
    <row r="4622" spans="1:35" s="29" customFormat="1" ht="12" customHeight="1" x14ac:dyDescent="0.25">
      <c r="A4622" s="616" t="s">
        <v>15671</v>
      </c>
      <c r="B4622" s="616">
        <v>11</v>
      </c>
      <c r="C4622" s="616"/>
      <c r="D4622" s="619"/>
      <c r="E4622" s="345" t="s">
        <v>15636</v>
      </c>
      <c r="F4622" s="219">
        <v>40480</v>
      </c>
      <c r="G4622" s="219"/>
      <c r="H4622" s="210" t="s">
        <v>461</v>
      </c>
      <c r="I4622" s="210"/>
      <c r="J4622" s="908" t="s">
        <v>3346</v>
      </c>
      <c r="K4622" s="166" t="s">
        <v>1641</v>
      </c>
      <c r="L4622" s="166"/>
      <c r="M4622" s="166"/>
      <c r="N4622" s="166"/>
      <c r="O4622" s="166"/>
      <c r="P4622" s="267" t="s">
        <v>461</v>
      </c>
      <c r="Q4622" s="166" t="s">
        <v>15638</v>
      </c>
      <c r="R4622" s="268" t="s">
        <v>15637</v>
      </c>
      <c r="S4622" s="386" t="s">
        <v>2614</v>
      </c>
      <c r="T4622" s="267"/>
      <c r="U4622" s="267"/>
      <c r="V4622" s="267"/>
      <c r="W4622" s="345" t="s">
        <v>15636</v>
      </c>
      <c r="X4622" s="680" t="s">
        <v>15474</v>
      </c>
      <c r="Y4622" s="384"/>
      <c r="Z4622" s="385"/>
      <c r="AA4622" s="385"/>
      <c r="AB4622" s="41">
        <f t="shared" ca="1" si="116"/>
        <v>0.82801882833625762</v>
      </c>
      <c r="AC4622" s="832"/>
      <c r="AD4622" s="833"/>
      <c r="AE4622" s="956"/>
      <c r="AF4622" s="929">
        <f>IF(X4622=X4621,AF4621,0)+IF(ISNUMBER(I4622),IF(I4622&lt;1,I4622,I4622*VLOOKUP(J4622,Summary!$H$2:$I$9,2)),VLOOKUP(J4622,Summary!$J$2:$K$9,2)*IF(ISNUMBER(H4622),H4622,1))</f>
        <v>0.88255787037036992</v>
      </c>
      <c r="AG4622" s="307">
        <v>4621</v>
      </c>
      <c r="AH4622" s="94"/>
      <c r="AI4622" s="94"/>
    </row>
    <row r="4623" spans="1:35" s="29" customFormat="1" ht="12" customHeight="1" x14ac:dyDescent="0.25">
      <c r="A4623" s="616" t="s">
        <v>15671</v>
      </c>
      <c r="B4623" s="616">
        <v>11</v>
      </c>
      <c r="C4623" s="616"/>
      <c r="D4623" s="619"/>
      <c r="E4623" s="345" t="s">
        <v>15639</v>
      </c>
      <c r="F4623" s="219">
        <v>40480</v>
      </c>
      <c r="G4623" s="219"/>
      <c r="H4623" s="210" t="s">
        <v>461</v>
      </c>
      <c r="I4623" s="210"/>
      <c r="J4623" s="908" t="s">
        <v>3346</v>
      </c>
      <c r="K4623" s="166" t="s">
        <v>1641</v>
      </c>
      <c r="L4623" s="166"/>
      <c r="M4623" s="166"/>
      <c r="N4623" s="166"/>
      <c r="O4623" s="166"/>
      <c r="P4623" s="267" t="s">
        <v>461</v>
      </c>
      <c r="Q4623" s="166" t="s">
        <v>15638</v>
      </c>
      <c r="R4623" s="268" t="s">
        <v>15637</v>
      </c>
      <c r="S4623" s="386" t="s">
        <v>2614</v>
      </c>
      <c r="T4623" s="267"/>
      <c r="U4623" s="267"/>
      <c r="V4623" s="267"/>
      <c r="W4623" s="345" t="s">
        <v>15639</v>
      </c>
      <c r="X4623" s="680" t="s">
        <v>15474</v>
      </c>
      <c r="Y4623" s="384"/>
      <c r="Z4623" s="385"/>
      <c r="AA4623" s="385"/>
      <c r="AB4623" s="41">
        <f t="shared" ca="1" si="116"/>
        <v>0.18348604938275548</v>
      </c>
      <c r="AC4623" s="832"/>
      <c r="AD4623" s="833"/>
      <c r="AE4623" s="956"/>
      <c r="AF4623" s="929">
        <f>IF(X4623=X4622,AF4622,0)+IF(ISNUMBER(I4623),IF(I4623&lt;1,I4623,I4623*VLOOKUP(J4623,Summary!$H$2:$I$9,2)),VLOOKUP(J4623,Summary!$J$2:$K$9,2)*IF(ISNUMBER(H4623),H4623,1))</f>
        <v>0.92422453703703655</v>
      </c>
      <c r="AG4623" s="307">
        <v>4622</v>
      </c>
      <c r="AH4623" s="94"/>
      <c r="AI4623" s="94"/>
    </row>
    <row r="4624" spans="1:35" s="29" customFormat="1" ht="12" customHeight="1" x14ac:dyDescent="0.25">
      <c r="A4624" s="616" t="s">
        <v>15671</v>
      </c>
      <c r="B4624" s="616">
        <v>11</v>
      </c>
      <c r="C4624" s="616"/>
      <c r="D4624" s="619"/>
      <c r="E4624" s="345" t="s">
        <v>15640</v>
      </c>
      <c r="F4624" s="219">
        <v>40528</v>
      </c>
      <c r="G4624" s="219"/>
      <c r="H4624" s="210" t="s">
        <v>461</v>
      </c>
      <c r="I4624" s="210"/>
      <c r="J4624" s="908" t="s">
        <v>3346</v>
      </c>
      <c r="K4624" s="166" t="s">
        <v>1641</v>
      </c>
      <c r="L4624" s="166"/>
      <c r="M4624" s="166"/>
      <c r="N4624" s="166"/>
      <c r="O4624" s="166"/>
      <c r="P4624" s="267" t="s">
        <v>461</v>
      </c>
      <c r="Q4624" s="166" t="s">
        <v>3115</v>
      </c>
      <c r="R4624" s="268" t="s">
        <v>15637</v>
      </c>
      <c r="S4624" s="386" t="s">
        <v>2614</v>
      </c>
      <c r="T4624" s="267"/>
      <c r="U4624" s="267"/>
      <c r="V4624" s="267"/>
      <c r="W4624" s="345" t="s">
        <v>15640</v>
      </c>
      <c r="X4624" s="680" t="s">
        <v>15474</v>
      </c>
      <c r="Y4624" s="384"/>
      <c r="Z4624" s="385"/>
      <c r="AA4624" s="385"/>
      <c r="AB4624" s="41">
        <f t="shared" ca="1" si="116"/>
        <v>8.3649340326493182E-2</v>
      </c>
      <c r="AC4624" s="832"/>
      <c r="AD4624" s="833"/>
      <c r="AE4624" s="956"/>
      <c r="AF4624" s="929">
        <f>IF(X4624=X4623,AF4623,0)+IF(ISNUMBER(I4624),IF(I4624&lt;1,I4624,I4624*VLOOKUP(J4624,Summary!$H$2:$I$9,2)),VLOOKUP(J4624,Summary!$J$2:$K$9,2)*IF(ISNUMBER(H4624),H4624,1))</f>
        <v>0.96589120370370318</v>
      </c>
      <c r="AG4624" s="307">
        <v>4623</v>
      </c>
      <c r="AH4624" s="94"/>
      <c r="AI4624" s="94"/>
    </row>
    <row r="4625" spans="1:35" s="29" customFormat="1" ht="12" customHeight="1" x14ac:dyDescent="0.25">
      <c r="A4625" s="616" t="s">
        <v>15671</v>
      </c>
      <c r="B4625" s="616">
        <v>11</v>
      </c>
      <c r="C4625" s="616"/>
      <c r="D4625" s="619"/>
      <c r="E4625" s="345" t="s">
        <v>15641</v>
      </c>
      <c r="F4625" s="219">
        <v>40557</v>
      </c>
      <c r="G4625" s="219"/>
      <c r="H4625" s="210" t="s">
        <v>461</v>
      </c>
      <c r="I4625" s="210"/>
      <c r="J4625" s="908" t="s">
        <v>3346</v>
      </c>
      <c r="K4625" s="166" t="s">
        <v>1641</v>
      </c>
      <c r="L4625" s="166"/>
      <c r="M4625" s="166"/>
      <c r="N4625" s="166"/>
      <c r="O4625" s="166"/>
      <c r="P4625" s="267" t="s">
        <v>461</v>
      </c>
      <c r="Q4625" s="166" t="s">
        <v>3115</v>
      </c>
      <c r="R4625" s="268" t="s">
        <v>15637</v>
      </c>
      <c r="S4625" s="386" t="s">
        <v>2614</v>
      </c>
      <c r="T4625" s="267"/>
      <c r="U4625" s="267"/>
      <c r="V4625" s="267"/>
      <c r="W4625" s="345" t="s">
        <v>15641</v>
      </c>
      <c r="X4625" s="680" t="s">
        <v>15474</v>
      </c>
      <c r="Y4625" s="384"/>
      <c r="Z4625" s="385"/>
      <c r="AA4625" s="385"/>
      <c r="AB4625" s="41">
        <f t="shared" ca="1" si="116"/>
        <v>0.62598268292087444</v>
      </c>
      <c r="AC4625" s="832"/>
      <c r="AD4625" s="833"/>
      <c r="AE4625" s="956"/>
      <c r="AF4625" s="929">
        <f>IF(X4625=X4624,AF4624,0)+IF(ISNUMBER(I4625),IF(I4625&lt;1,I4625,I4625*VLOOKUP(J4625,Summary!$H$2:$I$9,2)),VLOOKUP(J4625,Summary!$J$2:$K$9,2)*IF(ISNUMBER(H4625),H4625,1))</f>
        <v>1.0075578703703698</v>
      </c>
      <c r="AG4625" s="307">
        <v>4624</v>
      </c>
      <c r="AH4625" s="94"/>
      <c r="AI4625" s="94"/>
    </row>
    <row r="4626" spans="1:35" s="29" customFormat="1" ht="12" customHeight="1" x14ac:dyDescent="0.25">
      <c r="A4626" s="616" t="s">
        <v>15671</v>
      </c>
      <c r="B4626" s="616">
        <v>11</v>
      </c>
      <c r="C4626" s="616"/>
      <c r="D4626" s="619"/>
      <c r="E4626" s="345" t="s">
        <v>15642</v>
      </c>
      <c r="F4626" s="219">
        <v>40670</v>
      </c>
      <c r="G4626" s="219"/>
      <c r="H4626" s="210" t="s">
        <v>461</v>
      </c>
      <c r="I4626" s="210"/>
      <c r="J4626" s="908" t="s">
        <v>3346</v>
      </c>
      <c r="K4626" s="166" t="s">
        <v>1641</v>
      </c>
      <c r="L4626" s="166"/>
      <c r="M4626" s="166"/>
      <c r="N4626" s="166"/>
      <c r="O4626" s="166"/>
      <c r="P4626" s="267" t="s">
        <v>461</v>
      </c>
      <c r="Q4626" s="166" t="s">
        <v>3115</v>
      </c>
      <c r="R4626" s="268" t="s">
        <v>15637</v>
      </c>
      <c r="S4626" s="386" t="s">
        <v>2614</v>
      </c>
      <c r="T4626" s="267"/>
      <c r="U4626" s="267"/>
      <c r="V4626" s="267"/>
      <c r="W4626" s="345" t="s">
        <v>15642</v>
      </c>
      <c r="X4626" s="680" t="s">
        <v>15474</v>
      </c>
      <c r="Y4626" s="384"/>
      <c r="Z4626" s="385"/>
      <c r="AA4626" s="385"/>
      <c r="AB4626" s="41">
        <f t="shared" ca="1" si="116"/>
        <v>0.80817185568239247</v>
      </c>
      <c r="AC4626" s="832"/>
      <c r="AD4626" s="833"/>
      <c r="AE4626" s="956"/>
      <c r="AF4626" s="929">
        <f>IF(X4626=X4625,AF4625,0)+IF(ISNUMBER(I4626),IF(I4626&lt;1,I4626,I4626*VLOOKUP(J4626,Summary!$H$2:$I$9,2)),VLOOKUP(J4626,Summary!$J$2:$K$9,2)*IF(ISNUMBER(H4626),H4626,1))</f>
        <v>1.0492245370370366</v>
      </c>
      <c r="AG4626" s="307">
        <v>4625</v>
      </c>
      <c r="AH4626" s="94"/>
      <c r="AI4626" s="94"/>
    </row>
    <row r="4627" spans="1:35" s="29" customFormat="1" ht="12" customHeight="1" x14ac:dyDescent="0.25">
      <c r="A4627" s="618" t="s">
        <v>15671</v>
      </c>
      <c r="B4627" s="618">
        <v>11</v>
      </c>
      <c r="C4627" s="618"/>
      <c r="D4627" s="176" t="s">
        <v>3107</v>
      </c>
      <c r="E4627" s="313" t="s">
        <v>4572</v>
      </c>
      <c r="F4627" s="175">
        <v>40422</v>
      </c>
      <c r="G4627" s="175"/>
      <c r="H4627" s="176">
        <v>1</v>
      </c>
      <c r="I4627" s="176"/>
      <c r="J4627" s="900" t="s">
        <v>2755</v>
      </c>
      <c r="K4627" s="164" t="s">
        <v>3108</v>
      </c>
      <c r="L4627" s="164" t="s">
        <v>3835</v>
      </c>
      <c r="M4627" s="164"/>
      <c r="N4627" s="164"/>
      <c r="O4627" s="164"/>
      <c r="P4627" s="173" t="s">
        <v>777</v>
      </c>
      <c r="Q4627" s="164" t="s">
        <v>3953</v>
      </c>
      <c r="R4627" s="177" t="s">
        <v>4600</v>
      </c>
      <c r="S4627" s="354" t="s">
        <v>2614</v>
      </c>
      <c r="T4627" s="173"/>
      <c r="U4627" s="173"/>
      <c r="V4627" s="173"/>
      <c r="W4627" s="313" t="s">
        <v>4572</v>
      </c>
      <c r="X4627" s="645" t="s">
        <v>15474</v>
      </c>
      <c r="Y4627" s="354" t="s">
        <v>6868</v>
      </c>
      <c r="Z4627" s="176">
        <v>999</v>
      </c>
      <c r="AA4627" s="176"/>
      <c r="AB4627" s="32">
        <f t="shared" ca="1" si="116"/>
        <v>0.7108280902207903</v>
      </c>
      <c r="AC4627" s="812"/>
      <c r="AD4627" s="763"/>
      <c r="AE4627" s="807"/>
      <c r="AF4627" s="921">
        <f>IF(X4627=X4626,AF4626,0)+IF(ISNUMBER(I4627),IF(I4627&lt;1,I4627,I4627*VLOOKUP(J4627,Summary!$H$2:$I$9,2)),VLOOKUP(J4627,Summary!$J$2:$K$9,2)*IF(ISNUMBER(H4627),H4627,1))</f>
        <v>1.0665856481481477</v>
      </c>
      <c r="AG4627" s="289">
        <v>4626</v>
      </c>
      <c r="AH4627" s="94"/>
      <c r="AI4627" s="94"/>
    </row>
    <row r="4628" spans="1:35" s="29" customFormat="1" ht="12" customHeight="1" x14ac:dyDescent="0.25">
      <c r="A4628" s="612" t="s">
        <v>15671</v>
      </c>
      <c r="B4628" s="612">
        <v>11</v>
      </c>
      <c r="C4628" s="612">
        <v>211</v>
      </c>
      <c r="D4628" s="424" t="s">
        <v>5637</v>
      </c>
      <c r="E4628" s="319" t="s">
        <v>5652</v>
      </c>
      <c r="F4628" s="198">
        <v>40341</v>
      </c>
      <c r="G4628" s="198"/>
      <c r="H4628" s="199">
        <v>1</v>
      </c>
      <c r="I4628" s="791">
        <f>TIME(0,42,31)</f>
        <v>2.9525462962962962E-2</v>
      </c>
      <c r="J4628" s="904" t="s">
        <v>1588</v>
      </c>
      <c r="K4628" s="200" t="s">
        <v>3451</v>
      </c>
      <c r="L4628" s="200" t="s">
        <v>5642</v>
      </c>
      <c r="M4628" s="200"/>
      <c r="N4628" s="200" t="s">
        <v>3810</v>
      </c>
      <c r="O4628" s="200" t="s">
        <v>5004</v>
      </c>
      <c r="P4628" s="197" t="s">
        <v>461</v>
      </c>
      <c r="Q4628" s="200" t="s">
        <v>3946</v>
      </c>
      <c r="R4628" s="201" t="s">
        <v>5280</v>
      </c>
      <c r="S4628" s="390" t="s">
        <v>2614</v>
      </c>
      <c r="T4628" s="197"/>
      <c r="U4628" s="197"/>
      <c r="V4628" s="197"/>
      <c r="W4628" s="319" t="s">
        <v>5652</v>
      </c>
      <c r="X4628" s="651" t="s">
        <v>15474</v>
      </c>
      <c r="Y4628" s="358" t="s">
        <v>7018</v>
      </c>
      <c r="Z4628" s="253">
        <v>64</v>
      </c>
      <c r="AA4628" s="253">
        <v>8</v>
      </c>
      <c r="AB4628" s="35">
        <f t="shared" ca="1" si="116"/>
        <v>0.92638189101464585</v>
      </c>
      <c r="AC4628" s="820"/>
      <c r="AD4628" s="821" t="s">
        <v>15875</v>
      </c>
      <c r="AE4628" s="967"/>
      <c r="AF4628" s="925">
        <f>IF(X4628=X4627,AF4627,0)+IF(ISNUMBER(I4628),IF(I4628&lt;1,I4628,I4628*VLOOKUP(J4628,Summary!$H$2:$I$9,2)),VLOOKUP(J4628,Summary!$J$2:$K$9,2)*IF(ISNUMBER(H4628),H4628,1))</f>
        <v>1.0961111111111106</v>
      </c>
      <c r="AG4628" s="293">
        <v>4627</v>
      </c>
      <c r="AH4628" s="94"/>
      <c r="AI4628" s="94"/>
    </row>
    <row r="4629" spans="1:35" s="29" customFormat="1" ht="12" customHeight="1" x14ac:dyDescent="0.25">
      <c r="A4629" s="615" t="s">
        <v>15671</v>
      </c>
      <c r="B4629" s="615">
        <v>11</v>
      </c>
      <c r="C4629" s="615"/>
      <c r="D4629" s="417"/>
      <c r="E4629" s="316" t="s">
        <v>5805</v>
      </c>
      <c r="F4629" s="195">
        <v>40465</v>
      </c>
      <c r="G4629" s="195"/>
      <c r="H4629" s="188" t="str">
        <f>IF(J4629="Book","n/a","")</f>
        <v>n/a</v>
      </c>
      <c r="I4629" s="188">
        <v>354</v>
      </c>
      <c r="J4629" s="902" t="s">
        <v>6868</v>
      </c>
      <c r="K4629" s="162" t="s">
        <v>7796</v>
      </c>
      <c r="L4629" s="162" t="str">
        <f>IF(J4629="Book","n/a","")</f>
        <v>n/a</v>
      </c>
      <c r="M4629" s="162"/>
      <c r="N4629" s="162"/>
      <c r="O4629" s="162"/>
      <c r="P4629" s="178" t="s">
        <v>781</v>
      </c>
      <c r="Q4629" s="162" t="s">
        <v>3953</v>
      </c>
      <c r="R4629" s="189" t="s">
        <v>2711</v>
      </c>
      <c r="S4629" s="366" t="s">
        <v>2614</v>
      </c>
      <c r="T4629" s="178"/>
      <c r="U4629" s="178"/>
      <c r="V4629" s="178"/>
      <c r="W4629" s="316" t="s">
        <v>5805</v>
      </c>
      <c r="X4629" s="648" t="s">
        <v>15474</v>
      </c>
      <c r="Y4629" s="356"/>
      <c r="Z4629" s="272">
        <v>22</v>
      </c>
      <c r="AA4629" s="272">
        <v>8.5</v>
      </c>
      <c r="AB4629" s="34">
        <f t="shared" ca="1" si="116"/>
        <v>0.90077272218198168</v>
      </c>
      <c r="AC4629" s="814"/>
      <c r="AD4629" s="815" t="s">
        <v>16493</v>
      </c>
      <c r="AE4629" s="942"/>
      <c r="AF4629" s="923">
        <f>IF(X4629=X4628,AF4628,0)+IF(ISNUMBER(I4629),IF(I4629&lt;1,I4629,I4629*VLOOKUP(J4629,Summary!$H$2:$I$9,2)),VLOOKUP(J4629,Summary!$J$2:$K$9,2)*IF(ISNUMBER(H4629),H4629,1))</f>
        <v>1.3419444444444439</v>
      </c>
      <c r="AG4629" s="291">
        <v>4628</v>
      </c>
      <c r="AH4629" s="94"/>
      <c r="AI4629" s="94"/>
    </row>
    <row r="4630" spans="1:35" s="1" customFormat="1" ht="12" customHeight="1" x14ac:dyDescent="0.25">
      <c r="A4630" s="614" t="s">
        <v>15671</v>
      </c>
      <c r="B4630" s="614">
        <v>11</v>
      </c>
      <c r="C4630" s="614">
        <v>148</v>
      </c>
      <c r="D4630" s="185" t="s">
        <v>1315</v>
      </c>
      <c r="E4630" s="314" t="s">
        <v>4573</v>
      </c>
      <c r="F4630" s="184">
        <v>40472</v>
      </c>
      <c r="G4630" s="184">
        <v>40478</v>
      </c>
      <c r="H4630" s="185">
        <v>1</v>
      </c>
      <c r="I4630" s="185">
        <v>4</v>
      </c>
      <c r="J4630" s="901" t="s">
        <v>1796</v>
      </c>
      <c r="K4630" s="163" t="s">
        <v>4147</v>
      </c>
      <c r="L4630" s="163" t="s">
        <v>3832</v>
      </c>
      <c r="M4630" s="163" t="s">
        <v>254</v>
      </c>
      <c r="N4630" s="163" t="s">
        <v>5317</v>
      </c>
      <c r="O4630" s="163"/>
      <c r="P4630" s="182" t="s">
        <v>461</v>
      </c>
      <c r="Q4630" s="163" t="s">
        <v>4929</v>
      </c>
      <c r="R4630" s="186" t="s">
        <v>4796</v>
      </c>
      <c r="S4630" s="355" t="s">
        <v>2614</v>
      </c>
      <c r="T4630" s="182"/>
      <c r="U4630" s="182"/>
      <c r="V4630" s="182"/>
      <c r="W4630" s="314" t="s">
        <v>4573</v>
      </c>
      <c r="X4630" s="646" t="s">
        <v>15474</v>
      </c>
      <c r="Y4630" s="355"/>
      <c r="Z4630" s="185"/>
      <c r="AA4630" s="185"/>
      <c r="AB4630" s="33">
        <f t="shared" ca="1" si="116"/>
        <v>0.93048829137689537</v>
      </c>
      <c r="AC4630" s="813"/>
      <c r="AD4630" s="211"/>
      <c r="AE4630" s="941"/>
      <c r="AF4630" s="922">
        <f>IF(X4630=X4629,AF4629,0)+IF(ISNUMBER(I4630),IF(I4630&lt;1,I4630,I4630*VLOOKUP(J4630,Summary!$H$2:$I$9,2)),VLOOKUP(J4630,Summary!$J$2:$K$9,2)*IF(ISNUMBER(H4630),H4630,1))</f>
        <v>1.3433333333333328</v>
      </c>
      <c r="AG4630" s="290">
        <v>4629</v>
      </c>
      <c r="AH4630" s="94"/>
      <c r="AI4630" s="94"/>
    </row>
    <row r="4631" spans="1:35" s="1" customFormat="1" ht="12" customHeight="1" x14ac:dyDescent="0.25">
      <c r="A4631" s="614" t="s">
        <v>15671</v>
      </c>
      <c r="B4631" s="614">
        <v>11</v>
      </c>
      <c r="C4631" s="614">
        <v>149</v>
      </c>
      <c r="D4631" s="185" t="s">
        <v>1316</v>
      </c>
      <c r="E4631" s="314" t="s">
        <v>4574</v>
      </c>
      <c r="F4631" s="184">
        <v>40479</v>
      </c>
      <c r="G4631" s="184">
        <v>40485</v>
      </c>
      <c r="H4631" s="185">
        <v>1</v>
      </c>
      <c r="I4631" s="185">
        <v>4</v>
      </c>
      <c r="J4631" s="901" t="s">
        <v>1796</v>
      </c>
      <c r="K4631" s="163" t="s">
        <v>1641</v>
      </c>
      <c r="L4631" s="163" t="s">
        <v>3832</v>
      </c>
      <c r="M4631" s="163" t="s">
        <v>254</v>
      </c>
      <c r="N4631" s="163" t="s">
        <v>5317</v>
      </c>
      <c r="O4631" s="163"/>
      <c r="P4631" s="182" t="s">
        <v>461</v>
      </c>
      <c r="Q4631" s="163" t="s">
        <v>4929</v>
      </c>
      <c r="R4631" s="186" t="s">
        <v>4796</v>
      </c>
      <c r="S4631" s="355" t="s">
        <v>2614</v>
      </c>
      <c r="T4631" s="182"/>
      <c r="U4631" s="182"/>
      <c r="V4631" s="182"/>
      <c r="W4631" s="314" t="s">
        <v>4574</v>
      </c>
      <c r="X4631" s="646" t="s">
        <v>15474</v>
      </c>
      <c r="Y4631" s="355"/>
      <c r="Z4631" s="185"/>
      <c r="AA4631" s="185"/>
      <c r="AB4631" s="33">
        <f t="shared" ca="1" si="116"/>
        <v>0.175837670115222</v>
      </c>
      <c r="AC4631" s="813"/>
      <c r="AD4631" s="211"/>
      <c r="AE4631" s="941"/>
      <c r="AF4631" s="922">
        <f>IF(X4631=X4630,AF4630,0)+IF(ISNUMBER(I4631),IF(I4631&lt;1,I4631,I4631*VLOOKUP(J4631,Summary!$H$2:$I$9,2)),VLOOKUP(J4631,Summary!$J$2:$K$9,2)*IF(ISNUMBER(H4631),H4631,1))</f>
        <v>1.3447222222222217</v>
      </c>
      <c r="AG4631" s="290">
        <v>4630</v>
      </c>
      <c r="AH4631" s="94"/>
      <c r="AI4631" s="94"/>
    </row>
    <row r="4632" spans="1:35" s="1" customFormat="1" ht="12" customHeight="1" x14ac:dyDescent="0.25">
      <c r="A4632" s="614" t="s">
        <v>15671</v>
      </c>
      <c r="B4632" s="614">
        <v>11</v>
      </c>
      <c r="C4632" s="614">
        <v>150</v>
      </c>
      <c r="D4632" s="185" t="s">
        <v>1317</v>
      </c>
      <c r="E4632" s="314" t="s">
        <v>4575</v>
      </c>
      <c r="F4632" s="184">
        <v>40486</v>
      </c>
      <c r="G4632" s="184">
        <v>40492</v>
      </c>
      <c r="H4632" s="185">
        <v>1</v>
      </c>
      <c r="I4632" s="185">
        <v>4</v>
      </c>
      <c r="J4632" s="901" t="s">
        <v>1796</v>
      </c>
      <c r="K4632" s="163" t="s">
        <v>2675</v>
      </c>
      <c r="L4632" s="163" t="s">
        <v>3832</v>
      </c>
      <c r="M4632" s="163" t="s">
        <v>254</v>
      </c>
      <c r="N4632" s="163" t="s">
        <v>5317</v>
      </c>
      <c r="O4632" s="163"/>
      <c r="P4632" s="182" t="s">
        <v>461</v>
      </c>
      <c r="Q4632" s="163" t="s">
        <v>4929</v>
      </c>
      <c r="R4632" s="186" t="s">
        <v>4796</v>
      </c>
      <c r="S4632" s="355" t="s">
        <v>2614</v>
      </c>
      <c r="T4632" s="182"/>
      <c r="U4632" s="182"/>
      <c r="V4632" s="182"/>
      <c r="W4632" s="314" t="s">
        <v>4575</v>
      </c>
      <c r="X4632" s="646" t="s">
        <v>15474</v>
      </c>
      <c r="Y4632" s="355"/>
      <c r="Z4632" s="185"/>
      <c r="AA4632" s="185"/>
      <c r="AB4632" s="33">
        <f t="shared" ca="1" si="116"/>
        <v>0.7876350283197856</v>
      </c>
      <c r="AC4632" s="813"/>
      <c r="AD4632" s="211"/>
      <c r="AE4632" s="941"/>
      <c r="AF4632" s="922">
        <f>IF(X4632=X4631,AF4631,0)+IF(ISNUMBER(I4632),IF(I4632&lt;1,I4632,I4632*VLOOKUP(J4632,Summary!$H$2:$I$9,2)),VLOOKUP(J4632,Summary!$J$2:$K$9,2)*IF(ISNUMBER(H4632),H4632,1))</f>
        <v>1.3461111111111106</v>
      </c>
      <c r="AG4632" s="290">
        <v>4631</v>
      </c>
      <c r="AH4632" s="94"/>
      <c r="AI4632" s="94"/>
    </row>
    <row r="4633" spans="1:35" s="1" customFormat="1" ht="12" customHeight="1" x14ac:dyDescent="0.25">
      <c r="A4633" s="614" t="s">
        <v>15671</v>
      </c>
      <c r="B4633" s="614">
        <v>11</v>
      </c>
      <c r="C4633" s="614">
        <v>151</v>
      </c>
      <c r="D4633" s="185" t="s">
        <v>1318</v>
      </c>
      <c r="E4633" s="314" t="s">
        <v>4576</v>
      </c>
      <c r="F4633" s="184">
        <v>40493</v>
      </c>
      <c r="G4633" s="184">
        <v>40499</v>
      </c>
      <c r="H4633" s="185">
        <v>1</v>
      </c>
      <c r="I4633" s="185">
        <v>4</v>
      </c>
      <c r="J4633" s="901" t="s">
        <v>1796</v>
      </c>
      <c r="K4633" s="163" t="s">
        <v>4032</v>
      </c>
      <c r="L4633" s="163" t="s">
        <v>3832</v>
      </c>
      <c r="M4633" s="163" t="s">
        <v>254</v>
      </c>
      <c r="N4633" s="163" t="s">
        <v>5317</v>
      </c>
      <c r="O4633" s="163"/>
      <c r="P4633" s="182" t="s">
        <v>461</v>
      </c>
      <c r="Q4633" s="163" t="s">
        <v>4929</v>
      </c>
      <c r="R4633" s="186" t="s">
        <v>4796</v>
      </c>
      <c r="S4633" s="355" t="s">
        <v>2614</v>
      </c>
      <c r="T4633" s="182"/>
      <c r="U4633" s="182"/>
      <c r="V4633" s="182"/>
      <c r="W4633" s="314" t="s">
        <v>4576</v>
      </c>
      <c r="X4633" s="646" t="s">
        <v>15474</v>
      </c>
      <c r="Y4633" s="355"/>
      <c r="Z4633" s="185"/>
      <c r="AA4633" s="185"/>
      <c r="AB4633" s="33">
        <f t="shared" ca="1" si="116"/>
        <v>0.48429099452049229</v>
      </c>
      <c r="AC4633" s="813"/>
      <c r="AD4633" s="211"/>
      <c r="AE4633" s="941"/>
      <c r="AF4633" s="922">
        <f>IF(X4633=X4632,AF4632,0)+IF(ISNUMBER(I4633),IF(I4633&lt;1,I4633,I4633*VLOOKUP(J4633,Summary!$H$2:$I$9,2)),VLOOKUP(J4633,Summary!$J$2:$K$9,2)*IF(ISNUMBER(H4633),H4633,1))</f>
        <v>1.3474999999999995</v>
      </c>
      <c r="AG4633" s="290">
        <v>4632</v>
      </c>
      <c r="AH4633" s="94"/>
      <c r="AI4633" s="94"/>
    </row>
    <row r="4634" spans="1:35" s="1" customFormat="1" ht="12" customHeight="1" x14ac:dyDescent="0.25">
      <c r="A4634" s="614" t="s">
        <v>15671</v>
      </c>
      <c r="B4634" s="614">
        <v>11</v>
      </c>
      <c r="C4634" s="614">
        <v>152</v>
      </c>
      <c r="D4634" s="185" t="s">
        <v>1319</v>
      </c>
      <c r="E4634" s="314" t="s">
        <v>4221</v>
      </c>
      <c r="F4634" s="184">
        <v>40500</v>
      </c>
      <c r="G4634" s="184">
        <v>40506</v>
      </c>
      <c r="H4634" s="185">
        <v>1</v>
      </c>
      <c r="I4634" s="185">
        <v>4</v>
      </c>
      <c r="J4634" s="901" t="s">
        <v>1796</v>
      </c>
      <c r="K4634" s="163" t="s">
        <v>4032</v>
      </c>
      <c r="L4634" s="163" t="s">
        <v>3832</v>
      </c>
      <c r="M4634" s="163" t="s">
        <v>254</v>
      </c>
      <c r="N4634" s="163" t="s">
        <v>5317</v>
      </c>
      <c r="O4634" s="163"/>
      <c r="P4634" s="182" t="s">
        <v>461</v>
      </c>
      <c r="Q4634" s="163" t="s">
        <v>4929</v>
      </c>
      <c r="R4634" s="186" t="s">
        <v>4796</v>
      </c>
      <c r="S4634" s="355" t="s">
        <v>2614</v>
      </c>
      <c r="T4634" s="182"/>
      <c r="U4634" s="182"/>
      <c r="V4634" s="182"/>
      <c r="W4634" s="314" t="s">
        <v>4221</v>
      </c>
      <c r="X4634" s="646" t="s">
        <v>15474</v>
      </c>
      <c r="Y4634" s="355"/>
      <c r="Z4634" s="185"/>
      <c r="AA4634" s="185"/>
      <c r="AB4634" s="33">
        <f t="shared" ca="1" si="116"/>
        <v>0.17165648891429208</v>
      </c>
      <c r="AC4634" s="813"/>
      <c r="AD4634" s="211"/>
      <c r="AE4634" s="941"/>
      <c r="AF4634" s="922">
        <f>IF(X4634=X4633,AF4633,0)+IF(ISNUMBER(I4634),IF(I4634&lt;1,I4634,I4634*VLOOKUP(J4634,Summary!$H$2:$I$9,2)),VLOOKUP(J4634,Summary!$J$2:$K$9,2)*IF(ISNUMBER(H4634),H4634,1))</f>
        <v>1.3488888888888884</v>
      </c>
      <c r="AG4634" s="290">
        <v>4633</v>
      </c>
      <c r="AH4634" s="94"/>
      <c r="AI4634" s="94"/>
    </row>
    <row r="4635" spans="1:35" s="29" customFormat="1" ht="12" customHeight="1" x14ac:dyDescent="0.25">
      <c r="A4635" s="614" t="s">
        <v>15671</v>
      </c>
      <c r="B4635" s="614">
        <v>11</v>
      </c>
      <c r="C4635" s="614">
        <v>153</v>
      </c>
      <c r="D4635" s="185" t="s">
        <v>1320</v>
      </c>
      <c r="E4635" s="314" t="s">
        <v>4222</v>
      </c>
      <c r="F4635" s="184">
        <v>40507</v>
      </c>
      <c r="G4635" s="184">
        <v>40513</v>
      </c>
      <c r="H4635" s="185">
        <v>1</v>
      </c>
      <c r="I4635" s="185">
        <v>4</v>
      </c>
      <c r="J4635" s="901" t="s">
        <v>1796</v>
      </c>
      <c r="K4635" s="163" t="s">
        <v>6353</v>
      </c>
      <c r="L4635" s="163" t="s">
        <v>3832</v>
      </c>
      <c r="M4635" s="163" t="s">
        <v>254</v>
      </c>
      <c r="N4635" s="163" t="s">
        <v>5317</v>
      </c>
      <c r="O4635" s="163"/>
      <c r="P4635" s="182" t="s">
        <v>461</v>
      </c>
      <c r="Q4635" s="163" t="s">
        <v>4929</v>
      </c>
      <c r="R4635" s="186" t="s">
        <v>4796</v>
      </c>
      <c r="S4635" s="355" t="s">
        <v>2614</v>
      </c>
      <c r="T4635" s="182"/>
      <c r="U4635" s="182"/>
      <c r="V4635" s="182"/>
      <c r="W4635" s="314" t="s">
        <v>4222</v>
      </c>
      <c r="X4635" s="646" t="s">
        <v>15474</v>
      </c>
      <c r="Y4635" s="355"/>
      <c r="Z4635" s="185"/>
      <c r="AA4635" s="185"/>
      <c r="AB4635" s="33">
        <f t="shared" ca="1" si="116"/>
        <v>0.43385597612191307</v>
      </c>
      <c r="AC4635" s="813"/>
      <c r="AD4635" s="211"/>
      <c r="AE4635" s="941"/>
      <c r="AF4635" s="922">
        <f>IF(X4635=X4634,AF4634,0)+IF(ISNUMBER(I4635),IF(I4635&lt;1,I4635,I4635*VLOOKUP(J4635,Summary!$H$2:$I$9,2)),VLOOKUP(J4635,Summary!$J$2:$K$9,2)*IF(ISNUMBER(H4635),H4635,1))</f>
        <v>1.3502777777777772</v>
      </c>
      <c r="AG4635" s="290">
        <v>4634</v>
      </c>
      <c r="AH4635" s="94"/>
      <c r="AI4635" s="94"/>
    </row>
    <row r="4636" spans="1:35" s="29" customFormat="1" ht="12" customHeight="1" x14ac:dyDescent="0.25">
      <c r="A4636" s="614" t="s">
        <v>15671</v>
      </c>
      <c r="B4636" s="614">
        <v>11</v>
      </c>
      <c r="C4636" s="614">
        <v>154</v>
      </c>
      <c r="D4636" s="185" t="s">
        <v>1321</v>
      </c>
      <c r="E4636" s="314" t="s">
        <v>4223</v>
      </c>
      <c r="F4636" s="184">
        <v>40514</v>
      </c>
      <c r="G4636" s="184">
        <v>40520</v>
      </c>
      <c r="H4636" s="185">
        <v>1</v>
      </c>
      <c r="I4636" s="185">
        <v>4</v>
      </c>
      <c r="J4636" s="901" t="s">
        <v>1796</v>
      </c>
      <c r="K4636" s="163" t="s">
        <v>4147</v>
      </c>
      <c r="L4636" s="163" t="s">
        <v>3832</v>
      </c>
      <c r="M4636" s="163" t="s">
        <v>254</v>
      </c>
      <c r="N4636" s="163" t="s">
        <v>5317</v>
      </c>
      <c r="O4636" s="163"/>
      <c r="P4636" s="182" t="s">
        <v>461</v>
      </c>
      <c r="Q4636" s="163" t="s">
        <v>4929</v>
      </c>
      <c r="R4636" s="186" t="s">
        <v>4796</v>
      </c>
      <c r="S4636" s="355" t="s">
        <v>2614</v>
      </c>
      <c r="T4636" s="182"/>
      <c r="U4636" s="182"/>
      <c r="V4636" s="182"/>
      <c r="W4636" s="314" t="s">
        <v>4223</v>
      </c>
      <c r="X4636" s="646" t="s">
        <v>15474</v>
      </c>
      <c r="Y4636" s="355"/>
      <c r="Z4636" s="185"/>
      <c r="AA4636" s="185"/>
      <c r="AB4636" s="33">
        <f t="shared" ca="1" si="116"/>
        <v>0.31519662233016177</v>
      </c>
      <c r="AC4636" s="813"/>
      <c r="AD4636" s="211"/>
      <c r="AE4636" s="941"/>
      <c r="AF4636" s="922">
        <f>IF(X4636=X4635,AF4635,0)+IF(ISNUMBER(I4636),IF(I4636&lt;1,I4636,I4636*VLOOKUP(J4636,Summary!$H$2:$I$9,2)),VLOOKUP(J4636,Summary!$J$2:$K$9,2)*IF(ISNUMBER(H4636),H4636,1))</f>
        <v>1.3516666666666661</v>
      </c>
      <c r="AG4636" s="290">
        <v>4635</v>
      </c>
      <c r="AH4636" s="94"/>
      <c r="AI4636" s="94"/>
    </row>
    <row r="4637" spans="1:35" s="29" customFormat="1" ht="12" customHeight="1" x14ac:dyDescent="0.25">
      <c r="A4637" s="614" t="s">
        <v>15671</v>
      </c>
      <c r="B4637" s="614">
        <v>11</v>
      </c>
      <c r="C4637" s="614">
        <v>155</v>
      </c>
      <c r="D4637" s="185" t="s">
        <v>1322</v>
      </c>
      <c r="E4637" s="314" t="s">
        <v>1229</v>
      </c>
      <c r="F4637" s="184">
        <v>40521</v>
      </c>
      <c r="G4637" s="184">
        <v>40527</v>
      </c>
      <c r="H4637" s="185">
        <v>1</v>
      </c>
      <c r="I4637" s="185">
        <v>4</v>
      </c>
      <c r="J4637" s="901" t="s">
        <v>1796</v>
      </c>
      <c r="K4637" s="163" t="s">
        <v>4032</v>
      </c>
      <c r="L4637" s="163" t="s">
        <v>3832</v>
      </c>
      <c r="M4637" s="163" t="s">
        <v>254</v>
      </c>
      <c r="N4637" s="163" t="s">
        <v>5317</v>
      </c>
      <c r="O4637" s="163"/>
      <c r="P4637" s="182" t="s">
        <v>461</v>
      </c>
      <c r="Q4637" s="163" t="s">
        <v>4929</v>
      </c>
      <c r="R4637" s="186" t="s">
        <v>4796</v>
      </c>
      <c r="S4637" s="355" t="s">
        <v>2614</v>
      </c>
      <c r="T4637" s="182"/>
      <c r="U4637" s="182"/>
      <c r="V4637" s="182"/>
      <c r="W4637" s="314" t="s">
        <v>1229</v>
      </c>
      <c r="X4637" s="646" t="s">
        <v>15474</v>
      </c>
      <c r="Y4637" s="355"/>
      <c r="Z4637" s="185"/>
      <c r="AA4637" s="185"/>
      <c r="AB4637" s="33">
        <f t="shared" ca="1" si="116"/>
        <v>0.3616026262386618</v>
      </c>
      <c r="AC4637" s="813"/>
      <c r="AD4637" s="211"/>
      <c r="AE4637" s="941"/>
      <c r="AF4637" s="922">
        <f>IF(X4637=X4636,AF4636,0)+IF(ISNUMBER(I4637),IF(I4637&lt;1,I4637,I4637*VLOOKUP(J4637,Summary!$H$2:$I$9,2)),VLOOKUP(J4637,Summary!$J$2:$K$9,2)*IF(ISNUMBER(H4637),H4637,1))</f>
        <v>1.353055555555555</v>
      </c>
      <c r="AG4637" s="290">
        <v>4636</v>
      </c>
      <c r="AH4637" s="94"/>
      <c r="AI4637" s="94"/>
    </row>
    <row r="4638" spans="1:35" s="1" customFormat="1" ht="12" customHeight="1" x14ac:dyDescent="0.25">
      <c r="A4638" s="614" t="s">
        <v>15671</v>
      </c>
      <c r="B4638" s="614">
        <v>11</v>
      </c>
      <c r="C4638" s="614">
        <v>156</v>
      </c>
      <c r="D4638" s="185" t="s">
        <v>1323</v>
      </c>
      <c r="E4638" s="314" t="s">
        <v>1230</v>
      </c>
      <c r="F4638" s="184">
        <v>40528</v>
      </c>
      <c r="G4638" s="184">
        <v>40541</v>
      </c>
      <c r="H4638" s="185">
        <v>1</v>
      </c>
      <c r="I4638" s="185">
        <v>4</v>
      </c>
      <c r="J4638" s="901" t="s">
        <v>1796</v>
      </c>
      <c r="K4638" s="163" t="s">
        <v>1641</v>
      </c>
      <c r="L4638" s="163" t="s">
        <v>3832</v>
      </c>
      <c r="M4638" s="163" t="s">
        <v>254</v>
      </c>
      <c r="N4638" s="163" t="s">
        <v>5317</v>
      </c>
      <c r="O4638" s="163"/>
      <c r="P4638" s="182" t="s">
        <v>461</v>
      </c>
      <c r="Q4638" s="163" t="s">
        <v>4929</v>
      </c>
      <c r="R4638" s="186" t="s">
        <v>4796</v>
      </c>
      <c r="S4638" s="355" t="s">
        <v>2614</v>
      </c>
      <c r="T4638" s="182"/>
      <c r="U4638" s="182"/>
      <c r="V4638" s="182"/>
      <c r="W4638" s="314" t="s">
        <v>1230</v>
      </c>
      <c r="X4638" s="646" t="s">
        <v>15474</v>
      </c>
      <c r="Y4638" s="355"/>
      <c r="Z4638" s="185"/>
      <c r="AA4638" s="185"/>
      <c r="AB4638" s="33">
        <f t="shared" ca="1" si="116"/>
        <v>0.66644043259454966</v>
      </c>
      <c r="AC4638" s="813"/>
      <c r="AD4638" s="211"/>
      <c r="AE4638" s="941"/>
      <c r="AF4638" s="922">
        <f>IF(X4638=X4637,AF4637,0)+IF(ISNUMBER(I4638),IF(I4638&lt;1,I4638,I4638*VLOOKUP(J4638,Summary!$H$2:$I$9,2)),VLOOKUP(J4638,Summary!$J$2:$K$9,2)*IF(ISNUMBER(H4638),H4638,1))</f>
        <v>1.3544444444444439</v>
      </c>
      <c r="AG4638" s="290">
        <v>4637</v>
      </c>
      <c r="AH4638" s="94"/>
      <c r="AI4638" s="94"/>
    </row>
    <row r="4639" spans="1:35" s="22" customFormat="1" ht="12" customHeight="1" x14ac:dyDescent="0.25">
      <c r="A4639" s="612" t="s">
        <v>15671</v>
      </c>
      <c r="B4639" s="612">
        <v>11</v>
      </c>
      <c r="C4639" s="612">
        <v>212</v>
      </c>
      <c r="D4639" s="424" t="s">
        <v>5638</v>
      </c>
      <c r="E4639" s="319" t="s">
        <v>5653</v>
      </c>
      <c r="F4639" s="198">
        <v>40348</v>
      </c>
      <c r="G4639" s="198">
        <v>40355</v>
      </c>
      <c r="H4639" s="199">
        <v>2</v>
      </c>
      <c r="I4639" s="791">
        <f>TIME(0,48,50)+TIME(0,53,41)</f>
        <v>7.1192129629629633E-2</v>
      </c>
      <c r="J4639" s="904" t="s">
        <v>1588</v>
      </c>
      <c r="K4639" s="200" t="s">
        <v>3810</v>
      </c>
      <c r="L4639" s="200" t="s">
        <v>5641</v>
      </c>
      <c r="M4639" s="200"/>
      <c r="N4639" s="200" t="s">
        <v>3810</v>
      </c>
      <c r="O4639" s="200" t="s">
        <v>5004</v>
      </c>
      <c r="P4639" s="197" t="s">
        <v>461</v>
      </c>
      <c r="Q4639" s="200" t="s">
        <v>3946</v>
      </c>
      <c r="R4639" s="201" t="s">
        <v>5280</v>
      </c>
      <c r="S4639" s="390" t="s">
        <v>2614</v>
      </c>
      <c r="T4639" s="197" t="s">
        <v>1738</v>
      </c>
      <c r="U4639" s="197" t="s">
        <v>7344</v>
      </c>
      <c r="V4639" s="197"/>
      <c r="W4639" s="318" t="s">
        <v>8482</v>
      </c>
      <c r="X4639" s="650" t="s">
        <v>15474</v>
      </c>
      <c r="Y4639" s="358" t="s">
        <v>7018</v>
      </c>
      <c r="Z4639" s="253">
        <v>44</v>
      </c>
      <c r="AA4639" s="253">
        <v>8.5</v>
      </c>
      <c r="AB4639" s="35">
        <f t="shared" ca="1" si="116"/>
        <v>0.76724070999692173</v>
      </c>
      <c r="AC4639" s="820"/>
      <c r="AD4639" s="824" t="s">
        <v>16725</v>
      </c>
      <c r="AE4639" s="944"/>
      <c r="AF4639" s="925">
        <f>IF(X4639=X4638,AF4638,0)+IF(ISNUMBER(I4639),IF(I4639&lt;1,I4639,I4639*VLOOKUP(J4639,Summary!$H$2:$I$9,2)),VLOOKUP(J4639,Summary!$J$2:$K$9,2)*IF(ISNUMBER(H4639),H4639,1))</f>
        <v>1.4256365740740735</v>
      </c>
      <c r="AG4639" s="293">
        <v>4638</v>
      </c>
      <c r="AH4639" s="94"/>
      <c r="AI4639" s="94"/>
    </row>
    <row r="4640" spans="1:35" s="1" customFormat="1" ht="12" customHeight="1" x14ac:dyDescent="0.25">
      <c r="A4640" s="481" t="s">
        <v>6411</v>
      </c>
      <c r="B4640" s="481" t="s">
        <v>3221</v>
      </c>
      <c r="C4640" s="481"/>
      <c r="D4640" s="428" t="s">
        <v>6405</v>
      </c>
      <c r="E4640" s="325" t="s">
        <v>6406</v>
      </c>
      <c r="F4640" s="208">
        <v>39814</v>
      </c>
      <c r="G4640" s="184"/>
      <c r="H4640" s="185"/>
      <c r="I4640" s="185"/>
      <c r="J4640" s="901" t="s">
        <v>1796</v>
      </c>
      <c r="K4640" s="158" t="s">
        <v>3365</v>
      </c>
      <c r="L4640" s="158" t="s">
        <v>3365</v>
      </c>
      <c r="M4640" s="158" t="s">
        <v>6396</v>
      </c>
      <c r="N4640" s="158"/>
      <c r="O4640" s="158"/>
      <c r="P4640" s="182" t="s">
        <v>461</v>
      </c>
      <c r="Q4640" s="158" t="s">
        <v>3946</v>
      </c>
      <c r="R4640" s="207" t="s">
        <v>6531</v>
      </c>
      <c r="S4640" s="355" t="s">
        <v>53</v>
      </c>
      <c r="T4640" s="182" t="s">
        <v>3074</v>
      </c>
      <c r="U4640" s="182" t="s">
        <v>3075</v>
      </c>
      <c r="V4640" s="182" t="s">
        <v>3072</v>
      </c>
      <c r="W4640" s="321"/>
      <c r="X4640" s="653" t="s">
        <v>12358</v>
      </c>
      <c r="Y4640" s="361"/>
      <c r="Z4640" s="362"/>
      <c r="AA4640" s="362"/>
      <c r="AB4640" s="33">
        <f t="shared" ca="1" si="116"/>
        <v>0.71787820668393032</v>
      </c>
      <c r="AC4640" s="813"/>
      <c r="AD4640" s="211" t="s">
        <v>15875</v>
      </c>
      <c r="AE4640" s="949"/>
      <c r="AF4640" s="922">
        <f>IF(X4640=X4639,AF4639,0)+IF(ISNUMBER(I4640),IF(I4640&lt;1,I4640,I4640*VLOOKUP(J4640,Summary!$H$2:$I$9,2)),VLOOKUP(J4640,Summary!$J$2:$K$9,2)*IF(ISNUMBER(H4640),H4640,1))</f>
        <v>3.472222222222222E-3</v>
      </c>
      <c r="AG4640" s="295">
        <v>4639</v>
      </c>
      <c r="AH4640" s="94"/>
      <c r="AI4640" s="94"/>
    </row>
    <row r="4641" spans="1:35" s="29" customFormat="1" ht="12" customHeight="1" x14ac:dyDescent="0.25">
      <c r="A4641" s="553" t="s">
        <v>6411</v>
      </c>
      <c r="B4641" s="554" t="s">
        <v>3221</v>
      </c>
      <c r="C4641" s="553">
        <v>19</v>
      </c>
      <c r="D4641" s="424" t="s">
        <v>6412</v>
      </c>
      <c r="E4641" s="319" t="s">
        <v>6418</v>
      </c>
      <c r="F4641" s="198">
        <v>40097</v>
      </c>
      <c r="G4641" s="198">
        <v>40098</v>
      </c>
      <c r="H4641" s="199">
        <v>2</v>
      </c>
      <c r="I4641" s="791">
        <f>TIME(0,27, 8)+TIME(0,27,50)</f>
        <v>3.8171296296296293E-2</v>
      </c>
      <c r="J4641" s="904" t="s">
        <v>1588</v>
      </c>
      <c r="K4641" s="200" t="s">
        <v>4425</v>
      </c>
      <c r="L4641" s="200" t="s">
        <v>2770</v>
      </c>
      <c r="M4641" s="200"/>
      <c r="N4641" s="200"/>
      <c r="O4641" s="200" t="s">
        <v>3365</v>
      </c>
      <c r="P4641" s="197" t="s">
        <v>461</v>
      </c>
      <c r="Q4641" s="200" t="s">
        <v>3946</v>
      </c>
      <c r="R4641" s="201" t="s">
        <v>5273</v>
      </c>
      <c r="S4641" s="390" t="s">
        <v>53</v>
      </c>
      <c r="T4641" s="197" t="s">
        <v>3074</v>
      </c>
      <c r="U4641" s="197" t="s">
        <v>3075</v>
      </c>
      <c r="V4641" s="197" t="s">
        <v>3072</v>
      </c>
      <c r="W4641" s="318"/>
      <c r="X4641" s="650" t="s">
        <v>12358</v>
      </c>
      <c r="Y4641" s="358" t="s">
        <v>7018</v>
      </c>
      <c r="Z4641" s="253">
        <v>1011</v>
      </c>
      <c r="AA4641" s="253">
        <v>6</v>
      </c>
      <c r="AB4641" s="35">
        <f t="shared" ca="1" si="116"/>
        <v>0.24723331478316923</v>
      </c>
      <c r="AC4641" s="820"/>
      <c r="AD4641" s="821" t="s">
        <v>15880</v>
      </c>
      <c r="AE4641" s="944"/>
      <c r="AF4641" s="925">
        <f>IF(X4641=X4640,AF4640,0)+IF(ISNUMBER(I4641),IF(I4641&lt;1,I4641,I4641*VLOOKUP(J4641,Summary!$H$2:$I$9,2)),VLOOKUP(J4641,Summary!$J$2:$K$9,2)*IF(ISNUMBER(H4641),H4641,1))</f>
        <v>4.1643518518518517E-2</v>
      </c>
      <c r="AG4641" s="293">
        <v>4640</v>
      </c>
      <c r="AH4641" s="94"/>
      <c r="AI4641" s="94"/>
    </row>
    <row r="4642" spans="1:35" s="22" customFormat="1" ht="12" customHeight="1" x14ac:dyDescent="0.25">
      <c r="A4642" s="553" t="s">
        <v>6411</v>
      </c>
      <c r="B4642" s="554" t="s">
        <v>3221</v>
      </c>
      <c r="C4642" s="553">
        <v>20</v>
      </c>
      <c r="D4642" s="424" t="s">
        <v>6413</v>
      </c>
      <c r="E4642" s="319" t="s">
        <v>6419</v>
      </c>
      <c r="F4642" s="198">
        <v>40104</v>
      </c>
      <c r="G4642" s="198">
        <v>40105</v>
      </c>
      <c r="H4642" s="199">
        <v>2</v>
      </c>
      <c r="I4642" s="791">
        <f>TIME(0,26,25)+TIME(0,26,16)</f>
        <v>3.6585648148148152E-2</v>
      </c>
      <c r="J4642" s="904" t="s">
        <v>1588</v>
      </c>
      <c r="K4642" s="200" t="s">
        <v>4152</v>
      </c>
      <c r="L4642" s="200" t="s">
        <v>2770</v>
      </c>
      <c r="M4642" s="200"/>
      <c r="N4642" s="200"/>
      <c r="O4642" s="200" t="s">
        <v>3365</v>
      </c>
      <c r="P4642" s="197" t="s">
        <v>461</v>
      </c>
      <c r="Q4642" s="200" t="s">
        <v>3946</v>
      </c>
      <c r="R4642" s="201" t="s">
        <v>5273</v>
      </c>
      <c r="S4642" s="390" t="s">
        <v>53</v>
      </c>
      <c r="T4642" s="197" t="s">
        <v>3074</v>
      </c>
      <c r="U4642" s="197" t="s">
        <v>3075</v>
      </c>
      <c r="V4642" s="197" t="s">
        <v>3072</v>
      </c>
      <c r="W4642" s="318"/>
      <c r="X4642" s="650" t="s">
        <v>12358</v>
      </c>
      <c r="Y4642" s="358" t="s">
        <v>7018</v>
      </c>
      <c r="Z4642" s="253">
        <v>1024</v>
      </c>
      <c r="AA4642" s="253">
        <v>4</v>
      </c>
      <c r="AB4642" s="35">
        <f t="shared" ca="1" si="116"/>
        <v>0.94330520532178597</v>
      </c>
      <c r="AC4642" s="820"/>
      <c r="AD4642" s="821" t="s">
        <v>15875</v>
      </c>
      <c r="AE4642" s="944"/>
      <c r="AF4642" s="925">
        <f>IF(X4642=X4641,AF4641,0)+IF(ISNUMBER(I4642),IF(I4642&lt;1,I4642,I4642*VLOOKUP(J4642,Summary!$H$2:$I$9,2)),VLOOKUP(J4642,Summary!$J$2:$K$9,2)*IF(ISNUMBER(H4642),H4642,1))</f>
        <v>7.8229166666666669E-2</v>
      </c>
      <c r="AG4642" s="293">
        <v>4641</v>
      </c>
      <c r="AH4642" s="94"/>
      <c r="AI4642" s="94"/>
    </row>
    <row r="4643" spans="1:35" s="29" customFormat="1" ht="12" customHeight="1" x14ac:dyDescent="0.25">
      <c r="A4643" s="553" t="s">
        <v>6411</v>
      </c>
      <c r="B4643" s="554" t="s">
        <v>3221</v>
      </c>
      <c r="C4643" s="553">
        <v>21</v>
      </c>
      <c r="D4643" s="424" t="s">
        <v>6414</v>
      </c>
      <c r="E4643" s="319" t="s">
        <v>6420</v>
      </c>
      <c r="F4643" s="198">
        <v>40111</v>
      </c>
      <c r="G4643" s="198">
        <v>40112</v>
      </c>
      <c r="H4643" s="199">
        <v>2</v>
      </c>
      <c r="I4643" s="791">
        <f>TIME(0,26,21)+TIME(0,26,10)</f>
        <v>3.6469907407407409E-2</v>
      </c>
      <c r="J4643" s="904" t="s">
        <v>1588</v>
      </c>
      <c r="K4643" s="200" t="s">
        <v>4443</v>
      </c>
      <c r="L4643" s="200" t="s">
        <v>3452</v>
      </c>
      <c r="M4643" s="200"/>
      <c r="N4643" s="200" t="s">
        <v>7375</v>
      </c>
      <c r="O4643" s="200" t="s">
        <v>1644</v>
      </c>
      <c r="P4643" s="197" t="s">
        <v>461</v>
      </c>
      <c r="Q4643" s="200" t="s">
        <v>3946</v>
      </c>
      <c r="R4643" s="201" t="s">
        <v>5273</v>
      </c>
      <c r="S4643" s="390" t="s">
        <v>53</v>
      </c>
      <c r="T4643" s="197"/>
      <c r="U4643" s="197" t="s">
        <v>3075</v>
      </c>
      <c r="V4643" s="197" t="s">
        <v>3072</v>
      </c>
      <c r="W4643" s="318"/>
      <c r="X4643" s="650" t="s">
        <v>12358</v>
      </c>
      <c r="Y4643" s="358" t="s">
        <v>7018</v>
      </c>
      <c r="Z4643" s="253">
        <v>1003</v>
      </c>
      <c r="AA4643" s="253">
        <v>9</v>
      </c>
      <c r="AB4643" s="35">
        <f t="shared" ca="1" si="116"/>
        <v>0.38619135846441688</v>
      </c>
      <c r="AC4643" s="820"/>
      <c r="AD4643" s="821" t="s">
        <v>15875</v>
      </c>
      <c r="AE4643" s="944"/>
      <c r="AF4643" s="925">
        <f>IF(X4643=X4642,AF4642,0)+IF(ISNUMBER(I4643),IF(I4643&lt;1,I4643,I4643*VLOOKUP(J4643,Summary!$H$2:$I$9,2)),VLOOKUP(J4643,Summary!$J$2:$K$9,2)*IF(ISNUMBER(H4643),H4643,1))</f>
        <v>0.11469907407407408</v>
      </c>
      <c r="AG4643" s="293">
        <v>4642</v>
      </c>
      <c r="AH4643" s="94"/>
      <c r="AI4643" s="94"/>
    </row>
    <row r="4644" spans="1:35" s="22" customFormat="1" ht="12" customHeight="1" x14ac:dyDescent="0.25">
      <c r="A4644" s="553" t="s">
        <v>6411</v>
      </c>
      <c r="B4644" s="554" t="s">
        <v>3221</v>
      </c>
      <c r="C4644" s="553">
        <v>22</v>
      </c>
      <c r="D4644" s="424" t="s">
        <v>6415</v>
      </c>
      <c r="E4644" s="319" t="s">
        <v>6421</v>
      </c>
      <c r="F4644" s="198">
        <v>40118</v>
      </c>
      <c r="G4644" s="198">
        <v>40119</v>
      </c>
      <c r="H4644" s="199">
        <v>2</v>
      </c>
      <c r="I4644" s="791">
        <f>TIME(0,25,11)+TIME(0,25,34)</f>
        <v>3.5243055555555555E-2</v>
      </c>
      <c r="J4644" s="904" t="s">
        <v>1588</v>
      </c>
      <c r="K4644" s="200" t="s">
        <v>3451</v>
      </c>
      <c r="L4644" s="200" t="s">
        <v>3452</v>
      </c>
      <c r="M4644" s="200"/>
      <c r="N4644" s="200" t="s">
        <v>7375</v>
      </c>
      <c r="O4644" s="200" t="s">
        <v>1644</v>
      </c>
      <c r="P4644" s="197" t="s">
        <v>461</v>
      </c>
      <c r="Q4644" s="200" t="s">
        <v>3946</v>
      </c>
      <c r="R4644" s="201" t="s">
        <v>5273</v>
      </c>
      <c r="S4644" s="390" t="s">
        <v>53</v>
      </c>
      <c r="T4644" s="197"/>
      <c r="U4644" s="197" t="s">
        <v>3075</v>
      </c>
      <c r="V4644" s="197" t="s">
        <v>3072</v>
      </c>
      <c r="W4644" s="318"/>
      <c r="X4644" s="650" t="s">
        <v>12358</v>
      </c>
      <c r="Y4644" s="358" t="s">
        <v>7018</v>
      </c>
      <c r="Z4644" s="253">
        <v>1007</v>
      </c>
      <c r="AA4644" s="253">
        <v>7.5</v>
      </c>
      <c r="AB4644" s="35">
        <f t="shared" ca="1" si="116"/>
        <v>0.22334422122089403</v>
      </c>
      <c r="AC4644" s="820"/>
      <c r="AD4644" s="821" t="s">
        <v>15875</v>
      </c>
      <c r="AE4644" s="944"/>
      <c r="AF4644" s="925">
        <f>IF(X4644=X4643,AF4643,0)+IF(ISNUMBER(I4644),IF(I4644&lt;1,I4644,I4644*VLOOKUP(J4644,Summary!$H$2:$I$9,2)),VLOOKUP(J4644,Summary!$J$2:$K$9,2)*IF(ISNUMBER(H4644),H4644,1))</f>
        <v>0.14994212962962963</v>
      </c>
      <c r="AG4644" s="293">
        <v>4643</v>
      </c>
      <c r="AH4644" s="94"/>
      <c r="AI4644" s="94"/>
    </row>
    <row r="4645" spans="1:35" s="29" customFormat="1" ht="12" customHeight="1" x14ac:dyDescent="0.25">
      <c r="A4645" s="481" t="s">
        <v>6411</v>
      </c>
      <c r="B4645" s="411" t="s">
        <v>3221</v>
      </c>
      <c r="C4645" s="481">
        <v>22</v>
      </c>
      <c r="D4645" s="428" t="s">
        <v>6405</v>
      </c>
      <c r="E4645" s="325" t="s">
        <v>6403</v>
      </c>
      <c r="F4645" s="208">
        <v>39814</v>
      </c>
      <c r="G4645" s="184"/>
      <c r="H4645" s="185"/>
      <c r="I4645" s="185"/>
      <c r="J4645" s="901" t="s">
        <v>1796</v>
      </c>
      <c r="K4645" s="158" t="s">
        <v>3365</v>
      </c>
      <c r="L4645" s="158" t="s">
        <v>3365</v>
      </c>
      <c r="M4645" s="158" t="s">
        <v>6396</v>
      </c>
      <c r="N4645" s="158"/>
      <c r="O4645" s="158"/>
      <c r="P4645" s="182" t="s">
        <v>461</v>
      </c>
      <c r="Q4645" s="158" t="s">
        <v>3946</v>
      </c>
      <c r="R4645" s="207" t="s">
        <v>6531</v>
      </c>
      <c r="S4645" s="355" t="s">
        <v>53</v>
      </c>
      <c r="T4645" s="182"/>
      <c r="U4645" s="182" t="s">
        <v>3075</v>
      </c>
      <c r="V4645" s="182" t="s">
        <v>3072</v>
      </c>
      <c r="W4645" s="321"/>
      <c r="X4645" s="653" t="s">
        <v>12358</v>
      </c>
      <c r="Y4645" s="361"/>
      <c r="Z4645" s="362"/>
      <c r="AA4645" s="362"/>
      <c r="AB4645" s="121">
        <f t="shared" ca="1" si="116"/>
        <v>0.93778270495609672</v>
      </c>
      <c r="AC4645" s="851"/>
      <c r="AD4645" s="819" t="s">
        <v>15875</v>
      </c>
      <c r="AE4645" s="974"/>
      <c r="AF4645" s="936">
        <f>IF(X4645=X4644,AF4644,0)+IF(ISNUMBER(I4645),IF(I4645&lt;1,I4645,I4645*VLOOKUP(J4645,Summary!$H$2:$I$9,2)),VLOOKUP(J4645,Summary!$J$2:$K$9,2)*IF(ISNUMBER(H4645),H4645,1))</f>
        <v>0.15341435185185184</v>
      </c>
      <c r="AG4645" s="308">
        <v>4644</v>
      </c>
      <c r="AH4645" s="94"/>
      <c r="AI4645" s="94"/>
    </row>
    <row r="4646" spans="1:35" s="29" customFormat="1" ht="12" customHeight="1" x14ac:dyDescent="0.25">
      <c r="A4646" s="405" t="s">
        <v>375</v>
      </c>
      <c r="B4646" s="406" t="s">
        <v>3221</v>
      </c>
      <c r="C4646" s="405">
        <v>7</v>
      </c>
      <c r="D4646" s="407" t="s">
        <v>6387</v>
      </c>
      <c r="E4646" s="315" t="s">
        <v>1032</v>
      </c>
      <c r="F4646" s="196">
        <v>40224</v>
      </c>
      <c r="G4646" s="196"/>
      <c r="H4646" s="170" t="str">
        <f>IF(J4646="Book","n/a","")</f>
        <v/>
      </c>
      <c r="I4646" s="746">
        <f>TIME(1,15,58)</f>
        <v>5.275462962962963E-2</v>
      </c>
      <c r="J4646" s="899" t="s">
        <v>4706</v>
      </c>
      <c r="K4646" s="167" t="s">
        <v>1033</v>
      </c>
      <c r="L4646" s="167" t="s">
        <v>3365</v>
      </c>
      <c r="M4646" s="167" t="s">
        <v>6401</v>
      </c>
      <c r="N4646" s="167"/>
      <c r="O4646" s="167" t="s">
        <v>3365</v>
      </c>
      <c r="P4646" s="168" t="s">
        <v>6384</v>
      </c>
      <c r="Q4646" s="167" t="s">
        <v>3951</v>
      </c>
      <c r="R4646" s="172" t="s">
        <v>2242</v>
      </c>
      <c r="S4646" s="388" t="s">
        <v>53</v>
      </c>
      <c r="T4646" s="168" t="s">
        <v>3074</v>
      </c>
      <c r="U4646" s="168" t="s">
        <v>3075</v>
      </c>
      <c r="V4646" s="168" t="s">
        <v>3072</v>
      </c>
      <c r="W4646" s="312"/>
      <c r="X4646" s="644" t="s">
        <v>12358</v>
      </c>
      <c r="Y4646" s="352" t="s">
        <v>5643</v>
      </c>
      <c r="Z4646" s="353"/>
      <c r="AA4646" s="353"/>
      <c r="AB4646" s="31">
        <f t="shared" ca="1" si="116"/>
        <v>0.92510550254560819</v>
      </c>
      <c r="AC4646" s="810"/>
      <c r="AD4646" s="811" t="s">
        <v>15884</v>
      </c>
      <c r="AE4646" s="940"/>
      <c r="AF4646" s="920">
        <f>IF(X4646=X4645,AF4645,0)+IF(ISNUMBER(I4646),IF(I4646&lt;1,I4646,I4646*VLOOKUP(J4646,Summary!$H$2:$I$9,2)),VLOOKUP(J4646,Summary!$J$2:$K$9,2)*IF(ISNUMBER(H4646),H4646,1))</f>
        <v>0.20616898148148147</v>
      </c>
      <c r="AG4646" s="287">
        <v>4645</v>
      </c>
      <c r="AH4646" s="94"/>
      <c r="AI4646" s="94"/>
    </row>
    <row r="4647" spans="1:35" s="29" customFormat="1" ht="12" customHeight="1" x14ac:dyDescent="0.25">
      <c r="A4647" s="553" t="s">
        <v>6411</v>
      </c>
      <c r="B4647" s="554" t="s">
        <v>3221</v>
      </c>
      <c r="C4647" s="553">
        <v>23</v>
      </c>
      <c r="D4647" s="424" t="s">
        <v>6416</v>
      </c>
      <c r="E4647" s="319" t="s">
        <v>6422</v>
      </c>
      <c r="F4647" s="198">
        <v>40125</v>
      </c>
      <c r="G4647" s="198">
        <v>40126</v>
      </c>
      <c r="H4647" s="199">
        <v>2</v>
      </c>
      <c r="I4647" s="791">
        <f>TIME(0,25,44)+TIME(0,26, 7)</f>
        <v>3.6006944444444446E-2</v>
      </c>
      <c r="J4647" s="904" t="s">
        <v>1588</v>
      </c>
      <c r="K4647" s="200" t="s">
        <v>6410</v>
      </c>
      <c r="L4647" s="200" t="s">
        <v>2770</v>
      </c>
      <c r="M4647" s="200"/>
      <c r="N4647" s="200"/>
      <c r="O4647" s="200" t="s">
        <v>3365</v>
      </c>
      <c r="P4647" s="197" t="s">
        <v>461</v>
      </c>
      <c r="Q4647" s="200" t="s">
        <v>3946</v>
      </c>
      <c r="R4647" s="201" t="s">
        <v>5273</v>
      </c>
      <c r="S4647" s="390" t="s">
        <v>53</v>
      </c>
      <c r="T4647" s="197"/>
      <c r="U4647" s="197" t="s">
        <v>3075</v>
      </c>
      <c r="V4647" s="197" t="s">
        <v>3072</v>
      </c>
      <c r="W4647" s="318"/>
      <c r="X4647" s="650" t="s">
        <v>12358</v>
      </c>
      <c r="Y4647" s="358" t="s">
        <v>7018</v>
      </c>
      <c r="Z4647" s="253">
        <v>1006</v>
      </c>
      <c r="AA4647" s="253">
        <v>8</v>
      </c>
      <c r="AB4647" s="35">
        <f t="shared" ca="1" si="116"/>
        <v>0.69816937000262569</v>
      </c>
      <c r="AC4647" s="820"/>
      <c r="AD4647" s="821" t="s">
        <v>16729</v>
      </c>
      <c r="AE4647" s="944"/>
      <c r="AF4647" s="925">
        <f>IF(X4647=X4646,AF4646,0)+IF(ISNUMBER(I4647),IF(I4647&lt;1,I4647,I4647*VLOOKUP(J4647,Summary!$H$2:$I$9,2)),VLOOKUP(J4647,Summary!$J$2:$K$9,2)*IF(ISNUMBER(H4647),H4647,1))</f>
        <v>0.24217592592592591</v>
      </c>
      <c r="AG4647" s="293">
        <v>4646</v>
      </c>
      <c r="AH4647" s="94"/>
      <c r="AI4647" s="94"/>
    </row>
    <row r="4648" spans="1:35" s="29" customFormat="1" ht="12" customHeight="1" x14ac:dyDescent="0.25">
      <c r="A4648" s="553" t="s">
        <v>6411</v>
      </c>
      <c r="B4648" s="554" t="s">
        <v>3221</v>
      </c>
      <c r="C4648" s="553">
        <v>24</v>
      </c>
      <c r="D4648" s="424" t="s">
        <v>6417</v>
      </c>
      <c r="E4648" s="319" t="s">
        <v>6423</v>
      </c>
      <c r="F4648" s="198">
        <v>40132</v>
      </c>
      <c r="G4648" s="198">
        <v>40133</v>
      </c>
      <c r="H4648" s="199">
        <v>2</v>
      </c>
      <c r="I4648" s="791">
        <f>TIME(0,26,16)+TIME(0,26,17)</f>
        <v>3.6493055555555556E-2</v>
      </c>
      <c r="J4648" s="904" t="s">
        <v>1588</v>
      </c>
      <c r="K4648" s="200" t="s">
        <v>6340</v>
      </c>
      <c r="L4648" s="200" t="s">
        <v>2770</v>
      </c>
      <c r="M4648" s="200"/>
      <c r="N4648" s="200"/>
      <c r="O4648" s="200" t="s">
        <v>3365</v>
      </c>
      <c r="P4648" s="197" t="s">
        <v>461</v>
      </c>
      <c r="Q4648" s="200" t="s">
        <v>3946</v>
      </c>
      <c r="R4648" s="201" t="s">
        <v>5273</v>
      </c>
      <c r="S4648" s="390" t="s">
        <v>53</v>
      </c>
      <c r="T4648" s="197" t="s">
        <v>3074</v>
      </c>
      <c r="U4648" s="197" t="s">
        <v>3075</v>
      </c>
      <c r="V4648" s="197" t="s">
        <v>3072</v>
      </c>
      <c r="W4648" s="318"/>
      <c r="X4648" s="650" t="s">
        <v>12358</v>
      </c>
      <c r="Y4648" s="358" t="s">
        <v>7018</v>
      </c>
      <c r="Z4648" s="253">
        <v>1023</v>
      </c>
      <c r="AA4648" s="253">
        <v>4</v>
      </c>
      <c r="AB4648" s="35">
        <f t="shared" ca="1" si="116"/>
        <v>0.69808406013876279</v>
      </c>
      <c r="AC4648" s="820"/>
      <c r="AD4648" s="821" t="s">
        <v>15875</v>
      </c>
      <c r="AE4648" s="944"/>
      <c r="AF4648" s="925">
        <f>IF(X4648=X4647,AF4647,0)+IF(ISNUMBER(I4648),IF(I4648&lt;1,I4648,I4648*VLOOKUP(J4648,Summary!$H$2:$I$9,2)),VLOOKUP(J4648,Summary!$J$2:$K$9,2)*IF(ISNUMBER(H4648),H4648,1))</f>
        <v>0.27866898148148145</v>
      </c>
      <c r="AG4648" s="293">
        <v>4647</v>
      </c>
      <c r="AH4648" s="94"/>
      <c r="AI4648" s="94"/>
    </row>
    <row r="4649" spans="1:35" s="29" customFormat="1" ht="12" customHeight="1" x14ac:dyDescent="0.25">
      <c r="A4649" s="618" t="s">
        <v>15672</v>
      </c>
      <c r="B4649" s="618">
        <v>11</v>
      </c>
      <c r="C4649" s="618">
        <v>7</v>
      </c>
      <c r="D4649" s="176" t="s">
        <v>3112</v>
      </c>
      <c r="E4649" s="313" t="s">
        <v>7792</v>
      </c>
      <c r="F4649" s="175">
        <v>40532</v>
      </c>
      <c r="G4649" s="175">
        <v>40535</v>
      </c>
      <c r="H4649" s="176">
        <v>2</v>
      </c>
      <c r="I4649" s="176">
        <v>17</v>
      </c>
      <c r="J4649" s="900" t="s">
        <v>2755</v>
      </c>
      <c r="K4649" s="164" t="s">
        <v>3111</v>
      </c>
      <c r="L4649" s="164"/>
      <c r="M4649" s="164"/>
      <c r="N4649" s="164"/>
      <c r="O4649" s="164"/>
      <c r="P4649" s="173" t="s">
        <v>461</v>
      </c>
      <c r="Q4649" s="164" t="s">
        <v>3946</v>
      </c>
      <c r="R4649" s="177" t="s">
        <v>7896</v>
      </c>
      <c r="S4649" s="354"/>
      <c r="T4649" s="173"/>
      <c r="U4649" s="173"/>
      <c r="V4649" s="173"/>
      <c r="W4649" s="313"/>
      <c r="X4649" s="645" t="s">
        <v>12348</v>
      </c>
      <c r="Y4649" s="354" t="s">
        <v>6000</v>
      </c>
      <c r="Z4649" s="176"/>
      <c r="AA4649" s="176"/>
      <c r="AB4649" s="32">
        <f t="shared" ca="1" si="116"/>
        <v>0.61154855753572401</v>
      </c>
      <c r="AC4649" s="812"/>
      <c r="AD4649" s="763"/>
      <c r="AE4649" s="807"/>
      <c r="AF4649" s="921">
        <f>IF(X4649=X4648,AF4648,0)+IF(ISNUMBER(I4649),IF(I4649&lt;1,I4649,I4649*VLOOKUP(J4649,Summary!$H$2:$I$9,2)),VLOOKUP(J4649,Summary!$J$2:$K$9,2)*IF(ISNUMBER(H4649),H4649,1))</f>
        <v>1.1805555555555555E-2</v>
      </c>
      <c r="AG4649" s="289">
        <v>4648</v>
      </c>
      <c r="AH4649" s="94"/>
      <c r="AI4649" s="94"/>
    </row>
    <row r="4650" spans="1:35" s="43" customFormat="1" ht="12" customHeight="1" x14ac:dyDescent="0.25">
      <c r="A4650" s="613" t="s">
        <v>15672</v>
      </c>
      <c r="B4650" s="613">
        <v>11</v>
      </c>
      <c r="C4650" s="613">
        <v>2</v>
      </c>
      <c r="D4650" s="509" t="s">
        <v>5009</v>
      </c>
      <c r="E4650" s="335" t="s">
        <v>5010</v>
      </c>
      <c r="F4650" s="223">
        <v>40427</v>
      </c>
      <c r="G4650" s="223"/>
      <c r="H4650" s="242">
        <v>1</v>
      </c>
      <c r="I4650" s="792">
        <f>TIME(0,7,47)</f>
        <v>5.4050925925925924E-3</v>
      </c>
      <c r="J4650" s="909" t="s">
        <v>1588</v>
      </c>
      <c r="K4650" s="243" t="s">
        <v>3365</v>
      </c>
      <c r="L4650" s="243" t="s">
        <v>3365</v>
      </c>
      <c r="M4650" s="243"/>
      <c r="N4650" s="243"/>
      <c r="O4650" s="243" t="s">
        <v>3365</v>
      </c>
      <c r="P4650" s="241" t="s">
        <v>461</v>
      </c>
      <c r="Q4650" s="243" t="s">
        <v>3946</v>
      </c>
      <c r="R4650" s="244" t="s">
        <v>5271</v>
      </c>
      <c r="S4650" s="395"/>
      <c r="T4650" s="241"/>
      <c r="U4650" s="241"/>
      <c r="V4650" s="241"/>
      <c r="W4650" s="335" t="s">
        <v>5010</v>
      </c>
      <c r="X4650" s="667" t="s">
        <v>12348</v>
      </c>
      <c r="Y4650" s="375" t="s">
        <v>7018</v>
      </c>
      <c r="Z4650" s="376">
        <v>307</v>
      </c>
      <c r="AA4650" s="377">
        <v>1.5</v>
      </c>
      <c r="AB4650" s="55">
        <f t="shared" ca="1" si="116"/>
        <v>0.65204147504145593</v>
      </c>
      <c r="AC4650" s="834"/>
      <c r="AD4650" s="835"/>
      <c r="AE4650" s="957"/>
      <c r="AF4650" s="930">
        <f>IF(X4650=X4649,AF4649,0)+IF(ISNUMBER(I4650),IF(I4650&lt;1,I4650,I4650*VLOOKUP(J4650,Summary!$H$2:$I$9,2)),VLOOKUP(J4650,Summary!$J$2:$K$9,2)*IF(ISNUMBER(H4650),H4650,1))</f>
        <v>1.7210648148148149E-2</v>
      </c>
      <c r="AG4650" s="302">
        <v>4649</v>
      </c>
      <c r="AH4650" s="94"/>
      <c r="AI4650" s="94"/>
    </row>
    <row r="4651" spans="1:35" s="29" customFormat="1" ht="12" customHeight="1" x14ac:dyDescent="0.25">
      <c r="A4651" s="618" t="s">
        <v>15672</v>
      </c>
      <c r="B4651" s="618">
        <v>11</v>
      </c>
      <c r="C4651" s="618">
        <v>8</v>
      </c>
      <c r="D4651" s="176" t="s">
        <v>3112</v>
      </c>
      <c r="E4651" s="313" t="s">
        <v>7793</v>
      </c>
      <c r="F4651" s="175">
        <v>40480</v>
      </c>
      <c r="G4651" s="175">
        <v>40487</v>
      </c>
      <c r="H4651" s="176">
        <v>3</v>
      </c>
      <c r="I4651" s="176">
        <v>16</v>
      </c>
      <c r="J4651" s="900" t="s">
        <v>2755</v>
      </c>
      <c r="K4651" s="164"/>
      <c r="L4651" s="164"/>
      <c r="M4651" s="164"/>
      <c r="N4651" s="164"/>
      <c r="O4651" s="164"/>
      <c r="P4651" s="173" t="s">
        <v>461</v>
      </c>
      <c r="Q4651" s="164" t="s">
        <v>3946</v>
      </c>
      <c r="R4651" s="177" t="s">
        <v>7896</v>
      </c>
      <c r="S4651" s="354"/>
      <c r="T4651" s="173"/>
      <c r="U4651" s="173"/>
      <c r="V4651" s="173"/>
      <c r="W4651" s="313"/>
      <c r="X4651" s="645" t="s">
        <v>12348</v>
      </c>
      <c r="Y4651" s="354" t="s">
        <v>6000</v>
      </c>
      <c r="Z4651" s="176"/>
      <c r="AA4651" s="176"/>
      <c r="AB4651" s="32">
        <f t="shared" ca="1" si="116"/>
        <v>1.5734167558022705E-2</v>
      </c>
      <c r="AC4651" s="812"/>
      <c r="AD4651" s="763"/>
      <c r="AE4651" s="807"/>
      <c r="AF4651" s="921">
        <f>IF(X4651=X4650,AF4650,0)+IF(ISNUMBER(I4651),IF(I4651&lt;1,I4651,I4651*VLOOKUP(J4651,Summary!$H$2:$I$9,2)),VLOOKUP(J4651,Summary!$J$2:$K$9,2)*IF(ISNUMBER(H4651),H4651,1))</f>
        <v>2.8321759259259262E-2</v>
      </c>
      <c r="AG4651" s="289">
        <v>4650</v>
      </c>
      <c r="AH4651" s="94"/>
      <c r="AI4651" s="94"/>
    </row>
    <row r="4652" spans="1:35" s="29" customFormat="1" ht="12" customHeight="1" x14ac:dyDescent="0.25">
      <c r="A4652" s="616" t="s">
        <v>15672</v>
      </c>
      <c r="B4652" s="616">
        <v>11</v>
      </c>
      <c r="C4652" s="616"/>
      <c r="D4652" s="210"/>
      <c r="E4652" s="346" t="s">
        <v>7794</v>
      </c>
      <c r="F4652" s="219">
        <v>40459</v>
      </c>
      <c r="G4652" s="219">
        <v>40489</v>
      </c>
      <c r="H4652" s="210">
        <v>2</v>
      </c>
      <c r="I4652" s="210"/>
      <c r="J4652" s="908" t="s">
        <v>3117</v>
      </c>
      <c r="K4652" s="271" t="s">
        <v>3113</v>
      </c>
      <c r="L4652" s="271" t="s">
        <v>3114</v>
      </c>
      <c r="M4652" s="271"/>
      <c r="N4652" s="271"/>
      <c r="O4652" s="271"/>
      <c r="P4652" s="267" t="s">
        <v>461</v>
      </c>
      <c r="Q4652" s="271" t="s">
        <v>3115</v>
      </c>
      <c r="R4652" s="270" t="s">
        <v>3116</v>
      </c>
      <c r="S4652" s="386"/>
      <c r="T4652" s="267"/>
      <c r="U4652" s="267"/>
      <c r="V4652" s="267"/>
      <c r="W4652" s="346"/>
      <c r="X4652" s="681" t="s">
        <v>12348</v>
      </c>
      <c r="Y4652" s="386"/>
      <c r="Z4652" s="210"/>
      <c r="AA4652" s="210">
        <v>9</v>
      </c>
      <c r="AB4652" s="41">
        <f t="shared" ca="1" si="116"/>
        <v>6.718492769497697E-2</v>
      </c>
      <c r="AC4652" s="832"/>
      <c r="AD4652" s="833"/>
      <c r="AE4652" s="879"/>
      <c r="AF4652" s="929">
        <f>IF(X4652=X4651,AF4651,0)+IF(ISNUMBER(I4652),IF(I4652&lt;1,I4652,I4652*VLOOKUP(J4652,Summary!$H$2:$I$9,2)),VLOOKUP(J4652,Summary!$J$2:$K$9,2)*IF(ISNUMBER(H4652),H4652,1))</f>
        <v>0.1116550925925926</v>
      </c>
      <c r="AG4652" s="309">
        <v>4651</v>
      </c>
      <c r="AH4652" s="94"/>
      <c r="AI4652" s="94"/>
    </row>
    <row r="4653" spans="1:35" s="29" customFormat="1" ht="12" customHeight="1" x14ac:dyDescent="0.25">
      <c r="A4653" s="409" t="s">
        <v>15672</v>
      </c>
      <c r="B4653" s="410" t="s">
        <v>2650</v>
      </c>
      <c r="C4653" s="409">
        <v>1</v>
      </c>
      <c r="D4653" s="176" t="s">
        <v>15529</v>
      </c>
      <c r="E4653" s="313" t="s">
        <v>15528</v>
      </c>
      <c r="F4653" s="175">
        <v>43384</v>
      </c>
      <c r="G4653" s="174"/>
      <c r="H4653" s="176">
        <v>1</v>
      </c>
      <c r="I4653" s="176"/>
      <c r="J4653" s="900" t="s">
        <v>2755</v>
      </c>
      <c r="K4653" s="164" t="s">
        <v>15498</v>
      </c>
      <c r="L4653" s="164" t="s">
        <v>461</v>
      </c>
      <c r="M4653" s="164"/>
      <c r="N4653" s="164"/>
      <c r="O4653" s="164"/>
      <c r="P4653" s="173" t="s">
        <v>15499</v>
      </c>
      <c r="Q4653" s="164" t="s">
        <v>3953</v>
      </c>
      <c r="R4653" s="179" t="s">
        <v>15500</v>
      </c>
      <c r="S4653" s="354"/>
      <c r="T4653" s="173"/>
      <c r="U4653" s="173"/>
      <c r="V4653" s="173"/>
      <c r="W4653" s="313" t="s">
        <v>15528</v>
      </c>
      <c r="X4653" s="645" t="s">
        <v>12348</v>
      </c>
      <c r="Y4653" s="354"/>
      <c r="Z4653" s="176"/>
      <c r="AA4653" s="176"/>
      <c r="AB4653" s="32">
        <f t="shared" ca="1" si="116"/>
        <v>0.27359534572600364</v>
      </c>
      <c r="AC4653" s="812"/>
      <c r="AD4653" s="763"/>
      <c r="AE4653" s="807"/>
      <c r="AF4653" s="921">
        <f>IF(X4653=X4652,AF4652,0)+IF(ISNUMBER(I4653),IF(I4653&lt;1,I4653,I4653*VLOOKUP(J4653,Summary!$H$2:$I$9,2)),VLOOKUP(J4653,Summary!$J$2:$K$9,2)*IF(ISNUMBER(H4653),H4653,1))</f>
        <v>0.1290162037037037</v>
      </c>
      <c r="AG4653" s="288">
        <v>4652</v>
      </c>
      <c r="AH4653" s="94"/>
      <c r="AI4653" s="94"/>
    </row>
    <row r="4654" spans="1:35" s="29" customFormat="1" ht="12" customHeight="1" x14ac:dyDescent="0.25">
      <c r="A4654" s="612" t="s">
        <v>15672</v>
      </c>
      <c r="B4654" s="612">
        <v>11</v>
      </c>
      <c r="C4654" s="612">
        <v>213</v>
      </c>
      <c r="D4654" s="424" t="s">
        <v>7760</v>
      </c>
      <c r="E4654" s="319" t="s">
        <v>7761</v>
      </c>
      <c r="F4654" s="198">
        <v>40537</v>
      </c>
      <c r="G4654" s="198"/>
      <c r="H4654" s="199">
        <v>1</v>
      </c>
      <c r="I4654" s="791">
        <f>TIME(0,61,47)</f>
        <v>4.2905092592592592E-2</v>
      </c>
      <c r="J4654" s="904" t="s">
        <v>1588</v>
      </c>
      <c r="K4654" s="200" t="s">
        <v>3810</v>
      </c>
      <c r="L4654" s="200" t="s">
        <v>5641</v>
      </c>
      <c r="M4654" s="200"/>
      <c r="N4654" s="200" t="s">
        <v>3810</v>
      </c>
      <c r="O4654" s="200" t="s">
        <v>5004</v>
      </c>
      <c r="P4654" s="197" t="s">
        <v>461</v>
      </c>
      <c r="Q4654" s="200" t="s">
        <v>3946</v>
      </c>
      <c r="R4654" s="201" t="s">
        <v>5280</v>
      </c>
      <c r="S4654" s="390" t="s">
        <v>2614</v>
      </c>
      <c r="T4654" s="197" t="s">
        <v>1738</v>
      </c>
      <c r="U4654" s="197"/>
      <c r="V4654" s="197"/>
      <c r="W4654" s="319" t="s">
        <v>7761</v>
      </c>
      <c r="X4654" s="651" t="s">
        <v>12348</v>
      </c>
      <c r="Y4654" s="358" t="s">
        <v>7018</v>
      </c>
      <c r="Z4654" s="253">
        <v>72</v>
      </c>
      <c r="AA4654" s="253">
        <v>7.5</v>
      </c>
      <c r="AB4654" s="35">
        <f t="shared" ca="1" si="116"/>
        <v>0.1130053827539701</v>
      </c>
      <c r="AC4654" s="820"/>
      <c r="AD4654" s="821" t="s">
        <v>16762</v>
      </c>
      <c r="AE4654" s="967" t="s">
        <v>16126</v>
      </c>
      <c r="AF4654" s="925">
        <f>IF(X4654=X4653,AF4653,0)+IF(ISNUMBER(I4654),IF(I4654&lt;1,I4654,I4654*VLOOKUP(J4654,Summary!$H$2:$I$9,2)),VLOOKUP(J4654,Summary!$J$2:$K$9,2)*IF(ISNUMBER(H4654),H4654,1))</f>
        <v>0.17192129629629629</v>
      </c>
      <c r="AG4654" s="293">
        <v>4653</v>
      </c>
      <c r="AH4654" s="94"/>
      <c r="AI4654" s="94"/>
    </row>
    <row r="4655" spans="1:35" s="1" customFormat="1" ht="12" customHeight="1" x14ac:dyDescent="0.25">
      <c r="A4655" s="617" t="s">
        <v>15672</v>
      </c>
      <c r="B4655" s="617">
        <v>11</v>
      </c>
      <c r="C4655" s="617">
        <v>1.3</v>
      </c>
      <c r="D4655" s="407" t="s">
        <v>13225</v>
      </c>
      <c r="E4655" s="315" t="s">
        <v>13226</v>
      </c>
      <c r="F4655" s="196">
        <v>42383</v>
      </c>
      <c r="G4655" s="170"/>
      <c r="H4655" s="170">
        <v>1</v>
      </c>
      <c r="I4655" s="747">
        <f>TIME(0,60,0)</f>
        <v>4.1666666666666664E-2</v>
      </c>
      <c r="J4655" s="899" t="s">
        <v>4706</v>
      </c>
      <c r="K4655" s="167" t="s">
        <v>543</v>
      </c>
      <c r="L4655" s="167" t="s">
        <v>2313</v>
      </c>
      <c r="M4655" s="167"/>
      <c r="N4655" s="167"/>
      <c r="O4655" s="167"/>
      <c r="P4655" s="168" t="s">
        <v>13033</v>
      </c>
      <c r="Q4655" s="167" t="s">
        <v>3947</v>
      </c>
      <c r="R4655" s="172" t="s">
        <v>11446</v>
      </c>
      <c r="S4655" s="388"/>
      <c r="T4655" s="168"/>
      <c r="U4655" s="168"/>
      <c r="V4655" s="168"/>
      <c r="W4655" s="315" t="s">
        <v>13226</v>
      </c>
      <c r="X4655" s="644" t="s">
        <v>12348</v>
      </c>
      <c r="Y4655" s="352"/>
      <c r="Z4655" s="353"/>
      <c r="AA4655" s="353"/>
      <c r="AB4655" s="31">
        <f t="shared" ca="1" si="116"/>
        <v>0.85288295966326666</v>
      </c>
      <c r="AC4655" s="810"/>
      <c r="AD4655" s="811"/>
      <c r="AE4655" s="940"/>
      <c r="AF4655" s="920">
        <f>IF(X4655=X4654,AF4654,0)+IF(ISNUMBER(I4655),IF(I4655&lt;1,I4655,I4655*VLOOKUP(J4655,Summary!$H$2:$I$9,2)),VLOOKUP(J4655,Summary!$J$2:$K$9,2)*IF(ISNUMBER(H4655),H4655,1))</f>
        <v>0.21358796296296295</v>
      </c>
      <c r="AG4655" s="287">
        <v>4654</v>
      </c>
      <c r="AH4655" s="94"/>
      <c r="AI4655" s="94"/>
    </row>
    <row r="4656" spans="1:35" s="29" customFormat="1" ht="12" customHeight="1" x14ac:dyDescent="0.25">
      <c r="A4656" s="617" t="s">
        <v>15672</v>
      </c>
      <c r="B4656" s="617">
        <v>11</v>
      </c>
      <c r="C4656" s="617">
        <v>1.2</v>
      </c>
      <c r="D4656" s="407" t="s">
        <v>15018</v>
      </c>
      <c r="E4656" s="315" t="s">
        <v>15019</v>
      </c>
      <c r="F4656" s="196">
        <v>43327</v>
      </c>
      <c r="G4656" s="170"/>
      <c r="H4656" s="170">
        <v>1</v>
      </c>
      <c r="I4656" s="747">
        <f>TIME(0,60,0)</f>
        <v>4.1666666666666664E-2</v>
      </c>
      <c r="J4656" s="899" t="s">
        <v>4706</v>
      </c>
      <c r="K4656" s="167" t="s">
        <v>5664</v>
      </c>
      <c r="L4656" s="167" t="s">
        <v>12662</v>
      </c>
      <c r="M4656" s="167" t="s">
        <v>15021</v>
      </c>
      <c r="N4656" s="167" t="s">
        <v>6452</v>
      </c>
      <c r="O4656" s="167" t="s">
        <v>179</v>
      </c>
      <c r="P4656" s="168" t="s">
        <v>15020</v>
      </c>
      <c r="Q4656" s="167" t="s">
        <v>3947</v>
      </c>
      <c r="R4656" s="172" t="s">
        <v>15017</v>
      </c>
      <c r="S4656" s="388"/>
      <c r="T4656" s="168"/>
      <c r="U4656" s="168"/>
      <c r="V4656" s="168"/>
      <c r="W4656" s="315" t="s">
        <v>15019</v>
      </c>
      <c r="X4656" s="644" t="s">
        <v>12348</v>
      </c>
      <c r="Y4656" s="352"/>
      <c r="Z4656" s="353"/>
      <c r="AA4656" s="353"/>
      <c r="AB4656" s="31">
        <f t="shared" ca="1" si="116"/>
        <v>0.23523377019857761</v>
      </c>
      <c r="AC4656" s="810"/>
      <c r="AD4656" s="811"/>
      <c r="AE4656" s="940"/>
      <c r="AF4656" s="920">
        <f>IF(X4656=X4655,AF4655,0)+IF(ISNUMBER(I4656),IF(I4656&lt;1,I4656,I4656*VLOOKUP(J4656,Summary!$H$2:$I$9,2)),VLOOKUP(J4656,Summary!$J$2:$K$9,2)*IF(ISNUMBER(H4656),H4656,1))</f>
        <v>0.25525462962962964</v>
      </c>
      <c r="AG4656" s="287">
        <v>4655</v>
      </c>
      <c r="AH4656" s="94"/>
      <c r="AI4656" s="94"/>
    </row>
    <row r="4657" spans="1:35" s="57" customFormat="1" ht="12" customHeight="1" x14ac:dyDescent="0.25">
      <c r="A4657" s="614" t="s">
        <v>15672</v>
      </c>
      <c r="B4657" s="614">
        <v>11</v>
      </c>
      <c r="C4657" s="614">
        <v>145</v>
      </c>
      <c r="D4657" s="185" t="s">
        <v>2340</v>
      </c>
      <c r="E4657" s="314" t="s">
        <v>1283</v>
      </c>
      <c r="F4657" s="184">
        <v>40528</v>
      </c>
      <c r="G4657" s="184"/>
      <c r="H4657" s="185">
        <v>1</v>
      </c>
      <c r="I4657" s="185">
        <v>10</v>
      </c>
      <c r="J4657" s="901" t="s">
        <v>1796</v>
      </c>
      <c r="K4657" s="163" t="s">
        <v>177</v>
      </c>
      <c r="L4657" s="163" t="s">
        <v>6058</v>
      </c>
      <c r="M4657" s="163" t="s">
        <v>6059</v>
      </c>
      <c r="N4657" s="163" t="s">
        <v>1279</v>
      </c>
      <c r="O4657" s="163"/>
      <c r="P4657" s="182" t="s">
        <v>461</v>
      </c>
      <c r="Q4657" s="163" t="s">
        <v>4104</v>
      </c>
      <c r="R4657" s="186" t="s">
        <v>5266</v>
      </c>
      <c r="S4657" s="355" t="s">
        <v>2614</v>
      </c>
      <c r="T4657" s="182" t="s">
        <v>1738</v>
      </c>
      <c r="U4657" s="182"/>
      <c r="V4657" s="182"/>
      <c r="W4657" s="314" t="s">
        <v>1283</v>
      </c>
      <c r="X4657" s="646" t="s">
        <v>12348</v>
      </c>
      <c r="Y4657" s="355" t="s">
        <v>5464</v>
      </c>
      <c r="Z4657" s="185">
        <v>999</v>
      </c>
      <c r="AA4657" s="185"/>
      <c r="AB4657" s="33">
        <f t="shared" ca="1" si="116"/>
        <v>0.13755494743323282</v>
      </c>
      <c r="AC4657" s="813"/>
      <c r="AD4657" s="211" t="s">
        <v>16747</v>
      </c>
      <c r="AE4657" s="941" t="s">
        <v>12543</v>
      </c>
      <c r="AF4657" s="922">
        <f>IF(X4657=X4656,AF4656,0)+IF(ISNUMBER(I4657),IF(I4657&lt;1,I4657,I4657*VLOOKUP(J4657,Summary!$H$2:$I$9,2)),VLOOKUP(J4657,Summary!$J$2:$K$9,2)*IF(ISNUMBER(H4657),H4657,1))</f>
        <v>0.25872685185185185</v>
      </c>
      <c r="AG4657" s="290">
        <v>4656</v>
      </c>
      <c r="AH4657" s="94"/>
      <c r="AI4657" s="94"/>
    </row>
    <row r="4658" spans="1:35" s="3" customFormat="1" ht="12" customHeight="1" x14ac:dyDescent="0.25">
      <c r="A4658" s="618" t="s">
        <v>15672</v>
      </c>
      <c r="B4658" s="618">
        <v>11</v>
      </c>
      <c r="C4658" s="618">
        <v>9</v>
      </c>
      <c r="D4658" s="176" t="s">
        <v>3112</v>
      </c>
      <c r="E4658" s="313" t="s">
        <v>7795</v>
      </c>
      <c r="F4658" s="175">
        <v>40522</v>
      </c>
      <c r="G4658" s="175">
        <v>40529</v>
      </c>
      <c r="H4658" s="176">
        <v>2</v>
      </c>
      <c r="I4658" s="176">
        <v>13</v>
      </c>
      <c r="J4658" s="900" t="s">
        <v>2755</v>
      </c>
      <c r="K4658" s="164" t="s">
        <v>3118</v>
      </c>
      <c r="L4658" s="164"/>
      <c r="M4658" s="164"/>
      <c r="N4658" s="164"/>
      <c r="O4658" s="164"/>
      <c r="P4658" s="173" t="s">
        <v>461</v>
      </c>
      <c r="Q4658" s="164" t="s">
        <v>3946</v>
      </c>
      <c r="R4658" s="177" t="s">
        <v>7896</v>
      </c>
      <c r="S4658" s="354" t="s">
        <v>2614</v>
      </c>
      <c r="T4658" s="173" t="s">
        <v>1738</v>
      </c>
      <c r="U4658" s="173"/>
      <c r="V4658" s="173"/>
      <c r="W4658" s="313"/>
      <c r="X4658" s="645" t="s">
        <v>12348</v>
      </c>
      <c r="Y4658" s="354" t="s">
        <v>6000</v>
      </c>
      <c r="Z4658" s="176"/>
      <c r="AA4658" s="176"/>
      <c r="AB4658" s="32">
        <f t="shared" ca="1" si="116"/>
        <v>0.92808680265759202</v>
      </c>
      <c r="AC4658" s="812"/>
      <c r="AD4658" s="763"/>
      <c r="AE4658" s="807"/>
      <c r="AF4658" s="921">
        <f>IF(X4658=X4657,AF4657,0)+IF(ISNUMBER(I4658),IF(I4658&lt;1,I4658,I4658*VLOOKUP(J4658,Summary!$H$2:$I$9,2)),VLOOKUP(J4658,Summary!$J$2:$K$9,2)*IF(ISNUMBER(H4658),H4658,1))</f>
        <v>0.26775462962962965</v>
      </c>
      <c r="AG4658" s="289">
        <v>4657</v>
      </c>
      <c r="AH4658" s="94"/>
      <c r="AI4658" s="94"/>
    </row>
    <row r="4659" spans="1:35" s="3" customFormat="1" ht="12" customHeight="1" x14ac:dyDescent="0.25">
      <c r="A4659" s="615" t="s">
        <v>15672</v>
      </c>
      <c r="B4659" s="615">
        <v>11</v>
      </c>
      <c r="C4659" s="615">
        <v>46</v>
      </c>
      <c r="D4659" s="417" t="s">
        <v>2894</v>
      </c>
      <c r="E4659" s="316" t="s">
        <v>2901</v>
      </c>
      <c r="F4659" s="195">
        <v>40717</v>
      </c>
      <c r="G4659" s="195"/>
      <c r="H4659" s="188" t="str">
        <f>IF(J4659="Book","n/a","")</f>
        <v>n/a</v>
      </c>
      <c r="I4659" s="188">
        <v>255</v>
      </c>
      <c r="J4659" s="902" t="s">
        <v>6868</v>
      </c>
      <c r="K4659" s="162" t="s">
        <v>2905</v>
      </c>
      <c r="L4659" s="162" t="str">
        <f>IF(J4659="Book","n/a","")</f>
        <v>n/a</v>
      </c>
      <c r="M4659" s="162"/>
      <c r="N4659" s="162"/>
      <c r="O4659" s="162"/>
      <c r="P4659" s="178" t="s">
        <v>782</v>
      </c>
      <c r="Q4659" s="162" t="s">
        <v>3953</v>
      </c>
      <c r="R4659" s="189" t="s">
        <v>2711</v>
      </c>
      <c r="S4659" s="366" t="s">
        <v>2614</v>
      </c>
      <c r="T4659" s="178" t="s">
        <v>1738</v>
      </c>
      <c r="U4659" s="178"/>
      <c r="V4659" s="178"/>
      <c r="W4659" s="316" t="s">
        <v>2901</v>
      </c>
      <c r="X4659" s="648" t="s">
        <v>12348</v>
      </c>
      <c r="Y4659" s="356" t="s">
        <v>6868</v>
      </c>
      <c r="Z4659" s="272">
        <v>107</v>
      </c>
      <c r="AA4659" s="272">
        <v>5</v>
      </c>
      <c r="AB4659" s="34">
        <f t="shared" ca="1" si="116"/>
        <v>0.66328640253956794</v>
      </c>
      <c r="AC4659" s="814"/>
      <c r="AD4659" s="815" t="s">
        <v>16429</v>
      </c>
      <c r="AE4659" s="942"/>
      <c r="AF4659" s="923">
        <f>IF(X4659=X4658,AF4658,0)+IF(ISNUMBER(I4659),IF(I4659&lt;1,I4659,I4659*VLOOKUP(J4659,Summary!$H$2:$I$9,2)),VLOOKUP(J4659,Summary!$J$2:$K$9,2)*IF(ISNUMBER(H4659),H4659,1))</f>
        <v>0.44483796296296296</v>
      </c>
      <c r="AG4659" s="291">
        <v>4658</v>
      </c>
      <c r="AH4659" s="94"/>
      <c r="AI4659" s="94"/>
    </row>
    <row r="4660" spans="1:35" s="1" customFormat="1" ht="12" customHeight="1" x14ac:dyDescent="0.25">
      <c r="A4660" s="614" t="s">
        <v>15672</v>
      </c>
      <c r="B4660" s="614">
        <v>11</v>
      </c>
      <c r="C4660" s="614"/>
      <c r="D4660" s="185" t="s">
        <v>16</v>
      </c>
      <c r="E4660" s="314" t="s">
        <v>1234</v>
      </c>
      <c r="F4660" s="183">
        <v>40544</v>
      </c>
      <c r="G4660" s="184"/>
      <c r="H4660" s="185">
        <v>1</v>
      </c>
      <c r="I4660" s="185">
        <v>22</v>
      </c>
      <c r="J4660" s="901" t="s">
        <v>1796</v>
      </c>
      <c r="K4660" s="163" t="s">
        <v>3303</v>
      </c>
      <c r="L4660" s="163" t="s">
        <v>3123</v>
      </c>
      <c r="M4660" s="163" t="s">
        <v>6567</v>
      </c>
      <c r="N4660" s="163" t="s">
        <v>6573</v>
      </c>
      <c r="O4660" s="163"/>
      <c r="P4660" s="182" t="s">
        <v>461</v>
      </c>
      <c r="Q4660" s="163" t="s">
        <v>5719</v>
      </c>
      <c r="R4660" s="186" t="s">
        <v>5718</v>
      </c>
      <c r="S4660" s="355" t="s">
        <v>2614</v>
      </c>
      <c r="T4660" s="182" t="s">
        <v>1738</v>
      </c>
      <c r="U4660" s="182"/>
      <c r="V4660" s="182"/>
      <c r="W4660" s="314" t="s">
        <v>1234</v>
      </c>
      <c r="X4660" s="646" t="s">
        <v>12348</v>
      </c>
      <c r="Y4660" s="355" t="s">
        <v>6000</v>
      </c>
      <c r="Z4660" s="185"/>
      <c r="AA4660" s="185"/>
      <c r="AB4660" s="33">
        <f t="shared" ca="1" si="116"/>
        <v>0.53191679272809567</v>
      </c>
      <c r="AC4660" s="813"/>
      <c r="AD4660" s="211"/>
      <c r="AE4660" s="941"/>
      <c r="AF4660" s="922">
        <f>IF(X4660=X4659,AF4659,0)+IF(ISNUMBER(I4660),IF(I4660&lt;1,I4660,I4660*VLOOKUP(J4660,Summary!$H$2:$I$9,2)),VLOOKUP(J4660,Summary!$J$2:$K$9,2)*IF(ISNUMBER(H4660),H4660,1))</f>
        <v>0.45247685185185182</v>
      </c>
      <c r="AG4660" s="290">
        <v>4659</v>
      </c>
      <c r="AH4660" s="94"/>
      <c r="AI4660" s="94"/>
    </row>
    <row r="4661" spans="1:35" s="22" customFormat="1" ht="12" customHeight="1" x14ac:dyDescent="0.2">
      <c r="A4661" s="614" t="s">
        <v>15672</v>
      </c>
      <c r="B4661" s="614">
        <v>11</v>
      </c>
      <c r="C4661" s="614">
        <v>157</v>
      </c>
      <c r="D4661" s="185" t="s">
        <v>3124</v>
      </c>
      <c r="E4661" s="314" t="s">
        <v>1235</v>
      </c>
      <c r="F4661" s="184">
        <v>40542</v>
      </c>
      <c r="G4661" s="184">
        <v>40548</v>
      </c>
      <c r="H4661" s="185">
        <v>1</v>
      </c>
      <c r="I4661" s="185">
        <v>4</v>
      </c>
      <c r="J4661" s="901" t="s">
        <v>1796</v>
      </c>
      <c r="K4661" s="163" t="s">
        <v>4147</v>
      </c>
      <c r="L4661" s="163" t="s">
        <v>3832</v>
      </c>
      <c r="M4661" s="163" t="s">
        <v>254</v>
      </c>
      <c r="N4661" s="163" t="s">
        <v>5317</v>
      </c>
      <c r="O4661" s="163"/>
      <c r="P4661" s="182" t="s">
        <v>461</v>
      </c>
      <c r="Q4661" s="163" t="s">
        <v>4929</v>
      </c>
      <c r="R4661" s="186" t="s">
        <v>4796</v>
      </c>
      <c r="S4661" s="355" t="s">
        <v>2614</v>
      </c>
      <c r="T4661" s="182" t="s">
        <v>1738</v>
      </c>
      <c r="U4661" s="182"/>
      <c r="V4661" s="182"/>
      <c r="W4661" s="314" t="s">
        <v>1235</v>
      </c>
      <c r="X4661" s="646" t="s">
        <v>12348</v>
      </c>
      <c r="Y4661" s="355"/>
      <c r="Z4661" s="185"/>
      <c r="AA4661" s="185"/>
      <c r="AB4661" s="33">
        <f t="shared" ca="1" si="116"/>
        <v>0.80762780546081181</v>
      </c>
      <c r="AC4661" s="813"/>
      <c r="AD4661" s="211"/>
      <c r="AE4661" s="941"/>
      <c r="AF4661" s="922">
        <f>IF(X4661=X4660,AF4660,0)+IF(ISNUMBER(I4661),IF(I4661&lt;1,I4661,I4661*VLOOKUP(J4661,Summary!$H$2:$I$9,2)),VLOOKUP(J4661,Summary!$J$2:$K$9,2)*IF(ISNUMBER(H4661),H4661,1))</f>
        <v>0.45386574074074071</v>
      </c>
      <c r="AG4661" s="290">
        <v>4660</v>
      </c>
      <c r="AH4661" s="94"/>
      <c r="AI4661" s="94"/>
    </row>
    <row r="4662" spans="1:35" s="1" customFormat="1" ht="12" customHeight="1" x14ac:dyDescent="0.25">
      <c r="A4662" s="614" t="s">
        <v>15672</v>
      </c>
      <c r="B4662" s="614">
        <v>11</v>
      </c>
      <c r="C4662" s="614">
        <v>158</v>
      </c>
      <c r="D4662" s="185" t="s">
        <v>3125</v>
      </c>
      <c r="E4662" s="314" t="s">
        <v>1236</v>
      </c>
      <c r="F4662" s="184">
        <v>40549</v>
      </c>
      <c r="G4662" s="184">
        <v>40555</v>
      </c>
      <c r="H4662" s="185">
        <v>1</v>
      </c>
      <c r="I4662" s="185">
        <v>4</v>
      </c>
      <c r="J4662" s="901" t="s">
        <v>1796</v>
      </c>
      <c r="K4662" s="163" t="s">
        <v>4032</v>
      </c>
      <c r="L4662" s="163" t="s">
        <v>3832</v>
      </c>
      <c r="M4662" s="163" t="s">
        <v>254</v>
      </c>
      <c r="N4662" s="163" t="s">
        <v>5317</v>
      </c>
      <c r="O4662" s="163"/>
      <c r="P4662" s="182" t="s">
        <v>461</v>
      </c>
      <c r="Q4662" s="163" t="s">
        <v>4929</v>
      </c>
      <c r="R4662" s="186" t="s">
        <v>4796</v>
      </c>
      <c r="S4662" s="355" t="s">
        <v>2614</v>
      </c>
      <c r="T4662" s="182" t="s">
        <v>1738</v>
      </c>
      <c r="U4662" s="182"/>
      <c r="V4662" s="182"/>
      <c r="W4662" s="314" t="s">
        <v>1236</v>
      </c>
      <c r="X4662" s="646" t="s">
        <v>12348</v>
      </c>
      <c r="Y4662" s="355"/>
      <c r="Z4662" s="185"/>
      <c r="AA4662" s="185"/>
      <c r="AB4662" s="33">
        <f t="shared" ca="1" si="116"/>
        <v>0.6355952694700876</v>
      </c>
      <c r="AC4662" s="813"/>
      <c r="AD4662" s="211"/>
      <c r="AE4662" s="941"/>
      <c r="AF4662" s="922">
        <f>IF(X4662=X4661,AF4661,0)+IF(ISNUMBER(I4662),IF(I4662&lt;1,I4662,I4662*VLOOKUP(J4662,Summary!$H$2:$I$9,2)),VLOOKUP(J4662,Summary!$J$2:$K$9,2)*IF(ISNUMBER(H4662),H4662,1))</f>
        <v>0.45525462962962959</v>
      </c>
      <c r="AG4662" s="290">
        <v>4661</v>
      </c>
      <c r="AH4662" s="94"/>
      <c r="AI4662" s="94"/>
    </row>
    <row r="4663" spans="1:35" s="1" customFormat="1" ht="12" customHeight="1" x14ac:dyDescent="0.25">
      <c r="A4663" s="614" t="s">
        <v>15672</v>
      </c>
      <c r="B4663" s="614">
        <v>11</v>
      </c>
      <c r="C4663" s="614">
        <v>159</v>
      </c>
      <c r="D4663" s="185" t="s">
        <v>3126</v>
      </c>
      <c r="E4663" s="314" t="s">
        <v>1237</v>
      </c>
      <c r="F4663" s="184">
        <v>40556</v>
      </c>
      <c r="G4663" s="184">
        <v>40562</v>
      </c>
      <c r="H4663" s="185">
        <v>1</v>
      </c>
      <c r="I4663" s="185">
        <v>4</v>
      </c>
      <c r="J4663" s="901" t="s">
        <v>1796</v>
      </c>
      <c r="K4663" s="163" t="s">
        <v>4147</v>
      </c>
      <c r="L4663" s="163" t="s">
        <v>3832</v>
      </c>
      <c r="M4663" s="163" t="s">
        <v>254</v>
      </c>
      <c r="N4663" s="163" t="s">
        <v>5317</v>
      </c>
      <c r="O4663" s="163"/>
      <c r="P4663" s="182" t="s">
        <v>461</v>
      </c>
      <c r="Q4663" s="163" t="s">
        <v>4929</v>
      </c>
      <c r="R4663" s="186" t="s">
        <v>4796</v>
      </c>
      <c r="S4663" s="355" t="s">
        <v>2614</v>
      </c>
      <c r="T4663" s="182" t="s">
        <v>1738</v>
      </c>
      <c r="U4663" s="182"/>
      <c r="V4663" s="182"/>
      <c r="W4663" s="314" t="s">
        <v>1237</v>
      </c>
      <c r="X4663" s="646" t="s">
        <v>12348</v>
      </c>
      <c r="Y4663" s="355"/>
      <c r="Z4663" s="185"/>
      <c r="AA4663" s="185"/>
      <c r="AB4663" s="33">
        <f t="shared" ca="1" si="116"/>
        <v>0.74107093873811891</v>
      </c>
      <c r="AC4663" s="813"/>
      <c r="AD4663" s="211"/>
      <c r="AE4663" s="941"/>
      <c r="AF4663" s="922">
        <f>IF(X4663=X4662,AF4662,0)+IF(ISNUMBER(I4663),IF(I4663&lt;1,I4663,I4663*VLOOKUP(J4663,Summary!$H$2:$I$9,2)),VLOOKUP(J4663,Summary!$J$2:$K$9,2)*IF(ISNUMBER(H4663),H4663,1))</f>
        <v>0.45664351851851848</v>
      </c>
      <c r="AG4663" s="290">
        <v>4662</v>
      </c>
      <c r="AH4663" s="94"/>
      <c r="AI4663" s="94"/>
    </row>
    <row r="4664" spans="1:35" s="1" customFormat="1" ht="12" customHeight="1" x14ac:dyDescent="0.25">
      <c r="A4664" s="614" t="s">
        <v>15672</v>
      </c>
      <c r="B4664" s="614">
        <v>11</v>
      </c>
      <c r="C4664" s="614">
        <v>160</v>
      </c>
      <c r="D4664" s="185" t="s">
        <v>3127</v>
      </c>
      <c r="E4664" s="314" t="s">
        <v>1238</v>
      </c>
      <c r="F4664" s="184">
        <v>40563</v>
      </c>
      <c r="G4664" s="184">
        <v>40569</v>
      </c>
      <c r="H4664" s="185">
        <v>1</v>
      </c>
      <c r="I4664" s="185">
        <v>4</v>
      </c>
      <c r="J4664" s="901" t="s">
        <v>1796</v>
      </c>
      <c r="K4664" s="163" t="s">
        <v>1641</v>
      </c>
      <c r="L4664" s="163" t="s">
        <v>3832</v>
      </c>
      <c r="M4664" s="163" t="s">
        <v>254</v>
      </c>
      <c r="N4664" s="163" t="s">
        <v>5317</v>
      </c>
      <c r="O4664" s="163"/>
      <c r="P4664" s="182" t="s">
        <v>461</v>
      </c>
      <c r="Q4664" s="163" t="s">
        <v>4929</v>
      </c>
      <c r="R4664" s="186" t="s">
        <v>4796</v>
      </c>
      <c r="S4664" s="355" t="s">
        <v>2614</v>
      </c>
      <c r="T4664" s="182" t="s">
        <v>1738</v>
      </c>
      <c r="U4664" s="182"/>
      <c r="V4664" s="182"/>
      <c r="W4664" s="314" t="s">
        <v>1238</v>
      </c>
      <c r="X4664" s="646" t="s">
        <v>12348</v>
      </c>
      <c r="Y4664" s="355"/>
      <c r="Z4664" s="185"/>
      <c r="AA4664" s="185"/>
      <c r="AB4664" s="33">
        <f t="shared" ca="1" si="116"/>
        <v>0.27574666875303444</v>
      </c>
      <c r="AC4664" s="813"/>
      <c r="AD4664" s="211"/>
      <c r="AE4664" s="941"/>
      <c r="AF4664" s="922">
        <f>IF(X4664=X4663,AF4663,0)+IF(ISNUMBER(I4664),IF(I4664&lt;1,I4664,I4664*VLOOKUP(J4664,Summary!$H$2:$I$9,2)),VLOOKUP(J4664,Summary!$J$2:$K$9,2)*IF(ISNUMBER(H4664),H4664,1))</f>
        <v>0.45803240740740736</v>
      </c>
      <c r="AG4664" s="290">
        <v>4663</v>
      </c>
      <c r="AH4664" s="94"/>
      <c r="AI4664" s="94"/>
    </row>
    <row r="4665" spans="1:35" s="29" customFormat="1" ht="12" customHeight="1" x14ac:dyDescent="0.25">
      <c r="A4665" s="614" t="s">
        <v>15672</v>
      </c>
      <c r="B4665" s="614">
        <v>11</v>
      </c>
      <c r="C4665" s="614">
        <v>161</v>
      </c>
      <c r="D4665" s="185" t="s">
        <v>3128</v>
      </c>
      <c r="E4665" s="314" t="s">
        <v>1239</v>
      </c>
      <c r="F4665" s="184">
        <v>40570</v>
      </c>
      <c r="G4665" s="184">
        <v>40576</v>
      </c>
      <c r="H4665" s="185">
        <v>1</v>
      </c>
      <c r="I4665" s="185">
        <v>4</v>
      </c>
      <c r="J4665" s="901" t="s">
        <v>1796</v>
      </c>
      <c r="K4665" s="163" t="s">
        <v>6353</v>
      </c>
      <c r="L4665" s="163" t="s">
        <v>3832</v>
      </c>
      <c r="M4665" s="163" t="s">
        <v>254</v>
      </c>
      <c r="N4665" s="163" t="s">
        <v>5317</v>
      </c>
      <c r="O4665" s="163"/>
      <c r="P4665" s="182" t="s">
        <v>461</v>
      </c>
      <c r="Q4665" s="163" t="s">
        <v>4929</v>
      </c>
      <c r="R4665" s="186" t="s">
        <v>4796</v>
      </c>
      <c r="S4665" s="355" t="s">
        <v>2614</v>
      </c>
      <c r="T4665" s="182" t="s">
        <v>1738</v>
      </c>
      <c r="U4665" s="182"/>
      <c r="V4665" s="182"/>
      <c r="W4665" s="314" t="s">
        <v>1239</v>
      </c>
      <c r="X4665" s="646" t="s">
        <v>12348</v>
      </c>
      <c r="Y4665" s="355"/>
      <c r="Z4665" s="185"/>
      <c r="AA4665" s="185"/>
      <c r="AB4665" s="33">
        <f t="shared" ca="1" si="116"/>
        <v>0.23358281156199079</v>
      </c>
      <c r="AC4665" s="813"/>
      <c r="AD4665" s="211"/>
      <c r="AE4665" s="941"/>
      <c r="AF4665" s="922">
        <f>IF(X4665=X4664,AF4664,0)+IF(ISNUMBER(I4665),IF(I4665&lt;1,I4665,I4665*VLOOKUP(J4665,Summary!$H$2:$I$9,2)),VLOOKUP(J4665,Summary!$J$2:$K$9,2)*IF(ISNUMBER(H4665),H4665,1))</f>
        <v>0.45942129629629624</v>
      </c>
      <c r="AG4665" s="290">
        <v>4664</v>
      </c>
      <c r="AH4665" s="94"/>
      <c r="AI4665" s="94"/>
    </row>
    <row r="4666" spans="1:35" s="1" customFormat="1" ht="12" customHeight="1" x14ac:dyDescent="0.25">
      <c r="A4666" s="614" t="s">
        <v>15672</v>
      </c>
      <c r="B4666" s="614">
        <v>11</v>
      </c>
      <c r="C4666" s="614">
        <v>162</v>
      </c>
      <c r="D4666" s="185" t="s">
        <v>3129</v>
      </c>
      <c r="E4666" s="314" t="s">
        <v>1240</v>
      </c>
      <c r="F4666" s="184">
        <v>40577</v>
      </c>
      <c r="G4666" s="184">
        <v>40583</v>
      </c>
      <c r="H4666" s="185">
        <v>1</v>
      </c>
      <c r="I4666" s="185">
        <v>4</v>
      </c>
      <c r="J4666" s="901" t="s">
        <v>1796</v>
      </c>
      <c r="K4666" s="163" t="s">
        <v>5664</v>
      </c>
      <c r="L4666" s="163" t="s">
        <v>3832</v>
      </c>
      <c r="M4666" s="163" t="s">
        <v>254</v>
      </c>
      <c r="N4666" s="163" t="s">
        <v>5317</v>
      </c>
      <c r="O4666" s="163"/>
      <c r="P4666" s="182" t="s">
        <v>461</v>
      </c>
      <c r="Q4666" s="163" t="s">
        <v>4929</v>
      </c>
      <c r="R4666" s="186" t="s">
        <v>4796</v>
      </c>
      <c r="S4666" s="355" t="s">
        <v>2614</v>
      </c>
      <c r="T4666" s="182" t="s">
        <v>1738</v>
      </c>
      <c r="U4666" s="182"/>
      <c r="V4666" s="182"/>
      <c r="W4666" s="314" t="s">
        <v>1240</v>
      </c>
      <c r="X4666" s="646" t="s">
        <v>12348</v>
      </c>
      <c r="Y4666" s="355"/>
      <c r="Z4666" s="185"/>
      <c r="AA4666" s="185"/>
      <c r="AB4666" s="33">
        <f t="shared" ca="1" si="116"/>
        <v>0.58561733853148179</v>
      </c>
      <c r="AC4666" s="813"/>
      <c r="AD4666" s="211"/>
      <c r="AE4666" s="941"/>
      <c r="AF4666" s="922">
        <f>IF(X4666=X4665,AF4665,0)+IF(ISNUMBER(I4666),IF(I4666&lt;1,I4666,I4666*VLOOKUP(J4666,Summary!$H$2:$I$9,2)),VLOOKUP(J4666,Summary!$J$2:$K$9,2)*IF(ISNUMBER(H4666),H4666,1))</f>
        <v>0.46081018518518513</v>
      </c>
      <c r="AG4666" s="290">
        <v>4665</v>
      </c>
      <c r="AH4666" s="94"/>
      <c r="AI4666" s="94"/>
    </row>
    <row r="4667" spans="1:35" s="3" customFormat="1" ht="12" customHeight="1" x14ac:dyDescent="0.25">
      <c r="A4667" s="618" t="s">
        <v>15672</v>
      </c>
      <c r="B4667" s="618">
        <v>11</v>
      </c>
      <c r="C4667" s="618">
        <v>10</v>
      </c>
      <c r="D4667" s="176" t="s">
        <v>3112</v>
      </c>
      <c r="E4667" s="313" t="s">
        <v>1241</v>
      </c>
      <c r="F4667" s="175">
        <v>40536</v>
      </c>
      <c r="G4667" s="175"/>
      <c r="H4667" s="176">
        <v>3</v>
      </c>
      <c r="I4667" s="176">
        <v>10</v>
      </c>
      <c r="J4667" s="900" t="s">
        <v>2755</v>
      </c>
      <c r="K4667" s="164" t="s">
        <v>3111</v>
      </c>
      <c r="L4667" s="164"/>
      <c r="M4667" s="164"/>
      <c r="N4667" s="164"/>
      <c r="O4667" s="164"/>
      <c r="P4667" s="173" t="s">
        <v>461</v>
      </c>
      <c r="Q4667" s="164" t="s">
        <v>3946</v>
      </c>
      <c r="R4667" s="177" t="s">
        <v>7896</v>
      </c>
      <c r="S4667" s="354" t="s">
        <v>2614</v>
      </c>
      <c r="T4667" s="173" t="s">
        <v>1738</v>
      </c>
      <c r="U4667" s="173"/>
      <c r="V4667" s="173"/>
      <c r="W4667" s="313" t="s">
        <v>15453</v>
      </c>
      <c r="X4667" s="645" t="s">
        <v>12348</v>
      </c>
      <c r="Y4667" s="354" t="s">
        <v>6000</v>
      </c>
      <c r="Z4667" s="176"/>
      <c r="AA4667" s="176"/>
      <c r="AB4667" s="32">
        <f t="shared" ca="1" si="116"/>
        <v>0.87443715531072252</v>
      </c>
      <c r="AC4667" s="812"/>
      <c r="AD4667" s="763"/>
      <c r="AE4667" s="807"/>
      <c r="AF4667" s="921">
        <f>IF(X4667=X4666,AF4666,0)+IF(ISNUMBER(I4667),IF(I4667&lt;1,I4667,I4667*VLOOKUP(J4667,Summary!$H$2:$I$9,2)),VLOOKUP(J4667,Summary!$J$2:$K$9,2)*IF(ISNUMBER(H4667),H4667,1))</f>
        <v>0.46775462962962955</v>
      </c>
      <c r="AG4667" s="289">
        <v>4666</v>
      </c>
      <c r="AH4667" s="94"/>
      <c r="AI4667" s="94"/>
    </row>
    <row r="4668" spans="1:35" s="29" customFormat="1" ht="12" customHeight="1" x14ac:dyDescent="0.25">
      <c r="A4668" s="616" t="s">
        <v>15672</v>
      </c>
      <c r="B4668" s="616">
        <v>11</v>
      </c>
      <c r="C4668" s="616">
        <v>15</v>
      </c>
      <c r="D4668" s="619" t="s">
        <v>15588</v>
      </c>
      <c r="E4668" s="345" t="s">
        <v>15589</v>
      </c>
      <c r="F4668" s="219">
        <v>40423</v>
      </c>
      <c r="G4668" s="219"/>
      <c r="H4668" s="210" t="s">
        <v>461</v>
      </c>
      <c r="I4668" s="210">
        <v>192</v>
      </c>
      <c r="J4668" s="908" t="s">
        <v>15556</v>
      </c>
      <c r="K4668" s="166" t="s">
        <v>1641</v>
      </c>
      <c r="L4668" s="166"/>
      <c r="M4668" s="166"/>
      <c r="N4668" s="166"/>
      <c r="O4668" s="166"/>
      <c r="P4668" s="267" t="s">
        <v>15590</v>
      </c>
      <c r="Q4668" s="166" t="s">
        <v>3953</v>
      </c>
      <c r="R4668" s="268" t="s">
        <v>15583</v>
      </c>
      <c r="S4668" s="386" t="s">
        <v>2614</v>
      </c>
      <c r="T4668" s="267" t="s">
        <v>1738</v>
      </c>
      <c r="U4668" s="267"/>
      <c r="V4668" s="267"/>
      <c r="W4668" s="345" t="s">
        <v>15589</v>
      </c>
      <c r="X4668" s="680" t="s">
        <v>12348</v>
      </c>
      <c r="Y4668" s="384"/>
      <c r="Z4668" s="385"/>
      <c r="AA4668" s="385"/>
      <c r="AB4668" s="41">
        <f t="shared" ca="1" si="116"/>
        <v>0.19921707722101745</v>
      </c>
      <c r="AC4668" s="832"/>
      <c r="AD4668" s="833"/>
      <c r="AE4668" s="956"/>
      <c r="AF4668" s="929">
        <f>IF(X4668=X4667,AF4667,0)+IF(ISNUMBER(I4668),IF(I4668&lt;1,I4668,I4668*VLOOKUP(J4668,Summary!$H$2:$I$9,2)),VLOOKUP(J4668,Summary!$J$2:$K$9,2)*IF(ISNUMBER(H4668),H4668,1))</f>
        <v>0.5344212962962962</v>
      </c>
      <c r="AG4668" s="307">
        <v>4667</v>
      </c>
      <c r="AH4668" s="94"/>
      <c r="AI4668" s="94"/>
    </row>
    <row r="4669" spans="1:35" s="29" customFormat="1" ht="12" customHeight="1" x14ac:dyDescent="0.25">
      <c r="A4669" s="615" t="s">
        <v>15672</v>
      </c>
      <c r="B4669" s="615">
        <v>11</v>
      </c>
      <c r="C4669" s="615">
        <v>1.1000000000000001</v>
      </c>
      <c r="D4669" s="188" t="s">
        <v>6</v>
      </c>
      <c r="E4669" s="327" t="s">
        <v>1242</v>
      </c>
      <c r="F4669" s="219">
        <v>40577</v>
      </c>
      <c r="G4669" s="195"/>
      <c r="H4669" s="188" t="s">
        <v>461</v>
      </c>
      <c r="I4669" s="188">
        <v>197</v>
      </c>
      <c r="J4669" s="902" t="s">
        <v>6868</v>
      </c>
      <c r="K4669" s="218" t="s">
        <v>543</v>
      </c>
      <c r="L4669" s="162" t="str">
        <f>IF(J4669="Book","n/a","")</f>
        <v>n/a</v>
      </c>
      <c r="M4669" s="218"/>
      <c r="N4669" s="218"/>
      <c r="O4669" s="218"/>
      <c r="P4669" s="178" t="s">
        <v>783</v>
      </c>
      <c r="Q4669" s="218" t="s">
        <v>3953</v>
      </c>
      <c r="R4669" s="217" t="s">
        <v>5</v>
      </c>
      <c r="S4669" s="366" t="s">
        <v>2614</v>
      </c>
      <c r="T4669" s="178" t="s">
        <v>1738</v>
      </c>
      <c r="U4669" s="178"/>
      <c r="V4669" s="178"/>
      <c r="W4669" s="327" t="s">
        <v>1242</v>
      </c>
      <c r="X4669" s="658" t="s">
        <v>12348</v>
      </c>
      <c r="Y4669" s="366"/>
      <c r="Z4669" s="188"/>
      <c r="AA4669" s="188"/>
      <c r="AB4669" s="34">
        <f t="shared" ca="1" si="116"/>
        <v>0.75412822731505857</v>
      </c>
      <c r="AC4669" s="814"/>
      <c r="AD4669" s="815" t="s">
        <v>16352</v>
      </c>
      <c r="AE4669" s="245" t="s">
        <v>12543</v>
      </c>
      <c r="AF4669" s="923">
        <f>IF(X4669=X4668,AF4668,0)+IF(ISNUMBER(I4669),IF(I4669&lt;1,I4669,I4669*VLOOKUP(J4669,Summary!$H$2:$I$9,2)),VLOOKUP(J4669,Summary!$J$2:$K$9,2)*IF(ISNUMBER(H4669),H4669,1))</f>
        <v>0.67122685185185182</v>
      </c>
      <c r="AG4669" s="297">
        <v>4668</v>
      </c>
      <c r="AH4669" s="94"/>
      <c r="AI4669" s="94"/>
    </row>
    <row r="4670" spans="1:35" s="1" customFormat="1" ht="12" customHeight="1" x14ac:dyDescent="0.25">
      <c r="A4670" s="615" t="s">
        <v>15672</v>
      </c>
      <c r="B4670" s="615">
        <v>11</v>
      </c>
      <c r="C4670" s="615">
        <v>2.2000000000000002</v>
      </c>
      <c r="D4670" s="188" t="s">
        <v>9</v>
      </c>
      <c r="E4670" s="327" t="s">
        <v>1243</v>
      </c>
      <c r="F4670" s="219">
        <v>40577</v>
      </c>
      <c r="G4670" s="195"/>
      <c r="H4670" s="188" t="s">
        <v>461</v>
      </c>
      <c r="I4670" s="188">
        <v>199</v>
      </c>
      <c r="J4670" s="902" t="s">
        <v>6868</v>
      </c>
      <c r="K4670" s="218" t="s">
        <v>6355</v>
      </c>
      <c r="L4670" s="162" t="str">
        <f>IF(J4670="Book","n/a","")</f>
        <v>n/a</v>
      </c>
      <c r="M4670" s="218"/>
      <c r="N4670" s="218"/>
      <c r="O4670" s="218"/>
      <c r="P4670" s="178" t="s">
        <v>784</v>
      </c>
      <c r="Q4670" s="218" t="s">
        <v>3953</v>
      </c>
      <c r="R4670" s="217" t="s">
        <v>5</v>
      </c>
      <c r="S4670" s="366" t="s">
        <v>2614</v>
      </c>
      <c r="T4670" s="178" t="s">
        <v>1738</v>
      </c>
      <c r="U4670" s="178"/>
      <c r="V4670" s="178"/>
      <c r="W4670" s="327" t="s">
        <v>1243</v>
      </c>
      <c r="X4670" s="658" t="s">
        <v>12348</v>
      </c>
      <c r="Y4670" s="366"/>
      <c r="Z4670" s="188"/>
      <c r="AA4670" s="188"/>
      <c r="AB4670" s="34">
        <f t="shared" ca="1" si="116"/>
        <v>0.45203502096984283</v>
      </c>
      <c r="AC4670" s="814"/>
      <c r="AD4670" s="815" t="s">
        <v>16594</v>
      </c>
      <c r="AE4670" s="245"/>
      <c r="AF4670" s="923">
        <f>IF(X4670=X4669,AF4669,0)+IF(ISNUMBER(I4670),IF(I4670&lt;1,I4670,I4670*VLOOKUP(J4670,Summary!$H$2:$I$9,2)),VLOOKUP(J4670,Summary!$J$2:$K$9,2)*IF(ISNUMBER(H4670),H4670,1))</f>
        <v>0.80942129629629633</v>
      </c>
      <c r="AG4670" s="297">
        <v>4669</v>
      </c>
      <c r="AH4670" s="94"/>
      <c r="AI4670" s="94"/>
    </row>
    <row r="4671" spans="1:35" s="22" customFormat="1" ht="12" customHeight="1" x14ac:dyDescent="0.25">
      <c r="A4671" s="615" t="s">
        <v>15672</v>
      </c>
      <c r="B4671" s="615">
        <v>11</v>
      </c>
      <c r="C4671" s="615">
        <v>1.2</v>
      </c>
      <c r="D4671" s="188" t="s">
        <v>7</v>
      </c>
      <c r="E4671" s="327" t="s">
        <v>1244</v>
      </c>
      <c r="F4671" s="219">
        <v>40577</v>
      </c>
      <c r="G4671" s="195"/>
      <c r="H4671" s="188" t="s">
        <v>461</v>
      </c>
      <c r="I4671" s="188">
        <v>200</v>
      </c>
      <c r="J4671" s="902" t="s">
        <v>6868</v>
      </c>
      <c r="K4671" s="218" t="s">
        <v>4032</v>
      </c>
      <c r="L4671" s="162" t="str">
        <f>IF(J4671="Book","n/a","")</f>
        <v>n/a</v>
      </c>
      <c r="M4671" s="218"/>
      <c r="N4671" s="218"/>
      <c r="O4671" s="218"/>
      <c r="P4671" s="178" t="s">
        <v>783</v>
      </c>
      <c r="Q4671" s="218" t="s">
        <v>3953</v>
      </c>
      <c r="R4671" s="217" t="s">
        <v>5</v>
      </c>
      <c r="S4671" s="366" t="s">
        <v>2614</v>
      </c>
      <c r="T4671" s="178" t="s">
        <v>1738</v>
      </c>
      <c r="U4671" s="178"/>
      <c r="V4671" s="178"/>
      <c r="W4671" s="327" t="s">
        <v>1244</v>
      </c>
      <c r="X4671" s="658" t="s">
        <v>12348</v>
      </c>
      <c r="Y4671" s="366"/>
      <c r="Z4671" s="188"/>
      <c r="AA4671" s="188"/>
      <c r="AB4671" s="34">
        <f t="shared" ca="1" si="116"/>
        <v>0.91244780650234203</v>
      </c>
      <c r="AC4671" s="814"/>
      <c r="AD4671" s="815" t="s">
        <v>15888</v>
      </c>
      <c r="AE4671" s="245" t="s">
        <v>12543</v>
      </c>
      <c r="AF4671" s="923">
        <f>IF(X4671=X4670,AF4670,0)+IF(ISNUMBER(I4671),IF(I4671&lt;1,I4671,I4671*VLOOKUP(J4671,Summary!$H$2:$I$9,2)),VLOOKUP(J4671,Summary!$J$2:$K$9,2)*IF(ISNUMBER(H4671),H4671,1))</f>
        <v>0.94831018518518517</v>
      </c>
      <c r="AG4671" s="297">
        <v>4670</v>
      </c>
      <c r="AH4671" s="94"/>
      <c r="AI4671" s="94"/>
    </row>
    <row r="4672" spans="1:35" s="3" customFormat="1" ht="12" customHeight="1" x14ac:dyDescent="0.25">
      <c r="A4672" s="615" t="s">
        <v>15672</v>
      </c>
      <c r="B4672" s="615">
        <v>11</v>
      </c>
      <c r="C4672" s="615">
        <v>2.1</v>
      </c>
      <c r="D4672" s="188" t="s">
        <v>8</v>
      </c>
      <c r="E4672" s="327" t="s">
        <v>1245</v>
      </c>
      <c r="F4672" s="219">
        <v>40577</v>
      </c>
      <c r="G4672" s="195"/>
      <c r="H4672" s="188" t="s">
        <v>461</v>
      </c>
      <c r="I4672" s="188">
        <v>198</v>
      </c>
      <c r="J4672" s="902" t="s">
        <v>6868</v>
      </c>
      <c r="K4672" s="218" t="s">
        <v>1641</v>
      </c>
      <c r="L4672" s="162" t="str">
        <f>IF(J4672="Book","n/a","")</f>
        <v>n/a</v>
      </c>
      <c r="M4672" s="218"/>
      <c r="N4672" s="218"/>
      <c r="O4672" s="218"/>
      <c r="P4672" s="178" t="s">
        <v>784</v>
      </c>
      <c r="Q4672" s="218" t="s">
        <v>3953</v>
      </c>
      <c r="R4672" s="217" t="s">
        <v>5</v>
      </c>
      <c r="S4672" s="366" t="s">
        <v>2614</v>
      </c>
      <c r="T4672" s="178" t="s">
        <v>1738</v>
      </c>
      <c r="U4672" s="178"/>
      <c r="V4672" s="178"/>
      <c r="W4672" s="327" t="s">
        <v>1245</v>
      </c>
      <c r="X4672" s="658" t="s">
        <v>12348</v>
      </c>
      <c r="Y4672" s="366"/>
      <c r="Z4672" s="188"/>
      <c r="AA4672" s="188"/>
      <c r="AB4672" s="34">
        <f t="shared" ca="1" si="116"/>
        <v>0.65547021257218852</v>
      </c>
      <c r="AC4672" s="814"/>
      <c r="AD4672" s="815"/>
      <c r="AE4672" s="245"/>
      <c r="AF4672" s="923">
        <f>IF(X4672=X4671,AF4671,0)+IF(ISNUMBER(I4672),IF(I4672&lt;1,I4672,I4672*VLOOKUP(J4672,Summary!$H$2:$I$9,2)),VLOOKUP(J4672,Summary!$J$2:$K$9,2)*IF(ISNUMBER(H4672),H4672,1))</f>
        <v>1.0858101851851851</v>
      </c>
      <c r="AG4672" s="297">
        <v>4671</v>
      </c>
      <c r="AH4672" s="94"/>
      <c r="AI4672" s="94"/>
    </row>
    <row r="4673" spans="1:35" s="1" customFormat="1" ht="12" customHeight="1" x14ac:dyDescent="0.25">
      <c r="A4673" s="765" t="s">
        <v>15672</v>
      </c>
      <c r="B4673" s="765">
        <v>11</v>
      </c>
      <c r="C4673" s="765"/>
      <c r="D4673" s="226" t="s">
        <v>15</v>
      </c>
      <c r="E4673" s="331" t="s">
        <v>1246</v>
      </c>
      <c r="F4673" s="766">
        <v>40575</v>
      </c>
      <c r="G4673" s="766">
        <v>40634</v>
      </c>
      <c r="H4673" s="226">
        <v>3</v>
      </c>
      <c r="I4673" s="226">
        <v>66</v>
      </c>
      <c r="J4673" s="907" t="s">
        <v>1796</v>
      </c>
      <c r="K4673" s="228" t="s">
        <v>3303</v>
      </c>
      <c r="L4673" s="228" t="s">
        <v>10</v>
      </c>
      <c r="M4673" s="228" t="s">
        <v>2150</v>
      </c>
      <c r="N4673" s="165" t="s">
        <v>6573</v>
      </c>
      <c r="O4673" s="165"/>
      <c r="P4673" s="225" t="s">
        <v>461</v>
      </c>
      <c r="Q4673" s="165" t="s">
        <v>5719</v>
      </c>
      <c r="R4673" s="227" t="s">
        <v>5718</v>
      </c>
      <c r="S4673" s="369" t="s">
        <v>2614</v>
      </c>
      <c r="T4673" s="225" t="s">
        <v>1738</v>
      </c>
      <c r="U4673" s="225"/>
      <c r="V4673" s="225"/>
      <c r="W4673" s="331"/>
      <c r="X4673" s="663" t="s">
        <v>12348</v>
      </c>
      <c r="Y4673" s="369" t="s">
        <v>6000</v>
      </c>
      <c r="Z4673" s="226"/>
      <c r="AA4673" s="226"/>
      <c r="AB4673" s="38">
        <f t="shared" ca="1" si="116"/>
        <v>0.75986345778869568</v>
      </c>
      <c r="AC4673" s="830"/>
      <c r="AD4673" s="831" t="s">
        <v>16631</v>
      </c>
      <c r="AE4673" s="963" t="s">
        <v>16563</v>
      </c>
      <c r="AF4673" s="928">
        <f>IF(X4673=X4672,AF4672,0)+IF(ISNUMBER(I4673),IF(I4673&lt;1,I4673,I4673*VLOOKUP(J4673,Summary!$H$2:$I$9,2)),VLOOKUP(J4673,Summary!$J$2:$K$9,2)*IF(ISNUMBER(H4673),H4673,1))</f>
        <v>1.1087268518518518</v>
      </c>
      <c r="AG4673" s="304">
        <v>4672</v>
      </c>
      <c r="AH4673" s="94"/>
      <c r="AI4673" s="94"/>
    </row>
    <row r="4674" spans="1:35" s="29" customFormat="1" ht="12" customHeight="1" x14ac:dyDescent="0.25">
      <c r="A4674" s="613" t="s">
        <v>15672</v>
      </c>
      <c r="B4674" s="613">
        <v>11</v>
      </c>
      <c r="C4674" s="613">
        <v>3</v>
      </c>
      <c r="D4674" s="509" t="s">
        <v>5736</v>
      </c>
      <c r="E4674" s="335" t="s">
        <v>1247</v>
      </c>
      <c r="F4674" s="223">
        <v>40869</v>
      </c>
      <c r="G4674" s="223"/>
      <c r="H4674" s="242">
        <v>1</v>
      </c>
      <c r="I4674" s="792">
        <f>TIME(0, 3,37)</f>
        <v>2.5115740740740741E-3</v>
      </c>
      <c r="J4674" s="909" t="s">
        <v>1588</v>
      </c>
      <c r="K4674" s="243" t="s">
        <v>3810</v>
      </c>
      <c r="L4674" s="243" t="s">
        <v>6332</v>
      </c>
      <c r="M4674" s="243"/>
      <c r="N4674" s="243" t="s">
        <v>3810</v>
      </c>
      <c r="O4674" s="243" t="s">
        <v>5004</v>
      </c>
      <c r="P4674" s="241" t="s">
        <v>461</v>
      </c>
      <c r="Q4674" s="243" t="s">
        <v>3946</v>
      </c>
      <c r="R4674" s="244" t="s">
        <v>237</v>
      </c>
      <c r="S4674" s="395" t="s">
        <v>2614</v>
      </c>
      <c r="T4674" s="241"/>
      <c r="U4674" s="241"/>
      <c r="V4674" s="241"/>
      <c r="W4674" s="335" t="s">
        <v>1247</v>
      </c>
      <c r="X4674" s="667" t="s">
        <v>12348</v>
      </c>
      <c r="Y4674" s="375"/>
      <c r="Z4674" s="377">
        <v>279</v>
      </c>
      <c r="AA4674" s="377">
        <v>2.5</v>
      </c>
      <c r="AB4674" s="55">
        <f t="shared" ref="AB4674:AB4737" ca="1" si="117">RAND()</f>
        <v>0.55304554192030875</v>
      </c>
      <c r="AC4674" s="834"/>
      <c r="AD4674" s="835"/>
      <c r="AE4674" s="957"/>
      <c r="AF4674" s="930">
        <f>IF(X4674=X4673,AF4673,0)+IF(ISNUMBER(I4674),IF(I4674&lt;1,I4674,I4674*VLOOKUP(J4674,Summary!$H$2:$I$9,2)),VLOOKUP(J4674,Summary!$J$2:$K$9,2)*IF(ISNUMBER(H4674),H4674,1))</f>
        <v>1.1112384259259258</v>
      </c>
      <c r="AG4674" s="302">
        <v>4673</v>
      </c>
      <c r="AH4674" s="94"/>
      <c r="AI4674" s="94"/>
    </row>
    <row r="4675" spans="1:35" s="3" customFormat="1" ht="12" customHeight="1" x14ac:dyDescent="0.25">
      <c r="A4675" s="615" t="s">
        <v>15672</v>
      </c>
      <c r="B4675" s="615">
        <v>11</v>
      </c>
      <c r="C4675" s="615">
        <v>6.1</v>
      </c>
      <c r="D4675" s="188" t="s">
        <v>2208</v>
      </c>
      <c r="E4675" s="316" t="s">
        <v>2193</v>
      </c>
      <c r="F4675" s="272">
        <v>2012</v>
      </c>
      <c r="G4675" s="195"/>
      <c r="H4675" s="188" t="str">
        <f>IF(J4675="Book","n/a","")</f>
        <v>n/a</v>
      </c>
      <c r="I4675" s="188">
        <v>199</v>
      </c>
      <c r="J4675" s="902" t="s">
        <v>6868</v>
      </c>
      <c r="K4675" s="162" t="s">
        <v>7798</v>
      </c>
      <c r="L4675" s="162" t="str">
        <f>IF(J4675="Book","n/a","")</f>
        <v>n/a</v>
      </c>
      <c r="M4675" s="162"/>
      <c r="N4675" s="162"/>
      <c r="O4675" s="162"/>
      <c r="P4675" s="178" t="s">
        <v>2191</v>
      </c>
      <c r="Q4675" s="162" t="s">
        <v>3953</v>
      </c>
      <c r="R4675" s="217" t="s">
        <v>5</v>
      </c>
      <c r="S4675" s="366" t="s">
        <v>2614</v>
      </c>
      <c r="T4675" s="178" t="s">
        <v>1738</v>
      </c>
      <c r="U4675" s="178"/>
      <c r="V4675" s="178"/>
      <c r="W4675" s="316" t="s">
        <v>2193</v>
      </c>
      <c r="X4675" s="648" t="s">
        <v>12348</v>
      </c>
      <c r="Y4675" s="356"/>
      <c r="Z4675" s="272"/>
      <c r="AA4675" s="272"/>
      <c r="AB4675" s="34">
        <f t="shared" ca="1" si="117"/>
        <v>0.93732856824037492</v>
      </c>
      <c r="AC4675" s="814"/>
      <c r="AD4675" s="815"/>
      <c r="AE4675" s="942"/>
      <c r="AF4675" s="923">
        <f>IF(X4675=X4674,AF4674,0)+IF(ISNUMBER(I4675),IF(I4675&lt;1,I4675,I4675*VLOOKUP(J4675,Summary!$H$2:$I$9,2)),VLOOKUP(J4675,Summary!$J$2:$K$9,2)*IF(ISNUMBER(H4675),H4675,1))</f>
        <v>1.2494328703703703</v>
      </c>
      <c r="AG4675" s="291">
        <v>4674</v>
      </c>
      <c r="AH4675" s="94"/>
      <c r="AI4675" s="94"/>
    </row>
    <row r="4676" spans="1:35" s="1" customFormat="1" ht="12" customHeight="1" x14ac:dyDescent="0.25">
      <c r="A4676" s="614" t="s">
        <v>15672</v>
      </c>
      <c r="B4676" s="614">
        <v>11</v>
      </c>
      <c r="C4676" s="614">
        <v>163</v>
      </c>
      <c r="D4676" s="185" t="s">
        <v>3130</v>
      </c>
      <c r="E4676" s="314" t="s">
        <v>1248</v>
      </c>
      <c r="F4676" s="184">
        <v>40584</v>
      </c>
      <c r="G4676" s="184">
        <v>40590</v>
      </c>
      <c r="H4676" s="185">
        <v>1</v>
      </c>
      <c r="I4676" s="185">
        <v>4</v>
      </c>
      <c r="J4676" s="901" t="s">
        <v>1796</v>
      </c>
      <c r="K4676" s="163" t="s">
        <v>1033</v>
      </c>
      <c r="L4676" s="163" t="s">
        <v>3832</v>
      </c>
      <c r="M4676" s="163" t="s">
        <v>254</v>
      </c>
      <c r="N4676" s="163" t="s">
        <v>7370</v>
      </c>
      <c r="O4676" s="163"/>
      <c r="P4676" s="182" t="s">
        <v>461</v>
      </c>
      <c r="Q4676" s="163" t="s">
        <v>4929</v>
      </c>
      <c r="R4676" s="186" t="s">
        <v>4796</v>
      </c>
      <c r="S4676" s="355" t="s">
        <v>2614</v>
      </c>
      <c r="T4676" s="182" t="s">
        <v>1738</v>
      </c>
      <c r="U4676" s="182"/>
      <c r="V4676" s="182"/>
      <c r="W4676" s="314" t="s">
        <v>1248</v>
      </c>
      <c r="X4676" s="646" t="s">
        <v>12348</v>
      </c>
      <c r="Y4676" s="355"/>
      <c r="Z4676" s="185"/>
      <c r="AA4676" s="185"/>
      <c r="AB4676" s="33">
        <f t="shared" ca="1" si="117"/>
        <v>0.1812777500219096</v>
      </c>
      <c r="AC4676" s="813"/>
      <c r="AD4676" s="211"/>
      <c r="AE4676" s="941"/>
      <c r="AF4676" s="922">
        <f>IF(X4676=X4675,AF4675,0)+IF(ISNUMBER(I4676),IF(I4676&lt;1,I4676,I4676*VLOOKUP(J4676,Summary!$H$2:$I$9,2)),VLOOKUP(J4676,Summary!$J$2:$K$9,2)*IF(ISNUMBER(H4676),H4676,1))</f>
        <v>1.2508217592592592</v>
      </c>
      <c r="AG4676" s="290">
        <v>4675</v>
      </c>
      <c r="AH4676" s="94"/>
      <c r="AI4676" s="94"/>
    </row>
    <row r="4677" spans="1:35" s="3" customFormat="1" ht="12" customHeight="1" x14ac:dyDescent="0.25">
      <c r="A4677" s="614" t="s">
        <v>15672</v>
      </c>
      <c r="B4677" s="614">
        <v>11</v>
      </c>
      <c r="C4677" s="614">
        <v>164</v>
      </c>
      <c r="D4677" s="185" t="s">
        <v>3131</v>
      </c>
      <c r="E4677" s="314" t="s">
        <v>1249</v>
      </c>
      <c r="F4677" s="184">
        <v>40591</v>
      </c>
      <c r="G4677" s="184">
        <v>40597</v>
      </c>
      <c r="H4677" s="185">
        <v>1</v>
      </c>
      <c r="I4677" s="185">
        <v>4</v>
      </c>
      <c r="J4677" s="901" t="s">
        <v>1796</v>
      </c>
      <c r="K4677" s="163" t="s">
        <v>4147</v>
      </c>
      <c r="L4677" s="163" t="s">
        <v>3832</v>
      </c>
      <c r="M4677" s="163" t="s">
        <v>254</v>
      </c>
      <c r="N4677" s="163" t="s">
        <v>7370</v>
      </c>
      <c r="O4677" s="163"/>
      <c r="P4677" s="182" t="s">
        <v>461</v>
      </c>
      <c r="Q4677" s="163" t="s">
        <v>4929</v>
      </c>
      <c r="R4677" s="186" t="s">
        <v>4796</v>
      </c>
      <c r="S4677" s="355" t="s">
        <v>2614</v>
      </c>
      <c r="T4677" s="182" t="s">
        <v>1738</v>
      </c>
      <c r="U4677" s="182"/>
      <c r="V4677" s="182"/>
      <c r="W4677" s="314" t="s">
        <v>1249</v>
      </c>
      <c r="X4677" s="646" t="s">
        <v>12348</v>
      </c>
      <c r="Y4677" s="355"/>
      <c r="Z4677" s="185"/>
      <c r="AA4677" s="185"/>
      <c r="AB4677" s="33">
        <f t="shared" ca="1" si="117"/>
        <v>0.17448954042834619</v>
      </c>
      <c r="AC4677" s="813"/>
      <c r="AD4677" s="211"/>
      <c r="AE4677" s="941"/>
      <c r="AF4677" s="922">
        <f>IF(X4677=X4676,AF4676,0)+IF(ISNUMBER(I4677),IF(I4677&lt;1,I4677,I4677*VLOOKUP(J4677,Summary!$H$2:$I$9,2)),VLOOKUP(J4677,Summary!$J$2:$K$9,2)*IF(ISNUMBER(H4677),H4677,1))</f>
        <v>1.2522106481481481</v>
      </c>
      <c r="AG4677" s="290">
        <v>4676</v>
      </c>
      <c r="AH4677" s="94"/>
      <c r="AI4677" s="94"/>
    </row>
    <row r="4678" spans="1:35" s="3" customFormat="1" ht="12" customHeight="1" x14ac:dyDescent="0.25">
      <c r="A4678" s="614" t="s">
        <v>15672</v>
      </c>
      <c r="B4678" s="614">
        <v>11</v>
      </c>
      <c r="C4678" s="614">
        <v>165</v>
      </c>
      <c r="D4678" s="185" t="s">
        <v>3132</v>
      </c>
      <c r="E4678" s="314" t="s">
        <v>1250</v>
      </c>
      <c r="F4678" s="184">
        <v>40598</v>
      </c>
      <c r="G4678" s="184">
        <v>40604</v>
      </c>
      <c r="H4678" s="185">
        <v>1</v>
      </c>
      <c r="I4678" s="185">
        <v>4</v>
      </c>
      <c r="J4678" s="901" t="s">
        <v>1796</v>
      </c>
      <c r="K4678" s="163" t="s">
        <v>6353</v>
      </c>
      <c r="L4678" s="163" t="s">
        <v>3832</v>
      </c>
      <c r="M4678" s="163" t="s">
        <v>254</v>
      </c>
      <c r="N4678" s="163" t="s">
        <v>7370</v>
      </c>
      <c r="O4678" s="163"/>
      <c r="P4678" s="182" t="s">
        <v>461</v>
      </c>
      <c r="Q4678" s="163" t="s">
        <v>4929</v>
      </c>
      <c r="R4678" s="186" t="s">
        <v>4796</v>
      </c>
      <c r="S4678" s="355" t="s">
        <v>2614</v>
      </c>
      <c r="T4678" s="182" t="s">
        <v>1738</v>
      </c>
      <c r="U4678" s="182"/>
      <c r="V4678" s="182"/>
      <c r="W4678" s="314" t="s">
        <v>1250</v>
      </c>
      <c r="X4678" s="646" t="s">
        <v>12348</v>
      </c>
      <c r="Y4678" s="355"/>
      <c r="Z4678" s="185"/>
      <c r="AA4678" s="185"/>
      <c r="AB4678" s="33">
        <f t="shared" ca="1" si="117"/>
        <v>0.32852571717412571</v>
      </c>
      <c r="AC4678" s="813"/>
      <c r="AD4678" s="211"/>
      <c r="AE4678" s="941"/>
      <c r="AF4678" s="922">
        <f>IF(X4678=X4677,AF4677,0)+IF(ISNUMBER(I4678),IF(I4678&lt;1,I4678,I4678*VLOOKUP(J4678,Summary!$H$2:$I$9,2)),VLOOKUP(J4678,Summary!$J$2:$K$9,2)*IF(ISNUMBER(H4678),H4678,1))</f>
        <v>1.253599537037037</v>
      </c>
      <c r="AG4678" s="290">
        <v>4677</v>
      </c>
      <c r="AH4678" s="94"/>
      <c r="AI4678" s="94"/>
    </row>
    <row r="4679" spans="1:35" s="1" customFormat="1" ht="12" customHeight="1" x14ac:dyDescent="0.25">
      <c r="A4679" s="614" t="s">
        <v>15672</v>
      </c>
      <c r="B4679" s="614">
        <v>11</v>
      </c>
      <c r="C4679" s="614">
        <v>166</v>
      </c>
      <c r="D4679" s="185" t="s">
        <v>3133</v>
      </c>
      <c r="E4679" s="314" t="s">
        <v>1251</v>
      </c>
      <c r="F4679" s="184">
        <v>40605</v>
      </c>
      <c r="G4679" s="184">
        <v>40611</v>
      </c>
      <c r="H4679" s="185">
        <v>1</v>
      </c>
      <c r="I4679" s="185">
        <v>4</v>
      </c>
      <c r="J4679" s="901" t="s">
        <v>1796</v>
      </c>
      <c r="K4679" s="163" t="s">
        <v>6353</v>
      </c>
      <c r="L4679" s="163" t="s">
        <v>3832</v>
      </c>
      <c r="M4679" s="163" t="s">
        <v>254</v>
      </c>
      <c r="N4679" s="163" t="s">
        <v>7370</v>
      </c>
      <c r="O4679" s="163"/>
      <c r="P4679" s="182" t="s">
        <v>461</v>
      </c>
      <c r="Q4679" s="163" t="s">
        <v>4929</v>
      </c>
      <c r="R4679" s="186" t="s">
        <v>4796</v>
      </c>
      <c r="S4679" s="355" t="s">
        <v>2614</v>
      </c>
      <c r="T4679" s="182" t="s">
        <v>1738</v>
      </c>
      <c r="U4679" s="182"/>
      <c r="V4679" s="182"/>
      <c r="W4679" s="314" t="s">
        <v>1251</v>
      </c>
      <c r="X4679" s="646" t="s">
        <v>12348</v>
      </c>
      <c r="Y4679" s="355"/>
      <c r="Z4679" s="185"/>
      <c r="AA4679" s="185"/>
      <c r="AB4679" s="33">
        <f t="shared" ca="1" si="117"/>
        <v>0.85227621483949867</v>
      </c>
      <c r="AC4679" s="813"/>
      <c r="AD4679" s="211"/>
      <c r="AE4679" s="941"/>
      <c r="AF4679" s="922">
        <f>IF(X4679=X4678,AF4678,0)+IF(ISNUMBER(I4679),IF(I4679&lt;1,I4679,I4679*VLOOKUP(J4679,Summary!$H$2:$I$9,2)),VLOOKUP(J4679,Summary!$J$2:$K$9,2)*IF(ISNUMBER(H4679),H4679,1))</f>
        <v>1.2549884259259259</v>
      </c>
      <c r="AG4679" s="290">
        <v>4678</v>
      </c>
      <c r="AH4679" s="94"/>
      <c r="AI4679" s="94"/>
    </row>
    <row r="4680" spans="1:35" s="1" customFormat="1" ht="12" customHeight="1" x14ac:dyDescent="0.25">
      <c r="A4680" s="614" t="s">
        <v>15672</v>
      </c>
      <c r="B4680" s="614">
        <v>11</v>
      </c>
      <c r="C4680" s="614">
        <v>167</v>
      </c>
      <c r="D4680" s="185" t="s">
        <v>1513</v>
      </c>
      <c r="E4680" s="314" t="s">
        <v>7777</v>
      </c>
      <c r="F4680" s="184">
        <v>40612</v>
      </c>
      <c r="G4680" s="184">
        <v>40618</v>
      </c>
      <c r="H4680" s="185">
        <v>1</v>
      </c>
      <c r="I4680" s="185">
        <v>4</v>
      </c>
      <c r="J4680" s="901" t="s">
        <v>1796</v>
      </c>
      <c r="K4680" s="163" t="s">
        <v>176</v>
      </c>
      <c r="L4680" s="163" t="s">
        <v>3832</v>
      </c>
      <c r="M4680" s="163" t="s">
        <v>254</v>
      </c>
      <c r="N4680" s="163" t="s">
        <v>7370</v>
      </c>
      <c r="O4680" s="163"/>
      <c r="P4680" s="182" t="s">
        <v>461</v>
      </c>
      <c r="Q4680" s="163" t="s">
        <v>4929</v>
      </c>
      <c r="R4680" s="186" t="s">
        <v>4796</v>
      </c>
      <c r="S4680" s="355" t="s">
        <v>2614</v>
      </c>
      <c r="T4680" s="182" t="s">
        <v>1738</v>
      </c>
      <c r="U4680" s="182"/>
      <c r="V4680" s="182"/>
      <c r="W4680" s="314" t="s">
        <v>7777</v>
      </c>
      <c r="X4680" s="646" t="s">
        <v>12348</v>
      </c>
      <c r="Y4680" s="355"/>
      <c r="Z4680" s="185"/>
      <c r="AA4680" s="185"/>
      <c r="AB4680" s="33">
        <f t="shared" ca="1" si="117"/>
        <v>0.62150780542659789</v>
      </c>
      <c r="AC4680" s="813"/>
      <c r="AD4680" s="211"/>
      <c r="AE4680" s="941"/>
      <c r="AF4680" s="922">
        <f>IF(X4680=X4679,AF4679,0)+IF(ISNUMBER(I4680),IF(I4680&lt;1,I4680,I4680*VLOOKUP(J4680,Summary!$H$2:$I$9,2)),VLOOKUP(J4680,Summary!$J$2:$K$9,2)*IF(ISNUMBER(H4680),H4680,1))</f>
        <v>1.2563773148148147</v>
      </c>
      <c r="AG4680" s="290">
        <v>4679</v>
      </c>
      <c r="AH4680" s="94"/>
      <c r="AI4680" s="94"/>
    </row>
    <row r="4681" spans="1:35" s="1" customFormat="1" ht="12" customHeight="1" x14ac:dyDescent="0.25">
      <c r="A4681" s="614" t="s">
        <v>15672</v>
      </c>
      <c r="B4681" s="614">
        <v>11</v>
      </c>
      <c r="C4681" s="614">
        <v>168</v>
      </c>
      <c r="D4681" s="185" t="s">
        <v>1514</v>
      </c>
      <c r="E4681" s="314" t="s">
        <v>7778</v>
      </c>
      <c r="F4681" s="184">
        <v>40619</v>
      </c>
      <c r="G4681" s="184">
        <v>40625</v>
      </c>
      <c r="H4681" s="185">
        <v>1</v>
      </c>
      <c r="I4681" s="185">
        <v>4</v>
      </c>
      <c r="J4681" s="901" t="s">
        <v>1796</v>
      </c>
      <c r="K4681" s="163" t="s">
        <v>6353</v>
      </c>
      <c r="L4681" s="163" t="s">
        <v>3832</v>
      </c>
      <c r="M4681" s="163" t="s">
        <v>254</v>
      </c>
      <c r="N4681" s="163" t="s">
        <v>7370</v>
      </c>
      <c r="O4681" s="163"/>
      <c r="P4681" s="182" t="s">
        <v>461</v>
      </c>
      <c r="Q4681" s="163" t="s">
        <v>4929</v>
      </c>
      <c r="R4681" s="186" t="s">
        <v>4796</v>
      </c>
      <c r="S4681" s="355" t="s">
        <v>2614</v>
      </c>
      <c r="T4681" s="182" t="s">
        <v>1738</v>
      </c>
      <c r="U4681" s="182"/>
      <c r="V4681" s="182"/>
      <c r="W4681" s="314" t="s">
        <v>7778</v>
      </c>
      <c r="X4681" s="646" t="s">
        <v>12348</v>
      </c>
      <c r="Y4681" s="355"/>
      <c r="Z4681" s="185"/>
      <c r="AA4681" s="185"/>
      <c r="AB4681" s="33">
        <f t="shared" ca="1" si="117"/>
        <v>0.17839225746457243</v>
      </c>
      <c r="AC4681" s="813"/>
      <c r="AD4681" s="211"/>
      <c r="AE4681" s="941"/>
      <c r="AF4681" s="922">
        <f>IF(X4681=X4680,AF4680,0)+IF(ISNUMBER(I4681),IF(I4681&lt;1,I4681,I4681*VLOOKUP(J4681,Summary!$H$2:$I$9,2)),VLOOKUP(J4681,Summary!$J$2:$K$9,2)*IF(ISNUMBER(H4681),H4681,1))</f>
        <v>1.2577662037037036</v>
      </c>
      <c r="AG4681" s="290">
        <v>4680</v>
      </c>
      <c r="AH4681" s="94"/>
      <c r="AI4681" s="94"/>
    </row>
    <row r="4682" spans="1:35" s="1" customFormat="1" ht="12" customHeight="1" x14ac:dyDescent="0.25">
      <c r="A4682" s="615" t="s">
        <v>15673</v>
      </c>
      <c r="B4682" s="615">
        <v>11</v>
      </c>
      <c r="C4682" s="615">
        <v>48</v>
      </c>
      <c r="D4682" s="417" t="s">
        <v>2896</v>
      </c>
      <c r="E4682" s="316" t="s">
        <v>2903</v>
      </c>
      <c r="F4682" s="195">
        <v>40717</v>
      </c>
      <c r="G4682" s="195"/>
      <c r="H4682" s="188" t="str">
        <f>IF(J4682="Book","n/a","")</f>
        <v>n/a</v>
      </c>
      <c r="I4682" s="188">
        <v>238</v>
      </c>
      <c r="J4682" s="902" t="s">
        <v>6868</v>
      </c>
      <c r="K4682" s="162" t="s">
        <v>2310</v>
      </c>
      <c r="L4682" s="162" t="str">
        <f>IF(J4682="Book","n/a","")</f>
        <v>n/a</v>
      </c>
      <c r="M4682" s="162"/>
      <c r="N4682" s="162"/>
      <c r="O4682" s="162"/>
      <c r="P4682" s="178" t="s">
        <v>785</v>
      </c>
      <c r="Q4682" s="162" t="s">
        <v>3953</v>
      </c>
      <c r="R4682" s="189" t="s">
        <v>2711</v>
      </c>
      <c r="S4682" s="366" t="s">
        <v>2614</v>
      </c>
      <c r="T4682" s="178" t="s">
        <v>1738</v>
      </c>
      <c r="U4682" s="178"/>
      <c r="V4682" s="178"/>
      <c r="W4682" s="316" t="s">
        <v>2903</v>
      </c>
      <c r="X4682" s="648" t="s">
        <v>15475</v>
      </c>
      <c r="Y4682" s="356"/>
      <c r="Z4682" s="272">
        <v>187</v>
      </c>
      <c r="AA4682" s="272">
        <v>3.5</v>
      </c>
      <c r="AB4682" s="34">
        <f t="shared" ca="1" si="117"/>
        <v>0.53436485996748784</v>
      </c>
      <c r="AC4682" s="814"/>
      <c r="AD4682" s="815" t="s">
        <v>16690</v>
      </c>
      <c r="AE4682" s="942"/>
      <c r="AF4682" s="923">
        <f>IF(X4682=X4681,AF4681,0)+IF(ISNUMBER(I4682),IF(I4682&lt;1,I4682,I4682*VLOOKUP(J4682,Summary!$H$2:$I$9,2)),VLOOKUP(J4682,Summary!$J$2:$K$9,2)*IF(ISNUMBER(H4682),H4682,1))</f>
        <v>0.16527777777777777</v>
      </c>
      <c r="AG4682" s="291">
        <v>4681</v>
      </c>
      <c r="AH4682" s="94"/>
      <c r="AI4682" s="94"/>
    </row>
    <row r="4683" spans="1:35" s="29" customFormat="1" ht="12" customHeight="1" x14ac:dyDescent="0.25">
      <c r="A4683" s="613" t="s">
        <v>15673</v>
      </c>
      <c r="B4683" s="613">
        <v>11</v>
      </c>
      <c r="C4683" s="613">
        <v>2</v>
      </c>
      <c r="D4683" s="509" t="s">
        <v>2816</v>
      </c>
      <c r="E4683" s="335" t="s">
        <v>64</v>
      </c>
      <c r="F4683" s="223">
        <v>40620</v>
      </c>
      <c r="G4683" s="223"/>
      <c r="H4683" s="242">
        <v>2</v>
      </c>
      <c r="I4683" s="792">
        <f>TIME(0, 3,20)+TIME(0, 2,54)</f>
        <v>4.3287037037037044E-3</v>
      </c>
      <c r="J4683" s="909" t="s">
        <v>1588</v>
      </c>
      <c r="K4683" s="243" t="s">
        <v>3810</v>
      </c>
      <c r="L4683" s="243" t="s">
        <v>6332</v>
      </c>
      <c r="M4683" s="243"/>
      <c r="N4683" s="243" t="s">
        <v>3810</v>
      </c>
      <c r="O4683" s="243" t="s">
        <v>5004</v>
      </c>
      <c r="P4683" s="241" t="s">
        <v>461</v>
      </c>
      <c r="Q4683" s="243" t="s">
        <v>3946</v>
      </c>
      <c r="R4683" s="244" t="s">
        <v>5270</v>
      </c>
      <c r="S4683" s="395" t="s">
        <v>2614</v>
      </c>
      <c r="T4683" s="241" t="s">
        <v>1738</v>
      </c>
      <c r="U4683" s="241"/>
      <c r="V4683" s="241"/>
      <c r="W4683" s="339" t="s">
        <v>10117</v>
      </c>
      <c r="X4683" s="672" t="s">
        <v>15475</v>
      </c>
      <c r="Y4683" s="375" t="s">
        <v>7018</v>
      </c>
      <c r="Z4683" s="376">
        <v>201</v>
      </c>
      <c r="AA4683" s="377">
        <v>4.5</v>
      </c>
      <c r="AB4683" s="55">
        <f t="shared" ca="1" si="117"/>
        <v>0.51938859587766961</v>
      </c>
      <c r="AC4683" s="834"/>
      <c r="AD4683" s="835" t="s">
        <v>461</v>
      </c>
      <c r="AE4683" s="957"/>
      <c r="AF4683" s="930">
        <f>IF(X4683=X4682,AF4682,0)+IF(ISNUMBER(I4683),IF(I4683&lt;1,I4683,I4683*VLOOKUP(J4683,Summary!$H$2:$I$9,2)),VLOOKUP(J4683,Summary!$J$2:$K$9,2)*IF(ISNUMBER(H4683),H4683,1))</f>
        <v>0.16960648148148147</v>
      </c>
      <c r="AG4683" s="302">
        <v>4682</v>
      </c>
      <c r="AH4683" s="94"/>
      <c r="AI4683" s="94"/>
    </row>
    <row r="4684" spans="1:35" s="29" customFormat="1" ht="12" customHeight="1" x14ac:dyDescent="0.25">
      <c r="A4684" s="614" t="s">
        <v>15673</v>
      </c>
      <c r="B4684" s="614">
        <v>11</v>
      </c>
      <c r="C4684" s="614">
        <v>169</v>
      </c>
      <c r="D4684" s="185" t="s">
        <v>1515</v>
      </c>
      <c r="E4684" s="314" t="s">
        <v>7779</v>
      </c>
      <c r="F4684" s="184">
        <v>40626</v>
      </c>
      <c r="G4684" s="184">
        <v>40632</v>
      </c>
      <c r="H4684" s="185">
        <v>1</v>
      </c>
      <c r="I4684" s="185">
        <v>4</v>
      </c>
      <c r="J4684" s="901" t="s">
        <v>1796</v>
      </c>
      <c r="K4684" s="163" t="s">
        <v>176</v>
      </c>
      <c r="L4684" s="163" t="s">
        <v>3832</v>
      </c>
      <c r="M4684" s="163" t="s">
        <v>254</v>
      </c>
      <c r="N4684" s="163" t="s">
        <v>7370</v>
      </c>
      <c r="O4684" s="163"/>
      <c r="P4684" s="182" t="s">
        <v>461</v>
      </c>
      <c r="Q4684" s="163" t="s">
        <v>4929</v>
      </c>
      <c r="R4684" s="186" t="s">
        <v>4796</v>
      </c>
      <c r="S4684" s="355" t="s">
        <v>2614</v>
      </c>
      <c r="T4684" s="182" t="s">
        <v>1738</v>
      </c>
      <c r="U4684" s="182"/>
      <c r="V4684" s="182"/>
      <c r="W4684" s="314" t="s">
        <v>7779</v>
      </c>
      <c r="X4684" s="646" t="s">
        <v>15475</v>
      </c>
      <c r="Y4684" s="355"/>
      <c r="Z4684" s="185"/>
      <c r="AA4684" s="185"/>
      <c r="AB4684" s="33">
        <f t="shared" ca="1" si="117"/>
        <v>0.86502068111859409</v>
      </c>
      <c r="AC4684" s="813"/>
      <c r="AD4684" s="211"/>
      <c r="AE4684" s="941"/>
      <c r="AF4684" s="922">
        <f>IF(X4684=X4683,AF4683,0)+IF(ISNUMBER(I4684),IF(I4684&lt;1,I4684,I4684*VLOOKUP(J4684,Summary!$H$2:$I$9,2)),VLOOKUP(J4684,Summary!$J$2:$K$9,2)*IF(ISNUMBER(H4684),H4684,1))</f>
        <v>0.17099537037037035</v>
      </c>
      <c r="AG4684" s="290">
        <v>4683</v>
      </c>
      <c r="AH4684" s="94"/>
      <c r="AI4684" s="94"/>
    </row>
    <row r="4685" spans="1:35" s="29" customFormat="1" ht="12" customHeight="1" x14ac:dyDescent="0.25">
      <c r="A4685" s="614" t="s">
        <v>15673</v>
      </c>
      <c r="B4685" s="614">
        <v>11</v>
      </c>
      <c r="C4685" s="614">
        <v>170</v>
      </c>
      <c r="D4685" s="185" t="s">
        <v>1516</v>
      </c>
      <c r="E4685" s="314" t="s">
        <v>7780</v>
      </c>
      <c r="F4685" s="184">
        <v>40633</v>
      </c>
      <c r="G4685" s="184">
        <v>40639</v>
      </c>
      <c r="H4685" s="185">
        <v>1</v>
      </c>
      <c r="I4685" s="185">
        <v>4</v>
      </c>
      <c r="J4685" s="901" t="s">
        <v>1796</v>
      </c>
      <c r="K4685" s="163" t="s">
        <v>6353</v>
      </c>
      <c r="L4685" s="163" t="s">
        <v>3832</v>
      </c>
      <c r="M4685" s="163" t="s">
        <v>254</v>
      </c>
      <c r="N4685" s="163" t="s">
        <v>7370</v>
      </c>
      <c r="O4685" s="163"/>
      <c r="P4685" s="182" t="s">
        <v>461</v>
      </c>
      <c r="Q4685" s="163" t="s">
        <v>4929</v>
      </c>
      <c r="R4685" s="186" t="s">
        <v>4796</v>
      </c>
      <c r="S4685" s="355" t="s">
        <v>2614</v>
      </c>
      <c r="T4685" s="182" t="s">
        <v>1738</v>
      </c>
      <c r="U4685" s="182"/>
      <c r="V4685" s="182"/>
      <c r="W4685" s="314" t="s">
        <v>7780</v>
      </c>
      <c r="X4685" s="646" t="s">
        <v>15475</v>
      </c>
      <c r="Y4685" s="355"/>
      <c r="Z4685" s="185"/>
      <c r="AA4685" s="185"/>
      <c r="AB4685" s="33">
        <f t="shared" ca="1" si="117"/>
        <v>0.54678277132188302</v>
      </c>
      <c r="AC4685" s="813"/>
      <c r="AD4685" s="211"/>
      <c r="AE4685" s="941"/>
      <c r="AF4685" s="922">
        <f>IF(X4685=X4684,AF4684,0)+IF(ISNUMBER(I4685),IF(I4685&lt;1,I4685,I4685*VLOOKUP(J4685,Summary!$H$2:$I$9,2)),VLOOKUP(J4685,Summary!$J$2:$K$9,2)*IF(ISNUMBER(H4685),H4685,1))</f>
        <v>0.17238425925925924</v>
      </c>
      <c r="AG4685" s="290">
        <v>4684</v>
      </c>
      <c r="AH4685" s="94"/>
      <c r="AI4685" s="94"/>
    </row>
    <row r="4686" spans="1:35" s="22" customFormat="1" ht="12" customHeight="1" x14ac:dyDescent="0.2">
      <c r="A4686" s="614" t="s">
        <v>15673</v>
      </c>
      <c r="B4686" s="614">
        <v>11</v>
      </c>
      <c r="C4686" s="614">
        <v>171</v>
      </c>
      <c r="D4686" s="185" t="s">
        <v>1517</v>
      </c>
      <c r="E4686" s="314" t="s">
        <v>7781</v>
      </c>
      <c r="F4686" s="184">
        <v>40640</v>
      </c>
      <c r="G4686" s="184">
        <v>40646</v>
      </c>
      <c r="H4686" s="185">
        <v>1</v>
      </c>
      <c r="I4686" s="185">
        <v>4</v>
      </c>
      <c r="J4686" s="901" t="s">
        <v>1796</v>
      </c>
      <c r="K4686" s="163" t="s">
        <v>6353</v>
      </c>
      <c r="L4686" s="163" t="s">
        <v>3832</v>
      </c>
      <c r="M4686" s="163" t="s">
        <v>254</v>
      </c>
      <c r="N4686" s="163" t="s">
        <v>7370</v>
      </c>
      <c r="O4686" s="163"/>
      <c r="P4686" s="182" t="s">
        <v>461</v>
      </c>
      <c r="Q4686" s="163" t="s">
        <v>4929</v>
      </c>
      <c r="R4686" s="186" t="s">
        <v>4796</v>
      </c>
      <c r="S4686" s="355" t="s">
        <v>2614</v>
      </c>
      <c r="T4686" s="182" t="s">
        <v>1738</v>
      </c>
      <c r="U4686" s="182"/>
      <c r="V4686" s="182"/>
      <c r="W4686" s="314" t="s">
        <v>7781</v>
      </c>
      <c r="X4686" s="646" t="s">
        <v>15475</v>
      </c>
      <c r="Y4686" s="355"/>
      <c r="Z4686" s="185"/>
      <c r="AA4686" s="185"/>
      <c r="AB4686" s="33">
        <f t="shared" ca="1" si="117"/>
        <v>0.25309103160527169</v>
      </c>
      <c r="AC4686" s="813"/>
      <c r="AD4686" s="211"/>
      <c r="AE4686" s="941"/>
      <c r="AF4686" s="922">
        <f>IF(X4686=X4685,AF4685,0)+IF(ISNUMBER(I4686),IF(I4686&lt;1,I4686,I4686*VLOOKUP(J4686,Summary!$H$2:$I$9,2)),VLOOKUP(J4686,Summary!$J$2:$K$9,2)*IF(ISNUMBER(H4686),H4686,1))</f>
        <v>0.17377314814814812</v>
      </c>
      <c r="AG4686" s="290">
        <v>4685</v>
      </c>
      <c r="AH4686" s="94"/>
      <c r="AI4686" s="94"/>
    </row>
    <row r="4687" spans="1:35" s="29" customFormat="1" ht="12" customHeight="1" x14ac:dyDescent="0.25">
      <c r="A4687" s="614" t="s">
        <v>15673</v>
      </c>
      <c r="B4687" s="614">
        <v>11</v>
      </c>
      <c r="C4687" s="614">
        <v>172</v>
      </c>
      <c r="D4687" s="185" t="s">
        <v>1518</v>
      </c>
      <c r="E4687" s="314" t="s">
        <v>7782</v>
      </c>
      <c r="F4687" s="184">
        <v>40647</v>
      </c>
      <c r="G4687" s="184">
        <v>40653</v>
      </c>
      <c r="H4687" s="185">
        <v>1</v>
      </c>
      <c r="I4687" s="185">
        <v>4</v>
      </c>
      <c r="J4687" s="901" t="s">
        <v>1796</v>
      </c>
      <c r="K4687" s="163" t="s">
        <v>4147</v>
      </c>
      <c r="L4687" s="163" t="s">
        <v>3832</v>
      </c>
      <c r="M4687" s="163" t="s">
        <v>254</v>
      </c>
      <c r="N4687" s="163" t="s">
        <v>7370</v>
      </c>
      <c r="O4687" s="163"/>
      <c r="P4687" s="182" t="s">
        <v>461</v>
      </c>
      <c r="Q4687" s="163" t="s">
        <v>4929</v>
      </c>
      <c r="R4687" s="186" t="s">
        <v>4796</v>
      </c>
      <c r="S4687" s="355" t="s">
        <v>2614</v>
      </c>
      <c r="T4687" s="182" t="s">
        <v>1738</v>
      </c>
      <c r="U4687" s="182"/>
      <c r="V4687" s="182"/>
      <c r="W4687" s="314" t="s">
        <v>7782</v>
      </c>
      <c r="X4687" s="646" t="s">
        <v>15475</v>
      </c>
      <c r="Y4687" s="355"/>
      <c r="Z4687" s="185"/>
      <c r="AA4687" s="185"/>
      <c r="AB4687" s="33">
        <f t="shared" ca="1" si="117"/>
        <v>0.72386944891207139</v>
      </c>
      <c r="AC4687" s="813"/>
      <c r="AD4687" s="211"/>
      <c r="AE4687" s="941"/>
      <c r="AF4687" s="922">
        <f>IF(X4687=X4686,AF4686,0)+IF(ISNUMBER(I4687),IF(I4687&lt;1,I4687,I4687*VLOOKUP(J4687,Summary!$H$2:$I$9,2)),VLOOKUP(J4687,Summary!$J$2:$K$9,2)*IF(ISNUMBER(H4687),H4687,1))</f>
        <v>0.17516203703703701</v>
      </c>
      <c r="AG4687" s="290">
        <v>4686</v>
      </c>
      <c r="AH4687" s="94"/>
      <c r="AI4687" s="94"/>
    </row>
    <row r="4688" spans="1:35" s="1" customFormat="1" ht="12" customHeight="1" x14ac:dyDescent="0.25">
      <c r="A4688" s="614" t="s">
        <v>15673</v>
      </c>
      <c r="B4688" s="614">
        <v>11</v>
      </c>
      <c r="C4688" s="614">
        <v>173</v>
      </c>
      <c r="D4688" s="185" t="s">
        <v>1519</v>
      </c>
      <c r="E4688" s="314" t="s">
        <v>7783</v>
      </c>
      <c r="F4688" s="184">
        <v>40654</v>
      </c>
      <c r="G4688" s="184">
        <v>40660</v>
      </c>
      <c r="H4688" s="185">
        <v>1</v>
      </c>
      <c r="I4688" s="185">
        <v>4</v>
      </c>
      <c r="J4688" s="901" t="s">
        <v>1796</v>
      </c>
      <c r="K4688" s="163" t="s">
        <v>6353</v>
      </c>
      <c r="L4688" s="163" t="s">
        <v>3832</v>
      </c>
      <c r="M4688" s="163" t="s">
        <v>254</v>
      </c>
      <c r="N4688" s="163" t="s">
        <v>7370</v>
      </c>
      <c r="O4688" s="163"/>
      <c r="P4688" s="182" t="s">
        <v>461</v>
      </c>
      <c r="Q4688" s="163" t="s">
        <v>4929</v>
      </c>
      <c r="R4688" s="186" t="s">
        <v>4796</v>
      </c>
      <c r="S4688" s="355" t="s">
        <v>2614</v>
      </c>
      <c r="T4688" s="182" t="s">
        <v>1738</v>
      </c>
      <c r="U4688" s="182"/>
      <c r="V4688" s="182"/>
      <c r="W4688" s="314" t="s">
        <v>7783</v>
      </c>
      <c r="X4688" s="646" t="s">
        <v>15475</v>
      </c>
      <c r="Y4688" s="355"/>
      <c r="Z4688" s="185"/>
      <c r="AA4688" s="185"/>
      <c r="AB4688" s="33">
        <f t="shared" ca="1" si="117"/>
        <v>0.78094660012701878</v>
      </c>
      <c r="AC4688" s="813"/>
      <c r="AD4688" s="211"/>
      <c r="AE4688" s="941"/>
      <c r="AF4688" s="922">
        <f>IF(X4688=X4687,AF4687,0)+IF(ISNUMBER(I4688),IF(I4688&lt;1,I4688,I4688*VLOOKUP(J4688,Summary!$H$2:$I$9,2)),VLOOKUP(J4688,Summary!$J$2:$K$9,2)*IF(ISNUMBER(H4688),H4688,1))</f>
        <v>0.17655092592592589</v>
      </c>
      <c r="AG4688" s="290">
        <v>4687</v>
      </c>
      <c r="AH4688" s="94"/>
      <c r="AI4688" s="94"/>
    </row>
    <row r="4689" spans="1:36" s="22" customFormat="1" ht="12" customHeight="1" x14ac:dyDescent="0.2">
      <c r="A4689" s="614" t="s">
        <v>15673</v>
      </c>
      <c r="B4689" s="614">
        <v>11</v>
      </c>
      <c r="C4689" s="614">
        <v>174</v>
      </c>
      <c r="D4689" s="185" t="s">
        <v>1520</v>
      </c>
      <c r="E4689" s="314" t="s">
        <v>7784</v>
      </c>
      <c r="F4689" s="184">
        <v>40661</v>
      </c>
      <c r="G4689" s="184">
        <v>40667</v>
      </c>
      <c r="H4689" s="185">
        <v>1</v>
      </c>
      <c r="I4689" s="185">
        <v>4</v>
      </c>
      <c r="J4689" s="901" t="s">
        <v>1796</v>
      </c>
      <c r="K4689" s="163" t="s">
        <v>6353</v>
      </c>
      <c r="L4689" s="163" t="s">
        <v>3832</v>
      </c>
      <c r="M4689" s="163" t="s">
        <v>254</v>
      </c>
      <c r="N4689" s="163" t="s">
        <v>7370</v>
      </c>
      <c r="O4689" s="163"/>
      <c r="P4689" s="182" t="s">
        <v>461</v>
      </c>
      <c r="Q4689" s="163" t="s">
        <v>4929</v>
      </c>
      <c r="R4689" s="186" t="s">
        <v>4796</v>
      </c>
      <c r="S4689" s="355" t="s">
        <v>2614</v>
      </c>
      <c r="T4689" s="182" t="s">
        <v>1738</v>
      </c>
      <c r="U4689" s="182"/>
      <c r="V4689" s="182"/>
      <c r="W4689" s="314" t="s">
        <v>7784</v>
      </c>
      <c r="X4689" s="646" t="s">
        <v>15475</v>
      </c>
      <c r="Y4689" s="355"/>
      <c r="Z4689" s="185"/>
      <c r="AA4689" s="185"/>
      <c r="AB4689" s="33">
        <f t="shared" ca="1" si="117"/>
        <v>0.65753246816583211</v>
      </c>
      <c r="AC4689" s="813"/>
      <c r="AD4689" s="211"/>
      <c r="AE4689" s="941"/>
      <c r="AF4689" s="922">
        <f>IF(X4689=X4688,AF4688,0)+IF(ISNUMBER(I4689),IF(I4689&lt;1,I4689,I4689*VLOOKUP(J4689,Summary!$H$2:$I$9,2)),VLOOKUP(J4689,Summary!$J$2:$K$9,2)*IF(ISNUMBER(H4689),H4689,1))</f>
        <v>0.17793981481481477</v>
      </c>
      <c r="AG4689" s="290">
        <v>4688</v>
      </c>
      <c r="AH4689" s="94"/>
      <c r="AI4689" s="94"/>
    </row>
    <row r="4690" spans="1:36" s="29" customFormat="1" ht="12" customHeight="1" x14ac:dyDescent="0.25">
      <c r="A4690" s="614" t="s">
        <v>15673</v>
      </c>
      <c r="B4690" s="614">
        <v>11</v>
      </c>
      <c r="C4690" s="614"/>
      <c r="D4690" s="185" t="s">
        <v>14</v>
      </c>
      <c r="E4690" s="314" t="s">
        <v>7785</v>
      </c>
      <c r="F4690" s="183">
        <v>40634</v>
      </c>
      <c r="G4690" s="183"/>
      <c r="H4690" s="185">
        <v>1</v>
      </c>
      <c r="I4690" s="185">
        <v>22</v>
      </c>
      <c r="J4690" s="901" t="s">
        <v>1796</v>
      </c>
      <c r="K4690" s="163" t="s">
        <v>3303</v>
      </c>
      <c r="L4690" s="163" t="s">
        <v>12</v>
      </c>
      <c r="M4690" s="163" t="s">
        <v>6567</v>
      </c>
      <c r="N4690" s="163" t="s">
        <v>6573</v>
      </c>
      <c r="O4690" s="163"/>
      <c r="P4690" s="182" t="s">
        <v>461</v>
      </c>
      <c r="Q4690" s="163" t="s">
        <v>5719</v>
      </c>
      <c r="R4690" s="186" t="s">
        <v>5718</v>
      </c>
      <c r="S4690" s="355" t="s">
        <v>2614</v>
      </c>
      <c r="T4690" s="182" t="s">
        <v>1738</v>
      </c>
      <c r="U4690" s="182"/>
      <c r="V4690" s="182"/>
      <c r="W4690" s="314" t="s">
        <v>7785</v>
      </c>
      <c r="X4690" s="646" t="s">
        <v>15475</v>
      </c>
      <c r="Y4690" s="355" t="s">
        <v>6000</v>
      </c>
      <c r="Z4690" s="185"/>
      <c r="AA4690" s="185"/>
      <c r="AB4690" s="33">
        <f t="shared" ca="1" si="117"/>
        <v>0.71852822388733573</v>
      </c>
      <c r="AC4690" s="813"/>
      <c r="AD4690" s="826" t="s">
        <v>15069</v>
      </c>
      <c r="AE4690" s="941" t="s">
        <v>12543</v>
      </c>
      <c r="AF4690" s="922">
        <f>IF(X4690=X4689,AF4689,0)+IF(ISNUMBER(I4690),IF(I4690&lt;1,I4690,I4690*VLOOKUP(J4690,Summary!$H$2:$I$9,2)),VLOOKUP(J4690,Summary!$J$2:$K$9,2)*IF(ISNUMBER(H4690),H4690,1))</f>
        <v>0.18557870370370366</v>
      </c>
      <c r="AG4690" s="290">
        <v>4689</v>
      </c>
      <c r="AH4690" s="94"/>
      <c r="AI4690" s="94"/>
    </row>
    <row r="4691" spans="1:36" s="1" customFormat="1" ht="12" customHeight="1" x14ac:dyDescent="0.25">
      <c r="A4691" s="613" t="s">
        <v>15673</v>
      </c>
      <c r="B4691" s="613">
        <v>11</v>
      </c>
      <c r="C4691" s="613">
        <v>4</v>
      </c>
      <c r="D4691" s="509" t="s">
        <v>5737</v>
      </c>
      <c r="E4691" s="335" t="s">
        <v>7786</v>
      </c>
      <c r="F4691" s="223">
        <v>40869</v>
      </c>
      <c r="G4691" s="223"/>
      <c r="H4691" s="242">
        <v>1</v>
      </c>
      <c r="I4691" s="792">
        <f>TIME(0, 4,51)</f>
        <v>3.3680555555555551E-3</v>
      </c>
      <c r="J4691" s="909" t="s">
        <v>1588</v>
      </c>
      <c r="K4691" s="243" t="s">
        <v>3810</v>
      </c>
      <c r="L4691" s="243" t="s">
        <v>6332</v>
      </c>
      <c r="M4691" s="243"/>
      <c r="N4691" s="243" t="s">
        <v>3810</v>
      </c>
      <c r="O4691" s="243" t="s">
        <v>5004</v>
      </c>
      <c r="P4691" s="241" t="s">
        <v>461</v>
      </c>
      <c r="Q4691" s="243" t="s">
        <v>3946</v>
      </c>
      <c r="R4691" s="244" t="s">
        <v>237</v>
      </c>
      <c r="S4691" s="395" t="s">
        <v>2614</v>
      </c>
      <c r="T4691" s="241"/>
      <c r="U4691" s="241"/>
      <c r="V4691" s="241"/>
      <c r="W4691" s="335" t="s">
        <v>7786</v>
      </c>
      <c r="X4691" s="667" t="s">
        <v>15475</v>
      </c>
      <c r="Y4691" s="375"/>
      <c r="Z4691" s="377">
        <v>108</v>
      </c>
      <c r="AA4691" s="377">
        <v>6.5</v>
      </c>
      <c r="AB4691" s="55">
        <f t="shared" ca="1" si="117"/>
        <v>0.35273564059434159</v>
      </c>
      <c r="AC4691" s="834"/>
      <c r="AD4691" s="835"/>
      <c r="AE4691" s="957"/>
      <c r="AF4691" s="930">
        <f>IF(X4691=X4690,AF4690,0)+IF(ISNUMBER(I4691),IF(I4691&lt;1,I4691,I4691*VLOOKUP(J4691,Summary!$H$2:$I$9,2)),VLOOKUP(J4691,Summary!$J$2:$K$9,2)*IF(ISNUMBER(H4691),H4691,1))</f>
        <v>0.18894675925925922</v>
      </c>
      <c r="AG4691" s="302">
        <v>4690</v>
      </c>
      <c r="AH4691" s="94"/>
      <c r="AI4691" s="94"/>
    </row>
    <row r="4692" spans="1:36" s="22" customFormat="1" ht="12" customHeight="1" x14ac:dyDescent="0.25">
      <c r="A4692" s="618" t="s">
        <v>15673</v>
      </c>
      <c r="B4692" s="618">
        <v>11</v>
      </c>
      <c r="C4692" s="618">
        <v>10</v>
      </c>
      <c r="D4692" s="176" t="s">
        <v>15520</v>
      </c>
      <c r="E4692" s="313" t="s">
        <v>15521</v>
      </c>
      <c r="F4692" s="175">
        <v>43384</v>
      </c>
      <c r="G4692" s="174"/>
      <c r="H4692" s="176">
        <v>1</v>
      </c>
      <c r="I4692" s="176"/>
      <c r="J4692" s="900" t="s">
        <v>2755</v>
      </c>
      <c r="K4692" s="164" t="s">
        <v>15498</v>
      </c>
      <c r="L4692" s="164" t="s">
        <v>461</v>
      </c>
      <c r="M4692" s="164"/>
      <c r="N4692" s="164"/>
      <c r="O4692" s="164"/>
      <c r="P4692" s="173" t="s">
        <v>15499</v>
      </c>
      <c r="Q4692" s="164" t="s">
        <v>3953</v>
      </c>
      <c r="R4692" s="179" t="s">
        <v>15500</v>
      </c>
      <c r="S4692" s="354"/>
      <c r="T4692" s="173"/>
      <c r="U4692" s="173"/>
      <c r="V4692" s="173"/>
      <c r="W4692" s="313" t="s">
        <v>15521</v>
      </c>
      <c r="X4692" s="645" t="s">
        <v>15475</v>
      </c>
      <c r="Y4692" s="354"/>
      <c r="Z4692" s="176"/>
      <c r="AA4692" s="176"/>
      <c r="AB4692" s="32">
        <f t="shared" ca="1" si="117"/>
        <v>0.36728275734885973</v>
      </c>
      <c r="AC4692" s="812"/>
      <c r="AD4692" s="763"/>
      <c r="AE4692" s="807"/>
      <c r="AF4692" s="921">
        <f>IF(X4692=X4691,AF4691,0)+IF(ISNUMBER(I4692),IF(I4692&lt;1,I4692,I4692*VLOOKUP(J4692,Summary!$H$2:$I$9,2)),VLOOKUP(J4692,Summary!$J$2:$K$9,2)*IF(ISNUMBER(H4692),H4692,1))</f>
        <v>0.20630787037037032</v>
      </c>
      <c r="AG4692" s="288">
        <v>4691</v>
      </c>
      <c r="AH4692" s="94"/>
      <c r="AI4692" s="94"/>
    </row>
    <row r="4693" spans="1:36" s="22" customFormat="1" ht="12" customHeight="1" x14ac:dyDescent="0.25">
      <c r="A4693" s="615" t="s">
        <v>15673</v>
      </c>
      <c r="B4693" s="615">
        <v>11</v>
      </c>
      <c r="C4693" s="615">
        <v>3.1</v>
      </c>
      <c r="D4693" s="188" t="s">
        <v>2201</v>
      </c>
      <c r="E4693" s="316" t="s">
        <v>2199</v>
      </c>
      <c r="F4693" s="272">
        <v>2011</v>
      </c>
      <c r="G4693" s="195"/>
      <c r="H4693" s="188" t="str">
        <f>IF(J4693="Book","n/a","")</f>
        <v>n/a</v>
      </c>
      <c r="I4693" s="188">
        <v>199</v>
      </c>
      <c r="J4693" s="902" t="s">
        <v>6868</v>
      </c>
      <c r="K4693" s="162" t="s">
        <v>2675</v>
      </c>
      <c r="L4693" s="162" t="str">
        <f>IF(J4693="Book","n/a","")</f>
        <v>n/a</v>
      </c>
      <c r="M4693" s="162"/>
      <c r="N4693" s="162"/>
      <c r="O4693" s="162"/>
      <c r="P4693" s="178" t="s">
        <v>2200</v>
      </c>
      <c r="Q4693" s="162" t="s">
        <v>3953</v>
      </c>
      <c r="R4693" s="217" t="s">
        <v>5</v>
      </c>
      <c r="S4693" s="366" t="s">
        <v>2614</v>
      </c>
      <c r="T4693" s="178" t="s">
        <v>1738</v>
      </c>
      <c r="U4693" s="178"/>
      <c r="V4693" s="178"/>
      <c r="W4693" s="316" t="s">
        <v>2199</v>
      </c>
      <c r="X4693" s="648" t="s">
        <v>15475</v>
      </c>
      <c r="Y4693" s="356"/>
      <c r="Z4693" s="272"/>
      <c r="AA4693" s="272"/>
      <c r="AB4693" s="34">
        <f t="shared" ca="1" si="117"/>
        <v>0.80040032558658913</v>
      </c>
      <c r="AC4693" s="814"/>
      <c r="AD4693" s="815" t="s">
        <v>16199</v>
      </c>
      <c r="AE4693" s="942" t="s">
        <v>3365</v>
      </c>
      <c r="AF4693" s="923">
        <f>IF(X4693=X4692,AF4692,0)+IF(ISNUMBER(I4693),IF(I4693&lt;1,I4693,I4693*VLOOKUP(J4693,Summary!$H$2:$I$9,2)),VLOOKUP(J4693,Summary!$J$2:$K$9,2)*IF(ISNUMBER(H4693),H4693,1))</f>
        <v>0.34450231481481475</v>
      </c>
      <c r="AG4693" s="291">
        <v>4692</v>
      </c>
      <c r="AH4693" s="94"/>
      <c r="AI4693" s="94"/>
    </row>
    <row r="4694" spans="1:36" s="29" customFormat="1" ht="12" customHeight="1" x14ac:dyDescent="0.25">
      <c r="A4694" s="615" t="s">
        <v>15673</v>
      </c>
      <c r="B4694" s="615">
        <v>11</v>
      </c>
      <c r="C4694" s="615">
        <v>3.2</v>
      </c>
      <c r="D4694" s="188" t="s">
        <v>2202</v>
      </c>
      <c r="E4694" s="316" t="s">
        <v>2198</v>
      </c>
      <c r="F4694" s="272">
        <v>2011</v>
      </c>
      <c r="G4694" s="195"/>
      <c r="H4694" s="188" t="str">
        <f>IF(J4694="Book","n/a","")</f>
        <v>n/a</v>
      </c>
      <c r="I4694" s="188">
        <v>199</v>
      </c>
      <c r="J4694" s="902" t="s">
        <v>6868</v>
      </c>
      <c r="K4694" s="162" t="s">
        <v>1935</v>
      </c>
      <c r="L4694" s="162" t="str">
        <f>IF(J4694="Book","n/a","")</f>
        <v>n/a</v>
      </c>
      <c r="M4694" s="162"/>
      <c r="N4694" s="162"/>
      <c r="O4694" s="162"/>
      <c r="P4694" s="178" t="s">
        <v>2200</v>
      </c>
      <c r="Q4694" s="162" t="s">
        <v>3953</v>
      </c>
      <c r="R4694" s="217" t="s">
        <v>5</v>
      </c>
      <c r="S4694" s="366" t="s">
        <v>2614</v>
      </c>
      <c r="T4694" s="178" t="s">
        <v>1738</v>
      </c>
      <c r="U4694" s="178"/>
      <c r="V4694" s="178"/>
      <c r="W4694" s="316" t="s">
        <v>2198</v>
      </c>
      <c r="X4694" s="648" t="s">
        <v>15475</v>
      </c>
      <c r="Y4694" s="356"/>
      <c r="Z4694" s="272"/>
      <c r="AA4694" s="272"/>
      <c r="AB4694" s="34">
        <f t="shared" ca="1" si="117"/>
        <v>4.7740935835845599E-2</v>
      </c>
      <c r="AC4694" s="814"/>
      <c r="AD4694" s="815" t="s">
        <v>16254</v>
      </c>
      <c r="AE4694" s="942" t="s">
        <v>3365</v>
      </c>
      <c r="AF4694" s="923">
        <f>IF(X4694=X4693,AF4693,0)+IF(ISNUMBER(I4694),IF(I4694&lt;1,I4694,I4694*VLOOKUP(J4694,Summary!$H$2:$I$9,2)),VLOOKUP(J4694,Summary!$J$2:$K$9,2)*IF(ISNUMBER(H4694),H4694,1))</f>
        <v>0.4826967592592592</v>
      </c>
      <c r="AG4694" s="291">
        <v>4693</v>
      </c>
      <c r="AH4694" s="94"/>
      <c r="AI4694" s="94"/>
    </row>
    <row r="4695" spans="1:36" s="29" customFormat="1" ht="12" customHeight="1" x14ac:dyDescent="0.25">
      <c r="A4695" s="615" t="s">
        <v>15673</v>
      </c>
      <c r="B4695" s="615">
        <v>11</v>
      </c>
      <c r="C4695" s="615">
        <v>4.2</v>
      </c>
      <c r="D4695" s="188" t="s">
        <v>2203</v>
      </c>
      <c r="E4695" s="316" t="s">
        <v>2196</v>
      </c>
      <c r="F4695" s="272">
        <v>2011</v>
      </c>
      <c r="G4695" s="195"/>
      <c r="H4695" s="188" t="str">
        <f>IF(J4695="Book","n/a","")</f>
        <v>n/a</v>
      </c>
      <c r="I4695" s="188">
        <v>199</v>
      </c>
      <c r="J4695" s="902" t="s">
        <v>6868</v>
      </c>
      <c r="K4695" s="162" t="s">
        <v>176</v>
      </c>
      <c r="L4695" s="162" t="str">
        <f>IF(J4695="Book","n/a","")</f>
        <v>n/a</v>
      </c>
      <c r="M4695" s="162"/>
      <c r="N4695" s="162"/>
      <c r="O4695" s="162"/>
      <c r="P4695" s="178" t="s">
        <v>2195</v>
      </c>
      <c r="Q4695" s="162" t="s">
        <v>3953</v>
      </c>
      <c r="R4695" s="217" t="s">
        <v>5</v>
      </c>
      <c r="S4695" s="366" t="s">
        <v>2614</v>
      </c>
      <c r="T4695" s="178" t="s">
        <v>1738</v>
      </c>
      <c r="U4695" s="178"/>
      <c r="V4695" s="178"/>
      <c r="W4695" s="316" t="s">
        <v>2196</v>
      </c>
      <c r="X4695" s="648" t="s">
        <v>15475</v>
      </c>
      <c r="Y4695" s="356"/>
      <c r="Z4695" s="272"/>
      <c r="AA4695" s="272"/>
      <c r="AB4695" s="34">
        <f t="shared" ca="1" si="117"/>
        <v>0.39857493688808976</v>
      </c>
      <c r="AC4695" s="814"/>
      <c r="AD4695" s="815" t="s">
        <v>16178</v>
      </c>
      <c r="AE4695" s="942"/>
      <c r="AF4695" s="923">
        <f>IF(X4695=X4694,AF4694,0)+IF(ISNUMBER(I4695),IF(I4695&lt;1,I4695,I4695*VLOOKUP(J4695,Summary!$H$2:$I$9,2)),VLOOKUP(J4695,Summary!$J$2:$K$9,2)*IF(ISNUMBER(H4695),H4695,1))</f>
        <v>0.62089120370370365</v>
      </c>
      <c r="AG4695" s="291">
        <v>4694</v>
      </c>
      <c r="AH4695" s="94"/>
      <c r="AI4695" s="94"/>
      <c r="AJ4695" s="43"/>
    </row>
    <row r="4696" spans="1:36" s="1" customFormat="1" ht="12" customHeight="1" x14ac:dyDescent="0.25">
      <c r="A4696" s="615" t="s">
        <v>15673</v>
      </c>
      <c r="B4696" s="615">
        <v>11</v>
      </c>
      <c r="C4696" s="615">
        <v>4.0999999999999996</v>
      </c>
      <c r="D4696" s="188" t="s">
        <v>2204</v>
      </c>
      <c r="E4696" s="316" t="s">
        <v>2197</v>
      </c>
      <c r="F4696" s="272">
        <v>2011</v>
      </c>
      <c r="G4696" s="195"/>
      <c r="H4696" s="188" t="str">
        <f>IF(J4696="Book","n/a","")</f>
        <v>n/a</v>
      </c>
      <c r="I4696" s="188">
        <v>199</v>
      </c>
      <c r="J4696" s="902" t="s">
        <v>6868</v>
      </c>
      <c r="K4696" s="162" t="s">
        <v>6997</v>
      </c>
      <c r="L4696" s="162" t="str">
        <f>IF(J4696="Book","n/a","")</f>
        <v>n/a</v>
      </c>
      <c r="M4696" s="162"/>
      <c r="N4696" s="162"/>
      <c r="O4696" s="162"/>
      <c r="P4696" s="178" t="s">
        <v>2195</v>
      </c>
      <c r="Q4696" s="162" t="s">
        <v>3953</v>
      </c>
      <c r="R4696" s="217" t="s">
        <v>5</v>
      </c>
      <c r="S4696" s="366" t="s">
        <v>2614</v>
      </c>
      <c r="T4696" s="178" t="s">
        <v>1738</v>
      </c>
      <c r="U4696" s="178"/>
      <c r="V4696" s="178"/>
      <c r="W4696" s="316" t="s">
        <v>2197</v>
      </c>
      <c r="X4696" s="648" t="s">
        <v>15475</v>
      </c>
      <c r="Y4696" s="356"/>
      <c r="Z4696" s="272"/>
      <c r="AA4696" s="272"/>
      <c r="AB4696" s="34">
        <f t="shared" ca="1" si="117"/>
        <v>0.60004661405703652</v>
      </c>
      <c r="AC4696" s="814"/>
      <c r="AD4696" s="815" t="s">
        <v>16438</v>
      </c>
      <c r="AE4696" s="942" t="s">
        <v>3365</v>
      </c>
      <c r="AF4696" s="923">
        <f>IF(X4696=X4695,AF4695,0)+IF(ISNUMBER(I4696),IF(I4696&lt;1,I4696,I4696*VLOOKUP(J4696,Summary!$H$2:$I$9,2)),VLOOKUP(J4696,Summary!$J$2:$K$9,2)*IF(ISNUMBER(H4696),H4696,1))</f>
        <v>0.75908564814814805</v>
      </c>
      <c r="AG4696" s="291">
        <v>4695</v>
      </c>
      <c r="AH4696" s="94"/>
      <c r="AI4696" s="94"/>
      <c r="AJ4696" s="29"/>
    </row>
    <row r="4697" spans="1:36" s="29" customFormat="1" ht="12" customHeight="1" x14ac:dyDescent="0.25">
      <c r="A4697" s="765" t="s">
        <v>15673</v>
      </c>
      <c r="B4697" s="765">
        <v>11</v>
      </c>
      <c r="C4697" s="765"/>
      <c r="D4697" s="226" t="s">
        <v>13</v>
      </c>
      <c r="E4697" s="331" t="s">
        <v>7787</v>
      </c>
      <c r="F4697" s="766">
        <v>40695</v>
      </c>
      <c r="G4697" s="766">
        <v>40756</v>
      </c>
      <c r="H4697" s="226">
        <v>3</v>
      </c>
      <c r="I4697" s="226">
        <v>66</v>
      </c>
      <c r="J4697" s="907" t="s">
        <v>1796</v>
      </c>
      <c r="K4697" s="228" t="s">
        <v>3303</v>
      </c>
      <c r="L4697" s="228" t="s">
        <v>2335</v>
      </c>
      <c r="M4697" s="228" t="s">
        <v>6567</v>
      </c>
      <c r="N4697" s="228" t="s">
        <v>6573</v>
      </c>
      <c r="O4697" s="228"/>
      <c r="P4697" s="225" t="s">
        <v>461</v>
      </c>
      <c r="Q4697" s="228" t="s">
        <v>5719</v>
      </c>
      <c r="R4697" s="227" t="s">
        <v>5718</v>
      </c>
      <c r="S4697" s="369" t="s">
        <v>2614</v>
      </c>
      <c r="T4697" s="225" t="s">
        <v>1738</v>
      </c>
      <c r="U4697" s="225" t="s">
        <v>22</v>
      </c>
      <c r="V4697" s="225"/>
      <c r="W4697" s="331"/>
      <c r="X4697" s="663" t="s">
        <v>15475</v>
      </c>
      <c r="Y4697" s="369" t="s">
        <v>6000</v>
      </c>
      <c r="Z4697" s="226"/>
      <c r="AA4697" s="226"/>
      <c r="AB4697" s="38">
        <f t="shared" ca="1" si="117"/>
        <v>0.25092316147560489</v>
      </c>
      <c r="AC4697" s="830"/>
      <c r="AD4697" s="831" t="s">
        <v>16174</v>
      </c>
      <c r="AE4697" s="963" t="s">
        <v>3365</v>
      </c>
      <c r="AF4697" s="928">
        <f>IF(X4697=X4696,AF4696,0)+IF(ISNUMBER(I4697),IF(I4697&lt;1,I4697,I4697*VLOOKUP(J4697,Summary!$H$2:$I$9,2)),VLOOKUP(J4697,Summary!$J$2:$K$9,2)*IF(ISNUMBER(H4697),H4697,1))</f>
        <v>0.78200231481481475</v>
      </c>
      <c r="AG4697" s="304">
        <v>4696</v>
      </c>
      <c r="AH4697" s="94"/>
      <c r="AI4697" s="94"/>
    </row>
    <row r="4698" spans="1:36" s="29" customFormat="1" ht="12" customHeight="1" x14ac:dyDescent="0.25">
      <c r="A4698" s="614" t="s">
        <v>15673</v>
      </c>
      <c r="B4698" s="614">
        <v>11</v>
      </c>
      <c r="C4698" s="614"/>
      <c r="D4698" s="185" t="s">
        <v>6175</v>
      </c>
      <c r="E4698" s="314" t="s">
        <v>7788</v>
      </c>
      <c r="F4698" s="183">
        <v>40756</v>
      </c>
      <c r="G4698" s="183"/>
      <c r="H4698" s="185">
        <v>1</v>
      </c>
      <c r="I4698" s="185">
        <v>4</v>
      </c>
      <c r="J4698" s="901" t="s">
        <v>1796</v>
      </c>
      <c r="K4698" s="163" t="s">
        <v>3303</v>
      </c>
      <c r="L4698" s="163" t="s">
        <v>23</v>
      </c>
      <c r="M4698" s="163" t="s">
        <v>3365</v>
      </c>
      <c r="N4698" s="163" t="s">
        <v>6573</v>
      </c>
      <c r="O4698" s="163"/>
      <c r="P4698" s="182" t="s">
        <v>461</v>
      </c>
      <c r="Q4698" s="163" t="s">
        <v>5719</v>
      </c>
      <c r="R4698" s="186" t="s">
        <v>5718</v>
      </c>
      <c r="S4698" s="355" t="s">
        <v>2614</v>
      </c>
      <c r="T4698" s="182" t="s">
        <v>1738</v>
      </c>
      <c r="U4698" s="182" t="s">
        <v>22</v>
      </c>
      <c r="V4698" s="182"/>
      <c r="W4698" s="314" t="s">
        <v>7788</v>
      </c>
      <c r="X4698" s="646" t="s">
        <v>15475</v>
      </c>
      <c r="Y4698" s="355" t="s">
        <v>6000</v>
      </c>
      <c r="Z4698" s="185"/>
      <c r="AA4698" s="185"/>
      <c r="AB4698" s="33">
        <f t="shared" ca="1" si="117"/>
        <v>0.4133545462869409</v>
      </c>
      <c r="AC4698" s="813"/>
      <c r="AD4698" s="211"/>
      <c r="AE4698" s="941"/>
      <c r="AF4698" s="922">
        <f>IF(X4698=X4697,AF4697,0)+IF(ISNUMBER(I4698),IF(I4698&lt;1,I4698,I4698*VLOOKUP(J4698,Summary!$H$2:$I$9,2)),VLOOKUP(J4698,Summary!$J$2:$K$9,2)*IF(ISNUMBER(H4698),H4698,1))</f>
        <v>0.78339120370370363</v>
      </c>
      <c r="AG4698" s="290">
        <v>4697</v>
      </c>
      <c r="AH4698" s="94"/>
      <c r="AI4698" s="94"/>
    </row>
    <row r="4699" spans="1:36" s="29" customFormat="1" ht="12" customHeight="1" x14ac:dyDescent="0.25">
      <c r="A4699" s="614" t="s">
        <v>15673</v>
      </c>
      <c r="B4699" s="614">
        <v>11</v>
      </c>
      <c r="C4699" s="614"/>
      <c r="D4699" s="185" t="s">
        <v>25</v>
      </c>
      <c r="E4699" s="314" t="s">
        <v>7789</v>
      </c>
      <c r="F4699" s="183">
        <v>40787</v>
      </c>
      <c r="G4699" s="183"/>
      <c r="H4699" s="185">
        <v>1</v>
      </c>
      <c r="I4699" s="185">
        <v>26</v>
      </c>
      <c r="J4699" s="901" t="s">
        <v>1796</v>
      </c>
      <c r="K4699" s="163" t="s">
        <v>3303</v>
      </c>
      <c r="L4699" s="163" t="s">
        <v>23</v>
      </c>
      <c r="M4699" s="163" t="s">
        <v>24</v>
      </c>
      <c r="N4699" s="163" t="s">
        <v>6573</v>
      </c>
      <c r="O4699" s="163"/>
      <c r="P4699" s="182" t="s">
        <v>461</v>
      </c>
      <c r="Q4699" s="163" t="s">
        <v>5719</v>
      </c>
      <c r="R4699" s="186" t="s">
        <v>5718</v>
      </c>
      <c r="S4699" s="355" t="s">
        <v>2614</v>
      </c>
      <c r="T4699" s="182" t="s">
        <v>1738</v>
      </c>
      <c r="U4699" s="182" t="s">
        <v>22</v>
      </c>
      <c r="V4699" s="182"/>
      <c r="W4699" s="314" t="s">
        <v>7789</v>
      </c>
      <c r="X4699" s="646" t="s">
        <v>15475</v>
      </c>
      <c r="Y4699" s="355" t="s">
        <v>6000</v>
      </c>
      <c r="Z4699" s="185"/>
      <c r="AA4699" s="185"/>
      <c r="AB4699" s="33">
        <f t="shared" ca="1" si="117"/>
        <v>0.96343988485972287</v>
      </c>
      <c r="AC4699" s="813"/>
      <c r="AD4699" s="211" t="s">
        <v>16174</v>
      </c>
      <c r="AE4699" s="941" t="s">
        <v>3365</v>
      </c>
      <c r="AF4699" s="922">
        <f>IF(X4699=X4698,AF4698,0)+IF(ISNUMBER(I4699),IF(I4699&lt;1,I4699,I4699*VLOOKUP(J4699,Summary!$H$2:$I$9,2)),VLOOKUP(J4699,Summary!$J$2:$K$9,2)*IF(ISNUMBER(H4699),H4699,1))</f>
        <v>0.79241898148148138</v>
      </c>
      <c r="AG4699" s="290">
        <v>4698</v>
      </c>
      <c r="AH4699" s="94"/>
      <c r="AI4699" s="94"/>
    </row>
    <row r="4700" spans="1:36" s="22" customFormat="1" ht="12" customHeight="1" x14ac:dyDescent="0.25">
      <c r="A4700" s="618" t="s">
        <v>15673</v>
      </c>
      <c r="B4700" s="618">
        <v>11</v>
      </c>
      <c r="C4700" s="618">
        <v>11</v>
      </c>
      <c r="D4700" s="176" t="s">
        <v>3112</v>
      </c>
      <c r="E4700" s="313" t="s">
        <v>7790</v>
      </c>
      <c r="F4700" s="273">
        <v>2010</v>
      </c>
      <c r="G4700" s="174"/>
      <c r="H4700" s="176">
        <v>1</v>
      </c>
      <c r="I4700" s="176">
        <v>13</v>
      </c>
      <c r="J4700" s="900" t="s">
        <v>2755</v>
      </c>
      <c r="K4700" s="164" t="s">
        <v>3807</v>
      </c>
      <c r="L4700" s="164"/>
      <c r="M4700" s="164"/>
      <c r="N4700" s="164"/>
      <c r="O4700" s="164"/>
      <c r="P4700" s="173" t="s">
        <v>461</v>
      </c>
      <c r="Q4700" s="164" t="s">
        <v>3946</v>
      </c>
      <c r="R4700" s="177" t="s">
        <v>7896</v>
      </c>
      <c r="S4700" s="354" t="s">
        <v>2614</v>
      </c>
      <c r="T4700" s="173"/>
      <c r="U4700" s="173"/>
      <c r="V4700" s="173"/>
      <c r="W4700" s="313" t="s">
        <v>7790</v>
      </c>
      <c r="X4700" s="645" t="s">
        <v>15475</v>
      </c>
      <c r="Y4700" s="354" t="s">
        <v>6000</v>
      </c>
      <c r="Z4700" s="176"/>
      <c r="AA4700" s="176"/>
      <c r="AB4700" s="32">
        <f t="shared" ca="1" si="117"/>
        <v>0.87415356923593035</v>
      </c>
      <c r="AC4700" s="812"/>
      <c r="AD4700" s="763"/>
      <c r="AE4700" s="807"/>
      <c r="AF4700" s="921">
        <f>IF(X4700=X4699,AF4699,0)+IF(ISNUMBER(I4700),IF(I4700&lt;1,I4700,I4700*VLOOKUP(J4700,Summary!$H$2:$I$9,2)),VLOOKUP(J4700,Summary!$J$2:$K$9,2)*IF(ISNUMBER(H4700),H4700,1))</f>
        <v>0.80144675925925912</v>
      </c>
      <c r="AG4700" s="289">
        <v>4699</v>
      </c>
      <c r="AH4700" s="94"/>
      <c r="AI4700" s="94"/>
    </row>
    <row r="4701" spans="1:36" s="29" customFormat="1" ht="12" customHeight="1" x14ac:dyDescent="0.25">
      <c r="A4701" s="615" t="s">
        <v>15673</v>
      </c>
      <c r="B4701" s="615">
        <v>11</v>
      </c>
      <c r="C4701" s="615">
        <v>45</v>
      </c>
      <c r="D4701" s="417" t="s">
        <v>2893</v>
      </c>
      <c r="E4701" s="316" t="s">
        <v>2900</v>
      </c>
      <c r="F4701" s="195">
        <v>40661</v>
      </c>
      <c r="G4701" s="195"/>
      <c r="H4701" s="188" t="str">
        <f>IF(J4701="Book","n/a","")</f>
        <v>n/a</v>
      </c>
      <c r="I4701" s="188">
        <v>256</v>
      </c>
      <c r="J4701" s="902" t="s">
        <v>6868</v>
      </c>
      <c r="K4701" s="162" t="s">
        <v>1643</v>
      </c>
      <c r="L4701" s="162" t="str">
        <f>IF(J4701="Book","n/a","")</f>
        <v>n/a</v>
      </c>
      <c r="M4701" s="162"/>
      <c r="N4701" s="162"/>
      <c r="O4701" s="162"/>
      <c r="P4701" s="178" t="s">
        <v>786</v>
      </c>
      <c r="Q4701" s="162" t="s">
        <v>3953</v>
      </c>
      <c r="R4701" s="189" t="s">
        <v>2711</v>
      </c>
      <c r="S4701" s="366" t="s">
        <v>2614</v>
      </c>
      <c r="T4701" s="178" t="s">
        <v>1738</v>
      </c>
      <c r="U4701" s="178"/>
      <c r="V4701" s="178"/>
      <c r="W4701" s="316" t="s">
        <v>2900</v>
      </c>
      <c r="X4701" s="648" t="s">
        <v>15475</v>
      </c>
      <c r="Y4701" s="356"/>
      <c r="Z4701" s="272">
        <v>112</v>
      </c>
      <c r="AA4701" s="272">
        <v>5</v>
      </c>
      <c r="AB4701" s="34">
        <f t="shared" ca="1" si="117"/>
        <v>0.45302798329357197</v>
      </c>
      <c r="AC4701" s="814"/>
      <c r="AD4701" s="815" t="s">
        <v>16541</v>
      </c>
      <c r="AE4701" s="942"/>
      <c r="AF4701" s="923">
        <f>IF(X4701=X4700,AF4700,0)+IF(ISNUMBER(I4701),IF(I4701&lt;1,I4701,I4701*VLOOKUP(J4701,Summary!$H$2:$I$9,2)),VLOOKUP(J4701,Summary!$J$2:$K$9,2)*IF(ISNUMBER(H4701),H4701,1))</f>
        <v>0.97922453703703694</v>
      </c>
      <c r="AG4701" s="291">
        <v>4700</v>
      </c>
      <c r="AH4701" s="94"/>
      <c r="AI4701" s="94"/>
    </row>
    <row r="4702" spans="1:36" s="57" customFormat="1" ht="12" customHeight="1" x14ac:dyDescent="0.25">
      <c r="A4702" s="615" t="s">
        <v>15673</v>
      </c>
      <c r="B4702" s="615">
        <v>11</v>
      </c>
      <c r="C4702" s="615">
        <v>44</v>
      </c>
      <c r="D4702" s="417" t="s">
        <v>2892</v>
      </c>
      <c r="E4702" s="316" t="s">
        <v>2899</v>
      </c>
      <c r="F4702" s="195">
        <v>40661</v>
      </c>
      <c r="G4702" s="195"/>
      <c r="H4702" s="188" t="str">
        <f>IF(J4702="Book","n/a","")</f>
        <v>n/a</v>
      </c>
      <c r="I4702" s="188">
        <v>240</v>
      </c>
      <c r="J4702" s="902" t="s">
        <v>6868</v>
      </c>
      <c r="K4702" s="162" t="s">
        <v>7797</v>
      </c>
      <c r="L4702" s="162" t="str">
        <f>IF(J4702="Book","n/a","")</f>
        <v>n/a</v>
      </c>
      <c r="M4702" s="162"/>
      <c r="N4702" s="162"/>
      <c r="O4702" s="162"/>
      <c r="P4702" s="178" t="s">
        <v>787</v>
      </c>
      <c r="Q4702" s="162" t="s">
        <v>3953</v>
      </c>
      <c r="R4702" s="189" t="s">
        <v>2711</v>
      </c>
      <c r="S4702" s="366" t="s">
        <v>2614</v>
      </c>
      <c r="T4702" s="178" t="s">
        <v>1738</v>
      </c>
      <c r="U4702" s="178"/>
      <c r="V4702" s="178"/>
      <c r="W4702" s="316" t="s">
        <v>2899</v>
      </c>
      <c r="X4702" s="648" t="s">
        <v>15475</v>
      </c>
      <c r="Y4702" s="356" t="s">
        <v>6868</v>
      </c>
      <c r="Z4702" s="272">
        <v>97</v>
      </c>
      <c r="AA4702" s="272">
        <v>5</v>
      </c>
      <c r="AB4702" s="34">
        <f t="shared" ca="1" si="117"/>
        <v>0.5807978609546649</v>
      </c>
      <c r="AC4702" s="814"/>
      <c r="AD4702" s="815" t="s">
        <v>16681</v>
      </c>
      <c r="AE4702" s="942"/>
      <c r="AF4702" s="923">
        <f>IF(X4702=X4701,AF4701,0)+IF(ISNUMBER(I4702),IF(I4702&lt;1,I4702,I4702*VLOOKUP(J4702,Summary!$H$2:$I$9,2)),VLOOKUP(J4702,Summary!$J$2:$K$9,2)*IF(ISNUMBER(H4702),H4702,1))</f>
        <v>1.1458912037037037</v>
      </c>
      <c r="AG4702" s="291">
        <v>4701</v>
      </c>
      <c r="AH4702" s="94"/>
      <c r="AI4702" s="94"/>
    </row>
    <row r="4703" spans="1:36" s="22" customFormat="1" ht="12" customHeight="1" x14ac:dyDescent="0.25">
      <c r="A4703" s="615" t="s">
        <v>15673</v>
      </c>
      <c r="B4703" s="615">
        <v>11</v>
      </c>
      <c r="C4703" s="615">
        <v>47</v>
      </c>
      <c r="D4703" s="417" t="s">
        <v>2895</v>
      </c>
      <c r="E4703" s="316" t="s">
        <v>2902</v>
      </c>
      <c r="F4703" s="195">
        <v>40717</v>
      </c>
      <c r="G4703" s="195"/>
      <c r="H4703" s="188" t="str">
        <f>IF(J4703="Book","n/a","")</f>
        <v>n/a</v>
      </c>
      <c r="I4703" s="188">
        <v>237</v>
      </c>
      <c r="J4703" s="902" t="s">
        <v>6868</v>
      </c>
      <c r="K4703" s="162" t="s">
        <v>177</v>
      </c>
      <c r="L4703" s="162" t="str">
        <f>IF(J4703="Book","n/a","")</f>
        <v>n/a</v>
      </c>
      <c r="M4703" s="162"/>
      <c r="N4703" s="162"/>
      <c r="O4703" s="162"/>
      <c r="P4703" s="178" t="s">
        <v>788</v>
      </c>
      <c r="Q4703" s="162" t="s">
        <v>3953</v>
      </c>
      <c r="R4703" s="189" t="s">
        <v>2711</v>
      </c>
      <c r="S4703" s="366" t="s">
        <v>2614</v>
      </c>
      <c r="T4703" s="178" t="s">
        <v>1738</v>
      </c>
      <c r="U4703" s="178"/>
      <c r="V4703" s="178"/>
      <c r="W4703" s="316" t="s">
        <v>2902</v>
      </c>
      <c r="X4703" s="648" t="s">
        <v>15475</v>
      </c>
      <c r="Y4703" s="356"/>
      <c r="Z4703" s="272">
        <v>83</v>
      </c>
      <c r="AA4703" s="272">
        <v>6</v>
      </c>
      <c r="AB4703" s="34">
        <f t="shared" ca="1" si="117"/>
        <v>0.47873856896138534</v>
      </c>
      <c r="AC4703" s="814"/>
      <c r="AD4703" s="815" t="s">
        <v>16064</v>
      </c>
      <c r="AE4703" s="942"/>
      <c r="AF4703" s="923">
        <f>IF(X4703=X4702,AF4702,0)+IF(ISNUMBER(I4703),IF(I4703&lt;1,I4703,I4703*VLOOKUP(J4703,Summary!$H$2:$I$9,2)),VLOOKUP(J4703,Summary!$J$2:$K$9,2)*IF(ISNUMBER(H4703),H4703,1))</f>
        <v>1.310474537037037</v>
      </c>
      <c r="AG4703" s="291">
        <v>4702</v>
      </c>
      <c r="AH4703" s="94"/>
      <c r="AI4703" s="94"/>
    </row>
    <row r="4704" spans="1:36" s="57" customFormat="1" ht="12" customHeight="1" x14ac:dyDescent="0.25">
      <c r="A4704" s="615" t="s">
        <v>15673</v>
      </c>
      <c r="B4704" s="615">
        <v>11</v>
      </c>
      <c r="C4704" s="615">
        <v>43</v>
      </c>
      <c r="D4704" s="417" t="s">
        <v>2891</v>
      </c>
      <c r="E4704" s="316" t="s">
        <v>2898</v>
      </c>
      <c r="F4704" s="195">
        <v>40661</v>
      </c>
      <c r="G4704" s="195"/>
      <c r="H4704" s="188" t="str">
        <f>IF(J4704="Book","n/a","")</f>
        <v>n/a</v>
      </c>
      <c r="I4704" s="188">
        <v>255</v>
      </c>
      <c r="J4704" s="902" t="s">
        <v>6868</v>
      </c>
      <c r="K4704" s="162" t="s">
        <v>2304</v>
      </c>
      <c r="L4704" s="162" t="str">
        <f>IF(J4704="Book","n/a","")</f>
        <v>n/a</v>
      </c>
      <c r="M4704" s="162"/>
      <c r="N4704" s="162"/>
      <c r="O4704" s="162"/>
      <c r="P4704" s="178" t="s">
        <v>789</v>
      </c>
      <c r="Q4704" s="162" t="s">
        <v>3953</v>
      </c>
      <c r="R4704" s="189" t="s">
        <v>2711</v>
      </c>
      <c r="S4704" s="366" t="s">
        <v>2614</v>
      </c>
      <c r="T4704" s="178" t="s">
        <v>1738</v>
      </c>
      <c r="U4704" s="178"/>
      <c r="V4704" s="178"/>
      <c r="W4704" s="316" t="s">
        <v>2898</v>
      </c>
      <c r="X4704" s="648" t="s">
        <v>15475</v>
      </c>
      <c r="Y4704" s="356" t="s">
        <v>6868</v>
      </c>
      <c r="Z4704" s="272">
        <v>229</v>
      </c>
      <c r="AA4704" s="272">
        <v>2</v>
      </c>
      <c r="AB4704" s="34">
        <f t="shared" ca="1" si="117"/>
        <v>0.56789849488311195</v>
      </c>
      <c r="AC4704" s="814"/>
      <c r="AD4704" s="815" t="s">
        <v>16076</v>
      </c>
      <c r="AE4704" s="942" t="s">
        <v>3365</v>
      </c>
      <c r="AF4704" s="923">
        <f>IF(X4704=X4703,AF4703,0)+IF(ISNUMBER(I4704),IF(I4704&lt;1,I4704,I4704*VLOOKUP(J4704,Summary!$H$2:$I$9,2)),VLOOKUP(J4704,Summary!$J$2:$K$9,2)*IF(ISNUMBER(H4704),H4704,1))</f>
        <v>1.4875578703703702</v>
      </c>
      <c r="AG4704" s="291">
        <v>4703</v>
      </c>
      <c r="AH4704" s="94"/>
      <c r="AI4704" s="94"/>
    </row>
    <row r="4705" spans="1:35" s="29" customFormat="1" ht="12" customHeight="1" x14ac:dyDescent="0.25">
      <c r="A4705" s="618" t="s">
        <v>15673</v>
      </c>
      <c r="B4705" s="618">
        <v>11</v>
      </c>
      <c r="C4705" s="618">
        <v>3</v>
      </c>
      <c r="D4705" s="176" t="s">
        <v>13333</v>
      </c>
      <c r="E4705" s="313" t="s">
        <v>13330</v>
      </c>
      <c r="F4705" s="175">
        <v>42411</v>
      </c>
      <c r="G4705" s="174"/>
      <c r="H4705" s="176">
        <v>1</v>
      </c>
      <c r="I4705" s="176"/>
      <c r="J4705" s="900" t="s">
        <v>2755</v>
      </c>
      <c r="K4705" s="164" t="s">
        <v>176</v>
      </c>
      <c r="L4705" s="164"/>
      <c r="M4705" s="164"/>
      <c r="N4705" s="164"/>
      <c r="O4705" s="164"/>
      <c r="P4705" s="173" t="s">
        <v>13331</v>
      </c>
      <c r="Q4705" s="164" t="s">
        <v>3953</v>
      </c>
      <c r="R4705" s="179" t="s">
        <v>13332</v>
      </c>
      <c r="S4705" s="354"/>
      <c r="T4705" s="173"/>
      <c r="U4705" s="173" t="s">
        <v>7344</v>
      </c>
      <c r="V4705" s="173"/>
      <c r="W4705" s="313" t="s">
        <v>13330</v>
      </c>
      <c r="X4705" s="645" t="s">
        <v>15475</v>
      </c>
      <c r="Y4705" s="354"/>
      <c r="Z4705" s="176"/>
      <c r="AA4705" s="176"/>
      <c r="AB4705" s="32">
        <f t="shared" ca="1" si="117"/>
        <v>0.30799248495990827</v>
      </c>
      <c r="AC4705" s="812"/>
      <c r="AD4705" s="763"/>
      <c r="AE4705" s="807"/>
      <c r="AF4705" s="921">
        <f>IF(X4705=X4704,AF4704,0)+IF(ISNUMBER(I4705),IF(I4705&lt;1,I4705,I4705*VLOOKUP(J4705,Summary!$H$2:$I$9,2)),VLOOKUP(J4705,Summary!$J$2:$K$9,2)*IF(ISNUMBER(H4705),H4705,1))</f>
        <v>1.5049189814814814</v>
      </c>
      <c r="AG4705" s="288">
        <v>4704</v>
      </c>
      <c r="AH4705" s="94"/>
      <c r="AI4705" s="94"/>
    </row>
    <row r="4706" spans="1:35" s="1" customFormat="1" ht="12" customHeight="1" x14ac:dyDescent="0.25">
      <c r="A4706" s="614" t="s">
        <v>13228</v>
      </c>
      <c r="B4706" s="614">
        <v>11</v>
      </c>
      <c r="C4706" s="614"/>
      <c r="D4706" s="185" t="s">
        <v>6175</v>
      </c>
      <c r="E4706" s="314" t="s">
        <v>7791</v>
      </c>
      <c r="F4706" s="183">
        <v>40756</v>
      </c>
      <c r="G4706" s="183"/>
      <c r="H4706" s="185">
        <v>1</v>
      </c>
      <c r="I4706" s="185">
        <v>16</v>
      </c>
      <c r="J4706" s="901" t="s">
        <v>1796</v>
      </c>
      <c r="K4706" s="163" t="s">
        <v>6176</v>
      </c>
      <c r="L4706" s="163" t="s">
        <v>2336</v>
      </c>
      <c r="M4706" s="163"/>
      <c r="N4706" s="163" t="s">
        <v>6573</v>
      </c>
      <c r="O4706" s="163"/>
      <c r="P4706" s="182" t="s">
        <v>461</v>
      </c>
      <c r="Q4706" s="163" t="s">
        <v>5719</v>
      </c>
      <c r="R4706" s="186" t="s">
        <v>5718</v>
      </c>
      <c r="S4706" s="355" t="s">
        <v>2614</v>
      </c>
      <c r="T4706" s="182" t="s">
        <v>1738</v>
      </c>
      <c r="U4706" s="182"/>
      <c r="V4706" s="182"/>
      <c r="W4706" s="314" t="s">
        <v>7791</v>
      </c>
      <c r="X4706" s="646" t="s">
        <v>2493</v>
      </c>
      <c r="Y4706" s="355" t="s">
        <v>6000</v>
      </c>
      <c r="Z4706" s="185"/>
      <c r="AA4706" s="185"/>
      <c r="AB4706" s="33">
        <f t="shared" ca="1" si="117"/>
        <v>0.95707769379708763</v>
      </c>
      <c r="AC4706" s="813"/>
      <c r="AD4706" s="211"/>
      <c r="AE4706" s="941"/>
      <c r="AF4706" s="922">
        <f>IF(X4706=X4705,AF4705,0)+IF(ISNUMBER(I4706),IF(I4706&lt;1,I4706,I4706*VLOOKUP(J4706,Summary!$H$2:$I$9,2)),VLOOKUP(J4706,Summary!$J$2:$K$9,2)*IF(ISNUMBER(H4706),H4706,1))</f>
        <v>5.5555555555555558E-3</v>
      </c>
      <c r="AG4706" s="290">
        <v>4705</v>
      </c>
      <c r="AH4706" s="94"/>
      <c r="AI4706" s="94"/>
    </row>
    <row r="4707" spans="1:35" s="3" customFormat="1" ht="12" customHeight="1" x14ac:dyDescent="0.25">
      <c r="A4707" s="617" t="s">
        <v>13228</v>
      </c>
      <c r="B4707" s="617">
        <v>11</v>
      </c>
      <c r="C4707" s="617">
        <v>1.3</v>
      </c>
      <c r="D4707" s="407" t="s">
        <v>15025</v>
      </c>
      <c r="E4707" s="315" t="s">
        <v>15026</v>
      </c>
      <c r="F4707" s="196">
        <v>43327</v>
      </c>
      <c r="G4707" s="170"/>
      <c r="H4707" s="170">
        <v>1</v>
      </c>
      <c r="I4707" s="747">
        <f>TIME(0,60,0)</f>
        <v>4.1666666666666664E-2</v>
      </c>
      <c r="J4707" s="899" t="s">
        <v>4706</v>
      </c>
      <c r="K4707" s="167" t="s">
        <v>11784</v>
      </c>
      <c r="L4707" s="167" t="s">
        <v>12662</v>
      </c>
      <c r="M4707" s="167" t="s">
        <v>15027</v>
      </c>
      <c r="N4707" s="167" t="s">
        <v>6452</v>
      </c>
      <c r="O4707" s="167" t="s">
        <v>179</v>
      </c>
      <c r="P4707" s="168" t="s">
        <v>15020</v>
      </c>
      <c r="Q4707" s="167" t="s">
        <v>3947</v>
      </c>
      <c r="R4707" s="172" t="s">
        <v>15017</v>
      </c>
      <c r="S4707" s="388"/>
      <c r="T4707" s="168"/>
      <c r="U4707" s="168"/>
      <c r="V4707" s="168"/>
      <c r="W4707" s="315" t="s">
        <v>15026</v>
      </c>
      <c r="X4707" s="644" t="s">
        <v>2493</v>
      </c>
      <c r="Y4707" s="352"/>
      <c r="Z4707" s="353"/>
      <c r="AA4707" s="353"/>
      <c r="AB4707" s="31">
        <f t="shared" ca="1" si="117"/>
        <v>0.99751452579932198</v>
      </c>
      <c r="AC4707" s="810"/>
      <c r="AD4707" s="811"/>
      <c r="AE4707" s="940"/>
      <c r="AF4707" s="920">
        <f>IF(X4707=X4706,AF4706,0)+IF(ISNUMBER(I4707),IF(I4707&lt;1,I4707,I4707*VLOOKUP(J4707,Summary!$H$2:$I$9,2)),VLOOKUP(J4707,Summary!$J$2:$K$9,2)*IF(ISNUMBER(H4707),H4707,1))</f>
        <v>4.7222222222222221E-2</v>
      </c>
      <c r="AG4707" s="287">
        <v>4706</v>
      </c>
      <c r="AH4707" s="94"/>
      <c r="AI4707" s="94"/>
    </row>
    <row r="4708" spans="1:35" s="2" customFormat="1" ht="12" customHeight="1" x14ac:dyDescent="0.25">
      <c r="A4708" s="614" t="s">
        <v>13228</v>
      </c>
      <c r="B4708" s="614">
        <v>11</v>
      </c>
      <c r="C4708" s="614">
        <v>1.01</v>
      </c>
      <c r="D4708" s="185" t="s">
        <v>10959</v>
      </c>
      <c r="E4708" s="314" t="s">
        <v>10960</v>
      </c>
      <c r="F4708" s="184">
        <v>41843</v>
      </c>
      <c r="G4708" s="184"/>
      <c r="H4708" s="185">
        <v>1</v>
      </c>
      <c r="I4708" s="185">
        <v>23</v>
      </c>
      <c r="J4708" s="901" t="s">
        <v>1796</v>
      </c>
      <c r="K4708" s="163" t="s">
        <v>10954</v>
      </c>
      <c r="L4708" s="163" t="s">
        <v>10901</v>
      </c>
      <c r="M4708" s="163" t="s">
        <v>8361</v>
      </c>
      <c r="N4708" s="163" t="s">
        <v>10882</v>
      </c>
      <c r="O4708" s="163"/>
      <c r="P4708" s="182" t="s">
        <v>461</v>
      </c>
      <c r="Q4708" s="163" t="s">
        <v>7076</v>
      </c>
      <c r="R4708" s="186" t="s">
        <v>10878</v>
      </c>
      <c r="S4708" s="355"/>
      <c r="T4708" s="182"/>
      <c r="U4708" s="182" t="s">
        <v>10234</v>
      </c>
      <c r="V4708" s="182"/>
      <c r="W4708" s="314" t="s">
        <v>10960</v>
      </c>
      <c r="X4708" s="646" t="s">
        <v>2493</v>
      </c>
      <c r="Y4708" s="355" t="s">
        <v>6000</v>
      </c>
      <c r="Z4708" s="185"/>
      <c r="AA4708" s="185"/>
      <c r="AB4708" s="33">
        <f t="shared" ca="1" si="117"/>
        <v>0.46372914497567519</v>
      </c>
      <c r="AC4708" s="813"/>
      <c r="AD4708" s="211"/>
      <c r="AE4708" s="941"/>
      <c r="AF4708" s="922">
        <f>IF(X4708=X4707,AF4707,0)+IF(ISNUMBER(I4708),IF(I4708&lt;1,I4708,I4708*VLOOKUP(J4708,Summary!$H$2:$I$9,2)),VLOOKUP(J4708,Summary!$J$2:$K$9,2)*IF(ISNUMBER(H4708),H4708,1))</f>
        <v>5.5208333333333331E-2</v>
      </c>
      <c r="AG4708" s="290">
        <v>4707</v>
      </c>
      <c r="AH4708" s="94"/>
      <c r="AI4708" s="94"/>
    </row>
    <row r="4709" spans="1:35" s="1" customFormat="1" ht="12" customHeight="1" x14ac:dyDescent="0.25">
      <c r="A4709" s="614" t="s">
        <v>13228</v>
      </c>
      <c r="B4709" s="614">
        <v>11</v>
      </c>
      <c r="C4709" s="614">
        <v>1.02</v>
      </c>
      <c r="D4709" s="185" t="s">
        <v>10968</v>
      </c>
      <c r="E4709" s="314" t="s">
        <v>10961</v>
      </c>
      <c r="F4709" s="184">
        <v>41892</v>
      </c>
      <c r="G4709" s="184"/>
      <c r="H4709" s="185">
        <v>1</v>
      </c>
      <c r="I4709" s="185">
        <v>23</v>
      </c>
      <c r="J4709" s="901" t="s">
        <v>1796</v>
      </c>
      <c r="K4709" s="163" t="s">
        <v>10995</v>
      </c>
      <c r="L4709" s="163" t="s">
        <v>10901</v>
      </c>
      <c r="M4709" s="163" t="s">
        <v>8361</v>
      </c>
      <c r="N4709" s="163" t="s">
        <v>10882</v>
      </c>
      <c r="O4709" s="163"/>
      <c r="P4709" s="182" t="s">
        <v>461</v>
      </c>
      <c r="Q4709" s="163" t="s">
        <v>7076</v>
      </c>
      <c r="R4709" s="186" t="s">
        <v>10878</v>
      </c>
      <c r="S4709" s="355"/>
      <c r="T4709" s="182"/>
      <c r="U4709" s="182" t="s">
        <v>10234</v>
      </c>
      <c r="V4709" s="182"/>
      <c r="W4709" s="314" t="s">
        <v>10961</v>
      </c>
      <c r="X4709" s="646" t="s">
        <v>2493</v>
      </c>
      <c r="Y4709" s="355" t="s">
        <v>6000</v>
      </c>
      <c r="Z4709" s="185"/>
      <c r="AA4709" s="185"/>
      <c r="AB4709" s="33">
        <f t="shared" ca="1" si="117"/>
        <v>9.2557723460333752E-2</v>
      </c>
      <c r="AC4709" s="813"/>
      <c r="AD4709" s="211"/>
      <c r="AE4709" s="941"/>
      <c r="AF4709" s="922">
        <f>IF(X4709=X4708,AF4708,0)+IF(ISNUMBER(I4709),IF(I4709&lt;1,I4709,I4709*VLOOKUP(J4709,Summary!$H$2:$I$9,2)),VLOOKUP(J4709,Summary!$J$2:$K$9,2)*IF(ISNUMBER(H4709),H4709,1))</f>
        <v>6.3194444444444442E-2</v>
      </c>
      <c r="AG4709" s="290">
        <v>4708</v>
      </c>
      <c r="AH4709" s="94"/>
      <c r="AI4709" s="94"/>
    </row>
    <row r="4710" spans="1:35" s="1" customFormat="1" ht="12" customHeight="1" x14ac:dyDescent="0.25">
      <c r="A4710" s="614" t="s">
        <v>13228</v>
      </c>
      <c r="B4710" s="614">
        <v>11</v>
      </c>
      <c r="C4710" s="614">
        <v>1.03</v>
      </c>
      <c r="D4710" s="185" t="s">
        <v>10969</v>
      </c>
      <c r="E4710" s="314" t="s">
        <v>10962</v>
      </c>
      <c r="F4710" s="184">
        <v>41913</v>
      </c>
      <c r="G4710" s="184"/>
      <c r="H4710" s="185">
        <v>1</v>
      </c>
      <c r="I4710" s="185">
        <v>23</v>
      </c>
      <c r="J4710" s="901" t="s">
        <v>1796</v>
      </c>
      <c r="K4710" s="163" t="s">
        <v>10996</v>
      </c>
      <c r="L4710" s="163" t="s">
        <v>10901</v>
      </c>
      <c r="M4710" s="163" t="s">
        <v>8361</v>
      </c>
      <c r="N4710" s="163" t="s">
        <v>10882</v>
      </c>
      <c r="O4710" s="163"/>
      <c r="P4710" s="182" t="s">
        <v>461</v>
      </c>
      <c r="Q4710" s="163" t="s">
        <v>7076</v>
      </c>
      <c r="R4710" s="186" t="s">
        <v>10878</v>
      </c>
      <c r="S4710" s="355"/>
      <c r="T4710" s="182"/>
      <c r="U4710" s="182" t="s">
        <v>10234</v>
      </c>
      <c r="V4710" s="182" t="s">
        <v>10997</v>
      </c>
      <c r="W4710" s="314" t="s">
        <v>10962</v>
      </c>
      <c r="X4710" s="646" t="s">
        <v>2493</v>
      </c>
      <c r="Y4710" s="355" t="s">
        <v>6000</v>
      </c>
      <c r="Z4710" s="185"/>
      <c r="AA4710" s="185"/>
      <c r="AB4710" s="33">
        <f t="shared" ca="1" si="117"/>
        <v>0.73837131852902205</v>
      </c>
      <c r="AC4710" s="813"/>
      <c r="AD4710" s="211"/>
      <c r="AE4710" s="941"/>
      <c r="AF4710" s="922">
        <f>IF(X4710=X4709,AF4709,0)+IF(ISNUMBER(I4710),IF(I4710&lt;1,I4710,I4710*VLOOKUP(J4710,Summary!$H$2:$I$9,2)),VLOOKUP(J4710,Summary!$J$2:$K$9,2)*IF(ISNUMBER(H4710),H4710,1))</f>
        <v>7.1180555555555552E-2</v>
      </c>
      <c r="AG4710" s="290">
        <v>4709</v>
      </c>
      <c r="AH4710" s="94"/>
      <c r="AI4710" s="94"/>
    </row>
    <row r="4711" spans="1:35" s="1" customFormat="1" ht="12" customHeight="1" x14ac:dyDescent="0.25">
      <c r="A4711" s="614" t="s">
        <v>13228</v>
      </c>
      <c r="B4711" s="614">
        <v>11</v>
      </c>
      <c r="C4711" s="614">
        <v>1.04</v>
      </c>
      <c r="D4711" s="185" t="s">
        <v>10970</v>
      </c>
      <c r="E4711" s="314" t="s">
        <v>10987</v>
      </c>
      <c r="F4711" s="184">
        <v>41941</v>
      </c>
      <c r="G4711" s="184">
        <v>41976</v>
      </c>
      <c r="H4711" s="185">
        <v>2</v>
      </c>
      <c r="I4711" s="185">
        <v>46</v>
      </c>
      <c r="J4711" s="901" t="s">
        <v>1796</v>
      </c>
      <c r="K4711" s="163" t="s">
        <v>10995</v>
      </c>
      <c r="L4711" s="163" t="s">
        <v>10998</v>
      </c>
      <c r="M4711" s="163" t="s">
        <v>10920</v>
      </c>
      <c r="N4711" s="163" t="s">
        <v>10882</v>
      </c>
      <c r="O4711" s="163"/>
      <c r="P4711" s="182" t="s">
        <v>461</v>
      </c>
      <c r="Q4711" s="163" t="s">
        <v>7076</v>
      </c>
      <c r="R4711" s="186" t="s">
        <v>10878</v>
      </c>
      <c r="S4711" s="355"/>
      <c r="T4711" s="182" t="s">
        <v>10999</v>
      </c>
      <c r="U4711" s="182" t="s">
        <v>10234</v>
      </c>
      <c r="V4711" s="182" t="s">
        <v>10997</v>
      </c>
      <c r="W4711" s="314" t="s">
        <v>10981</v>
      </c>
      <c r="X4711" s="646" t="s">
        <v>2493</v>
      </c>
      <c r="Y4711" s="355" t="s">
        <v>6000</v>
      </c>
      <c r="Z4711" s="185"/>
      <c r="AA4711" s="185"/>
      <c r="AB4711" s="33">
        <f t="shared" ca="1" si="117"/>
        <v>0.92784563871409764</v>
      </c>
      <c r="AC4711" s="813"/>
      <c r="AD4711" s="211"/>
      <c r="AE4711" s="941"/>
      <c r="AF4711" s="922">
        <f>IF(X4711=X4710,AF4710,0)+IF(ISNUMBER(I4711),IF(I4711&lt;1,I4711,I4711*VLOOKUP(J4711,Summary!$H$2:$I$9,2)),VLOOKUP(J4711,Summary!$J$2:$K$9,2)*IF(ISNUMBER(H4711),H4711,1))</f>
        <v>8.7152777777777773E-2</v>
      </c>
      <c r="AG4711" s="290">
        <v>4710</v>
      </c>
      <c r="AH4711" s="94"/>
      <c r="AI4711" s="94"/>
    </row>
    <row r="4712" spans="1:35" s="1" customFormat="1" ht="12" customHeight="1" x14ac:dyDescent="0.25">
      <c r="A4712" s="614" t="s">
        <v>13228</v>
      </c>
      <c r="B4712" s="614">
        <v>11</v>
      </c>
      <c r="C4712" s="614">
        <v>1.05</v>
      </c>
      <c r="D4712" s="185" t="s">
        <v>10971</v>
      </c>
      <c r="E4712" s="314" t="s">
        <v>10963</v>
      </c>
      <c r="F4712" s="184">
        <v>41997</v>
      </c>
      <c r="G4712" s="184"/>
      <c r="H4712" s="185">
        <v>1</v>
      </c>
      <c r="I4712" s="185">
        <v>23</v>
      </c>
      <c r="J4712" s="901" t="s">
        <v>1796</v>
      </c>
      <c r="K4712" s="163" t="s">
        <v>10996</v>
      </c>
      <c r="L4712" s="163" t="s">
        <v>10901</v>
      </c>
      <c r="M4712" s="163" t="s">
        <v>8361</v>
      </c>
      <c r="N4712" s="163" t="s">
        <v>10882</v>
      </c>
      <c r="O4712" s="163"/>
      <c r="P4712" s="182" t="s">
        <v>461</v>
      </c>
      <c r="Q4712" s="163" t="s">
        <v>7076</v>
      </c>
      <c r="R4712" s="186" t="s">
        <v>10878</v>
      </c>
      <c r="S4712" s="355"/>
      <c r="T4712" s="182" t="s">
        <v>10999</v>
      </c>
      <c r="U4712" s="182" t="s">
        <v>10234</v>
      </c>
      <c r="V4712" s="182" t="s">
        <v>10997</v>
      </c>
      <c r="W4712" s="314" t="s">
        <v>10963</v>
      </c>
      <c r="X4712" s="646" t="s">
        <v>2493</v>
      </c>
      <c r="Y4712" s="355" t="s">
        <v>6000</v>
      </c>
      <c r="Z4712" s="185"/>
      <c r="AA4712" s="185"/>
      <c r="AB4712" s="33">
        <f t="shared" ca="1" si="117"/>
        <v>0.37286935569968283</v>
      </c>
      <c r="AC4712" s="813"/>
      <c r="AD4712" s="211"/>
      <c r="AE4712" s="941"/>
      <c r="AF4712" s="922">
        <f>IF(X4712=X4711,AF4711,0)+IF(ISNUMBER(I4712),IF(I4712&lt;1,I4712,I4712*VLOOKUP(J4712,Summary!$H$2:$I$9,2)),VLOOKUP(J4712,Summary!$J$2:$K$9,2)*IF(ISNUMBER(H4712),H4712,1))</f>
        <v>9.5138888888888884E-2</v>
      </c>
      <c r="AG4712" s="290">
        <v>4711</v>
      </c>
      <c r="AH4712" s="94"/>
      <c r="AI4712" s="94"/>
    </row>
    <row r="4713" spans="1:35" s="1" customFormat="1" ht="12" customHeight="1" x14ac:dyDescent="0.25">
      <c r="A4713" s="614" t="s">
        <v>13228</v>
      </c>
      <c r="B4713" s="614">
        <v>11</v>
      </c>
      <c r="C4713" s="614">
        <v>1.06</v>
      </c>
      <c r="D4713" s="185" t="s">
        <v>10972</v>
      </c>
      <c r="E4713" s="314" t="s">
        <v>10988</v>
      </c>
      <c r="F4713" s="184">
        <v>42025</v>
      </c>
      <c r="G4713" s="184">
        <v>42046</v>
      </c>
      <c r="H4713" s="185">
        <v>2</v>
      </c>
      <c r="I4713" s="185">
        <v>46</v>
      </c>
      <c r="J4713" s="901" t="s">
        <v>1796</v>
      </c>
      <c r="K4713" s="163" t="s">
        <v>10996</v>
      </c>
      <c r="L4713" s="163" t="s">
        <v>11000</v>
      </c>
      <c r="M4713" s="163" t="s">
        <v>10920</v>
      </c>
      <c r="N4713" s="163" t="s">
        <v>10882</v>
      </c>
      <c r="O4713" s="163"/>
      <c r="P4713" s="182" t="s">
        <v>461</v>
      </c>
      <c r="Q4713" s="163" t="s">
        <v>7076</v>
      </c>
      <c r="R4713" s="186" t="s">
        <v>10878</v>
      </c>
      <c r="S4713" s="355"/>
      <c r="T4713" s="182" t="s">
        <v>10999</v>
      </c>
      <c r="U4713" s="182" t="s">
        <v>10234</v>
      </c>
      <c r="V4713" s="182" t="s">
        <v>10997</v>
      </c>
      <c r="W4713" s="314" t="s">
        <v>10982</v>
      </c>
      <c r="X4713" s="646" t="s">
        <v>2493</v>
      </c>
      <c r="Y4713" s="355" t="s">
        <v>6000</v>
      </c>
      <c r="Z4713" s="185"/>
      <c r="AA4713" s="185"/>
      <c r="AB4713" s="33">
        <f t="shared" ca="1" si="117"/>
        <v>0.87775553916840698</v>
      </c>
      <c r="AC4713" s="813"/>
      <c r="AD4713" s="211"/>
      <c r="AE4713" s="941"/>
      <c r="AF4713" s="922">
        <f>IF(X4713=X4712,AF4712,0)+IF(ISNUMBER(I4713),IF(I4713&lt;1,I4713,I4713*VLOOKUP(J4713,Summary!$H$2:$I$9,2)),VLOOKUP(J4713,Summary!$J$2:$K$9,2)*IF(ISNUMBER(H4713),H4713,1))</f>
        <v>0.1111111111111111</v>
      </c>
      <c r="AG4713" s="290">
        <v>4712</v>
      </c>
      <c r="AH4713" s="94"/>
      <c r="AI4713" s="94"/>
    </row>
    <row r="4714" spans="1:35" s="22" customFormat="1" ht="12" customHeight="1" x14ac:dyDescent="0.2">
      <c r="A4714" s="614" t="s">
        <v>13228</v>
      </c>
      <c r="B4714" s="614">
        <v>11</v>
      </c>
      <c r="C4714" s="614">
        <v>1.07</v>
      </c>
      <c r="D4714" s="185" t="s">
        <v>10973</v>
      </c>
      <c r="E4714" s="314" t="s">
        <v>10989</v>
      </c>
      <c r="F4714" s="184">
        <v>42067</v>
      </c>
      <c r="G4714" s="184">
        <v>42088</v>
      </c>
      <c r="H4714" s="185">
        <v>2</v>
      </c>
      <c r="I4714" s="185">
        <v>46</v>
      </c>
      <c r="J4714" s="901" t="s">
        <v>1796</v>
      </c>
      <c r="K4714" s="163" t="s">
        <v>10954</v>
      </c>
      <c r="L4714" s="163" t="s">
        <v>11001</v>
      </c>
      <c r="M4714" s="163" t="s">
        <v>11002</v>
      </c>
      <c r="N4714" s="163" t="s">
        <v>10882</v>
      </c>
      <c r="O4714" s="163"/>
      <c r="P4714" s="182" t="s">
        <v>461</v>
      </c>
      <c r="Q4714" s="163" t="s">
        <v>7076</v>
      </c>
      <c r="R4714" s="186" t="s">
        <v>10878</v>
      </c>
      <c r="S4714" s="355"/>
      <c r="T4714" s="182" t="s">
        <v>10999</v>
      </c>
      <c r="U4714" s="182" t="s">
        <v>10234</v>
      </c>
      <c r="V4714" s="182" t="s">
        <v>10997</v>
      </c>
      <c r="W4714" s="314" t="s">
        <v>10983</v>
      </c>
      <c r="X4714" s="646" t="s">
        <v>2493</v>
      </c>
      <c r="Y4714" s="355" t="s">
        <v>6000</v>
      </c>
      <c r="Z4714" s="185"/>
      <c r="AA4714" s="185"/>
      <c r="AB4714" s="33">
        <f t="shared" ca="1" si="117"/>
        <v>0.82927978318041107</v>
      </c>
      <c r="AC4714" s="813"/>
      <c r="AD4714" s="211"/>
      <c r="AE4714" s="941"/>
      <c r="AF4714" s="922">
        <f>IF(X4714=X4713,AF4713,0)+IF(ISNUMBER(I4714),IF(I4714&lt;1,I4714,I4714*VLOOKUP(J4714,Summary!$H$2:$I$9,2)),VLOOKUP(J4714,Summary!$J$2:$K$9,2)*IF(ISNUMBER(H4714),H4714,1))</f>
        <v>0.12708333333333333</v>
      </c>
      <c r="AG4714" s="290">
        <v>4713</v>
      </c>
      <c r="AH4714" s="94"/>
      <c r="AI4714" s="94"/>
    </row>
    <row r="4715" spans="1:35" s="1" customFormat="1" ht="12" customHeight="1" x14ac:dyDescent="0.25">
      <c r="A4715" s="614" t="s">
        <v>13228</v>
      </c>
      <c r="B4715" s="614">
        <v>11</v>
      </c>
      <c r="C4715" s="614">
        <v>2</v>
      </c>
      <c r="D4715" s="185" t="s">
        <v>10952</v>
      </c>
      <c r="E4715" s="314" t="s">
        <v>10953</v>
      </c>
      <c r="F4715" s="184">
        <v>42126</v>
      </c>
      <c r="G4715" s="184"/>
      <c r="H4715" s="185">
        <v>1</v>
      </c>
      <c r="I4715" s="185">
        <v>6</v>
      </c>
      <c r="J4715" s="901" t="s">
        <v>1796</v>
      </c>
      <c r="K4715" s="163" t="s">
        <v>10954</v>
      </c>
      <c r="L4715" s="163" t="s">
        <v>10901</v>
      </c>
      <c r="M4715" s="163" t="s">
        <v>8361</v>
      </c>
      <c r="N4715" s="163"/>
      <c r="O4715" s="163"/>
      <c r="P4715" s="182" t="s">
        <v>461</v>
      </c>
      <c r="Q4715" s="163" t="s">
        <v>7076</v>
      </c>
      <c r="R4715" s="186" t="s">
        <v>10880</v>
      </c>
      <c r="S4715" s="355"/>
      <c r="T4715" s="182" t="s">
        <v>10999</v>
      </c>
      <c r="U4715" s="182" t="s">
        <v>10234</v>
      </c>
      <c r="V4715" s="182" t="s">
        <v>10997</v>
      </c>
      <c r="W4715" s="314" t="s">
        <v>10953</v>
      </c>
      <c r="X4715" s="646" t="s">
        <v>2493</v>
      </c>
      <c r="Y4715" s="355"/>
      <c r="Z4715" s="185"/>
      <c r="AA4715" s="185"/>
      <c r="AB4715" s="33">
        <f t="shared" ca="1" si="117"/>
        <v>0.71553558357368541</v>
      </c>
      <c r="AC4715" s="813"/>
      <c r="AD4715" s="211"/>
      <c r="AE4715" s="941"/>
      <c r="AF4715" s="922">
        <f>IF(X4715=X4714,AF4714,0)+IF(ISNUMBER(I4715),IF(I4715&lt;1,I4715,I4715*VLOOKUP(J4715,Summary!$H$2:$I$9,2)),VLOOKUP(J4715,Summary!$J$2:$K$9,2)*IF(ISNUMBER(H4715),H4715,1))</f>
        <v>0.12916666666666665</v>
      </c>
      <c r="AG4715" s="290">
        <v>4714</v>
      </c>
      <c r="AH4715" s="94"/>
      <c r="AI4715" s="94"/>
    </row>
    <row r="4716" spans="1:35" s="1" customFormat="1" ht="12" customHeight="1" x14ac:dyDescent="0.25">
      <c r="A4716" s="614" t="s">
        <v>13228</v>
      </c>
      <c r="B4716" s="614">
        <v>11</v>
      </c>
      <c r="C4716" s="621">
        <v>1.08</v>
      </c>
      <c r="D4716" s="185" t="s">
        <v>10974</v>
      </c>
      <c r="E4716" s="314" t="s">
        <v>10966</v>
      </c>
      <c r="F4716" s="184">
        <v>42109</v>
      </c>
      <c r="G4716" s="184"/>
      <c r="H4716" s="185">
        <v>1</v>
      </c>
      <c r="I4716" s="185">
        <v>23</v>
      </c>
      <c r="J4716" s="901" t="s">
        <v>1796</v>
      </c>
      <c r="K4716" s="163" t="s">
        <v>10995</v>
      </c>
      <c r="L4716" s="163" t="s">
        <v>10998</v>
      </c>
      <c r="M4716" s="163" t="s">
        <v>10920</v>
      </c>
      <c r="N4716" s="163" t="s">
        <v>10882</v>
      </c>
      <c r="O4716" s="163"/>
      <c r="P4716" s="182" t="s">
        <v>461</v>
      </c>
      <c r="Q4716" s="163" t="s">
        <v>7076</v>
      </c>
      <c r="R4716" s="186" t="s">
        <v>10878</v>
      </c>
      <c r="S4716" s="355"/>
      <c r="T4716" s="182" t="s">
        <v>10999</v>
      </c>
      <c r="U4716" s="182" t="s">
        <v>10234</v>
      </c>
      <c r="V4716" s="182" t="s">
        <v>10997</v>
      </c>
      <c r="W4716" s="314" t="s">
        <v>10966</v>
      </c>
      <c r="X4716" s="646" t="s">
        <v>2493</v>
      </c>
      <c r="Y4716" s="355" t="s">
        <v>6000</v>
      </c>
      <c r="Z4716" s="185"/>
      <c r="AA4716" s="185"/>
      <c r="AB4716" s="33">
        <f t="shared" ca="1" si="117"/>
        <v>0.54933079265283713</v>
      </c>
      <c r="AC4716" s="813"/>
      <c r="AD4716" s="211"/>
      <c r="AE4716" s="941"/>
      <c r="AF4716" s="922">
        <f>IF(X4716=X4715,AF4715,0)+IF(ISNUMBER(I4716),IF(I4716&lt;1,I4716,I4716*VLOOKUP(J4716,Summary!$H$2:$I$9,2)),VLOOKUP(J4716,Summary!$J$2:$K$9,2)*IF(ISNUMBER(H4716),H4716,1))</f>
        <v>0.13715277777777776</v>
      </c>
      <c r="AG4716" s="290">
        <v>4715</v>
      </c>
      <c r="AH4716" s="94"/>
      <c r="AI4716" s="94"/>
    </row>
    <row r="4717" spans="1:35" s="22" customFormat="1" ht="12" customHeight="1" x14ac:dyDescent="0.2">
      <c r="A4717" s="614" t="s">
        <v>13228</v>
      </c>
      <c r="B4717" s="614">
        <v>11</v>
      </c>
      <c r="C4717" s="621">
        <v>1.0900000000000001</v>
      </c>
      <c r="D4717" s="185" t="s">
        <v>10975</v>
      </c>
      <c r="E4717" s="314" t="s">
        <v>10964</v>
      </c>
      <c r="F4717" s="184">
        <v>42144</v>
      </c>
      <c r="G4717" s="184">
        <v>42172</v>
      </c>
      <c r="H4717" s="185">
        <v>2</v>
      </c>
      <c r="I4717" s="185">
        <v>46</v>
      </c>
      <c r="J4717" s="901" t="s">
        <v>1796</v>
      </c>
      <c r="K4717" s="163" t="s">
        <v>10996</v>
      </c>
      <c r="L4717" s="163" t="s">
        <v>11000</v>
      </c>
      <c r="M4717" s="163" t="s">
        <v>10920</v>
      </c>
      <c r="N4717" s="163" t="s">
        <v>10882</v>
      </c>
      <c r="O4717" s="163"/>
      <c r="P4717" s="182" t="s">
        <v>461</v>
      </c>
      <c r="Q4717" s="163" t="s">
        <v>7076</v>
      </c>
      <c r="R4717" s="186" t="s">
        <v>10878</v>
      </c>
      <c r="S4717" s="355"/>
      <c r="T4717" s="182" t="s">
        <v>10999</v>
      </c>
      <c r="U4717" s="182" t="s">
        <v>10234</v>
      </c>
      <c r="V4717" s="182" t="s">
        <v>10997</v>
      </c>
      <c r="W4717" s="314"/>
      <c r="X4717" s="646" t="s">
        <v>2493</v>
      </c>
      <c r="Y4717" s="355" t="s">
        <v>6000</v>
      </c>
      <c r="Z4717" s="185"/>
      <c r="AA4717" s="185"/>
      <c r="AB4717" s="33">
        <f t="shared" ca="1" si="117"/>
        <v>0.61338589833562673</v>
      </c>
      <c r="AC4717" s="813"/>
      <c r="AD4717" s="211"/>
      <c r="AE4717" s="941"/>
      <c r="AF4717" s="922">
        <f>IF(X4717=X4716,AF4716,0)+IF(ISNUMBER(I4717),IF(I4717&lt;1,I4717,I4717*VLOOKUP(J4717,Summary!$H$2:$I$9,2)),VLOOKUP(J4717,Summary!$J$2:$K$9,2)*IF(ISNUMBER(H4717),H4717,1))</f>
        <v>0.15312499999999998</v>
      </c>
      <c r="AG4717" s="290">
        <v>4716</v>
      </c>
      <c r="AH4717" s="94"/>
      <c r="AI4717" s="94"/>
    </row>
    <row r="4718" spans="1:35" s="22" customFormat="1" ht="12" customHeight="1" x14ac:dyDescent="0.2">
      <c r="A4718" s="614" t="s">
        <v>13228</v>
      </c>
      <c r="B4718" s="614">
        <v>11</v>
      </c>
      <c r="C4718" s="621">
        <v>1.1000000000000001</v>
      </c>
      <c r="D4718" s="185" t="s">
        <v>10976</v>
      </c>
      <c r="E4718" s="314" t="s">
        <v>10965</v>
      </c>
      <c r="F4718" s="184">
        <v>42193</v>
      </c>
      <c r="G4718" s="184">
        <v>42228</v>
      </c>
      <c r="H4718" s="185">
        <v>2</v>
      </c>
      <c r="I4718" s="185">
        <v>46</v>
      </c>
      <c r="J4718" s="901" t="s">
        <v>1796</v>
      </c>
      <c r="K4718" s="163" t="s">
        <v>10954</v>
      </c>
      <c r="L4718" s="163" t="s">
        <v>10901</v>
      </c>
      <c r="M4718" s="163" t="s">
        <v>8361</v>
      </c>
      <c r="N4718" s="163" t="s">
        <v>10882</v>
      </c>
      <c r="O4718" s="163"/>
      <c r="P4718" s="182" t="s">
        <v>461</v>
      </c>
      <c r="Q4718" s="163" t="s">
        <v>7076</v>
      </c>
      <c r="R4718" s="186" t="s">
        <v>10878</v>
      </c>
      <c r="S4718" s="355"/>
      <c r="T4718" s="182" t="s">
        <v>10999</v>
      </c>
      <c r="U4718" s="182" t="s">
        <v>10234</v>
      </c>
      <c r="V4718" s="182" t="s">
        <v>10997</v>
      </c>
      <c r="W4718" s="314"/>
      <c r="X4718" s="646" t="s">
        <v>2493</v>
      </c>
      <c r="Y4718" s="355" t="s">
        <v>6000</v>
      </c>
      <c r="Z4718" s="185"/>
      <c r="AA4718" s="185"/>
      <c r="AB4718" s="33">
        <f t="shared" ca="1" si="117"/>
        <v>0.23354690684477086</v>
      </c>
      <c r="AC4718" s="813"/>
      <c r="AD4718" s="211"/>
      <c r="AE4718" s="941"/>
      <c r="AF4718" s="922">
        <f>IF(X4718=X4717,AF4717,0)+IF(ISNUMBER(I4718),IF(I4718&lt;1,I4718,I4718*VLOOKUP(J4718,Summary!$H$2:$I$9,2)),VLOOKUP(J4718,Summary!$J$2:$K$9,2)*IF(ISNUMBER(H4718),H4718,1))</f>
        <v>0.1690972222222222</v>
      </c>
      <c r="AG4718" s="290">
        <v>4717</v>
      </c>
      <c r="AH4718" s="94"/>
      <c r="AI4718" s="94"/>
    </row>
    <row r="4719" spans="1:35" s="22" customFormat="1" ht="12" customHeight="1" x14ac:dyDescent="0.2">
      <c r="A4719" s="614" t="s">
        <v>13228</v>
      </c>
      <c r="B4719" s="614">
        <v>11</v>
      </c>
      <c r="C4719" s="621">
        <v>2.0099999999999998</v>
      </c>
      <c r="D4719" s="185" t="s">
        <v>10977</v>
      </c>
      <c r="E4719" s="314" t="s">
        <v>10967</v>
      </c>
      <c r="F4719" s="184">
        <v>42284</v>
      </c>
      <c r="G4719" s="184">
        <v>42312</v>
      </c>
      <c r="H4719" s="185">
        <v>2</v>
      </c>
      <c r="I4719" s="185">
        <v>46</v>
      </c>
      <c r="J4719" s="901" t="s">
        <v>1796</v>
      </c>
      <c r="K4719" s="163" t="s">
        <v>10957</v>
      </c>
      <c r="L4719" s="163" t="s">
        <v>10901</v>
      </c>
      <c r="M4719" s="163" t="s">
        <v>8361</v>
      </c>
      <c r="N4719" s="163" t="s">
        <v>10882</v>
      </c>
      <c r="O4719" s="163"/>
      <c r="P4719" s="182" t="s">
        <v>461</v>
      </c>
      <c r="Q4719" s="163" t="s">
        <v>7076</v>
      </c>
      <c r="R4719" s="186" t="s">
        <v>10878</v>
      </c>
      <c r="S4719" s="355" t="s">
        <v>11003</v>
      </c>
      <c r="T4719" s="182" t="s">
        <v>11004</v>
      </c>
      <c r="U4719" s="182" t="s">
        <v>10234</v>
      </c>
      <c r="V4719" s="182" t="s">
        <v>8003</v>
      </c>
      <c r="W4719" s="314"/>
      <c r="X4719" s="646" t="s">
        <v>2493</v>
      </c>
      <c r="Y4719" s="355" t="s">
        <v>6000</v>
      </c>
      <c r="Z4719" s="185"/>
      <c r="AA4719" s="185"/>
      <c r="AB4719" s="33">
        <f t="shared" ca="1" si="117"/>
        <v>0.21993687793732386</v>
      </c>
      <c r="AC4719" s="813"/>
      <c r="AD4719" s="211"/>
      <c r="AE4719" s="941"/>
      <c r="AF4719" s="922">
        <f>IF(X4719=X4718,AF4718,0)+IF(ISNUMBER(I4719),IF(I4719&lt;1,I4719,I4719*VLOOKUP(J4719,Summary!$H$2:$I$9,2)),VLOOKUP(J4719,Summary!$J$2:$K$9,2)*IF(ISNUMBER(H4719),H4719,1))</f>
        <v>0.18506944444444443</v>
      </c>
      <c r="AG4719" s="290">
        <v>4718</v>
      </c>
      <c r="AH4719" s="94"/>
      <c r="AI4719" s="94"/>
    </row>
    <row r="4720" spans="1:35" s="22" customFormat="1" ht="12" customHeight="1" x14ac:dyDescent="0.2">
      <c r="A4720" s="614" t="s">
        <v>13228</v>
      </c>
      <c r="B4720" s="614">
        <v>11</v>
      </c>
      <c r="C4720" s="621">
        <v>2.02</v>
      </c>
      <c r="D4720" s="185" t="s">
        <v>11007</v>
      </c>
      <c r="E4720" s="314" t="s">
        <v>10990</v>
      </c>
      <c r="F4720" s="184">
        <v>42347</v>
      </c>
      <c r="G4720" s="184"/>
      <c r="H4720" s="185">
        <v>1</v>
      </c>
      <c r="I4720" s="185">
        <v>23</v>
      </c>
      <c r="J4720" s="901" t="s">
        <v>1796</v>
      </c>
      <c r="K4720" s="163" t="s">
        <v>11006</v>
      </c>
      <c r="L4720" s="163" t="s">
        <v>10901</v>
      </c>
      <c r="M4720" s="163" t="s">
        <v>8361</v>
      </c>
      <c r="N4720" s="163" t="s">
        <v>10882</v>
      </c>
      <c r="O4720" s="163"/>
      <c r="P4720" s="182" t="s">
        <v>461</v>
      </c>
      <c r="Q4720" s="163" t="s">
        <v>7076</v>
      </c>
      <c r="R4720" s="186" t="s">
        <v>10878</v>
      </c>
      <c r="S4720" s="355" t="s">
        <v>11003</v>
      </c>
      <c r="T4720" s="182" t="s">
        <v>11004</v>
      </c>
      <c r="U4720" s="182" t="s">
        <v>10234</v>
      </c>
      <c r="V4720" s="182" t="s">
        <v>11005</v>
      </c>
      <c r="W4720" s="314" t="s">
        <v>10990</v>
      </c>
      <c r="X4720" s="646" t="s">
        <v>2493</v>
      </c>
      <c r="Y4720" s="355" t="s">
        <v>6000</v>
      </c>
      <c r="Z4720" s="185"/>
      <c r="AA4720" s="185"/>
      <c r="AB4720" s="33">
        <f t="shared" ca="1" si="117"/>
        <v>0.35434802428940659</v>
      </c>
      <c r="AC4720" s="813"/>
      <c r="AD4720" s="211"/>
      <c r="AE4720" s="941"/>
      <c r="AF4720" s="922">
        <f>IF(X4720=X4719,AF4719,0)+IF(ISNUMBER(I4720),IF(I4720&lt;1,I4720,I4720*VLOOKUP(J4720,Summary!$H$2:$I$9,2)),VLOOKUP(J4720,Summary!$J$2:$K$9,2)*IF(ISNUMBER(H4720),H4720,1))</f>
        <v>0.19305555555555554</v>
      </c>
      <c r="AG4720" s="290">
        <v>4719</v>
      </c>
      <c r="AH4720" s="94"/>
      <c r="AI4720" s="94"/>
    </row>
    <row r="4721" spans="1:35" s="22" customFormat="1" ht="12" customHeight="1" x14ac:dyDescent="0.2">
      <c r="A4721" s="614" t="s">
        <v>13228</v>
      </c>
      <c r="B4721" s="614">
        <v>11</v>
      </c>
      <c r="C4721" s="621">
        <v>2.0299999999999998</v>
      </c>
      <c r="D4721" s="185" t="s">
        <v>11008</v>
      </c>
      <c r="E4721" s="314" t="s">
        <v>11009</v>
      </c>
      <c r="F4721" s="184">
        <v>42361</v>
      </c>
      <c r="G4721" s="184"/>
      <c r="H4721" s="185">
        <v>1</v>
      </c>
      <c r="I4721" s="185">
        <v>23</v>
      </c>
      <c r="J4721" s="901" t="s">
        <v>1796</v>
      </c>
      <c r="K4721" s="163" t="s">
        <v>10996</v>
      </c>
      <c r="L4721" s="163" t="s">
        <v>11000</v>
      </c>
      <c r="M4721" s="163" t="s">
        <v>10920</v>
      </c>
      <c r="N4721" s="163" t="s">
        <v>10882</v>
      </c>
      <c r="O4721" s="163"/>
      <c r="P4721" s="182" t="s">
        <v>461</v>
      </c>
      <c r="Q4721" s="163" t="s">
        <v>7076</v>
      </c>
      <c r="R4721" s="186" t="s">
        <v>10878</v>
      </c>
      <c r="S4721" s="355" t="s">
        <v>11003</v>
      </c>
      <c r="T4721" s="182" t="s">
        <v>11004</v>
      </c>
      <c r="U4721" s="182" t="s">
        <v>10234</v>
      </c>
      <c r="V4721" s="182" t="s">
        <v>11010</v>
      </c>
      <c r="W4721" s="314" t="s">
        <v>11009</v>
      </c>
      <c r="X4721" s="646" t="s">
        <v>2493</v>
      </c>
      <c r="Y4721" s="355" t="s">
        <v>6000</v>
      </c>
      <c r="Z4721" s="185"/>
      <c r="AA4721" s="185"/>
      <c r="AB4721" s="33">
        <f t="shared" ca="1" si="117"/>
        <v>0.61282570017977567</v>
      </c>
      <c r="AC4721" s="813"/>
      <c r="AD4721" s="211"/>
      <c r="AE4721" s="941"/>
      <c r="AF4721" s="922">
        <f>IF(X4721=X4720,AF4720,0)+IF(ISNUMBER(I4721),IF(I4721&lt;1,I4721,I4721*VLOOKUP(J4721,Summary!$H$2:$I$9,2)),VLOOKUP(J4721,Summary!$J$2:$K$9,2)*IF(ISNUMBER(H4721),H4721,1))</f>
        <v>0.20104166666666665</v>
      </c>
      <c r="AG4721" s="290">
        <v>4720</v>
      </c>
      <c r="AH4721" s="94"/>
      <c r="AI4721" s="94"/>
    </row>
    <row r="4722" spans="1:35" s="22" customFormat="1" ht="12" customHeight="1" x14ac:dyDescent="0.2">
      <c r="A4722" s="614" t="s">
        <v>13228</v>
      </c>
      <c r="B4722" s="614">
        <v>11</v>
      </c>
      <c r="C4722" s="614">
        <v>8</v>
      </c>
      <c r="D4722" s="185" t="s">
        <v>10955</v>
      </c>
      <c r="E4722" s="314" t="s">
        <v>10956</v>
      </c>
      <c r="F4722" s="184">
        <v>42497</v>
      </c>
      <c r="G4722" s="184"/>
      <c r="H4722" s="185">
        <v>1</v>
      </c>
      <c r="I4722" s="185">
        <v>6</v>
      </c>
      <c r="J4722" s="901" t="s">
        <v>1796</v>
      </c>
      <c r="K4722" s="163" t="s">
        <v>10957</v>
      </c>
      <c r="L4722" s="163" t="s">
        <v>10958</v>
      </c>
      <c r="M4722" s="163" t="s">
        <v>10940</v>
      </c>
      <c r="N4722" s="163"/>
      <c r="O4722" s="163"/>
      <c r="P4722" s="182" t="s">
        <v>461</v>
      </c>
      <c r="Q4722" s="163" t="s">
        <v>7076</v>
      </c>
      <c r="R4722" s="186" t="s">
        <v>10880</v>
      </c>
      <c r="S4722" s="355" t="s">
        <v>11003</v>
      </c>
      <c r="T4722" s="182"/>
      <c r="U4722" s="182" t="s">
        <v>10234</v>
      </c>
      <c r="V4722" s="182"/>
      <c r="W4722" s="314" t="s">
        <v>10956</v>
      </c>
      <c r="X4722" s="646" t="s">
        <v>2493</v>
      </c>
      <c r="Y4722" s="355"/>
      <c r="Z4722" s="185"/>
      <c r="AA4722" s="185"/>
      <c r="AB4722" s="33">
        <f t="shared" ca="1" si="117"/>
        <v>0.17864790557849475</v>
      </c>
      <c r="AC4722" s="813"/>
      <c r="AD4722" s="211"/>
      <c r="AE4722" s="941"/>
      <c r="AF4722" s="922">
        <f>IF(X4722=X4721,AF4721,0)+IF(ISNUMBER(I4722),IF(I4722&lt;1,I4722,I4722*VLOOKUP(J4722,Summary!$H$2:$I$9,2)),VLOOKUP(J4722,Summary!$J$2:$K$9,2)*IF(ISNUMBER(H4722),H4722,1))</f>
        <v>0.20312499999999997</v>
      </c>
      <c r="AG4722" s="290">
        <v>4721</v>
      </c>
      <c r="AH4722" s="94"/>
      <c r="AI4722" s="94"/>
    </row>
    <row r="4723" spans="1:35" s="22" customFormat="1" ht="12" customHeight="1" x14ac:dyDescent="0.2">
      <c r="A4723" s="614" t="s">
        <v>13228</v>
      </c>
      <c r="B4723" s="614">
        <v>11</v>
      </c>
      <c r="C4723" s="621">
        <v>2.04</v>
      </c>
      <c r="D4723" s="185" t="s">
        <v>11014</v>
      </c>
      <c r="E4723" s="314" t="s">
        <v>10991</v>
      </c>
      <c r="F4723" s="184">
        <v>42396</v>
      </c>
      <c r="G4723" s="184"/>
      <c r="H4723" s="185">
        <v>1</v>
      </c>
      <c r="I4723" s="185">
        <v>23</v>
      </c>
      <c r="J4723" s="901" t="s">
        <v>1796</v>
      </c>
      <c r="K4723" s="163" t="s">
        <v>11006</v>
      </c>
      <c r="L4723" s="163" t="s">
        <v>11000</v>
      </c>
      <c r="M4723" s="163" t="s">
        <v>10920</v>
      </c>
      <c r="N4723" s="163" t="s">
        <v>10882</v>
      </c>
      <c r="O4723" s="163"/>
      <c r="P4723" s="182" t="s">
        <v>461</v>
      </c>
      <c r="Q4723" s="163" t="s">
        <v>7076</v>
      </c>
      <c r="R4723" s="186" t="s">
        <v>10878</v>
      </c>
      <c r="S4723" s="355" t="s">
        <v>11003</v>
      </c>
      <c r="T4723" s="182" t="s">
        <v>11004</v>
      </c>
      <c r="U4723" s="182" t="s">
        <v>10234</v>
      </c>
      <c r="V4723" s="182" t="s">
        <v>11011</v>
      </c>
      <c r="W4723" s="314" t="s">
        <v>10991</v>
      </c>
      <c r="X4723" s="646" t="s">
        <v>2493</v>
      </c>
      <c r="Y4723" s="355" t="s">
        <v>6000</v>
      </c>
      <c r="Z4723" s="185"/>
      <c r="AA4723" s="185"/>
      <c r="AB4723" s="33">
        <f t="shared" ca="1" si="117"/>
        <v>0.16762923292732657</v>
      </c>
      <c r="AC4723" s="813"/>
      <c r="AD4723" s="211"/>
      <c r="AE4723" s="941"/>
      <c r="AF4723" s="922">
        <f>IF(X4723=X4722,AF4722,0)+IF(ISNUMBER(I4723),IF(I4723&lt;1,I4723,I4723*VLOOKUP(J4723,Summary!$H$2:$I$9,2)),VLOOKUP(J4723,Summary!$J$2:$K$9,2)*IF(ISNUMBER(H4723),H4723,1))</f>
        <v>0.21111111111111108</v>
      </c>
      <c r="AG4723" s="290">
        <v>4722</v>
      </c>
      <c r="AH4723" s="94"/>
      <c r="AI4723" s="94"/>
    </row>
    <row r="4724" spans="1:35" s="22" customFormat="1" ht="12" customHeight="1" x14ac:dyDescent="0.2">
      <c r="A4724" s="614" t="s">
        <v>13228</v>
      </c>
      <c r="B4724" s="614">
        <v>11</v>
      </c>
      <c r="C4724" s="621">
        <v>2.0499999999999998</v>
      </c>
      <c r="D4724" s="185" t="s">
        <v>11013</v>
      </c>
      <c r="E4724" s="314" t="s">
        <v>11012</v>
      </c>
      <c r="F4724" s="184">
        <v>42431</v>
      </c>
      <c r="G4724" s="184">
        <v>42452</v>
      </c>
      <c r="H4724" s="185">
        <v>2</v>
      </c>
      <c r="I4724" s="185">
        <v>45</v>
      </c>
      <c r="J4724" s="901" t="s">
        <v>1796</v>
      </c>
      <c r="K4724" s="163" t="s">
        <v>10996</v>
      </c>
      <c r="L4724" s="163" t="s">
        <v>11015</v>
      </c>
      <c r="M4724" s="163" t="s">
        <v>8361</v>
      </c>
      <c r="N4724" s="163" t="s">
        <v>10882</v>
      </c>
      <c r="O4724" s="163"/>
      <c r="P4724" s="182" t="s">
        <v>461</v>
      </c>
      <c r="Q4724" s="163" t="s">
        <v>7076</v>
      </c>
      <c r="R4724" s="186" t="s">
        <v>10878</v>
      </c>
      <c r="S4724" s="355" t="s">
        <v>11003</v>
      </c>
      <c r="T4724" s="182" t="s">
        <v>11004</v>
      </c>
      <c r="U4724" s="182" t="s">
        <v>10234</v>
      </c>
      <c r="V4724" s="182" t="s">
        <v>7344</v>
      </c>
      <c r="W4724" s="314"/>
      <c r="X4724" s="646" t="s">
        <v>2493</v>
      </c>
      <c r="Y4724" s="355"/>
      <c r="Z4724" s="185"/>
      <c r="AA4724" s="185"/>
      <c r="AB4724" s="33">
        <f t="shared" ca="1" si="117"/>
        <v>0.80440552734056525</v>
      </c>
      <c r="AC4724" s="813"/>
      <c r="AD4724" s="211"/>
      <c r="AE4724" s="941"/>
      <c r="AF4724" s="922">
        <f>IF(X4724=X4723,AF4723,0)+IF(ISNUMBER(I4724),IF(I4724&lt;1,I4724,I4724*VLOOKUP(J4724,Summary!$H$2:$I$9,2)),VLOOKUP(J4724,Summary!$J$2:$K$9,2)*IF(ISNUMBER(H4724),H4724,1))</f>
        <v>0.22673611111111108</v>
      </c>
      <c r="AG4724" s="290">
        <v>4723</v>
      </c>
      <c r="AH4724" s="94"/>
      <c r="AI4724" s="94"/>
    </row>
    <row r="4725" spans="1:35" s="22" customFormat="1" ht="12" customHeight="1" x14ac:dyDescent="0.2">
      <c r="A4725" s="765" t="s">
        <v>13228</v>
      </c>
      <c r="B4725" s="765">
        <v>11</v>
      </c>
      <c r="C4725" s="770">
        <v>2.0699999999999998</v>
      </c>
      <c r="D4725" s="226" t="s">
        <v>10978</v>
      </c>
      <c r="E4725" s="331" t="s">
        <v>10992</v>
      </c>
      <c r="F4725" s="233">
        <v>42480</v>
      </c>
      <c r="G4725" s="233">
        <v>42529</v>
      </c>
      <c r="H4725" s="226">
        <v>3</v>
      </c>
      <c r="I4725" s="226">
        <v>68</v>
      </c>
      <c r="J4725" s="907" t="s">
        <v>1796</v>
      </c>
      <c r="K4725" s="228" t="s">
        <v>10957</v>
      </c>
      <c r="L4725" s="228" t="s">
        <v>11017</v>
      </c>
      <c r="M4725" s="228" t="s">
        <v>11018</v>
      </c>
      <c r="N4725" s="228" t="s">
        <v>10882</v>
      </c>
      <c r="O4725" s="228"/>
      <c r="P4725" s="225" t="s">
        <v>461</v>
      </c>
      <c r="Q4725" s="228" t="s">
        <v>7076</v>
      </c>
      <c r="R4725" s="227" t="s">
        <v>10878</v>
      </c>
      <c r="S4725" s="369" t="s">
        <v>11003</v>
      </c>
      <c r="T4725" s="225" t="s">
        <v>11004</v>
      </c>
      <c r="U4725" s="225" t="s">
        <v>10234</v>
      </c>
      <c r="V4725" s="225" t="s">
        <v>11016</v>
      </c>
      <c r="W4725" s="331" t="s">
        <v>10984</v>
      </c>
      <c r="X4725" s="663" t="s">
        <v>2493</v>
      </c>
      <c r="Y4725" s="369"/>
      <c r="Z4725" s="226"/>
      <c r="AA4725" s="226"/>
      <c r="AB4725" s="38">
        <f t="shared" ca="1" si="117"/>
        <v>0.27496252179983005</v>
      </c>
      <c r="AC4725" s="830"/>
      <c r="AD4725" s="831"/>
      <c r="AE4725" s="963"/>
      <c r="AF4725" s="928">
        <f>IF(X4725=X4724,AF4724,0)+IF(ISNUMBER(I4725),IF(I4725&lt;1,I4725,I4725*VLOOKUP(J4725,Summary!$H$2:$I$9,2)),VLOOKUP(J4725,Summary!$J$2:$K$9,2)*IF(ISNUMBER(H4725),H4725,1))</f>
        <v>0.25034722222222217</v>
      </c>
      <c r="AG4725" s="304">
        <v>4724</v>
      </c>
      <c r="AH4725" s="94"/>
      <c r="AI4725" s="94"/>
    </row>
    <row r="4726" spans="1:35" s="22" customFormat="1" ht="12" customHeight="1" x14ac:dyDescent="0.2">
      <c r="A4726" s="765" t="s">
        <v>13228</v>
      </c>
      <c r="B4726" s="765">
        <v>11</v>
      </c>
      <c r="C4726" s="770">
        <v>2.08</v>
      </c>
      <c r="D4726" s="226" t="s">
        <v>10979</v>
      </c>
      <c r="E4726" s="331" t="s">
        <v>10993</v>
      </c>
      <c r="F4726" s="233">
        <v>42578</v>
      </c>
      <c r="G4726" s="233">
        <v>42725</v>
      </c>
      <c r="H4726" s="226">
        <v>5</v>
      </c>
      <c r="I4726" s="226">
        <v>117</v>
      </c>
      <c r="J4726" s="907" t="s">
        <v>1796</v>
      </c>
      <c r="K4726" s="228" t="s">
        <v>10957</v>
      </c>
      <c r="L4726" s="228" t="s">
        <v>11020</v>
      </c>
      <c r="M4726" s="228" t="s">
        <v>11019</v>
      </c>
      <c r="N4726" s="228" t="s">
        <v>10882</v>
      </c>
      <c r="O4726" s="228"/>
      <c r="P4726" s="225" t="s">
        <v>461</v>
      </c>
      <c r="Q4726" s="228" t="s">
        <v>7076</v>
      </c>
      <c r="R4726" s="227" t="s">
        <v>10878</v>
      </c>
      <c r="S4726" s="369" t="s">
        <v>11003</v>
      </c>
      <c r="T4726" s="225" t="s">
        <v>11004</v>
      </c>
      <c r="U4726" s="225" t="s">
        <v>10234</v>
      </c>
      <c r="V4726" s="225"/>
      <c r="W4726" s="331" t="s">
        <v>10985</v>
      </c>
      <c r="X4726" s="663" t="s">
        <v>2493</v>
      </c>
      <c r="Y4726" s="369"/>
      <c r="Z4726" s="226"/>
      <c r="AA4726" s="226"/>
      <c r="AB4726" s="38">
        <f t="shared" ca="1" si="117"/>
        <v>7.7959321550394645E-2</v>
      </c>
      <c r="AC4726" s="830"/>
      <c r="AD4726" s="831"/>
      <c r="AE4726" s="963"/>
      <c r="AF4726" s="928">
        <f>IF(X4726=X4725,AF4725,0)+IF(ISNUMBER(I4726),IF(I4726&lt;1,I4726,I4726*VLOOKUP(J4726,Summary!$H$2:$I$9,2)),VLOOKUP(J4726,Summary!$J$2:$K$9,2)*IF(ISNUMBER(H4726),H4726,1))</f>
        <v>0.29097222222222219</v>
      </c>
      <c r="AG4726" s="304">
        <v>4725</v>
      </c>
      <c r="AH4726" s="94"/>
      <c r="AI4726" s="94"/>
    </row>
    <row r="4727" spans="1:35" s="22" customFormat="1" ht="12" customHeight="1" x14ac:dyDescent="0.2">
      <c r="A4727" s="614" t="s">
        <v>13228</v>
      </c>
      <c r="B4727" s="614">
        <v>11</v>
      </c>
      <c r="C4727" s="621">
        <v>3.01</v>
      </c>
      <c r="D4727" s="185" t="s">
        <v>10980</v>
      </c>
      <c r="E4727" s="314" t="s">
        <v>10994</v>
      </c>
      <c r="F4727" s="184">
        <v>42746</v>
      </c>
      <c r="G4727" s="184">
        <v>42774</v>
      </c>
      <c r="H4727" s="185">
        <v>2</v>
      </c>
      <c r="I4727" s="185">
        <v>46</v>
      </c>
      <c r="J4727" s="901" t="s">
        <v>1796</v>
      </c>
      <c r="K4727" s="163" t="s">
        <v>10996</v>
      </c>
      <c r="L4727" s="163" t="s">
        <v>13474</v>
      </c>
      <c r="M4727" s="163" t="s">
        <v>13475</v>
      </c>
      <c r="N4727" s="163" t="s">
        <v>10882</v>
      </c>
      <c r="O4727" s="163"/>
      <c r="P4727" s="182" t="s">
        <v>461</v>
      </c>
      <c r="Q4727" s="163" t="s">
        <v>7076</v>
      </c>
      <c r="R4727" s="186" t="s">
        <v>10878</v>
      </c>
      <c r="S4727" s="355"/>
      <c r="T4727" s="182"/>
      <c r="U4727" s="182" t="s">
        <v>10234</v>
      </c>
      <c r="V4727" s="182" t="s">
        <v>10997</v>
      </c>
      <c r="W4727" s="314" t="s">
        <v>10986</v>
      </c>
      <c r="X4727" s="646" t="s">
        <v>2493</v>
      </c>
      <c r="Y4727" s="355"/>
      <c r="Z4727" s="185"/>
      <c r="AA4727" s="185"/>
      <c r="AB4727" s="33">
        <f t="shared" ca="1" si="117"/>
        <v>0.11909333103756514</v>
      </c>
      <c r="AC4727" s="813"/>
      <c r="AD4727" s="211"/>
      <c r="AE4727" s="941"/>
      <c r="AF4727" s="922">
        <f>IF(X4727=X4726,AF4726,0)+IF(ISNUMBER(I4727),IF(I4727&lt;1,I4727,I4727*VLOOKUP(J4727,Summary!$H$2:$I$9,2)),VLOOKUP(J4727,Summary!$J$2:$K$9,2)*IF(ISNUMBER(H4727),H4727,1))</f>
        <v>0.30694444444444441</v>
      </c>
      <c r="AG4727" s="290">
        <v>4726</v>
      </c>
      <c r="AH4727" s="94"/>
      <c r="AI4727" s="94"/>
    </row>
    <row r="4728" spans="1:35" s="22" customFormat="1" ht="12" customHeight="1" x14ac:dyDescent="0.2">
      <c r="A4728" s="614" t="s">
        <v>13228</v>
      </c>
      <c r="B4728" s="614">
        <v>11</v>
      </c>
      <c r="C4728" s="621">
        <v>3.02</v>
      </c>
      <c r="D4728" s="185" t="s">
        <v>13477</v>
      </c>
      <c r="E4728" s="314" t="s">
        <v>13476</v>
      </c>
      <c r="F4728" s="184">
        <v>42795</v>
      </c>
      <c r="G4728" s="184">
        <v>42837</v>
      </c>
      <c r="H4728" s="185">
        <v>2</v>
      </c>
      <c r="I4728" s="185">
        <v>46</v>
      </c>
      <c r="J4728" s="901" t="s">
        <v>1796</v>
      </c>
      <c r="K4728" s="163" t="s">
        <v>13478</v>
      </c>
      <c r="L4728" s="163" t="s">
        <v>13479</v>
      </c>
      <c r="M4728" s="163" t="s">
        <v>8361</v>
      </c>
      <c r="N4728" s="163" t="s">
        <v>10882</v>
      </c>
      <c r="O4728" s="163"/>
      <c r="P4728" s="182" t="s">
        <v>461</v>
      </c>
      <c r="Q4728" s="163" t="s">
        <v>7076</v>
      </c>
      <c r="R4728" s="186" t="s">
        <v>10878</v>
      </c>
      <c r="S4728" s="355"/>
      <c r="T4728" s="182"/>
      <c r="U4728" s="182" t="s">
        <v>10234</v>
      </c>
      <c r="V4728" s="182"/>
      <c r="W4728" s="314"/>
      <c r="X4728" s="646" t="s">
        <v>2493</v>
      </c>
      <c r="Y4728" s="355"/>
      <c r="Z4728" s="185"/>
      <c r="AA4728" s="185"/>
      <c r="AB4728" s="33">
        <f t="shared" ca="1" si="117"/>
        <v>0.40613254897925499</v>
      </c>
      <c r="AC4728" s="813"/>
      <c r="AD4728" s="211"/>
      <c r="AE4728" s="941"/>
      <c r="AF4728" s="922">
        <f>IF(X4728=X4727,AF4727,0)+IF(ISNUMBER(I4728),IF(I4728&lt;1,I4728,I4728*VLOOKUP(J4728,Summary!$H$2:$I$9,2)),VLOOKUP(J4728,Summary!$J$2:$K$9,2)*IF(ISNUMBER(H4728),H4728,1))</f>
        <v>0.32291666666666663</v>
      </c>
      <c r="AG4728" s="290">
        <v>4727</v>
      </c>
      <c r="AH4728" s="94"/>
      <c r="AI4728" s="94"/>
    </row>
    <row r="4729" spans="1:35" s="22" customFormat="1" ht="12" customHeight="1" x14ac:dyDescent="0.2">
      <c r="A4729" s="614" t="s">
        <v>13228</v>
      </c>
      <c r="B4729" s="614">
        <v>11</v>
      </c>
      <c r="C4729" s="621">
        <v>3.03</v>
      </c>
      <c r="D4729" s="185" t="s">
        <v>13481</v>
      </c>
      <c r="E4729" s="314" t="s">
        <v>13480</v>
      </c>
      <c r="F4729" s="184">
        <v>42865</v>
      </c>
      <c r="G4729" s="184"/>
      <c r="H4729" s="185">
        <v>1</v>
      </c>
      <c r="I4729" s="185">
        <v>23</v>
      </c>
      <c r="J4729" s="901" t="s">
        <v>1796</v>
      </c>
      <c r="K4729" s="163" t="s">
        <v>9479</v>
      </c>
      <c r="L4729" s="163" t="s">
        <v>13482</v>
      </c>
      <c r="M4729" s="163" t="s">
        <v>13475</v>
      </c>
      <c r="N4729" s="163" t="s">
        <v>13483</v>
      </c>
      <c r="O4729" s="163"/>
      <c r="P4729" s="182" t="s">
        <v>461</v>
      </c>
      <c r="Q4729" s="163" t="s">
        <v>7076</v>
      </c>
      <c r="R4729" s="186" t="s">
        <v>10878</v>
      </c>
      <c r="S4729" s="355"/>
      <c r="T4729" s="182"/>
      <c r="U4729" s="182" t="s">
        <v>10234</v>
      </c>
      <c r="V4729" s="182" t="s">
        <v>13484</v>
      </c>
      <c r="W4729" s="314" t="s">
        <v>13480</v>
      </c>
      <c r="X4729" s="646" t="s">
        <v>2493</v>
      </c>
      <c r="Y4729" s="355"/>
      <c r="Z4729" s="185"/>
      <c r="AA4729" s="185"/>
      <c r="AB4729" s="33">
        <f t="shared" ca="1" si="117"/>
        <v>0.23644176765253144</v>
      </c>
      <c r="AC4729" s="813"/>
      <c r="AD4729" s="211"/>
      <c r="AE4729" s="941"/>
      <c r="AF4729" s="922">
        <f>IF(X4729=X4728,AF4728,0)+IF(ISNUMBER(I4729),IF(I4729&lt;1,I4729,I4729*VLOOKUP(J4729,Summary!$H$2:$I$9,2)),VLOOKUP(J4729,Summary!$J$2:$K$9,2)*IF(ISNUMBER(H4729),H4729,1))</f>
        <v>0.33090277777777777</v>
      </c>
      <c r="AG4729" s="290">
        <v>4728</v>
      </c>
      <c r="AH4729" s="94"/>
      <c r="AI4729" s="94"/>
    </row>
    <row r="4730" spans="1:35" s="26" customFormat="1" ht="12" customHeight="1" x14ac:dyDescent="0.2">
      <c r="A4730" s="614" t="s">
        <v>13228</v>
      </c>
      <c r="B4730" s="614">
        <v>11</v>
      </c>
      <c r="C4730" s="621">
        <v>3.04</v>
      </c>
      <c r="D4730" s="185" t="s">
        <v>13486</v>
      </c>
      <c r="E4730" s="314" t="s">
        <v>13485</v>
      </c>
      <c r="F4730" s="184">
        <v>42900</v>
      </c>
      <c r="G4730" s="184">
        <v>42928</v>
      </c>
      <c r="H4730" s="185">
        <v>2</v>
      </c>
      <c r="I4730" s="185">
        <v>46</v>
      </c>
      <c r="J4730" s="901" t="s">
        <v>1796</v>
      </c>
      <c r="K4730" s="163" t="s">
        <v>2310</v>
      </c>
      <c r="L4730" s="163" t="s">
        <v>13474</v>
      </c>
      <c r="M4730" s="163" t="s">
        <v>13475</v>
      </c>
      <c r="N4730" s="163" t="s">
        <v>13483</v>
      </c>
      <c r="O4730" s="163"/>
      <c r="P4730" s="182" t="s">
        <v>461</v>
      </c>
      <c r="Q4730" s="163" t="s">
        <v>7076</v>
      </c>
      <c r="R4730" s="186" t="s">
        <v>10878</v>
      </c>
      <c r="S4730" s="355"/>
      <c r="T4730" s="182"/>
      <c r="U4730" s="182" t="s">
        <v>10234</v>
      </c>
      <c r="V4730" s="182" t="s">
        <v>13484</v>
      </c>
      <c r="W4730" s="314"/>
      <c r="X4730" s="646" t="s">
        <v>2493</v>
      </c>
      <c r="Y4730" s="355"/>
      <c r="Z4730" s="185"/>
      <c r="AA4730" s="185"/>
      <c r="AB4730" s="33">
        <f t="shared" ca="1" si="117"/>
        <v>0.68001494791093475</v>
      </c>
      <c r="AC4730" s="813"/>
      <c r="AD4730" s="211"/>
      <c r="AE4730" s="941"/>
      <c r="AF4730" s="922">
        <f>IF(X4730=X4729,AF4729,0)+IF(ISNUMBER(I4730),IF(I4730&lt;1,I4730,I4730*VLOOKUP(J4730,Summary!$H$2:$I$9,2)),VLOOKUP(J4730,Summary!$J$2:$K$9,2)*IF(ISNUMBER(H4730),H4730,1))</f>
        <v>0.34687499999999999</v>
      </c>
      <c r="AG4730" s="290">
        <v>4729</v>
      </c>
      <c r="AH4730" s="94"/>
      <c r="AI4730" s="94"/>
    </row>
    <row r="4731" spans="1:35" s="22" customFormat="1" ht="12" customHeight="1" x14ac:dyDescent="0.2">
      <c r="A4731" s="614" t="s">
        <v>13228</v>
      </c>
      <c r="B4731" s="614">
        <v>11</v>
      </c>
      <c r="C4731" s="621">
        <v>3.05</v>
      </c>
      <c r="D4731" s="185" t="s">
        <v>13487</v>
      </c>
      <c r="E4731" s="314" t="s">
        <v>13488</v>
      </c>
      <c r="F4731" s="184">
        <v>42963</v>
      </c>
      <c r="G4731" s="184"/>
      <c r="H4731" s="185">
        <v>1</v>
      </c>
      <c r="I4731" s="185">
        <v>23</v>
      </c>
      <c r="J4731" s="901" t="s">
        <v>1796</v>
      </c>
      <c r="K4731" s="163" t="s">
        <v>2310</v>
      </c>
      <c r="L4731" s="163" t="s">
        <v>13489</v>
      </c>
      <c r="M4731" s="163" t="s">
        <v>13490</v>
      </c>
      <c r="N4731" s="163" t="s">
        <v>13483</v>
      </c>
      <c r="O4731" s="163"/>
      <c r="P4731" s="182" t="s">
        <v>461</v>
      </c>
      <c r="Q4731" s="163" t="s">
        <v>7076</v>
      </c>
      <c r="R4731" s="186" t="s">
        <v>10878</v>
      </c>
      <c r="S4731" s="355"/>
      <c r="T4731" s="182"/>
      <c r="U4731" s="182" t="s">
        <v>10234</v>
      </c>
      <c r="V4731" s="182" t="s">
        <v>13484</v>
      </c>
      <c r="W4731" s="314" t="s">
        <v>13488</v>
      </c>
      <c r="X4731" s="646" t="s">
        <v>2493</v>
      </c>
      <c r="Y4731" s="355"/>
      <c r="Z4731" s="185"/>
      <c r="AA4731" s="185"/>
      <c r="AB4731" s="33">
        <f t="shared" ca="1" si="117"/>
        <v>0.95595076527070366</v>
      </c>
      <c r="AC4731" s="813"/>
      <c r="AD4731" s="211"/>
      <c r="AE4731" s="941"/>
      <c r="AF4731" s="922">
        <f>IF(X4731=X4730,AF4730,0)+IF(ISNUMBER(I4731),IF(I4731&lt;1,I4731,I4731*VLOOKUP(J4731,Summary!$H$2:$I$9,2)),VLOOKUP(J4731,Summary!$J$2:$K$9,2)*IF(ISNUMBER(H4731),H4731,1))</f>
        <v>0.35486111111111113</v>
      </c>
      <c r="AG4731" s="290">
        <v>4730</v>
      </c>
      <c r="AH4731" s="94"/>
      <c r="AI4731" s="94"/>
    </row>
    <row r="4732" spans="1:35" s="1" customFormat="1" ht="12" customHeight="1" x14ac:dyDescent="0.25">
      <c r="A4732" s="614" t="s">
        <v>13228</v>
      </c>
      <c r="B4732" s="614">
        <v>11</v>
      </c>
      <c r="C4732" s="621">
        <v>3.06</v>
      </c>
      <c r="D4732" s="185" t="s">
        <v>15436</v>
      </c>
      <c r="E4732" s="314" t="s">
        <v>13491</v>
      </c>
      <c r="F4732" s="184">
        <v>42977</v>
      </c>
      <c r="G4732" s="184">
        <v>43033</v>
      </c>
      <c r="H4732" s="185">
        <v>2</v>
      </c>
      <c r="I4732" s="185">
        <v>46</v>
      </c>
      <c r="J4732" s="901" t="s">
        <v>1796</v>
      </c>
      <c r="K4732" s="163" t="s">
        <v>13478</v>
      </c>
      <c r="L4732" s="163" t="s">
        <v>13474</v>
      </c>
      <c r="M4732" s="163" t="s">
        <v>13475</v>
      </c>
      <c r="N4732" s="163" t="s">
        <v>13483</v>
      </c>
      <c r="O4732" s="163"/>
      <c r="P4732" s="182" t="s">
        <v>461</v>
      </c>
      <c r="Q4732" s="163" t="s">
        <v>7076</v>
      </c>
      <c r="R4732" s="186" t="s">
        <v>10878</v>
      </c>
      <c r="S4732" s="355"/>
      <c r="T4732" s="182"/>
      <c r="U4732" s="182" t="s">
        <v>10234</v>
      </c>
      <c r="V4732" s="182" t="s">
        <v>13484</v>
      </c>
      <c r="W4732" s="314"/>
      <c r="X4732" s="646" t="s">
        <v>2493</v>
      </c>
      <c r="Y4732" s="355"/>
      <c r="Z4732" s="185"/>
      <c r="AA4732" s="185"/>
      <c r="AB4732" s="33">
        <f t="shared" ca="1" si="117"/>
        <v>0.56645065943484219</v>
      </c>
      <c r="AC4732" s="813"/>
      <c r="AD4732" s="211"/>
      <c r="AE4732" s="941"/>
      <c r="AF4732" s="922">
        <f>IF(X4732=X4731,AF4731,0)+IF(ISNUMBER(I4732),IF(I4732&lt;1,I4732,I4732*VLOOKUP(J4732,Summary!$H$2:$I$9,2)),VLOOKUP(J4732,Summary!$J$2:$K$9,2)*IF(ISNUMBER(H4732),H4732,1))</f>
        <v>0.37083333333333335</v>
      </c>
      <c r="AG4732" s="290">
        <v>4731</v>
      </c>
      <c r="AH4732" s="94"/>
      <c r="AI4732" s="94"/>
    </row>
    <row r="4733" spans="1:35" s="22" customFormat="1" ht="12" customHeight="1" x14ac:dyDescent="0.2">
      <c r="A4733" s="614" t="s">
        <v>13228</v>
      </c>
      <c r="B4733" s="614">
        <v>11</v>
      </c>
      <c r="C4733" s="621">
        <v>3.07</v>
      </c>
      <c r="D4733" s="185" t="s">
        <v>15353</v>
      </c>
      <c r="E4733" s="314" t="s">
        <v>13492</v>
      </c>
      <c r="F4733" s="184">
        <v>43068</v>
      </c>
      <c r="G4733" s="184">
        <v>43110</v>
      </c>
      <c r="H4733" s="185">
        <v>2</v>
      </c>
      <c r="I4733" s="185">
        <v>46</v>
      </c>
      <c r="J4733" s="901" t="s">
        <v>1796</v>
      </c>
      <c r="K4733" s="163" t="s">
        <v>13493</v>
      </c>
      <c r="L4733" s="163" t="s">
        <v>13494</v>
      </c>
      <c r="M4733" s="274" t="s">
        <v>13495</v>
      </c>
      <c r="N4733" s="163" t="s">
        <v>13496</v>
      </c>
      <c r="O4733" s="163"/>
      <c r="P4733" s="182" t="s">
        <v>461</v>
      </c>
      <c r="Q4733" s="163" t="s">
        <v>7076</v>
      </c>
      <c r="R4733" s="186" t="s">
        <v>10878</v>
      </c>
      <c r="S4733" s="355"/>
      <c r="T4733" s="182"/>
      <c r="U4733" s="182" t="s">
        <v>10234</v>
      </c>
      <c r="V4733" s="182" t="s">
        <v>13484</v>
      </c>
      <c r="W4733" s="314"/>
      <c r="X4733" s="646" t="s">
        <v>2493</v>
      </c>
      <c r="Y4733" s="355"/>
      <c r="Z4733" s="185"/>
      <c r="AA4733" s="185"/>
      <c r="AB4733" s="33">
        <f t="shared" ca="1" si="117"/>
        <v>0.41840744229043814</v>
      </c>
      <c r="AC4733" s="813"/>
      <c r="AD4733" s="211"/>
      <c r="AE4733" s="941"/>
      <c r="AF4733" s="922">
        <f>IF(X4733=X4732,AF4732,0)+IF(ISNUMBER(I4733),IF(I4733&lt;1,I4733,I4733*VLOOKUP(J4733,Summary!$H$2:$I$9,2)),VLOOKUP(J4733,Summary!$J$2:$K$9,2)*IF(ISNUMBER(H4733),H4733,1))</f>
        <v>0.38680555555555557</v>
      </c>
      <c r="AG4733" s="290">
        <v>4732</v>
      </c>
      <c r="AH4733" s="94"/>
      <c r="AI4733" s="94"/>
    </row>
    <row r="4734" spans="1:35" s="22" customFormat="1" ht="12" customHeight="1" x14ac:dyDescent="0.2">
      <c r="A4734" s="614" t="s">
        <v>13228</v>
      </c>
      <c r="B4734" s="614">
        <v>11</v>
      </c>
      <c r="C4734" s="621"/>
      <c r="D4734" s="185" t="s">
        <v>14474</v>
      </c>
      <c r="E4734" s="314" t="s">
        <v>14475</v>
      </c>
      <c r="F4734" s="184">
        <v>43225</v>
      </c>
      <c r="G4734" s="184"/>
      <c r="H4734" s="185">
        <v>1</v>
      </c>
      <c r="I4734" s="185">
        <v>5</v>
      </c>
      <c r="J4734" s="901" t="s">
        <v>1796</v>
      </c>
      <c r="K4734" s="163" t="s">
        <v>2310</v>
      </c>
      <c r="L4734" s="163" t="s">
        <v>10915</v>
      </c>
      <c r="M4734" s="163"/>
      <c r="N4734" s="163"/>
      <c r="O4734" s="163"/>
      <c r="P4734" s="182" t="s">
        <v>461</v>
      </c>
      <c r="Q4734" s="163" t="s">
        <v>7076</v>
      </c>
      <c r="R4734" s="186" t="s">
        <v>10878</v>
      </c>
      <c r="S4734" s="355"/>
      <c r="T4734" s="182"/>
      <c r="U4734" s="182" t="s">
        <v>10234</v>
      </c>
      <c r="V4734" s="182"/>
      <c r="W4734" s="314" t="s">
        <v>14475</v>
      </c>
      <c r="X4734" s="646" t="s">
        <v>2493</v>
      </c>
      <c r="Y4734" s="355"/>
      <c r="Z4734" s="185"/>
      <c r="AA4734" s="185"/>
      <c r="AB4734" s="33">
        <f t="shared" ca="1" si="117"/>
        <v>0.76519205112607525</v>
      </c>
      <c r="AC4734" s="813"/>
      <c r="AD4734" s="211"/>
      <c r="AE4734" s="941"/>
      <c r="AF4734" s="922">
        <f>IF(X4734=X4733,AF4733,0)+IF(ISNUMBER(I4734),IF(I4734&lt;1,I4734,I4734*VLOOKUP(J4734,Summary!$H$2:$I$9,2)),VLOOKUP(J4734,Summary!$J$2:$K$9,2)*IF(ISNUMBER(H4734),H4734,1))</f>
        <v>0.38854166666666667</v>
      </c>
      <c r="AG4734" s="290">
        <v>4733</v>
      </c>
      <c r="AH4734" s="94"/>
      <c r="AI4734" s="94"/>
    </row>
    <row r="4735" spans="1:35" s="26" customFormat="1" ht="12" customHeight="1" x14ac:dyDescent="0.2">
      <c r="A4735" s="614" t="s">
        <v>13228</v>
      </c>
      <c r="B4735" s="614">
        <v>11</v>
      </c>
      <c r="C4735" s="745">
        <v>2</v>
      </c>
      <c r="D4735" s="185" t="s">
        <v>15281</v>
      </c>
      <c r="E4735" s="314" t="s">
        <v>15282</v>
      </c>
      <c r="F4735" s="184">
        <v>43292</v>
      </c>
      <c r="G4735" s="184"/>
      <c r="H4735" s="185">
        <v>1</v>
      </c>
      <c r="I4735" s="185">
        <v>22</v>
      </c>
      <c r="J4735" s="901" t="s">
        <v>1796</v>
      </c>
      <c r="K4735" s="163" t="s">
        <v>9479</v>
      </c>
      <c r="L4735" s="163" t="s">
        <v>15280</v>
      </c>
      <c r="M4735" s="163" t="s">
        <v>10898</v>
      </c>
      <c r="N4735" s="163" t="s">
        <v>13496</v>
      </c>
      <c r="O4735" s="163"/>
      <c r="P4735" s="182" t="s">
        <v>461</v>
      </c>
      <c r="Q4735" s="163" t="s">
        <v>7076</v>
      </c>
      <c r="R4735" s="186" t="s">
        <v>10878</v>
      </c>
      <c r="S4735" s="355"/>
      <c r="T4735" s="182"/>
      <c r="U4735" s="182" t="s">
        <v>10234</v>
      </c>
      <c r="V4735" s="182"/>
      <c r="W4735" s="314" t="s">
        <v>15282</v>
      </c>
      <c r="X4735" s="646" t="s">
        <v>2493</v>
      </c>
      <c r="Y4735" s="355" t="s">
        <v>6000</v>
      </c>
      <c r="Z4735" s="185"/>
      <c r="AA4735" s="185"/>
      <c r="AB4735" s="33">
        <f t="shared" ca="1" si="117"/>
        <v>0.66736238515219548</v>
      </c>
      <c r="AC4735" s="813"/>
      <c r="AD4735" s="211"/>
      <c r="AE4735" s="941"/>
      <c r="AF4735" s="922">
        <f>IF(X4735=X4734,AF4734,0)+IF(ISNUMBER(I4735),IF(I4735&lt;1,I4735,I4735*VLOOKUP(J4735,Summary!$H$2:$I$9,2)),VLOOKUP(J4735,Summary!$J$2:$K$9,2)*IF(ISNUMBER(H4735),H4735,1))</f>
        <v>0.39618055555555554</v>
      </c>
      <c r="AG4735" s="290">
        <v>4734</v>
      </c>
      <c r="AH4735" s="94"/>
      <c r="AI4735" s="94"/>
    </row>
    <row r="4736" spans="1:35" s="22" customFormat="1" ht="12" customHeight="1" x14ac:dyDescent="0.2">
      <c r="A4736" s="614" t="s">
        <v>13228</v>
      </c>
      <c r="B4736" s="614">
        <v>11</v>
      </c>
      <c r="C4736" s="621">
        <v>0.11</v>
      </c>
      <c r="D4736" s="185" t="s">
        <v>15399</v>
      </c>
      <c r="E4736" s="314" t="s">
        <v>15400</v>
      </c>
      <c r="F4736" s="184">
        <v>43369</v>
      </c>
      <c r="G4736" s="184"/>
      <c r="H4736" s="185">
        <v>1</v>
      </c>
      <c r="I4736" s="185">
        <v>5</v>
      </c>
      <c r="J4736" s="901" t="s">
        <v>1796</v>
      </c>
      <c r="K4736" s="163" t="s">
        <v>2675</v>
      </c>
      <c r="L4736" s="163" t="s">
        <v>3365</v>
      </c>
      <c r="M4736" s="163" t="s">
        <v>3365</v>
      </c>
      <c r="N4736" s="163"/>
      <c r="O4736" s="163"/>
      <c r="P4736" s="182" t="s">
        <v>461</v>
      </c>
      <c r="Q4736" s="163" t="s">
        <v>7076</v>
      </c>
      <c r="R4736" s="186" t="s">
        <v>10878</v>
      </c>
      <c r="S4736" s="355"/>
      <c r="T4736" s="182"/>
      <c r="U4736" s="182" t="s">
        <v>10234</v>
      </c>
      <c r="V4736" s="182" t="s">
        <v>7344</v>
      </c>
      <c r="W4736" s="314" t="s">
        <v>15400</v>
      </c>
      <c r="X4736" s="646" t="s">
        <v>2493</v>
      </c>
      <c r="Y4736" s="355"/>
      <c r="Z4736" s="185"/>
      <c r="AA4736" s="185"/>
      <c r="AB4736" s="33">
        <f t="shared" ca="1" si="117"/>
        <v>0.67129997607324854</v>
      </c>
      <c r="AC4736" s="813"/>
      <c r="AD4736" s="819"/>
      <c r="AE4736" s="875"/>
      <c r="AF4736" s="922">
        <f>IF(X4736=X4735,AF4735,0)+IF(ISNUMBER(I4736),IF(I4736&lt;1,I4736,I4736*VLOOKUP(J4736,Summary!$H$2:$I$9,2)),VLOOKUP(J4736,Summary!$J$2:$K$9,2)*IF(ISNUMBER(H4736),H4736,1))</f>
        <v>0.39791666666666664</v>
      </c>
      <c r="AG4736" s="290">
        <v>4735</v>
      </c>
      <c r="AH4736" s="94"/>
      <c r="AI4736" s="94"/>
    </row>
    <row r="4737" spans="1:36" s="26" customFormat="1" ht="12" customHeight="1" x14ac:dyDescent="0.25">
      <c r="A4737" s="613" t="s">
        <v>13228</v>
      </c>
      <c r="B4737" s="613">
        <v>11</v>
      </c>
      <c r="C4737" s="613"/>
      <c r="D4737" s="509" t="s">
        <v>3112</v>
      </c>
      <c r="E4737" s="335" t="s">
        <v>7952</v>
      </c>
      <c r="F4737" s="223">
        <v>40624</v>
      </c>
      <c r="G4737" s="223"/>
      <c r="H4737" s="242">
        <v>1</v>
      </c>
      <c r="I4737" s="792">
        <f>TIME(0,1,55)</f>
        <v>1.3310185185185185E-3</v>
      </c>
      <c r="J4737" s="909" t="s">
        <v>1588</v>
      </c>
      <c r="K4737" s="243"/>
      <c r="L4737" s="243"/>
      <c r="M4737" s="243"/>
      <c r="N4737" s="243" t="s">
        <v>3810</v>
      </c>
      <c r="O4737" s="243" t="s">
        <v>7457</v>
      </c>
      <c r="P4737" s="241" t="s">
        <v>461</v>
      </c>
      <c r="Q4737" s="243" t="s">
        <v>3946</v>
      </c>
      <c r="R4737" s="244" t="s">
        <v>7896</v>
      </c>
      <c r="S4737" s="395"/>
      <c r="T4737" s="241"/>
      <c r="U4737" s="241"/>
      <c r="V4737" s="241"/>
      <c r="W4737" s="335" t="s">
        <v>10127</v>
      </c>
      <c r="X4737" s="667" t="s">
        <v>2493</v>
      </c>
      <c r="Y4737" s="375"/>
      <c r="Z4737" s="377"/>
      <c r="AA4737" s="377"/>
      <c r="AB4737" s="55">
        <f t="shared" ca="1" si="117"/>
        <v>0.25216369898868551</v>
      </c>
      <c r="AC4737" s="834"/>
      <c r="AD4737" s="835"/>
      <c r="AE4737" s="957"/>
      <c r="AF4737" s="930">
        <f>IF(X4737=X4736,AF4736,0)+IF(ISNUMBER(I4737),IF(I4737&lt;1,I4737,I4737*VLOOKUP(J4737,Summary!$H$2:$I$9,2)),VLOOKUP(J4737,Summary!$J$2:$K$9,2)*IF(ISNUMBER(H4737),H4737,1))</f>
        <v>0.39924768518518516</v>
      </c>
      <c r="AG4737" s="302">
        <v>4736</v>
      </c>
      <c r="AH4737" s="94"/>
      <c r="AI4737" s="94"/>
    </row>
    <row r="4738" spans="1:36" s="57" customFormat="1" ht="12" customHeight="1" x14ac:dyDescent="0.25">
      <c r="A4738" s="612" t="s">
        <v>13228</v>
      </c>
      <c r="B4738" s="612">
        <v>11</v>
      </c>
      <c r="C4738" s="612">
        <v>214</v>
      </c>
      <c r="D4738" s="424" t="s">
        <v>5031</v>
      </c>
      <c r="E4738" s="319" t="s">
        <v>6131</v>
      </c>
      <c r="F4738" s="198">
        <v>40656</v>
      </c>
      <c r="G4738" s="198">
        <v>40663</v>
      </c>
      <c r="H4738" s="199">
        <v>2</v>
      </c>
      <c r="I4738" s="791">
        <f>TIME(0,43,28)+TIME(0,45,58)</f>
        <v>6.2106481481481485E-2</v>
      </c>
      <c r="J4738" s="904" t="s">
        <v>1588</v>
      </c>
      <c r="K4738" s="200" t="s">
        <v>3810</v>
      </c>
      <c r="L4738" s="200" t="s">
        <v>5641</v>
      </c>
      <c r="M4738" s="200"/>
      <c r="N4738" s="200" t="s">
        <v>3810</v>
      </c>
      <c r="O4738" s="200" t="s">
        <v>5004</v>
      </c>
      <c r="P4738" s="197" t="s">
        <v>461</v>
      </c>
      <c r="Q4738" s="200" t="s">
        <v>3946</v>
      </c>
      <c r="R4738" s="201" t="s">
        <v>5280</v>
      </c>
      <c r="S4738" s="390" t="s">
        <v>2614</v>
      </c>
      <c r="T4738" s="197" t="s">
        <v>1738</v>
      </c>
      <c r="U4738" s="197" t="s">
        <v>7344</v>
      </c>
      <c r="V4738" s="197"/>
      <c r="W4738" s="344" t="s">
        <v>8483</v>
      </c>
      <c r="X4738" s="679" t="s">
        <v>2493</v>
      </c>
      <c r="Y4738" s="358" t="s">
        <v>7018</v>
      </c>
      <c r="Z4738" s="253">
        <v>95</v>
      </c>
      <c r="AA4738" s="253">
        <v>7</v>
      </c>
      <c r="AB4738" s="35">
        <f t="shared" ref="AB4738:AB4801" ca="1" si="118">RAND()</f>
        <v>0.17493604008833952</v>
      </c>
      <c r="AC4738" s="820"/>
      <c r="AD4738" s="824" t="s">
        <v>15894</v>
      </c>
      <c r="AE4738" s="973"/>
      <c r="AF4738" s="925">
        <f>IF(X4738=X4737,AF4737,0)+IF(ISNUMBER(I4738),IF(I4738&lt;1,I4738,I4738*VLOOKUP(J4738,Summary!$H$2:$I$9,2)),VLOOKUP(J4738,Summary!$J$2:$K$9,2)*IF(ISNUMBER(H4738),H4738,1))</f>
        <v>0.46135416666666662</v>
      </c>
      <c r="AG4738" s="293">
        <v>4737</v>
      </c>
      <c r="AH4738" s="94"/>
      <c r="AI4738" s="94"/>
    </row>
    <row r="4739" spans="1:36" s="26" customFormat="1" ht="12" customHeight="1" x14ac:dyDescent="0.2">
      <c r="A4739" s="614" t="s">
        <v>13228</v>
      </c>
      <c r="B4739" s="614">
        <v>11</v>
      </c>
      <c r="C4739" s="614">
        <v>175</v>
      </c>
      <c r="D4739" s="185" t="s">
        <v>1521</v>
      </c>
      <c r="E4739" s="314" t="s">
        <v>2791</v>
      </c>
      <c r="F4739" s="184">
        <v>40668</v>
      </c>
      <c r="G4739" s="184">
        <v>40674</v>
      </c>
      <c r="H4739" s="185">
        <v>1</v>
      </c>
      <c r="I4739" s="185">
        <v>4</v>
      </c>
      <c r="J4739" s="901" t="s">
        <v>1796</v>
      </c>
      <c r="K4739" s="163" t="s">
        <v>176</v>
      </c>
      <c r="L4739" s="163" t="s">
        <v>3832</v>
      </c>
      <c r="M4739" s="163" t="s">
        <v>254</v>
      </c>
      <c r="N4739" s="163" t="s">
        <v>7370</v>
      </c>
      <c r="O4739" s="163"/>
      <c r="P4739" s="182" t="s">
        <v>461</v>
      </c>
      <c r="Q4739" s="163" t="s">
        <v>4929</v>
      </c>
      <c r="R4739" s="186" t="s">
        <v>4796</v>
      </c>
      <c r="S4739" s="355" t="s">
        <v>2614</v>
      </c>
      <c r="T4739" s="182" t="s">
        <v>1738</v>
      </c>
      <c r="U4739" s="182"/>
      <c r="V4739" s="182"/>
      <c r="W4739" s="314" t="s">
        <v>2791</v>
      </c>
      <c r="X4739" s="646" t="s">
        <v>2493</v>
      </c>
      <c r="Y4739" s="355"/>
      <c r="Z4739" s="185"/>
      <c r="AA4739" s="185"/>
      <c r="AB4739" s="33">
        <f t="shared" ca="1" si="118"/>
        <v>0.52683870707817781</v>
      </c>
      <c r="AC4739" s="813"/>
      <c r="AD4739" s="211"/>
      <c r="AE4739" s="941"/>
      <c r="AF4739" s="922">
        <f>IF(X4739=X4738,AF4738,0)+IF(ISNUMBER(I4739),IF(I4739&lt;1,I4739,I4739*VLOOKUP(J4739,Summary!$H$2:$I$9,2)),VLOOKUP(J4739,Summary!$J$2:$K$9,2)*IF(ISNUMBER(H4739),H4739,1))</f>
        <v>0.4627430555555555</v>
      </c>
      <c r="AG4739" s="290">
        <v>4738</v>
      </c>
      <c r="AH4739" s="94"/>
      <c r="AI4739" s="94"/>
    </row>
    <row r="4740" spans="1:36" s="1" customFormat="1" ht="12" customHeight="1" x14ac:dyDescent="0.25">
      <c r="A4740" s="614" t="s">
        <v>13228</v>
      </c>
      <c r="B4740" s="614">
        <v>11</v>
      </c>
      <c r="C4740" s="614">
        <v>176</v>
      </c>
      <c r="D4740" s="185" t="s">
        <v>1522</v>
      </c>
      <c r="E4740" s="314" t="s">
        <v>2792</v>
      </c>
      <c r="F4740" s="184">
        <v>40675</v>
      </c>
      <c r="G4740" s="184">
        <v>40681</v>
      </c>
      <c r="H4740" s="185">
        <v>1</v>
      </c>
      <c r="I4740" s="185">
        <v>4</v>
      </c>
      <c r="J4740" s="901" t="s">
        <v>1796</v>
      </c>
      <c r="K4740" s="163" t="s">
        <v>4032</v>
      </c>
      <c r="L4740" s="163" t="s">
        <v>3832</v>
      </c>
      <c r="M4740" s="163" t="s">
        <v>254</v>
      </c>
      <c r="N4740" s="163" t="s">
        <v>7370</v>
      </c>
      <c r="O4740" s="163"/>
      <c r="P4740" s="182" t="s">
        <v>461</v>
      </c>
      <c r="Q4740" s="163" t="s">
        <v>4929</v>
      </c>
      <c r="R4740" s="186" t="s">
        <v>4796</v>
      </c>
      <c r="S4740" s="355" t="s">
        <v>2614</v>
      </c>
      <c r="T4740" s="182" t="s">
        <v>1738</v>
      </c>
      <c r="U4740" s="182"/>
      <c r="V4740" s="182"/>
      <c r="W4740" s="314" t="s">
        <v>2792</v>
      </c>
      <c r="X4740" s="646" t="s">
        <v>2493</v>
      </c>
      <c r="Y4740" s="355"/>
      <c r="Z4740" s="185"/>
      <c r="AA4740" s="185"/>
      <c r="AB4740" s="33">
        <f t="shared" ca="1" si="118"/>
        <v>0.7299436871977385</v>
      </c>
      <c r="AC4740" s="813"/>
      <c r="AD4740" s="211"/>
      <c r="AE4740" s="941"/>
      <c r="AF4740" s="922">
        <f>IF(X4740=X4739,AF4739,0)+IF(ISNUMBER(I4740),IF(I4740&lt;1,I4740,I4740*VLOOKUP(J4740,Summary!$H$2:$I$9,2)),VLOOKUP(J4740,Summary!$J$2:$K$9,2)*IF(ISNUMBER(H4740),H4740,1))</f>
        <v>0.46413194444444439</v>
      </c>
      <c r="AG4740" s="290">
        <v>4739</v>
      </c>
      <c r="AH4740" s="94"/>
      <c r="AI4740" s="94"/>
    </row>
    <row r="4741" spans="1:36" s="29" customFormat="1" ht="12" customHeight="1" x14ac:dyDescent="0.25">
      <c r="A4741" s="614" t="s">
        <v>13228</v>
      </c>
      <c r="B4741" s="614">
        <v>11</v>
      </c>
      <c r="C4741" s="614">
        <v>177</v>
      </c>
      <c r="D4741" s="185" t="s">
        <v>1523</v>
      </c>
      <c r="E4741" s="314" t="s">
        <v>2793</v>
      </c>
      <c r="F4741" s="184">
        <v>40682</v>
      </c>
      <c r="G4741" s="184">
        <v>40688</v>
      </c>
      <c r="H4741" s="185">
        <v>1</v>
      </c>
      <c r="I4741" s="185">
        <v>4</v>
      </c>
      <c r="J4741" s="901" t="s">
        <v>1796</v>
      </c>
      <c r="K4741" s="163" t="s">
        <v>5664</v>
      </c>
      <c r="L4741" s="163" t="s">
        <v>3832</v>
      </c>
      <c r="M4741" s="163" t="s">
        <v>254</v>
      </c>
      <c r="N4741" s="163" t="s">
        <v>7370</v>
      </c>
      <c r="O4741" s="163"/>
      <c r="P4741" s="182" t="s">
        <v>461</v>
      </c>
      <c r="Q4741" s="163" t="s">
        <v>4929</v>
      </c>
      <c r="R4741" s="186" t="s">
        <v>4796</v>
      </c>
      <c r="S4741" s="355" t="s">
        <v>2614</v>
      </c>
      <c r="T4741" s="182" t="s">
        <v>1738</v>
      </c>
      <c r="U4741" s="182"/>
      <c r="V4741" s="182"/>
      <c r="W4741" s="314" t="s">
        <v>2793</v>
      </c>
      <c r="X4741" s="646" t="s">
        <v>2493</v>
      </c>
      <c r="Y4741" s="355"/>
      <c r="Z4741" s="185"/>
      <c r="AA4741" s="185"/>
      <c r="AB4741" s="33">
        <f t="shared" ca="1" si="118"/>
        <v>0.3245563539453663</v>
      </c>
      <c r="AC4741" s="813"/>
      <c r="AD4741" s="211"/>
      <c r="AE4741" s="941"/>
      <c r="AF4741" s="922">
        <f>IF(X4741=X4740,AF4740,0)+IF(ISNUMBER(I4741),IF(I4741&lt;1,I4741,I4741*VLOOKUP(J4741,Summary!$H$2:$I$9,2)),VLOOKUP(J4741,Summary!$J$2:$K$9,2)*IF(ISNUMBER(H4741),H4741,1))</f>
        <v>0.46552083333333327</v>
      </c>
      <c r="AG4741" s="290">
        <v>4740</v>
      </c>
      <c r="AH4741" s="94"/>
      <c r="AI4741" s="94"/>
    </row>
    <row r="4742" spans="1:36" s="29" customFormat="1" ht="12" customHeight="1" x14ac:dyDescent="0.25">
      <c r="A4742" s="613" t="s">
        <v>13228</v>
      </c>
      <c r="B4742" s="613">
        <v>11</v>
      </c>
      <c r="C4742" s="613"/>
      <c r="D4742" s="509" t="s">
        <v>3112</v>
      </c>
      <c r="E4742" s="335" t="s">
        <v>7946</v>
      </c>
      <c r="F4742" s="223">
        <v>40663</v>
      </c>
      <c r="G4742" s="223"/>
      <c r="H4742" s="242">
        <v>1</v>
      </c>
      <c r="I4742" s="792">
        <f>TIME(0,1,30)</f>
        <v>1.0416666666666667E-3</v>
      </c>
      <c r="J4742" s="909" t="s">
        <v>1588</v>
      </c>
      <c r="K4742" s="243"/>
      <c r="L4742" s="243"/>
      <c r="M4742" s="243"/>
      <c r="N4742" s="243" t="s">
        <v>3810</v>
      </c>
      <c r="O4742" s="243" t="s">
        <v>5004</v>
      </c>
      <c r="P4742" s="241" t="s">
        <v>461</v>
      </c>
      <c r="Q4742" s="243" t="s">
        <v>3946</v>
      </c>
      <c r="R4742" s="244" t="s">
        <v>7896</v>
      </c>
      <c r="S4742" s="395"/>
      <c r="T4742" s="241"/>
      <c r="U4742" s="241"/>
      <c r="V4742" s="241"/>
      <c r="W4742" s="335" t="s">
        <v>10125</v>
      </c>
      <c r="X4742" s="667" t="s">
        <v>2493</v>
      </c>
      <c r="Y4742" s="375"/>
      <c r="Z4742" s="377"/>
      <c r="AA4742" s="377"/>
      <c r="AB4742" s="55">
        <f t="shared" ca="1" si="118"/>
        <v>0.34003362676276361</v>
      </c>
      <c r="AC4742" s="834"/>
      <c r="AD4742" s="835"/>
      <c r="AE4742" s="957"/>
      <c r="AF4742" s="930">
        <f>IF(X4742=X4741,AF4741,0)+IF(ISNUMBER(I4742),IF(I4742&lt;1,I4742,I4742*VLOOKUP(J4742,Summary!$H$2:$I$9,2)),VLOOKUP(J4742,Summary!$J$2:$K$9,2)*IF(ISNUMBER(H4742),H4742,1))</f>
        <v>0.46656249999999994</v>
      </c>
      <c r="AG4742" s="302">
        <v>4741</v>
      </c>
      <c r="AH4742" s="94"/>
      <c r="AI4742" s="94"/>
    </row>
    <row r="4743" spans="1:36" s="3" customFormat="1" ht="12" customHeight="1" x14ac:dyDescent="0.25">
      <c r="A4743" s="612" t="s">
        <v>13228</v>
      </c>
      <c r="B4743" s="612">
        <v>11</v>
      </c>
      <c r="C4743" s="612">
        <v>215</v>
      </c>
      <c r="D4743" s="424" t="s">
        <v>1080</v>
      </c>
      <c r="E4743" s="319" t="s">
        <v>6132</v>
      </c>
      <c r="F4743" s="198">
        <v>40670</v>
      </c>
      <c r="G4743" s="198"/>
      <c r="H4743" s="199">
        <v>1</v>
      </c>
      <c r="I4743" s="791">
        <f>TIME(0,44,45)</f>
        <v>3.107638888888889E-2</v>
      </c>
      <c r="J4743" s="904" t="s">
        <v>1588</v>
      </c>
      <c r="K4743" s="200" t="s">
        <v>6763</v>
      </c>
      <c r="L4743" s="200" t="s">
        <v>6765</v>
      </c>
      <c r="M4743" s="200"/>
      <c r="N4743" s="200" t="s">
        <v>3810</v>
      </c>
      <c r="O4743" s="200" t="s">
        <v>5004</v>
      </c>
      <c r="P4743" s="197" t="s">
        <v>461</v>
      </c>
      <c r="Q4743" s="200" t="s">
        <v>3946</v>
      </c>
      <c r="R4743" s="201" t="s">
        <v>5280</v>
      </c>
      <c r="S4743" s="390" t="s">
        <v>2614</v>
      </c>
      <c r="T4743" s="197" t="s">
        <v>1738</v>
      </c>
      <c r="U4743" s="197"/>
      <c r="V4743" s="197"/>
      <c r="W4743" s="319" t="s">
        <v>6132</v>
      </c>
      <c r="X4743" s="651" t="s">
        <v>2493</v>
      </c>
      <c r="Y4743" s="358" t="s">
        <v>7018</v>
      </c>
      <c r="Z4743" s="253">
        <v>162</v>
      </c>
      <c r="AA4743" s="360">
        <v>5</v>
      </c>
      <c r="AB4743" s="35">
        <f t="shared" ca="1" si="118"/>
        <v>0.79363548813319518</v>
      </c>
      <c r="AC4743" s="820"/>
      <c r="AD4743" s="821" t="s">
        <v>15124</v>
      </c>
      <c r="AE4743" s="967"/>
      <c r="AF4743" s="925">
        <f>IF(X4743=X4742,AF4742,0)+IF(ISNUMBER(I4743),IF(I4743&lt;1,I4743,I4743*VLOOKUP(J4743,Summary!$H$2:$I$9,2)),VLOOKUP(J4743,Summary!$J$2:$K$9,2)*IF(ISNUMBER(H4743),H4743,1))</f>
        <v>0.49763888888888885</v>
      </c>
      <c r="AG4743" s="293">
        <v>4742</v>
      </c>
      <c r="AH4743" s="94"/>
      <c r="AI4743" s="94"/>
      <c r="AJ4743" s="43"/>
    </row>
    <row r="4744" spans="1:36" s="22" customFormat="1" ht="12" customHeight="1" x14ac:dyDescent="0.2">
      <c r="A4744" s="614" t="s">
        <v>13228</v>
      </c>
      <c r="B4744" s="614">
        <v>11</v>
      </c>
      <c r="C4744" s="614">
        <v>178</v>
      </c>
      <c r="D4744" s="185" t="s">
        <v>1524</v>
      </c>
      <c r="E4744" s="314" t="s">
        <v>2794</v>
      </c>
      <c r="F4744" s="184">
        <v>40689</v>
      </c>
      <c r="G4744" s="184">
        <v>40695</v>
      </c>
      <c r="H4744" s="185">
        <v>1</v>
      </c>
      <c r="I4744" s="185">
        <v>4</v>
      </c>
      <c r="J4744" s="901" t="s">
        <v>1796</v>
      </c>
      <c r="K4744" s="163" t="s">
        <v>6353</v>
      </c>
      <c r="L4744" s="163" t="s">
        <v>3832</v>
      </c>
      <c r="M4744" s="163" t="s">
        <v>254</v>
      </c>
      <c r="N4744" s="163" t="s">
        <v>7370</v>
      </c>
      <c r="O4744" s="163"/>
      <c r="P4744" s="182" t="s">
        <v>461</v>
      </c>
      <c r="Q4744" s="163" t="s">
        <v>4929</v>
      </c>
      <c r="R4744" s="186" t="s">
        <v>4796</v>
      </c>
      <c r="S4744" s="355" t="s">
        <v>2614</v>
      </c>
      <c r="T4744" s="182" t="s">
        <v>1738</v>
      </c>
      <c r="U4744" s="182"/>
      <c r="V4744" s="182"/>
      <c r="W4744" s="314" t="s">
        <v>2794</v>
      </c>
      <c r="X4744" s="646" t="s">
        <v>2493</v>
      </c>
      <c r="Y4744" s="355"/>
      <c r="Z4744" s="185"/>
      <c r="AA4744" s="185"/>
      <c r="AB4744" s="33">
        <f t="shared" ca="1" si="118"/>
        <v>0.49364658382708404</v>
      </c>
      <c r="AC4744" s="813"/>
      <c r="AD4744" s="211"/>
      <c r="AE4744" s="941"/>
      <c r="AF4744" s="922">
        <f>IF(X4744=X4743,AF4743,0)+IF(ISNUMBER(I4744),IF(I4744&lt;1,I4744,I4744*VLOOKUP(J4744,Summary!$H$2:$I$9,2)),VLOOKUP(J4744,Summary!$J$2:$K$9,2)*IF(ISNUMBER(H4744),H4744,1))</f>
        <v>0.49902777777777774</v>
      </c>
      <c r="AG4744" s="290">
        <v>4743</v>
      </c>
      <c r="AH4744" s="94"/>
      <c r="AI4744" s="94"/>
    </row>
    <row r="4745" spans="1:36" s="29" customFormat="1" ht="12" customHeight="1" x14ac:dyDescent="0.25">
      <c r="A4745" s="614" t="s">
        <v>13228</v>
      </c>
      <c r="B4745" s="614">
        <v>11</v>
      </c>
      <c r="C4745" s="614">
        <v>179</v>
      </c>
      <c r="D4745" s="185" t="s">
        <v>1525</v>
      </c>
      <c r="E4745" s="314" t="s">
        <v>2795</v>
      </c>
      <c r="F4745" s="184">
        <v>40696</v>
      </c>
      <c r="G4745" s="184">
        <v>40702</v>
      </c>
      <c r="H4745" s="185">
        <v>1</v>
      </c>
      <c r="I4745" s="185">
        <v>4</v>
      </c>
      <c r="J4745" s="901" t="s">
        <v>1796</v>
      </c>
      <c r="K4745" s="163" t="s">
        <v>4032</v>
      </c>
      <c r="L4745" s="163" t="s">
        <v>3832</v>
      </c>
      <c r="M4745" s="163" t="s">
        <v>254</v>
      </c>
      <c r="N4745" s="163" t="s">
        <v>7370</v>
      </c>
      <c r="O4745" s="163"/>
      <c r="P4745" s="182" t="s">
        <v>461</v>
      </c>
      <c r="Q4745" s="163" t="s">
        <v>4929</v>
      </c>
      <c r="R4745" s="186" t="s">
        <v>4796</v>
      </c>
      <c r="S4745" s="355" t="s">
        <v>2614</v>
      </c>
      <c r="T4745" s="182" t="s">
        <v>1738</v>
      </c>
      <c r="U4745" s="182"/>
      <c r="V4745" s="182"/>
      <c r="W4745" s="314" t="s">
        <v>2795</v>
      </c>
      <c r="X4745" s="646" t="s">
        <v>2493</v>
      </c>
      <c r="Y4745" s="355"/>
      <c r="Z4745" s="185"/>
      <c r="AA4745" s="185"/>
      <c r="AB4745" s="33">
        <f t="shared" ca="1" si="118"/>
        <v>0.73454757594920628</v>
      </c>
      <c r="AC4745" s="813"/>
      <c r="AD4745" s="211"/>
      <c r="AE4745" s="941"/>
      <c r="AF4745" s="922">
        <f>IF(X4745=X4744,AF4744,0)+IF(ISNUMBER(I4745),IF(I4745&lt;1,I4745,I4745*VLOOKUP(J4745,Summary!$H$2:$I$9,2)),VLOOKUP(J4745,Summary!$J$2:$K$9,2)*IF(ISNUMBER(H4745),H4745,1))</f>
        <v>0.50041666666666662</v>
      </c>
      <c r="AG4745" s="290">
        <v>4744</v>
      </c>
      <c r="AH4745" s="94"/>
      <c r="AI4745" s="94"/>
    </row>
    <row r="4746" spans="1:36" s="22" customFormat="1" ht="12" customHeight="1" x14ac:dyDescent="0.2">
      <c r="A4746" s="614" t="s">
        <v>13228</v>
      </c>
      <c r="B4746" s="614">
        <v>11</v>
      </c>
      <c r="C4746" s="614">
        <v>180</v>
      </c>
      <c r="D4746" s="185" t="s">
        <v>1526</v>
      </c>
      <c r="E4746" s="314" t="s">
        <v>2796</v>
      </c>
      <c r="F4746" s="184">
        <v>40703</v>
      </c>
      <c r="G4746" s="184">
        <v>40709</v>
      </c>
      <c r="H4746" s="185">
        <v>1</v>
      </c>
      <c r="I4746" s="185">
        <v>4</v>
      </c>
      <c r="J4746" s="901" t="s">
        <v>1796</v>
      </c>
      <c r="K4746" s="163" t="s">
        <v>4672</v>
      </c>
      <c r="L4746" s="163" t="s">
        <v>3832</v>
      </c>
      <c r="M4746" s="163" t="s">
        <v>254</v>
      </c>
      <c r="N4746" s="163" t="s">
        <v>7370</v>
      </c>
      <c r="O4746" s="163"/>
      <c r="P4746" s="182" t="s">
        <v>461</v>
      </c>
      <c r="Q4746" s="163" t="s">
        <v>4929</v>
      </c>
      <c r="R4746" s="186" t="s">
        <v>4796</v>
      </c>
      <c r="S4746" s="355" t="s">
        <v>2614</v>
      </c>
      <c r="T4746" s="182" t="s">
        <v>1738</v>
      </c>
      <c r="U4746" s="182"/>
      <c r="V4746" s="182"/>
      <c r="W4746" s="314" t="s">
        <v>2796</v>
      </c>
      <c r="X4746" s="646" t="s">
        <v>2493</v>
      </c>
      <c r="Y4746" s="355"/>
      <c r="Z4746" s="185"/>
      <c r="AA4746" s="185"/>
      <c r="AB4746" s="33">
        <f t="shared" ca="1" si="118"/>
        <v>0.56389328175328279</v>
      </c>
      <c r="AC4746" s="813"/>
      <c r="AD4746" s="211"/>
      <c r="AE4746" s="941"/>
      <c r="AF4746" s="922">
        <f>IF(X4746=X4745,AF4745,0)+IF(ISNUMBER(I4746),IF(I4746&lt;1,I4746,I4746*VLOOKUP(J4746,Summary!$H$2:$I$9,2)),VLOOKUP(J4746,Summary!$J$2:$K$9,2)*IF(ISNUMBER(H4746),H4746,1))</f>
        <v>0.5018055555555555</v>
      </c>
      <c r="AG4746" s="290">
        <v>4745</v>
      </c>
      <c r="AH4746" s="94"/>
      <c r="AI4746" s="94"/>
    </row>
    <row r="4747" spans="1:36" s="29" customFormat="1" ht="12" customHeight="1" x14ac:dyDescent="0.25">
      <c r="A4747" s="614" t="s">
        <v>13228</v>
      </c>
      <c r="B4747" s="614">
        <v>11</v>
      </c>
      <c r="C4747" s="614">
        <v>181</v>
      </c>
      <c r="D4747" s="185" t="s">
        <v>1527</v>
      </c>
      <c r="E4747" s="314" t="s">
        <v>2797</v>
      </c>
      <c r="F4747" s="184">
        <v>40710</v>
      </c>
      <c r="G4747" s="184">
        <v>40716</v>
      </c>
      <c r="H4747" s="185">
        <v>1</v>
      </c>
      <c r="I4747" s="185">
        <v>4</v>
      </c>
      <c r="J4747" s="901" t="s">
        <v>1796</v>
      </c>
      <c r="K4747" s="163" t="s">
        <v>4032</v>
      </c>
      <c r="L4747" s="163" t="s">
        <v>3832</v>
      </c>
      <c r="M4747" s="163" t="s">
        <v>254</v>
      </c>
      <c r="N4747" s="163" t="s">
        <v>7370</v>
      </c>
      <c r="O4747" s="163"/>
      <c r="P4747" s="182" t="s">
        <v>461</v>
      </c>
      <c r="Q4747" s="163" t="s">
        <v>4929</v>
      </c>
      <c r="R4747" s="186" t="s">
        <v>4796</v>
      </c>
      <c r="S4747" s="355" t="s">
        <v>2614</v>
      </c>
      <c r="T4747" s="182" t="s">
        <v>1738</v>
      </c>
      <c r="U4747" s="182"/>
      <c r="V4747" s="182"/>
      <c r="W4747" s="314" t="s">
        <v>2797</v>
      </c>
      <c r="X4747" s="646" t="s">
        <v>2493</v>
      </c>
      <c r="Y4747" s="355"/>
      <c r="Z4747" s="185"/>
      <c r="AA4747" s="185"/>
      <c r="AB4747" s="33">
        <f t="shared" ca="1" si="118"/>
        <v>0.7589920074936537</v>
      </c>
      <c r="AC4747" s="813"/>
      <c r="AD4747" s="211"/>
      <c r="AE4747" s="941"/>
      <c r="AF4747" s="922">
        <f>IF(X4747=X4746,AF4746,0)+IF(ISNUMBER(I4747),IF(I4747&lt;1,I4747,I4747*VLOOKUP(J4747,Summary!$H$2:$I$9,2)),VLOOKUP(J4747,Summary!$J$2:$K$9,2)*IF(ISNUMBER(H4747),H4747,1))</f>
        <v>0.50319444444444439</v>
      </c>
      <c r="AG4747" s="290">
        <v>4746</v>
      </c>
      <c r="AH4747" s="94"/>
      <c r="AI4747" s="94"/>
    </row>
    <row r="4748" spans="1:36" s="29" customFormat="1" ht="12" customHeight="1" x14ac:dyDescent="0.25">
      <c r="A4748" s="614" t="s">
        <v>13228</v>
      </c>
      <c r="B4748" s="614">
        <v>11</v>
      </c>
      <c r="C4748" s="614">
        <v>182</v>
      </c>
      <c r="D4748" s="185" t="s">
        <v>5837</v>
      </c>
      <c r="E4748" s="314" t="s">
        <v>4359</v>
      </c>
      <c r="F4748" s="184">
        <v>40717</v>
      </c>
      <c r="G4748" s="184">
        <v>40723</v>
      </c>
      <c r="H4748" s="185">
        <v>1</v>
      </c>
      <c r="I4748" s="185">
        <v>4</v>
      </c>
      <c r="J4748" s="901" t="s">
        <v>1796</v>
      </c>
      <c r="K4748" s="163" t="s">
        <v>176</v>
      </c>
      <c r="L4748" s="163" t="s">
        <v>3832</v>
      </c>
      <c r="M4748" s="163" t="s">
        <v>254</v>
      </c>
      <c r="N4748" s="163" t="s">
        <v>7370</v>
      </c>
      <c r="O4748" s="163"/>
      <c r="P4748" s="182" t="s">
        <v>461</v>
      </c>
      <c r="Q4748" s="163" t="s">
        <v>4929</v>
      </c>
      <c r="R4748" s="186" t="s">
        <v>4796</v>
      </c>
      <c r="S4748" s="355" t="s">
        <v>2614</v>
      </c>
      <c r="T4748" s="182" t="s">
        <v>1738</v>
      </c>
      <c r="U4748" s="182"/>
      <c r="V4748" s="182"/>
      <c r="W4748" s="314" t="s">
        <v>4359</v>
      </c>
      <c r="X4748" s="646" t="s">
        <v>2493</v>
      </c>
      <c r="Y4748" s="355"/>
      <c r="Z4748" s="185"/>
      <c r="AA4748" s="185"/>
      <c r="AB4748" s="33">
        <f t="shared" ca="1" si="118"/>
        <v>0.99632820899793206</v>
      </c>
      <c r="AC4748" s="813"/>
      <c r="AD4748" s="211"/>
      <c r="AE4748" s="941"/>
      <c r="AF4748" s="922">
        <f>IF(X4748=X4747,AF4747,0)+IF(ISNUMBER(I4748),IF(I4748&lt;1,I4748,I4748*VLOOKUP(J4748,Summary!$H$2:$I$9,2)),VLOOKUP(J4748,Summary!$J$2:$K$9,2)*IF(ISNUMBER(H4748),H4748,1))</f>
        <v>0.50458333333333327</v>
      </c>
      <c r="AG4748" s="290">
        <v>4747</v>
      </c>
      <c r="AH4748" s="94"/>
      <c r="AI4748" s="94"/>
    </row>
    <row r="4749" spans="1:36" s="43" customFormat="1" ht="12" customHeight="1" x14ac:dyDescent="0.25">
      <c r="A4749" s="614" t="s">
        <v>13228</v>
      </c>
      <c r="B4749" s="614">
        <v>11</v>
      </c>
      <c r="C4749" s="614">
        <v>183</v>
      </c>
      <c r="D4749" s="185" t="s">
        <v>5838</v>
      </c>
      <c r="E4749" s="314" t="s">
        <v>4360</v>
      </c>
      <c r="F4749" s="184">
        <v>40724</v>
      </c>
      <c r="G4749" s="184">
        <v>40730</v>
      </c>
      <c r="H4749" s="185">
        <v>1</v>
      </c>
      <c r="I4749" s="185">
        <v>4</v>
      </c>
      <c r="J4749" s="901" t="s">
        <v>1796</v>
      </c>
      <c r="K4749" s="163" t="s">
        <v>176</v>
      </c>
      <c r="L4749" s="163" t="s">
        <v>3832</v>
      </c>
      <c r="M4749" s="163" t="s">
        <v>254</v>
      </c>
      <c r="N4749" s="163" t="s">
        <v>7370</v>
      </c>
      <c r="O4749" s="163"/>
      <c r="P4749" s="182" t="s">
        <v>461</v>
      </c>
      <c r="Q4749" s="163" t="s">
        <v>4929</v>
      </c>
      <c r="R4749" s="186" t="s">
        <v>4796</v>
      </c>
      <c r="S4749" s="355" t="s">
        <v>2614</v>
      </c>
      <c r="T4749" s="182" t="s">
        <v>1738</v>
      </c>
      <c r="U4749" s="182"/>
      <c r="V4749" s="182"/>
      <c r="W4749" s="314" t="s">
        <v>4360</v>
      </c>
      <c r="X4749" s="646" t="s">
        <v>2493</v>
      </c>
      <c r="Y4749" s="355"/>
      <c r="Z4749" s="185"/>
      <c r="AA4749" s="185"/>
      <c r="AB4749" s="33">
        <f t="shared" ca="1" si="118"/>
        <v>0.46434334388405496</v>
      </c>
      <c r="AC4749" s="813"/>
      <c r="AD4749" s="211"/>
      <c r="AE4749" s="941"/>
      <c r="AF4749" s="922">
        <f>IF(X4749=X4748,AF4748,0)+IF(ISNUMBER(I4749),IF(I4749&lt;1,I4749,I4749*VLOOKUP(J4749,Summary!$H$2:$I$9,2)),VLOOKUP(J4749,Summary!$J$2:$K$9,2)*IF(ISNUMBER(H4749),H4749,1))</f>
        <v>0.50597222222222216</v>
      </c>
      <c r="AG4749" s="290">
        <v>4748</v>
      </c>
      <c r="AH4749" s="94"/>
      <c r="AI4749" s="94"/>
    </row>
    <row r="4750" spans="1:36" s="43" customFormat="1" ht="12" customHeight="1" x14ac:dyDescent="0.25">
      <c r="A4750" s="614" t="s">
        <v>13228</v>
      </c>
      <c r="B4750" s="614">
        <v>11</v>
      </c>
      <c r="C4750" s="614">
        <v>184</v>
      </c>
      <c r="D4750" s="185" t="s">
        <v>5839</v>
      </c>
      <c r="E4750" s="314" t="s">
        <v>4361</v>
      </c>
      <c r="F4750" s="184">
        <v>40731</v>
      </c>
      <c r="G4750" s="184">
        <v>40737</v>
      </c>
      <c r="H4750" s="185">
        <v>1</v>
      </c>
      <c r="I4750" s="185">
        <v>4</v>
      </c>
      <c r="J4750" s="901" t="s">
        <v>1796</v>
      </c>
      <c r="K4750" s="163" t="s">
        <v>6353</v>
      </c>
      <c r="L4750" s="163" t="s">
        <v>3832</v>
      </c>
      <c r="M4750" s="163" t="s">
        <v>254</v>
      </c>
      <c r="N4750" s="163" t="s">
        <v>7370</v>
      </c>
      <c r="O4750" s="163"/>
      <c r="P4750" s="182" t="s">
        <v>461</v>
      </c>
      <c r="Q4750" s="163" t="s">
        <v>4929</v>
      </c>
      <c r="R4750" s="186" t="s">
        <v>4796</v>
      </c>
      <c r="S4750" s="355" t="s">
        <v>2614</v>
      </c>
      <c r="T4750" s="182" t="s">
        <v>1738</v>
      </c>
      <c r="U4750" s="182"/>
      <c r="V4750" s="182"/>
      <c r="W4750" s="314" t="s">
        <v>4361</v>
      </c>
      <c r="X4750" s="646" t="s">
        <v>2493</v>
      </c>
      <c r="Y4750" s="355"/>
      <c r="Z4750" s="185"/>
      <c r="AA4750" s="185"/>
      <c r="AB4750" s="33">
        <f t="shared" ca="1" si="118"/>
        <v>0.53764743013640781</v>
      </c>
      <c r="AC4750" s="813"/>
      <c r="AD4750" s="211"/>
      <c r="AE4750" s="941"/>
      <c r="AF4750" s="922">
        <f>IF(X4750=X4749,AF4749,0)+IF(ISNUMBER(I4750),IF(I4750&lt;1,I4750,I4750*VLOOKUP(J4750,Summary!$H$2:$I$9,2)),VLOOKUP(J4750,Summary!$J$2:$K$9,2)*IF(ISNUMBER(H4750),H4750,1))</f>
        <v>0.50736111111111104</v>
      </c>
      <c r="AG4750" s="290">
        <v>4749</v>
      </c>
      <c r="AH4750" s="94"/>
      <c r="AI4750" s="94"/>
    </row>
    <row r="4751" spans="1:36" s="43" customFormat="1" ht="12" customHeight="1" x14ac:dyDescent="0.25">
      <c r="A4751" s="617" t="s">
        <v>13228</v>
      </c>
      <c r="B4751" s="617">
        <v>11</v>
      </c>
      <c r="C4751" s="617">
        <v>13</v>
      </c>
      <c r="D4751" s="407" t="s">
        <v>7288</v>
      </c>
      <c r="E4751" s="315" t="s">
        <v>7287</v>
      </c>
      <c r="F4751" s="196">
        <v>40731</v>
      </c>
      <c r="G4751" s="196"/>
      <c r="H4751" s="170">
        <v>1</v>
      </c>
      <c r="I4751" s="746">
        <f>TIME(1,33,0)</f>
        <v>6.458333333333334E-2</v>
      </c>
      <c r="J4751" s="899" t="s">
        <v>4706</v>
      </c>
      <c r="K4751" s="167" t="s">
        <v>7289</v>
      </c>
      <c r="L4751" s="167"/>
      <c r="M4751" s="167" t="s">
        <v>7443</v>
      </c>
      <c r="N4751" s="167"/>
      <c r="O4751" s="167"/>
      <c r="P4751" s="168" t="s">
        <v>790</v>
      </c>
      <c r="Q4751" s="167" t="s">
        <v>7290</v>
      </c>
      <c r="R4751" s="172" t="s">
        <v>2240</v>
      </c>
      <c r="S4751" s="388" t="s">
        <v>2614</v>
      </c>
      <c r="T4751" s="168" t="s">
        <v>1738</v>
      </c>
      <c r="U4751" s="168"/>
      <c r="V4751" s="168"/>
      <c r="W4751" s="315" t="s">
        <v>7287</v>
      </c>
      <c r="X4751" s="647" t="s">
        <v>2493</v>
      </c>
      <c r="Y4751" s="352"/>
      <c r="Z4751" s="353"/>
      <c r="AA4751" s="353"/>
      <c r="AB4751" s="31">
        <f t="shared" ca="1" si="118"/>
        <v>0.23460423756768478</v>
      </c>
      <c r="AC4751" s="810"/>
      <c r="AD4751" s="846" t="s">
        <v>16573</v>
      </c>
      <c r="AE4751" s="940"/>
      <c r="AF4751" s="920">
        <f>IF(X4751=X4750,AF4750,0)+IF(ISNUMBER(I4751),IF(I4751&lt;1,I4751,I4751*VLOOKUP(J4751,Summary!$H$2:$I$9,2)),VLOOKUP(J4751,Summary!$J$2:$K$9,2)*IF(ISNUMBER(H4751),H4751,1))</f>
        <v>0.57194444444444437</v>
      </c>
      <c r="AG4751" s="287">
        <v>4750</v>
      </c>
      <c r="AH4751" s="94"/>
      <c r="AI4751" s="94"/>
    </row>
    <row r="4752" spans="1:36" s="9" customFormat="1" ht="12" customHeight="1" x14ac:dyDescent="0.25">
      <c r="A4752" s="614" t="s">
        <v>13228</v>
      </c>
      <c r="B4752" s="614">
        <v>11</v>
      </c>
      <c r="C4752" s="614"/>
      <c r="D4752" s="185" t="s">
        <v>4911</v>
      </c>
      <c r="E4752" s="314" t="s">
        <v>4912</v>
      </c>
      <c r="F4752" s="184">
        <v>40829</v>
      </c>
      <c r="G4752" s="184"/>
      <c r="H4752" s="185">
        <v>1</v>
      </c>
      <c r="I4752" s="185">
        <v>3</v>
      </c>
      <c r="J4752" s="901" t="s">
        <v>1796</v>
      </c>
      <c r="K4752" s="163" t="s">
        <v>6764</v>
      </c>
      <c r="L4752" s="163" t="s">
        <v>12</v>
      </c>
      <c r="M4752" s="163" t="s">
        <v>6567</v>
      </c>
      <c r="N4752" s="163" t="s">
        <v>4105</v>
      </c>
      <c r="O4752" s="163"/>
      <c r="P4752" s="182" t="s">
        <v>4913</v>
      </c>
      <c r="Q4752" s="163" t="s">
        <v>3953</v>
      </c>
      <c r="R4752" s="186" t="s">
        <v>4600</v>
      </c>
      <c r="S4752" s="355" t="s">
        <v>2614</v>
      </c>
      <c r="T4752" s="182" t="s">
        <v>1738</v>
      </c>
      <c r="U4752" s="182"/>
      <c r="V4752" s="182"/>
      <c r="W4752" s="314" t="s">
        <v>4912</v>
      </c>
      <c r="X4752" s="646" t="s">
        <v>2493</v>
      </c>
      <c r="Y4752" s="355" t="s">
        <v>6868</v>
      </c>
      <c r="Z4752" s="185">
        <v>999</v>
      </c>
      <c r="AA4752" s="185"/>
      <c r="AB4752" s="33">
        <f t="shared" ca="1" si="118"/>
        <v>0.13024127936986118</v>
      </c>
      <c r="AC4752" s="813"/>
      <c r="AD4752" s="211"/>
      <c r="AE4752" s="941"/>
      <c r="AF4752" s="922">
        <f>IF(X4752=X4751,AF4751,0)+IF(ISNUMBER(I4752),IF(I4752&lt;1,I4752,I4752*VLOOKUP(J4752,Summary!$H$2:$I$9,2)),VLOOKUP(J4752,Summary!$J$2:$K$9,2)*IF(ISNUMBER(H4752),H4752,1))</f>
        <v>0.57298611111111108</v>
      </c>
      <c r="AG4752" s="290">
        <v>4751</v>
      </c>
      <c r="AH4752" s="94"/>
      <c r="AI4752" s="94"/>
    </row>
    <row r="4753" spans="1:35" s="29" customFormat="1" ht="12" customHeight="1" x14ac:dyDescent="0.25">
      <c r="A4753" s="612" t="s">
        <v>13228</v>
      </c>
      <c r="B4753" s="612">
        <v>11</v>
      </c>
      <c r="C4753" s="612">
        <v>216</v>
      </c>
      <c r="D4753" s="424" t="s">
        <v>6126</v>
      </c>
      <c r="E4753" s="319" t="s">
        <v>6133</v>
      </c>
      <c r="F4753" s="198">
        <v>40677</v>
      </c>
      <c r="G4753" s="198"/>
      <c r="H4753" s="199">
        <v>1</v>
      </c>
      <c r="I4753" s="791">
        <f>TIME(0,45,48)</f>
        <v>3.1805555555555552E-2</v>
      </c>
      <c r="J4753" s="904" t="s">
        <v>1588</v>
      </c>
      <c r="K4753" s="200" t="s">
        <v>6764</v>
      </c>
      <c r="L4753" s="200" t="s">
        <v>7903</v>
      </c>
      <c r="M4753" s="200"/>
      <c r="N4753" s="200" t="s">
        <v>3810</v>
      </c>
      <c r="O4753" s="200" t="s">
        <v>5004</v>
      </c>
      <c r="P4753" s="197" t="s">
        <v>461</v>
      </c>
      <c r="Q4753" s="200" t="s">
        <v>3946</v>
      </c>
      <c r="R4753" s="201" t="s">
        <v>5280</v>
      </c>
      <c r="S4753" s="390" t="s">
        <v>2614</v>
      </c>
      <c r="T4753" s="197" t="s">
        <v>1738</v>
      </c>
      <c r="U4753" s="197"/>
      <c r="V4753" s="197"/>
      <c r="W4753" s="319" t="s">
        <v>6133</v>
      </c>
      <c r="X4753" s="651" t="s">
        <v>2493</v>
      </c>
      <c r="Y4753" s="358" t="s">
        <v>7018</v>
      </c>
      <c r="Z4753" s="253">
        <v>11</v>
      </c>
      <c r="AA4753" s="253">
        <v>9.5</v>
      </c>
      <c r="AB4753" s="35">
        <f t="shared" ca="1" si="118"/>
        <v>0.63026531189560986</v>
      </c>
      <c r="AC4753" s="820"/>
      <c r="AD4753" s="821" t="s">
        <v>461</v>
      </c>
      <c r="AE4753" s="967"/>
      <c r="AF4753" s="925">
        <f>IF(X4753=X4752,AF4752,0)+IF(ISNUMBER(I4753),IF(I4753&lt;1,I4753,I4753*VLOOKUP(J4753,Summary!$H$2:$I$9,2)),VLOOKUP(J4753,Summary!$J$2:$K$9,2)*IF(ISNUMBER(H4753),H4753,1))</f>
        <v>0.60479166666666662</v>
      </c>
      <c r="AG4753" s="293">
        <v>4752</v>
      </c>
      <c r="AH4753" s="94"/>
      <c r="AI4753" s="94"/>
    </row>
    <row r="4754" spans="1:35" s="1" customFormat="1" ht="12" customHeight="1" x14ac:dyDescent="0.25">
      <c r="A4754" s="614" t="s">
        <v>13228</v>
      </c>
      <c r="B4754" s="614">
        <v>11</v>
      </c>
      <c r="C4754" s="614">
        <v>185</v>
      </c>
      <c r="D4754" s="185" t="s">
        <v>5840</v>
      </c>
      <c r="E4754" s="314" t="s">
        <v>4362</v>
      </c>
      <c r="F4754" s="184">
        <v>40738</v>
      </c>
      <c r="G4754" s="184">
        <v>40744</v>
      </c>
      <c r="H4754" s="185">
        <v>1</v>
      </c>
      <c r="I4754" s="185">
        <v>4</v>
      </c>
      <c r="J4754" s="901" t="s">
        <v>1796</v>
      </c>
      <c r="K4754" s="163" t="s">
        <v>4672</v>
      </c>
      <c r="L4754" s="163" t="s">
        <v>3832</v>
      </c>
      <c r="M4754" s="163" t="s">
        <v>254</v>
      </c>
      <c r="N4754" s="163" t="s">
        <v>7370</v>
      </c>
      <c r="O4754" s="163"/>
      <c r="P4754" s="182" t="s">
        <v>461</v>
      </c>
      <c r="Q4754" s="163" t="s">
        <v>4929</v>
      </c>
      <c r="R4754" s="186" t="s">
        <v>4796</v>
      </c>
      <c r="S4754" s="355" t="s">
        <v>2614</v>
      </c>
      <c r="T4754" s="182" t="s">
        <v>1738</v>
      </c>
      <c r="U4754" s="182"/>
      <c r="V4754" s="182"/>
      <c r="W4754" s="314" t="s">
        <v>4362</v>
      </c>
      <c r="X4754" s="646" t="s">
        <v>2493</v>
      </c>
      <c r="Y4754" s="355"/>
      <c r="Z4754" s="185"/>
      <c r="AA4754" s="185"/>
      <c r="AB4754" s="33">
        <f t="shared" ca="1" si="118"/>
        <v>0.1700719123177733</v>
      </c>
      <c r="AC4754" s="813"/>
      <c r="AD4754" s="211"/>
      <c r="AE4754" s="941"/>
      <c r="AF4754" s="922">
        <f>IF(X4754=X4753,AF4753,0)+IF(ISNUMBER(I4754),IF(I4754&lt;1,I4754,I4754*VLOOKUP(J4754,Summary!$H$2:$I$9,2)),VLOOKUP(J4754,Summary!$J$2:$K$9,2)*IF(ISNUMBER(H4754),H4754,1))</f>
        <v>0.6061805555555555</v>
      </c>
      <c r="AG4754" s="290">
        <v>4753</v>
      </c>
      <c r="AH4754" s="94"/>
      <c r="AI4754" s="94"/>
    </row>
    <row r="4755" spans="1:35" s="1" customFormat="1" ht="12" customHeight="1" x14ac:dyDescent="0.25">
      <c r="A4755" s="614" t="s">
        <v>13228</v>
      </c>
      <c r="B4755" s="614">
        <v>11</v>
      </c>
      <c r="C4755" s="614">
        <v>186</v>
      </c>
      <c r="D4755" s="185" t="s">
        <v>6591</v>
      </c>
      <c r="E4755" s="314" t="s">
        <v>5105</v>
      </c>
      <c r="F4755" s="184">
        <v>40745</v>
      </c>
      <c r="G4755" s="184">
        <v>40751</v>
      </c>
      <c r="H4755" s="185">
        <v>1</v>
      </c>
      <c r="I4755" s="185">
        <v>4</v>
      </c>
      <c r="J4755" s="901" t="s">
        <v>1796</v>
      </c>
      <c r="K4755" s="163" t="s">
        <v>6353</v>
      </c>
      <c r="L4755" s="163" t="s">
        <v>3832</v>
      </c>
      <c r="M4755" s="163" t="s">
        <v>254</v>
      </c>
      <c r="N4755" s="163" t="s">
        <v>7370</v>
      </c>
      <c r="O4755" s="163"/>
      <c r="P4755" s="182" t="s">
        <v>461</v>
      </c>
      <c r="Q4755" s="163" t="s">
        <v>4929</v>
      </c>
      <c r="R4755" s="186" t="s">
        <v>4796</v>
      </c>
      <c r="S4755" s="355" t="s">
        <v>2614</v>
      </c>
      <c r="T4755" s="182" t="s">
        <v>1738</v>
      </c>
      <c r="U4755" s="182"/>
      <c r="V4755" s="182"/>
      <c r="W4755" s="314" t="s">
        <v>5105</v>
      </c>
      <c r="X4755" s="646" t="s">
        <v>2493</v>
      </c>
      <c r="Y4755" s="355"/>
      <c r="Z4755" s="185"/>
      <c r="AA4755" s="185"/>
      <c r="AB4755" s="33">
        <f t="shared" ca="1" si="118"/>
        <v>7.947307836247175E-2</v>
      </c>
      <c r="AC4755" s="813"/>
      <c r="AD4755" s="211"/>
      <c r="AE4755" s="941"/>
      <c r="AF4755" s="922">
        <f>IF(X4755=X4754,AF4754,0)+IF(ISNUMBER(I4755),IF(I4755&lt;1,I4755,I4755*VLOOKUP(J4755,Summary!$H$2:$I$9,2)),VLOOKUP(J4755,Summary!$J$2:$K$9,2)*IF(ISNUMBER(H4755),H4755,1))</f>
        <v>0.60756944444444438</v>
      </c>
      <c r="AG4755" s="290">
        <v>4754</v>
      </c>
      <c r="AH4755" s="94"/>
      <c r="AI4755" s="94"/>
    </row>
    <row r="4756" spans="1:35" s="1" customFormat="1" ht="12" customHeight="1" x14ac:dyDescent="0.25">
      <c r="A4756" s="614" t="s">
        <v>13228</v>
      </c>
      <c r="B4756" s="614">
        <v>11</v>
      </c>
      <c r="C4756" s="614">
        <v>187</v>
      </c>
      <c r="D4756" s="185" t="s">
        <v>6592</v>
      </c>
      <c r="E4756" s="314" t="s">
        <v>4363</v>
      </c>
      <c r="F4756" s="184">
        <v>40752</v>
      </c>
      <c r="G4756" s="184">
        <v>40758</v>
      </c>
      <c r="H4756" s="185">
        <v>1</v>
      </c>
      <c r="I4756" s="185">
        <v>4</v>
      </c>
      <c r="J4756" s="901" t="s">
        <v>1796</v>
      </c>
      <c r="K4756" s="163" t="s">
        <v>6353</v>
      </c>
      <c r="L4756" s="163" t="s">
        <v>3832</v>
      </c>
      <c r="M4756" s="163" t="s">
        <v>254</v>
      </c>
      <c r="N4756" s="163" t="s">
        <v>7370</v>
      </c>
      <c r="O4756" s="163"/>
      <c r="P4756" s="182" t="s">
        <v>461</v>
      </c>
      <c r="Q4756" s="163" t="s">
        <v>4929</v>
      </c>
      <c r="R4756" s="186" t="s">
        <v>4796</v>
      </c>
      <c r="S4756" s="355" t="s">
        <v>2614</v>
      </c>
      <c r="T4756" s="182" t="s">
        <v>1738</v>
      </c>
      <c r="U4756" s="182"/>
      <c r="V4756" s="182"/>
      <c r="W4756" s="314" t="s">
        <v>4363</v>
      </c>
      <c r="X4756" s="646" t="s">
        <v>2493</v>
      </c>
      <c r="Y4756" s="355"/>
      <c r="Z4756" s="185"/>
      <c r="AA4756" s="185"/>
      <c r="AB4756" s="33">
        <f t="shared" ca="1" si="118"/>
        <v>0.99079962506565034</v>
      </c>
      <c r="AC4756" s="813"/>
      <c r="AD4756" s="211"/>
      <c r="AE4756" s="941"/>
      <c r="AF4756" s="922">
        <f>IF(X4756=X4755,AF4755,0)+IF(ISNUMBER(I4756),IF(I4756&lt;1,I4756,I4756*VLOOKUP(J4756,Summary!$H$2:$I$9,2)),VLOOKUP(J4756,Summary!$J$2:$K$9,2)*IF(ISNUMBER(H4756),H4756,1))</f>
        <v>0.60895833333333327</v>
      </c>
      <c r="AG4756" s="290">
        <v>4755</v>
      </c>
      <c r="AH4756" s="94"/>
      <c r="AI4756" s="94"/>
    </row>
    <row r="4757" spans="1:35" s="1" customFormat="1" ht="12" customHeight="1" x14ac:dyDescent="0.25">
      <c r="A4757" s="614" t="s">
        <v>13228</v>
      </c>
      <c r="B4757" s="614">
        <v>11</v>
      </c>
      <c r="C4757" s="614">
        <v>188</v>
      </c>
      <c r="D4757" s="185" t="s">
        <v>6593</v>
      </c>
      <c r="E4757" s="314" t="s">
        <v>2757</v>
      </c>
      <c r="F4757" s="184">
        <v>40759</v>
      </c>
      <c r="G4757" s="184">
        <v>40765</v>
      </c>
      <c r="H4757" s="185">
        <v>1</v>
      </c>
      <c r="I4757" s="185">
        <v>4</v>
      </c>
      <c r="J4757" s="901" t="s">
        <v>1796</v>
      </c>
      <c r="K4757" s="163" t="s">
        <v>4147</v>
      </c>
      <c r="L4757" s="163" t="s">
        <v>3832</v>
      </c>
      <c r="M4757" s="163" t="s">
        <v>254</v>
      </c>
      <c r="N4757" s="163" t="s">
        <v>7370</v>
      </c>
      <c r="O4757" s="163"/>
      <c r="P4757" s="182" t="s">
        <v>461</v>
      </c>
      <c r="Q4757" s="163" t="s">
        <v>4929</v>
      </c>
      <c r="R4757" s="186" t="s">
        <v>4796</v>
      </c>
      <c r="S4757" s="355" t="s">
        <v>2614</v>
      </c>
      <c r="T4757" s="182" t="s">
        <v>1738</v>
      </c>
      <c r="U4757" s="182"/>
      <c r="V4757" s="182"/>
      <c r="W4757" s="314" t="s">
        <v>2757</v>
      </c>
      <c r="X4757" s="646" t="s">
        <v>2493</v>
      </c>
      <c r="Y4757" s="355"/>
      <c r="Z4757" s="185"/>
      <c r="AA4757" s="185"/>
      <c r="AB4757" s="33">
        <f t="shared" ca="1" si="118"/>
        <v>0.28089499422402819</v>
      </c>
      <c r="AC4757" s="813"/>
      <c r="AD4757" s="211"/>
      <c r="AE4757" s="941"/>
      <c r="AF4757" s="922">
        <f>IF(X4757=X4756,AF4756,0)+IF(ISNUMBER(I4757),IF(I4757&lt;1,I4757,I4757*VLOOKUP(J4757,Summary!$H$2:$I$9,2)),VLOOKUP(J4757,Summary!$J$2:$K$9,2)*IF(ISNUMBER(H4757),H4757,1))</f>
        <v>0.61034722222222215</v>
      </c>
      <c r="AG4757" s="290">
        <v>4756</v>
      </c>
      <c r="AH4757" s="94"/>
      <c r="AI4757" s="94"/>
    </row>
    <row r="4758" spans="1:35" s="1" customFormat="1" ht="12" customHeight="1" x14ac:dyDescent="0.25">
      <c r="A4758" s="615" t="s">
        <v>13228</v>
      </c>
      <c r="B4758" s="615">
        <v>11</v>
      </c>
      <c r="C4758" s="615">
        <v>5.0999999999999996</v>
      </c>
      <c r="D4758" s="188" t="s">
        <v>2205</v>
      </c>
      <c r="E4758" s="316" t="s">
        <v>2189</v>
      </c>
      <c r="F4758" s="272">
        <v>2012</v>
      </c>
      <c r="G4758" s="195"/>
      <c r="H4758" s="188" t="str">
        <f>IF(J4758="Book","n/a","")</f>
        <v>n/a</v>
      </c>
      <c r="I4758" s="188">
        <v>199</v>
      </c>
      <c r="J4758" s="902" t="s">
        <v>6868</v>
      </c>
      <c r="K4758" s="162" t="s">
        <v>2190</v>
      </c>
      <c r="L4758" s="162" t="str">
        <f>IF(J4758="Book","n/a","")</f>
        <v>n/a</v>
      </c>
      <c r="M4758" s="162"/>
      <c r="N4758" s="162"/>
      <c r="O4758" s="162"/>
      <c r="P4758" s="178" t="s">
        <v>2191</v>
      </c>
      <c r="Q4758" s="162" t="s">
        <v>3953</v>
      </c>
      <c r="R4758" s="217" t="s">
        <v>5</v>
      </c>
      <c r="S4758" s="366" t="s">
        <v>2614</v>
      </c>
      <c r="T4758" s="178" t="s">
        <v>1738</v>
      </c>
      <c r="U4758" s="178"/>
      <c r="V4758" s="178"/>
      <c r="W4758" s="316" t="s">
        <v>2189</v>
      </c>
      <c r="X4758" s="648" t="s">
        <v>2493</v>
      </c>
      <c r="Y4758" s="356"/>
      <c r="Z4758" s="272"/>
      <c r="AA4758" s="272"/>
      <c r="AB4758" s="34">
        <f t="shared" ca="1" si="118"/>
        <v>0.29882776237758735</v>
      </c>
      <c r="AC4758" s="814"/>
      <c r="AD4758" s="815"/>
      <c r="AE4758" s="942"/>
      <c r="AF4758" s="923">
        <f>IF(X4758=X4757,AF4757,0)+IF(ISNUMBER(I4758),IF(I4758&lt;1,I4758,I4758*VLOOKUP(J4758,Summary!$H$2:$I$9,2)),VLOOKUP(J4758,Summary!$J$2:$K$9,2)*IF(ISNUMBER(H4758),H4758,1))</f>
        <v>0.74854166666666666</v>
      </c>
      <c r="AG4758" s="291">
        <v>4757</v>
      </c>
      <c r="AH4758" s="94"/>
      <c r="AI4758" s="94"/>
    </row>
    <row r="4759" spans="1:35" s="1" customFormat="1" ht="12" customHeight="1" x14ac:dyDescent="0.25">
      <c r="A4759" s="614" t="s">
        <v>13228</v>
      </c>
      <c r="B4759" s="614">
        <v>11</v>
      </c>
      <c r="C4759" s="614"/>
      <c r="D4759" s="185" t="s">
        <v>4811</v>
      </c>
      <c r="E4759" s="314" t="s">
        <v>2758</v>
      </c>
      <c r="F4759" s="183">
        <v>40756</v>
      </c>
      <c r="G4759" s="183"/>
      <c r="H4759" s="185">
        <v>1</v>
      </c>
      <c r="I4759" s="185">
        <v>6</v>
      </c>
      <c r="J4759" s="901" t="s">
        <v>1796</v>
      </c>
      <c r="K4759" s="163" t="s">
        <v>6206</v>
      </c>
      <c r="L4759" s="163" t="s">
        <v>3832</v>
      </c>
      <c r="M4759" s="163" t="s">
        <v>252</v>
      </c>
      <c r="N4759" s="163"/>
      <c r="O4759" s="163"/>
      <c r="P4759" s="182" t="s">
        <v>8624</v>
      </c>
      <c r="Q4759" s="163" t="s">
        <v>3954</v>
      </c>
      <c r="R4759" s="186" t="s">
        <v>4600</v>
      </c>
      <c r="S4759" s="355" t="s">
        <v>2614</v>
      </c>
      <c r="T4759" s="182" t="s">
        <v>1738</v>
      </c>
      <c r="U4759" s="182"/>
      <c r="V4759" s="182"/>
      <c r="W4759" s="314" t="s">
        <v>2758</v>
      </c>
      <c r="X4759" s="646" t="s">
        <v>2493</v>
      </c>
      <c r="Y4759" s="355" t="s">
        <v>6868</v>
      </c>
      <c r="Z4759" s="185">
        <v>999</v>
      </c>
      <c r="AA4759" s="185"/>
      <c r="AB4759" s="33">
        <f t="shared" ca="1" si="118"/>
        <v>0.76710604559221518</v>
      </c>
      <c r="AC4759" s="813"/>
      <c r="AD4759" s="211"/>
      <c r="AE4759" s="941"/>
      <c r="AF4759" s="922">
        <f>IF(X4759=X4758,AF4758,0)+IF(ISNUMBER(I4759),IF(I4759&lt;1,I4759,I4759*VLOOKUP(J4759,Summary!$H$2:$I$9,2)),VLOOKUP(J4759,Summary!$J$2:$K$9,2)*IF(ISNUMBER(H4759),H4759,1))</f>
        <v>0.75062499999999999</v>
      </c>
      <c r="AG4759" s="290">
        <v>4758</v>
      </c>
      <c r="AH4759" s="94"/>
      <c r="AI4759" s="94"/>
    </row>
    <row r="4760" spans="1:35" s="1" customFormat="1" ht="12" customHeight="1" x14ac:dyDescent="0.25">
      <c r="A4760" s="618" t="s">
        <v>13228</v>
      </c>
      <c r="B4760" s="618">
        <v>11</v>
      </c>
      <c r="C4760" s="618"/>
      <c r="D4760" s="176" t="s">
        <v>4811</v>
      </c>
      <c r="E4760" s="313" t="s">
        <v>2759</v>
      </c>
      <c r="F4760" s="174">
        <v>40756</v>
      </c>
      <c r="G4760" s="174"/>
      <c r="H4760" s="176" t="s">
        <v>461</v>
      </c>
      <c r="I4760" s="176"/>
      <c r="J4760" s="900" t="s">
        <v>2755</v>
      </c>
      <c r="K4760" s="164" t="s">
        <v>543</v>
      </c>
      <c r="L4760" s="164" t="s">
        <v>3832</v>
      </c>
      <c r="M4760" s="164" t="s">
        <v>252</v>
      </c>
      <c r="N4760" s="164"/>
      <c r="O4760" s="164"/>
      <c r="P4760" s="173" t="s">
        <v>8624</v>
      </c>
      <c r="Q4760" s="164" t="s">
        <v>3954</v>
      </c>
      <c r="R4760" s="177" t="s">
        <v>4600</v>
      </c>
      <c r="S4760" s="354" t="s">
        <v>2614</v>
      </c>
      <c r="T4760" s="173" t="s">
        <v>1738</v>
      </c>
      <c r="U4760" s="173"/>
      <c r="V4760" s="173"/>
      <c r="W4760" s="313" t="s">
        <v>2759</v>
      </c>
      <c r="X4760" s="645" t="s">
        <v>2493</v>
      </c>
      <c r="Y4760" s="354" t="s">
        <v>6868</v>
      </c>
      <c r="Z4760" s="176">
        <v>999</v>
      </c>
      <c r="AA4760" s="176"/>
      <c r="AB4760" s="32">
        <f t="shared" ca="1" si="118"/>
        <v>0.52638017325290554</v>
      </c>
      <c r="AC4760" s="812"/>
      <c r="AD4760" s="763"/>
      <c r="AE4760" s="807"/>
      <c r="AF4760" s="921">
        <f>IF(X4760=X4759,AF4759,0)+IF(ISNUMBER(I4760),IF(I4760&lt;1,I4760,I4760*VLOOKUP(J4760,Summary!$H$2:$I$9,2)),VLOOKUP(J4760,Summary!$J$2:$K$9,2)*IF(ISNUMBER(H4760),H4760,1))</f>
        <v>0.76798611111111115</v>
      </c>
      <c r="AG4760" s="289">
        <v>4759</v>
      </c>
      <c r="AH4760" s="94"/>
      <c r="AI4760" s="94"/>
    </row>
    <row r="4761" spans="1:35" s="1" customFormat="1" ht="12" customHeight="1" x14ac:dyDescent="0.25">
      <c r="A4761" s="618" t="s">
        <v>13228</v>
      </c>
      <c r="B4761" s="618">
        <v>11</v>
      </c>
      <c r="C4761" s="618"/>
      <c r="D4761" s="176" t="s">
        <v>4811</v>
      </c>
      <c r="E4761" s="313" t="s">
        <v>2760</v>
      </c>
      <c r="F4761" s="174">
        <v>40756</v>
      </c>
      <c r="G4761" s="174"/>
      <c r="H4761" s="176" t="s">
        <v>461</v>
      </c>
      <c r="I4761" s="176"/>
      <c r="J4761" s="900" t="s">
        <v>2755</v>
      </c>
      <c r="K4761" s="164" t="s">
        <v>543</v>
      </c>
      <c r="L4761" s="164" t="s">
        <v>3832</v>
      </c>
      <c r="M4761" s="164" t="s">
        <v>252</v>
      </c>
      <c r="N4761" s="164"/>
      <c r="O4761" s="164"/>
      <c r="P4761" s="173" t="s">
        <v>8624</v>
      </c>
      <c r="Q4761" s="164" t="s">
        <v>3954</v>
      </c>
      <c r="R4761" s="177" t="s">
        <v>4600</v>
      </c>
      <c r="S4761" s="354" t="s">
        <v>2614</v>
      </c>
      <c r="T4761" s="173" t="s">
        <v>1738</v>
      </c>
      <c r="U4761" s="173"/>
      <c r="V4761" s="173"/>
      <c r="W4761" s="313" t="s">
        <v>2760</v>
      </c>
      <c r="X4761" s="645" t="s">
        <v>2493</v>
      </c>
      <c r="Y4761" s="354" t="s">
        <v>6868</v>
      </c>
      <c r="Z4761" s="176">
        <v>999</v>
      </c>
      <c r="AA4761" s="176"/>
      <c r="AB4761" s="32">
        <f t="shared" ca="1" si="118"/>
        <v>0.54861361311547074</v>
      </c>
      <c r="AC4761" s="812"/>
      <c r="AD4761" s="763"/>
      <c r="AE4761" s="807"/>
      <c r="AF4761" s="921">
        <f>IF(X4761=X4760,AF4760,0)+IF(ISNUMBER(I4761),IF(I4761&lt;1,I4761,I4761*VLOOKUP(J4761,Summary!$H$2:$I$9,2)),VLOOKUP(J4761,Summary!$J$2:$K$9,2)*IF(ISNUMBER(H4761),H4761,1))</f>
        <v>0.78534722222222231</v>
      </c>
      <c r="AG4761" s="289">
        <v>4760</v>
      </c>
      <c r="AH4761" s="94"/>
      <c r="AI4761" s="94"/>
    </row>
    <row r="4762" spans="1:35" s="43" customFormat="1" ht="12" customHeight="1" x14ac:dyDescent="0.25">
      <c r="A4762" s="614" t="s">
        <v>13228</v>
      </c>
      <c r="B4762" s="614">
        <v>11</v>
      </c>
      <c r="C4762" s="614"/>
      <c r="D4762" s="185" t="s">
        <v>4811</v>
      </c>
      <c r="E4762" s="314" t="s">
        <v>2761</v>
      </c>
      <c r="F4762" s="183">
        <v>40756</v>
      </c>
      <c r="G4762" s="183"/>
      <c r="H4762" s="185">
        <v>1</v>
      </c>
      <c r="I4762" s="185">
        <v>6</v>
      </c>
      <c r="J4762" s="901" t="s">
        <v>1796</v>
      </c>
      <c r="K4762" s="163" t="s">
        <v>6355</v>
      </c>
      <c r="L4762" s="163" t="s">
        <v>3832</v>
      </c>
      <c r="M4762" s="163" t="s">
        <v>252</v>
      </c>
      <c r="N4762" s="163"/>
      <c r="O4762" s="163"/>
      <c r="P4762" s="182" t="s">
        <v>8624</v>
      </c>
      <c r="Q4762" s="163" t="s">
        <v>3954</v>
      </c>
      <c r="R4762" s="186" t="s">
        <v>4600</v>
      </c>
      <c r="S4762" s="355" t="s">
        <v>2614</v>
      </c>
      <c r="T4762" s="182" t="s">
        <v>1738</v>
      </c>
      <c r="U4762" s="182"/>
      <c r="V4762" s="182"/>
      <c r="W4762" s="314" t="s">
        <v>2761</v>
      </c>
      <c r="X4762" s="646" t="s">
        <v>2493</v>
      </c>
      <c r="Y4762" s="355" t="s">
        <v>6868</v>
      </c>
      <c r="Z4762" s="185">
        <v>999</v>
      </c>
      <c r="AA4762" s="185"/>
      <c r="AB4762" s="33">
        <f t="shared" ca="1" si="118"/>
        <v>5.7147743897778658E-2</v>
      </c>
      <c r="AC4762" s="813"/>
      <c r="AD4762" s="211"/>
      <c r="AE4762" s="941"/>
      <c r="AF4762" s="922">
        <f>IF(X4762=X4761,AF4761,0)+IF(ISNUMBER(I4762),IF(I4762&lt;1,I4762,I4762*VLOOKUP(J4762,Summary!$H$2:$I$9,2)),VLOOKUP(J4762,Summary!$J$2:$K$9,2)*IF(ISNUMBER(H4762),H4762,1))</f>
        <v>0.78743055555555563</v>
      </c>
      <c r="AG4762" s="290">
        <v>4761</v>
      </c>
      <c r="AH4762" s="94"/>
      <c r="AI4762" s="94"/>
    </row>
    <row r="4763" spans="1:35" s="43" customFormat="1" ht="12" customHeight="1" x14ac:dyDescent="0.25">
      <c r="A4763" s="614" t="s">
        <v>13228</v>
      </c>
      <c r="B4763" s="614">
        <v>11</v>
      </c>
      <c r="C4763" s="614">
        <v>189</v>
      </c>
      <c r="D4763" s="185" t="s">
        <v>6594</v>
      </c>
      <c r="E4763" s="314" t="s">
        <v>2762</v>
      </c>
      <c r="F4763" s="184">
        <v>40766</v>
      </c>
      <c r="G4763" s="184">
        <v>40772</v>
      </c>
      <c r="H4763" s="185">
        <v>1</v>
      </c>
      <c r="I4763" s="185">
        <v>4</v>
      </c>
      <c r="J4763" s="901" t="s">
        <v>1796</v>
      </c>
      <c r="K4763" s="163" t="s">
        <v>176</v>
      </c>
      <c r="L4763" s="163" t="s">
        <v>3832</v>
      </c>
      <c r="M4763" s="163" t="s">
        <v>254</v>
      </c>
      <c r="N4763" s="163" t="s">
        <v>7370</v>
      </c>
      <c r="O4763" s="163"/>
      <c r="P4763" s="182" t="s">
        <v>461</v>
      </c>
      <c r="Q4763" s="163" t="s">
        <v>4929</v>
      </c>
      <c r="R4763" s="186" t="s">
        <v>4796</v>
      </c>
      <c r="S4763" s="355" t="s">
        <v>2614</v>
      </c>
      <c r="T4763" s="182" t="s">
        <v>1738</v>
      </c>
      <c r="U4763" s="182"/>
      <c r="V4763" s="182"/>
      <c r="W4763" s="314" t="s">
        <v>2762</v>
      </c>
      <c r="X4763" s="646" t="s">
        <v>2493</v>
      </c>
      <c r="Y4763" s="355"/>
      <c r="Z4763" s="185"/>
      <c r="AA4763" s="185"/>
      <c r="AB4763" s="33">
        <f t="shared" ca="1" si="118"/>
        <v>0.85628906101906543</v>
      </c>
      <c r="AC4763" s="813"/>
      <c r="AD4763" s="211"/>
      <c r="AE4763" s="941"/>
      <c r="AF4763" s="922">
        <f>IF(X4763=X4762,AF4762,0)+IF(ISNUMBER(I4763),IF(I4763&lt;1,I4763,I4763*VLOOKUP(J4763,Summary!$H$2:$I$9,2)),VLOOKUP(J4763,Summary!$J$2:$K$9,2)*IF(ISNUMBER(H4763),H4763,1))</f>
        <v>0.78881944444444452</v>
      </c>
      <c r="AG4763" s="290">
        <v>4762</v>
      </c>
      <c r="AH4763" s="94"/>
      <c r="AI4763" s="94"/>
    </row>
    <row r="4764" spans="1:35" s="22" customFormat="1" ht="12" customHeight="1" x14ac:dyDescent="0.2">
      <c r="A4764" s="614" t="s">
        <v>13228</v>
      </c>
      <c r="B4764" s="614">
        <v>11</v>
      </c>
      <c r="C4764" s="614">
        <v>190</v>
      </c>
      <c r="D4764" s="185" t="s">
        <v>6595</v>
      </c>
      <c r="E4764" s="314" t="s">
        <v>2763</v>
      </c>
      <c r="F4764" s="184">
        <v>40773</v>
      </c>
      <c r="G4764" s="184">
        <v>40779</v>
      </c>
      <c r="H4764" s="185">
        <v>1</v>
      </c>
      <c r="I4764" s="185">
        <v>4</v>
      </c>
      <c r="J4764" s="901" t="s">
        <v>1796</v>
      </c>
      <c r="K4764" s="163" t="s">
        <v>6353</v>
      </c>
      <c r="L4764" s="163" t="s">
        <v>3832</v>
      </c>
      <c r="M4764" s="163" t="s">
        <v>254</v>
      </c>
      <c r="N4764" s="163" t="s">
        <v>7370</v>
      </c>
      <c r="O4764" s="163"/>
      <c r="P4764" s="182" t="s">
        <v>461</v>
      </c>
      <c r="Q4764" s="163" t="s">
        <v>4929</v>
      </c>
      <c r="R4764" s="186" t="s">
        <v>4796</v>
      </c>
      <c r="S4764" s="355" t="s">
        <v>2614</v>
      </c>
      <c r="T4764" s="182" t="s">
        <v>1738</v>
      </c>
      <c r="U4764" s="182"/>
      <c r="V4764" s="182"/>
      <c r="W4764" s="314" t="s">
        <v>2763</v>
      </c>
      <c r="X4764" s="646" t="s">
        <v>2493</v>
      </c>
      <c r="Y4764" s="355"/>
      <c r="Z4764" s="185"/>
      <c r="AA4764" s="185"/>
      <c r="AB4764" s="33">
        <f t="shared" ca="1" si="118"/>
        <v>0.83890602521570024</v>
      </c>
      <c r="AC4764" s="813"/>
      <c r="AD4764" s="211"/>
      <c r="AE4764" s="941"/>
      <c r="AF4764" s="922">
        <f>IF(X4764=X4763,AF4763,0)+IF(ISNUMBER(I4764),IF(I4764&lt;1,I4764,I4764*VLOOKUP(J4764,Summary!$H$2:$I$9,2)),VLOOKUP(J4764,Summary!$J$2:$K$9,2)*IF(ISNUMBER(H4764),H4764,1))</f>
        <v>0.7902083333333334</v>
      </c>
      <c r="AG4764" s="290">
        <v>4763</v>
      </c>
      <c r="AH4764" s="94"/>
      <c r="AI4764" s="94"/>
    </row>
    <row r="4765" spans="1:35" s="43" customFormat="1" ht="12" customHeight="1" x14ac:dyDescent="0.25">
      <c r="A4765" s="612" t="s">
        <v>13228</v>
      </c>
      <c r="B4765" s="612">
        <v>11</v>
      </c>
      <c r="C4765" s="612">
        <v>217</v>
      </c>
      <c r="D4765" s="424" t="s">
        <v>6128</v>
      </c>
      <c r="E4765" s="319" t="s">
        <v>6134</v>
      </c>
      <c r="F4765" s="198">
        <v>40684</v>
      </c>
      <c r="G4765" s="198">
        <v>40691</v>
      </c>
      <c r="H4765" s="199">
        <v>2</v>
      </c>
      <c r="I4765" s="791">
        <f>TIME(0,43,18)+TIME(0,45, 6)</f>
        <v>6.1388888888888889E-2</v>
      </c>
      <c r="J4765" s="904" t="s">
        <v>1588</v>
      </c>
      <c r="K4765" s="200" t="s">
        <v>4657</v>
      </c>
      <c r="L4765" s="200" t="s">
        <v>6766</v>
      </c>
      <c r="M4765" s="200"/>
      <c r="N4765" s="200" t="s">
        <v>3810</v>
      </c>
      <c r="O4765" s="200" t="s">
        <v>5004</v>
      </c>
      <c r="P4765" s="197" t="s">
        <v>461</v>
      </c>
      <c r="Q4765" s="200" t="s">
        <v>3946</v>
      </c>
      <c r="R4765" s="201" t="s">
        <v>5280</v>
      </c>
      <c r="S4765" s="390" t="s">
        <v>2614</v>
      </c>
      <c r="T4765" s="197" t="s">
        <v>1738</v>
      </c>
      <c r="U4765" s="197"/>
      <c r="V4765" s="197"/>
      <c r="W4765" s="344" t="s">
        <v>8484</v>
      </c>
      <c r="X4765" s="679" t="s">
        <v>2493</v>
      </c>
      <c r="Y4765" s="358" t="s">
        <v>7018</v>
      </c>
      <c r="Z4765" s="253">
        <v>229</v>
      </c>
      <c r="AA4765" s="253">
        <v>4</v>
      </c>
      <c r="AB4765" s="35">
        <f t="shared" ca="1" si="118"/>
        <v>0.57763390137089821</v>
      </c>
      <c r="AC4765" s="820"/>
      <c r="AD4765" s="821" t="s">
        <v>16120</v>
      </c>
      <c r="AE4765" s="973" t="s">
        <v>12543</v>
      </c>
      <c r="AF4765" s="925">
        <f>IF(X4765=X4764,AF4764,0)+IF(ISNUMBER(I4765),IF(I4765&lt;1,I4765,I4765*VLOOKUP(J4765,Summary!$H$2:$I$9,2)),VLOOKUP(J4765,Summary!$J$2:$K$9,2)*IF(ISNUMBER(H4765),H4765,1))</f>
        <v>0.85159722222222234</v>
      </c>
      <c r="AG4765" s="293">
        <v>4764</v>
      </c>
      <c r="AH4765" s="94"/>
      <c r="AI4765" s="94"/>
    </row>
    <row r="4766" spans="1:35" s="56" customFormat="1" ht="12" customHeight="1" x14ac:dyDescent="0.25">
      <c r="A4766" s="613" t="s">
        <v>13228</v>
      </c>
      <c r="B4766" s="613">
        <v>11</v>
      </c>
      <c r="C4766" s="613"/>
      <c r="D4766" s="509" t="s">
        <v>3112</v>
      </c>
      <c r="E4766" s="335" t="s">
        <v>7947</v>
      </c>
      <c r="F4766" s="223">
        <v>40691</v>
      </c>
      <c r="G4766" s="223"/>
      <c r="H4766" s="242">
        <v>1</v>
      </c>
      <c r="I4766" s="792">
        <f>TIME(0,1,13)</f>
        <v>8.449074074074075E-4</v>
      </c>
      <c r="J4766" s="909" t="s">
        <v>1588</v>
      </c>
      <c r="K4766" s="243"/>
      <c r="L4766" s="243"/>
      <c r="M4766" s="243"/>
      <c r="N4766" s="243" t="s">
        <v>3810</v>
      </c>
      <c r="O4766" s="243" t="s">
        <v>5004</v>
      </c>
      <c r="P4766" s="241" t="s">
        <v>461</v>
      </c>
      <c r="Q4766" s="243" t="s">
        <v>3946</v>
      </c>
      <c r="R4766" s="244" t="s">
        <v>7896</v>
      </c>
      <c r="S4766" s="395"/>
      <c r="T4766" s="241"/>
      <c r="U4766" s="241"/>
      <c r="V4766" s="241"/>
      <c r="W4766" s="335" t="s">
        <v>10124</v>
      </c>
      <c r="X4766" s="667" t="s">
        <v>2493</v>
      </c>
      <c r="Y4766" s="375"/>
      <c r="Z4766" s="377"/>
      <c r="AA4766" s="377"/>
      <c r="AB4766" s="55">
        <f t="shared" ca="1" si="118"/>
        <v>0.16272690330874151</v>
      </c>
      <c r="AC4766" s="834"/>
      <c r="AD4766" s="835"/>
      <c r="AE4766" s="957"/>
      <c r="AF4766" s="930">
        <f>IF(X4766=X4765,AF4765,0)+IF(ISNUMBER(I4766),IF(I4766&lt;1,I4766,I4766*VLOOKUP(J4766,Summary!$H$2:$I$9,2)),VLOOKUP(J4766,Summary!$J$2:$K$9,2)*IF(ISNUMBER(H4766),H4766,1))</f>
        <v>0.85244212962962973</v>
      </c>
      <c r="AG4766" s="302">
        <v>4765</v>
      </c>
      <c r="AH4766" s="94"/>
      <c r="AI4766" s="94"/>
    </row>
    <row r="4767" spans="1:35" s="22" customFormat="1" ht="12" customHeight="1" x14ac:dyDescent="0.25">
      <c r="A4767" s="612" t="s">
        <v>13228</v>
      </c>
      <c r="B4767" s="612">
        <v>11</v>
      </c>
      <c r="C4767" s="612">
        <v>218</v>
      </c>
      <c r="D4767" s="424" t="s">
        <v>6129</v>
      </c>
      <c r="E4767" s="319" t="s">
        <v>6130</v>
      </c>
      <c r="F4767" s="198">
        <v>40698</v>
      </c>
      <c r="G4767" s="198"/>
      <c r="H4767" s="199">
        <v>1</v>
      </c>
      <c r="I4767" s="791">
        <f>TIME(0,48,12)</f>
        <v>3.3472222222222223E-2</v>
      </c>
      <c r="J4767" s="904" t="s">
        <v>1588</v>
      </c>
      <c r="K4767" s="200" t="s">
        <v>3810</v>
      </c>
      <c r="L4767" s="200" t="s">
        <v>6331</v>
      </c>
      <c r="M4767" s="200"/>
      <c r="N4767" s="200" t="s">
        <v>3810</v>
      </c>
      <c r="O4767" s="200" t="s">
        <v>5004</v>
      </c>
      <c r="P4767" s="197" t="s">
        <v>461</v>
      </c>
      <c r="Q4767" s="200" t="s">
        <v>3946</v>
      </c>
      <c r="R4767" s="201" t="s">
        <v>5280</v>
      </c>
      <c r="S4767" s="390" t="s">
        <v>2614</v>
      </c>
      <c r="T4767" s="197" t="s">
        <v>1738</v>
      </c>
      <c r="U4767" s="197" t="s">
        <v>7344</v>
      </c>
      <c r="V4767" s="197" t="s">
        <v>2123</v>
      </c>
      <c r="W4767" s="319" t="s">
        <v>6130</v>
      </c>
      <c r="X4767" s="651" t="s">
        <v>2493</v>
      </c>
      <c r="Y4767" s="358" t="s">
        <v>7018</v>
      </c>
      <c r="Z4767" s="253">
        <v>243</v>
      </c>
      <c r="AA4767" s="253">
        <v>3.5</v>
      </c>
      <c r="AB4767" s="35">
        <f t="shared" ca="1" si="118"/>
        <v>0.2223047842802387</v>
      </c>
      <c r="AC4767" s="820"/>
      <c r="AD4767" s="821" t="s">
        <v>16633</v>
      </c>
      <c r="AE4767" s="967"/>
      <c r="AF4767" s="925">
        <f>IF(X4767=X4766,AF4766,0)+IF(ISNUMBER(I4767),IF(I4767&lt;1,I4767,I4767*VLOOKUP(J4767,Summary!$H$2:$I$9,2)),VLOOKUP(J4767,Summary!$J$2:$K$9,2)*IF(ISNUMBER(H4767),H4767,1))</f>
        <v>0.88591435185185197</v>
      </c>
      <c r="AG4767" s="293">
        <v>4766</v>
      </c>
      <c r="AH4767" s="94"/>
      <c r="AI4767" s="94"/>
    </row>
    <row r="4768" spans="1:35" s="2" customFormat="1" ht="12" customHeight="1" x14ac:dyDescent="0.25">
      <c r="A4768" s="588" t="s">
        <v>13228</v>
      </c>
      <c r="B4768" s="589" t="s">
        <v>2650</v>
      </c>
      <c r="C4768" s="588"/>
      <c r="D4768" s="509" t="s">
        <v>3112</v>
      </c>
      <c r="E4768" s="335" t="s">
        <v>7995</v>
      </c>
      <c r="F4768" s="223">
        <v>41358</v>
      </c>
      <c r="G4768" s="223"/>
      <c r="H4768" s="242">
        <v>1</v>
      </c>
      <c r="I4768" s="792">
        <f>TIME(0,1,19)</f>
        <v>9.1435185185185185E-4</v>
      </c>
      <c r="J4768" s="909" t="s">
        <v>1588</v>
      </c>
      <c r="K4768" s="243" t="s">
        <v>3810</v>
      </c>
      <c r="L4768" s="243"/>
      <c r="M4768" s="243"/>
      <c r="N4768" s="243" t="s">
        <v>3810</v>
      </c>
      <c r="O4768" s="243" t="s">
        <v>6509</v>
      </c>
      <c r="P4768" s="241" t="s">
        <v>461</v>
      </c>
      <c r="Q4768" s="243" t="s">
        <v>3946</v>
      </c>
      <c r="R4768" s="244" t="s">
        <v>7896</v>
      </c>
      <c r="S4768" s="395"/>
      <c r="T4768" s="241" t="s">
        <v>6925</v>
      </c>
      <c r="U4768" s="241" t="s">
        <v>6924</v>
      </c>
      <c r="V4768" s="241" t="s">
        <v>3629</v>
      </c>
      <c r="W4768" s="335" t="s">
        <v>7995</v>
      </c>
      <c r="X4768" s="667" t="s">
        <v>2493</v>
      </c>
      <c r="Y4768" s="375"/>
      <c r="Z4768" s="377"/>
      <c r="AA4768" s="377"/>
      <c r="AB4768" s="55">
        <f t="shared" ca="1" si="118"/>
        <v>0.54511336123336351</v>
      </c>
      <c r="AC4768" s="834"/>
      <c r="AD4768" s="835"/>
      <c r="AE4768" s="957"/>
      <c r="AF4768" s="930">
        <f>IF(X4768=X4767,AF4767,0)+IF(ISNUMBER(I4768),IF(I4768&lt;1,I4768,I4768*VLOOKUP(J4768,Summary!$H$2:$I$9,2)),VLOOKUP(J4768,Summary!$J$2:$K$9,2)*IF(ISNUMBER(H4768),H4768,1))</f>
        <v>0.88682870370370381</v>
      </c>
      <c r="AG4768" s="302">
        <v>4767</v>
      </c>
      <c r="AH4768" s="94"/>
      <c r="AI4768" s="94"/>
    </row>
    <row r="4769" spans="1:35" s="22" customFormat="1" ht="12" customHeight="1" x14ac:dyDescent="0.25">
      <c r="A4769" s="409" t="s">
        <v>13228</v>
      </c>
      <c r="B4769" s="410" t="s">
        <v>2650</v>
      </c>
      <c r="C4769" s="409">
        <v>6</v>
      </c>
      <c r="D4769" s="176" t="s">
        <v>15530</v>
      </c>
      <c r="E4769" s="313" t="s">
        <v>15531</v>
      </c>
      <c r="F4769" s="175">
        <v>43384</v>
      </c>
      <c r="G4769" s="174"/>
      <c r="H4769" s="176">
        <v>1</v>
      </c>
      <c r="I4769" s="176"/>
      <c r="J4769" s="900" t="s">
        <v>2755</v>
      </c>
      <c r="K4769" s="164" t="s">
        <v>15498</v>
      </c>
      <c r="L4769" s="164" t="s">
        <v>461</v>
      </c>
      <c r="M4769" s="164"/>
      <c r="N4769" s="164"/>
      <c r="O4769" s="164"/>
      <c r="P4769" s="173" t="s">
        <v>15499</v>
      </c>
      <c r="Q4769" s="164" t="s">
        <v>3953</v>
      </c>
      <c r="R4769" s="179" t="s">
        <v>15500</v>
      </c>
      <c r="S4769" s="354"/>
      <c r="T4769" s="173"/>
      <c r="U4769" s="173"/>
      <c r="V4769" s="173"/>
      <c r="W4769" s="313" t="s">
        <v>15531</v>
      </c>
      <c r="X4769" s="645" t="s">
        <v>2493</v>
      </c>
      <c r="Y4769" s="354"/>
      <c r="Z4769" s="176"/>
      <c r="AA4769" s="176"/>
      <c r="AB4769" s="32">
        <f t="shared" ca="1" si="118"/>
        <v>0.28546143329969398</v>
      </c>
      <c r="AC4769" s="812"/>
      <c r="AD4769" s="763"/>
      <c r="AE4769" s="807"/>
      <c r="AF4769" s="921">
        <f>IF(X4769=X4768,AF4768,0)+IF(ISNUMBER(I4769),IF(I4769&lt;1,I4769,I4769*VLOOKUP(J4769,Summary!$H$2:$I$9,2)),VLOOKUP(J4769,Summary!$J$2:$K$9,2)*IF(ISNUMBER(H4769),H4769,1))</f>
        <v>0.90418981481481497</v>
      </c>
      <c r="AG4769" s="288">
        <v>4768</v>
      </c>
      <c r="AH4769" s="94"/>
      <c r="AI4769" s="94"/>
    </row>
    <row r="4770" spans="1:35" s="22" customFormat="1" ht="12" customHeight="1" x14ac:dyDescent="0.25">
      <c r="A4770" s="457"/>
      <c r="B4770" s="457" t="s">
        <v>2650</v>
      </c>
      <c r="C4770" s="458">
        <v>17</v>
      </c>
      <c r="D4770" s="188" t="s">
        <v>16920</v>
      </c>
      <c r="E4770" s="327" t="s">
        <v>16921</v>
      </c>
      <c r="F4770" s="187">
        <v>43344</v>
      </c>
      <c r="G4770" s="195"/>
      <c r="H4770" s="188" t="s">
        <v>461</v>
      </c>
      <c r="I4770" s="188">
        <v>256</v>
      </c>
      <c r="J4770" s="902" t="s">
        <v>6868</v>
      </c>
      <c r="K4770" s="218" t="s">
        <v>2308</v>
      </c>
      <c r="L4770" s="218" t="s">
        <v>461</v>
      </c>
      <c r="M4770" s="218"/>
      <c r="N4770" s="218"/>
      <c r="O4770" s="218"/>
      <c r="P4770" s="178" t="s">
        <v>16930</v>
      </c>
      <c r="Q4770" s="218" t="s">
        <v>13674</v>
      </c>
      <c r="R4770" s="217" t="s">
        <v>13700</v>
      </c>
      <c r="S4770" s="366"/>
      <c r="T4770" s="178"/>
      <c r="U4770" s="178" t="s">
        <v>2597</v>
      </c>
      <c r="V4770" s="178"/>
      <c r="W4770" s="327" t="s">
        <v>16921</v>
      </c>
      <c r="X4770" s="658" t="s">
        <v>16934</v>
      </c>
      <c r="Y4770" s="366"/>
      <c r="Z4770" s="188"/>
      <c r="AA4770" s="188"/>
      <c r="AB4770" s="34">
        <f t="shared" ca="1" si="118"/>
        <v>0.53601929880791521</v>
      </c>
      <c r="AC4770" s="814"/>
      <c r="AD4770" s="815" t="s">
        <v>16922</v>
      </c>
      <c r="AE4770" s="245"/>
      <c r="AF4770" s="923">
        <f>IF(X4770=X4769,AF4769,0)+IF(ISNUMBER(I4770),IF(I4770&lt;1,I4770,I4770*VLOOKUP(J4770,Summary!$H$2:$I$9,2)),VLOOKUP(J4770,Summary!$J$2:$K$9,2)*IF(ISNUMBER(H4770),H4770,1))</f>
        <v>0.17777777777777778</v>
      </c>
      <c r="AG4770" s="297">
        <v>4769</v>
      </c>
      <c r="AH4770" s="94"/>
      <c r="AI4770" s="94"/>
    </row>
    <row r="4771" spans="1:35" s="26" customFormat="1" ht="12" customHeight="1" x14ac:dyDescent="0.25">
      <c r="A4771" s="457"/>
      <c r="B4771" s="457" t="s">
        <v>2650</v>
      </c>
      <c r="C4771" s="458">
        <v>18</v>
      </c>
      <c r="D4771" s="188" t="s">
        <v>16923</v>
      </c>
      <c r="E4771" s="327" t="s">
        <v>16924</v>
      </c>
      <c r="F4771" s="187">
        <v>43374</v>
      </c>
      <c r="G4771" s="195"/>
      <c r="H4771" s="188" t="s">
        <v>461</v>
      </c>
      <c r="I4771" s="188">
        <v>256</v>
      </c>
      <c r="J4771" s="902" t="s">
        <v>6868</v>
      </c>
      <c r="K4771" s="218" t="s">
        <v>14462</v>
      </c>
      <c r="L4771" s="218" t="s">
        <v>461</v>
      </c>
      <c r="M4771" s="218"/>
      <c r="N4771" s="218"/>
      <c r="O4771" s="218"/>
      <c r="P4771" s="178" t="s">
        <v>16931</v>
      </c>
      <c r="Q4771" s="218" t="s">
        <v>13674</v>
      </c>
      <c r="R4771" s="217" t="s">
        <v>13700</v>
      </c>
      <c r="S4771" s="366"/>
      <c r="T4771" s="178"/>
      <c r="U4771" s="178" t="s">
        <v>2597</v>
      </c>
      <c r="V4771" s="178"/>
      <c r="W4771" s="327" t="s">
        <v>16924</v>
      </c>
      <c r="X4771" s="658" t="s">
        <v>16934</v>
      </c>
      <c r="Y4771" s="366"/>
      <c r="Z4771" s="188"/>
      <c r="AA4771" s="188"/>
      <c r="AB4771" s="34">
        <f t="shared" ca="1" si="118"/>
        <v>0.38763033930308111</v>
      </c>
      <c r="AC4771" s="814"/>
      <c r="AD4771" s="815" t="s">
        <v>16925</v>
      </c>
      <c r="AE4771" s="245"/>
      <c r="AF4771" s="923">
        <f>IF(X4771=X4770,AF4770,0)+IF(ISNUMBER(I4771),IF(I4771&lt;1,I4771,I4771*VLOOKUP(J4771,Summary!$H$2:$I$9,2)),VLOOKUP(J4771,Summary!$J$2:$K$9,2)*IF(ISNUMBER(H4771),H4771,1))</f>
        <v>0.35555555555555557</v>
      </c>
      <c r="AG4771" s="297">
        <v>4770</v>
      </c>
      <c r="AH4771" s="94"/>
      <c r="AI4771" s="94"/>
    </row>
    <row r="4772" spans="1:35" s="22" customFormat="1" ht="12" customHeight="1" x14ac:dyDescent="0.25">
      <c r="A4772" s="457"/>
      <c r="B4772" s="457" t="s">
        <v>2650</v>
      </c>
      <c r="C4772" s="458">
        <v>19</v>
      </c>
      <c r="D4772" s="188" t="s">
        <v>16926</v>
      </c>
      <c r="E4772" s="327" t="s">
        <v>16927</v>
      </c>
      <c r="F4772" s="187">
        <v>43435</v>
      </c>
      <c r="G4772" s="195"/>
      <c r="H4772" s="188" t="s">
        <v>461</v>
      </c>
      <c r="I4772" s="188">
        <v>256</v>
      </c>
      <c r="J4772" s="902" t="s">
        <v>6868</v>
      </c>
      <c r="K4772" s="218" t="s">
        <v>4034</v>
      </c>
      <c r="L4772" s="218" t="s">
        <v>461</v>
      </c>
      <c r="M4772" s="218"/>
      <c r="N4772" s="218"/>
      <c r="O4772" s="218"/>
      <c r="P4772" s="178" t="s">
        <v>16928</v>
      </c>
      <c r="Q4772" s="218" t="s">
        <v>13674</v>
      </c>
      <c r="R4772" s="217" t="s">
        <v>13700</v>
      </c>
      <c r="S4772" s="366"/>
      <c r="T4772" s="178"/>
      <c r="U4772" s="178" t="s">
        <v>2597</v>
      </c>
      <c r="V4772" s="178"/>
      <c r="W4772" s="327" t="s">
        <v>16927</v>
      </c>
      <c r="X4772" s="658" t="s">
        <v>16934</v>
      </c>
      <c r="Y4772" s="366"/>
      <c r="Z4772" s="188"/>
      <c r="AA4772" s="188"/>
      <c r="AB4772" s="34">
        <f t="shared" ca="1" si="118"/>
        <v>0.67592929387869116</v>
      </c>
      <c r="AC4772" s="814"/>
      <c r="AD4772" s="815" t="s">
        <v>16929</v>
      </c>
      <c r="AE4772" s="245"/>
      <c r="AF4772" s="923">
        <f>IF(X4772=X4771,AF4771,0)+IF(ISNUMBER(I4772),IF(I4772&lt;1,I4772,I4772*VLOOKUP(J4772,Summary!$H$2:$I$9,2)),VLOOKUP(J4772,Summary!$J$2:$K$9,2)*IF(ISNUMBER(H4772),H4772,1))</f>
        <v>0.53333333333333333</v>
      </c>
      <c r="AG4772" s="297">
        <v>4771</v>
      </c>
      <c r="AH4772" s="94"/>
      <c r="AI4772" s="94"/>
    </row>
    <row r="4773" spans="1:35" s="22" customFormat="1" ht="12" customHeight="1" x14ac:dyDescent="0.25">
      <c r="A4773" s="457"/>
      <c r="B4773" s="457" t="s">
        <v>2650</v>
      </c>
      <c r="C4773" s="458">
        <v>20</v>
      </c>
      <c r="D4773" s="188" t="s">
        <v>16932</v>
      </c>
      <c r="E4773" s="327" t="s">
        <v>16933</v>
      </c>
      <c r="F4773" s="187">
        <v>43497</v>
      </c>
      <c r="G4773" s="195"/>
      <c r="H4773" s="188" t="s">
        <v>461</v>
      </c>
      <c r="I4773" s="188">
        <v>256</v>
      </c>
      <c r="J4773" s="902" t="s">
        <v>6868</v>
      </c>
      <c r="K4773" s="218" t="s">
        <v>2562</v>
      </c>
      <c r="L4773" s="218" t="s">
        <v>461</v>
      </c>
      <c r="M4773" s="218"/>
      <c r="N4773" s="218"/>
      <c r="O4773" s="218"/>
      <c r="P4773" s="178" t="s">
        <v>11072</v>
      </c>
      <c r="Q4773" s="218" t="s">
        <v>13674</v>
      </c>
      <c r="R4773" s="217" t="s">
        <v>13700</v>
      </c>
      <c r="S4773" s="366"/>
      <c r="T4773" s="178"/>
      <c r="U4773" s="178" t="s">
        <v>2597</v>
      </c>
      <c r="V4773" s="178"/>
      <c r="W4773" s="327" t="s">
        <v>16933</v>
      </c>
      <c r="X4773" s="658" t="s">
        <v>16934</v>
      </c>
      <c r="Y4773" s="366"/>
      <c r="Z4773" s="188"/>
      <c r="AA4773" s="188"/>
      <c r="AB4773" s="34">
        <f t="shared" ca="1" si="118"/>
        <v>0.92008999377087441</v>
      </c>
      <c r="AC4773" s="814"/>
      <c r="AD4773" s="815" t="s">
        <v>16002</v>
      </c>
      <c r="AE4773" s="245"/>
      <c r="AF4773" s="923">
        <f>IF(X4773=X4772,AF4772,0)+IF(ISNUMBER(I4773),IF(I4773&lt;1,I4773,I4773*VLOOKUP(J4773,Summary!$H$2:$I$9,2)),VLOOKUP(J4773,Summary!$J$2:$K$9,2)*IF(ISNUMBER(H4773),H4773,1))</f>
        <v>0.71111111111111114</v>
      </c>
      <c r="AG4773" s="297">
        <v>4772</v>
      </c>
      <c r="AH4773" s="94"/>
      <c r="AI4773" s="94"/>
    </row>
    <row r="4774" spans="1:35" s="1" customFormat="1" ht="12" customHeight="1" x14ac:dyDescent="0.25">
      <c r="A4774" s="474" t="s">
        <v>6981</v>
      </c>
      <c r="B4774" s="474" t="s">
        <v>3227</v>
      </c>
      <c r="C4774" s="474">
        <v>16</v>
      </c>
      <c r="D4774" s="417" t="s">
        <v>3701</v>
      </c>
      <c r="E4774" s="316" t="s">
        <v>7101</v>
      </c>
      <c r="F4774" s="195">
        <v>40745</v>
      </c>
      <c r="G4774" s="195"/>
      <c r="H4774" s="188" t="s">
        <v>461</v>
      </c>
      <c r="I4774" s="188">
        <v>253</v>
      </c>
      <c r="J4774" s="902" t="s">
        <v>6868</v>
      </c>
      <c r="K4774" s="162" t="s">
        <v>1643</v>
      </c>
      <c r="L4774" s="162" t="str">
        <f>IF(J4774="Book","n/a","")</f>
        <v>n/a</v>
      </c>
      <c r="M4774" s="162"/>
      <c r="N4774" s="162"/>
      <c r="O4774" s="162"/>
      <c r="P4774" s="178" t="s">
        <v>3702</v>
      </c>
      <c r="Q4774" s="162" t="s">
        <v>3953</v>
      </c>
      <c r="R4774" s="189" t="s">
        <v>2719</v>
      </c>
      <c r="S4774" s="366"/>
      <c r="T4774" s="178"/>
      <c r="U4774" s="178"/>
      <c r="V4774" s="178"/>
      <c r="W4774" s="316" t="s">
        <v>7101</v>
      </c>
      <c r="X4774" s="648" t="s">
        <v>12355</v>
      </c>
      <c r="Y4774" s="356"/>
      <c r="Z4774" s="272"/>
      <c r="AA4774" s="272"/>
      <c r="AB4774" s="34">
        <f t="shared" ca="1" si="118"/>
        <v>0.98254856032360294</v>
      </c>
      <c r="AC4774" s="814"/>
      <c r="AD4774" s="815" t="s">
        <v>15878</v>
      </c>
      <c r="AE4774" s="942"/>
      <c r="AF4774" s="923">
        <f>IF(X4774=X4773,AF4773,0)+IF(ISNUMBER(I4774),IF(I4774&lt;1,I4774,I4774*VLOOKUP(J4774,Summary!$H$2:$I$9,2)),VLOOKUP(J4774,Summary!$J$2:$K$9,2)*IF(ISNUMBER(H4774),H4774,1))</f>
        <v>0.17569444444444446</v>
      </c>
      <c r="AG4774" s="291">
        <v>4773</v>
      </c>
      <c r="AH4774" s="94"/>
      <c r="AI4774" s="94"/>
    </row>
    <row r="4775" spans="1:35" s="1" customFormat="1" ht="12" customHeight="1" x14ac:dyDescent="0.25">
      <c r="A4775" s="474" t="s">
        <v>6981</v>
      </c>
      <c r="B4775" s="507" t="s">
        <v>3227</v>
      </c>
      <c r="C4775" s="474">
        <v>18</v>
      </c>
      <c r="D4775" s="417" t="s">
        <v>3700</v>
      </c>
      <c r="E4775" s="316" t="s">
        <v>3699</v>
      </c>
      <c r="F4775" s="195">
        <v>40773</v>
      </c>
      <c r="G4775" s="195"/>
      <c r="H4775" s="188" t="s">
        <v>461</v>
      </c>
      <c r="I4775" s="188">
        <v>252</v>
      </c>
      <c r="J4775" s="902" t="s">
        <v>6868</v>
      </c>
      <c r="K4775" s="162" t="s">
        <v>1826</v>
      </c>
      <c r="L4775" s="162" t="str">
        <f>IF(J4775="Book","n/a","")</f>
        <v>n/a</v>
      </c>
      <c r="M4775" s="162"/>
      <c r="N4775" s="162"/>
      <c r="O4775" s="162"/>
      <c r="P4775" s="178" t="s">
        <v>3703</v>
      </c>
      <c r="Q4775" s="162" t="s">
        <v>3953</v>
      </c>
      <c r="R4775" s="189" t="s">
        <v>2719</v>
      </c>
      <c r="S4775" s="366"/>
      <c r="T4775" s="178" t="s">
        <v>3068</v>
      </c>
      <c r="U4775" s="178"/>
      <c r="V4775" s="178"/>
      <c r="W4775" s="316" t="s">
        <v>3699</v>
      </c>
      <c r="X4775" s="648" t="s">
        <v>12355</v>
      </c>
      <c r="Y4775" s="356"/>
      <c r="Z4775" s="272"/>
      <c r="AA4775" s="272"/>
      <c r="AB4775" s="34">
        <f t="shared" ca="1" si="118"/>
        <v>0.43970431770719032</v>
      </c>
      <c r="AC4775" s="814"/>
      <c r="AD4775" s="815" t="s">
        <v>15879</v>
      </c>
      <c r="AE4775" s="942"/>
      <c r="AF4775" s="923">
        <f>IF(X4775=X4774,AF4774,0)+IF(ISNUMBER(I4775),IF(I4775&lt;1,I4775,I4775*VLOOKUP(J4775,Summary!$H$2:$I$9,2)),VLOOKUP(J4775,Summary!$J$2:$K$9,2)*IF(ISNUMBER(H4775),H4775,1))</f>
        <v>0.35069444444444448</v>
      </c>
      <c r="AG4775" s="291">
        <v>4774</v>
      </c>
      <c r="AH4775" s="94"/>
      <c r="AI4775" s="94"/>
    </row>
    <row r="4776" spans="1:35" s="1" customFormat="1" ht="12" customHeight="1" x14ac:dyDescent="0.25">
      <c r="A4776" s="553" t="s">
        <v>6981</v>
      </c>
      <c r="B4776" s="554" t="s">
        <v>3227</v>
      </c>
      <c r="C4776" s="610">
        <v>28.01</v>
      </c>
      <c r="D4776" s="424" t="s">
        <v>6982</v>
      </c>
      <c r="E4776" s="319" t="s">
        <v>2371</v>
      </c>
      <c r="F4776" s="198">
        <v>40732</v>
      </c>
      <c r="G4776" s="198"/>
      <c r="H4776" s="199">
        <v>1</v>
      </c>
      <c r="I4776" s="791">
        <f>TIME(0,54, 3)</f>
        <v>3.7534722222222219E-2</v>
      </c>
      <c r="J4776" s="904" t="s">
        <v>1588</v>
      </c>
      <c r="K4776" s="200" t="s">
        <v>4443</v>
      </c>
      <c r="L4776" s="200" t="s">
        <v>6296</v>
      </c>
      <c r="M4776" s="200"/>
      <c r="N4776" s="200"/>
      <c r="O4776" s="200" t="s">
        <v>5032</v>
      </c>
      <c r="P4776" s="197" t="s">
        <v>461</v>
      </c>
      <c r="Q4776" s="200" t="s">
        <v>5033</v>
      </c>
      <c r="R4776" s="201" t="s">
        <v>5276</v>
      </c>
      <c r="S4776" s="390"/>
      <c r="T4776" s="197" t="s">
        <v>3068</v>
      </c>
      <c r="U4776" s="197"/>
      <c r="V4776" s="197"/>
      <c r="W4776" s="319" t="s">
        <v>2371</v>
      </c>
      <c r="X4776" s="651" t="s">
        <v>12355</v>
      </c>
      <c r="Y4776" s="358" t="s">
        <v>7018</v>
      </c>
      <c r="Z4776" s="253">
        <v>2999</v>
      </c>
      <c r="AA4776" s="253"/>
      <c r="AB4776" s="35">
        <f t="shared" ca="1" si="118"/>
        <v>0.85958400678031655</v>
      </c>
      <c r="AC4776" s="820"/>
      <c r="AD4776" s="821" t="s">
        <v>15897</v>
      </c>
      <c r="AE4776" s="944"/>
      <c r="AF4776" s="925">
        <f>IF(X4776=X4775,AF4775,0)+IF(ISNUMBER(I4776),IF(I4776&lt;1,I4776,I4776*VLOOKUP(J4776,Summary!$H$2:$I$9,2)),VLOOKUP(J4776,Summary!$J$2:$K$9,2)*IF(ISNUMBER(H4776),H4776,1))</f>
        <v>0.38822916666666668</v>
      </c>
      <c r="AG4776" s="293">
        <v>4775</v>
      </c>
      <c r="AH4776" s="94"/>
      <c r="AI4776" s="94"/>
    </row>
    <row r="4777" spans="1:35" s="1" customFormat="1" ht="12" customHeight="1" x14ac:dyDescent="0.25">
      <c r="A4777" s="553" t="s">
        <v>6981</v>
      </c>
      <c r="B4777" s="554" t="s">
        <v>3227</v>
      </c>
      <c r="C4777" s="610">
        <v>28.02</v>
      </c>
      <c r="D4777" s="424" t="s">
        <v>5034</v>
      </c>
      <c r="E4777" s="319" t="s">
        <v>550</v>
      </c>
      <c r="F4777" s="198">
        <v>40739</v>
      </c>
      <c r="G4777" s="198"/>
      <c r="H4777" s="199">
        <v>1</v>
      </c>
      <c r="I4777" s="791">
        <f>TIME(0,54,13)</f>
        <v>3.7650462962962962E-2</v>
      </c>
      <c r="J4777" s="904" t="s">
        <v>1588</v>
      </c>
      <c r="K4777" s="200" t="s">
        <v>6295</v>
      </c>
      <c r="L4777" s="200" t="s">
        <v>7003</v>
      </c>
      <c r="M4777" s="200"/>
      <c r="N4777" s="200"/>
      <c r="O4777" s="200" t="s">
        <v>5032</v>
      </c>
      <c r="P4777" s="197" t="s">
        <v>461</v>
      </c>
      <c r="Q4777" s="200" t="s">
        <v>5033</v>
      </c>
      <c r="R4777" s="201" t="s">
        <v>5276</v>
      </c>
      <c r="S4777" s="390"/>
      <c r="T4777" s="197" t="s">
        <v>3068</v>
      </c>
      <c r="U4777" s="197"/>
      <c r="V4777" s="197"/>
      <c r="W4777" s="319" t="s">
        <v>550</v>
      </c>
      <c r="X4777" s="651" t="s">
        <v>12355</v>
      </c>
      <c r="Y4777" s="358" t="s">
        <v>7018</v>
      </c>
      <c r="Z4777" s="253">
        <v>2999</v>
      </c>
      <c r="AA4777" s="253"/>
      <c r="AB4777" s="35">
        <f t="shared" ca="1" si="118"/>
        <v>0.5850816030090793</v>
      </c>
      <c r="AC4777" s="820"/>
      <c r="AD4777" s="821" t="s">
        <v>15897</v>
      </c>
      <c r="AE4777" s="944"/>
      <c r="AF4777" s="925">
        <f>IF(X4777=X4776,AF4776,0)+IF(ISNUMBER(I4777),IF(I4777&lt;1,I4777,I4777*VLOOKUP(J4777,Summary!$H$2:$I$9,2)),VLOOKUP(J4777,Summary!$J$2:$K$9,2)*IF(ISNUMBER(H4777),H4777,1))</f>
        <v>0.42587962962962966</v>
      </c>
      <c r="AG4777" s="293">
        <v>4776</v>
      </c>
      <c r="AH4777" s="94"/>
      <c r="AI4777" s="94"/>
    </row>
    <row r="4778" spans="1:35" s="22" customFormat="1" ht="12" customHeight="1" x14ac:dyDescent="0.25">
      <c r="A4778" s="553" t="s">
        <v>6981</v>
      </c>
      <c r="B4778" s="554" t="s">
        <v>3227</v>
      </c>
      <c r="C4778" s="610">
        <v>28.03</v>
      </c>
      <c r="D4778" s="424" t="s">
        <v>5035</v>
      </c>
      <c r="E4778" s="319" t="s">
        <v>4724</v>
      </c>
      <c r="F4778" s="198">
        <v>40746</v>
      </c>
      <c r="G4778" s="198"/>
      <c r="H4778" s="199">
        <v>1</v>
      </c>
      <c r="I4778" s="791">
        <f>TIME(0,55,29)</f>
        <v>3.8530092592592595E-2</v>
      </c>
      <c r="J4778" s="904" t="s">
        <v>1588</v>
      </c>
      <c r="K4778" s="200" t="s">
        <v>2383</v>
      </c>
      <c r="L4778" s="200" t="s">
        <v>7003</v>
      </c>
      <c r="M4778" s="200"/>
      <c r="N4778" s="200"/>
      <c r="O4778" s="200" t="s">
        <v>5032</v>
      </c>
      <c r="P4778" s="197" t="s">
        <v>461</v>
      </c>
      <c r="Q4778" s="200" t="s">
        <v>5033</v>
      </c>
      <c r="R4778" s="201" t="s">
        <v>5276</v>
      </c>
      <c r="S4778" s="390"/>
      <c r="T4778" s="197" t="s">
        <v>3068</v>
      </c>
      <c r="U4778" s="197"/>
      <c r="V4778" s="197"/>
      <c r="W4778" s="319" t="s">
        <v>4724</v>
      </c>
      <c r="X4778" s="651" t="s">
        <v>12355</v>
      </c>
      <c r="Y4778" s="358" t="s">
        <v>7018</v>
      </c>
      <c r="Z4778" s="253">
        <v>2999</v>
      </c>
      <c r="AA4778" s="253"/>
      <c r="AB4778" s="35">
        <f t="shared" ca="1" si="118"/>
        <v>0.8264691647080058</v>
      </c>
      <c r="AC4778" s="820"/>
      <c r="AD4778" s="821" t="s">
        <v>15897</v>
      </c>
      <c r="AE4778" s="944"/>
      <c r="AF4778" s="925">
        <f>IF(X4778=X4777,AF4777,0)+IF(ISNUMBER(I4778),IF(I4778&lt;1,I4778,I4778*VLOOKUP(J4778,Summary!$H$2:$I$9,2)),VLOOKUP(J4778,Summary!$J$2:$K$9,2)*IF(ISNUMBER(H4778),H4778,1))</f>
        <v>0.46440972222222227</v>
      </c>
      <c r="AG4778" s="293">
        <v>4777</v>
      </c>
      <c r="AH4778" s="94"/>
      <c r="AI4778" s="94"/>
    </row>
    <row r="4779" spans="1:35" s="29" customFormat="1" ht="12" customHeight="1" x14ac:dyDescent="0.25">
      <c r="A4779" s="553" t="s">
        <v>6981</v>
      </c>
      <c r="B4779" s="554" t="s">
        <v>3227</v>
      </c>
      <c r="C4779" s="610">
        <v>28.04</v>
      </c>
      <c r="D4779" s="424" t="s">
        <v>5036</v>
      </c>
      <c r="E4779" s="319" t="s">
        <v>4725</v>
      </c>
      <c r="F4779" s="198">
        <v>40753</v>
      </c>
      <c r="G4779" s="198"/>
      <c r="H4779" s="199">
        <v>1</v>
      </c>
      <c r="I4779" s="791">
        <f>TIME(0,57, 9)</f>
        <v>3.9687500000000001E-2</v>
      </c>
      <c r="J4779" s="904" t="s">
        <v>1588</v>
      </c>
      <c r="K4779" s="200" t="s">
        <v>6294</v>
      </c>
      <c r="L4779" s="200" t="s">
        <v>7003</v>
      </c>
      <c r="M4779" s="200"/>
      <c r="N4779" s="200"/>
      <c r="O4779" s="200" t="s">
        <v>5032</v>
      </c>
      <c r="P4779" s="197" t="s">
        <v>461</v>
      </c>
      <c r="Q4779" s="200" t="s">
        <v>5033</v>
      </c>
      <c r="R4779" s="201" t="s">
        <v>5276</v>
      </c>
      <c r="S4779" s="390"/>
      <c r="T4779" s="197" t="s">
        <v>3068</v>
      </c>
      <c r="U4779" s="197"/>
      <c r="V4779" s="197"/>
      <c r="W4779" s="319" t="s">
        <v>4725</v>
      </c>
      <c r="X4779" s="651" t="s">
        <v>12355</v>
      </c>
      <c r="Y4779" s="358" t="s">
        <v>7018</v>
      </c>
      <c r="Z4779" s="253">
        <v>2999</v>
      </c>
      <c r="AA4779" s="253"/>
      <c r="AB4779" s="35">
        <f t="shared" ca="1" si="118"/>
        <v>0.65508259322795126</v>
      </c>
      <c r="AC4779" s="820"/>
      <c r="AD4779" s="821" t="s">
        <v>15897</v>
      </c>
      <c r="AE4779" s="944"/>
      <c r="AF4779" s="925">
        <f>IF(X4779=X4778,AF4778,0)+IF(ISNUMBER(I4779),IF(I4779&lt;1,I4779,I4779*VLOOKUP(J4779,Summary!$H$2:$I$9,2)),VLOOKUP(J4779,Summary!$J$2:$K$9,2)*IF(ISNUMBER(H4779),H4779,1))</f>
        <v>0.50409722222222231</v>
      </c>
      <c r="AG4779" s="293">
        <v>4778</v>
      </c>
      <c r="AH4779" s="94"/>
      <c r="AI4779" s="94"/>
    </row>
    <row r="4780" spans="1:35" s="1" customFormat="1" ht="12" customHeight="1" x14ac:dyDescent="0.25">
      <c r="A4780" s="553" t="s">
        <v>6981</v>
      </c>
      <c r="B4780" s="554" t="s">
        <v>3227</v>
      </c>
      <c r="C4780" s="610">
        <v>28.05</v>
      </c>
      <c r="D4780" s="424" t="s">
        <v>5037</v>
      </c>
      <c r="E4780" s="319" t="s">
        <v>4726</v>
      </c>
      <c r="F4780" s="198">
        <v>40760</v>
      </c>
      <c r="G4780" s="198"/>
      <c r="H4780" s="199">
        <v>1</v>
      </c>
      <c r="I4780" s="791">
        <f>TIME(0,54, 2)</f>
        <v>3.7523148148148146E-2</v>
      </c>
      <c r="J4780" s="904" t="s">
        <v>1588</v>
      </c>
      <c r="K4780" s="200" t="s">
        <v>2383</v>
      </c>
      <c r="L4780" s="200" t="s">
        <v>6297</v>
      </c>
      <c r="M4780" s="200"/>
      <c r="N4780" s="200"/>
      <c r="O4780" s="200" t="s">
        <v>5032</v>
      </c>
      <c r="P4780" s="197" t="s">
        <v>461</v>
      </c>
      <c r="Q4780" s="200" t="s">
        <v>5033</v>
      </c>
      <c r="R4780" s="201" t="s">
        <v>5276</v>
      </c>
      <c r="S4780" s="390"/>
      <c r="T4780" s="197" t="s">
        <v>3068</v>
      </c>
      <c r="U4780" s="197"/>
      <c r="V4780" s="197"/>
      <c r="W4780" s="319" t="s">
        <v>4726</v>
      </c>
      <c r="X4780" s="651" t="s">
        <v>12355</v>
      </c>
      <c r="Y4780" s="358" t="s">
        <v>7018</v>
      </c>
      <c r="Z4780" s="253">
        <v>2999</v>
      </c>
      <c r="AA4780" s="253"/>
      <c r="AB4780" s="35">
        <f t="shared" ca="1" si="118"/>
        <v>0.82490443982732575</v>
      </c>
      <c r="AC4780" s="820"/>
      <c r="AD4780" s="821" t="s">
        <v>15897</v>
      </c>
      <c r="AE4780" s="944"/>
      <c r="AF4780" s="925">
        <f>IF(X4780=X4779,AF4779,0)+IF(ISNUMBER(I4780),IF(I4780&lt;1,I4780,I4780*VLOOKUP(J4780,Summary!$H$2:$I$9,2)),VLOOKUP(J4780,Summary!$J$2:$K$9,2)*IF(ISNUMBER(H4780),H4780,1))</f>
        <v>0.54162037037037047</v>
      </c>
      <c r="AG4780" s="293">
        <v>4779</v>
      </c>
      <c r="AH4780" s="94"/>
      <c r="AI4780" s="94"/>
    </row>
    <row r="4781" spans="1:35" s="22" customFormat="1" ht="12" customHeight="1" x14ac:dyDescent="0.25">
      <c r="A4781" s="553" t="s">
        <v>6981</v>
      </c>
      <c r="B4781" s="554" t="s">
        <v>3227</v>
      </c>
      <c r="C4781" s="610">
        <v>28.06</v>
      </c>
      <c r="D4781" s="424" t="s">
        <v>5038</v>
      </c>
      <c r="E4781" s="319" t="s">
        <v>4727</v>
      </c>
      <c r="F4781" s="198">
        <v>40767</v>
      </c>
      <c r="G4781" s="198"/>
      <c r="H4781" s="199">
        <v>1</v>
      </c>
      <c r="I4781" s="791">
        <f>TIME(0,54, 6)</f>
        <v>3.7569444444444447E-2</v>
      </c>
      <c r="J4781" s="904" t="s">
        <v>1588</v>
      </c>
      <c r="K4781" s="200" t="s">
        <v>6293</v>
      </c>
      <c r="L4781" s="200" t="s">
        <v>6297</v>
      </c>
      <c r="M4781" s="200"/>
      <c r="N4781" s="200"/>
      <c r="O4781" s="200" t="s">
        <v>5032</v>
      </c>
      <c r="P4781" s="197" t="s">
        <v>461</v>
      </c>
      <c r="Q4781" s="200" t="s">
        <v>5033</v>
      </c>
      <c r="R4781" s="201" t="s">
        <v>5276</v>
      </c>
      <c r="S4781" s="390"/>
      <c r="T4781" s="197" t="s">
        <v>3068</v>
      </c>
      <c r="U4781" s="197"/>
      <c r="V4781" s="197"/>
      <c r="W4781" s="319" t="s">
        <v>4727</v>
      </c>
      <c r="X4781" s="651" t="s">
        <v>12355</v>
      </c>
      <c r="Y4781" s="358" t="s">
        <v>7018</v>
      </c>
      <c r="Z4781" s="253">
        <v>2999</v>
      </c>
      <c r="AA4781" s="253"/>
      <c r="AB4781" s="35">
        <f t="shared" ca="1" si="118"/>
        <v>0.48882188970066798</v>
      </c>
      <c r="AC4781" s="820"/>
      <c r="AD4781" s="821" t="s">
        <v>15897</v>
      </c>
      <c r="AE4781" s="944"/>
      <c r="AF4781" s="925">
        <f>IF(X4781=X4780,AF4780,0)+IF(ISNUMBER(I4781),IF(I4781&lt;1,I4781,I4781*VLOOKUP(J4781,Summary!$H$2:$I$9,2)),VLOOKUP(J4781,Summary!$J$2:$K$9,2)*IF(ISNUMBER(H4781),H4781,1))</f>
        <v>0.57918981481481491</v>
      </c>
      <c r="AG4781" s="293">
        <v>4780</v>
      </c>
      <c r="AH4781" s="94"/>
      <c r="AI4781" s="94"/>
    </row>
    <row r="4782" spans="1:35" s="1" customFormat="1" ht="12" customHeight="1" x14ac:dyDescent="0.25">
      <c r="A4782" s="553" t="s">
        <v>6981</v>
      </c>
      <c r="B4782" s="554" t="s">
        <v>3227</v>
      </c>
      <c r="C4782" s="610">
        <v>28.07</v>
      </c>
      <c r="D4782" s="424" t="s">
        <v>5039</v>
      </c>
      <c r="E4782" s="319" t="s">
        <v>4728</v>
      </c>
      <c r="F4782" s="198">
        <v>40774</v>
      </c>
      <c r="G4782" s="198"/>
      <c r="H4782" s="199">
        <v>1</v>
      </c>
      <c r="I4782" s="791">
        <f>TIME(0,54, 3)</f>
        <v>3.7534722222222219E-2</v>
      </c>
      <c r="J4782" s="904" t="s">
        <v>1588</v>
      </c>
      <c r="K4782" s="200" t="s">
        <v>2383</v>
      </c>
      <c r="L4782" s="200" t="s">
        <v>6298</v>
      </c>
      <c r="M4782" s="200"/>
      <c r="N4782" s="200"/>
      <c r="O4782" s="200" t="s">
        <v>5032</v>
      </c>
      <c r="P4782" s="197" t="s">
        <v>461</v>
      </c>
      <c r="Q4782" s="200" t="s">
        <v>5033</v>
      </c>
      <c r="R4782" s="201" t="s">
        <v>5276</v>
      </c>
      <c r="S4782" s="390"/>
      <c r="T4782" s="197" t="s">
        <v>3068</v>
      </c>
      <c r="U4782" s="197"/>
      <c r="V4782" s="197"/>
      <c r="W4782" s="319" t="s">
        <v>4728</v>
      </c>
      <c r="X4782" s="651" t="s">
        <v>12355</v>
      </c>
      <c r="Y4782" s="358" t="s">
        <v>7018</v>
      </c>
      <c r="Z4782" s="253">
        <v>2999</v>
      </c>
      <c r="AA4782" s="253"/>
      <c r="AB4782" s="35">
        <f t="shared" ca="1" si="118"/>
        <v>0.52198098220073119</v>
      </c>
      <c r="AC4782" s="820"/>
      <c r="AD4782" s="821" t="s">
        <v>16699</v>
      </c>
      <c r="AE4782" s="944"/>
      <c r="AF4782" s="925">
        <f>IF(X4782=X4781,AF4781,0)+IF(ISNUMBER(I4782),IF(I4782&lt;1,I4782,I4782*VLOOKUP(J4782,Summary!$H$2:$I$9,2)),VLOOKUP(J4782,Summary!$J$2:$K$9,2)*IF(ISNUMBER(H4782),H4782,1))</f>
        <v>0.61672453703703711</v>
      </c>
      <c r="AG4782" s="293">
        <v>4781</v>
      </c>
      <c r="AH4782" s="94"/>
      <c r="AI4782" s="94"/>
    </row>
    <row r="4783" spans="1:35" s="22" customFormat="1" ht="12" customHeight="1" x14ac:dyDescent="0.25">
      <c r="A4783" s="553" t="s">
        <v>6981</v>
      </c>
      <c r="B4783" s="554" t="s">
        <v>3227</v>
      </c>
      <c r="C4783" s="610">
        <v>28.08</v>
      </c>
      <c r="D4783" s="424" t="s">
        <v>5040</v>
      </c>
      <c r="E4783" s="319" t="s">
        <v>4729</v>
      </c>
      <c r="F4783" s="198">
        <v>40781</v>
      </c>
      <c r="G4783" s="198"/>
      <c r="H4783" s="199">
        <v>1</v>
      </c>
      <c r="I4783" s="791">
        <f>TIME(0,55, 5)</f>
        <v>3.8252314814814815E-2</v>
      </c>
      <c r="J4783" s="904" t="s">
        <v>1588</v>
      </c>
      <c r="K4783" s="200" t="s">
        <v>2382</v>
      </c>
      <c r="L4783" s="200" t="s">
        <v>6298</v>
      </c>
      <c r="M4783" s="200"/>
      <c r="N4783" s="200"/>
      <c r="O4783" s="200" t="s">
        <v>5032</v>
      </c>
      <c r="P4783" s="197" t="s">
        <v>461</v>
      </c>
      <c r="Q4783" s="200" t="s">
        <v>5033</v>
      </c>
      <c r="R4783" s="201" t="s">
        <v>5276</v>
      </c>
      <c r="S4783" s="390"/>
      <c r="T4783" s="197" t="s">
        <v>3068</v>
      </c>
      <c r="U4783" s="197"/>
      <c r="V4783" s="197"/>
      <c r="W4783" s="319" t="s">
        <v>4729</v>
      </c>
      <c r="X4783" s="651" t="s">
        <v>12355</v>
      </c>
      <c r="Y4783" s="358" t="s">
        <v>7018</v>
      </c>
      <c r="Z4783" s="253">
        <v>2999</v>
      </c>
      <c r="AA4783" s="253"/>
      <c r="AB4783" s="35">
        <f t="shared" ca="1" si="118"/>
        <v>0.99743513979544041</v>
      </c>
      <c r="AC4783" s="820"/>
      <c r="AD4783" s="821" t="s">
        <v>15897</v>
      </c>
      <c r="AE4783" s="944"/>
      <c r="AF4783" s="925">
        <f>IF(X4783=X4782,AF4782,0)+IF(ISNUMBER(I4783),IF(I4783&lt;1,I4783,I4783*VLOOKUP(J4783,Summary!$H$2:$I$9,2)),VLOOKUP(J4783,Summary!$J$2:$K$9,2)*IF(ISNUMBER(H4783),H4783,1))</f>
        <v>0.65497685185185195</v>
      </c>
      <c r="AG4783" s="293">
        <v>4782</v>
      </c>
      <c r="AH4783" s="94"/>
      <c r="AI4783" s="94"/>
    </row>
    <row r="4784" spans="1:35" s="1" customFormat="1" ht="12" customHeight="1" x14ac:dyDescent="0.25">
      <c r="A4784" s="553" t="s">
        <v>6981</v>
      </c>
      <c r="B4784" s="554" t="s">
        <v>3227</v>
      </c>
      <c r="C4784" s="610">
        <v>28.09</v>
      </c>
      <c r="D4784" s="424" t="s">
        <v>5041</v>
      </c>
      <c r="E4784" s="319" t="s">
        <v>7834</v>
      </c>
      <c r="F4784" s="198">
        <v>40788</v>
      </c>
      <c r="G4784" s="198"/>
      <c r="H4784" s="199">
        <v>1</v>
      </c>
      <c r="I4784" s="791">
        <f>TIME(0,56, 2)</f>
        <v>3.8912037037037037E-2</v>
      </c>
      <c r="J4784" s="904" t="s">
        <v>1588</v>
      </c>
      <c r="K4784" s="200" t="s">
        <v>7573</v>
      </c>
      <c r="L4784" s="200" t="s">
        <v>6297</v>
      </c>
      <c r="M4784" s="200"/>
      <c r="N4784" s="200"/>
      <c r="O4784" s="200" t="s">
        <v>5032</v>
      </c>
      <c r="P4784" s="197" t="s">
        <v>461</v>
      </c>
      <c r="Q4784" s="200" t="s">
        <v>5033</v>
      </c>
      <c r="R4784" s="201" t="s">
        <v>5276</v>
      </c>
      <c r="S4784" s="390"/>
      <c r="T4784" s="197" t="s">
        <v>3068</v>
      </c>
      <c r="U4784" s="197"/>
      <c r="V4784" s="197"/>
      <c r="W4784" s="319" t="s">
        <v>7834</v>
      </c>
      <c r="X4784" s="651" t="s">
        <v>12355</v>
      </c>
      <c r="Y4784" s="358" t="s">
        <v>7018</v>
      </c>
      <c r="Z4784" s="253">
        <v>2999</v>
      </c>
      <c r="AA4784" s="253"/>
      <c r="AB4784" s="35">
        <f t="shared" ca="1" si="118"/>
        <v>0.42957368911545768</v>
      </c>
      <c r="AC4784" s="820"/>
      <c r="AD4784" s="821" t="s">
        <v>15896</v>
      </c>
      <c r="AE4784" s="944"/>
      <c r="AF4784" s="925">
        <f>IF(X4784=X4783,AF4783,0)+IF(ISNUMBER(I4784),IF(I4784&lt;1,I4784,I4784*VLOOKUP(J4784,Summary!$H$2:$I$9,2)),VLOOKUP(J4784,Summary!$J$2:$K$9,2)*IF(ISNUMBER(H4784),H4784,1))</f>
        <v>0.693888888888889</v>
      </c>
      <c r="AG4784" s="293">
        <v>4783</v>
      </c>
      <c r="AH4784" s="94"/>
      <c r="AI4784" s="94"/>
    </row>
    <row r="4785" spans="1:35" s="22" customFormat="1" ht="12" customHeight="1" x14ac:dyDescent="0.25">
      <c r="A4785" s="553" t="s">
        <v>6981</v>
      </c>
      <c r="B4785" s="554" t="s">
        <v>3227</v>
      </c>
      <c r="C4785" s="611">
        <v>28.1</v>
      </c>
      <c r="D4785" s="424" t="s">
        <v>549</v>
      </c>
      <c r="E4785" s="319" t="s">
        <v>4730</v>
      </c>
      <c r="F4785" s="198">
        <v>40795</v>
      </c>
      <c r="G4785" s="198"/>
      <c r="H4785" s="199">
        <v>1</v>
      </c>
      <c r="I4785" s="791">
        <f>TIME(0,56, 2)</f>
        <v>3.8912037037037037E-2</v>
      </c>
      <c r="J4785" s="904" t="s">
        <v>1588</v>
      </c>
      <c r="K4785" s="200" t="s">
        <v>4731</v>
      </c>
      <c r="L4785" s="200" t="s">
        <v>7003</v>
      </c>
      <c r="M4785" s="200"/>
      <c r="N4785" s="200"/>
      <c r="O4785" s="200" t="s">
        <v>5032</v>
      </c>
      <c r="P4785" s="197" t="s">
        <v>461</v>
      </c>
      <c r="Q4785" s="200" t="s">
        <v>5033</v>
      </c>
      <c r="R4785" s="201" t="s">
        <v>5276</v>
      </c>
      <c r="S4785" s="390"/>
      <c r="T4785" s="197" t="s">
        <v>3068</v>
      </c>
      <c r="U4785" s="197"/>
      <c r="V4785" s="197"/>
      <c r="W4785" s="319" t="s">
        <v>4730</v>
      </c>
      <c r="X4785" s="651" t="s">
        <v>12355</v>
      </c>
      <c r="Y4785" s="358" t="s">
        <v>7018</v>
      </c>
      <c r="Z4785" s="253">
        <v>2999</v>
      </c>
      <c r="AA4785" s="253"/>
      <c r="AB4785" s="35">
        <f t="shared" ca="1" si="118"/>
        <v>0.7656804391912998</v>
      </c>
      <c r="AC4785" s="820"/>
      <c r="AD4785" s="821" t="s">
        <v>15896</v>
      </c>
      <c r="AE4785" s="944"/>
      <c r="AF4785" s="925">
        <f>IF(X4785=X4784,AF4784,0)+IF(ISNUMBER(I4785),IF(I4785&lt;1,I4785,I4785*VLOOKUP(J4785,Summary!$H$2:$I$9,2)),VLOOKUP(J4785,Summary!$J$2:$K$9,2)*IF(ISNUMBER(H4785),H4785,1))</f>
        <v>0.73280092592592605</v>
      </c>
      <c r="AG4785" s="293">
        <v>4784</v>
      </c>
      <c r="AH4785" s="94"/>
      <c r="AI4785" s="94"/>
    </row>
    <row r="4786" spans="1:35" s="1" customFormat="1" ht="12" customHeight="1" x14ac:dyDescent="0.25">
      <c r="A4786" s="858" t="s">
        <v>6981</v>
      </c>
      <c r="B4786" s="858" t="s">
        <v>3227</v>
      </c>
      <c r="C4786" s="858"/>
      <c r="D4786" s="424"/>
      <c r="E4786" s="319" t="s">
        <v>15898</v>
      </c>
      <c r="F4786" s="198">
        <v>40730</v>
      </c>
      <c r="G4786" s="198">
        <v>40731</v>
      </c>
      <c r="H4786" s="199">
        <v>10</v>
      </c>
      <c r="I4786" s="199"/>
      <c r="J4786" s="904" t="s">
        <v>1588</v>
      </c>
      <c r="K4786" s="200" t="s">
        <v>2382</v>
      </c>
      <c r="L4786" s="200" t="s">
        <v>15900</v>
      </c>
      <c r="M4786" s="200" t="s">
        <v>3365</v>
      </c>
      <c r="N4786" s="200"/>
      <c r="O4786" s="200" t="s">
        <v>15899</v>
      </c>
      <c r="P4786" s="197" t="s">
        <v>461</v>
      </c>
      <c r="Q4786" s="200" t="s">
        <v>5033</v>
      </c>
      <c r="R4786" s="201" t="s">
        <v>13014</v>
      </c>
      <c r="S4786" s="390"/>
      <c r="T4786" s="197" t="s">
        <v>3068</v>
      </c>
      <c r="U4786" s="197"/>
      <c r="V4786" s="197"/>
      <c r="W4786" s="319"/>
      <c r="X4786" s="651" t="s">
        <v>12355</v>
      </c>
      <c r="Y4786" s="358"/>
      <c r="Z4786" s="253"/>
      <c r="AA4786" s="253"/>
      <c r="AB4786" s="35">
        <f t="shared" ca="1" si="118"/>
        <v>0.51639055783935628</v>
      </c>
      <c r="AC4786" s="820"/>
      <c r="AD4786" s="821" t="s">
        <v>15901</v>
      </c>
      <c r="AE4786" s="944"/>
      <c r="AF4786" s="925">
        <f>IF(X4786=X4785,AF4785,0)+IF(ISNUMBER(I4786),IF(I4786&lt;1,I4786,I4786*VLOOKUP(J4786,Summary!$H$2:$I$9,2)),VLOOKUP(J4786,Summary!$J$2:$K$9,2)*IF(ISNUMBER(H4786),H4786,1))</f>
        <v>1.1494675925925928</v>
      </c>
      <c r="AG4786" s="293">
        <v>4785</v>
      </c>
      <c r="AH4786" s="94"/>
      <c r="AI4786" s="94"/>
    </row>
    <row r="4787" spans="1:35" s="1" customFormat="1" ht="12" customHeight="1" x14ac:dyDescent="0.25">
      <c r="A4787" s="405" t="s">
        <v>6981</v>
      </c>
      <c r="B4787" s="596" t="s">
        <v>3227</v>
      </c>
      <c r="C4787" s="622">
        <v>7</v>
      </c>
      <c r="D4787" s="407" t="s">
        <v>7645</v>
      </c>
      <c r="E4787" s="315" t="s">
        <v>7646</v>
      </c>
      <c r="F4787" s="196">
        <v>40976</v>
      </c>
      <c r="G4787" s="170"/>
      <c r="H4787" s="170">
        <v>1</v>
      </c>
      <c r="I4787" s="746">
        <f>TIME(0,70,0)</f>
        <v>4.8611111111111112E-2</v>
      </c>
      <c r="J4787" s="899" t="s">
        <v>4706</v>
      </c>
      <c r="K4787" s="167" t="s">
        <v>4714</v>
      </c>
      <c r="L4787" s="167"/>
      <c r="M4787" s="167" t="s">
        <v>3677</v>
      </c>
      <c r="N4787" s="167"/>
      <c r="O4787" s="167"/>
      <c r="P4787" s="168" t="s">
        <v>7644</v>
      </c>
      <c r="Q4787" s="167" t="s">
        <v>3950</v>
      </c>
      <c r="R4787" s="172" t="s">
        <v>2710</v>
      </c>
      <c r="S4787" s="388"/>
      <c r="T4787" s="168"/>
      <c r="U4787" s="168"/>
      <c r="V4787" s="168"/>
      <c r="W4787" s="315" t="s">
        <v>7646</v>
      </c>
      <c r="X4787" s="647" t="s">
        <v>12355</v>
      </c>
      <c r="Y4787" s="352" t="s">
        <v>5643</v>
      </c>
      <c r="Z4787" s="353">
        <v>2002</v>
      </c>
      <c r="AA4787" s="353">
        <v>7</v>
      </c>
      <c r="AB4787" s="31">
        <f t="shared" ca="1" si="118"/>
        <v>0.14672601589466239</v>
      </c>
      <c r="AC4787" s="810"/>
      <c r="AD4787" s="811" t="s">
        <v>15888</v>
      </c>
      <c r="AE4787" s="940"/>
      <c r="AF4787" s="920">
        <f>IF(X4787=X4786,AF4786,0)+IF(ISNUMBER(I4787),IF(I4787&lt;1,I4787,I4787*VLOOKUP(J4787,Summary!$H$2:$I$9,2)),VLOOKUP(J4787,Summary!$J$2:$K$9,2)*IF(ISNUMBER(H4787),H4787,1))</f>
        <v>1.198078703703704</v>
      </c>
      <c r="AG4787" s="287">
        <v>4786</v>
      </c>
      <c r="AH4787" s="94"/>
      <c r="AI4787" s="94"/>
    </row>
    <row r="4788" spans="1:35" s="1" customFormat="1" ht="12" customHeight="1" x14ac:dyDescent="0.25">
      <c r="A4788" s="405" t="s">
        <v>6981</v>
      </c>
      <c r="B4788" s="596" t="s">
        <v>3227</v>
      </c>
      <c r="C4788" s="622">
        <v>8</v>
      </c>
      <c r="D4788" s="407" t="s">
        <v>7648</v>
      </c>
      <c r="E4788" s="315" t="s">
        <v>7649</v>
      </c>
      <c r="F4788" s="196">
        <v>41004</v>
      </c>
      <c r="G4788" s="170"/>
      <c r="H4788" s="170">
        <v>1</v>
      </c>
      <c r="I4788" s="747">
        <f>TIME(0,60,0)</f>
        <v>4.1666666666666664E-2</v>
      </c>
      <c r="J4788" s="899" t="s">
        <v>4706</v>
      </c>
      <c r="K4788" s="167" t="s">
        <v>4146</v>
      </c>
      <c r="L4788" s="167"/>
      <c r="M4788" s="167" t="s">
        <v>7647</v>
      </c>
      <c r="N4788" s="167"/>
      <c r="O4788" s="167"/>
      <c r="P4788" s="168" t="s">
        <v>7656</v>
      </c>
      <c r="Q4788" s="167" t="s">
        <v>3950</v>
      </c>
      <c r="R4788" s="172" t="s">
        <v>2710</v>
      </c>
      <c r="S4788" s="388"/>
      <c r="T4788" s="168"/>
      <c r="U4788" s="168"/>
      <c r="V4788" s="168"/>
      <c r="W4788" s="315" t="s">
        <v>7649</v>
      </c>
      <c r="X4788" s="647" t="s">
        <v>12355</v>
      </c>
      <c r="Y4788" s="352" t="s">
        <v>5643</v>
      </c>
      <c r="Z4788" s="353"/>
      <c r="AA4788" s="353"/>
      <c r="AB4788" s="31">
        <f t="shared" ca="1" si="118"/>
        <v>0.26980028280973822</v>
      </c>
      <c r="AC4788" s="810"/>
      <c r="AD4788" s="811" t="s">
        <v>15888</v>
      </c>
      <c r="AE4788" s="940"/>
      <c r="AF4788" s="920">
        <f>IF(X4788=X4787,AF4787,0)+IF(ISNUMBER(I4788),IF(I4788&lt;1,I4788,I4788*VLOOKUP(J4788,Summary!$H$2:$I$9,2)),VLOOKUP(J4788,Summary!$J$2:$K$9,2)*IF(ISNUMBER(H4788),H4788,1))</f>
        <v>1.2397453703703707</v>
      </c>
      <c r="AG4788" s="287">
        <v>4787</v>
      </c>
      <c r="AH4788" s="94"/>
      <c r="AI4788" s="94"/>
    </row>
    <row r="4789" spans="1:35" s="1" customFormat="1" ht="12" customHeight="1" x14ac:dyDescent="0.25">
      <c r="A4789" s="405" t="s">
        <v>6981</v>
      </c>
      <c r="B4789" s="596" t="s">
        <v>3227</v>
      </c>
      <c r="C4789" s="622">
        <v>9</v>
      </c>
      <c r="D4789" s="407" t="s">
        <v>7651</v>
      </c>
      <c r="E4789" s="315" t="s">
        <v>7653</v>
      </c>
      <c r="F4789" s="196">
        <v>41032</v>
      </c>
      <c r="G4789" s="170"/>
      <c r="H4789" s="170">
        <v>1</v>
      </c>
      <c r="I4789" s="747">
        <f>TIME(0,60,0)</f>
        <v>4.1666666666666664E-2</v>
      </c>
      <c r="J4789" s="899" t="s">
        <v>4706</v>
      </c>
      <c r="K4789" s="167" t="s">
        <v>4425</v>
      </c>
      <c r="L4789" s="167"/>
      <c r="M4789" s="167" t="s">
        <v>7650</v>
      </c>
      <c r="N4789" s="167"/>
      <c r="O4789" s="167"/>
      <c r="P4789" s="168" t="s">
        <v>7655</v>
      </c>
      <c r="Q4789" s="167" t="s">
        <v>3950</v>
      </c>
      <c r="R4789" s="172" t="s">
        <v>2710</v>
      </c>
      <c r="S4789" s="388"/>
      <c r="T4789" s="168" t="s">
        <v>3068</v>
      </c>
      <c r="U4789" s="168"/>
      <c r="V4789" s="168"/>
      <c r="W4789" s="315" t="s">
        <v>7653</v>
      </c>
      <c r="X4789" s="647" t="s">
        <v>12355</v>
      </c>
      <c r="Y4789" s="352"/>
      <c r="Z4789" s="353"/>
      <c r="AA4789" s="353"/>
      <c r="AB4789" s="31">
        <f t="shared" ca="1" si="118"/>
        <v>0.44301440921431301</v>
      </c>
      <c r="AC4789" s="810"/>
      <c r="AD4789" s="811"/>
      <c r="AE4789" s="940"/>
      <c r="AF4789" s="920">
        <f>IF(X4789=X4788,AF4788,0)+IF(ISNUMBER(I4789),IF(I4789&lt;1,I4789,I4789*VLOOKUP(J4789,Summary!$H$2:$I$9,2)),VLOOKUP(J4789,Summary!$J$2:$K$9,2)*IF(ISNUMBER(H4789),H4789,1))</f>
        <v>1.2814120370370374</v>
      </c>
      <c r="AG4789" s="287">
        <v>4788</v>
      </c>
      <c r="AH4789" s="94"/>
      <c r="AI4789" s="94"/>
    </row>
    <row r="4790" spans="1:35" s="10" customFormat="1" ht="12" customHeight="1" x14ac:dyDescent="0.25">
      <c r="A4790" s="405" t="s">
        <v>6981</v>
      </c>
      <c r="B4790" s="596" t="s">
        <v>3227</v>
      </c>
      <c r="C4790" s="622">
        <v>10</v>
      </c>
      <c r="D4790" s="407" t="s">
        <v>7652</v>
      </c>
      <c r="E4790" s="315" t="s">
        <v>7654</v>
      </c>
      <c r="F4790" s="196">
        <v>41067</v>
      </c>
      <c r="G4790" s="170"/>
      <c r="H4790" s="170">
        <v>1</v>
      </c>
      <c r="I4790" s="747">
        <f>TIME(0,60,0)</f>
        <v>4.1666666666666664E-2</v>
      </c>
      <c r="J4790" s="899" t="s">
        <v>4706</v>
      </c>
      <c r="K4790" s="167" t="s">
        <v>4033</v>
      </c>
      <c r="L4790" s="167"/>
      <c r="M4790" s="167" t="s">
        <v>7647</v>
      </c>
      <c r="N4790" s="167"/>
      <c r="O4790" s="167"/>
      <c r="P4790" s="168" t="s">
        <v>7657</v>
      </c>
      <c r="Q4790" s="167" t="s">
        <v>3950</v>
      </c>
      <c r="R4790" s="172" t="s">
        <v>2710</v>
      </c>
      <c r="S4790" s="388"/>
      <c r="T4790" s="168" t="s">
        <v>3068</v>
      </c>
      <c r="U4790" s="168"/>
      <c r="V4790" s="168"/>
      <c r="W4790" s="315" t="s">
        <v>7654</v>
      </c>
      <c r="X4790" s="647" t="s">
        <v>12355</v>
      </c>
      <c r="Y4790" s="352"/>
      <c r="Z4790" s="353"/>
      <c r="AA4790" s="353"/>
      <c r="AB4790" s="31">
        <f t="shared" ca="1" si="118"/>
        <v>6.8867859992238656E-2</v>
      </c>
      <c r="AC4790" s="810"/>
      <c r="AD4790" s="811" t="s">
        <v>15888</v>
      </c>
      <c r="AE4790" s="940"/>
      <c r="AF4790" s="920">
        <f>IF(X4790=X4789,AF4789,0)+IF(ISNUMBER(I4790),IF(I4790&lt;1,I4790,I4790*VLOOKUP(J4790,Summary!$H$2:$I$9,2)),VLOOKUP(J4790,Summary!$J$2:$K$9,2)*IF(ISNUMBER(H4790),H4790,1))</f>
        <v>1.3230787037037042</v>
      </c>
      <c r="AG4790" s="287">
        <v>4789</v>
      </c>
      <c r="AH4790" s="94"/>
      <c r="AI4790" s="94"/>
    </row>
    <row r="4791" spans="1:35" s="1" customFormat="1" ht="12" customHeight="1" x14ac:dyDescent="0.25">
      <c r="A4791" s="474" t="s">
        <v>6981</v>
      </c>
      <c r="B4791" s="507" t="s">
        <v>3227</v>
      </c>
      <c r="C4791" s="474">
        <v>19</v>
      </c>
      <c r="D4791" s="417" t="s">
        <v>7641</v>
      </c>
      <c r="E4791" s="316" t="s">
        <v>7642</v>
      </c>
      <c r="F4791" s="195">
        <v>41165</v>
      </c>
      <c r="G4791" s="195"/>
      <c r="H4791" s="188" t="s">
        <v>461</v>
      </c>
      <c r="I4791" s="188">
        <v>366</v>
      </c>
      <c r="J4791" s="902" t="s">
        <v>6868</v>
      </c>
      <c r="K4791" s="162" t="s">
        <v>7643</v>
      </c>
      <c r="L4791" s="162" t="str">
        <f>IF(J4791="Book","n/a","")</f>
        <v>n/a</v>
      </c>
      <c r="M4791" s="162"/>
      <c r="N4791" s="162"/>
      <c r="O4791" s="162"/>
      <c r="P4791" s="178" t="s">
        <v>7640</v>
      </c>
      <c r="Q4791" s="162" t="s">
        <v>3953</v>
      </c>
      <c r="R4791" s="189" t="s">
        <v>2719</v>
      </c>
      <c r="S4791" s="366"/>
      <c r="T4791" s="178" t="s">
        <v>3068</v>
      </c>
      <c r="U4791" s="178"/>
      <c r="V4791" s="178"/>
      <c r="W4791" s="316" t="s">
        <v>7642</v>
      </c>
      <c r="X4791" s="648" t="s">
        <v>12355</v>
      </c>
      <c r="Y4791" s="356"/>
      <c r="Z4791" s="272"/>
      <c r="AA4791" s="272"/>
      <c r="AB4791" s="34">
        <f t="shared" ca="1" si="118"/>
        <v>0.33884885024067635</v>
      </c>
      <c r="AC4791" s="814"/>
      <c r="AD4791" s="815" t="s">
        <v>15985</v>
      </c>
      <c r="AE4791" s="942"/>
      <c r="AF4791" s="923">
        <f>IF(X4791=X4790,AF4790,0)+IF(ISNUMBER(I4791),IF(I4791&lt;1,I4791,I4791*VLOOKUP(J4791,Summary!$H$2:$I$9,2)),VLOOKUP(J4791,Summary!$J$2:$K$9,2)*IF(ISNUMBER(H4791),H4791,1))</f>
        <v>1.5772453703703708</v>
      </c>
      <c r="AG4791" s="291">
        <v>4790</v>
      </c>
      <c r="AH4791" s="94"/>
      <c r="AI4791" s="94"/>
    </row>
    <row r="4792" spans="1:35" s="1" customFormat="1" ht="12" customHeight="1" x14ac:dyDescent="0.25">
      <c r="A4792" s="764" t="s">
        <v>6981</v>
      </c>
      <c r="B4792" s="764" t="s">
        <v>3227</v>
      </c>
      <c r="C4792" s="764">
        <v>1</v>
      </c>
      <c r="D4792" s="493" t="s">
        <v>13463</v>
      </c>
      <c r="E4792" s="333" t="s">
        <v>13470</v>
      </c>
      <c r="F4792" s="233">
        <v>42586</v>
      </c>
      <c r="G4792" s="233">
        <v>42725</v>
      </c>
      <c r="H4792" s="226">
        <v>4</v>
      </c>
      <c r="I4792" s="226">
        <v>83</v>
      </c>
      <c r="J4792" s="907" t="s">
        <v>1796</v>
      </c>
      <c r="K4792" s="165" t="s">
        <v>7643</v>
      </c>
      <c r="L4792" s="165" t="s">
        <v>13464</v>
      </c>
      <c r="M4792" s="165" t="s">
        <v>13465</v>
      </c>
      <c r="N4792" s="165" t="s">
        <v>10882</v>
      </c>
      <c r="O4792" s="165"/>
      <c r="P4792" s="225" t="s">
        <v>461</v>
      </c>
      <c r="Q4792" s="165" t="s">
        <v>7076</v>
      </c>
      <c r="R4792" s="234" t="s">
        <v>13466</v>
      </c>
      <c r="S4792" s="369"/>
      <c r="T4792" s="225" t="s">
        <v>3068</v>
      </c>
      <c r="U4792" s="225"/>
      <c r="V4792" s="225"/>
      <c r="W4792" s="333" t="s">
        <v>13470</v>
      </c>
      <c r="X4792" s="665" t="s">
        <v>12355</v>
      </c>
      <c r="Y4792" s="372"/>
      <c r="Z4792" s="269"/>
      <c r="AA4792" s="269"/>
      <c r="AB4792" s="38">
        <f t="shared" ca="1" si="118"/>
        <v>0.92972493936634115</v>
      </c>
      <c r="AC4792" s="830"/>
      <c r="AD4792" s="831"/>
      <c r="AE4792" s="953"/>
      <c r="AF4792" s="928">
        <f>IF(X4792=X4791,AF4791,0)+IF(ISNUMBER(I4792),IF(I4792&lt;1,I4792,I4792*VLOOKUP(J4792,Summary!$H$2:$I$9,2)),VLOOKUP(J4792,Summary!$J$2:$K$9,2)*IF(ISNUMBER(H4792),H4792,1))</f>
        <v>1.6060648148148153</v>
      </c>
      <c r="AG4792" s="300">
        <v>4791</v>
      </c>
      <c r="AH4792" s="94"/>
      <c r="AI4792" s="94"/>
    </row>
    <row r="4793" spans="1:35" s="22" customFormat="1" ht="12" customHeight="1" x14ac:dyDescent="0.2">
      <c r="A4793" s="764" t="s">
        <v>6981</v>
      </c>
      <c r="B4793" s="764" t="s">
        <v>3227</v>
      </c>
      <c r="C4793" s="764">
        <v>2</v>
      </c>
      <c r="D4793" s="493" t="s">
        <v>13467</v>
      </c>
      <c r="E4793" s="333" t="s">
        <v>13471</v>
      </c>
      <c r="F4793" s="233">
        <v>42774</v>
      </c>
      <c r="G4793" s="233">
        <v>42865</v>
      </c>
      <c r="H4793" s="226">
        <v>4</v>
      </c>
      <c r="I4793" s="226">
        <v>75</v>
      </c>
      <c r="J4793" s="907" t="s">
        <v>1796</v>
      </c>
      <c r="K4793" s="165" t="s">
        <v>7643</v>
      </c>
      <c r="L4793" s="165" t="s">
        <v>13464</v>
      </c>
      <c r="M4793" s="165" t="s">
        <v>13465</v>
      </c>
      <c r="N4793" s="165" t="s">
        <v>10882</v>
      </c>
      <c r="O4793" s="165"/>
      <c r="P4793" s="225" t="s">
        <v>461</v>
      </c>
      <c r="Q4793" s="165" t="s">
        <v>7076</v>
      </c>
      <c r="R4793" s="234" t="s">
        <v>13466</v>
      </c>
      <c r="S4793" s="369"/>
      <c r="T4793" s="225" t="s">
        <v>3068</v>
      </c>
      <c r="U4793" s="225"/>
      <c r="V4793" s="225"/>
      <c r="W4793" s="333" t="s">
        <v>13471</v>
      </c>
      <c r="X4793" s="665" t="s">
        <v>12355</v>
      </c>
      <c r="Y4793" s="372"/>
      <c r="Z4793" s="269"/>
      <c r="AA4793" s="269"/>
      <c r="AB4793" s="38">
        <f t="shared" ca="1" si="118"/>
        <v>0.84362154315523896</v>
      </c>
      <c r="AC4793" s="830"/>
      <c r="AD4793" s="831"/>
      <c r="AE4793" s="953"/>
      <c r="AF4793" s="928">
        <f>IF(X4793=X4792,AF4792,0)+IF(ISNUMBER(I4793),IF(I4793&lt;1,I4793,I4793*VLOOKUP(J4793,Summary!$H$2:$I$9,2)),VLOOKUP(J4793,Summary!$J$2:$K$9,2)*IF(ISNUMBER(H4793),H4793,1))</f>
        <v>1.6321064814814821</v>
      </c>
      <c r="AG4793" s="300">
        <v>4792</v>
      </c>
      <c r="AH4793" s="94"/>
      <c r="AI4793" s="94"/>
    </row>
    <row r="4794" spans="1:35" s="1" customFormat="1" ht="12" customHeight="1" x14ac:dyDescent="0.25">
      <c r="A4794" s="764" t="s">
        <v>6981</v>
      </c>
      <c r="B4794" s="764" t="s">
        <v>3227</v>
      </c>
      <c r="C4794" s="764">
        <v>3</v>
      </c>
      <c r="D4794" s="493" t="s">
        <v>13468</v>
      </c>
      <c r="E4794" s="333" t="s">
        <v>13469</v>
      </c>
      <c r="F4794" s="766">
        <v>43040</v>
      </c>
      <c r="G4794" s="233">
        <v>43145</v>
      </c>
      <c r="H4794" s="226">
        <v>4</v>
      </c>
      <c r="I4794" s="226"/>
      <c r="J4794" s="907" t="s">
        <v>1796</v>
      </c>
      <c r="K4794" s="165" t="s">
        <v>7643</v>
      </c>
      <c r="L4794" s="165" t="s">
        <v>13464</v>
      </c>
      <c r="M4794" s="165" t="s">
        <v>13465</v>
      </c>
      <c r="N4794" s="165" t="s">
        <v>10882</v>
      </c>
      <c r="O4794" s="165"/>
      <c r="P4794" s="225" t="s">
        <v>461</v>
      </c>
      <c r="Q4794" s="165" t="s">
        <v>7076</v>
      </c>
      <c r="R4794" s="234" t="s">
        <v>13466</v>
      </c>
      <c r="S4794" s="369"/>
      <c r="T4794" s="225" t="s">
        <v>3068</v>
      </c>
      <c r="U4794" s="225"/>
      <c r="V4794" s="225"/>
      <c r="W4794" s="333" t="s">
        <v>13469</v>
      </c>
      <c r="X4794" s="665" t="s">
        <v>12355</v>
      </c>
      <c r="Y4794" s="372"/>
      <c r="Z4794" s="269"/>
      <c r="AA4794" s="269"/>
      <c r="AB4794" s="38">
        <f t="shared" ca="1" si="118"/>
        <v>0.23732979597214143</v>
      </c>
      <c r="AC4794" s="830"/>
      <c r="AD4794" s="831"/>
      <c r="AE4794" s="953"/>
      <c r="AF4794" s="928">
        <f>IF(X4794=X4793,AF4793,0)+IF(ISNUMBER(I4794),IF(I4794&lt;1,I4794,I4794*VLOOKUP(J4794,Summary!$H$2:$I$9,2)),VLOOKUP(J4794,Summary!$J$2:$K$9,2)*IF(ISNUMBER(H4794),H4794,1))</f>
        <v>1.6459953703703709</v>
      </c>
      <c r="AG4794" s="300">
        <v>4793</v>
      </c>
      <c r="AH4794" s="94"/>
      <c r="AI4794" s="94"/>
    </row>
    <row r="4795" spans="1:35" s="22" customFormat="1" ht="12" customHeight="1" x14ac:dyDescent="0.2">
      <c r="A4795" s="614" t="s">
        <v>13229</v>
      </c>
      <c r="B4795" s="614">
        <v>11</v>
      </c>
      <c r="C4795" s="614"/>
      <c r="D4795" s="185" t="s">
        <v>6175</v>
      </c>
      <c r="E4795" s="314" t="s">
        <v>4199</v>
      </c>
      <c r="F4795" s="183">
        <v>40756</v>
      </c>
      <c r="G4795" s="184"/>
      <c r="H4795" s="185">
        <v>1</v>
      </c>
      <c r="I4795" s="185">
        <v>12</v>
      </c>
      <c r="J4795" s="901" t="s">
        <v>1796</v>
      </c>
      <c r="K4795" s="163" t="s">
        <v>2335</v>
      </c>
      <c r="L4795" s="163" t="s">
        <v>5724</v>
      </c>
      <c r="M4795" s="163" t="s">
        <v>5725</v>
      </c>
      <c r="N4795" s="163" t="s">
        <v>6573</v>
      </c>
      <c r="O4795" s="163"/>
      <c r="P4795" s="182" t="s">
        <v>461</v>
      </c>
      <c r="Q4795" s="163" t="s">
        <v>5719</v>
      </c>
      <c r="R4795" s="186" t="s">
        <v>5718</v>
      </c>
      <c r="S4795" s="355" t="s">
        <v>2614</v>
      </c>
      <c r="T4795" s="182" t="s">
        <v>1738</v>
      </c>
      <c r="U4795" s="182"/>
      <c r="V4795" s="182"/>
      <c r="W4795" s="314" t="s">
        <v>4199</v>
      </c>
      <c r="X4795" s="646" t="s">
        <v>13227</v>
      </c>
      <c r="Y4795" s="355" t="s">
        <v>6000</v>
      </c>
      <c r="Z4795" s="185"/>
      <c r="AA4795" s="185"/>
      <c r="AB4795" s="33">
        <f t="shared" ca="1" si="118"/>
        <v>0.59881449981204005</v>
      </c>
      <c r="AC4795" s="813"/>
      <c r="AD4795" s="211" t="s">
        <v>15888</v>
      </c>
      <c r="AE4795" s="941" t="s">
        <v>12543</v>
      </c>
      <c r="AF4795" s="922">
        <f>IF(X4795=X4794,AF4794,0)+IF(ISNUMBER(I4795),IF(I4795&lt;1,I4795,I4795*VLOOKUP(J4795,Summary!$H$2:$I$9,2)),VLOOKUP(J4795,Summary!$J$2:$K$9,2)*IF(ISNUMBER(H4795),H4795,1))</f>
        <v>4.1666666666666666E-3</v>
      </c>
      <c r="AG4795" s="290">
        <v>4794</v>
      </c>
      <c r="AH4795" s="94"/>
      <c r="AI4795" s="94"/>
    </row>
    <row r="4796" spans="1:35" s="10" customFormat="1" ht="12" customHeight="1" x14ac:dyDescent="0.25">
      <c r="A4796" s="613" t="s">
        <v>13229</v>
      </c>
      <c r="B4796" s="613">
        <v>11</v>
      </c>
      <c r="C4796" s="613"/>
      <c r="D4796" s="509" t="s">
        <v>3112</v>
      </c>
      <c r="E4796" s="335" t="s">
        <v>7948</v>
      </c>
      <c r="F4796" s="223">
        <v>40769</v>
      </c>
      <c r="G4796" s="223"/>
      <c r="H4796" s="242">
        <v>1</v>
      </c>
      <c r="I4796" s="792">
        <f>TIME(0,1,56)</f>
        <v>1.3425925925925925E-3</v>
      </c>
      <c r="J4796" s="909" t="s">
        <v>1588</v>
      </c>
      <c r="K4796" s="243"/>
      <c r="L4796" s="243"/>
      <c r="M4796" s="243"/>
      <c r="N4796" s="243" t="s">
        <v>3810</v>
      </c>
      <c r="O4796" s="243" t="s">
        <v>5004</v>
      </c>
      <c r="P4796" s="241" t="s">
        <v>461</v>
      </c>
      <c r="Q4796" s="243" t="s">
        <v>3946</v>
      </c>
      <c r="R4796" s="244" t="s">
        <v>7896</v>
      </c>
      <c r="S4796" s="395"/>
      <c r="T4796" s="241"/>
      <c r="U4796" s="241"/>
      <c r="V4796" s="241"/>
      <c r="W4796" s="335" t="s">
        <v>10124</v>
      </c>
      <c r="X4796" s="667" t="s">
        <v>13227</v>
      </c>
      <c r="Y4796" s="375"/>
      <c r="Z4796" s="377"/>
      <c r="AA4796" s="377"/>
      <c r="AB4796" s="55">
        <f t="shared" ca="1" si="118"/>
        <v>0.5291117747869255</v>
      </c>
      <c r="AC4796" s="834"/>
      <c r="AD4796" s="835"/>
      <c r="AE4796" s="957"/>
      <c r="AF4796" s="930">
        <f>IF(X4796=X4795,AF4795,0)+IF(ISNUMBER(I4796),IF(I4796&lt;1,I4796,I4796*VLOOKUP(J4796,Summary!$H$2:$I$9,2)),VLOOKUP(J4796,Summary!$J$2:$K$9,2)*IF(ISNUMBER(H4796),H4796,1))</f>
        <v>5.5092592592592589E-3</v>
      </c>
      <c r="AG4796" s="302">
        <v>4795</v>
      </c>
      <c r="AH4796" s="94"/>
      <c r="AI4796" s="94"/>
    </row>
    <row r="4797" spans="1:35" s="1" customFormat="1" ht="12" customHeight="1" x14ac:dyDescent="0.25">
      <c r="A4797" s="612" t="s">
        <v>13229</v>
      </c>
      <c r="B4797" s="612">
        <v>11</v>
      </c>
      <c r="C4797" s="612">
        <v>219</v>
      </c>
      <c r="D4797" s="424" t="s">
        <v>1077</v>
      </c>
      <c r="E4797" s="319" t="s">
        <v>1071</v>
      </c>
      <c r="F4797" s="198">
        <v>40782</v>
      </c>
      <c r="G4797" s="198"/>
      <c r="H4797" s="199">
        <v>1</v>
      </c>
      <c r="I4797" s="791">
        <f>TIME(0,48, 3)</f>
        <v>3.3368055555555554E-2</v>
      </c>
      <c r="J4797" s="904" t="s">
        <v>1588</v>
      </c>
      <c r="K4797" s="200" t="s">
        <v>3810</v>
      </c>
      <c r="L4797" s="200" t="s">
        <v>6332</v>
      </c>
      <c r="M4797" s="200"/>
      <c r="N4797" s="200" t="s">
        <v>3810</v>
      </c>
      <c r="O4797" s="200" t="s">
        <v>5004</v>
      </c>
      <c r="P4797" s="197" t="s">
        <v>461</v>
      </c>
      <c r="Q4797" s="200" t="s">
        <v>3946</v>
      </c>
      <c r="R4797" s="201" t="s">
        <v>5280</v>
      </c>
      <c r="S4797" s="390" t="s">
        <v>2614</v>
      </c>
      <c r="T4797" s="197" t="s">
        <v>1738</v>
      </c>
      <c r="U4797" s="197" t="s">
        <v>7344</v>
      </c>
      <c r="V4797" s="197"/>
      <c r="W4797" s="319" t="s">
        <v>1071</v>
      </c>
      <c r="X4797" s="651" t="s">
        <v>13227</v>
      </c>
      <c r="Y4797" s="358" t="s">
        <v>7018</v>
      </c>
      <c r="Z4797" s="253">
        <v>136</v>
      </c>
      <c r="AA4797" s="253">
        <v>6</v>
      </c>
      <c r="AB4797" s="35">
        <f t="shared" ca="1" si="118"/>
        <v>7.4680083008975995E-2</v>
      </c>
      <c r="AC4797" s="820"/>
      <c r="AD4797" s="821" t="s">
        <v>16719</v>
      </c>
      <c r="AE4797" s="967"/>
      <c r="AF4797" s="925">
        <f>IF(X4797=X4796,AF4796,0)+IF(ISNUMBER(I4797),IF(I4797&lt;1,I4797,I4797*VLOOKUP(J4797,Summary!$H$2:$I$9,2)),VLOOKUP(J4797,Summary!$J$2:$K$9,2)*IF(ISNUMBER(H4797),H4797,1))</f>
        <v>3.8877314814814809E-2</v>
      </c>
      <c r="AG4797" s="293">
        <v>4796</v>
      </c>
      <c r="AH4797" s="94"/>
      <c r="AI4797" s="94"/>
    </row>
    <row r="4798" spans="1:35" s="22" customFormat="1" ht="12" customHeight="1" x14ac:dyDescent="0.2">
      <c r="A4798" s="614" t="s">
        <v>13229</v>
      </c>
      <c r="B4798" s="614">
        <v>11</v>
      </c>
      <c r="C4798" s="614">
        <v>191</v>
      </c>
      <c r="D4798" s="185" t="s">
        <v>6596</v>
      </c>
      <c r="E4798" s="314" t="s">
        <v>4200</v>
      </c>
      <c r="F4798" s="184">
        <v>40780</v>
      </c>
      <c r="G4798" s="184">
        <v>40786</v>
      </c>
      <c r="H4798" s="185">
        <v>1</v>
      </c>
      <c r="I4798" s="185">
        <v>4</v>
      </c>
      <c r="J4798" s="901" t="s">
        <v>1796</v>
      </c>
      <c r="K4798" s="163" t="s">
        <v>4032</v>
      </c>
      <c r="L4798" s="163" t="s">
        <v>3832</v>
      </c>
      <c r="M4798" s="163" t="s">
        <v>254</v>
      </c>
      <c r="N4798" s="163" t="s">
        <v>7370</v>
      </c>
      <c r="O4798" s="163"/>
      <c r="P4798" s="182" t="s">
        <v>461</v>
      </c>
      <c r="Q4798" s="163" t="s">
        <v>4929</v>
      </c>
      <c r="R4798" s="186" t="s">
        <v>4796</v>
      </c>
      <c r="S4798" s="355" t="s">
        <v>2614</v>
      </c>
      <c r="T4798" s="182" t="s">
        <v>1738</v>
      </c>
      <c r="U4798" s="182"/>
      <c r="V4798" s="182"/>
      <c r="W4798" s="314" t="s">
        <v>4200</v>
      </c>
      <c r="X4798" s="646" t="s">
        <v>13227</v>
      </c>
      <c r="Y4798" s="355"/>
      <c r="Z4798" s="185"/>
      <c r="AA4798" s="185"/>
      <c r="AB4798" s="33">
        <f t="shared" ca="1" si="118"/>
        <v>0.32189671830395983</v>
      </c>
      <c r="AC4798" s="813"/>
      <c r="AD4798" s="211"/>
      <c r="AE4798" s="941"/>
      <c r="AF4798" s="922">
        <f>IF(X4798=X4797,AF4797,0)+IF(ISNUMBER(I4798),IF(I4798&lt;1,I4798,I4798*VLOOKUP(J4798,Summary!$H$2:$I$9,2)),VLOOKUP(J4798,Summary!$J$2:$K$9,2)*IF(ISNUMBER(H4798),H4798,1))</f>
        <v>4.02662037037037E-2</v>
      </c>
      <c r="AG4798" s="290">
        <v>4797</v>
      </c>
      <c r="AH4798" s="94"/>
      <c r="AI4798" s="94"/>
    </row>
    <row r="4799" spans="1:35" s="1" customFormat="1" ht="12" customHeight="1" x14ac:dyDescent="0.25">
      <c r="A4799" s="614" t="s">
        <v>13229</v>
      </c>
      <c r="B4799" s="614">
        <v>11</v>
      </c>
      <c r="C4799" s="614">
        <v>192</v>
      </c>
      <c r="D4799" s="185" t="s">
        <v>6597</v>
      </c>
      <c r="E4799" s="314" t="s">
        <v>4201</v>
      </c>
      <c r="F4799" s="184">
        <v>40787</v>
      </c>
      <c r="G4799" s="184">
        <v>40793</v>
      </c>
      <c r="H4799" s="185">
        <v>1</v>
      </c>
      <c r="I4799" s="185">
        <v>4</v>
      </c>
      <c r="J4799" s="901" t="s">
        <v>1796</v>
      </c>
      <c r="K4799" s="163" t="s">
        <v>4147</v>
      </c>
      <c r="L4799" s="163" t="s">
        <v>3832</v>
      </c>
      <c r="M4799" s="163" t="s">
        <v>254</v>
      </c>
      <c r="N4799" s="163" t="s">
        <v>7370</v>
      </c>
      <c r="O4799" s="163"/>
      <c r="P4799" s="182" t="s">
        <v>461</v>
      </c>
      <c r="Q4799" s="163" t="s">
        <v>4929</v>
      </c>
      <c r="R4799" s="186" t="s">
        <v>4796</v>
      </c>
      <c r="S4799" s="355" t="s">
        <v>2614</v>
      </c>
      <c r="T4799" s="182" t="s">
        <v>1738</v>
      </c>
      <c r="U4799" s="182"/>
      <c r="V4799" s="182"/>
      <c r="W4799" s="314" t="s">
        <v>4201</v>
      </c>
      <c r="X4799" s="646" t="s">
        <v>13227</v>
      </c>
      <c r="Y4799" s="355"/>
      <c r="Z4799" s="185"/>
      <c r="AA4799" s="185"/>
      <c r="AB4799" s="33">
        <f t="shared" ca="1" si="118"/>
        <v>3.0733477762068584E-2</v>
      </c>
      <c r="AC4799" s="813"/>
      <c r="AD4799" s="211"/>
      <c r="AE4799" s="941"/>
      <c r="AF4799" s="922">
        <f>IF(X4799=X4798,AF4798,0)+IF(ISNUMBER(I4799),IF(I4799&lt;1,I4799,I4799*VLOOKUP(J4799,Summary!$H$2:$I$9,2)),VLOOKUP(J4799,Summary!$J$2:$K$9,2)*IF(ISNUMBER(H4799),H4799,1))</f>
        <v>4.1655092592592591E-2</v>
      </c>
      <c r="AG4799" s="290">
        <v>4798</v>
      </c>
      <c r="AH4799" s="94"/>
      <c r="AI4799" s="94"/>
    </row>
    <row r="4800" spans="1:35" s="1" customFormat="1" ht="12" customHeight="1" x14ac:dyDescent="0.25">
      <c r="A4800" s="614" t="s">
        <v>13229</v>
      </c>
      <c r="B4800" s="614">
        <v>11</v>
      </c>
      <c r="C4800" s="614">
        <v>193</v>
      </c>
      <c r="D4800" s="185" t="s">
        <v>6598</v>
      </c>
      <c r="E4800" s="314" t="s">
        <v>4202</v>
      </c>
      <c r="F4800" s="184">
        <v>40794</v>
      </c>
      <c r="G4800" s="184">
        <v>40800</v>
      </c>
      <c r="H4800" s="185">
        <v>1</v>
      </c>
      <c r="I4800" s="185">
        <v>4</v>
      </c>
      <c r="J4800" s="901" t="s">
        <v>1796</v>
      </c>
      <c r="K4800" s="163" t="s">
        <v>4032</v>
      </c>
      <c r="L4800" s="163" t="s">
        <v>3832</v>
      </c>
      <c r="M4800" s="163" t="s">
        <v>254</v>
      </c>
      <c r="N4800" s="163" t="s">
        <v>7370</v>
      </c>
      <c r="O4800" s="163"/>
      <c r="P4800" s="182" t="s">
        <v>461</v>
      </c>
      <c r="Q4800" s="163" t="s">
        <v>4929</v>
      </c>
      <c r="R4800" s="186" t="s">
        <v>4796</v>
      </c>
      <c r="S4800" s="355" t="s">
        <v>2614</v>
      </c>
      <c r="T4800" s="182" t="s">
        <v>1738</v>
      </c>
      <c r="U4800" s="182"/>
      <c r="V4800" s="182"/>
      <c r="W4800" s="314" t="s">
        <v>4202</v>
      </c>
      <c r="X4800" s="646" t="s">
        <v>13227</v>
      </c>
      <c r="Y4800" s="355"/>
      <c r="Z4800" s="185"/>
      <c r="AA4800" s="185"/>
      <c r="AB4800" s="33">
        <f t="shared" ca="1" si="118"/>
        <v>8.5378331883973479E-2</v>
      </c>
      <c r="AC4800" s="813"/>
      <c r="AD4800" s="211"/>
      <c r="AE4800" s="941"/>
      <c r="AF4800" s="922">
        <f>IF(X4800=X4799,AF4799,0)+IF(ISNUMBER(I4800),IF(I4800&lt;1,I4800,I4800*VLOOKUP(J4800,Summary!$H$2:$I$9,2)),VLOOKUP(J4800,Summary!$J$2:$K$9,2)*IF(ISNUMBER(H4800),H4800,1))</f>
        <v>4.3043981481481482E-2</v>
      </c>
      <c r="AG4800" s="290">
        <v>4799</v>
      </c>
      <c r="AH4800" s="94"/>
      <c r="AI4800" s="94"/>
    </row>
    <row r="4801" spans="1:35" s="1" customFormat="1" ht="12" customHeight="1" x14ac:dyDescent="0.25">
      <c r="A4801" s="614" t="s">
        <v>13229</v>
      </c>
      <c r="B4801" s="614">
        <v>11</v>
      </c>
      <c r="C4801" s="614">
        <v>194</v>
      </c>
      <c r="D4801" s="185" t="s">
        <v>6599</v>
      </c>
      <c r="E4801" s="314" t="s">
        <v>4203</v>
      </c>
      <c r="F4801" s="184">
        <v>40801</v>
      </c>
      <c r="G4801" s="184">
        <v>40807</v>
      </c>
      <c r="H4801" s="185">
        <v>1</v>
      </c>
      <c r="I4801" s="185">
        <v>4</v>
      </c>
      <c r="J4801" s="901" t="s">
        <v>1796</v>
      </c>
      <c r="K4801" s="163" t="s">
        <v>4032</v>
      </c>
      <c r="L4801" s="163" t="s">
        <v>3832</v>
      </c>
      <c r="M4801" s="163" t="s">
        <v>254</v>
      </c>
      <c r="N4801" s="163" t="s">
        <v>7370</v>
      </c>
      <c r="O4801" s="163"/>
      <c r="P4801" s="182" t="s">
        <v>461</v>
      </c>
      <c r="Q4801" s="163" t="s">
        <v>4929</v>
      </c>
      <c r="R4801" s="186" t="s">
        <v>4796</v>
      </c>
      <c r="S4801" s="355" t="s">
        <v>2614</v>
      </c>
      <c r="T4801" s="182" t="s">
        <v>1738</v>
      </c>
      <c r="U4801" s="182"/>
      <c r="V4801" s="182"/>
      <c r="W4801" s="314" t="s">
        <v>4203</v>
      </c>
      <c r="X4801" s="646" t="s">
        <v>13227</v>
      </c>
      <c r="Y4801" s="355"/>
      <c r="Z4801" s="185"/>
      <c r="AA4801" s="185"/>
      <c r="AB4801" s="33">
        <f t="shared" ca="1" si="118"/>
        <v>0.84398868919753312</v>
      </c>
      <c r="AC4801" s="813"/>
      <c r="AD4801" s="211"/>
      <c r="AE4801" s="941"/>
      <c r="AF4801" s="922">
        <f>IF(X4801=X4800,AF4800,0)+IF(ISNUMBER(I4801),IF(I4801&lt;1,I4801,I4801*VLOOKUP(J4801,Summary!$H$2:$I$9,2)),VLOOKUP(J4801,Summary!$J$2:$K$9,2)*IF(ISNUMBER(H4801),H4801,1))</f>
        <v>4.4432870370370373E-2</v>
      </c>
      <c r="AG4801" s="290">
        <v>4800</v>
      </c>
      <c r="AH4801" s="94"/>
      <c r="AI4801" s="94"/>
    </row>
    <row r="4802" spans="1:35" s="1" customFormat="1" ht="12" customHeight="1" x14ac:dyDescent="0.25">
      <c r="A4802" s="614" t="s">
        <v>13229</v>
      </c>
      <c r="B4802" s="614">
        <v>11</v>
      </c>
      <c r="C4802" s="614">
        <v>195</v>
      </c>
      <c r="D4802" s="185" t="s">
        <v>6600</v>
      </c>
      <c r="E4802" s="314" t="s">
        <v>3763</v>
      </c>
      <c r="F4802" s="184">
        <v>40808</v>
      </c>
      <c r="G4802" s="184">
        <v>40814</v>
      </c>
      <c r="H4802" s="185">
        <v>1</v>
      </c>
      <c r="I4802" s="185">
        <v>4</v>
      </c>
      <c r="J4802" s="901" t="s">
        <v>1796</v>
      </c>
      <c r="K4802" s="163" t="s">
        <v>6353</v>
      </c>
      <c r="L4802" s="163" t="s">
        <v>3832</v>
      </c>
      <c r="M4802" s="163" t="s">
        <v>254</v>
      </c>
      <c r="N4802" s="163" t="s">
        <v>7370</v>
      </c>
      <c r="O4802" s="163"/>
      <c r="P4802" s="182" t="s">
        <v>461</v>
      </c>
      <c r="Q4802" s="163" t="s">
        <v>4929</v>
      </c>
      <c r="R4802" s="186" t="s">
        <v>4796</v>
      </c>
      <c r="S4802" s="355" t="s">
        <v>2614</v>
      </c>
      <c r="T4802" s="182" t="s">
        <v>1738</v>
      </c>
      <c r="U4802" s="182"/>
      <c r="V4802" s="182"/>
      <c r="W4802" s="314" t="s">
        <v>3763</v>
      </c>
      <c r="X4802" s="646" t="s">
        <v>13227</v>
      </c>
      <c r="Y4802" s="355"/>
      <c r="Z4802" s="185"/>
      <c r="AA4802" s="185"/>
      <c r="AB4802" s="33">
        <f t="shared" ref="AB4802:AB4865" ca="1" si="119">RAND()</f>
        <v>0.58136124877464601</v>
      </c>
      <c r="AC4802" s="813"/>
      <c r="AD4802" s="211"/>
      <c r="AE4802" s="941"/>
      <c r="AF4802" s="922">
        <f>IF(X4802=X4801,AF4801,0)+IF(ISNUMBER(I4802),IF(I4802&lt;1,I4802,I4802*VLOOKUP(J4802,Summary!$H$2:$I$9,2)),VLOOKUP(J4802,Summary!$J$2:$K$9,2)*IF(ISNUMBER(H4802),H4802,1))</f>
        <v>4.5821759259259263E-2</v>
      </c>
      <c r="AG4802" s="290">
        <v>4801</v>
      </c>
      <c r="AH4802" s="94"/>
      <c r="AI4802" s="94"/>
    </row>
    <row r="4803" spans="1:35" s="1" customFormat="1" ht="12" customHeight="1" x14ac:dyDescent="0.25">
      <c r="A4803" s="614" t="s">
        <v>13229</v>
      </c>
      <c r="B4803" s="614">
        <v>11</v>
      </c>
      <c r="C4803" s="614">
        <v>196</v>
      </c>
      <c r="D4803" s="185" t="s">
        <v>6601</v>
      </c>
      <c r="E4803" s="314" t="s">
        <v>3764</v>
      </c>
      <c r="F4803" s="184">
        <v>40815</v>
      </c>
      <c r="G4803" s="184">
        <v>40821</v>
      </c>
      <c r="H4803" s="185">
        <v>1</v>
      </c>
      <c r="I4803" s="185">
        <v>4</v>
      </c>
      <c r="J4803" s="901" t="s">
        <v>1796</v>
      </c>
      <c r="K4803" s="163" t="s">
        <v>4032</v>
      </c>
      <c r="L4803" s="163" t="s">
        <v>3832</v>
      </c>
      <c r="M4803" s="163" t="s">
        <v>254</v>
      </c>
      <c r="N4803" s="163" t="s">
        <v>7370</v>
      </c>
      <c r="O4803" s="163"/>
      <c r="P4803" s="182" t="s">
        <v>461</v>
      </c>
      <c r="Q4803" s="163" t="s">
        <v>4929</v>
      </c>
      <c r="R4803" s="186" t="s">
        <v>4796</v>
      </c>
      <c r="S4803" s="355" t="s">
        <v>2614</v>
      </c>
      <c r="T4803" s="182" t="s">
        <v>1738</v>
      </c>
      <c r="U4803" s="182"/>
      <c r="V4803" s="182"/>
      <c r="W4803" s="314" t="s">
        <v>3764</v>
      </c>
      <c r="X4803" s="646" t="s">
        <v>13227</v>
      </c>
      <c r="Y4803" s="355"/>
      <c r="Z4803" s="185"/>
      <c r="AA4803" s="185"/>
      <c r="AB4803" s="33">
        <f t="shared" ca="1" si="119"/>
        <v>0.67792839232736379</v>
      </c>
      <c r="AC4803" s="813"/>
      <c r="AD4803" s="211"/>
      <c r="AE4803" s="941"/>
      <c r="AF4803" s="922">
        <f>IF(X4803=X4802,AF4802,0)+IF(ISNUMBER(I4803),IF(I4803&lt;1,I4803,I4803*VLOOKUP(J4803,Summary!$H$2:$I$9,2)),VLOOKUP(J4803,Summary!$J$2:$K$9,2)*IF(ISNUMBER(H4803),H4803,1))</f>
        <v>4.7210648148148154E-2</v>
      </c>
      <c r="AG4803" s="290">
        <v>4802</v>
      </c>
      <c r="AH4803" s="94"/>
      <c r="AI4803" s="94"/>
    </row>
    <row r="4804" spans="1:35" s="1" customFormat="1" ht="12" customHeight="1" x14ac:dyDescent="0.25">
      <c r="A4804" s="614" t="s">
        <v>13229</v>
      </c>
      <c r="B4804" s="614">
        <v>11</v>
      </c>
      <c r="C4804" s="614">
        <v>197</v>
      </c>
      <c r="D4804" s="185" t="s">
        <v>6602</v>
      </c>
      <c r="E4804" s="314" t="s">
        <v>7371</v>
      </c>
      <c r="F4804" s="184">
        <v>40822</v>
      </c>
      <c r="G4804" s="184">
        <v>40835</v>
      </c>
      <c r="H4804" s="185">
        <v>2</v>
      </c>
      <c r="I4804" s="185">
        <v>8</v>
      </c>
      <c r="J4804" s="901" t="s">
        <v>1796</v>
      </c>
      <c r="K4804" s="163" t="s">
        <v>4032</v>
      </c>
      <c r="L4804" s="163" t="s">
        <v>3832</v>
      </c>
      <c r="M4804" s="163" t="s">
        <v>254</v>
      </c>
      <c r="N4804" s="163" t="s">
        <v>7370</v>
      </c>
      <c r="O4804" s="163"/>
      <c r="P4804" s="182" t="s">
        <v>461</v>
      </c>
      <c r="Q4804" s="163" t="s">
        <v>4929</v>
      </c>
      <c r="R4804" s="186" t="s">
        <v>4796</v>
      </c>
      <c r="S4804" s="355" t="s">
        <v>2614</v>
      </c>
      <c r="T4804" s="182" t="s">
        <v>1738</v>
      </c>
      <c r="U4804" s="182"/>
      <c r="V4804" s="182"/>
      <c r="W4804" s="314" t="s">
        <v>8485</v>
      </c>
      <c r="X4804" s="646" t="s">
        <v>13227</v>
      </c>
      <c r="Y4804" s="355"/>
      <c r="Z4804" s="185"/>
      <c r="AA4804" s="185"/>
      <c r="AB4804" s="33">
        <f t="shared" ca="1" si="119"/>
        <v>0.6525366657039946</v>
      </c>
      <c r="AC4804" s="813"/>
      <c r="AD4804" s="211"/>
      <c r="AE4804" s="941"/>
      <c r="AF4804" s="922">
        <f>IF(X4804=X4803,AF4803,0)+IF(ISNUMBER(I4804),IF(I4804&lt;1,I4804,I4804*VLOOKUP(J4804,Summary!$H$2:$I$9,2)),VLOOKUP(J4804,Summary!$J$2:$K$9,2)*IF(ISNUMBER(H4804),H4804,1))</f>
        <v>4.9988425925925929E-2</v>
      </c>
      <c r="AG4804" s="290">
        <v>4803</v>
      </c>
      <c r="AH4804" s="94"/>
      <c r="AI4804" s="94"/>
    </row>
    <row r="4805" spans="1:35" s="22" customFormat="1" ht="12" customHeight="1" x14ac:dyDescent="0.25">
      <c r="A4805" s="613" t="s">
        <v>13229</v>
      </c>
      <c r="B4805" s="613">
        <v>11</v>
      </c>
      <c r="C4805" s="613">
        <v>5</v>
      </c>
      <c r="D4805" s="509" t="s">
        <v>5734</v>
      </c>
      <c r="E4805" s="335" t="s">
        <v>3765</v>
      </c>
      <c r="F4805" s="223">
        <v>40869</v>
      </c>
      <c r="G4805" s="223"/>
      <c r="H4805" s="242">
        <v>1</v>
      </c>
      <c r="I4805" s="792">
        <f>TIME(0, 2,15)</f>
        <v>1.5624999999999999E-3</v>
      </c>
      <c r="J4805" s="909" t="s">
        <v>1588</v>
      </c>
      <c r="K4805" s="243" t="s">
        <v>3810</v>
      </c>
      <c r="L4805" s="243" t="s">
        <v>6332</v>
      </c>
      <c r="M4805" s="243"/>
      <c r="N4805" s="243" t="s">
        <v>3810</v>
      </c>
      <c r="O4805" s="243" t="s">
        <v>5004</v>
      </c>
      <c r="P4805" s="241" t="s">
        <v>461</v>
      </c>
      <c r="Q4805" s="243" t="s">
        <v>3946</v>
      </c>
      <c r="R4805" s="244" t="s">
        <v>237</v>
      </c>
      <c r="S4805" s="395"/>
      <c r="T4805" s="241"/>
      <c r="U4805" s="241" t="s">
        <v>7344</v>
      </c>
      <c r="V4805" s="241"/>
      <c r="W4805" s="335" t="s">
        <v>3765</v>
      </c>
      <c r="X4805" s="667" t="s">
        <v>13227</v>
      </c>
      <c r="Y4805" s="375"/>
      <c r="Z4805" s="377">
        <v>270</v>
      </c>
      <c r="AA4805" s="377">
        <v>2.5</v>
      </c>
      <c r="AB4805" s="55">
        <f t="shared" ca="1" si="119"/>
        <v>5.5772825423985317E-3</v>
      </c>
      <c r="AC4805" s="834"/>
      <c r="AD4805" s="835"/>
      <c r="AE4805" s="957"/>
      <c r="AF4805" s="930">
        <f>IF(X4805=X4804,AF4804,0)+IF(ISNUMBER(I4805),IF(I4805&lt;1,I4805,I4805*VLOOKUP(J4805,Summary!$H$2:$I$9,2)),VLOOKUP(J4805,Summary!$J$2:$K$9,2)*IF(ISNUMBER(H4805),H4805,1))</f>
        <v>5.1550925925925931E-2</v>
      </c>
      <c r="AG4805" s="302">
        <v>4804</v>
      </c>
      <c r="AH4805" s="94"/>
      <c r="AI4805" s="94"/>
    </row>
    <row r="4806" spans="1:35" s="1" customFormat="1" ht="12" customHeight="1" x14ac:dyDescent="0.25">
      <c r="A4806" s="613" t="s">
        <v>13229</v>
      </c>
      <c r="B4806" s="613">
        <v>11</v>
      </c>
      <c r="C4806" s="613">
        <v>6</v>
      </c>
      <c r="D4806" s="509" t="s">
        <v>5735</v>
      </c>
      <c r="E4806" s="335" t="s">
        <v>3766</v>
      </c>
      <c r="F4806" s="223">
        <v>40869</v>
      </c>
      <c r="G4806" s="223"/>
      <c r="H4806" s="242">
        <v>1</v>
      </c>
      <c r="I4806" s="792">
        <f>TIME(0, 3,34)</f>
        <v>2.4768518518518516E-3</v>
      </c>
      <c r="J4806" s="909" t="s">
        <v>1588</v>
      </c>
      <c r="K4806" s="243" t="s">
        <v>3810</v>
      </c>
      <c r="L4806" s="243" t="s">
        <v>6332</v>
      </c>
      <c r="M4806" s="243"/>
      <c r="N4806" s="243" t="s">
        <v>3810</v>
      </c>
      <c r="O4806" s="243" t="s">
        <v>5004</v>
      </c>
      <c r="P4806" s="241" t="s">
        <v>461</v>
      </c>
      <c r="Q4806" s="243" t="s">
        <v>3946</v>
      </c>
      <c r="R4806" s="244" t="s">
        <v>237</v>
      </c>
      <c r="S4806" s="395"/>
      <c r="T4806" s="241"/>
      <c r="U4806" s="241" t="s">
        <v>7344</v>
      </c>
      <c r="V4806" s="241"/>
      <c r="W4806" s="335" t="s">
        <v>3766</v>
      </c>
      <c r="X4806" s="667" t="s">
        <v>13227</v>
      </c>
      <c r="Y4806" s="375"/>
      <c r="Z4806" s="377">
        <v>160</v>
      </c>
      <c r="AA4806" s="377">
        <v>5</v>
      </c>
      <c r="AB4806" s="55">
        <f t="shared" ca="1" si="119"/>
        <v>0.28410035150728141</v>
      </c>
      <c r="AC4806" s="834"/>
      <c r="AD4806" s="835"/>
      <c r="AE4806" s="957"/>
      <c r="AF4806" s="930">
        <f>IF(X4806=X4805,AF4805,0)+IF(ISNUMBER(I4806),IF(I4806&lt;1,I4806,I4806*VLOOKUP(J4806,Summary!$H$2:$I$9,2)),VLOOKUP(J4806,Summary!$J$2:$K$9,2)*IF(ISNUMBER(H4806),H4806,1))</f>
        <v>5.4027777777777786E-2</v>
      </c>
      <c r="AG4806" s="302">
        <v>4805</v>
      </c>
      <c r="AH4806" s="94"/>
      <c r="AI4806" s="94"/>
    </row>
    <row r="4807" spans="1:35" s="1" customFormat="1" ht="12" customHeight="1" x14ac:dyDescent="0.25">
      <c r="A4807" s="614" t="s">
        <v>13229</v>
      </c>
      <c r="B4807" s="614">
        <v>11</v>
      </c>
      <c r="C4807" s="614"/>
      <c r="D4807" s="185" t="s">
        <v>6175</v>
      </c>
      <c r="E4807" s="314" t="s">
        <v>3767</v>
      </c>
      <c r="F4807" s="183">
        <v>40756</v>
      </c>
      <c r="G4807" s="184"/>
      <c r="H4807" s="185"/>
      <c r="I4807" s="185">
        <v>16</v>
      </c>
      <c r="J4807" s="901" t="s">
        <v>1796</v>
      </c>
      <c r="K4807" s="163" t="s">
        <v>6060</v>
      </c>
      <c r="L4807" s="163" t="s">
        <v>6060</v>
      </c>
      <c r="M4807" s="163" t="s">
        <v>5726</v>
      </c>
      <c r="N4807" s="163" t="s">
        <v>6573</v>
      </c>
      <c r="O4807" s="163"/>
      <c r="P4807" s="182" t="s">
        <v>461</v>
      </c>
      <c r="Q4807" s="163" t="s">
        <v>5719</v>
      </c>
      <c r="R4807" s="186" t="s">
        <v>5718</v>
      </c>
      <c r="S4807" s="355" t="s">
        <v>2614</v>
      </c>
      <c r="T4807" s="182" t="s">
        <v>1738</v>
      </c>
      <c r="U4807" s="182"/>
      <c r="V4807" s="182"/>
      <c r="W4807" s="314"/>
      <c r="X4807" s="646" t="s">
        <v>13227</v>
      </c>
      <c r="Y4807" s="355" t="s">
        <v>6000</v>
      </c>
      <c r="Z4807" s="185"/>
      <c r="AA4807" s="185"/>
      <c r="AB4807" s="33">
        <f t="shared" ca="1" si="119"/>
        <v>0.62721592022257711</v>
      </c>
      <c r="AC4807" s="813"/>
      <c r="AD4807" s="211" t="s">
        <v>16771</v>
      </c>
      <c r="AE4807" s="941"/>
      <c r="AF4807" s="922">
        <f>IF(X4807=X4806,AF4806,0)+IF(ISNUMBER(I4807),IF(I4807&lt;1,I4807,I4807*VLOOKUP(J4807,Summary!$H$2:$I$9,2)),VLOOKUP(J4807,Summary!$J$2:$K$9,2)*IF(ISNUMBER(H4807),H4807,1))</f>
        <v>5.9583333333333342E-2</v>
      </c>
      <c r="AG4807" s="290">
        <v>4806</v>
      </c>
      <c r="AH4807" s="94"/>
      <c r="AI4807" s="94"/>
    </row>
    <row r="4808" spans="1:35" s="1" customFormat="1" ht="12" customHeight="1" x14ac:dyDescent="0.25">
      <c r="A4808" s="612" t="s">
        <v>13229</v>
      </c>
      <c r="B4808" s="612">
        <v>11</v>
      </c>
      <c r="C4808" s="612">
        <v>220</v>
      </c>
      <c r="D4808" s="424" t="s">
        <v>6127</v>
      </c>
      <c r="E4808" s="319" t="s">
        <v>1072</v>
      </c>
      <c r="F4808" s="198">
        <v>40789</v>
      </c>
      <c r="G4808" s="198"/>
      <c r="H4808" s="199">
        <v>1</v>
      </c>
      <c r="I4808" s="791">
        <f>TIME(0,42,29)</f>
        <v>2.9502314814814815E-2</v>
      </c>
      <c r="J4808" s="904" t="s">
        <v>1588</v>
      </c>
      <c r="K4808" s="200" t="s">
        <v>4964</v>
      </c>
      <c r="L4808" s="200" t="s">
        <v>7903</v>
      </c>
      <c r="M4808" s="200"/>
      <c r="N4808" s="200" t="s">
        <v>3810</v>
      </c>
      <c r="O4808" s="200" t="s">
        <v>5004</v>
      </c>
      <c r="P4808" s="197" t="s">
        <v>461</v>
      </c>
      <c r="Q4808" s="200" t="s">
        <v>3946</v>
      </c>
      <c r="R4808" s="201" t="s">
        <v>5280</v>
      </c>
      <c r="S4808" s="390" t="s">
        <v>2614</v>
      </c>
      <c r="T4808" s="197" t="s">
        <v>1738</v>
      </c>
      <c r="U4808" s="197"/>
      <c r="V4808" s="197"/>
      <c r="W4808" s="319" t="s">
        <v>1072</v>
      </c>
      <c r="X4808" s="651" t="s">
        <v>13227</v>
      </c>
      <c r="Y4808" s="358" t="s">
        <v>7018</v>
      </c>
      <c r="Z4808" s="253">
        <v>217</v>
      </c>
      <c r="AA4808" s="253">
        <v>4</v>
      </c>
      <c r="AB4808" s="35">
        <f t="shared" ca="1" si="119"/>
        <v>0.37314039851526037</v>
      </c>
      <c r="AC4808" s="820"/>
      <c r="AD4808" s="821" t="s">
        <v>15888</v>
      </c>
      <c r="AE4808" s="967"/>
      <c r="AF4808" s="925">
        <f>IF(X4808=X4807,AF4807,0)+IF(ISNUMBER(I4808),IF(I4808&lt;1,I4808,I4808*VLOOKUP(J4808,Summary!$H$2:$I$9,2)),VLOOKUP(J4808,Summary!$J$2:$K$9,2)*IF(ISNUMBER(H4808),H4808,1))</f>
        <v>8.908564814814815E-2</v>
      </c>
      <c r="AG4808" s="293">
        <v>4807</v>
      </c>
      <c r="AH4808" s="94"/>
      <c r="AI4808" s="94"/>
    </row>
    <row r="4809" spans="1:35" s="1" customFormat="1" ht="12" customHeight="1" x14ac:dyDescent="0.25">
      <c r="A4809" s="614" t="s">
        <v>13229</v>
      </c>
      <c r="B4809" s="614">
        <v>11</v>
      </c>
      <c r="C4809" s="614"/>
      <c r="D4809" s="185" t="s">
        <v>5727</v>
      </c>
      <c r="E4809" s="314" t="s">
        <v>3768</v>
      </c>
      <c r="F4809" s="183">
        <v>40817</v>
      </c>
      <c r="G4809" s="183">
        <v>40848</v>
      </c>
      <c r="H4809" s="185">
        <v>2</v>
      </c>
      <c r="I4809" s="185">
        <v>44</v>
      </c>
      <c r="J4809" s="901" t="s">
        <v>1796</v>
      </c>
      <c r="K4809" s="163" t="s">
        <v>3303</v>
      </c>
      <c r="L4809" s="163" t="s">
        <v>2335</v>
      </c>
      <c r="M4809" s="163" t="s">
        <v>6567</v>
      </c>
      <c r="N4809" s="163" t="s">
        <v>6573</v>
      </c>
      <c r="O4809" s="163"/>
      <c r="P4809" s="182" t="s">
        <v>461</v>
      </c>
      <c r="Q4809" s="163" t="s">
        <v>5719</v>
      </c>
      <c r="R4809" s="186" t="s">
        <v>5718</v>
      </c>
      <c r="S4809" s="355" t="s">
        <v>2614</v>
      </c>
      <c r="T4809" s="182" t="s">
        <v>1738</v>
      </c>
      <c r="U4809" s="182"/>
      <c r="V4809" s="182"/>
      <c r="W4809" s="314"/>
      <c r="X4809" s="646" t="s">
        <v>13227</v>
      </c>
      <c r="Y4809" s="355" t="s">
        <v>6000</v>
      </c>
      <c r="Z4809" s="185"/>
      <c r="AA4809" s="185"/>
      <c r="AB4809" s="33">
        <f t="shared" ca="1" si="119"/>
        <v>0.57671092655214551</v>
      </c>
      <c r="AC4809" s="813"/>
      <c r="AD4809" s="211" t="s">
        <v>16410</v>
      </c>
      <c r="AE4809" s="941" t="s">
        <v>12543</v>
      </c>
      <c r="AF4809" s="922">
        <f>IF(X4809=X4808,AF4808,0)+IF(ISNUMBER(I4809),IF(I4809&lt;1,I4809,I4809*VLOOKUP(J4809,Summary!$H$2:$I$9,2)),VLOOKUP(J4809,Summary!$J$2:$K$9,2)*IF(ISNUMBER(H4809),H4809,1))</f>
        <v>0.10436342592592593</v>
      </c>
      <c r="AG4809" s="290">
        <v>4808</v>
      </c>
      <c r="AH4809" s="94"/>
      <c r="AI4809" s="94"/>
    </row>
    <row r="4810" spans="1:35" s="22" customFormat="1" ht="12" customHeight="1" x14ac:dyDescent="0.2">
      <c r="A4810" s="614" t="s">
        <v>13229</v>
      </c>
      <c r="B4810" s="614">
        <v>11</v>
      </c>
      <c r="C4810" s="614"/>
      <c r="D4810" s="185" t="s">
        <v>5739</v>
      </c>
      <c r="E4810" s="314" t="s">
        <v>3769</v>
      </c>
      <c r="F4810" s="184">
        <v>40746</v>
      </c>
      <c r="G4810" s="184"/>
      <c r="H4810" s="185">
        <v>1</v>
      </c>
      <c r="I4810" s="185"/>
      <c r="J4810" s="901" t="s">
        <v>1796</v>
      </c>
      <c r="K4810" s="163" t="s">
        <v>2335</v>
      </c>
      <c r="L4810" s="163" t="s">
        <v>5740</v>
      </c>
      <c r="M4810" s="163"/>
      <c r="N4810" s="163" t="s">
        <v>6573</v>
      </c>
      <c r="O4810" s="163"/>
      <c r="P4810" s="182" t="s">
        <v>461</v>
      </c>
      <c r="Q4810" s="163" t="s">
        <v>5719</v>
      </c>
      <c r="R4810" s="186" t="s">
        <v>5718</v>
      </c>
      <c r="S4810" s="355" t="s">
        <v>2614</v>
      </c>
      <c r="T4810" s="182" t="s">
        <v>1738</v>
      </c>
      <c r="U4810" s="182"/>
      <c r="V4810" s="182"/>
      <c r="W4810" s="314" t="s">
        <v>3769</v>
      </c>
      <c r="X4810" s="646" t="s">
        <v>13227</v>
      </c>
      <c r="Y4810" s="355"/>
      <c r="Z4810" s="185"/>
      <c r="AA4810" s="185"/>
      <c r="AB4810" s="33">
        <f t="shared" ca="1" si="119"/>
        <v>0.19121813109227914</v>
      </c>
      <c r="AC4810" s="813"/>
      <c r="AD4810" s="211"/>
      <c r="AE4810" s="941"/>
      <c r="AF4810" s="922">
        <f>IF(X4810=X4809,AF4809,0)+IF(ISNUMBER(I4810),IF(I4810&lt;1,I4810,I4810*VLOOKUP(J4810,Summary!$H$2:$I$9,2)),VLOOKUP(J4810,Summary!$J$2:$K$9,2)*IF(ISNUMBER(H4810),H4810,1))</f>
        <v>0.10783564814814815</v>
      </c>
      <c r="AG4810" s="290">
        <v>4809</v>
      </c>
      <c r="AH4810" s="94"/>
      <c r="AI4810" s="94"/>
    </row>
    <row r="4811" spans="1:35" s="1" customFormat="1" ht="12" customHeight="1" x14ac:dyDescent="0.25">
      <c r="A4811" s="617" t="s">
        <v>13229</v>
      </c>
      <c r="B4811" s="617">
        <v>11</v>
      </c>
      <c r="C4811" s="617">
        <v>14</v>
      </c>
      <c r="D4811" s="407" t="s">
        <v>2888</v>
      </c>
      <c r="E4811" s="315" t="s">
        <v>2889</v>
      </c>
      <c r="F4811" s="196">
        <v>40795</v>
      </c>
      <c r="G4811" s="196"/>
      <c r="H4811" s="170">
        <v>1</v>
      </c>
      <c r="I4811" s="746">
        <f>TIME(1,17,0)</f>
        <v>5.347222222222222E-2</v>
      </c>
      <c r="J4811" s="899" t="s">
        <v>4706</v>
      </c>
      <c r="K4811" s="167" t="s">
        <v>1641</v>
      </c>
      <c r="L4811" s="167"/>
      <c r="M4811" s="167" t="s">
        <v>2890</v>
      </c>
      <c r="N4811" s="167"/>
      <c r="O4811" s="167"/>
      <c r="P4811" s="168" t="s">
        <v>791</v>
      </c>
      <c r="Q4811" s="167" t="s">
        <v>7290</v>
      </c>
      <c r="R4811" s="172" t="s">
        <v>2240</v>
      </c>
      <c r="S4811" s="388" t="s">
        <v>2614</v>
      </c>
      <c r="T4811" s="168" t="s">
        <v>1738</v>
      </c>
      <c r="U4811" s="168"/>
      <c r="V4811" s="168"/>
      <c r="W4811" s="315" t="s">
        <v>2889</v>
      </c>
      <c r="X4811" s="647" t="s">
        <v>13227</v>
      </c>
      <c r="Y4811" s="352"/>
      <c r="Z4811" s="353"/>
      <c r="AA4811" s="353"/>
      <c r="AB4811" s="31">
        <f t="shared" ca="1" si="119"/>
        <v>0.46846540226612854</v>
      </c>
      <c r="AC4811" s="810"/>
      <c r="AD4811" s="825" t="s">
        <v>14942</v>
      </c>
      <c r="AE4811" s="940"/>
      <c r="AF4811" s="920">
        <f>IF(X4811=X4810,AF4810,0)+IF(ISNUMBER(I4811),IF(I4811&lt;1,I4811,I4811*VLOOKUP(J4811,Summary!$H$2:$I$9,2)),VLOOKUP(J4811,Summary!$J$2:$K$9,2)*IF(ISNUMBER(H4811),H4811,1))</f>
        <v>0.16130787037037037</v>
      </c>
      <c r="AG4811" s="287">
        <v>4810</v>
      </c>
      <c r="AH4811" s="94"/>
      <c r="AI4811" s="94"/>
    </row>
    <row r="4812" spans="1:35" s="22" customFormat="1" ht="12" customHeight="1" x14ac:dyDescent="0.25">
      <c r="A4812" s="615" t="s">
        <v>13229</v>
      </c>
      <c r="B4812" s="615">
        <v>11</v>
      </c>
      <c r="C4812" s="615">
        <v>6.2</v>
      </c>
      <c r="D4812" s="188" t="s">
        <v>2207</v>
      </c>
      <c r="E4812" s="316" t="s">
        <v>2194</v>
      </c>
      <c r="F4812" s="272">
        <v>2012</v>
      </c>
      <c r="G4812" s="195"/>
      <c r="H4812" s="188" t="str">
        <f>IF(J4812="Book","n/a","")</f>
        <v>n/a</v>
      </c>
      <c r="I4812" s="188">
        <v>199</v>
      </c>
      <c r="J4812" s="902" t="s">
        <v>6868</v>
      </c>
      <c r="K4812" s="162" t="s">
        <v>4552</v>
      </c>
      <c r="L4812" s="162" t="str">
        <f>IF(J4812="Book","n/a","")</f>
        <v>n/a</v>
      </c>
      <c r="M4812" s="162"/>
      <c r="N4812" s="162"/>
      <c r="O4812" s="162"/>
      <c r="P4812" s="178" t="s">
        <v>2191</v>
      </c>
      <c r="Q4812" s="162" t="s">
        <v>3953</v>
      </c>
      <c r="R4812" s="217" t="s">
        <v>5</v>
      </c>
      <c r="S4812" s="366" t="s">
        <v>2614</v>
      </c>
      <c r="T4812" s="178" t="s">
        <v>1738</v>
      </c>
      <c r="U4812" s="178"/>
      <c r="V4812" s="178"/>
      <c r="W4812" s="316" t="s">
        <v>2194</v>
      </c>
      <c r="X4812" s="648" t="s">
        <v>13227</v>
      </c>
      <c r="Y4812" s="356"/>
      <c r="Z4812" s="272"/>
      <c r="AA4812" s="272"/>
      <c r="AB4812" s="34">
        <f t="shared" ca="1" si="119"/>
        <v>0.49511811689008589</v>
      </c>
      <c r="AC4812" s="814"/>
      <c r="AD4812" s="815"/>
      <c r="AE4812" s="942"/>
      <c r="AF4812" s="923">
        <f>IF(X4812=X4811,AF4811,0)+IF(ISNUMBER(I4812),IF(I4812&lt;1,I4812,I4812*VLOOKUP(J4812,Summary!$H$2:$I$9,2)),VLOOKUP(J4812,Summary!$J$2:$K$9,2)*IF(ISNUMBER(H4812),H4812,1))</f>
        <v>0.29950231481481482</v>
      </c>
      <c r="AG4812" s="291">
        <v>4811</v>
      </c>
      <c r="AH4812" s="94"/>
      <c r="AI4812" s="94"/>
    </row>
    <row r="4813" spans="1:35" s="29" customFormat="1" ht="12" customHeight="1" x14ac:dyDescent="0.25">
      <c r="A4813" s="614" t="s">
        <v>13229</v>
      </c>
      <c r="B4813" s="614">
        <v>11</v>
      </c>
      <c r="C4813" s="614">
        <v>198</v>
      </c>
      <c r="D4813" s="185" t="s">
        <v>6603</v>
      </c>
      <c r="E4813" s="314" t="s">
        <v>5623</v>
      </c>
      <c r="F4813" s="184">
        <v>40836</v>
      </c>
      <c r="G4813" s="184"/>
      <c r="H4813" s="185">
        <v>1</v>
      </c>
      <c r="I4813" s="185">
        <v>4</v>
      </c>
      <c r="J4813" s="901" t="s">
        <v>1796</v>
      </c>
      <c r="K4813" s="163" t="s">
        <v>4147</v>
      </c>
      <c r="L4813" s="163" t="s">
        <v>3832</v>
      </c>
      <c r="M4813" s="163" t="s">
        <v>254</v>
      </c>
      <c r="N4813" s="163" t="s">
        <v>7370</v>
      </c>
      <c r="O4813" s="163"/>
      <c r="P4813" s="182" t="s">
        <v>461</v>
      </c>
      <c r="Q4813" s="163" t="s">
        <v>4929</v>
      </c>
      <c r="R4813" s="186" t="s">
        <v>4796</v>
      </c>
      <c r="S4813" s="355" t="s">
        <v>2614</v>
      </c>
      <c r="T4813" s="182" t="s">
        <v>1738</v>
      </c>
      <c r="U4813" s="182"/>
      <c r="V4813" s="182"/>
      <c r="W4813" s="314" t="s">
        <v>5623</v>
      </c>
      <c r="X4813" s="646" t="s">
        <v>13227</v>
      </c>
      <c r="Y4813" s="355"/>
      <c r="Z4813" s="185"/>
      <c r="AA4813" s="185"/>
      <c r="AB4813" s="33">
        <f t="shared" ca="1" si="119"/>
        <v>0.96803333333875652</v>
      </c>
      <c r="AC4813" s="813"/>
      <c r="AD4813" s="211"/>
      <c r="AE4813" s="941"/>
      <c r="AF4813" s="922">
        <f>IF(X4813=X4812,AF4812,0)+IF(ISNUMBER(I4813),IF(I4813&lt;1,I4813,I4813*VLOOKUP(J4813,Summary!$H$2:$I$9,2)),VLOOKUP(J4813,Summary!$J$2:$K$9,2)*IF(ISNUMBER(H4813),H4813,1))</f>
        <v>0.3008912037037037</v>
      </c>
      <c r="AG4813" s="290">
        <v>4812</v>
      </c>
      <c r="AH4813" s="94"/>
      <c r="AI4813" s="94"/>
    </row>
    <row r="4814" spans="1:35" s="22" customFormat="1" ht="12" customHeight="1" x14ac:dyDescent="0.2">
      <c r="A4814" s="614" t="s">
        <v>13229</v>
      </c>
      <c r="B4814" s="614">
        <v>11</v>
      </c>
      <c r="C4814" s="614">
        <v>199</v>
      </c>
      <c r="D4814" s="185" t="s">
        <v>6604</v>
      </c>
      <c r="E4814" s="314" t="s">
        <v>5624</v>
      </c>
      <c r="F4814" s="184">
        <v>40843</v>
      </c>
      <c r="G4814" s="184"/>
      <c r="H4814" s="185">
        <v>1</v>
      </c>
      <c r="I4814" s="185">
        <v>4</v>
      </c>
      <c r="J4814" s="901" t="s">
        <v>1796</v>
      </c>
      <c r="K4814" s="163" t="s">
        <v>4147</v>
      </c>
      <c r="L4814" s="163" t="s">
        <v>3832</v>
      </c>
      <c r="M4814" s="163" t="s">
        <v>254</v>
      </c>
      <c r="N4814" s="163" t="s">
        <v>7370</v>
      </c>
      <c r="O4814" s="163"/>
      <c r="P4814" s="182" t="s">
        <v>461</v>
      </c>
      <c r="Q4814" s="163" t="s">
        <v>4929</v>
      </c>
      <c r="R4814" s="186" t="s">
        <v>4796</v>
      </c>
      <c r="S4814" s="355" t="s">
        <v>2614</v>
      </c>
      <c r="T4814" s="182" t="s">
        <v>1738</v>
      </c>
      <c r="U4814" s="182"/>
      <c r="V4814" s="182"/>
      <c r="W4814" s="314" t="s">
        <v>5624</v>
      </c>
      <c r="X4814" s="646" t="s">
        <v>13227</v>
      </c>
      <c r="Y4814" s="355"/>
      <c r="Z4814" s="185"/>
      <c r="AA4814" s="185"/>
      <c r="AB4814" s="33">
        <f t="shared" ca="1" si="119"/>
        <v>0.66366509053985889</v>
      </c>
      <c r="AC4814" s="813"/>
      <c r="AD4814" s="211"/>
      <c r="AE4814" s="941"/>
      <c r="AF4814" s="922">
        <f>IF(X4814=X4813,AF4813,0)+IF(ISNUMBER(I4814),IF(I4814&lt;1,I4814,I4814*VLOOKUP(J4814,Summary!$H$2:$I$9,2)),VLOOKUP(J4814,Summary!$J$2:$K$9,2)*IF(ISNUMBER(H4814),H4814,1))</f>
        <v>0.30228009259259259</v>
      </c>
      <c r="AG4814" s="290">
        <v>4813</v>
      </c>
      <c r="AH4814" s="94"/>
      <c r="AI4814" s="94"/>
    </row>
    <row r="4815" spans="1:35" s="22" customFormat="1" ht="12" customHeight="1" x14ac:dyDescent="0.2">
      <c r="A4815" s="614" t="s">
        <v>13229</v>
      </c>
      <c r="B4815" s="614">
        <v>11</v>
      </c>
      <c r="C4815" s="614">
        <v>200</v>
      </c>
      <c r="D4815" s="185" t="s">
        <v>6605</v>
      </c>
      <c r="E4815" s="314" t="s">
        <v>5625</v>
      </c>
      <c r="F4815" s="184">
        <v>40850</v>
      </c>
      <c r="G4815" s="184"/>
      <c r="H4815" s="185">
        <v>1</v>
      </c>
      <c r="I4815" s="185">
        <v>4</v>
      </c>
      <c r="J4815" s="901" t="s">
        <v>1796</v>
      </c>
      <c r="K4815" s="163" t="s">
        <v>4147</v>
      </c>
      <c r="L4815" s="163" t="s">
        <v>3832</v>
      </c>
      <c r="M4815" s="163" t="s">
        <v>254</v>
      </c>
      <c r="N4815" s="163" t="s">
        <v>7370</v>
      </c>
      <c r="O4815" s="163"/>
      <c r="P4815" s="182" t="s">
        <v>461</v>
      </c>
      <c r="Q4815" s="163" t="s">
        <v>4929</v>
      </c>
      <c r="R4815" s="186" t="s">
        <v>4796</v>
      </c>
      <c r="S4815" s="355" t="s">
        <v>2614</v>
      </c>
      <c r="T4815" s="182" t="s">
        <v>1738</v>
      </c>
      <c r="U4815" s="182"/>
      <c r="V4815" s="182"/>
      <c r="W4815" s="314" t="s">
        <v>5625</v>
      </c>
      <c r="X4815" s="646" t="s">
        <v>13227</v>
      </c>
      <c r="Y4815" s="355"/>
      <c r="Z4815" s="185"/>
      <c r="AA4815" s="185"/>
      <c r="AB4815" s="33">
        <f t="shared" ca="1" si="119"/>
        <v>0.72033516677013487</v>
      </c>
      <c r="AC4815" s="813"/>
      <c r="AD4815" s="211"/>
      <c r="AE4815" s="941"/>
      <c r="AF4815" s="922">
        <f>IF(X4815=X4814,AF4814,0)+IF(ISNUMBER(I4815),IF(I4815&lt;1,I4815,I4815*VLOOKUP(J4815,Summary!$H$2:$I$9,2)),VLOOKUP(J4815,Summary!$J$2:$K$9,2)*IF(ISNUMBER(H4815),H4815,1))</f>
        <v>0.30366898148148147</v>
      </c>
      <c r="AG4815" s="290">
        <v>4814</v>
      </c>
      <c r="AH4815" s="94"/>
      <c r="AI4815" s="94"/>
    </row>
    <row r="4816" spans="1:35" s="3" customFormat="1" ht="12" customHeight="1" x14ac:dyDescent="0.25">
      <c r="A4816" s="614" t="s">
        <v>13229</v>
      </c>
      <c r="B4816" s="614">
        <v>11</v>
      </c>
      <c r="C4816" s="614">
        <v>201</v>
      </c>
      <c r="D4816" s="185" t="s">
        <v>6606</v>
      </c>
      <c r="E4816" s="314" t="s">
        <v>5626</v>
      </c>
      <c r="F4816" s="184">
        <v>40857</v>
      </c>
      <c r="G4816" s="184"/>
      <c r="H4816" s="185">
        <v>1</v>
      </c>
      <c r="I4816" s="185">
        <v>4</v>
      </c>
      <c r="J4816" s="901" t="s">
        <v>1796</v>
      </c>
      <c r="K4816" s="163" t="s">
        <v>4147</v>
      </c>
      <c r="L4816" s="163" t="s">
        <v>3832</v>
      </c>
      <c r="M4816" s="163" t="s">
        <v>254</v>
      </c>
      <c r="N4816" s="163" t="s">
        <v>7370</v>
      </c>
      <c r="O4816" s="163"/>
      <c r="P4816" s="182" t="s">
        <v>461</v>
      </c>
      <c r="Q4816" s="163" t="s">
        <v>4929</v>
      </c>
      <c r="R4816" s="186" t="s">
        <v>4796</v>
      </c>
      <c r="S4816" s="355" t="s">
        <v>2614</v>
      </c>
      <c r="T4816" s="182" t="s">
        <v>1738</v>
      </c>
      <c r="U4816" s="182"/>
      <c r="V4816" s="182"/>
      <c r="W4816" s="314" t="s">
        <v>5626</v>
      </c>
      <c r="X4816" s="646" t="s">
        <v>13227</v>
      </c>
      <c r="Y4816" s="355"/>
      <c r="Z4816" s="185"/>
      <c r="AA4816" s="185"/>
      <c r="AB4816" s="33">
        <f t="shared" ca="1" si="119"/>
        <v>0.91315225730823146</v>
      </c>
      <c r="AC4816" s="813"/>
      <c r="AD4816" s="211"/>
      <c r="AE4816" s="941"/>
      <c r="AF4816" s="922">
        <f>IF(X4816=X4815,AF4815,0)+IF(ISNUMBER(I4816),IF(I4816&lt;1,I4816,I4816*VLOOKUP(J4816,Summary!$H$2:$I$9,2)),VLOOKUP(J4816,Summary!$J$2:$K$9,2)*IF(ISNUMBER(H4816),H4816,1))</f>
        <v>0.30505787037037035</v>
      </c>
      <c r="AG4816" s="290">
        <v>4815</v>
      </c>
      <c r="AH4816" s="94"/>
      <c r="AI4816" s="94"/>
    </row>
    <row r="4817" spans="1:35" s="22" customFormat="1" ht="12" customHeight="1" x14ac:dyDescent="0.2">
      <c r="A4817" s="614" t="s">
        <v>13229</v>
      </c>
      <c r="B4817" s="614">
        <v>11</v>
      </c>
      <c r="C4817" s="614">
        <v>202</v>
      </c>
      <c r="D4817" s="185" t="s">
        <v>6607</v>
      </c>
      <c r="E4817" s="314" t="s">
        <v>5627</v>
      </c>
      <c r="F4817" s="184">
        <v>40864</v>
      </c>
      <c r="G4817" s="184"/>
      <c r="H4817" s="185">
        <v>1</v>
      </c>
      <c r="I4817" s="185">
        <v>4</v>
      </c>
      <c r="J4817" s="901" t="s">
        <v>1796</v>
      </c>
      <c r="K4817" s="163" t="s">
        <v>4147</v>
      </c>
      <c r="L4817" s="163" t="s">
        <v>3832</v>
      </c>
      <c r="M4817" s="163" t="s">
        <v>254</v>
      </c>
      <c r="N4817" s="163" t="s">
        <v>7370</v>
      </c>
      <c r="O4817" s="163"/>
      <c r="P4817" s="182" t="s">
        <v>461</v>
      </c>
      <c r="Q4817" s="163" t="s">
        <v>4929</v>
      </c>
      <c r="R4817" s="186" t="s">
        <v>4796</v>
      </c>
      <c r="S4817" s="355" t="s">
        <v>2614</v>
      </c>
      <c r="T4817" s="182" t="s">
        <v>1738</v>
      </c>
      <c r="U4817" s="182"/>
      <c r="V4817" s="182"/>
      <c r="W4817" s="314" t="s">
        <v>5627</v>
      </c>
      <c r="X4817" s="646" t="s">
        <v>13227</v>
      </c>
      <c r="Y4817" s="355"/>
      <c r="Z4817" s="185"/>
      <c r="AA4817" s="185"/>
      <c r="AB4817" s="33">
        <f t="shared" ca="1" si="119"/>
        <v>0.28577480240030417</v>
      </c>
      <c r="AC4817" s="813"/>
      <c r="AD4817" s="211"/>
      <c r="AE4817" s="941"/>
      <c r="AF4817" s="922">
        <f>IF(X4817=X4816,AF4816,0)+IF(ISNUMBER(I4817),IF(I4817&lt;1,I4817,I4817*VLOOKUP(J4817,Summary!$H$2:$I$9,2)),VLOOKUP(J4817,Summary!$J$2:$K$9,2)*IF(ISNUMBER(H4817),H4817,1))</f>
        <v>0.30644675925925924</v>
      </c>
      <c r="AG4817" s="290">
        <v>4816</v>
      </c>
      <c r="AH4817" s="94"/>
      <c r="AI4817" s="94"/>
    </row>
    <row r="4818" spans="1:35" s="22" customFormat="1" ht="12" customHeight="1" x14ac:dyDescent="0.2">
      <c r="A4818" s="614" t="s">
        <v>13229</v>
      </c>
      <c r="B4818" s="614">
        <v>11</v>
      </c>
      <c r="C4818" s="614">
        <v>203</v>
      </c>
      <c r="D4818" s="185" t="s">
        <v>6767</v>
      </c>
      <c r="E4818" s="314" t="s">
        <v>5628</v>
      </c>
      <c r="F4818" s="184">
        <v>40871</v>
      </c>
      <c r="G4818" s="184"/>
      <c r="H4818" s="185">
        <v>1</v>
      </c>
      <c r="I4818" s="185">
        <v>4</v>
      </c>
      <c r="J4818" s="901" t="s">
        <v>1796</v>
      </c>
      <c r="K4818" s="163" t="s">
        <v>6353</v>
      </c>
      <c r="L4818" s="163" t="s">
        <v>3832</v>
      </c>
      <c r="M4818" s="163" t="s">
        <v>254</v>
      </c>
      <c r="N4818" s="163" t="s">
        <v>7370</v>
      </c>
      <c r="O4818" s="163"/>
      <c r="P4818" s="182" t="s">
        <v>461</v>
      </c>
      <c r="Q4818" s="163" t="s">
        <v>4929</v>
      </c>
      <c r="R4818" s="186" t="s">
        <v>4796</v>
      </c>
      <c r="S4818" s="355" t="s">
        <v>2614</v>
      </c>
      <c r="T4818" s="182" t="s">
        <v>1738</v>
      </c>
      <c r="U4818" s="182"/>
      <c r="V4818" s="182"/>
      <c r="W4818" s="314" t="s">
        <v>5628</v>
      </c>
      <c r="X4818" s="646" t="s">
        <v>13227</v>
      </c>
      <c r="Y4818" s="355"/>
      <c r="Z4818" s="185"/>
      <c r="AA4818" s="185"/>
      <c r="AB4818" s="33">
        <f t="shared" ca="1" si="119"/>
        <v>0.17819948054830748</v>
      </c>
      <c r="AC4818" s="813"/>
      <c r="AD4818" s="211"/>
      <c r="AE4818" s="941"/>
      <c r="AF4818" s="922">
        <f>IF(X4818=X4817,AF4817,0)+IF(ISNUMBER(I4818),IF(I4818&lt;1,I4818,I4818*VLOOKUP(J4818,Summary!$H$2:$I$9,2)),VLOOKUP(J4818,Summary!$J$2:$K$9,2)*IF(ISNUMBER(H4818),H4818,1))</f>
        <v>0.30783564814814812</v>
      </c>
      <c r="AG4818" s="290">
        <v>4817</v>
      </c>
      <c r="AH4818" s="94"/>
      <c r="AI4818" s="94"/>
    </row>
    <row r="4819" spans="1:35" s="22" customFormat="1" ht="12" customHeight="1" x14ac:dyDescent="0.2">
      <c r="A4819" s="614" t="s">
        <v>13229</v>
      </c>
      <c r="B4819" s="614">
        <v>11</v>
      </c>
      <c r="C4819" s="614">
        <v>204</v>
      </c>
      <c r="D4819" s="185" t="s">
        <v>6768</v>
      </c>
      <c r="E4819" s="314" t="s">
        <v>5629</v>
      </c>
      <c r="F4819" s="184">
        <v>40878</v>
      </c>
      <c r="G4819" s="184"/>
      <c r="H4819" s="185">
        <v>1</v>
      </c>
      <c r="I4819" s="185">
        <v>4</v>
      </c>
      <c r="J4819" s="901" t="s">
        <v>1796</v>
      </c>
      <c r="K4819" s="163" t="s">
        <v>6353</v>
      </c>
      <c r="L4819" s="163" t="s">
        <v>3832</v>
      </c>
      <c r="M4819" s="163" t="s">
        <v>254</v>
      </c>
      <c r="N4819" s="163" t="s">
        <v>7370</v>
      </c>
      <c r="O4819" s="163"/>
      <c r="P4819" s="182" t="s">
        <v>461</v>
      </c>
      <c r="Q4819" s="163" t="s">
        <v>4929</v>
      </c>
      <c r="R4819" s="186" t="s">
        <v>4796</v>
      </c>
      <c r="S4819" s="355" t="s">
        <v>2614</v>
      </c>
      <c r="T4819" s="182" t="s">
        <v>1738</v>
      </c>
      <c r="U4819" s="182"/>
      <c r="V4819" s="182"/>
      <c r="W4819" s="314" t="s">
        <v>5629</v>
      </c>
      <c r="X4819" s="646" t="s">
        <v>13227</v>
      </c>
      <c r="Y4819" s="355"/>
      <c r="Z4819" s="185"/>
      <c r="AA4819" s="185"/>
      <c r="AB4819" s="33">
        <f t="shared" ca="1" si="119"/>
        <v>0.25130444202550595</v>
      </c>
      <c r="AC4819" s="813"/>
      <c r="AD4819" s="211"/>
      <c r="AE4819" s="941"/>
      <c r="AF4819" s="922">
        <f>IF(X4819=X4818,AF4818,0)+IF(ISNUMBER(I4819),IF(I4819&lt;1,I4819,I4819*VLOOKUP(J4819,Summary!$H$2:$I$9,2)),VLOOKUP(J4819,Summary!$J$2:$K$9,2)*IF(ISNUMBER(H4819),H4819,1))</f>
        <v>0.30922453703703701</v>
      </c>
      <c r="AG4819" s="290">
        <v>4818</v>
      </c>
      <c r="AH4819" s="94"/>
      <c r="AI4819" s="94"/>
    </row>
    <row r="4820" spans="1:35" s="3" customFormat="1" ht="12" customHeight="1" x14ac:dyDescent="0.25">
      <c r="A4820" s="614" t="s">
        <v>13229</v>
      </c>
      <c r="B4820" s="614">
        <v>11</v>
      </c>
      <c r="C4820" s="614">
        <v>205</v>
      </c>
      <c r="D4820" s="185" t="s">
        <v>6769</v>
      </c>
      <c r="E4820" s="314" t="s">
        <v>5630</v>
      </c>
      <c r="F4820" s="184">
        <v>40885</v>
      </c>
      <c r="G4820" s="184"/>
      <c r="H4820" s="185">
        <v>1</v>
      </c>
      <c r="I4820" s="185">
        <v>4</v>
      </c>
      <c r="J4820" s="901" t="s">
        <v>1796</v>
      </c>
      <c r="K4820" s="163" t="s">
        <v>4147</v>
      </c>
      <c r="L4820" s="163" t="s">
        <v>3832</v>
      </c>
      <c r="M4820" s="163" t="s">
        <v>254</v>
      </c>
      <c r="N4820" s="163" t="s">
        <v>7370</v>
      </c>
      <c r="O4820" s="163"/>
      <c r="P4820" s="182" t="s">
        <v>461</v>
      </c>
      <c r="Q4820" s="163" t="s">
        <v>4929</v>
      </c>
      <c r="R4820" s="186" t="s">
        <v>4796</v>
      </c>
      <c r="S4820" s="355" t="s">
        <v>2614</v>
      </c>
      <c r="T4820" s="182" t="s">
        <v>1738</v>
      </c>
      <c r="U4820" s="182"/>
      <c r="V4820" s="182"/>
      <c r="W4820" s="314" t="s">
        <v>5630</v>
      </c>
      <c r="X4820" s="646" t="s">
        <v>13227</v>
      </c>
      <c r="Y4820" s="355"/>
      <c r="Z4820" s="185"/>
      <c r="AA4820" s="185"/>
      <c r="AB4820" s="33">
        <f t="shared" ca="1" si="119"/>
        <v>0.48406242486774631</v>
      </c>
      <c r="AC4820" s="813"/>
      <c r="AD4820" s="211"/>
      <c r="AE4820" s="941"/>
      <c r="AF4820" s="922">
        <f>IF(X4820=X4819,AF4819,0)+IF(ISNUMBER(I4820),IF(I4820&lt;1,I4820,I4820*VLOOKUP(J4820,Summary!$H$2:$I$9,2)),VLOOKUP(J4820,Summary!$J$2:$K$9,2)*IF(ISNUMBER(H4820),H4820,1))</f>
        <v>0.31061342592592589</v>
      </c>
      <c r="AG4820" s="290">
        <v>4819</v>
      </c>
      <c r="AH4820" s="94"/>
      <c r="AI4820" s="94"/>
    </row>
    <row r="4821" spans="1:35" s="2" customFormat="1" ht="12" customHeight="1" x14ac:dyDescent="0.25">
      <c r="A4821" s="614" t="s">
        <v>13229</v>
      </c>
      <c r="B4821" s="614">
        <v>11</v>
      </c>
      <c r="C4821" s="614">
        <v>206</v>
      </c>
      <c r="D4821" s="185" t="s">
        <v>6770</v>
      </c>
      <c r="E4821" s="314" t="s">
        <v>5631</v>
      </c>
      <c r="F4821" s="184">
        <v>40892</v>
      </c>
      <c r="G4821" s="184"/>
      <c r="H4821" s="185">
        <v>1</v>
      </c>
      <c r="I4821" s="185">
        <v>4</v>
      </c>
      <c r="J4821" s="901" t="s">
        <v>1796</v>
      </c>
      <c r="K4821" s="163" t="s">
        <v>6353</v>
      </c>
      <c r="L4821" s="163" t="s">
        <v>3832</v>
      </c>
      <c r="M4821" s="163" t="s">
        <v>254</v>
      </c>
      <c r="N4821" s="163" t="s">
        <v>7370</v>
      </c>
      <c r="O4821" s="163"/>
      <c r="P4821" s="182" t="s">
        <v>461</v>
      </c>
      <c r="Q4821" s="163" t="s">
        <v>729</v>
      </c>
      <c r="R4821" s="186" t="s">
        <v>4796</v>
      </c>
      <c r="S4821" s="355" t="s">
        <v>2614</v>
      </c>
      <c r="T4821" s="182" t="s">
        <v>1738</v>
      </c>
      <c r="U4821" s="182"/>
      <c r="V4821" s="182"/>
      <c r="W4821" s="314" t="s">
        <v>5631</v>
      </c>
      <c r="X4821" s="646" t="s">
        <v>13227</v>
      </c>
      <c r="Y4821" s="355"/>
      <c r="Z4821" s="185"/>
      <c r="AA4821" s="185"/>
      <c r="AB4821" s="33">
        <f t="shared" ca="1" si="119"/>
        <v>0.73177436366076287</v>
      </c>
      <c r="AC4821" s="813"/>
      <c r="AD4821" s="211"/>
      <c r="AE4821" s="941"/>
      <c r="AF4821" s="922">
        <f>IF(X4821=X4820,AF4820,0)+IF(ISNUMBER(I4821),IF(I4821&lt;1,I4821,I4821*VLOOKUP(J4821,Summary!$H$2:$I$9,2)),VLOOKUP(J4821,Summary!$J$2:$K$9,2)*IF(ISNUMBER(H4821),H4821,1))</f>
        <v>0.31200231481481477</v>
      </c>
      <c r="AG4821" s="290">
        <v>4820</v>
      </c>
      <c r="AH4821" s="94"/>
      <c r="AI4821" s="94"/>
    </row>
    <row r="4822" spans="1:35" s="22" customFormat="1" ht="12" customHeight="1" x14ac:dyDescent="0.2">
      <c r="A4822" s="614" t="s">
        <v>13229</v>
      </c>
      <c r="B4822" s="614">
        <v>11</v>
      </c>
      <c r="C4822" s="614">
        <v>207</v>
      </c>
      <c r="D4822" s="185" t="s">
        <v>6771</v>
      </c>
      <c r="E4822" s="314" t="s">
        <v>5632</v>
      </c>
      <c r="F4822" s="184">
        <v>40906</v>
      </c>
      <c r="G4822" s="184"/>
      <c r="H4822" s="185">
        <v>1</v>
      </c>
      <c r="I4822" s="185">
        <v>4</v>
      </c>
      <c r="J4822" s="901" t="s">
        <v>1796</v>
      </c>
      <c r="K4822" s="163" t="s">
        <v>4032</v>
      </c>
      <c r="L4822" s="163" t="s">
        <v>3832</v>
      </c>
      <c r="M4822" s="163" t="s">
        <v>254</v>
      </c>
      <c r="N4822" s="163" t="s">
        <v>7370</v>
      </c>
      <c r="O4822" s="163"/>
      <c r="P4822" s="182" t="s">
        <v>461</v>
      </c>
      <c r="Q4822" s="163" t="s">
        <v>729</v>
      </c>
      <c r="R4822" s="186" t="s">
        <v>4796</v>
      </c>
      <c r="S4822" s="355" t="s">
        <v>2614</v>
      </c>
      <c r="T4822" s="182" t="s">
        <v>1738</v>
      </c>
      <c r="U4822" s="182"/>
      <c r="V4822" s="182"/>
      <c r="W4822" s="314" t="s">
        <v>5632</v>
      </c>
      <c r="X4822" s="646" t="s">
        <v>13227</v>
      </c>
      <c r="Y4822" s="355"/>
      <c r="Z4822" s="185"/>
      <c r="AA4822" s="185"/>
      <c r="AB4822" s="33">
        <f t="shared" ca="1" si="119"/>
        <v>0.71780055889263317</v>
      </c>
      <c r="AC4822" s="813"/>
      <c r="AD4822" s="211"/>
      <c r="AE4822" s="941"/>
      <c r="AF4822" s="922">
        <f>IF(X4822=X4821,AF4821,0)+IF(ISNUMBER(I4822),IF(I4822&lt;1,I4822,I4822*VLOOKUP(J4822,Summary!$H$2:$I$9,2)),VLOOKUP(J4822,Summary!$J$2:$K$9,2)*IF(ISNUMBER(H4822),H4822,1))</f>
        <v>0.31339120370370366</v>
      </c>
      <c r="AG4822" s="290">
        <v>4821</v>
      </c>
      <c r="AH4822" s="94"/>
      <c r="AI4822" s="94"/>
    </row>
    <row r="4823" spans="1:35" s="8" customFormat="1" ht="12" customHeight="1" x14ac:dyDescent="0.25">
      <c r="A4823" s="614" t="s">
        <v>13229</v>
      </c>
      <c r="B4823" s="614">
        <v>11</v>
      </c>
      <c r="C4823" s="614">
        <v>208</v>
      </c>
      <c r="D4823" s="185" t="s">
        <v>6772</v>
      </c>
      <c r="E4823" s="314" t="s">
        <v>5633</v>
      </c>
      <c r="F4823" s="184">
        <v>40913</v>
      </c>
      <c r="G4823" s="184">
        <v>40926</v>
      </c>
      <c r="H4823" s="185">
        <v>2</v>
      </c>
      <c r="I4823" s="185">
        <v>8</v>
      </c>
      <c r="J4823" s="901" t="s">
        <v>1796</v>
      </c>
      <c r="K4823" s="163" t="s">
        <v>4147</v>
      </c>
      <c r="L4823" s="163" t="s">
        <v>3832</v>
      </c>
      <c r="M4823" s="163" t="s">
        <v>254</v>
      </c>
      <c r="N4823" s="163" t="s">
        <v>7370</v>
      </c>
      <c r="O4823" s="163"/>
      <c r="P4823" s="182" t="s">
        <v>461</v>
      </c>
      <c r="Q4823" s="163" t="s">
        <v>729</v>
      </c>
      <c r="R4823" s="186" t="s">
        <v>4796</v>
      </c>
      <c r="S4823" s="355" t="s">
        <v>2614</v>
      </c>
      <c r="T4823" s="182" t="s">
        <v>1738</v>
      </c>
      <c r="U4823" s="182"/>
      <c r="V4823" s="182"/>
      <c r="W4823" s="314"/>
      <c r="X4823" s="646" t="s">
        <v>13227</v>
      </c>
      <c r="Y4823" s="355"/>
      <c r="Z4823" s="185"/>
      <c r="AA4823" s="185"/>
      <c r="AB4823" s="33">
        <f t="shared" ca="1" si="119"/>
        <v>0.94471271506374355</v>
      </c>
      <c r="AC4823" s="813"/>
      <c r="AD4823" s="211"/>
      <c r="AE4823" s="941"/>
      <c r="AF4823" s="922">
        <f>IF(X4823=X4822,AF4822,0)+IF(ISNUMBER(I4823),IF(I4823&lt;1,I4823,I4823*VLOOKUP(J4823,Summary!$H$2:$I$9,2)),VLOOKUP(J4823,Summary!$J$2:$K$9,2)*IF(ISNUMBER(H4823),H4823,1))</f>
        <v>0.31616898148148143</v>
      </c>
      <c r="AG4823" s="290">
        <v>4822</v>
      </c>
      <c r="AH4823" s="94"/>
      <c r="AI4823" s="94"/>
    </row>
    <row r="4824" spans="1:35" s="22" customFormat="1" ht="12" customHeight="1" x14ac:dyDescent="0.25">
      <c r="A4824" s="612" t="s">
        <v>13229</v>
      </c>
      <c r="B4824" s="612">
        <v>11</v>
      </c>
      <c r="C4824" s="612">
        <v>221</v>
      </c>
      <c r="D4824" s="424" t="s">
        <v>1081</v>
      </c>
      <c r="E4824" s="319" t="s">
        <v>1073</v>
      </c>
      <c r="F4824" s="198">
        <v>40796</v>
      </c>
      <c r="G4824" s="198"/>
      <c r="H4824" s="199">
        <v>1</v>
      </c>
      <c r="I4824" s="791">
        <f>TIME(0,45,56)</f>
        <v>3.1898148148148148E-2</v>
      </c>
      <c r="J4824" s="904" t="s">
        <v>1588</v>
      </c>
      <c r="K4824" s="200" t="s">
        <v>7774</v>
      </c>
      <c r="L4824" s="200" t="s">
        <v>1078</v>
      </c>
      <c r="M4824" s="200"/>
      <c r="N4824" s="200" t="s">
        <v>3810</v>
      </c>
      <c r="O4824" s="200" t="s">
        <v>5004</v>
      </c>
      <c r="P4824" s="197" t="s">
        <v>461</v>
      </c>
      <c r="Q4824" s="200" t="s">
        <v>3946</v>
      </c>
      <c r="R4824" s="201" t="s">
        <v>5280</v>
      </c>
      <c r="S4824" s="390" t="s">
        <v>2614</v>
      </c>
      <c r="T4824" s="197" t="s">
        <v>1738</v>
      </c>
      <c r="U4824" s="197"/>
      <c r="V4824" s="197"/>
      <c r="W4824" s="319" t="s">
        <v>1073</v>
      </c>
      <c r="X4824" s="651" t="s">
        <v>13227</v>
      </c>
      <c r="Y4824" s="358" t="s">
        <v>7018</v>
      </c>
      <c r="Z4824" s="253">
        <v>57</v>
      </c>
      <c r="AA4824" s="253">
        <v>8</v>
      </c>
      <c r="AB4824" s="35">
        <f t="shared" ca="1" si="119"/>
        <v>0.42507525105621913</v>
      </c>
      <c r="AC4824" s="820"/>
      <c r="AD4824" s="821"/>
      <c r="AE4824" s="967"/>
      <c r="AF4824" s="925">
        <f>IF(X4824=X4823,AF4823,0)+IF(ISNUMBER(I4824),IF(I4824&lt;1,I4824,I4824*VLOOKUP(J4824,Summary!$H$2:$I$9,2)),VLOOKUP(J4824,Summary!$J$2:$K$9,2)*IF(ISNUMBER(H4824),H4824,1))</f>
        <v>0.3480671296296296</v>
      </c>
      <c r="AG4824" s="293">
        <v>4823</v>
      </c>
      <c r="AH4824" s="94"/>
      <c r="AI4824" s="94"/>
    </row>
    <row r="4825" spans="1:35" s="3" customFormat="1" ht="12" customHeight="1" x14ac:dyDescent="0.25">
      <c r="A4825" s="615" t="s">
        <v>13229</v>
      </c>
      <c r="B4825" s="615">
        <v>11</v>
      </c>
      <c r="C4825" s="615">
        <v>49</v>
      </c>
      <c r="D4825" s="417" t="s">
        <v>2897</v>
      </c>
      <c r="E4825" s="316" t="s">
        <v>2904</v>
      </c>
      <c r="F4825" s="195">
        <v>40815</v>
      </c>
      <c r="G4825" s="195"/>
      <c r="H4825" s="188" t="str">
        <f>IF(J4825="Book","n/a","")</f>
        <v>n/a</v>
      </c>
      <c r="I4825" s="188">
        <v>320</v>
      </c>
      <c r="J4825" s="902" t="s">
        <v>6868</v>
      </c>
      <c r="K4825" s="162" t="s">
        <v>4132</v>
      </c>
      <c r="L4825" s="162" t="str">
        <f>IF(J4825="Book","n/a","")</f>
        <v>n/a</v>
      </c>
      <c r="M4825" s="162"/>
      <c r="N4825" s="162"/>
      <c r="O4825" s="162"/>
      <c r="P4825" s="178" t="s">
        <v>792</v>
      </c>
      <c r="Q4825" s="162" t="s">
        <v>3953</v>
      </c>
      <c r="R4825" s="189" t="s">
        <v>2711</v>
      </c>
      <c r="S4825" s="366" t="s">
        <v>2614</v>
      </c>
      <c r="T4825" s="178" t="s">
        <v>1738</v>
      </c>
      <c r="U4825" s="178"/>
      <c r="V4825" s="178"/>
      <c r="W4825" s="316" t="s">
        <v>2904</v>
      </c>
      <c r="X4825" s="648" t="s">
        <v>13227</v>
      </c>
      <c r="Y4825" s="356"/>
      <c r="Z4825" s="272"/>
      <c r="AA4825" s="272"/>
      <c r="AB4825" s="34">
        <f t="shared" ca="1" si="119"/>
        <v>0.42175073348148739</v>
      </c>
      <c r="AC4825" s="814"/>
      <c r="AD4825" s="815" t="s">
        <v>16521</v>
      </c>
      <c r="AE4825" s="942" t="s">
        <v>12543</v>
      </c>
      <c r="AF4825" s="923">
        <f>IF(X4825=X4824,AF4824,0)+IF(ISNUMBER(I4825),IF(I4825&lt;1,I4825,I4825*VLOOKUP(J4825,Summary!$H$2:$I$9,2)),VLOOKUP(J4825,Summary!$J$2:$K$9,2)*IF(ISNUMBER(H4825),H4825,1))</f>
        <v>0.57028935185185181</v>
      </c>
      <c r="AG4825" s="291">
        <v>4824</v>
      </c>
      <c r="AH4825" s="94"/>
      <c r="AI4825" s="94"/>
    </row>
    <row r="4826" spans="1:35" s="22" customFormat="1" ht="12" customHeight="1" x14ac:dyDescent="0.2">
      <c r="A4826" s="614" t="s">
        <v>13229</v>
      </c>
      <c r="B4826" s="614">
        <v>11</v>
      </c>
      <c r="C4826" s="614">
        <v>151</v>
      </c>
      <c r="D4826" s="185" t="s">
        <v>5741</v>
      </c>
      <c r="E4826" s="314" t="s">
        <v>5634</v>
      </c>
      <c r="F4826" s="184">
        <v>40892</v>
      </c>
      <c r="G4826" s="184">
        <v>40976</v>
      </c>
      <c r="H4826" s="185">
        <v>4</v>
      </c>
      <c r="I4826" s="185">
        <v>48</v>
      </c>
      <c r="J4826" s="901" t="s">
        <v>1796</v>
      </c>
      <c r="K4826" s="163" t="s">
        <v>5251</v>
      </c>
      <c r="L4826" s="163" t="s">
        <v>4138</v>
      </c>
      <c r="M4826" s="163" t="s">
        <v>252</v>
      </c>
      <c r="N4826" s="163" t="s">
        <v>5742</v>
      </c>
      <c r="O4826" s="163"/>
      <c r="P4826" s="182" t="s">
        <v>461</v>
      </c>
      <c r="Q4826" s="163" t="s">
        <v>4104</v>
      </c>
      <c r="R4826" s="186" t="s">
        <v>5266</v>
      </c>
      <c r="S4826" s="355" t="s">
        <v>2614</v>
      </c>
      <c r="T4826" s="182" t="s">
        <v>1738</v>
      </c>
      <c r="U4826" s="182"/>
      <c r="V4826" s="182"/>
      <c r="W4826" s="314"/>
      <c r="X4826" s="646" t="s">
        <v>13227</v>
      </c>
      <c r="Y4826" s="355"/>
      <c r="Z4826" s="185"/>
      <c r="AA4826" s="185"/>
      <c r="AB4826" s="33">
        <f t="shared" ca="1" si="119"/>
        <v>0.64129272543394489</v>
      </c>
      <c r="AC4826" s="813"/>
      <c r="AD4826" s="211"/>
      <c r="AE4826" s="941"/>
      <c r="AF4826" s="922">
        <f>IF(X4826=X4825,AF4825,0)+IF(ISNUMBER(I4826),IF(I4826&lt;1,I4826,I4826*VLOOKUP(J4826,Summary!$H$2:$I$9,2)),VLOOKUP(J4826,Summary!$J$2:$K$9,2)*IF(ISNUMBER(H4826),H4826,1))</f>
        <v>0.58695601851851853</v>
      </c>
      <c r="AG4826" s="290">
        <v>4825</v>
      </c>
      <c r="AH4826" s="94"/>
      <c r="AI4826" s="94"/>
    </row>
    <row r="4827" spans="1:35" s="29" customFormat="1" ht="12" customHeight="1" x14ac:dyDescent="0.25">
      <c r="A4827" s="614" t="s">
        <v>13229</v>
      </c>
      <c r="B4827" s="614">
        <v>11</v>
      </c>
      <c r="C4827" s="614">
        <v>152</v>
      </c>
      <c r="D4827" s="185" t="s">
        <v>5733</v>
      </c>
      <c r="E4827" s="314" t="s">
        <v>7846</v>
      </c>
      <c r="F4827" s="184">
        <v>41004</v>
      </c>
      <c r="G4827" s="184">
        <v>41032</v>
      </c>
      <c r="H4827" s="185">
        <v>4</v>
      </c>
      <c r="I4827" s="185">
        <v>48</v>
      </c>
      <c r="J4827" s="901" t="s">
        <v>1796</v>
      </c>
      <c r="K4827" s="163" t="s">
        <v>5251</v>
      </c>
      <c r="L4827" s="163" t="s">
        <v>3835</v>
      </c>
      <c r="M4827" s="163" t="s">
        <v>252</v>
      </c>
      <c r="N4827" s="163" t="s">
        <v>5742</v>
      </c>
      <c r="O4827" s="163"/>
      <c r="P4827" s="182" t="s">
        <v>461</v>
      </c>
      <c r="Q4827" s="163" t="s">
        <v>4104</v>
      </c>
      <c r="R4827" s="186" t="s">
        <v>5266</v>
      </c>
      <c r="S4827" s="355" t="s">
        <v>2614</v>
      </c>
      <c r="T4827" s="182" t="s">
        <v>1738</v>
      </c>
      <c r="U4827" s="182"/>
      <c r="V4827" s="182"/>
      <c r="W4827" s="314"/>
      <c r="X4827" s="646" t="s">
        <v>13227</v>
      </c>
      <c r="Y4827" s="355"/>
      <c r="Z4827" s="185"/>
      <c r="AA4827" s="185"/>
      <c r="AB4827" s="33">
        <f t="shared" ca="1" si="119"/>
        <v>0.79163359934469391</v>
      </c>
      <c r="AC4827" s="813"/>
      <c r="AD4827" s="211"/>
      <c r="AE4827" s="941"/>
      <c r="AF4827" s="922">
        <f>IF(X4827=X4826,AF4826,0)+IF(ISNUMBER(I4827),IF(I4827&lt;1,I4827,I4827*VLOOKUP(J4827,Summary!$H$2:$I$9,2)),VLOOKUP(J4827,Summary!$J$2:$K$9,2)*IF(ISNUMBER(H4827),H4827,1))</f>
        <v>0.60362268518518525</v>
      </c>
      <c r="AG4827" s="290">
        <v>4826</v>
      </c>
      <c r="AH4827" s="94"/>
      <c r="AI4827" s="94"/>
    </row>
    <row r="4828" spans="1:35" s="1" customFormat="1" ht="12" customHeight="1" x14ac:dyDescent="0.25">
      <c r="A4828" s="614" t="s">
        <v>13229</v>
      </c>
      <c r="B4828" s="614">
        <v>11</v>
      </c>
      <c r="C4828" s="614">
        <v>153</v>
      </c>
      <c r="D4828" s="185" t="s">
        <v>4899</v>
      </c>
      <c r="E4828" s="314" t="s">
        <v>4897</v>
      </c>
      <c r="F4828" s="184">
        <v>41060</v>
      </c>
      <c r="G4828" s="184">
        <v>41116</v>
      </c>
      <c r="H4828" s="185">
        <v>3</v>
      </c>
      <c r="I4828" s="185">
        <v>36</v>
      </c>
      <c r="J4828" s="901" t="s">
        <v>1796</v>
      </c>
      <c r="K4828" s="163" t="s">
        <v>5251</v>
      </c>
      <c r="L4828" s="163" t="s">
        <v>6060</v>
      </c>
      <c r="M4828" s="163" t="s">
        <v>252</v>
      </c>
      <c r="N4828" s="163" t="s">
        <v>5742</v>
      </c>
      <c r="O4828" s="163"/>
      <c r="P4828" s="182" t="s">
        <v>461</v>
      </c>
      <c r="Q4828" s="163" t="s">
        <v>4104</v>
      </c>
      <c r="R4828" s="186" t="s">
        <v>5266</v>
      </c>
      <c r="S4828" s="355" t="s">
        <v>2614</v>
      </c>
      <c r="T4828" s="182" t="s">
        <v>1738</v>
      </c>
      <c r="U4828" s="182"/>
      <c r="V4828" s="182"/>
      <c r="W4828" s="314"/>
      <c r="X4828" s="646" t="s">
        <v>13227</v>
      </c>
      <c r="Y4828" s="355"/>
      <c r="Z4828" s="185"/>
      <c r="AA4828" s="185"/>
      <c r="AB4828" s="33">
        <f t="shared" ca="1" si="119"/>
        <v>0.20366602052839911</v>
      </c>
      <c r="AC4828" s="813"/>
      <c r="AD4828" s="211"/>
      <c r="AE4828" s="941"/>
      <c r="AF4828" s="922">
        <f>IF(X4828=X4827,AF4827,0)+IF(ISNUMBER(I4828),IF(I4828&lt;1,I4828,I4828*VLOOKUP(J4828,Summary!$H$2:$I$9,2)),VLOOKUP(J4828,Summary!$J$2:$K$9,2)*IF(ISNUMBER(H4828),H4828,1))</f>
        <v>0.6161226851851852</v>
      </c>
      <c r="AG4828" s="290">
        <v>4827</v>
      </c>
      <c r="AH4828" s="94"/>
      <c r="AI4828" s="94"/>
    </row>
    <row r="4829" spans="1:35" s="3" customFormat="1" ht="12" customHeight="1" x14ac:dyDescent="0.25">
      <c r="A4829" s="614" t="s">
        <v>13229</v>
      </c>
      <c r="B4829" s="614">
        <v>11</v>
      </c>
      <c r="C4829" s="614">
        <v>154</v>
      </c>
      <c r="D4829" s="185" t="s">
        <v>4900</v>
      </c>
      <c r="E4829" s="314" t="s">
        <v>4898</v>
      </c>
      <c r="F4829" s="184">
        <v>41144</v>
      </c>
      <c r="G4829" s="184">
        <v>41228</v>
      </c>
      <c r="H4829" s="185">
        <v>4</v>
      </c>
      <c r="I4829" s="185">
        <v>48</v>
      </c>
      <c r="J4829" s="901" t="s">
        <v>1796</v>
      </c>
      <c r="K4829" s="163" t="s">
        <v>5251</v>
      </c>
      <c r="L4829" s="163" t="s">
        <v>3835</v>
      </c>
      <c r="M4829" s="163" t="s">
        <v>252</v>
      </c>
      <c r="N4829" s="163" t="s">
        <v>5742</v>
      </c>
      <c r="O4829" s="163"/>
      <c r="P4829" s="182" t="s">
        <v>461</v>
      </c>
      <c r="Q4829" s="163" t="s">
        <v>4104</v>
      </c>
      <c r="R4829" s="186" t="s">
        <v>5266</v>
      </c>
      <c r="S4829" s="355" t="s">
        <v>2614</v>
      </c>
      <c r="T4829" s="182" t="s">
        <v>1738</v>
      </c>
      <c r="U4829" s="182"/>
      <c r="V4829" s="182"/>
      <c r="W4829" s="314"/>
      <c r="X4829" s="646" t="s">
        <v>13227</v>
      </c>
      <c r="Y4829" s="355"/>
      <c r="Z4829" s="185"/>
      <c r="AA4829" s="185"/>
      <c r="AB4829" s="33">
        <f t="shared" ca="1" si="119"/>
        <v>4.7736507302201026E-2</v>
      </c>
      <c r="AC4829" s="813"/>
      <c r="AD4829" s="211"/>
      <c r="AE4829" s="941"/>
      <c r="AF4829" s="922">
        <f>IF(X4829=X4828,AF4828,0)+IF(ISNUMBER(I4829),IF(I4829&lt;1,I4829,I4829*VLOOKUP(J4829,Summary!$H$2:$I$9,2)),VLOOKUP(J4829,Summary!$J$2:$K$9,2)*IF(ISNUMBER(H4829),H4829,1))</f>
        <v>0.63278935185185192</v>
      </c>
      <c r="AG4829" s="290">
        <v>4828</v>
      </c>
      <c r="AH4829" s="94"/>
      <c r="AI4829" s="94"/>
    </row>
    <row r="4830" spans="1:35" s="3" customFormat="1" ht="12" customHeight="1" x14ac:dyDescent="0.25">
      <c r="A4830" s="614" t="s">
        <v>13229</v>
      </c>
      <c r="B4830" s="614">
        <v>11</v>
      </c>
      <c r="C4830" s="614"/>
      <c r="D4830" s="185"/>
      <c r="E4830" s="314" t="s">
        <v>15525</v>
      </c>
      <c r="F4830" s="184">
        <v>40791</v>
      </c>
      <c r="G4830" s="183"/>
      <c r="H4830" s="185">
        <v>1</v>
      </c>
      <c r="I4830" s="185">
        <v>5</v>
      </c>
      <c r="J4830" s="901" t="s">
        <v>1796</v>
      </c>
      <c r="K4830" s="163" t="s">
        <v>2335</v>
      </c>
      <c r="L4830" s="163" t="s">
        <v>2335</v>
      </c>
      <c r="M4830" s="163" t="s">
        <v>5725</v>
      </c>
      <c r="N4830" s="163"/>
      <c r="O4830" s="163"/>
      <c r="P4830" s="182" t="s">
        <v>461</v>
      </c>
      <c r="Q4830" s="163" t="s">
        <v>15524</v>
      </c>
      <c r="R4830" s="186" t="s">
        <v>15523</v>
      </c>
      <c r="S4830" s="355" t="s">
        <v>2614</v>
      </c>
      <c r="T4830" s="182" t="s">
        <v>1738</v>
      </c>
      <c r="U4830" s="182"/>
      <c r="V4830" s="182"/>
      <c r="W4830" s="314" t="s">
        <v>15525</v>
      </c>
      <c r="X4830" s="646" t="s">
        <v>13227</v>
      </c>
      <c r="Y4830" s="355"/>
      <c r="Z4830" s="185"/>
      <c r="AA4830" s="185"/>
      <c r="AB4830" s="33">
        <f t="shared" ca="1" si="119"/>
        <v>0.53858952725041787</v>
      </c>
      <c r="AC4830" s="813"/>
      <c r="AD4830" s="211"/>
      <c r="AE4830" s="941"/>
      <c r="AF4830" s="922">
        <f>IF(X4830=X4829,AF4829,0)+IF(ISNUMBER(I4830),IF(I4830&lt;1,I4830,I4830*VLOOKUP(J4830,Summary!$H$2:$I$9,2)),VLOOKUP(J4830,Summary!$J$2:$K$9,2)*IF(ISNUMBER(H4830),H4830,1))</f>
        <v>0.63452546296296308</v>
      </c>
      <c r="AG4830" s="290">
        <v>4829</v>
      </c>
      <c r="AH4830" s="94"/>
      <c r="AI4830" s="94"/>
    </row>
    <row r="4831" spans="1:35" s="22" customFormat="1" ht="12" customHeight="1" x14ac:dyDescent="0.2">
      <c r="A4831" s="614" t="s">
        <v>13229</v>
      </c>
      <c r="B4831" s="614">
        <v>11</v>
      </c>
      <c r="C4831" s="614">
        <v>209</v>
      </c>
      <c r="D4831" s="185" t="s">
        <v>6773</v>
      </c>
      <c r="E4831" s="314" t="s">
        <v>1900</v>
      </c>
      <c r="F4831" s="184">
        <v>40927</v>
      </c>
      <c r="G4831" s="184"/>
      <c r="H4831" s="185">
        <v>1</v>
      </c>
      <c r="I4831" s="185">
        <v>4</v>
      </c>
      <c r="J4831" s="901" t="s">
        <v>1796</v>
      </c>
      <c r="K4831" s="163" t="s">
        <v>176</v>
      </c>
      <c r="L4831" s="163" t="s">
        <v>3832</v>
      </c>
      <c r="M4831" s="163" t="s">
        <v>254</v>
      </c>
      <c r="N4831" s="163" t="s">
        <v>7370</v>
      </c>
      <c r="O4831" s="163"/>
      <c r="P4831" s="182" t="s">
        <v>461</v>
      </c>
      <c r="Q4831" s="163" t="s">
        <v>729</v>
      </c>
      <c r="R4831" s="186" t="s">
        <v>4796</v>
      </c>
      <c r="S4831" s="355" t="s">
        <v>2614</v>
      </c>
      <c r="T4831" s="182" t="s">
        <v>1738</v>
      </c>
      <c r="U4831" s="182"/>
      <c r="V4831" s="182"/>
      <c r="W4831" s="314" t="s">
        <v>1900</v>
      </c>
      <c r="X4831" s="646" t="s">
        <v>13227</v>
      </c>
      <c r="Y4831" s="355"/>
      <c r="Z4831" s="185"/>
      <c r="AA4831" s="185"/>
      <c r="AB4831" s="33">
        <f t="shared" ca="1" si="119"/>
        <v>3.2003674671633897E-2</v>
      </c>
      <c r="AC4831" s="813"/>
      <c r="AD4831" s="211"/>
      <c r="AE4831" s="941"/>
      <c r="AF4831" s="922">
        <f>IF(X4831=X4830,AF4830,0)+IF(ISNUMBER(I4831),IF(I4831&lt;1,I4831,I4831*VLOOKUP(J4831,Summary!$H$2:$I$9,2)),VLOOKUP(J4831,Summary!$J$2:$K$9,2)*IF(ISNUMBER(H4831),H4831,1))</f>
        <v>0.63591435185185197</v>
      </c>
      <c r="AG4831" s="290">
        <v>4830</v>
      </c>
      <c r="AH4831" s="94"/>
      <c r="AI4831" s="94"/>
    </row>
    <row r="4832" spans="1:35" s="1" customFormat="1" ht="12" customHeight="1" x14ac:dyDescent="0.25">
      <c r="A4832" s="614" t="s">
        <v>13229</v>
      </c>
      <c r="B4832" s="614">
        <v>11</v>
      </c>
      <c r="C4832" s="614">
        <v>210</v>
      </c>
      <c r="D4832" s="185" t="s">
        <v>6774</v>
      </c>
      <c r="E4832" s="314" t="s">
        <v>1901</v>
      </c>
      <c r="F4832" s="184">
        <v>40934</v>
      </c>
      <c r="G4832" s="184"/>
      <c r="H4832" s="185">
        <v>1</v>
      </c>
      <c r="I4832" s="185">
        <v>4</v>
      </c>
      <c r="J4832" s="901" t="s">
        <v>1796</v>
      </c>
      <c r="K4832" s="163" t="s">
        <v>4032</v>
      </c>
      <c r="L4832" s="163" t="s">
        <v>3832</v>
      </c>
      <c r="M4832" s="163" t="s">
        <v>254</v>
      </c>
      <c r="N4832" s="163" t="s">
        <v>7370</v>
      </c>
      <c r="O4832" s="163"/>
      <c r="P4832" s="182" t="s">
        <v>461</v>
      </c>
      <c r="Q4832" s="163" t="s">
        <v>729</v>
      </c>
      <c r="R4832" s="186" t="s">
        <v>4796</v>
      </c>
      <c r="S4832" s="355" t="s">
        <v>2614</v>
      </c>
      <c r="T4832" s="182" t="s">
        <v>1738</v>
      </c>
      <c r="U4832" s="182"/>
      <c r="V4832" s="182"/>
      <c r="W4832" s="314" t="s">
        <v>1901</v>
      </c>
      <c r="X4832" s="646" t="s">
        <v>13227</v>
      </c>
      <c r="Y4832" s="355"/>
      <c r="Z4832" s="185"/>
      <c r="AA4832" s="185"/>
      <c r="AB4832" s="33">
        <f t="shared" ca="1" si="119"/>
        <v>0.18119372503437514</v>
      </c>
      <c r="AC4832" s="813"/>
      <c r="AD4832" s="211"/>
      <c r="AE4832" s="941"/>
      <c r="AF4832" s="922">
        <f>IF(X4832=X4831,AF4831,0)+IF(ISNUMBER(I4832),IF(I4832&lt;1,I4832,I4832*VLOOKUP(J4832,Summary!$H$2:$I$9,2)),VLOOKUP(J4832,Summary!$J$2:$K$9,2)*IF(ISNUMBER(H4832),H4832,1))</f>
        <v>0.63730324074074085</v>
      </c>
      <c r="AG4832" s="290">
        <v>4831</v>
      </c>
      <c r="AH4832" s="94"/>
      <c r="AI4832" s="94"/>
    </row>
    <row r="4833" spans="1:35" s="22" customFormat="1" ht="12" customHeight="1" x14ac:dyDescent="0.2">
      <c r="A4833" s="614" t="s">
        <v>13229</v>
      </c>
      <c r="B4833" s="614">
        <v>11</v>
      </c>
      <c r="C4833" s="614">
        <v>211</v>
      </c>
      <c r="D4833" s="185" t="s">
        <v>6775</v>
      </c>
      <c r="E4833" s="314" t="s">
        <v>1902</v>
      </c>
      <c r="F4833" s="184">
        <v>40941</v>
      </c>
      <c r="G4833" s="184"/>
      <c r="H4833" s="185">
        <v>1</v>
      </c>
      <c r="I4833" s="185">
        <v>4</v>
      </c>
      <c r="J4833" s="901" t="s">
        <v>1796</v>
      </c>
      <c r="K4833" s="163" t="s">
        <v>6353</v>
      </c>
      <c r="L4833" s="163" t="s">
        <v>3832</v>
      </c>
      <c r="M4833" s="163" t="s">
        <v>254</v>
      </c>
      <c r="N4833" s="163" t="s">
        <v>7370</v>
      </c>
      <c r="O4833" s="163"/>
      <c r="P4833" s="182" t="s">
        <v>461</v>
      </c>
      <c r="Q4833" s="163" t="s">
        <v>729</v>
      </c>
      <c r="R4833" s="186" t="s">
        <v>4796</v>
      </c>
      <c r="S4833" s="355" t="s">
        <v>2614</v>
      </c>
      <c r="T4833" s="182" t="s">
        <v>1738</v>
      </c>
      <c r="U4833" s="182"/>
      <c r="V4833" s="182"/>
      <c r="W4833" s="314" t="s">
        <v>1902</v>
      </c>
      <c r="X4833" s="646" t="s">
        <v>13227</v>
      </c>
      <c r="Y4833" s="355"/>
      <c r="Z4833" s="185"/>
      <c r="AA4833" s="185"/>
      <c r="AB4833" s="33">
        <f t="shared" ca="1" si="119"/>
        <v>0.203027625676514</v>
      </c>
      <c r="AC4833" s="813"/>
      <c r="AD4833" s="211"/>
      <c r="AE4833" s="941"/>
      <c r="AF4833" s="922">
        <f>IF(X4833=X4832,AF4832,0)+IF(ISNUMBER(I4833),IF(I4833&lt;1,I4833,I4833*VLOOKUP(J4833,Summary!$H$2:$I$9,2)),VLOOKUP(J4833,Summary!$J$2:$K$9,2)*IF(ISNUMBER(H4833),H4833,1))</f>
        <v>0.63869212962962973</v>
      </c>
      <c r="AG4833" s="290">
        <v>4832</v>
      </c>
      <c r="AH4833" s="94"/>
      <c r="AI4833" s="94"/>
    </row>
    <row r="4834" spans="1:35" s="22" customFormat="1" ht="12" customHeight="1" x14ac:dyDescent="0.2">
      <c r="A4834" s="614" t="s">
        <v>13229</v>
      </c>
      <c r="B4834" s="614">
        <v>11</v>
      </c>
      <c r="C4834" s="614">
        <v>212</v>
      </c>
      <c r="D4834" s="185" t="s">
        <v>6776</v>
      </c>
      <c r="E4834" s="314" t="s">
        <v>1903</v>
      </c>
      <c r="F4834" s="184">
        <v>40948</v>
      </c>
      <c r="G4834" s="184"/>
      <c r="H4834" s="185">
        <v>1</v>
      </c>
      <c r="I4834" s="185">
        <v>4</v>
      </c>
      <c r="J4834" s="901" t="s">
        <v>1796</v>
      </c>
      <c r="K4834" s="163" t="s">
        <v>176</v>
      </c>
      <c r="L4834" s="163" t="s">
        <v>3832</v>
      </c>
      <c r="M4834" s="163" t="s">
        <v>254</v>
      </c>
      <c r="N4834" s="163" t="s">
        <v>7370</v>
      </c>
      <c r="O4834" s="163"/>
      <c r="P4834" s="182" t="s">
        <v>461</v>
      </c>
      <c r="Q4834" s="163" t="s">
        <v>729</v>
      </c>
      <c r="R4834" s="186" t="s">
        <v>4796</v>
      </c>
      <c r="S4834" s="355" t="s">
        <v>2614</v>
      </c>
      <c r="T4834" s="182" t="s">
        <v>1738</v>
      </c>
      <c r="U4834" s="182"/>
      <c r="V4834" s="182"/>
      <c r="W4834" s="314" t="s">
        <v>1903</v>
      </c>
      <c r="X4834" s="646" t="s">
        <v>13227</v>
      </c>
      <c r="Y4834" s="355"/>
      <c r="Z4834" s="185"/>
      <c r="AA4834" s="185"/>
      <c r="AB4834" s="33">
        <f t="shared" ca="1" si="119"/>
        <v>3.7862453728937151E-2</v>
      </c>
      <c r="AC4834" s="813"/>
      <c r="AD4834" s="211"/>
      <c r="AE4834" s="941"/>
      <c r="AF4834" s="922">
        <f>IF(X4834=X4833,AF4833,0)+IF(ISNUMBER(I4834),IF(I4834&lt;1,I4834,I4834*VLOOKUP(J4834,Summary!$H$2:$I$9,2)),VLOOKUP(J4834,Summary!$J$2:$K$9,2)*IF(ISNUMBER(H4834),H4834,1))</f>
        <v>0.64008101851851862</v>
      </c>
      <c r="AG4834" s="290">
        <v>4833</v>
      </c>
      <c r="AH4834" s="94"/>
      <c r="AI4834" s="94"/>
    </row>
    <row r="4835" spans="1:35" s="22" customFormat="1" ht="12" customHeight="1" x14ac:dyDescent="0.2">
      <c r="A4835" s="614" t="s">
        <v>13229</v>
      </c>
      <c r="B4835" s="614">
        <v>11</v>
      </c>
      <c r="C4835" s="614">
        <v>213</v>
      </c>
      <c r="D4835" s="185" t="s">
        <v>6777</v>
      </c>
      <c r="E4835" s="314" t="s">
        <v>1904</v>
      </c>
      <c r="F4835" s="184">
        <v>40955</v>
      </c>
      <c r="G4835" s="184"/>
      <c r="H4835" s="185">
        <v>1</v>
      </c>
      <c r="I4835" s="185">
        <v>4</v>
      </c>
      <c r="J4835" s="901" t="s">
        <v>1796</v>
      </c>
      <c r="K4835" s="163" t="s">
        <v>4032</v>
      </c>
      <c r="L4835" s="163" t="s">
        <v>3832</v>
      </c>
      <c r="M4835" s="163" t="s">
        <v>254</v>
      </c>
      <c r="N4835" s="163" t="s">
        <v>7370</v>
      </c>
      <c r="O4835" s="163"/>
      <c r="P4835" s="182" t="s">
        <v>461</v>
      </c>
      <c r="Q4835" s="163" t="s">
        <v>729</v>
      </c>
      <c r="R4835" s="186" t="s">
        <v>4796</v>
      </c>
      <c r="S4835" s="355" t="s">
        <v>2614</v>
      </c>
      <c r="T4835" s="182" t="s">
        <v>1738</v>
      </c>
      <c r="U4835" s="182"/>
      <c r="V4835" s="182"/>
      <c r="W4835" s="314" t="s">
        <v>1904</v>
      </c>
      <c r="X4835" s="646" t="s">
        <v>13227</v>
      </c>
      <c r="Y4835" s="355"/>
      <c r="Z4835" s="185"/>
      <c r="AA4835" s="185"/>
      <c r="AB4835" s="33">
        <f t="shared" ca="1" si="119"/>
        <v>0.66230274580114989</v>
      </c>
      <c r="AC4835" s="813"/>
      <c r="AD4835" s="211"/>
      <c r="AE4835" s="941"/>
      <c r="AF4835" s="922">
        <f>IF(X4835=X4834,AF4834,0)+IF(ISNUMBER(I4835),IF(I4835&lt;1,I4835,I4835*VLOOKUP(J4835,Summary!$H$2:$I$9,2)),VLOOKUP(J4835,Summary!$J$2:$K$9,2)*IF(ISNUMBER(H4835),H4835,1))</f>
        <v>0.6414699074074075</v>
      </c>
      <c r="AG4835" s="290">
        <v>4834</v>
      </c>
      <c r="AH4835" s="94"/>
      <c r="AI4835" s="94"/>
    </row>
    <row r="4836" spans="1:35" s="57" customFormat="1" ht="12" customHeight="1" x14ac:dyDescent="0.25">
      <c r="A4836" s="614" t="s">
        <v>13229</v>
      </c>
      <c r="B4836" s="614">
        <v>11</v>
      </c>
      <c r="C4836" s="614">
        <v>214</v>
      </c>
      <c r="D4836" s="185" t="s">
        <v>6778</v>
      </c>
      <c r="E4836" s="314" t="s">
        <v>1905</v>
      </c>
      <c r="F4836" s="184">
        <v>40962</v>
      </c>
      <c r="G4836" s="184"/>
      <c r="H4836" s="185">
        <v>1</v>
      </c>
      <c r="I4836" s="185">
        <v>4</v>
      </c>
      <c r="J4836" s="901" t="s">
        <v>1796</v>
      </c>
      <c r="K4836" s="163" t="s">
        <v>4672</v>
      </c>
      <c r="L4836" s="163" t="s">
        <v>3832</v>
      </c>
      <c r="M4836" s="163" t="s">
        <v>254</v>
      </c>
      <c r="N4836" s="163" t="s">
        <v>7370</v>
      </c>
      <c r="O4836" s="163"/>
      <c r="P4836" s="182" t="s">
        <v>461</v>
      </c>
      <c r="Q4836" s="163" t="s">
        <v>729</v>
      </c>
      <c r="R4836" s="186" t="s">
        <v>4796</v>
      </c>
      <c r="S4836" s="355" t="s">
        <v>2614</v>
      </c>
      <c r="T4836" s="182" t="s">
        <v>1738</v>
      </c>
      <c r="U4836" s="182"/>
      <c r="V4836" s="182"/>
      <c r="W4836" s="314" t="s">
        <v>1905</v>
      </c>
      <c r="X4836" s="646" t="s">
        <v>13227</v>
      </c>
      <c r="Y4836" s="355"/>
      <c r="Z4836" s="185"/>
      <c r="AA4836" s="185"/>
      <c r="AB4836" s="33">
        <f t="shared" ca="1" si="119"/>
        <v>0.88776020766389552</v>
      </c>
      <c r="AC4836" s="813"/>
      <c r="AD4836" s="211"/>
      <c r="AE4836" s="941"/>
      <c r="AF4836" s="922">
        <f>IF(X4836=X4835,AF4835,0)+IF(ISNUMBER(I4836),IF(I4836&lt;1,I4836,I4836*VLOOKUP(J4836,Summary!$H$2:$I$9,2)),VLOOKUP(J4836,Summary!$J$2:$K$9,2)*IF(ISNUMBER(H4836),H4836,1))</f>
        <v>0.64285879629629639</v>
      </c>
      <c r="AG4836" s="290">
        <v>4835</v>
      </c>
      <c r="AH4836" s="94"/>
      <c r="AI4836" s="94"/>
    </row>
    <row r="4837" spans="1:35" s="57" customFormat="1" ht="12" customHeight="1" x14ac:dyDescent="0.25">
      <c r="A4837" s="623" t="s">
        <v>13229</v>
      </c>
      <c r="B4837" s="623">
        <v>11</v>
      </c>
      <c r="C4837" s="623">
        <v>5</v>
      </c>
      <c r="D4837" s="277" t="s">
        <v>7369</v>
      </c>
      <c r="E4837" s="347" t="s">
        <v>1906</v>
      </c>
      <c r="F4837" s="276">
        <v>40847</v>
      </c>
      <c r="G4837" s="276"/>
      <c r="H4837" s="277" t="s">
        <v>461</v>
      </c>
      <c r="I4837" s="277"/>
      <c r="J4837" s="916" t="s">
        <v>3346</v>
      </c>
      <c r="K4837" s="278" t="s">
        <v>4152</v>
      </c>
      <c r="L4837" s="166" t="s">
        <v>461</v>
      </c>
      <c r="M4837" s="278"/>
      <c r="N4837" s="278"/>
      <c r="O4837" s="278"/>
      <c r="P4837" s="275" t="s">
        <v>461</v>
      </c>
      <c r="Q4837" s="278" t="s">
        <v>3952</v>
      </c>
      <c r="R4837" s="268" t="s">
        <v>2721</v>
      </c>
      <c r="S4837" s="387" t="s">
        <v>2614</v>
      </c>
      <c r="T4837" s="275" t="s">
        <v>1738</v>
      </c>
      <c r="U4837" s="275"/>
      <c r="V4837" s="275"/>
      <c r="W4837" s="347" t="s">
        <v>1906</v>
      </c>
      <c r="X4837" s="682" t="s">
        <v>13227</v>
      </c>
      <c r="Y4837" s="387"/>
      <c r="Z4837" s="277"/>
      <c r="AA4837" s="277"/>
      <c r="AB4837" s="47">
        <f t="shared" ca="1" si="119"/>
        <v>0.99352621203053759</v>
      </c>
      <c r="AC4837" s="853"/>
      <c r="AD4837" s="854"/>
      <c r="AE4837" s="975"/>
      <c r="AF4837" s="937">
        <f>IF(X4837=X4836,AF4836,0)+IF(ISNUMBER(I4837),IF(I4837&lt;1,I4837,I4837*VLOOKUP(J4837,Summary!$H$2:$I$9,2)),VLOOKUP(J4837,Summary!$J$2:$K$9,2)*IF(ISNUMBER(H4837),H4837,1))</f>
        <v>0.68452546296296302</v>
      </c>
      <c r="AG4837" s="310">
        <v>4836</v>
      </c>
      <c r="AH4837" s="94"/>
      <c r="AI4837" s="94"/>
    </row>
    <row r="4838" spans="1:35" s="8" customFormat="1" ht="12" customHeight="1" x14ac:dyDescent="0.25">
      <c r="A4838" s="617" t="s">
        <v>13229</v>
      </c>
      <c r="B4838" s="617">
        <v>11</v>
      </c>
      <c r="C4838" s="617">
        <v>15</v>
      </c>
      <c r="D4838" s="170" t="s">
        <v>926</v>
      </c>
      <c r="E4838" s="348" t="s">
        <v>7364</v>
      </c>
      <c r="F4838" s="196">
        <v>40913</v>
      </c>
      <c r="G4838" s="196"/>
      <c r="H4838" s="170">
        <v>1</v>
      </c>
      <c r="I4838" s="746">
        <f>TIME(1,15,36)</f>
        <v>5.2499999999999998E-2</v>
      </c>
      <c r="J4838" s="899" t="s">
        <v>4706</v>
      </c>
      <c r="K4838" s="279" t="s">
        <v>1643</v>
      </c>
      <c r="L4838" s="986"/>
      <c r="M4838" s="279" t="s">
        <v>925</v>
      </c>
      <c r="N4838" s="279"/>
      <c r="O4838" s="279"/>
      <c r="P4838" s="168" t="s">
        <v>793</v>
      </c>
      <c r="Q4838" s="279" t="s">
        <v>7290</v>
      </c>
      <c r="R4838" s="172" t="s">
        <v>2240</v>
      </c>
      <c r="S4838" s="388" t="s">
        <v>2614</v>
      </c>
      <c r="T4838" s="168" t="s">
        <v>1738</v>
      </c>
      <c r="U4838" s="168"/>
      <c r="V4838" s="168"/>
      <c r="W4838" s="348" t="s">
        <v>7364</v>
      </c>
      <c r="X4838" s="683" t="s">
        <v>13227</v>
      </c>
      <c r="Y4838" s="388" t="s">
        <v>5643</v>
      </c>
      <c r="Z4838" s="170"/>
      <c r="AA4838" s="170"/>
      <c r="AB4838" s="31">
        <f t="shared" ca="1" si="119"/>
        <v>0.139523251871014</v>
      </c>
      <c r="AC4838" s="810"/>
      <c r="AD4838" s="811"/>
      <c r="AE4838" s="876"/>
      <c r="AF4838" s="920">
        <f>IF(X4838=X4837,AF4837,0)+IF(ISNUMBER(I4838),IF(I4838&lt;1,I4838,I4838*VLOOKUP(J4838,Summary!$H$2:$I$9,2)),VLOOKUP(J4838,Summary!$J$2:$K$9,2)*IF(ISNUMBER(H4838),H4838,1))</f>
        <v>0.73702546296296301</v>
      </c>
      <c r="AG4838" s="311">
        <v>4837</v>
      </c>
      <c r="AH4838" s="94"/>
      <c r="AI4838" s="94"/>
    </row>
    <row r="4839" spans="1:35" s="9" customFormat="1" ht="12" customHeight="1" x14ac:dyDescent="0.25">
      <c r="A4839" s="615" t="s">
        <v>13229</v>
      </c>
      <c r="B4839" s="615">
        <v>11</v>
      </c>
      <c r="C4839" s="615">
        <v>6</v>
      </c>
      <c r="D4839" s="417" t="s">
        <v>933</v>
      </c>
      <c r="E4839" s="316" t="s">
        <v>7365</v>
      </c>
      <c r="F4839" s="195">
        <v>40941</v>
      </c>
      <c r="G4839" s="195"/>
      <c r="H4839" s="188" t="s">
        <v>461</v>
      </c>
      <c r="I4839" s="188">
        <v>128</v>
      </c>
      <c r="J4839" s="902" t="s">
        <v>6868</v>
      </c>
      <c r="K4839" s="162" t="s">
        <v>4552</v>
      </c>
      <c r="L4839" s="162" t="s">
        <v>461</v>
      </c>
      <c r="M4839" s="162"/>
      <c r="N4839" s="162"/>
      <c r="O4839" s="162"/>
      <c r="P4839" s="178" t="s">
        <v>7912</v>
      </c>
      <c r="Q4839" s="162" t="s">
        <v>3953</v>
      </c>
      <c r="R4839" s="189" t="s">
        <v>2712</v>
      </c>
      <c r="S4839" s="366" t="s">
        <v>2614</v>
      </c>
      <c r="T4839" s="178" t="s">
        <v>1738</v>
      </c>
      <c r="U4839" s="178"/>
      <c r="V4839" s="178"/>
      <c r="W4839" s="316" t="s">
        <v>7365</v>
      </c>
      <c r="X4839" s="648" t="s">
        <v>13227</v>
      </c>
      <c r="Y4839" s="356" t="s">
        <v>2174</v>
      </c>
      <c r="Z4839" s="272">
        <v>122</v>
      </c>
      <c r="AA4839" s="272">
        <v>5</v>
      </c>
      <c r="AB4839" s="34">
        <f t="shared" ca="1" si="119"/>
        <v>0.53026921660264614</v>
      </c>
      <c r="AC4839" s="814"/>
      <c r="AD4839" s="815"/>
      <c r="AE4839" s="942"/>
      <c r="AF4839" s="923">
        <f>IF(X4839=X4838,AF4838,0)+IF(ISNUMBER(I4839),IF(I4839&lt;1,I4839,I4839*VLOOKUP(J4839,Summary!$H$2:$I$9,2)),VLOOKUP(J4839,Summary!$J$2:$K$9,2)*IF(ISNUMBER(H4839),H4839,1))</f>
        <v>0.82591435185185191</v>
      </c>
      <c r="AG4839" s="291">
        <v>4838</v>
      </c>
      <c r="AH4839" s="94"/>
      <c r="AI4839" s="94"/>
    </row>
    <row r="4840" spans="1:35" s="57" customFormat="1" ht="12" customHeight="1" x14ac:dyDescent="0.25">
      <c r="A4840" s="765" t="s">
        <v>13229</v>
      </c>
      <c r="B4840" s="765">
        <v>11</v>
      </c>
      <c r="C4840" s="765"/>
      <c r="D4840" s="226" t="s">
        <v>5729</v>
      </c>
      <c r="E4840" s="331" t="s">
        <v>7366</v>
      </c>
      <c r="F4840" s="766">
        <v>40909</v>
      </c>
      <c r="G4840" s="766">
        <v>41000</v>
      </c>
      <c r="H4840" s="226">
        <v>4</v>
      </c>
      <c r="I4840" s="226">
        <v>88</v>
      </c>
      <c r="J4840" s="907" t="s">
        <v>1796</v>
      </c>
      <c r="K4840" s="228" t="s">
        <v>6176</v>
      </c>
      <c r="L4840" s="228" t="s">
        <v>2335</v>
      </c>
      <c r="M4840" s="228" t="s">
        <v>6567</v>
      </c>
      <c r="N4840" s="228" t="s">
        <v>6573</v>
      </c>
      <c r="O4840" s="228"/>
      <c r="P4840" s="225" t="s">
        <v>461</v>
      </c>
      <c r="Q4840" s="228" t="s">
        <v>5719</v>
      </c>
      <c r="R4840" s="227" t="s">
        <v>5718</v>
      </c>
      <c r="S4840" s="369" t="s">
        <v>2614</v>
      </c>
      <c r="T4840" s="225" t="s">
        <v>1738</v>
      </c>
      <c r="U4840" s="225"/>
      <c r="V4840" s="225"/>
      <c r="W4840" s="331"/>
      <c r="X4840" s="663" t="s">
        <v>13227</v>
      </c>
      <c r="Y4840" s="369" t="s">
        <v>6000</v>
      </c>
      <c r="Z4840" s="226"/>
      <c r="AA4840" s="226"/>
      <c r="AB4840" s="38">
        <f t="shared" ca="1" si="119"/>
        <v>0.80041698150858664</v>
      </c>
      <c r="AC4840" s="830"/>
      <c r="AD4840" s="831"/>
      <c r="AE4840" s="963"/>
      <c r="AF4840" s="928">
        <f>IF(X4840=X4839,AF4839,0)+IF(ISNUMBER(I4840),IF(I4840&lt;1,I4840,I4840*VLOOKUP(J4840,Summary!$H$2:$I$9,2)),VLOOKUP(J4840,Summary!$J$2:$K$9,2)*IF(ISNUMBER(H4840),H4840,1))</f>
        <v>0.85646990740740747</v>
      </c>
      <c r="AG4840" s="304">
        <v>4839</v>
      </c>
      <c r="AH4840" s="94"/>
      <c r="AI4840" s="94"/>
    </row>
    <row r="4841" spans="1:35" s="22" customFormat="1" ht="12" customHeight="1" x14ac:dyDescent="0.2">
      <c r="A4841" s="614" t="s">
        <v>13229</v>
      </c>
      <c r="B4841" s="614">
        <v>11</v>
      </c>
      <c r="C4841" s="614">
        <v>215</v>
      </c>
      <c r="D4841" s="185" t="s">
        <v>6779</v>
      </c>
      <c r="E4841" s="314" t="s">
        <v>6794</v>
      </c>
      <c r="F4841" s="184">
        <v>40969</v>
      </c>
      <c r="G4841" s="184"/>
      <c r="H4841" s="185">
        <v>1</v>
      </c>
      <c r="I4841" s="185">
        <v>4</v>
      </c>
      <c r="J4841" s="901" t="s">
        <v>1796</v>
      </c>
      <c r="K4841" s="163" t="s">
        <v>4672</v>
      </c>
      <c r="L4841" s="163" t="s">
        <v>3832</v>
      </c>
      <c r="M4841" s="163" t="s">
        <v>254</v>
      </c>
      <c r="N4841" s="163" t="s">
        <v>7370</v>
      </c>
      <c r="O4841" s="163"/>
      <c r="P4841" s="182" t="s">
        <v>461</v>
      </c>
      <c r="Q4841" s="163" t="s">
        <v>729</v>
      </c>
      <c r="R4841" s="186" t="s">
        <v>4796</v>
      </c>
      <c r="S4841" s="355" t="s">
        <v>2614</v>
      </c>
      <c r="T4841" s="182" t="s">
        <v>1738</v>
      </c>
      <c r="U4841" s="182"/>
      <c r="V4841" s="182"/>
      <c r="W4841" s="314" t="s">
        <v>6794</v>
      </c>
      <c r="X4841" s="646" t="s">
        <v>13227</v>
      </c>
      <c r="Y4841" s="355"/>
      <c r="Z4841" s="185"/>
      <c r="AA4841" s="185"/>
      <c r="AB4841" s="33">
        <f t="shared" ca="1" si="119"/>
        <v>0.76283144693647742</v>
      </c>
      <c r="AC4841" s="813"/>
      <c r="AD4841" s="211"/>
      <c r="AE4841" s="941"/>
      <c r="AF4841" s="922">
        <f>IF(X4841=X4840,AF4840,0)+IF(ISNUMBER(I4841),IF(I4841&lt;1,I4841,I4841*VLOOKUP(J4841,Summary!$H$2:$I$9,2)),VLOOKUP(J4841,Summary!$J$2:$K$9,2)*IF(ISNUMBER(H4841),H4841,1))</f>
        <v>0.85785879629629636</v>
      </c>
      <c r="AG4841" s="290">
        <v>4840</v>
      </c>
      <c r="AH4841" s="94"/>
      <c r="AI4841" s="94"/>
    </row>
    <row r="4842" spans="1:35" s="22" customFormat="1" ht="12" customHeight="1" x14ac:dyDescent="0.2">
      <c r="A4842" s="614" t="s">
        <v>13229</v>
      </c>
      <c r="B4842" s="614">
        <v>11</v>
      </c>
      <c r="C4842" s="614">
        <v>216</v>
      </c>
      <c r="D4842" s="185" t="s">
        <v>6780</v>
      </c>
      <c r="E4842" s="314" t="s">
        <v>6795</v>
      </c>
      <c r="F4842" s="184">
        <v>40976</v>
      </c>
      <c r="G4842" s="184"/>
      <c r="H4842" s="185">
        <v>1</v>
      </c>
      <c r="I4842" s="185">
        <v>4</v>
      </c>
      <c r="J4842" s="901" t="s">
        <v>1796</v>
      </c>
      <c r="K4842" s="163" t="s">
        <v>4672</v>
      </c>
      <c r="L4842" s="163" t="s">
        <v>3832</v>
      </c>
      <c r="M4842" s="163" t="s">
        <v>254</v>
      </c>
      <c r="N4842" s="163" t="s">
        <v>7370</v>
      </c>
      <c r="O4842" s="163"/>
      <c r="P4842" s="182" t="s">
        <v>461</v>
      </c>
      <c r="Q4842" s="163" t="s">
        <v>729</v>
      </c>
      <c r="R4842" s="186" t="s">
        <v>4796</v>
      </c>
      <c r="S4842" s="355" t="s">
        <v>2614</v>
      </c>
      <c r="T4842" s="182" t="s">
        <v>1738</v>
      </c>
      <c r="U4842" s="182"/>
      <c r="V4842" s="182"/>
      <c r="W4842" s="314" t="s">
        <v>6795</v>
      </c>
      <c r="X4842" s="646" t="s">
        <v>13227</v>
      </c>
      <c r="Y4842" s="355"/>
      <c r="Z4842" s="185"/>
      <c r="AA4842" s="185"/>
      <c r="AB4842" s="33">
        <f t="shared" ca="1" si="119"/>
        <v>0.23655695325144788</v>
      </c>
      <c r="AC4842" s="813"/>
      <c r="AD4842" s="211"/>
      <c r="AE4842" s="941"/>
      <c r="AF4842" s="922">
        <f>IF(X4842=X4841,AF4841,0)+IF(ISNUMBER(I4842),IF(I4842&lt;1,I4842,I4842*VLOOKUP(J4842,Summary!$H$2:$I$9,2)),VLOOKUP(J4842,Summary!$J$2:$K$9,2)*IF(ISNUMBER(H4842),H4842,1))</f>
        <v>0.85924768518518524</v>
      </c>
      <c r="AG4842" s="290">
        <v>4841</v>
      </c>
      <c r="AH4842" s="94"/>
      <c r="AI4842" s="94"/>
    </row>
    <row r="4843" spans="1:35" s="22" customFormat="1" ht="12" customHeight="1" x14ac:dyDescent="0.2">
      <c r="A4843" s="617" t="s">
        <v>13229</v>
      </c>
      <c r="B4843" s="617">
        <v>11</v>
      </c>
      <c r="C4843" s="617">
        <v>16</v>
      </c>
      <c r="D4843" s="170" t="s">
        <v>927</v>
      </c>
      <c r="E4843" s="348" t="s">
        <v>6796</v>
      </c>
      <c r="F4843" s="196">
        <v>40976</v>
      </c>
      <c r="G4843" s="196"/>
      <c r="H4843" s="170">
        <v>1</v>
      </c>
      <c r="I4843" s="746">
        <f>TIME(1,14,33)</f>
        <v>5.1770833333333328E-2</v>
      </c>
      <c r="J4843" s="899" t="s">
        <v>4706</v>
      </c>
      <c r="K4843" s="279" t="s">
        <v>4033</v>
      </c>
      <c r="L4843" s="279"/>
      <c r="M4843" s="279" t="s">
        <v>928</v>
      </c>
      <c r="N4843" s="279"/>
      <c r="O4843" s="279"/>
      <c r="P4843" s="168" t="s">
        <v>7913</v>
      </c>
      <c r="Q4843" s="279" t="s">
        <v>7290</v>
      </c>
      <c r="R4843" s="172" t="s">
        <v>2240</v>
      </c>
      <c r="S4843" s="388" t="s">
        <v>2614</v>
      </c>
      <c r="T4843" s="168" t="s">
        <v>1738</v>
      </c>
      <c r="U4843" s="168"/>
      <c r="V4843" s="168"/>
      <c r="W4843" s="348" t="s">
        <v>6796</v>
      </c>
      <c r="X4843" s="683" t="s">
        <v>13227</v>
      </c>
      <c r="Y4843" s="388" t="s">
        <v>5643</v>
      </c>
      <c r="Z4843" s="353">
        <v>478</v>
      </c>
      <c r="AA4843" s="170">
        <v>4</v>
      </c>
      <c r="AB4843" s="31">
        <f t="shared" ca="1" si="119"/>
        <v>0.28096441145842144</v>
      </c>
      <c r="AC4843" s="810"/>
      <c r="AD4843" s="811"/>
      <c r="AE4843" s="876"/>
      <c r="AF4843" s="920">
        <f>IF(X4843=X4842,AF4842,0)+IF(ISNUMBER(I4843),IF(I4843&lt;1,I4843,I4843*VLOOKUP(J4843,Summary!$H$2:$I$9,2)),VLOOKUP(J4843,Summary!$J$2:$K$9,2)*IF(ISNUMBER(H4843),H4843,1))</f>
        <v>0.91101851851851856</v>
      </c>
      <c r="AG4843" s="311">
        <v>4842</v>
      </c>
      <c r="AH4843" s="94"/>
      <c r="AI4843" s="94"/>
    </row>
    <row r="4844" spans="1:35" s="58" customFormat="1" ht="12" customHeight="1" x14ac:dyDescent="0.2">
      <c r="A4844" s="614" t="s">
        <v>13229</v>
      </c>
      <c r="B4844" s="614">
        <v>11</v>
      </c>
      <c r="C4844" s="614">
        <v>217</v>
      </c>
      <c r="D4844" s="185" t="s">
        <v>6781</v>
      </c>
      <c r="E4844" s="314" t="s">
        <v>6797</v>
      </c>
      <c r="F4844" s="184">
        <v>40983</v>
      </c>
      <c r="G4844" s="184"/>
      <c r="H4844" s="185">
        <v>1</v>
      </c>
      <c r="I4844" s="185">
        <v>4</v>
      </c>
      <c r="J4844" s="901" t="s">
        <v>1796</v>
      </c>
      <c r="K4844" s="163" t="s">
        <v>4672</v>
      </c>
      <c r="L4844" s="163" t="s">
        <v>3832</v>
      </c>
      <c r="M4844" s="163" t="s">
        <v>254</v>
      </c>
      <c r="N4844" s="163" t="s">
        <v>7370</v>
      </c>
      <c r="O4844" s="163"/>
      <c r="P4844" s="182" t="s">
        <v>461</v>
      </c>
      <c r="Q4844" s="163" t="s">
        <v>729</v>
      </c>
      <c r="R4844" s="186" t="s">
        <v>4796</v>
      </c>
      <c r="S4844" s="355" t="s">
        <v>2614</v>
      </c>
      <c r="T4844" s="182" t="s">
        <v>1738</v>
      </c>
      <c r="U4844" s="182"/>
      <c r="V4844" s="182"/>
      <c r="W4844" s="314" t="s">
        <v>6797</v>
      </c>
      <c r="X4844" s="646" t="s">
        <v>13227</v>
      </c>
      <c r="Y4844" s="355"/>
      <c r="Z4844" s="185"/>
      <c r="AA4844" s="185"/>
      <c r="AB4844" s="33">
        <f t="shared" ca="1" si="119"/>
        <v>0.46545904699636043</v>
      </c>
      <c r="AC4844" s="813"/>
      <c r="AD4844" s="211"/>
      <c r="AE4844" s="941"/>
      <c r="AF4844" s="922">
        <f>IF(X4844=X4843,AF4843,0)+IF(ISNUMBER(I4844),IF(I4844&lt;1,I4844,I4844*VLOOKUP(J4844,Summary!$H$2:$I$9,2)),VLOOKUP(J4844,Summary!$J$2:$K$9,2)*IF(ISNUMBER(H4844),H4844,1))</f>
        <v>0.91240740740740744</v>
      </c>
      <c r="AG4844" s="290">
        <v>4843</v>
      </c>
      <c r="AH4844" s="94"/>
      <c r="AI4844" s="94"/>
    </row>
    <row r="4845" spans="1:35" s="22" customFormat="1" ht="12" customHeight="1" x14ac:dyDescent="0.2">
      <c r="A4845" s="614" t="s">
        <v>13229</v>
      </c>
      <c r="B4845" s="614">
        <v>11</v>
      </c>
      <c r="C4845" s="614">
        <v>218</v>
      </c>
      <c r="D4845" s="185" t="s">
        <v>6782</v>
      </c>
      <c r="E4845" s="314" t="s">
        <v>6798</v>
      </c>
      <c r="F4845" s="184">
        <v>40990</v>
      </c>
      <c r="G4845" s="184"/>
      <c r="H4845" s="185">
        <v>1</v>
      </c>
      <c r="I4845" s="185">
        <v>4</v>
      </c>
      <c r="J4845" s="901" t="s">
        <v>1796</v>
      </c>
      <c r="K4845" s="163" t="s">
        <v>4147</v>
      </c>
      <c r="L4845" s="163" t="s">
        <v>3832</v>
      </c>
      <c r="M4845" s="163" t="s">
        <v>254</v>
      </c>
      <c r="N4845" s="163" t="s">
        <v>7370</v>
      </c>
      <c r="O4845" s="163"/>
      <c r="P4845" s="182" t="s">
        <v>461</v>
      </c>
      <c r="Q4845" s="163" t="s">
        <v>729</v>
      </c>
      <c r="R4845" s="186" t="s">
        <v>4796</v>
      </c>
      <c r="S4845" s="355" t="s">
        <v>2614</v>
      </c>
      <c r="T4845" s="182" t="s">
        <v>1738</v>
      </c>
      <c r="U4845" s="182"/>
      <c r="V4845" s="182"/>
      <c r="W4845" s="314" t="s">
        <v>6798</v>
      </c>
      <c r="X4845" s="646" t="s">
        <v>13227</v>
      </c>
      <c r="Y4845" s="355"/>
      <c r="Z4845" s="185"/>
      <c r="AA4845" s="185"/>
      <c r="AB4845" s="33">
        <f t="shared" ca="1" si="119"/>
        <v>0.82610993878121175</v>
      </c>
      <c r="AC4845" s="813"/>
      <c r="AD4845" s="211"/>
      <c r="AE4845" s="941"/>
      <c r="AF4845" s="922">
        <f>IF(X4845=X4844,AF4844,0)+IF(ISNUMBER(I4845),IF(I4845&lt;1,I4845,I4845*VLOOKUP(J4845,Summary!$H$2:$I$9,2)),VLOOKUP(J4845,Summary!$J$2:$K$9,2)*IF(ISNUMBER(H4845),H4845,1))</f>
        <v>0.91379629629629633</v>
      </c>
      <c r="AG4845" s="290">
        <v>4844</v>
      </c>
      <c r="AH4845" s="94"/>
      <c r="AI4845" s="94"/>
    </row>
    <row r="4846" spans="1:35" s="22" customFormat="1" ht="12" customHeight="1" x14ac:dyDescent="0.2">
      <c r="A4846" s="614" t="s">
        <v>13229</v>
      </c>
      <c r="B4846" s="614">
        <v>11</v>
      </c>
      <c r="C4846" s="614">
        <v>219</v>
      </c>
      <c r="D4846" s="185" t="s">
        <v>6783</v>
      </c>
      <c r="E4846" s="314" t="s">
        <v>6799</v>
      </c>
      <c r="F4846" s="184">
        <v>40997</v>
      </c>
      <c r="G4846" s="184"/>
      <c r="H4846" s="185">
        <v>1</v>
      </c>
      <c r="I4846" s="185">
        <v>4</v>
      </c>
      <c r="J4846" s="901" t="s">
        <v>1796</v>
      </c>
      <c r="K4846" s="163" t="s">
        <v>176</v>
      </c>
      <c r="L4846" s="163" t="s">
        <v>3832</v>
      </c>
      <c r="M4846" s="163" t="s">
        <v>254</v>
      </c>
      <c r="N4846" s="163" t="s">
        <v>7370</v>
      </c>
      <c r="O4846" s="163"/>
      <c r="P4846" s="182" t="s">
        <v>461</v>
      </c>
      <c r="Q4846" s="163" t="s">
        <v>729</v>
      </c>
      <c r="R4846" s="186" t="s">
        <v>4796</v>
      </c>
      <c r="S4846" s="355" t="s">
        <v>2614</v>
      </c>
      <c r="T4846" s="182" t="s">
        <v>1738</v>
      </c>
      <c r="U4846" s="182"/>
      <c r="V4846" s="182"/>
      <c r="W4846" s="314" t="s">
        <v>6799</v>
      </c>
      <c r="X4846" s="646" t="s">
        <v>13227</v>
      </c>
      <c r="Y4846" s="355"/>
      <c r="Z4846" s="185"/>
      <c r="AA4846" s="185"/>
      <c r="AB4846" s="33">
        <f t="shared" ca="1" si="119"/>
        <v>0.27927426236788577</v>
      </c>
      <c r="AC4846" s="813"/>
      <c r="AD4846" s="211"/>
      <c r="AE4846" s="941"/>
      <c r="AF4846" s="922">
        <f>IF(X4846=X4845,AF4845,0)+IF(ISNUMBER(I4846),IF(I4846&lt;1,I4846,I4846*VLOOKUP(J4846,Summary!$H$2:$I$9,2)),VLOOKUP(J4846,Summary!$J$2:$K$9,2)*IF(ISNUMBER(H4846),H4846,1))</f>
        <v>0.91518518518518521</v>
      </c>
      <c r="AG4846" s="290">
        <v>4845</v>
      </c>
      <c r="AH4846" s="94"/>
      <c r="AI4846" s="94"/>
    </row>
    <row r="4847" spans="1:35" s="22" customFormat="1" ht="12" customHeight="1" x14ac:dyDescent="0.2">
      <c r="A4847" s="614" t="s">
        <v>13229</v>
      </c>
      <c r="B4847" s="614">
        <v>11</v>
      </c>
      <c r="C4847" s="614">
        <v>220</v>
      </c>
      <c r="D4847" s="185" t="s">
        <v>6784</v>
      </c>
      <c r="E4847" s="314" t="s">
        <v>6800</v>
      </c>
      <c r="F4847" s="184">
        <v>41004</v>
      </c>
      <c r="G4847" s="184"/>
      <c r="H4847" s="185">
        <v>1</v>
      </c>
      <c r="I4847" s="185">
        <v>4</v>
      </c>
      <c r="J4847" s="901" t="s">
        <v>1796</v>
      </c>
      <c r="K4847" s="163" t="s">
        <v>176</v>
      </c>
      <c r="L4847" s="163" t="s">
        <v>3832</v>
      </c>
      <c r="M4847" s="163" t="s">
        <v>254</v>
      </c>
      <c r="N4847" s="163" t="s">
        <v>7370</v>
      </c>
      <c r="O4847" s="163"/>
      <c r="P4847" s="182" t="s">
        <v>461</v>
      </c>
      <c r="Q4847" s="163" t="s">
        <v>729</v>
      </c>
      <c r="R4847" s="186" t="s">
        <v>4796</v>
      </c>
      <c r="S4847" s="355" t="s">
        <v>2614</v>
      </c>
      <c r="T4847" s="182" t="s">
        <v>1738</v>
      </c>
      <c r="U4847" s="182"/>
      <c r="V4847" s="182"/>
      <c r="W4847" s="314" t="s">
        <v>6800</v>
      </c>
      <c r="X4847" s="646" t="s">
        <v>13227</v>
      </c>
      <c r="Y4847" s="355"/>
      <c r="Z4847" s="185"/>
      <c r="AA4847" s="185"/>
      <c r="AB4847" s="33">
        <f t="shared" ca="1" si="119"/>
        <v>0.54222811586448905</v>
      </c>
      <c r="AC4847" s="813"/>
      <c r="AD4847" s="211"/>
      <c r="AE4847" s="941"/>
      <c r="AF4847" s="922">
        <f>IF(X4847=X4846,AF4846,0)+IF(ISNUMBER(I4847),IF(I4847&lt;1,I4847,I4847*VLOOKUP(J4847,Summary!$H$2:$I$9,2)),VLOOKUP(J4847,Summary!$J$2:$K$9,2)*IF(ISNUMBER(H4847),H4847,1))</f>
        <v>0.9165740740740741</v>
      </c>
      <c r="AG4847" s="290">
        <v>4846</v>
      </c>
      <c r="AH4847" s="94"/>
      <c r="AI4847" s="94"/>
    </row>
    <row r="4848" spans="1:35" s="3" customFormat="1" ht="12" customHeight="1" x14ac:dyDescent="0.25">
      <c r="A4848" s="614" t="s">
        <v>13229</v>
      </c>
      <c r="B4848" s="614">
        <v>11</v>
      </c>
      <c r="C4848" s="614">
        <v>221</v>
      </c>
      <c r="D4848" s="185" t="s">
        <v>6785</v>
      </c>
      <c r="E4848" s="314" t="s">
        <v>7847</v>
      </c>
      <c r="F4848" s="184">
        <v>41011</v>
      </c>
      <c r="G4848" s="184"/>
      <c r="H4848" s="185">
        <v>1</v>
      </c>
      <c r="I4848" s="185">
        <v>4</v>
      </c>
      <c r="J4848" s="901" t="s">
        <v>1796</v>
      </c>
      <c r="K4848" s="163" t="s">
        <v>176</v>
      </c>
      <c r="L4848" s="163" t="s">
        <v>3832</v>
      </c>
      <c r="M4848" s="163" t="s">
        <v>254</v>
      </c>
      <c r="N4848" s="163" t="s">
        <v>7370</v>
      </c>
      <c r="O4848" s="163"/>
      <c r="P4848" s="182" t="s">
        <v>461</v>
      </c>
      <c r="Q4848" s="163" t="s">
        <v>729</v>
      </c>
      <c r="R4848" s="186" t="s">
        <v>4796</v>
      </c>
      <c r="S4848" s="355" t="s">
        <v>2614</v>
      </c>
      <c r="T4848" s="182" t="s">
        <v>1738</v>
      </c>
      <c r="U4848" s="182"/>
      <c r="V4848" s="182"/>
      <c r="W4848" s="314" t="s">
        <v>7847</v>
      </c>
      <c r="X4848" s="646" t="s">
        <v>13227</v>
      </c>
      <c r="Y4848" s="355"/>
      <c r="Z4848" s="185"/>
      <c r="AA4848" s="185"/>
      <c r="AB4848" s="33">
        <f t="shared" ca="1" si="119"/>
        <v>0.37401261986430856</v>
      </c>
      <c r="AC4848" s="813"/>
      <c r="AD4848" s="211"/>
      <c r="AE4848" s="941"/>
      <c r="AF4848" s="922">
        <f>IF(X4848=X4847,AF4847,0)+IF(ISNUMBER(I4848),IF(I4848&lt;1,I4848,I4848*VLOOKUP(J4848,Summary!$H$2:$I$9,2)),VLOOKUP(J4848,Summary!$J$2:$K$9,2)*IF(ISNUMBER(H4848),H4848,1))</f>
        <v>0.91796296296296298</v>
      </c>
      <c r="AG4848" s="290">
        <v>4847</v>
      </c>
      <c r="AH4848" s="94"/>
      <c r="AI4848" s="94"/>
    </row>
    <row r="4849" spans="1:35" s="9" customFormat="1" ht="12" customHeight="1" x14ac:dyDescent="0.25">
      <c r="A4849" s="614" t="s">
        <v>13229</v>
      </c>
      <c r="B4849" s="614">
        <v>11</v>
      </c>
      <c r="C4849" s="614">
        <v>222</v>
      </c>
      <c r="D4849" s="185" t="s">
        <v>6786</v>
      </c>
      <c r="E4849" s="314" t="s">
        <v>7848</v>
      </c>
      <c r="F4849" s="184">
        <v>41018</v>
      </c>
      <c r="G4849" s="184"/>
      <c r="H4849" s="185">
        <v>1</v>
      </c>
      <c r="I4849" s="185">
        <v>4</v>
      </c>
      <c r="J4849" s="901" t="s">
        <v>1796</v>
      </c>
      <c r="K4849" s="163" t="s">
        <v>6353</v>
      </c>
      <c r="L4849" s="163" t="s">
        <v>3832</v>
      </c>
      <c r="M4849" s="163" t="s">
        <v>254</v>
      </c>
      <c r="N4849" s="163" t="s">
        <v>7370</v>
      </c>
      <c r="O4849" s="163"/>
      <c r="P4849" s="182" t="s">
        <v>461</v>
      </c>
      <c r="Q4849" s="163" t="s">
        <v>729</v>
      </c>
      <c r="R4849" s="186" t="s">
        <v>4796</v>
      </c>
      <c r="S4849" s="355" t="s">
        <v>2614</v>
      </c>
      <c r="T4849" s="182" t="s">
        <v>1738</v>
      </c>
      <c r="U4849" s="182"/>
      <c r="V4849" s="182"/>
      <c r="W4849" s="314" t="s">
        <v>7848</v>
      </c>
      <c r="X4849" s="646" t="s">
        <v>13227</v>
      </c>
      <c r="Y4849" s="355"/>
      <c r="Z4849" s="185"/>
      <c r="AA4849" s="185"/>
      <c r="AB4849" s="33">
        <f t="shared" ca="1" si="119"/>
        <v>0.82803134258635425</v>
      </c>
      <c r="AC4849" s="813"/>
      <c r="AD4849" s="211"/>
      <c r="AE4849" s="941"/>
      <c r="AF4849" s="922">
        <f>IF(X4849=X4848,AF4848,0)+IF(ISNUMBER(I4849),IF(I4849&lt;1,I4849,I4849*VLOOKUP(J4849,Summary!$H$2:$I$9,2)),VLOOKUP(J4849,Summary!$J$2:$K$9,2)*IF(ISNUMBER(H4849),H4849,1))</f>
        <v>0.91935185185185186</v>
      </c>
      <c r="AG4849" s="290">
        <v>4848</v>
      </c>
      <c r="AH4849" s="94"/>
      <c r="AI4849" s="94"/>
    </row>
    <row r="4850" spans="1:35" s="22" customFormat="1" ht="12" customHeight="1" x14ac:dyDescent="0.2">
      <c r="A4850" s="614" t="s">
        <v>13229</v>
      </c>
      <c r="B4850" s="614">
        <v>11</v>
      </c>
      <c r="C4850" s="614">
        <v>223</v>
      </c>
      <c r="D4850" s="185" t="s">
        <v>6787</v>
      </c>
      <c r="E4850" s="314" t="s">
        <v>7849</v>
      </c>
      <c r="F4850" s="184">
        <v>41025</v>
      </c>
      <c r="G4850" s="184"/>
      <c r="H4850" s="185">
        <v>1</v>
      </c>
      <c r="I4850" s="185">
        <v>4</v>
      </c>
      <c r="J4850" s="901" t="s">
        <v>1796</v>
      </c>
      <c r="K4850" s="163" t="s">
        <v>4032</v>
      </c>
      <c r="L4850" s="163" t="s">
        <v>3832</v>
      </c>
      <c r="M4850" s="163" t="s">
        <v>254</v>
      </c>
      <c r="N4850" s="163" t="s">
        <v>7370</v>
      </c>
      <c r="O4850" s="163"/>
      <c r="P4850" s="182" t="s">
        <v>461</v>
      </c>
      <c r="Q4850" s="163" t="s">
        <v>729</v>
      </c>
      <c r="R4850" s="186" t="s">
        <v>4796</v>
      </c>
      <c r="S4850" s="355" t="s">
        <v>2614</v>
      </c>
      <c r="T4850" s="182" t="s">
        <v>1738</v>
      </c>
      <c r="U4850" s="182"/>
      <c r="V4850" s="182"/>
      <c r="W4850" s="314" t="s">
        <v>7849</v>
      </c>
      <c r="X4850" s="646" t="s">
        <v>13227</v>
      </c>
      <c r="Y4850" s="355"/>
      <c r="Z4850" s="185"/>
      <c r="AA4850" s="185"/>
      <c r="AB4850" s="33">
        <f t="shared" ca="1" si="119"/>
        <v>0.96215408045965356</v>
      </c>
      <c r="AC4850" s="813"/>
      <c r="AD4850" s="211"/>
      <c r="AE4850" s="941"/>
      <c r="AF4850" s="922">
        <f>IF(X4850=X4849,AF4849,0)+IF(ISNUMBER(I4850),IF(I4850&lt;1,I4850,I4850*VLOOKUP(J4850,Summary!$H$2:$I$9,2)),VLOOKUP(J4850,Summary!$J$2:$K$9,2)*IF(ISNUMBER(H4850),H4850,1))</f>
        <v>0.92074074074074075</v>
      </c>
      <c r="AG4850" s="290">
        <v>4849</v>
      </c>
      <c r="AH4850" s="94"/>
      <c r="AI4850" s="94"/>
    </row>
    <row r="4851" spans="1:35" s="22" customFormat="1" ht="12" customHeight="1" x14ac:dyDescent="0.2">
      <c r="A4851" s="614" t="s">
        <v>13229</v>
      </c>
      <c r="B4851" s="614">
        <v>11</v>
      </c>
      <c r="C4851" s="614">
        <v>224</v>
      </c>
      <c r="D4851" s="185" t="s">
        <v>6788</v>
      </c>
      <c r="E4851" s="314" t="s">
        <v>4295</v>
      </c>
      <c r="F4851" s="184">
        <v>41032</v>
      </c>
      <c r="G4851" s="184"/>
      <c r="H4851" s="185">
        <v>1</v>
      </c>
      <c r="I4851" s="185">
        <v>4</v>
      </c>
      <c r="J4851" s="901" t="s">
        <v>1796</v>
      </c>
      <c r="K4851" s="163" t="s">
        <v>176</v>
      </c>
      <c r="L4851" s="163" t="s">
        <v>3832</v>
      </c>
      <c r="M4851" s="163" t="s">
        <v>254</v>
      </c>
      <c r="N4851" s="163" t="s">
        <v>7370</v>
      </c>
      <c r="O4851" s="163"/>
      <c r="P4851" s="182" t="s">
        <v>461</v>
      </c>
      <c r="Q4851" s="163" t="s">
        <v>729</v>
      </c>
      <c r="R4851" s="186" t="s">
        <v>4796</v>
      </c>
      <c r="S4851" s="355" t="s">
        <v>2614</v>
      </c>
      <c r="T4851" s="182" t="s">
        <v>1738</v>
      </c>
      <c r="U4851" s="182"/>
      <c r="V4851" s="182"/>
      <c r="W4851" s="314" t="s">
        <v>4295</v>
      </c>
      <c r="X4851" s="646" t="s">
        <v>13227</v>
      </c>
      <c r="Y4851" s="355"/>
      <c r="Z4851" s="185"/>
      <c r="AA4851" s="185"/>
      <c r="AB4851" s="33">
        <f t="shared" ca="1" si="119"/>
        <v>0.1945009147951946</v>
      </c>
      <c r="AC4851" s="813"/>
      <c r="AD4851" s="211"/>
      <c r="AE4851" s="941"/>
      <c r="AF4851" s="922">
        <f>IF(X4851=X4850,AF4850,0)+IF(ISNUMBER(I4851),IF(I4851&lt;1,I4851,I4851*VLOOKUP(J4851,Summary!$H$2:$I$9,2)),VLOOKUP(J4851,Summary!$J$2:$K$9,2)*IF(ISNUMBER(H4851),H4851,1))</f>
        <v>0.92212962962962963</v>
      </c>
      <c r="AG4851" s="290">
        <v>4850</v>
      </c>
      <c r="AH4851" s="94"/>
      <c r="AI4851" s="94"/>
    </row>
    <row r="4852" spans="1:35" s="22" customFormat="1" ht="12" customHeight="1" x14ac:dyDescent="0.2">
      <c r="A4852" s="617" t="s">
        <v>13229</v>
      </c>
      <c r="B4852" s="617">
        <v>11</v>
      </c>
      <c r="C4852" s="617">
        <v>17</v>
      </c>
      <c r="D4852" s="170" t="s">
        <v>929</v>
      </c>
      <c r="E4852" s="348" t="s">
        <v>4296</v>
      </c>
      <c r="F4852" s="196">
        <v>41032</v>
      </c>
      <c r="G4852" s="196"/>
      <c r="H4852" s="170">
        <v>1</v>
      </c>
      <c r="I4852" s="746">
        <f>TIME(1,16,28)</f>
        <v>5.3101851851851851E-2</v>
      </c>
      <c r="J4852" s="899" t="s">
        <v>4706</v>
      </c>
      <c r="K4852" s="279" t="s">
        <v>176</v>
      </c>
      <c r="L4852" s="279"/>
      <c r="M4852" s="279" t="s">
        <v>930</v>
      </c>
      <c r="N4852" s="279"/>
      <c r="O4852" s="279"/>
      <c r="P4852" s="168" t="s">
        <v>7914</v>
      </c>
      <c r="Q4852" s="279" t="s">
        <v>7290</v>
      </c>
      <c r="R4852" s="172" t="s">
        <v>2240</v>
      </c>
      <c r="S4852" s="388" t="s">
        <v>2614</v>
      </c>
      <c r="T4852" s="168" t="s">
        <v>1738</v>
      </c>
      <c r="U4852" s="168"/>
      <c r="V4852" s="168"/>
      <c r="W4852" s="348" t="s">
        <v>4296</v>
      </c>
      <c r="X4852" s="683" t="s">
        <v>13227</v>
      </c>
      <c r="Y4852" s="388" t="s">
        <v>5643</v>
      </c>
      <c r="Z4852" s="353">
        <v>637</v>
      </c>
      <c r="AA4852" s="353">
        <v>3</v>
      </c>
      <c r="AB4852" s="31">
        <f t="shared" ca="1" si="119"/>
        <v>0.54765723631220242</v>
      </c>
      <c r="AC4852" s="810"/>
      <c r="AD4852" s="811"/>
      <c r="AE4852" s="876"/>
      <c r="AF4852" s="920">
        <f>IF(X4852=X4851,AF4851,0)+IF(ISNUMBER(I4852),IF(I4852&lt;1,I4852,I4852*VLOOKUP(J4852,Summary!$H$2:$I$9,2)),VLOOKUP(J4852,Summary!$J$2:$K$9,2)*IF(ISNUMBER(H4852),H4852,1))</f>
        <v>0.97523148148148153</v>
      </c>
      <c r="AG4852" s="311">
        <v>4851</v>
      </c>
      <c r="AH4852" s="94"/>
      <c r="AI4852" s="94"/>
    </row>
    <row r="4853" spans="1:35" s="22" customFormat="1" ht="12" customHeight="1" x14ac:dyDescent="0.2">
      <c r="A4853" s="614" t="s">
        <v>13229</v>
      </c>
      <c r="B4853" s="614">
        <v>11</v>
      </c>
      <c r="C4853" s="614"/>
      <c r="D4853" s="185" t="s">
        <v>13438</v>
      </c>
      <c r="E4853" s="314" t="s">
        <v>13439</v>
      </c>
      <c r="F4853" s="184">
        <v>41164</v>
      </c>
      <c r="G4853" s="184"/>
      <c r="H4853" s="185">
        <v>1</v>
      </c>
      <c r="I4853" s="185">
        <v>16</v>
      </c>
      <c r="J4853" s="901" t="s">
        <v>1796</v>
      </c>
      <c r="K4853" s="163" t="s">
        <v>13440</v>
      </c>
      <c r="L4853" s="163" t="s">
        <v>2335</v>
      </c>
      <c r="M4853" s="163" t="s">
        <v>3551</v>
      </c>
      <c r="N4853" s="163" t="s">
        <v>6573</v>
      </c>
      <c r="O4853" s="163"/>
      <c r="P4853" s="182" t="s">
        <v>461</v>
      </c>
      <c r="Q4853" s="163" t="s">
        <v>5719</v>
      </c>
      <c r="R4853" s="186" t="s">
        <v>5718</v>
      </c>
      <c r="S4853" s="355" t="s">
        <v>2614</v>
      </c>
      <c r="T4853" s="182" t="s">
        <v>1738</v>
      </c>
      <c r="U4853" s="182"/>
      <c r="V4853" s="182"/>
      <c r="W4853" s="314" t="s">
        <v>13439</v>
      </c>
      <c r="X4853" s="646" t="s">
        <v>13227</v>
      </c>
      <c r="Y4853" s="355" t="s">
        <v>6000</v>
      </c>
      <c r="Z4853" s="185"/>
      <c r="AA4853" s="185"/>
      <c r="AB4853" s="33">
        <f t="shared" ca="1" si="119"/>
        <v>0.19613399343842186</v>
      </c>
      <c r="AC4853" s="813"/>
      <c r="AD4853" s="211"/>
      <c r="AE4853" s="941"/>
      <c r="AF4853" s="922">
        <f>IF(X4853=X4852,AF4852,0)+IF(ISNUMBER(I4853),IF(I4853&lt;1,I4853,I4853*VLOOKUP(J4853,Summary!$H$2:$I$9,2)),VLOOKUP(J4853,Summary!$J$2:$K$9,2)*IF(ISNUMBER(H4853),H4853,1))</f>
        <v>0.98078703703703707</v>
      </c>
      <c r="AG4853" s="290">
        <v>4852</v>
      </c>
      <c r="AH4853" s="94"/>
      <c r="AI4853" s="94"/>
    </row>
    <row r="4854" spans="1:35" s="22" customFormat="1" ht="12" customHeight="1" x14ac:dyDescent="0.2">
      <c r="A4854" s="614" t="s">
        <v>13229</v>
      </c>
      <c r="B4854" s="614">
        <v>11</v>
      </c>
      <c r="C4854" s="614">
        <v>225</v>
      </c>
      <c r="D4854" s="185" t="s">
        <v>6789</v>
      </c>
      <c r="E4854" s="314" t="s">
        <v>4297</v>
      </c>
      <c r="F4854" s="184">
        <v>41039</v>
      </c>
      <c r="G4854" s="184"/>
      <c r="H4854" s="185">
        <v>1</v>
      </c>
      <c r="I4854" s="185">
        <v>4</v>
      </c>
      <c r="J4854" s="901" t="s">
        <v>1796</v>
      </c>
      <c r="K4854" s="163" t="s">
        <v>3</v>
      </c>
      <c r="L4854" s="163" t="s">
        <v>3832</v>
      </c>
      <c r="M4854" s="163" t="s">
        <v>254</v>
      </c>
      <c r="N4854" s="163" t="s">
        <v>7370</v>
      </c>
      <c r="O4854" s="163"/>
      <c r="P4854" s="182" t="s">
        <v>461</v>
      </c>
      <c r="Q4854" s="163" t="s">
        <v>729</v>
      </c>
      <c r="R4854" s="186" t="s">
        <v>4796</v>
      </c>
      <c r="S4854" s="355" t="s">
        <v>2614</v>
      </c>
      <c r="T4854" s="182" t="s">
        <v>1738</v>
      </c>
      <c r="U4854" s="182"/>
      <c r="V4854" s="182"/>
      <c r="W4854" s="314" t="s">
        <v>4297</v>
      </c>
      <c r="X4854" s="646" t="s">
        <v>13227</v>
      </c>
      <c r="Y4854" s="355"/>
      <c r="Z4854" s="185"/>
      <c r="AA4854" s="185"/>
      <c r="AB4854" s="33">
        <f t="shared" ca="1" si="119"/>
        <v>0.64655179185682532</v>
      </c>
      <c r="AC4854" s="813"/>
      <c r="AD4854" s="211"/>
      <c r="AE4854" s="941"/>
      <c r="AF4854" s="922">
        <f>IF(X4854=X4853,AF4853,0)+IF(ISNUMBER(I4854),IF(I4854&lt;1,I4854,I4854*VLOOKUP(J4854,Summary!$H$2:$I$9,2)),VLOOKUP(J4854,Summary!$J$2:$K$9,2)*IF(ISNUMBER(H4854),H4854,1))</f>
        <v>0.98217592592592595</v>
      </c>
      <c r="AG4854" s="290">
        <v>4853</v>
      </c>
      <c r="AH4854" s="94"/>
      <c r="AI4854" s="94"/>
    </row>
    <row r="4855" spans="1:35" s="22" customFormat="1" ht="12" customHeight="1" x14ac:dyDescent="0.2">
      <c r="A4855" s="614" t="s">
        <v>13229</v>
      </c>
      <c r="B4855" s="614">
        <v>11</v>
      </c>
      <c r="C4855" s="614">
        <v>226</v>
      </c>
      <c r="D4855" s="185" t="s">
        <v>6790</v>
      </c>
      <c r="E4855" s="314" t="s">
        <v>4298</v>
      </c>
      <c r="F4855" s="184">
        <v>41046</v>
      </c>
      <c r="G4855" s="184"/>
      <c r="H4855" s="185">
        <v>1</v>
      </c>
      <c r="I4855" s="185">
        <v>4</v>
      </c>
      <c r="J4855" s="901" t="s">
        <v>1796</v>
      </c>
      <c r="K4855" s="163" t="s">
        <v>4</v>
      </c>
      <c r="L4855" s="163" t="s">
        <v>3832</v>
      </c>
      <c r="M4855" s="163" t="s">
        <v>254</v>
      </c>
      <c r="N4855" s="163" t="s">
        <v>7370</v>
      </c>
      <c r="O4855" s="163"/>
      <c r="P4855" s="182" t="s">
        <v>461</v>
      </c>
      <c r="Q4855" s="163" t="s">
        <v>729</v>
      </c>
      <c r="R4855" s="186" t="s">
        <v>4796</v>
      </c>
      <c r="S4855" s="355" t="s">
        <v>2614</v>
      </c>
      <c r="T4855" s="182" t="s">
        <v>1738</v>
      </c>
      <c r="U4855" s="182"/>
      <c r="V4855" s="182"/>
      <c r="W4855" s="314" t="s">
        <v>4298</v>
      </c>
      <c r="X4855" s="646" t="s">
        <v>13227</v>
      </c>
      <c r="Y4855" s="355"/>
      <c r="Z4855" s="185"/>
      <c r="AA4855" s="185"/>
      <c r="AB4855" s="33">
        <f t="shared" ca="1" si="119"/>
        <v>0.1309009217532825</v>
      </c>
      <c r="AC4855" s="813"/>
      <c r="AD4855" s="211"/>
      <c r="AE4855" s="941"/>
      <c r="AF4855" s="922">
        <f>IF(X4855=X4854,AF4854,0)+IF(ISNUMBER(I4855),IF(I4855&lt;1,I4855,I4855*VLOOKUP(J4855,Summary!$H$2:$I$9,2)),VLOOKUP(J4855,Summary!$J$2:$K$9,2)*IF(ISNUMBER(H4855),H4855,1))</f>
        <v>0.98356481481481484</v>
      </c>
      <c r="AG4855" s="290">
        <v>4854</v>
      </c>
      <c r="AH4855" s="94"/>
      <c r="AI4855" s="94"/>
    </row>
    <row r="4856" spans="1:35" s="22" customFormat="1" ht="12" customHeight="1" x14ac:dyDescent="0.2">
      <c r="A4856" s="614" t="s">
        <v>13229</v>
      </c>
      <c r="B4856" s="614">
        <v>11</v>
      </c>
      <c r="C4856" s="614">
        <v>227</v>
      </c>
      <c r="D4856" s="185" t="s">
        <v>6791</v>
      </c>
      <c r="E4856" s="314" t="s">
        <v>4299</v>
      </c>
      <c r="F4856" s="184">
        <v>41053</v>
      </c>
      <c r="G4856" s="184"/>
      <c r="H4856" s="185">
        <v>1</v>
      </c>
      <c r="I4856" s="185">
        <v>4</v>
      </c>
      <c r="J4856" s="901" t="s">
        <v>1796</v>
      </c>
      <c r="K4856" s="163" t="s">
        <v>6353</v>
      </c>
      <c r="L4856" s="163" t="s">
        <v>3832</v>
      </c>
      <c r="M4856" s="163" t="s">
        <v>254</v>
      </c>
      <c r="N4856" s="163" t="s">
        <v>7370</v>
      </c>
      <c r="O4856" s="163"/>
      <c r="P4856" s="182" t="s">
        <v>461</v>
      </c>
      <c r="Q4856" s="163" t="s">
        <v>729</v>
      </c>
      <c r="R4856" s="186" t="s">
        <v>4796</v>
      </c>
      <c r="S4856" s="355" t="s">
        <v>2614</v>
      </c>
      <c r="T4856" s="182" t="s">
        <v>1738</v>
      </c>
      <c r="U4856" s="182"/>
      <c r="V4856" s="182"/>
      <c r="W4856" s="314" t="s">
        <v>4299</v>
      </c>
      <c r="X4856" s="646" t="s">
        <v>13227</v>
      </c>
      <c r="Y4856" s="355"/>
      <c r="Z4856" s="185"/>
      <c r="AA4856" s="185"/>
      <c r="AB4856" s="33">
        <f t="shared" ca="1" si="119"/>
        <v>0.78983727940553794</v>
      </c>
      <c r="AC4856" s="813"/>
      <c r="AD4856" s="211"/>
      <c r="AE4856" s="941"/>
      <c r="AF4856" s="922">
        <f>IF(X4856=X4855,AF4855,0)+IF(ISNUMBER(I4856),IF(I4856&lt;1,I4856,I4856*VLOOKUP(J4856,Summary!$H$2:$I$9,2)),VLOOKUP(J4856,Summary!$J$2:$K$9,2)*IF(ISNUMBER(H4856),H4856,1))</f>
        <v>0.98495370370370372</v>
      </c>
      <c r="AG4856" s="290">
        <v>4855</v>
      </c>
      <c r="AH4856" s="94"/>
      <c r="AI4856" s="94"/>
    </row>
    <row r="4857" spans="1:35" s="58" customFormat="1" ht="12" customHeight="1" x14ac:dyDescent="0.2">
      <c r="A4857" s="614" t="s">
        <v>13229</v>
      </c>
      <c r="B4857" s="614">
        <v>11</v>
      </c>
      <c r="C4857" s="614">
        <v>228</v>
      </c>
      <c r="D4857" s="185" t="s">
        <v>6792</v>
      </c>
      <c r="E4857" s="314" t="s">
        <v>4300</v>
      </c>
      <c r="F4857" s="184">
        <v>41060</v>
      </c>
      <c r="G4857" s="184"/>
      <c r="H4857" s="185">
        <v>1</v>
      </c>
      <c r="I4857" s="185">
        <v>4</v>
      </c>
      <c r="J4857" s="901" t="s">
        <v>1796</v>
      </c>
      <c r="K4857" s="163" t="s">
        <v>6353</v>
      </c>
      <c r="L4857" s="163" t="s">
        <v>3832</v>
      </c>
      <c r="M4857" s="163" t="s">
        <v>254</v>
      </c>
      <c r="N4857" s="163" t="s">
        <v>7370</v>
      </c>
      <c r="O4857" s="163"/>
      <c r="P4857" s="182" t="s">
        <v>461</v>
      </c>
      <c r="Q4857" s="163" t="s">
        <v>729</v>
      </c>
      <c r="R4857" s="186" t="s">
        <v>4796</v>
      </c>
      <c r="S4857" s="355" t="s">
        <v>2614</v>
      </c>
      <c r="T4857" s="182" t="s">
        <v>1738</v>
      </c>
      <c r="U4857" s="182"/>
      <c r="V4857" s="182"/>
      <c r="W4857" s="314" t="s">
        <v>4300</v>
      </c>
      <c r="X4857" s="646" t="s">
        <v>13227</v>
      </c>
      <c r="Y4857" s="355"/>
      <c r="Z4857" s="185"/>
      <c r="AA4857" s="185"/>
      <c r="AB4857" s="33">
        <f t="shared" ca="1" si="119"/>
        <v>0.67230872429020605</v>
      </c>
      <c r="AC4857" s="813"/>
      <c r="AD4857" s="211"/>
      <c r="AE4857" s="941"/>
      <c r="AF4857" s="922">
        <f>IF(X4857=X4856,AF4856,0)+IF(ISNUMBER(I4857),IF(I4857&lt;1,I4857,I4857*VLOOKUP(J4857,Summary!$H$2:$I$9,2)),VLOOKUP(J4857,Summary!$J$2:$K$9,2)*IF(ISNUMBER(H4857),H4857,1))</f>
        <v>0.9863425925925926</v>
      </c>
      <c r="AG4857" s="290">
        <v>4856</v>
      </c>
      <c r="AH4857" s="94"/>
      <c r="AI4857" s="94"/>
    </row>
    <row r="4858" spans="1:35" s="57" customFormat="1" ht="12" customHeight="1" x14ac:dyDescent="0.25">
      <c r="A4858" s="614" t="s">
        <v>13229</v>
      </c>
      <c r="B4858" s="614">
        <v>11</v>
      </c>
      <c r="C4858" s="614">
        <v>229</v>
      </c>
      <c r="D4858" s="185" t="s">
        <v>6793</v>
      </c>
      <c r="E4858" s="314" t="s">
        <v>4301</v>
      </c>
      <c r="F4858" s="184">
        <v>41067</v>
      </c>
      <c r="G4858" s="184"/>
      <c r="H4858" s="185">
        <v>1</v>
      </c>
      <c r="I4858" s="185">
        <v>4</v>
      </c>
      <c r="J4858" s="901" t="s">
        <v>1796</v>
      </c>
      <c r="K4858" s="163" t="s">
        <v>176</v>
      </c>
      <c r="L4858" s="163" t="s">
        <v>3832</v>
      </c>
      <c r="M4858" s="163" t="s">
        <v>254</v>
      </c>
      <c r="N4858" s="163" t="s">
        <v>7370</v>
      </c>
      <c r="O4858" s="163"/>
      <c r="P4858" s="182" t="s">
        <v>461</v>
      </c>
      <c r="Q4858" s="163" t="s">
        <v>729</v>
      </c>
      <c r="R4858" s="186" t="s">
        <v>4796</v>
      </c>
      <c r="S4858" s="355" t="s">
        <v>2614</v>
      </c>
      <c r="T4858" s="182" t="s">
        <v>1738</v>
      </c>
      <c r="U4858" s="182"/>
      <c r="V4858" s="182"/>
      <c r="W4858" s="314" t="s">
        <v>4301</v>
      </c>
      <c r="X4858" s="646" t="s">
        <v>13227</v>
      </c>
      <c r="Y4858" s="355"/>
      <c r="Z4858" s="185"/>
      <c r="AA4858" s="185"/>
      <c r="AB4858" s="33">
        <f t="shared" ca="1" si="119"/>
        <v>0.98031743199180055</v>
      </c>
      <c r="AC4858" s="813"/>
      <c r="AD4858" s="211"/>
      <c r="AE4858" s="941"/>
      <c r="AF4858" s="922">
        <f>IF(X4858=X4857,AF4857,0)+IF(ISNUMBER(I4858),IF(I4858&lt;1,I4858,I4858*VLOOKUP(J4858,Summary!$H$2:$I$9,2)),VLOOKUP(J4858,Summary!$J$2:$K$9,2)*IF(ISNUMBER(H4858),H4858,1))</f>
        <v>0.98773148148148149</v>
      </c>
      <c r="AG4858" s="290">
        <v>4857</v>
      </c>
      <c r="AH4858" s="94"/>
      <c r="AI4858" s="94"/>
    </row>
    <row r="4859" spans="1:35" s="22" customFormat="1" ht="12" customHeight="1" x14ac:dyDescent="0.2">
      <c r="A4859" s="614" t="s">
        <v>13229</v>
      </c>
      <c r="B4859" s="614">
        <v>11</v>
      </c>
      <c r="C4859" s="614">
        <v>230</v>
      </c>
      <c r="D4859" s="185" t="s">
        <v>277</v>
      </c>
      <c r="E4859" s="314" t="s">
        <v>1042</v>
      </c>
      <c r="F4859" s="184">
        <v>41074</v>
      </c>
      <c r="G4859" s="184"/>
      <c r="H4859" s="185">
        <v>1</v>
      </c>
      <c r="I4859" s="185">
        <v>4</v>
      </c>
      <c r="J4859" s="901" t="s">
        <v>1796</v>
      </c>
      <c r="K4859" s="163" t="s">
        <v>4147</v>
      </c>
      <c r="L4859" s="163" t="s">
        <v>3832</v>
      </c>
      <c r="M4859" s="163" t="s">
        <v>254</v>
      </c>
      <c r="N4859" s="163" t="s">
        <v>7370</v>
      </c>
      <c r="O4859" s="163"/>
      <c r="P4859" s="182" t="s">
        <v>461</v>
      </c>
      <c r="Q4859" s="163" t="s">
        <v>729</v>
      </c>
      <c r="R4859" s="186" t="s">
        <v>4796</v>
      </c>
      <c r="S4859" s="355" t="s">
        <v>2614</v>
      </c>
      <c r="T4859" s="182" t="s">
        <v>1738</v>
      </c>
      <c r="U4859" s="182"/>
      <c r="V4859" s="182"/>
      <c r="W4859" s="314" t="s">
        <v>1042</v>
      </c>
      <c r="X4859" s="646" t="s">
        <v>13227</v>
      </c>
      <c r="Y4859" s="355"/>
      <c r="Z4859" s="185"/>
      <c r="AA4859" s="185"/>
      <c r="AB4859" s="33">
        <f t="shared" ca="1" si="119"/>
        <v>0.81167772913738023</v>
      </c>
      <c r="AC4859" s="813"/>
      <c r="AD4859" s="211"/>
      <c r="AE4859" s="941"/>
      <c r="AF4859" s="922">
        <f>IF(X4859=X4858,AF4858,0)+IF(ISNUMBER(I4859),IF(I4859&lt;1,I4859,I4859*VLOOKUP(J4859,Summary!$H$2:$I$9,2)),VLOOKUP(J4859,Summary!$J$2:$K$9,2)*IF(ISNUMBER(H4859),H4859,1))</f>
        <v>0.98912037037037037</v>
      </c>
      <c r="AG4859" s="290">
        <v>4858</v>
      </c>
      <c r="AH4859" s="94"/>
      <c r="AI4859" s="94"/>
    </row>
    <row r="4860" spans="1:35" s="57" customFormat="1" ht="12" customHeight="1" x14ac:dyDescent="0.25">
      <c r="A4860" s="614" t="s">
        <v>13229</v>
      </c>
      <c r="B4860" s="614">
        <v>11</v>
      </c>
      <c r="C4860" s="614">
        <v>231</v>
      </c>
      <c r="D4860" s="185" t="s">
        <v>6478</v>
      </c>
      <c r="E4860" s="314" t="s">
        <v>1043</v>
      </c>
      <c r="F4860" s="184">
        <v>41081</v>
      </c>
      <c r="G4860" s="184"/>
      <c r="H4860" s="185">
        <v>1</v>
      </c>
      <c r="I4860" s="185">
        <v>4</v>
      </c>
      <c r="J4860" s="901" t="s">
        <v>1796</v>
      </c>
      <c r="K4860" s="163" t="s">
        <v>4147</v>
      </c>
      <c r="L4860" s="163" t="s">
        <v>3832</v>
      </c>
      <c r="M4860" s="163" t="s">
        <v>254</v>
      </c>
      <c r="N4860" s="163" t="s">
        <v>7370</v>
      </c>
      <c r="O4860" s="163"/>
      <c r="P4860" s="182" t="s">
        <v>461</v>
      </c>
      <c r="Q4860" s="163" t="s">
        <v>729</v>
      </c>
      <c r="R4860" s="186" t="s">
        <v>4796</v>
      </c>
      <c r="S4860" s="355" t="s">
        <v>2614</v>
      </c>
      <c r="T4860" s="182" t="s">
        <v>1738</v>
      </c>
      <c r="U4860" s="182"/>
      <c r="V4860" s="182"/>
      <c r="W4860" s="314" t="s">
        <v>1043</v>
      </c>
      <c r="X4860" s="646" t="s">
        <v>13227</v>
      </c>
      <c r="Y4860" s="355"/>
      <c r="Z4860" s="185"/>
      <c r="AA4860" s="185"/>
      <c r="AB4860" s="33">
        <f t="shared" ca="1" si="119"/>
        <v>0.9166991964362049</v>
      </c>
      <c r="AC4860" s="813"/>
      <c r="AD4860" s="211"/>
      <c r="AE4860" s="941"/>
      <c r="AF4860" s="922">
        <f>IF(X4860=X4859,AF4859,0)+IF(ISNUMBER(I4860),IF(I4860&lt;1,I4860,I4860*VLOOKUP(J4860,Summary!$H$2:$I$9,2)),VLOOKUP(J4860,Summary!$J$2:$K$9,2)*IF(ISNUMBER(H4860),H4860,1))</f>
        <v>0.99050925925925926</v>
      </c>
      <c r="AG4860" s="290">
        <v>4859</v>
      </c>
      <c r="AH4860" s="94"/>
      <c r="AI4860" s="94"/>
    </row>
    <row r="4861" spans="1:35" s="22" customFormat="1" ht="12" customHeight="1" x14ac:dyDescent="0.2">
      <c r="A4861" s="614" t="s">
        <v>13229</v>
      </c>
      <c r="B4861" s="614">
        <v>11</v>
      </c>
      <c r="C4861" s="614">
        <v>232</v>
      </c>
      <c r="D4861" s="185" t="s">
        <v>6479</v>
      </c>
      <c r="E4861" s="314" t="s">
        <v>1044</v>
      </c>
      <c r="F4861" s="184">
        <v>41088</v>
      </c>
      <c r="G4861" s="184"/>
      <c r="H4861" s="185">
        <v>1</v>
      </c>
      <c r="I4861" s="185">
        <v>4</v>
      </c>
      <c r="J4861" s="901" t="s">
        <v>1796</v>
      </c>
      <c r="K4861" s="163" t="s">
        <v>4672</v>
      </c>
      <c r="L4861" s="163" t="s">
        <v>3832</v>
      </c>
      <c r="M4861" s="163" t="s">
        <v>254</v>
      </c>
      <c r="N4861" s="163" t="s">
        <v>7370</v>
      </c>
      <c r="O4861" s="163"/>
      <c r="P4861" s="182" t="s">
        <v>461</v>
      </c>
      <c r="Q4861" s="163" t="s">
        <v>729</v>
      </c>
      <c r="R4861" s="186" t="s">
        <v>4796</v>
      </c>
      <c r="S4861" s="355" t="s">
        <v>2614</v>
      </c>
      <c r="T4861" s="182" t="s">
        <v>1738</v>
      </c>
      <c r="U4861" s="182"/>
      <c r="V4861" s="182"/>
      <c r="W4861" s="314" t="s">
        <v>1044</v>
      </c>
      <c r="X4861" s="646" t="s">
        <v>13227</v>
      </c>
      <c r="Y4861" s="355"/>
      <c r="Z4861" s="185"/>
      <c r="AA4861" s="185"/>
      <c r="AB4861" s="33">
        <f t="shared" ca="1" si="119"/>
        <v>0.2074808273809382</v>
      </c>
      <c r="AC4861" s="813"/>
      <c r="AD4861" s="211"/>
      <c r="AE4861" s="941"/>
      <c r="AF4861" s="922">
        <f>IF(X4861=X4860,AF4860,0)+IF(ISNUMBER(I4861),IF(I4861&lt;1,I4861,I4861*VLOOKUP(J4861,Summary!$H$2:$I$9,2)),VLOOKUP(J4861,Summary!$J$2:$K$9,2)*IF(ISNUMBER(H4861),H4861,1))</f>
        <v>0.99189814814814814</v>
      </c>
      <c r="AG4861" s="290">
        <v>4860</v>
      </c>
      <c r="AH4861" s="94"/>
      <c r="AI4861" s="94"/>
    </row>
    <row r="4862" spans="1:35" s="22" customFormat="1" ht="12" customHeight="1" x14ac:dyDescent="0.2">
      <c r="A4862" s="614" t="s">
        <v>13229</v>
      </c>
      <c r="B4862" s="614">
        <v>11</v>
      </c>
      <c r="C4862" s="614">
        <v>233</v>
      </c>
      <c r="D4862" s="185" t="s">
        <v>6480</v>
      </c>
      <c r="E4862" s="314" t="s">
        <v>1045</v>
      </c>
      <c r="F4862" s="184">
        <v>41095</v>
      </c>
      <c r="G4862" s="184"/>
      <c r="H4862" s="185">
        <v>1</v>
      </c>
      <c r="I4862" s="185">
        <v>4</v>
      </c>
      <c r="J4862" s="901" t="s">
        <v>1796</v>
      </c>
      <c r="K4862" s="163" t="s">
        <v>4</v>
      </c>
      <c r="L4862" s="163" t="s">
        <v>3832</v>
      </c>
      <c r="M4862" s="163" t="s">
        <v>254</v>
      </c>
      <c r="N4862" s="163" t="s">
        <v>7370</v>
      </c>
      <c r="O4862" s="163"/>
      <c r="P4862" s="182" t="s">
        <v>461</v>
      </c>
      <c r="Q4862" s="163" t="s">
        <v>729</v>
      </c>
      <c r="R4862" s="186" t="s">
        <v>4796</v>
      </c>
      <c r="S4862" s="355" t="s">
        <v>2614</v>
      </c>
      <c r="T4862" s="182" t="s">
        <v>1738</v>
      </c>
      <c r="U4862" s="182"/>
      <c r="V4862" s="182"/>
      <c r="W4862" s="314" t="s">
        <v>1045</v>
      </c>
      <c r="X4862" s="646" t="s">
        <v>13227</v>
      </c>
      <c r="Y4862" s="355"/>
      <c r="Z4862" s="185"/>
      <c r="AA4862" s="185"/>
      <c r="AB4862" s="33">
        <f t="shared" ca="1" si="119"/>
        <v>0.79878950397169923</v>
      </c>
      <c r="AC4862" s="813"/>
      <c r="AD4862" s="211"/>
      <c r="AE4862" s="941"/>
      <c r="AF4862" s="922">
        <f>IF(X4862=X4861,AF4861,0)+IF(ISNUMBER(I4862),IF(I4862&lt;1,I4862,I4862*VLOOKUP(J4862,Summary!$H$2:$I$9,2)),VLOOKUP(J4862,Summary!$J$2:$K$9,2)*IF(ISNUMBER(H4862),H4862,1))</f>
        <v>0.99328703703703702</v>
      </c>
      <c r="AG4862" s="290">
        <v>4861</v>
      </c>
      <c r="AH4862" s="94"/>
      <c r="AI4862" s="94"/>
    </row>
    <row r="4863" spans="1:35" s="22" customFormat="1" ht="12" customHeight="1" x14ac:dyDescent="0.2">
      <c r="A4863" s="617" t="s">
        <v>13229</v>
      </c>
      <c r="B4863" s="617">
        <v>11</v>
      </c>
      <c r="C4863" s="617">
        <v>18</v>
      </c>
      <c r="D4863" s="170" t="s">
        <v>2210</v>
      </c>
      <c r="E4863" s="348" t="s">
        <v>2211</v>
      </c>
      <c r="F4863" s="196">
        <v>41095</v>
      </c>
      <c r="G4863" s="196"/>
      <c r="H4863" s="170">
        <v>1</v>
      </c>
      <c r="I4863" s="746">
        <f>TIME(1,19,54)</f>
        <v>5.5486111111111104E-2</v>
      </c>
      <c r="J4863" s="899" t="s">
        <v>4706</v>
      </c>
      <c r="K4863" s="279" t="s">
        <v>5146</v>
      </c>
      <c r="L4863" s="279"/>
      <c r="M4863" s="279" t="s">
        <v>925</v>
      </c>
      <c r="N4863" s="279"/>
      <c r="O4863" s="279"/>
      <c r="P4863" s="168" t="s">
        <v>255</v>
      </c>
      <c r="Q4863" s="279" t="s">
        <v>7290</v>
      </c>
      <c r="R4863" s="172" t="s">
        <v>2240</v>
      </c>
      <c r="S4863" s="388" t="s">
        <v>2614</v>
      </c>
      <c r="T4863" s="168" t="s">
        <v>1738</v>
      </c>
      <c r="U4863" s="168"/>
      <c r="V4863" s="168"/>
      <c r="W4863" s="348" t="s">
        <v>2211</v>
      </c>
      <c r="X4863" s="683" t="s">
        <v>13227</v>
      </c>
      <c r="Y4863" s="388" t="s">
        <v>5643</v>
      </c>
      <c r="Z4863" s="170"/>
      <c r="AA4863" s="170"/>
      <c r="AB4863" s="31">
        <f t="shared" ca="1" si="119"/>
        <v>0.13738487370024244</v>
      </c>
      <c r="AC4863" s="810"/>
      <c r="AD4863" s="811"/>
      <c r="AE4863" s="876"/>
      <c r="AF4863" s="920">
        <f>IF(X4863=X4862,AF4862,0)+IF(ISNUMBER(I4863),IF(I4863&lt;1,I4863,I4863*VLOOKUP(J4863,Summary!$H$2:$I$9,2)),VLOOKUP(J4863,Summary!$J$2:$K$9,2)*IF(ISNUMBER(H4863),H4863,1))</f>
        <v>1.0487731481481481</v>
      </c>
      <c r="AG4863" s="311">
        <v>4862</v>
      </c>
      <c r="AH4863" s="94"/>
      <c r="AI4863" s="94"/>
    </row>
    <row r="4864" spans="1:35" s="57" customFormat="1" ht="12" customHeight="1" x14ac:dyDescent="0.25">
      <c r="A4864" s="614" t="s">
        <v>13229</v>
      </c>
      <c r="B4864" s="614">
        <v>11</v>
      </c>
      <c r="C4864" s="614"/>
      <c r="D4864" s="185" t="s">
        <v>13438</v>
      </c>
      <c r="E4864" s="314" t="s">
        <v>13441</v>
      </c>
      <c r="F4864" s="184">
        <v>41164</v>
      </c>
      <c r="G4864" s="184"/>
      <c r="H4864" s="185">
        <v>1</v>
      </c>
      <c r="I4864" s="185">
        <v>16</v>
      </c>
      <c r="J4864" s="901" t="s">
        <v>1796</v>
      </c>
      <c r="K4864" s="163" t="s">
        <v>2675</v>
      </c>
      <c r="L4864" s="163" t="s">
        <v>23</v>
      </c>
      <c r="M4864" s="163" t="s">
        <v>6567</v>
      </c>
      <c r="N4864" s="163" t="s">
        <v>6573</v>
      </c>
      <c r="O4864" s="163"/>
      <c r="P4864" s="182" t="s">
        <v>461</v>
      </c>
      <c r="Q4864" s="163" t="s">
        <v>5719</v>
      </c>
      <c r="R4864" s="186" t="s">
        <v>5718</v>
      </c>
      <c r="S4864" s="355" t="s">
        <v>2614</v>
      </c>
      <c r="T4864" s="182" t="s">
        <v>1738</v>
      </c>
      <c r="U4864" s="182"/>
      <c r="V4864" s="182"/>
      <c r="W4864" s="314" t="s">
        <v>13441</v>
      </c>
      <c r="X4864" s="646" t="s">
        <v>13227</v>
      </c>
      <c r="Y4864" s="355" t="s">
        <v>6000</v>
      </c>
      <c r="Z4864" s="185"/>
      <c r="AA4864" s="185"/>
      <c r="AB4864" s="33">
        <f t="shared" ca="1" si="119"/>
        <v>0.94821030070080525</v>
      </c>
      <c r="AC4864" s="813"/>
      <c r="AD4864" s="211"/>
      <c r="AE4864" s="941"/>
      <c r="AF4864" s="922">
        <f>IF(X4864=X4863,AF4863,0)+IF(ISNUMBER(I4864),IF(I4864&lt;1,I4864,I4864*VLOOKUP(J4864,Summary!$H$2:$I$9,2)),VLOOKUP(J4864,Summary!$J$2:$K$9,2)*IF(ISNUMBER(H4864),H4864,1))</f>
        <v>1.0543287037037037</v>
      </c>
      <c r="AG4864" s="290">
        <v>4863</v>
      </c>
      <c r="AH4864" s="94"/>
      <c r="AI4864" s="94"/>
    </row>
    <row r="4865" spans="1:35" s="58" customFormat="1" ht="12" customHeight="1" x14ac:dyDescent="0.2">
      <c r="A4865" s="614" t="s">
        <v>13229</v>
      </c>
      <c r="B4865" s="614">
        <v>11</v>
      </c>
      <c r="C4865" s="614">
        <v>234</v>
      </c>
      <c r="D4865" s="185" t="s">
        <v>6481</v>
      </c>
      <c r="E4865" s="314" t="s">
        <v>1046</v>
      </c>
      <c r="F4865" s="184">
        <v>41102</v>
      </c>
      <c r="G4865" s="184"/>
      <c r="H4865" s="185">
        <v>1</v>
      </c>
      <c r="I4865" s="185">
        <v>4</v>
      </c>
      <c r="J4865" s="901" t="s">
        <v>1796</v>
      </c>
      <c r="K4865" s="163" t="s">
        <v>6353</v>
      </c>
      <c r="L4865" s="163" t="s">
        <v>3832</v>
      </c>
      <c r="M4865" s="163" t="s">
        <v>254</v>
      </c>
      <c r="N4865" s="163" t="s">
        <v>7370</v>
      </c>
      <c r="O4865" s="163"/>
      <c r="P4865" s="182" t="s">
        <v>461</v>
      </c>
      <c r="Q4865" s="163" t="s">
        <v>729</v>
      </c>
      <c r="R4865" s="186" t="s">
        <v>4796</v>
      </c>
      <c r="S4865" s="355" t="s">
        <v>2614</v>
      </c>
      <c r="T4865" s="182" t="s">
        <v>1738</v>
      </c>
      <c r="U4865" s="182"/>
      <c r="V4865" s="182"/>
      <c r="W4865" s="314" t="s">
        <v>1046</v>
      </c>
      <c r="X4865" s="646" t="s">
        <v>13227</v>
      </c>
      <c r="Y4865" s="355"/>
      <c r="Z4865" s="185"/>
      <c r="AA4865" s="185"/>
      <c r="AB4865" s="33">
        <f t="shared" ca="1" si="119"/>
        <v>4.947253751406111E-2</v>
      </c>
      <c r="AC4865" s="813"/>
      <c r="AD4865" s="211"/>
      <c r="AE4865" s="941"/>
      <c r="AF4865" s="922">
        <f>IF(X4865=X4864,AF4864,0)+IF(ISNUMBER(I4865),IF(I4865&lt;1,I4865,I4865*VLOOKUP(J4865,Summary!$H$2:$I$9,2)),VLOOKUP(J4865,Summary!$J$2:$K$9,2)*IF(ISNUMBER(H4865),H4865,1))</f>
        <v>1.0557175925925926</v>
      </c>
      <c r="AG4865" s="290">
        <v>4864</v>
      </c>
      <c r="AH4865" s="94"/>
      <c r="AI4865" s="94"/>
    </row>
    <row r="4866" spans="1:35" s="1" customFormat="1" ht="12" customHeight="1" x14ac:dyDescent="0.25">
      <c r="A4866" s="614" t="s">
        <v>13229</v>
      </c>
      <c r="B4866" s="614">
        <v>11</v>
      </c>
      <c r="C4866" s="614">
        <v>235</v>
      </c>
      <c r="D4866" s="185" t="s">
        <v>6482</v>
      </c>
      <c r="E4866" s="314" t="s">
        <v>1047</v>
      </c>
      <c r="F4866" s="184">
        <v>41109</v>
      </c>
      <c r="G4866" s="184"/>
      <c r="H4866" s="185">
        <v>1</v>
      </c>
      <c r="I4866" s="185">
        <v>4</v>
      </c>
      <c r="J4866" s="901" t="s">
        <v>1796</v>
      </c>
      <c r="K4866" s="163" t="s">
        <v>4672</v>
      </c>
      <c r="L4866" s="163" t="s">
        <v>3832</v>
      </c>
      <c r="M4866" s="163" t="s">
        <v>254</v>
      </c>
      <c r="N4866" s="163" t="s">
        <v>7370</v>
      </c>
      <c r="O4866" s="163"/>
      <c r="P4866" s="182" t="s">
        <v>461</v>
      </c>
      <c r="Q4866" s="163" t="s">
        <v>729</v>
      </c>
      <c r="R4866" s="186" t="s">
        <v>4796</v>
      </c>
      <c r="S4866" s="355" t="s">
        <v>2614</v>
      </c>
      <c r="T4866" s="182" t="s">
        <v>1738</v>
      </c>
      <c r="U4866" s="182"/>
      <c r="V4866" s="182"/>
      <c r="W4866" s="314" t="s">
        <v>1047</v>
      </c>
      <c r="X4866" s="646" t="s">
        <v>13227</v>
      </c>
      <c r="Y4866" s="355"/>
      <c r="Z4866" s="185"/>
      <c r="AA4866" s="185"/>
      <c r="AB4866" s="33">
        <f t="shared" ref="AB4866:AB4929" ca="1" si="120">RAND()</f>
        <v>0.79613412400001349</v>
      </c>
      <c r="AC4866" s="813"/>
      <c r="AD4866" s="211"/>
      <c r="AE4866" s="941"/>
      <c r="AF4866" s="922">
        <f>IF(X4866=X4865,AF4865,0)+IF(ISNUMBER(I4866),IF(I4866&lt;1,I4866,I4866*VLOOKUP(J4866,Summary!$H$2:$I$9,2)),VLOOKUP(J4866,Summary!$J$2:$K$9,2)*IF(ISNUMBER(H4866),H4866,1))</f>
        <v>1.0571064814814815</v>
      </c>
      <c r="AG4866" s="290">
        <v>4865</v>
      </c>
      <c r="AH4866" s="94"/>
      <c r="AI4866" s="94"/>
    </row>
    <row r="4867" spans="1:35" s="58" customFormat="1" ht="12" customHeight="1" x14ac:dyDescent="0.2">
      <c r="A4867" s="614" t="s">
        <v>13229</v>
      </c>
      <c r="B4867" s="614">
        <v>11</v>
      </c>
      <c r="C4867" s="614">
        <v>236</v>
      </c>
      <c r="D4867" s="185" t="s">
        <v>6483</v>
      </c>
      <c r="E4867" s="314" t="s">
        <v>1048</v>
      </c>
      <c r="F4867" s="184">
        <v>41116</v>
      </c>
      <c r="G4867" s="184"/>
      <c r="H4867" s="185">
        <v>1</v>
      </c>
      <c r="I4867" s="185">
        <v>4</v>
      </c>
      <c r="J4867" s="901" t="s">
        <v>1796</v>
      </c>
      <c r="K4867" s="163" t="s">
        <v>4147</v>
      </c>
      <c r="L4867" s="163" t="s">
        <v>3832</v>
      </c>
      <c r="M4867" s="163" t="s">
        <v>254</v>
      </c>
      <c r="N4867" s="163" t="s">
        <v>7370</v>
      </c>
      <c r="O4867" s="163"/>
      <c r="P4867" s="182" t="s">
        <v>461</v>
      </c>
      <c r="Q4867" s="163" t="s">
        <v>729</v>
      </c>
      <c r="R4867" s="186" t="s">
        <v>4796</v>
      </c>
      <c r="S4867" s="355" t="s">
        <v>2614</v>
      </c>
      <c r="T4867" s="182" t="s">
        <v>1738</v>
      </c>
      <c r="U4867" s="182"/>
      <c r="V4867" s="182"/>
      <c r="W4867" s="314" t="s">
        <v>1048</v>
      </c>
      <c r="X4867" s="646" t="s">
        <v>13227</v>
      </c>
      <c r="Y4867" s="355"/>
      <c r="Z4867" s="185"/>
      <c r="AA4867" s="185"/>
      <c r="AB4867" s="33">
        <f t="shared" ca="1" si="120"/>
        <v>0.54514888269369022</v>
      </c>
      <c r="AC4867" s="813"/>
      <c r="AD4867" s="211"/>
      <c r="AE4867" s="941"/>
      <c r="AF4867" s="922">
        <f>IF(X4867=X4866,AF4866,0)+IF(ISNUMBER(I4867),IF(I4867&lt;1,I4867,I4867*VLOOKUP(J4867,Summary!$H$2:$I$9,2)),VLOOKUP(J4867,Summary!$J$2:$K$9,2)*IF(ISNUMBER(H4867),H4867,1))</f>
        <v>1.0584953703703703</v>
      </c>
      <c r="AG4867" s="290">
        <v>4866</v>
      </c>
      <c r="AH4867" s="94"/>
      <c r="AI4867" s="94"/>
    </row>
    <row r="4868" spans="1:35" s="58" customFormat="1" ht="12" customHeight="1" x14ac:dyDescent="0.2">
      <c r="A4868" s="614"/>
      <c r="B4868" s="614">
        <v>11</v>
      </c>
      <c r="C4868" s="614">
        <v>237</v>
      </c>
      <c r="D4868" s="185" t="s">
        <v>6484</v>
      </c>
      <c r="E4868" s="314" t="s">
        <v>1049</v>
      </c>
      <c r="F4868" s="184">
        <v>41123</v>
      </c>
      <c r="G4868" s="184"/>
      <c r="H4868" s="185">
        <v>1</v>
      </c>
      <c r="I4868" s="185">
        <v>4</v>
      </c>
      <c r="J4868" s="901" t="s">
        <v>1796</v>
      </c>
      <c r="K4868" s="163" t="s">
        <v>6353</v>
      </c>
      <c r="L4868" s="163" t="s">
        <v>3832</v>
      </c>
      <c r="M4868" s="163" t="s">
        <v>254</v>
      </c>
      <c r="N4868" s="163" t="s">
        <v>7370</v>
      </c>
      <c r="O4868" s="163"/>
      <c r="P4868" s="182" t="s">
        <v>461</v>
      </c>
      <c r="Q4868" s="163" t="s">
        <v>729</v>
      </c>
      <c r="R4868" s="186" t="s">
        <v>4796</v>
      </c>
      <c r="S4868" s="355" t="s">
        <v>2614</v>
      </c>
      <c r="T4868" s="182" t="s">
        <v>1738</v>
      </c>
      <c r="U4868" s="182"/>
      <c r="V4868" s="182"/>
      <c r="W4868" s="314" t="s">
        <v>1049</v>
      </c>
      <c r="X4868" s="646" t="s">
        <v>13227</v>
      </c>
      <c r="Y4868" s="355"/>
      <c r="Z4868" s="185"/>
      <c r="AA4868" s="185"/>
      <c r="AB4868" s="33">
        <f t="shared" ca="1" si="120"/>
        <v>0.44654593064792181</v>
      </c>
      <c r="AC4868" s="813"/>
      <c r="AD4868" s="211"/>
      <c r="AE4868" s="941"/>
      <c r="AF4868" s="922">
        <f>IF(X4868=X4867,AF4867,0)+IF(ISNUMBER(I4868),IF(I4868&lt;1,I4868,I4868*VLOOKUP(J4868,Summary!$H$2:$I$9,2)),VLOOKUP(J4868,Summary!$J$2:$K$9,2)*IF(ISNUMBER(H4868),H4868,1))</f>
        <v>1.0598842592592592</v>
      </c>
      <c r="AG4868" s="290">
        <v>4867</v>
      </c>
      <c r="AH4868" s="94"/>
      <c r="AI4868" s="94"/>
    </row>
    <row r="4869" spans="1:35" s="57" customFormat="1" ht="12" customHeight="1" x14ac:dyDescent="0.25">
      <c r="A4869" s="614" t="s">
        <v>13229</v>
      </c>
      <c r="B4869" s="614">
        <v>11</v>
      </c>
      <c r="C4869" s="614">
        <v>238</v>
      </c>
      <c r="D4869" s="185" t="s">
        <v>6485</v>
      </c>
      <c r="E4869" s="314" t="s">
        <v>1050</v>
      </c>
      <c r="F4869" s="184">
        <v>41130</v>
      </c>
      <c r="G4869" s="184"/>
      <c r="H4869" s="185">
        <v>1</v>
      </c>
      <c r="I4869" s="185">
        <v>4</v>
      </c>
      <c r="J4869" s="901" t="s">
        <v>1796</v>
      </c>
      <c r="K4869" s="163" t="s">
        <v>3</v>
      </c>
      <c r="L4869" s="163" t="s">
        <v>3832</v>
      </c>
      <c r="M4869" s="163" t="s">
        <v>254</v>
      </c>
      <c r="N4869" s="163" t="s">
        <v>7370</v>
      </c>
      <c r="O4869" s="163"/>
      <c r="P4869" s="182" t="s">
        <v>461</v>
      </c>
      <c r="Q4869" s="163" t="s">
        <v>729</v>
      </c>
      <c r="R4869" s="186" t="s">
        <v>4796</v>
      </c>
      <c r="S4869" s="355" t="s">
        <v>2614</v>
      </c>
      <c r="T4869" s="182" t="s">
        <v>1738</v>
      </c>
      <c r="U4869" s="182"/>
      <c r="V4869" s="182"/>
      <c r="W4869" s="314" t="s">
        <v>1050</v>
      </c>
      <c r="X4869" s="646" t="s">
        <v>13227</v>
      </c>
      <c r="Y4869" s="355"/>
      <c r="Z4869" s="185"/>
      <c r="AA4869" s="185"/>
      <c r="AB4869" s="33">
        <f t="shared" ca="1" si="120"/>
        <v>0.73663747865371476</v>
      </c>
      <c r="AC4869" s="813"/>
      <c r="AD4869" s="211"/>
      <c r="AE4869" s="941"/>
      <c r="AF4869" s="922">
        <f>IF(X4869=X4868,AF4868,0)+IF(ISNUMBER(I4869),IF(I4869&lt;1,I4869,I4869*VLOOKUP(J4869,Summary!$H$2:$I$9,2)),VLOOKUP(J4869,Summary!$J$2:$K$9,2)*IF(ISNUMBER(H4869),H4869,1))</f>
        <v>1.0612731481481481</v>
      </c>
      <c r="AG4869" s="290">
        <v>4868</v>
      </c>
      <c r="AH4869" s="94"/>
      <c r="AI4869" s="94"/>
    </row>
    <row r="4870" spans="1:35" s="1" customFormat="1" ht="12" customHeight="1" x14ac:dyDescent="0.25">
      <c r="A4870" s="614" t="s">
        <v>13229</v>
      </c>
      <c r="B4870" s="614">
        <v>11</v>
      </c>
      <c r="C4870" s="614">
        <v>239</v>
      </c>
      <c r="D4870" s="185" t="s">
        <v>6495</v>
      </c>
      <c r="E4870" s="314" t="s">
        <v>1051</v>
      </c>
      <c r="F4870" s="184">
        <v>41137</v>
      </c>
      <c r="G4870" s="184"/>
      <c r="H4870" s="185">
        <v>1</v>
      </c>
      <c r="I4870" s="185">
        <v>4</v>
      </c>
      <c r="J4870" s="901" t="s">
        <v>1796</v>
      </c>
      <c r="K4870" s="163" t="s">
        <v>4</v>
      </c>
      <c r="L4870" s="163" t="s">
        <v>3832</v>
      </c>
      <c r="M4870" s="163" t="s">
        <v>254</v>
      </c>
      <c r="N4870" s="163" t="s">
        <v>7370</v>
      </c>
      <c r="O4870" s="163"/>
      <c r="P4870" s="182" t="s">
        <v>461</v>
      </c>
      <c r="Q4870" s="163" t="s">
        <v>729</v>
      </c>
      <c r="R4870" s="186" t="s">
        <v>4796</v>
      </c>
      <c r="S4870" s="355" t="s">
        <v>2614</v>
      </c>
      <c r="T4870" s="182" t="s">
        <v>1738</v>
      </c>
      <c r="U4870" s="182"/>
      <c r="V4870" s="182"/>
      <c r="W4870" s="314" t="s">
        <v>1051</v>
      </c>
      <c r="X4870" s="646" t="s">
        <v>13227</v>
      </c>
      <c r="Y4870" s="355"/>
      <c r="Z4870" s="185"/>
      <c r="AA4870" s="185"/>
      <c r="AB4870" s="33">
        <f t="shared" ca="1" si="120"/>
        <v>1.544668041688757E-2</v>
      </c>
      <c r="AC4870" s="813"/>
      <c r="AD4870" s="211"/>
      <c r="AE4870" s="941"/>
      <c r="AF4870" s="922">
        <f>IF(X4870=X4869,AF4869,0)+IF(ISNUMBER(I4870),IF(I4870&lt;1,I4870,I4870*VLOOKUP(J4870,Summary!$H$2:$I$9,2)),VLOOKUP(J4870,Summary!$J$2:$K$9,2)*IF(ISNUMBER(H4870),H4870,1))</f>
        <v>1.062662037037037</v>
      </c>
      <c r="AG4870" s="290">
        <v>4869</v>
      </c>
      <c r="AH4870" s="94"/>
      <c r="AI4870" s="94"/>
    </row>
    <row r="4871" spans="1:35" s="3" customFormat="1" ht="12" customHeight="1" x14ac:dyDescent="0.25">
      <c r="A4871" s="614" t="s">
        <v>13229</v>
      </c>
      <c r="B4871" s="614">
        <v>11</v>
      </c>
      <c r="C4871" s="614">
        <v>240</v>
      </c>
      <c r="D4871" s="185" t="s">
        <v>6486</v>
      </c>
      <c r="E4871" s="314" t="s">
        <v>1052</v>
      </c>
      <c r="F4871" s="184">
        <v>41144</v>
      </c>
      <c r="G4871" s="184"/>
      <c r="H4871" s="185">
        <v>1</v>
      </c>
      <c r="I4871" s="185">
        <v>4</v>
      </c>
      <c r="J4871" s="901" t="s">
        <v>1796</v>
      </c>
      <c r="K4871" s="163" t="s">
        <v>4</v>
      </c>
      <c r="L4871" s="163" t="s">
        <v>3832</v>
      </c>
      <c r="M4871" s="163" t="s">
        <v>254</v>
      </c>
      <c r="N4871" s="163" t="s">
        <v>7370</v>
      </c>
      <c r="O4871" s="163"/>
      <c r="P4871" s="182" t="s">
        <v>461</v>
      </c>
      <c r="Q4871" s="163" t="s">
        <v>729</v>
      </c>
      <c r="R4871" s="186" t="s">
        <v>4796</v>
      </c>
      <c r="S4871" s="355" t="s">
        <v>2614</v>
      </c>
      <c r="T4871" s="182" t="s">
        <v>1738</v>
      </c>
      <c r="U4871" s="182"/>
      <c r="V4871" s="182"/>
      <c r="W4871" s="314" t="s">
        <v>1052</v>
      </c>
      <c r="X4871" s="646" t="s">
        <v>13227</v>
      </c>
      <c r="Y4871" s="355"/>
      <c r="Z4871" s="185"/>
      <c r="AA4871" s="185"/>
      <c r="AB4871" s="33">
        <f t="shared" ca="1" si="120"/>
        <v>0.82568624154000536</v>
      </c>
      <c r="AC4871" s="813"/>
      <c r="AD4871" s="211"/>
      <c r="AE4871" s="941"/>
      <c r="AF4871" s="922">
        <f>IF(X4871=X4870,AF4870,0)+IF(ISNUMBER(I4871),IF(I4871&lt;1,I4871,I4871*VLOOKUP(J4871,Summary!$H$2:$I$9,2)),VLOOKUP(J4871,Summary!$J$2:$K$9,2)*IF(ISNUMBER(H4871),H4871,1))</f>
        <v>1.0640509259259259</v>
      </c>
      <c r="AG4871" s="290">
        <v>4870</v>
      </c>
      <c r="AH4871" s="94"/>
      <c r="AI4871" s="94"/>
    </row>
    <row r="4872" spans="1:35" s="3" customFormat="1" ht="12" customHeight="1" x14ac:dyDescent="0.25">
      <c r="A4872" s="614" t="s">
        <v>13229</v>
      </c>
      <c r="B4872" s="614">
        <v>11</v>
      </c>
      <c r="C4872" s="614">
        <v>241</v>
      </c>
      <c r="D4872" s="185" t="s">
        <v>6487</v>
      </c>
      <c r="E4872" s="314" t="s">
        <v>1053</v>
      </c>
      <c r="F4872" s="184">
        <v>41151</v>
      </c>
      <c r="G4872" s="184"/>
      <c r="H4872" s="185">
        <v>1</v>
      </c>
      <c r="I4872" s="185">
        <v>4</v>
      </c>
      <c r="J4872" s="901" t="s">
        <v>1796</v>
      </c>
      <c r="K4872" s="163" t="s">
        <v>4032</v>
      </c>
      <c r="L4872" s="163" t="s">
        <v>3832</v>
      </c>
      <c r="M4872" s="163" t="s">
        <v>254</v>
      </c>
      <c r="N4872" s="163" t="s">
        <v>7370</v>
      </c>
      <c r="O4872" s="163"/>
      <c r="P4872" s="182" t="s">
        <v>461</v>
      </c>
      <c r="Q4872" s="163" t="s">
        <v>729</v>
      </c>
      <c r="R4872" s="186" t="s">
        <v>4796</v>
      </c>
      <c r="S4872" s="355" t="s">
        <v>2614</v>
      </c>
      <c r="T4872" s="182" t="s">
        <v>1738</v>
      </c>
      <c r="U4872" s="182"/>
      <c r="V4872" s="182"/>
      <c r="W4872" s="314" t="s">
        <v>1053</v>
      </c>
      <c r="X4872" s="646" t="s">
        <v>13227</v>
      </c>
      <c r="Y4872" s="355"/>
      <c r="Z4872" s="185"/>
      <c r="AA4872" s="185"/>
      <c r="AB4872" s="33">
        <f t="shared" ca="1" si="120"/>
        <v>0.74640435788192161</v>
      </c>
      <c r="AC4872" s="813"/>
      <c r="AD4872" s="211"/>
      <c r="AE4872" s="941"/>
      <c r="AF4872" s="922">
        <f>IF(X4872=X4871,AF4871,0)+IF(ISNUMBER(I4872),IF(I4872&lt;1,I4872,I4872*VLOOKUP(J4872,Summary!$H$2:$I$9,2)),VLOOKUP(J4872,Summary!$J$2:$K$9,2)*IF(ISNUMBER(H4872),H4872,1))</f>
        <v>1.0654398148148148</v>
      </c>
      <c r="AG4872" s="290">
        <v>4871</v>
      </c>
      <c r="AH4872" s="94"/>
      <c r="AI4872" s="94"/>
    </row>
    <row r="4873" spans="1:35" s="1" customFormat="1" ht="12" customHeight="1" x14ac:dyDescent="0.25">
      <c r="A4873" s="614" t="s">
        <v>13229</v>
      </c>
      <c r="B4873" s="614">
        <v>11</v>
      </c>
      <c r="C4873" s="614">
        <v>242</v>
      </c>
      <c r="D4873" s="185" t="s">
        <v>6488</v>
      </c>
      <c r="E4873" s="314" t="s">
        <v>6449</v>
      </c>
      <c r="F4873" s="184">
        <v>41158</v>
      </c>
      <c r="G4873" s="184"/>
      <c r="H4873" s="185">
        <v>1</v>
      </c>
      <c r="I4873" s="185">
        <v>4</v>
      </c>
      <c r="J4873" s="901" t="s">
        <v>1796</v>
      </c>
      <c r="K4873" s="163" t="s">
        <v>4032</v>
      </c>
      <c r="L4873" s="163" t="s">
        <v>3832</v>
      </c>
      <c r="M4873" s="163" t="s">
        <v>254</v>
      </c>
      <c r="N4873" s="163" t="s">
        <v>7370</v>
      </c>
      <c r="O4873" s="163"/>
      <c r="P4873" s="182" t="s">
        <v>461</v>
      </c>
      <c r="Q4873" s="163" t="s">
        <v>729</v>
      </c>
      <c r="R4873" s="186" t="s">
        <v>4796</v>
      </c>
      <c r="S4873" s="355" t="s">
        <v>2614</v>
      </c>
      <c r="T4873" s="182" t="s">
        <v>1738</v>
      </c>
      <c r="U4873" s="182"/>
      <c r="V4873" s="182"/>
      <c r="W4873" s="314" t="s">
        <v>6449</v>
      </c>
      <c r="X4873" s="646" t="s">
        <v>13227</v>
      </c>
      <c r="Y4873" s="355"/>
      <c r="Z4873" s="185"/>
      <c r="AA4873" s="185"/>
      <c r="AB4873" s="33">
        <f t="shared" ca="1" si="120"/>
        <v>0.97694789765158452</v>
      </c>
      <c r="AC4873" s="813"/>
      <c r="AD4873" s="211"/>
      <c r="AE4873" s="941"/>
      <c r="AF4873" s="922">
        <f>IF(X4873=X4872,AF4872,0)+IF(ISNUMBER(I4873),IF(I4873&lt;1,I4873,I4873*VLOOKUP(J4873,Summary!$H$2:$I$9,2)),VLOOKUP(J4873,Summary!$J$2:$K$9,2)*IF(ISNUMBER(H4873),H4873,1))</f>
        <v>1.0668287037037036</v>
      </c>
      <c r="AG4873" s="290">
        <v>4872</v>
      </c>
      <c r="AH4873" s="94"/>
      <c r="AI4873" s="94"/>
    </row>
    <row r="4874" spans="1:35" s="22" customFormat="1" ht="12" customHeight="1" x14ac:dyDescent="0.2">
      <c r="A4874" s="617" t="s">
        <v>13229</v>
      </c>
      <c r="B4874" s="617">
        <v>11</v>
      </c>
      <c r="C4874" s="617">
        <v>19</v>
      </c>
      <c r="D4874" s="170" t="s">
        <v>256</v>
      </c>
      <c r="E4874" s="348" t="s">
        <v>257</v>
      </c>
      <c r="F4874" s="196">
        <v>41158</v>
      </c>
      <c r="G4874" s="196"/>
      <c r="H4874" s="170">
        <v>1</v>
      </c>
      <c r="I4874" s="746">
        <f>TIME(1,8,5)</f>
        <v>4.7280092592592589E-2</v>
      </c>
      <c r="J4874" s="899" t="s">
        <v>4706</v>
      </c>
      <c r="K4874" s="279" t="s">
        <v>5664</v>
      </c>
      <c r="L4874" s="279"/>
      <c r="M4874" s="279" t="s">
        <v>925</v>
      </c>
      <c r="N4874" s="279"/>
      <c r="O4874" s="279"/>
      <c r="P4874" s="168" t="s">
        <v>258</v>
      </c>
      <c r="Q4874" s="279" t="s">
        <v>7290</v>
      </c>
      <c r="R4874" s="172" t="s">
        <v>2240</v>
      </c>
      <c r="S4874" s="388" t="s">
        <v>2614</v>
      </c>
      <c r="T4874" s="168" t="s">
        <v>1738</v>
      </c>
      <c r="U4874" s="168"/>
      <c r="V4874" s="168"/>
      <c r="W4874" s="348" t="s">
        <v>257</v>
      </c>
      <c r="X4874" s="683" t="s">
        <v>13227</v>
      </c>
      <c r="Y4874" s="388" t="s">
        <v>5643</v>
      </c>
      <c r="Z4874" s="170"/>
      <c r="AA4874" s="170"/>
      <c r="AB4874" s="31">
        <f t="shared" ca="1" si="120"/>
        <v>0.41398890158790225</v>
      </c>
      <c r="AC4874" s="810"/>
      <c r="AD4874" s="811"/>
      <c r="AE4874" s="876"/>
      <c r="AF4874" s="920">
        <f>IF(X4874=X4873,AF4873,0)+IF(ISNUMBER(I4874),IF(I4874&lt;1,I4874,I4874*VLOOKUP(J4874,Summary!$H$2:$I$9,2)),VLOOKUP(J4874,Summary!$J$2:$K$9,2)*IF(ISNUMBER(H4874),H4874,1))</f>
        <v>1.1141087962962963</v>
      </c>
      <c r="AG4874" s="311">
        <v>4873</v>
      </c>
      <c r="AH4874" s="94"/>
      <c r="AI4874" s="94"/>
    </row>
    <row r="4875" spans="1:35" s="9" customFormat="1" ht="12" customHeight="1" x14ac:dyDescent="0.25">
      <c r="A4875" s="614" t="s">
        <v>13229</v>
      </c>
      <c r="B4875" s="614">
        <v>11</v>
      </c>
      <c r="C4875" s="614">
        <v>243</v>
      </c>
      <c r="D4875" s="185" t="s">
        <v>6489</v>
      </c>
      <c r="E4875" s="314" t="s">
        <v>6450</v>
      </c>
      <c r="F4875" s="184">
        <v>41165</v>
      </c>
      <c r="G4875" s="184"/>
      <c r="H4875" s="185">
        <v>1</v>
      </c>
      <c r="I4875" s="185">
        <v>4</v>
      </c>
      <c r="J4875" s="901" t="s">
        <v>1796</v>
      </c>
      <c r="K4875" s="163" t="s">
        <v>4672</v>
      </c>
      <c r="L4875" s="163" t="s">
        <v>3832</v>
      </c>
      <c r="M4875" s="163" t="s">
        <v>254</v>
      </c>
      <c r="N4875" s="163" t="s">
        <v>7370</v>
      </c>
      <c r="O4875" s="163"/>
      <c r="P4875" s="182" t="s">
        <v>461</v>
      </c>
      <c r="Q4875" s="163" t="s">
        <v>729</v>
      </c>
      <c r="R4875" s="186" t="s">
        <v>4796</v>
      </c>
      <c r="S4875" s="355" t="s">
        <v>2614</v>
      </c>
      <c r="T4875" s="182" t="s">
        <v>1738</v>
      </c>
      <c r="U4875" s="182"/>
      <c r="V4875" s="182"/>
      <c r="W4875" s="314" t="s">
        <v>6450</v>
      </c>
      <c r="X4875" s="646" t="s">
        <v>13227</v>
      </c>
      <c r="Y4875" s="355"/>
      <c r="Z4875" s="185"/>
      <c r="AA4875" s="185"/>
      <c r="AB4875" s="33">
        <f t="shared" ca="1" si="120"/>
        <v>0.84256851606675587</v>
      </c>
      <c r="AC4875" s="813"/>
      <c r="AD4875" s="211"/>
      <c r="AE4875" s="941"/>
      <c r="AF4875" s="922">
        <f>IF(X4875=X4874,AF4874,0)+IF(ISNUMBER(I4875),IF(I4875&lt;1,I4875,I4875*VLOOKUP(J4875,Summary!$H$2:$I$9,2)),VLOOKUP(J4875,Summary!$J$2:$K$9,2)*IF(ISNUMBER(H4875),H4875,1))</f>
        <v>1.1154976851851852</v>
      </c>
      <c r="AG4875" s="290">
        <v>4874</v>
      </c>
      <c r="AH4875" s="94"/>
      <c r="AI4875" s="94"/>
    </row>
    <row r="4876" spans="1:35" s="3" customFormat="1" ht="12" customHeight="1" x14ac:dyDescent="0.25">
      <c r="A4876" s="614" t="s">
        <v>13229</v>
      </c>
      <c r="B4876" s="614">
        <v>11</v>
      </c>
      <c r="C4876" s="614"/>
      <c r="D4876" s="185" t="s">
        <v>5732</v>
      </c>
      <c r="E4876" s="314" t="s">
        <v>2790</v>
      </c>
      <c r="F4876" s="183">
        <v>41030</v>
      </c>
      <c r="G4876" s="183">
        <v>41244</v>
      </c>
      <c r="H4876" s="185">
        <v>8</v>
      </c>
      <c r="I4876" s="185"/>
      <c r="J4876" s="901" t="s">
        <v>1796</v>
      </c>
      <c r="K4876" s="163" t="s">
        <v>5731</v>
      </c>
      <c r="L4876" s="163" t="s">
        <v>5730</v>
      </c>
      <c r="M4876" s="163"/>
      <c r="N4876" s="163" t="s">
        <v>6573</v>
      </c>
      <c r="O4876" s="163"/>
      <c r="P4876" s="182" t="s">
        <v>461</v>
      </c>
      <c r="Q4876" s="163" t="s">
        <v>5719</v>
      </c>
      <c r="R4876" s="186" t="s">
        <v>5718</v>
      </c>
      <c r="S4876" s="355" t="s">
        <v>2614</v>
      </c>
      <c r="T4876" s="182" t="s">
        <v>1738</v>
      </c>
      <c r="U4876" s="182"/>
      <c r="V4876" s="182"/>
      <c r="W4876" s="314"/>
      <c r="X4876" s="646" t="s">
        <v>13227</v>
      </c>
      <c r="Y4876" s="355"/>
      <c r="Z4876" s="185"/>
      <c r="AA4876" s="185"/>
      <c r="AB4876" s="33">
        <f t="shared" ca="1" si="120"/>
        <v>0.35154855957902853</v>
      </c>
      <c r="AC4876" s="813"/>
      <c r="AD4876" s="211"/>
      <c r="AE4876" s="941"/>
      <c r="AF4876" s="922">
        <f>IF(X4876=X4875,AF4875,0)+IF(ISNUMBER(I4876),IF(I4876&lt;1,I4876,I4876*VLOOKUP(J4876,Summary!$H$2:$I$9,2)),VLOOKUP(J4876,Summary!$J$2:$K$9,2)*IF(ISNUMBER(H4876),H4876,1))</f>
        <v>1.1432754629629629</v>
      </c>
      <c r="AG4876" s="290">
        <v>4875</v>
      </c>
      <c r="AH4876" s="94"/>
      <c r="AI4876" s="94"/>
    </row>
    <row r="4877" spans="1:35" s="22" customFormat="1" ht="12" customHeight="1" x14ac:dyDescent="0.2">
      <c r="A4877" s="614" t="s">
        <v>13229</v>
      </c>
      <c r="B4877" s="614">
        <v>11</v>
      </c>
      <c r="C4877" s="614"/>
      <c r="D4877" s="185"/>
      <c r="E4877" s="314" t="s">
        <v>15522</v>
      </c>
      <c r="F4877" s="184">
        <v>40791</v>
      </c>
      <c r="G4877" s="183"/>
      <c r="H4877" s="185">
        <v>1</v>
      </c>
      <c r="I4877" s="185">
        <v>5</v>
      </c>
      <c r="J4877" s="901" t="s">
        <v>1796</v>
      </c>
      <c r="K4877" s="163" t="s">
        <v>2335</v>
      </c>
      <c r="L4877" s="163" t="s">
        <v>2335</v>
      </c>
      <c r="M4877" s="163" t="s">
        <v>6567</v>
      </c>
      <c r="N4877" s="163"/>
      <c r="O4877" s="163"/>
      <c r="P4877" s="182" t="s">
        <v>461</v>
      </c>
      <c r="Q4877" s="163" t="s">
        <v>15524</v>
      </c>
      <c r="R4877" s="186" t="s">
        <v>15523</v>
      </c>
      <c r="S4877" s="355" t="s">
        <v>2614</v>
      </c>
      <c r="T4877" s="182" t="s">
        <v>1738</v>
      </c>
      <c r="U4877" s="182"/>
      <c r="V4877" s="182"/>
      <c r="W4877" s="314" t="s">
        <v>15522</v>
      </c>
      <c r="X4877" s="646" t="s">
        <v>13227</v>
      </c>
      <c r="Y4877" s="355"/>
      <c r="Z4877" s="185"/>
      <c r="AA4877" s="185"/>
      <c r="AB4877" s="33">
        <f t="shared" ca="1" si="120"/>
        <v>0.2479340930386732</v>
      </c>
      <c r="AC4877" s="813"/>
      <c r="AD4877" s="211"/>
      <c r="AE4877" s="941"/>
      <c r="AF4877" s="922">
        <f>IF(X4877=X4876,AF4876,0)+IF(ISNUMBER(I4877),IF(I4877&lt;1,I4877,I4877*VLOOKUP(J4877,Summary!$H$2:$I$9,2)),VLOOKUP(J4877,Summary!$J$2:$K$9,2)*IF(ISNUMBER(H4877),H4877,1))</f>
        <v>1.1450115740740741</v>
      </c>
      <c r="AG4877" s="290">
        <v>4876</v>
      </c>
      <c r="AH4877" s="94"/>
      <c r="AI4877" s="94"/>
    </row>
    <row r="4878" spans="1:35" s="89" customFormat="1" ht="12" customHeight="1" x14ac:dyDescent="0.25">
      <c r="A4878" s="612" t="s">
        <v>13229</v>
      </c>
      <c r="B4878" s="612">
        <v>11</v>
      </c>
      <c r="C4878" s="612">
        <v>222</v>
      </c>
      <c r="D4878" s="424" t="s">
        <v>1082</v>
      </c>
      <c r="E4878" s="319" t="s">
        <v>1074</v>
      </c>
      <c r="F4878" s="198">
        <v>40803</v>
      </c>
      <c r="G4878" s="198"/>
      <c r="H4878" s="199">
        <v>1</v>
      </c>
      <c r="I4878" s="791">
        <f>TIME(0,47,54)</f>
        <v>3.3263888888888891E-2</v>
      </c>
      <c r="J4878" s="904" t="s">
        <v>1588</v>
      </c>
      <c r="K4878" s="200" t="s">
        <v>5297</v>
      </c>
      <c r="L4878" s="200" t="s">
        <v>1078</v>
      </c>
      <c r="M4878" s="200"/>
      <c r="N4878" s="200" t="s">
        <v>3810</v>
      </c>
      <c r="O4878" s="200" t="s">
        <v>5004</v>
      </c>
      <c r="P4878" s="197" t="s">
        <v>461</v>
      </c>
      <c r="Q4878" s="200" t="s">
        <v>3946</v>
      </c>
      <c r="R4878" s="201" t="s">
        <v>5280</v>
      </c>
      <c r="S4878" s="390" t="s">
        <v>2614</v>
      </c>
      <c r="T4878" s="197" t="s">
        <v>1738</v>
      </c>
      <c r="U4878" s="197"/>
      <c r="V4878" s="197"/>
      <c r="W4878" s="319" t="s">
        <v>1074</v>
      </c>
      <c r="X4878" s="651" t="s">
        <v>13227</v>
      </c>
      <c r="Y4878" s="358" t="s">
        <v>7018</v>
      </c>
      <c r="Z4878" s="253">
        <v>180</v>
      </c>
      <c r="AA4878" s="253">
        <v>5</v>
      </c>
      <c r="AB4878" s="35">
        <f t="shared" ca="1" si="120"/>
        <v>0.2471900849216172</v>
      </c>
      <c r="AC4878" s="820"/>
      <c r="AD4878" s="821" t="s">
        <v>16068</v>
      </c>
      <c r="AE4878" s="967" t="s">
        <v>12543</v>
      </c>
      <c r="AF4878" s="925">
        <f>IF(X4878=X4877,AF4877,0)+IF(ISNUMBER(I4878),IF(I4878&lt;1,I4878,I4878*VLOOKUP(J4878,Summary!$H$2:$I$9,2)),VLOOKUP(J4878,Summary!$J$2:$K$9,2)*IF(ISNUMBER(H4878),H4878,1))</f>
        <v>1.178275462962963</v>
      </c>
      <c r="AG4878" s="293">
        <v>4877</v>
      </c>
      <c r="AH4878" s="94"/>
      <c r="AI4878" s="94"/>
    </row>
    <row r="4879" spans="1:35" s="22" customFormat="1" ht="12" customHeight="1" x14ac:dyDescent="0.25">
      <c r="A4879" s="615" t="s">
        <v>13229</v>
      </c>
      <c r="B4879" s="615">
        <v>11</v>
      </c>
      <c r="C4879" s="615">
        <v>5.2</v>
      </c>
      <c r="D4879" s="188" t="s">
        <v>2206</v>
      </c>
      <c r="E4879" s="316" t="s">
        <v>2192</v>
      </c>
      <c r="F4879" s="272">
        <v>2012</v>
      </c>
      <c r="G4879" s="195"/>
      <c r="H4879" s="188" t="str">
        <f>IF(J4879="Book","n/a","")</f>
        <v>n/a</v>
      </c>
      <c r="I4879" s="188">
        <v>199</v>
      </c>
      <c r="J4879" s="902" t="s">
        <v>6868</v>
      </c>
      <c r="K4879" s="162" t="s">
        <v>7375</v>
      </c>
      <c r="L4879" s="162" t="str">
        <f>IF(J4879="Book","n/a","")</f>
        <v>n/a</v>
      </c>
      <c r="M4879" s="162"/>
      <c r="N4879" s="162"/>
      <c r="O4879" s="162"/>
      <c r="P4879" s="178" t="s">
        <v>2191</v>
      </c>
      <c r="Q4879" s="162" t="s">
        <v>3953</v>
      </c>
      <c r="R4879" s="217" t="s">
        <v>5</v>
      </c>
      <c r="S4879" s="366" t="s">
        <v>2614</v>
      </c>
      <c r="T4879" s="178" t="s">
        <v>1738</v>
      </c>
      <c r="U4879" s="178"/>
      <c r="V4879" s="178"/>
      <c r="W4879" s="316" t="s">
        <v>2192</v>
      </c>
      <c r="X4879" s="648" t="s">
        <v>13227</v>
      </c>
      <c r="Y4879" s="356"/>
      <c r="Z4879" s="272"/>
      <c r="AA4879" s="272"/>
      <c r="AB4879" s="34">
        <f t="shared" ca="1" si="120"/>
        <v>0.49797568838489303</v>
      </c>
      <c r="AC4879" s="814"/>
      <c r="AD4879" s="815"/>
      <c r="AE4879" s="942"/>
      <c r="AF4879" s="923">
        <f>IF(X4879=X4878,AF4878,0)+IF(ISNUMBER(I4879),IF(I4879&lt;1,I4879,I4879*VLOOKUP(J4879,Summary!$H$2:$I$9,2)),VLOOKUP(J4879,Summary!$J$2:$K$9,2)*IF(ISNUMBER(H4879),H4879,1))</f>
        <v>1.3164699074074075</v>
      </c>
      <c r="AG4879" s="291">
        <v>4878</v>
      </c>
      <c r="AH4879" s="94"/>
      <c r="AI4879" s="94"/>
    </row>
    <row r="4880" spans="1:35" s="22" customFormat="1" ht="12" customHeight="1" x14ac:dyDescent="0.25">
      <c r="A4880" s="618" t="s">
        <v>13229</v>
      </c>
      <c r="B4880" s="618">
        <v>11</v>
      </c>
      <c r="C4880" s="618">
        <v>1</v>
      </c>
      <c r="D4880" s="176" t="s">
        <v>13329</v>
      </c>
      <c r="E4880" s="313" t="s">
        <v>13334</v>
      </c>
      <c r="F4880" s="175">
        <v>42411</v>
      </c>
      <c r="G4880" s="174"/>
      <c r="H4880" s="176">
        <v>1</v>
      </c>
      <c r="I4880" s="176"/>
      <c r="J4880" s="900" t="s">
        <v>2755</v>
      </c>
      <c r="K4880" s="164" t="s">
        <v>10100</v>
      </c>
      <c r="L4880" s="164"/>
      <c r="M4880" s="164"/>
      <c r="N4880" s="164"/>
      <c r="O4880" s="164"/>
      <c r="P4880" s="173" t="s">
        <v>13331</v>
      </c>
      <c r="Q4880" s="164" t="s">
        <v>3953</v>
      </c>
      <c r="R4880" s="179" t="s">
        <v>13332</v>
      </c>
      <c r="S4880" s="354"/>
      <c r="T4880" s="173"/>
      <c r="U4880" s="173" t="s">
        <v>7344</v>
      </c>
      <c r="V4880" s="173"/>
      <c r="W4880" s="313" t="s">
        <v>13334</v>
      </c>
      <c r="X4880" s="645" t="s">
        <v>13227</v>
      </c>
      <c r="Y4880" s="354"/>
      <c r="Z4880" s="176"/>
      <c r="AA4880" s="176"/>
      <c r="AB4880" s="32">
        <f t="shared" ca="1" si="120"/>
        <v>0.44982081621040182</v>
      </c>
      <c r="AC4880" s="812"/>
      <c r="AD4880" s="763"/>
      <c r="AE4880" s="807"/>
      <c r="AF4880" s="921">
        <f>IF(X4880=X4879,AF4879,0)+IF(ISNUMBER(I4880),IF(I4880&lt;1,I4880,I4880*VLOOKUP(J4880,Summary!$H$2:$I$9,2)),VLOOKUP(J4880,Summary!$J$2:$K$9,2)*IF(ISNUMBER(H4880),H4880,1))</f>
        <v>1.3338310185185187</v>
      </c>
      <c r="AG4880" s="288">
        <v>4879</v>
      </c>
      <c r="AH4880" s="94"/>
      <c r="AI4880" s="94"/>
    </row>
    <row r="4881" spans="1:35" s="22" customFormat="1" ht="12" customHeight="1" x14ac:dyDescent="0.2">
      <c r="A4881" s="616" t="s">
        <v>13229</v>
      </c>
      <c r="B4881" s="616">
        <v>11</v>
      </c>
      <c r="C4881" s="616"/>
      <c r="D4881" s="619"/>
      <c r="E4881" s="345" t="s">
        <v>15643</v>
      </c>
      <c r="F4881" s="219">
        <v>41052</v>
      </c>
      <c r="G4881" s="219"/>
      <c r="H4881" s="210" t="s">
        <v>461</v>
      </c>
      <c r="I4881" s="210"/>
      <c r="J4881" s="908" t="s">
        <v>3346</v>
      </c>
      <c r="K4881" s="166" t="s">
        <v>3365</v>
      </c>
      <c r="L4881" s="166"/>
      <c r="M4881" s="166"/>
      <c r="N4881" s="166"/>
      <c r="O4881" s="166"/>
      <c r="P4881" s="267" t="s">
        <v>461</v>
      </c>
      <c r="Q4881" s="166" t="s">
        <v>3115</v>
      </c>
      <c r="R4881" s="268" t="s">
        <v>15637</v>
      </c>
      <c r="S4881" s="386"/>
      <c r="T4881" s="267"/>
      <c r="U4881" s="267" t="s">
        <v>7344</v>
      </c>
      <c r="V4881" s="267"/>
      <c r="W4881" s="345" t="s">
        <v>15643</v>
      </c>
      <c r="X4881" s="680" t="s">
        <v>13227</v>
      </c>
      <c r="Y4881" s="384"/>
      <c r="Z4881" s="385"/>
      <c r="AA4881" s="385"/>
      <c r="AB4881" s="41">
        <f t="shared" ca="1" si="120"/>
        <v>0.83781687578538355</v>
      </c>
      <c r="AC4881" s="832"/>
      <c r="AD4881" s="833"/>
      <c r="AE4881" s="956"/>
      <c r="AF4881" s="929">
        <f>IF(X4881=X4880,AF4880,0)+IF(ISNUMBER(I4881),IF(I4881&lt;1,I4881,I4881*VLOOKUP(J4881,Summary!$H$2:$I$9,2)),VLOOKUP(J4881,Summary!$J$2:$K$9,2)*IF(ISNUMBER(H4881),H4881,1))</f>
        <v>1.3754976851851854</v>
      </c>
      <c r="AG4881" s="307">
        <v>4880</v>
      </c>
      <c r="AH4881" s="94"/>
      <c r="AI4881" s="94"/>
    </row>
    <row r="4882" spans="1:35" s="3" customFormat="1" ht="12" customHeight="1" x14ac:dyDescent="0.25">
      <c r="A4882" s="614" t="s">
        <v>13229</v>
      </c>
      <c r="B4882" s="614">
        <v>11</v>
      </c>
      <c r="C4882" s="614"/>
      <c r="D4882" s="185" t="s">
        <v>13438</v>
      </c>
      <c r="E4882" s="314" t="s">
        <v>13442</v>
      </c>
      <c r="F4882" s="184">
        <v>41164</v>
      </c>
      <c r="G4882" s="184"/>
      <c r="H4882" s="185">
        <v>1</v>
      </c>
      <c r="I4882" s="185">
        <v>11</v>
      </c>
      <c r="J4882" s="901" t="s">
        <v>1796</v>
      </c>
      <c r="K4882" s="163" t="s">
        <v>3303</v>
      </c>
      <c r="L4882" s="163" t="s">
        <v>5724</v>
      </c>
      <c r="M4882" s="163" t="s">
        <v>5724</v>
      </c>
      <c r="N4882" s="163" t="s">
        <v>6573</v>
      </c>
      <c r="O4882" s="163"/>
      <c r="P4882" s="182" t="s">
        <v>461</v>
      </c>
      <c r="Q4882" s="163" t="s">
        <v>5719</v>
      </c>
      <c r="R4882" s="186" t="s">
        <v>5718</v>
      </c>
      <c r="S4882" s="355"/>
      <c r="T4882" s="182"/>
      <c r="U4882" s="182"/>
      <c r="V4882" s="182"/>
      <c r="W4882" s="314" t="s">
        <v>13442</v>
      </c>
      <c r="X4882" s="646" t="s">
        <v>13227</v>
      </c>
      <c r="Y4882" s="355" t="s">
        <v>6000</v>
      </c>
      <c r="Z4882" s="185"/>
      <c r="AA4882" s="185"/>
      <c r="AB4882" s="33">
        <f t="shared" ca="1" si="120"/>
        <v>0.81913088104812215</v>
      </c>
      <c r="AC4882" s="813"/>
      <c r="AD4882" s="211"/>
      <c r="AE4882" s="941"/>
      <c r="AF4882" s="922">
        <f>IF(X4882=X4881,AF4881,0)+IF(ISNUMBER(I4882),IF(I4882&lt;1,I4882,I4882*VLOOKUP(J4882,Summary!$H$2:$I$9,2)),VLOOKUP(J4882,Summary!$J$2:$K$9,2)*IF(ISNUMBER(H4882),H4882,1))</f>
        <v>1.3793171296296298</v>
      </c>
      <c r="AG4882" s="290">
        <v>4881</v>
      </c>
      <c r="AH4882" s="94"/>
      <c r="AI4882" s="94"/>
    </row>
    <row r="4883" spans="1:35" s="22" customFormat="1" ht="12" customHeight="1" x14ac:dyDescent="0.2">
      <c r="A4883" s="614" t="s">
        <v>13229</v>
      </c>
      <c r="B4883" s="614">
        <v>11</v>
      </c>
      <c r="C4883" s="614"/>
      <c r="D4883" s="185" t="s">
        <v>4903</v>
      </c>
      <c r="E4883" s="314" t="s">
        <v>4907</v>
      </c>
      <c r="F4883" s="183">
        <v>41122</v>
      </c>
      <c r="G4883" s="183"/>
      <c r="H4883" s="185">
        <v>1</v>
      </c>
      <c r="I4883" s="185"/>
      <c r="J4883" s="901" t="s">
        <v>1796</v>
      </c>
      <c r="K4883" s="163" t="s">
        <v>5198</v>
      </c>
      <c r="L4883" s="163" t="s">
        <v>3832</v>
      </c>
      <c r="M4883" s="163" t="s">
        <v>252</v>
      </c>
      <c r="N4883" s="163" t="s">
        <v>5198</v>
      </c>
      <c r="O4883" s="163"/>
      <c r="P4883" s="182" t="s">
        <v>4906</v>
      </c>
      <c r="Q4883" s="163" t="s">
        <v>3954</v>
      </c>
      <c r="R4883" s="186" t="s">
        <v>4600</v>
      </c>
      <c r="S4883" s="355"/>
      <c r="T4883" s="182"/>
      <c r="U4883" s="182" t="s">
        <v>4909</v>
      </c>
      <c r="V4883" s="182" t="s">
        <v>1583</v>
      </c>
      <c r="W4883" s="314" t="s">
        <v>4907</v>
      </c>
      <c r="X4883" s="646" t="s">
        <v>13227</v>
      </c>
      <c r="Y4883" s="355" t="s">
        <v>6868</v>
      </c>
      <c r="Z4883" s="185"/>
      <c r="AA4883" s="185"/>
      <c r="AB4883" s="33">
        <f t="shared" ca="1" si="120"/>
        <v>0.59369443828702306</v>
      </c>
      <c r="AC4883" s="813"/>
      <c r="AD4883" s="211"/>
      <c r="AE4883" s="941"/>
      <c r="AF4883" s="922">
        <f>IF(X4883=X4882,AF4882,0)+IF(ISNUMBER(I4883),IF(I4883&lt;1,I4883,I4883*VLOOKUP(J4883,Summary!$H$2:$I$9,2)),VLOOKUP(J4883,Summary!$J$2:$K$9,2)*IF(ISNUMBER(H4883),H4883,1))</f>
        <v>1.3827893518518521</v>
      </c>
      <c r="AG4883" s="290">
        <v>4882</v>
      </c>
      <c r="AH4883" s="94"/>
      <c r="AI4883" s="94"/>
    </row>
    <row r="4884" spans="1:35" s="8" customFormat="1" ht="12" customHeight="1" x14ac:dyDescent="0.25">
      <c r="A4884" s="614" t="s">
        <v>13229</v>
      </c>
      <c r="B4884" s="614">
        <v>11</v>
      </c>
      <c r="C4884" s="614"/>
      <c r="D4884" s="185" t="s">
        <v>4903</v>
      </c>
      <c r="E4884" s="314" t="s">
        <v>4908</v>
      </c>
      <c r="F4884" s="183">
        <v>41122</v>
      </c>
      <c r="G4884" s="183"/>
      <c r="H4884" s="185">
        <v>1</v>
      </c>
      <c r="I4884" s="185"/>
      <c r="J4884" s="901" t="s">
        <v>1796</v>
      </c>
      <c r="K4884" s="163" t="s">
        <v>5198</v>
      </c>
      <c r="L4884" s="985" t="s">
        <v>3832</v>
      </c>
      <c r="M4884" s="163" t="s">
        <v>252</v>
      </c>
      <c r="N4884" s="163" t="s">
        <v>5198</v>
      </c>
      <c r="O4884" s="163"/>
      <c r="P4884" s="182" t="s">
        <v>4906</v>
      </c>
      <c r="Q4884" s="163" t="s">
        <v>3954</v>
      </c>
      <c r="R4884" s="186" t="s">
        <v>4600</v>
      </c>
      <c r="S4884" s="355"/>
      <c r="T4884" s="182"/>
      <c r="U4884" s="182" t="s">
        <v>4909</v>
      </c>
      <c r="V4884" s="182" t="s">
        <v>1583</v>
      </c>
      <c r="W4884" s="314" t="s">
        <v>4908</v>
      </c>
      <c r="X4884" s="646" t="s">
        <v>13227</v>
      </c>
      <c r="Y4884" s="355" t="s">
        <v>6868</v>
      </c>
      <c r="Z4884" s="185"/>
      <c r="AA4884" s="185"/>
      <c r="AB4884" s="33">
        <f t="shared" ca="1" si="120"/>
        <v>0.56458682609148014</v>
      </c>
      <c r="AC4884" s="813"/>
      <c r="AD4884" s="211"/>
      <c r="AE4884" s="941"/>
      <c r="AF4884" s="922">
        <f>IF(X4884=X4883,AF4883,0)+IF(ISNUMBER(I4884),IF(I4884&lt;1,I4884,I4884*VLOOKUP(J4884,Summary!$H$2:$I$9,2)),VLOOKUP(J4884,Summary!$J$2:$K$9,2)*IF(ISNUMBER(H4884),H4884,1))</f>
        <v>1.3862615740740745</v>
      </c>
      <c r="AG4884" s="290">
        <v>4883</v>
      </c>
      <c r="AH4884" s="94"/>
      <c r="AI4884" s="94"/>
    </row>
    <row r="4885" spans="1:35" s="8" customFormat="1" ht="12" customHeight="1" x14ac:dyDescent="0.25">
      <c r="A4885" s="624" t="s">
        <v>13229</v>
      </c>
      <c r="B4885" s="624">
        <v>11</v>
      </c>
      <c r="C4885" s="624">
        <v>7.04</v>
      </c>
      <c r="D4885" s="192" t="s">
        <v>13128</v>
      </c>
      <c r="E4885" s="317" t="s">
        <v>13126</v>
      </c>
      <c r="F4885" s="209">
        <v>42829</v>
      </c>
      <c r="G4885" s="209"/>
      <c r="H4885" s="192">
        <v>1</v>
      </c>
      <c r="I4885" s="753">
        <f>TIME(0,35,16)</f>
        <v>2.449074074074074E-2</v>
      </c>
      <c r="J4885" s="903" t="s">
        <v>2755</v>
      </c>
      <c r="K4885" s="194" t="s">
        <v>8131</v>
      </c>
      <c r="L4885" s="880" t="s">
        <v>5662</v>
      </c>
      <c r="M4885" s="194" t="s">
        <v>13123</v>
      </c>
      <c r="N4885" s="194"/>
      <c r="O4885" s="194"/>
      <c r="P4885" s="190" t="s">
        <v>13124</v>
      </c>
      <c r="Q4885" s="194" t="s">
        <v>3947</v>
      </c>
      <c r="R4885" s="193" t="s">
        <v>2722</v>
      </c>
      <c r="S4885" s="357"/>
      <c r="T4885" s="190"/>
      <c r="U4885" s="190" t="s">
        <v>5287</v>
      </c>
      <c r="V4885" s="190" t="s">
        <v>12158</v>
      </c>
      <c r="W4885" s="317" t="s">
        <v>13126</v>
      </c>
      <c r="X4885" s="649" t="s">
        <v>13227</v>
      </c>
      <c r="Y4885" s="357" t="s">
        <v>5643</v>
      </c>
      <c r="Z4885" s="192"/>
      <c r="AA4885" s="192"/>
      <c r="AB4885" s="37">
        <f t="shared" ca="1" si="120"/>
        <v>0.98926967186294568</v>
      </c>
      <c r="AC4885" s="816"/>
      <c r="AD4885" s="817"/>
      <c r="AE4885" s="943"/>
      <c r="AF4885" s="924">
        <f>IF(X4885=X4884,AF4884,0)+IF(ISNUMBER(I4885),IF(I4885&lt;1,I4885,I4885*VLOOKUP(J4885,Summary!$H$2:$I$9,2)),VLOOKUP(J4885,Summary!$J$2:$K$9,2)*IF(ISNUMBER(H4885),H4885,1))</f>
        <v>1.4107523148148151</v>
      </c>
      <c r="AG4885" s="292">
        <v>4884</v>
      </c>
      <c r="AH4885" s="94"/>
      <c r="AI4885" s="94"/>
    </row>
    <row r="4886" spans="1:35" s="1" customFormat="1" ht="12" customHeight="1" x14ac:dyDescent="0.25">
      <c r="A4886" s="613" t="s">
        <v>13229</v>
      </c>
      <c r="B4886" s="613">
        <v>11</v>
      </c>
      <c r="C4886" s="613">
        <v>1</v>
      </c>
      <c r="D4886" s="509" t="s">
        <v>4528</v>
      </c>
      <c r="E4886" s="335" t="s">
        <v>7458</v>
      </c>
      <c r="F4886" s="223">
        <v>40817</v>
      </c>
      <c r="G4886" s="223"/>
      <c r="H4886" s="242">
        <v>1</v>
      </c>
      <c r="I4886" s="792">
        <f>TIME(0,3,47)</f>
        <v>2.627314814814815E-3</v>
      </c>
      <c r="J4886" s="909" t="s">
        <v>1588</v>
      </c>
      <c r="K4886" s="243" t="s">
        <v>7459</v>
      </c>
      <c r="L4886" s="243" t="s">
        <v>6765</v>
      </c>
      <c r="M4886" s="243"/>
      <c r="N4886" s="243" t="s">
        <v>3810</v>
      </c>
      <c r="O4886" s="243" t="s">
        <v>7457</v>
      </c>
      <c r="P4886" s="241" t="s">
        <v>461</v>
      </c>
      <c r="Q4886" s="243" t="s">
        <v>3946</v>
      </c>
      <c r="R4886" s="244" t="s">
        <v>5277</v>
      </c>
      <c r="S4886" s="395"/>
      <c r="T4886" s="241"/>
      <c r="U4886" s="241"/>
      <c r="V4886" s="241"/>
      <c r="W4886" s="335" t="s">
        <v>7458</v>
      </c>
      <c r="X4886" s="667" t="s">
        <v>13227</v>
      </c>
      <c r="Y4886" s="375" t="s">
        <v>7018</v>
      </c>
      <c r="Z4886" s="376">
        <v>321</v>
      </c>
      <c r="AA4886" s="377">
        <v>0.5</v>
      </c>
      <c r="AB4886" s="55">
        <f t="shared" ca="1" si="120"/>
        <v>0.49204203625810872</v>
      </c>
      <c r="AC4886" s="834"/>
      <c r="AD4886" s="835"/>
      <c r="AE4886" s="957"/>
      <c r="AF4886" s="930">
        <f>IF(X4886=X4885,AF4885,0)+IF(ISNUMBER(I4886),IF(I4886&lt;1,I4886,I4886*VLOOKUP(J4886,Summary!$H$2:$I$9,2)),VLOOKUP(J4886,Summary!$J$2:$K$9,2)*IF(ISNUMBER(H4886),H4886,1))</f>
        <v>1.4133796296296299</v>
      </c>
      <c r="AG4886" s="302">
        <v>4885</v>
      </c>
      <c r="AH4886" s="94"/>
      <c r="AI4886" s="94"/>
    </row>
    <row r="4887" spans="1:35" s="22" customFormat="1" ht="12" customHeight="1" x14ac:dyDescent="0.2">
      <c r="A4887" s="614" t="s">
        <v>13229</v>
      </c>
      <c r="B4887" s="614">
        <v>11</v>
      </c>
      <c r="C4887" s="614"/>
      <c r="D4887" s="185" t="s">
        <v>5728</v>
      </c>
      <c r="E4887" s="314" t="s">
        <v>7367</v>
      </c>
      <c r="F4887" s="183">
        <v>40878</v>
      </c>
      <c r="G4887" s="183"/>
      <c r="H4887" s="185">
        <v>1</v>
      </c>
      <c r="I4887" s="185">
        <v>22</v>
      </c>
      <c r="J4887" s="901" t="s">
        <v>1796</v>
      </c>
      <c r="K4887" s="163" t="s">
        <v>3303</v>
      </c>
      <c r="L4887" s="163" t="s">
        <v>1836</v>
      </c>
      <c r="M4887" s="163" t="s">
        <v>2150</v>
      </c>
      <c r="N4887" s="163" t="s">
        <v>6573</v>
      </c>
      <c r="O4887" s="163"/>
      <c r="P4887" s="182" t="s">
        <v>461</v>
      </c>
      <c r="Q4887" s="163" t="s">
        <v>5719</v>
      </c>
      <c r="R4887" s="186" t="s">
        <v>5718</v>
      </c>
      <c r="S4887" s="355" t="s">
        <v>2614</v>
      </c>
      <c r="T4887" s="182" t="s">
        <v>1738</v>
      </c>
      <c r="U4887" s="182"/>
      <c r="V4887" s="182"/>
      <c r="W4887" s="314" t="s">
        <v>7367</v>
      </c>
      <c r="X4887" s="646" t="s">
        <v>13227</v>
      </c>
      <c r="Y4887" s="355" t="s">
        <v>6000</v>
      </c>
      <c r="Z4887" s="185"/>
      <c r="AA4887" s="185"/>
      <c r="AB4887" s="33">
        <f t="shared" ca="1" si="120"/>
        <v>0.24855245493881406</v>
      </c>
      <c r="AC4887" s="813"/>
      <c r="AD4887" s="211"/>
      <c r="AE4887" s="941"/>
      <c r="AF4887" s="922">
        <f>IF(X4887=X4886,AF4886,0)+IF(ISNUMBER(I4887),IF(I4887&lt;1,I4887,I4887*VLOOKUP(J4887,Summary!$H$2:$I$9,2)),VLOOKUP(J4887,Summary!$J$2:$K$9,2)*IF(ISNUMBER(H4887),H4887,1))</f>
        <v>1.4210185185185189</v>
      </c>
      <c r="AG4887" s="290">
        <v>4886</v>
      </c>
      <c r="AH4887" s="94"/>
      <c r="AI4887" s="94"/>
    </row>
    <row r="4888" spans="1:35" s="22" customFormat="1" ht="12" customHeight="1" x14ac:dyDescent="0.25">
      <c r="A4888" s="618" t="s">
        <v>13229</v>
      </c>
      <c r="B4888" s="618">
        <v>11</v>
      </c>
      <c r="C4888" s="618">
        <v>12</v>
      </c>
      <c r="D4888" s="176" t="s">
        <v>3112</v>
      </c>
      <c r="E4888" s="313" t="s">
        <v>7368</v>
      </c>
      <c r="F4888" s="175">
        <v>40897</v>
      </c>
      <c r="G4888" s="175">
        <v>40901</v>
      </c>
      <c r="H4888" s="176">
        <v>3</v>
      </c>
      <c r="I4888" s="176">
        <v>21</v>
      </c>
      <c r="J4888" s="900" t="s">
        <v>2755</v>
      </c>
      <c r="K4888" s="164" t="s">
        <v>3118</v>
      </c>
      <c r="L4888" s="164"/>
      <c r="M4888" s="164"/>
      <c r="N4888" s="164"/>
      <c r="O4888" s="164"/>
      <c r="P4888" s="173" t="s">
        <v>461</v>
      </c>
      <c r="Q4888" s="164" t="s">
        <v>3946</v>
      </c>
      <c r="R4888" s="177" t="s">
        <v>7896</v>
      </c>
      <c r="S4888" s="354" t="s">
        <v>2614</v>
      </c>
      <c r="T4888" s="173" t="s">
        <v>1738</v>
      </c>
      <c r="U4888" s="173"/>
      <c r="V4888" s="173"/>
      <c r="W4888" s="313"/>
      <c r="X4888" s="645" t="s">
        <v>13227</v>
      </c>
      <c r="Y4888" s="354" t="s">
        <v>6000</v>
      </c>
      <c r="Z4888" s="176"/>
      <c r="AA4888" s="176"/>
      <c r="AB4888" s="32">
        <f t="shared" ca="1" si="120"/>
        <v>0.96050789650174573</v>
      </c>
      <c r="AC4888" s="812"/>
      <c r="AD4888" s="763"/>
      <c r="AE4888" s="807"/>
      <c r="AF4888" s="921">
        <f>IF(X4888=X4887,AF4887,0)+IF(ISNUMBER(I4888),IF(I4888&lt;1,I4888,I4888*VLOOKUP(J4888,Summary!$H$2:$I$9,2)),VLOOKUP(J4888,Summary!$J$2:$K$9,2)*IF(ISNUMBER(H4888),H4888,1))</f>
        <v>1.4356018518518523</v>
      </c>
      <c r="AG4888" s="289">
        <v>4887</v>
      </c>
      <c r="AH4888" s="94"/>
      <c r="AI4888" s="94"/>
    </row>
    <row r="4889" spans="1:35" s="22" customFormat="1" ht="12" customHeight="1" x14ac:dyDescent="0.25">
      <c r="A4889" s="618" t="s">
        <v>13229</v>
      </c>
      <c r="B4889" s="618">
        <v>11</v>
      </c>
      <c r="C4889" s="618"/>
      <c r="D4889" s="176" t="s">
        <v>4903</v>
      </c>
      <c r="E4889" s="313" t="s">
        <v>4904</v>
      </c>
      <c r="F4889" s="174">
        <v>41122</v>
      </c>
      <c r="G4889" s="174"/>
      <c r="H4889" s="176" t="s">
        <v>461</v>
      </c>
      <c r="I4889" s="176"/>
      <c r="J4889" s="900" t="s">
        <v>2755</v>
      </c>
      <c r="K4889" s="164" t="s">
        <v>5198</v>
      </c>
      <c r="L4889" s="164" t="s">
        <v>7928</v>
      </c>
      <c r="M4889" s="164"/>
      <c r="N4889" s="164" t="s">
        <v>5198</v>
      </c>
      <c r="O4889" s="164"/>
      <c r="P4889" s="173" t="s">
        <v>4906</v>
      </c>
      <c r="Q4889" s="164" t="s">
        <v>3954</v>
      </c>
      <c r="R4889" s="177" t="s">
        <v>4600</v>
      </c>
      <c r="S4889" s="354"/>
      <c r="T4889" s="173"/>
      <c r="U4889" s="173"/>
      <c r="V4889" s="173" t="s">
        <v>4905</v>
      </c>
      <c r="W4889" s="313" t="s">
        <v>4904</v>
      </c>
      <c r="X4889" s="645" t="s">
        <v>13227</v>
      </c>
      <c r="Y4889" s="354" t="s">
        <v>6868</v>
      </c>
      <c r="Z4889" s="176">
        <v>999</v>
      </c>
      <c r="AA4889" s="176"/>
      <c r="AB4889" s="32">
        <f t="shared" ca="1" si="120"/>
        <v>0.51631805085561777</v>
      </c>
      <c r="AC4889" s="812"/>
      <c r="AD4889" s="763"/>
      <c r="AE4889" s="807"/>
      <c r="AF4889" s="921">
        <f>IF(X4889=X4888,AF4888,0)+IF(ISNUMBER(I4889),IF(I4889&lt;1,I4889,I4889*VLOOKUP(J4889,Summary!$H$2:$I$9,2)),VLOOKUP(J4889,Summary!$J$2:$K$9,2)*IF(ISNUMBER(H4889),H4889,1))</f>
        <v>1.4529629629629635</v>
      </c>
      <c r="AG4889" s="289">
        <v>4888</v>
      </c>
      <c r="AH4889" s="94"/>
      <c r="AI4889" s="94"/>
    </row>
    <row r="4890" spans="1:35" s="22" customFormat="1" ht="12" customHeight="1" x14ac:dyDescent="0.25">
      <c r="A4890" s="588" t="s">
        <v>13229</v>
      </c>
      <c r="B4890" s="589">
        <v>11</v>
      </c>
      <c r="C4890" s="588">
        <v>7</v>
      </c>
      <c r="D4890" s="509" t="s">
        <v>5738</v>
      </c>
      <c r="E4890" s="335" t="s">
        <v>11</v>
      </c>
      <c r="F4890" s="223">
        <v>40869</v>
      </c>
      <c r="G4890" s="223"/>
      <c r="H4890" s="242">
        <v>1</v>
      </c>
      <c r="I4890" s="792">
        <f>TIME(0, 1,56)</f>
        <v>1.3425925925925925E-3</v>
      </c>
      <c r="J4890" s="909" t="s">
        <v>1588</v>
      </c>
      <c r="K4890" s="243" t="s">
        <v>7774</v>
      </c>
      <c r="L4890" s="243"/>
      <c r="M4890" s="243"/>
      <c r="N4890" s="243" t="s">
        <v>3810</v>
      </c>
      <c r="O4890" s="243" t="s">
        <v>5004</v>
      </c>
      <c r="P4890" s="241" t="s">
        <v>461</v>
      </c>
      <c r="Q4890" s="243" t="s">
        <v>3946</v>
      </c>
      <c r="R4890" s="244" t="s">
        <v>237</v>
      </c>
      <c r="S4890" s="395"/>
      <c r="T4890" s="241"/>
      <c r="U4890" s="241"/>
      <c r="V4890" s="241"/>
      <c r="W4890" s="335" t="s">
        <v>11</v>
      </c>
      <c r="X4890" s="667" t="s">
        <v>13227</v>
      </c>
      <c r="Y4890" s="375"/>
      <c r="Z4890" s="377">
        <v>289</v>
      </c>
      <c r="AA4890" s="377">
        <v>2</v>
      </c>
      <c r="AB4890" s="55">
        <f t="shared" ca="1" si="120"/>
        <v>0.60297056539060567</v>
      </c>
      <c r="AC4890" s="834"/>
      <c r="AD4890" s="835"/>
      <c r="AE4890" s="957"/>
      <c r="AF4890" s="930">
        <f>IF(X4890=X4889,AF4889,0)+IF(ISNUMBER(I4890),IF(I4890&lt;1,I4890,I4890*VLOOKUP(J4890,Summary!$H$2:$I$9,2)),VLOOKUP(J4890,Summary!$J$2:$K$9,2)*IF(ISNUMBER(H4890),H4890,1))</f>
        <v>1.454305555555556</v>
      </c>
      <c r="AG4890" s="302">
        <v>4889</v>
      </c>
      <c r="AH4890" s="94"/>
      <c r="AI4890" s="94"/>
    </row>
    <row r="4891" spans="1:35" s="1" customFormat="1" ht="12" customHeight="1" x14ac:dyDescent="0.25">
      <c r="A4891" s="612" t="s">
        <v>13229</v>
      </c>
      <c r="B4891" s="612">
        <v>11</v>
      </c>
      <c r="C4891" s="612">
        <v>223</v>
      </c>
      <c r="D4891" s="424" t="s">
        <v>1083</v>
      </c>
      <c r="E4891" s="319" t="s">
        <v>1075</v>
      </c>
      <c r="F4891" s="198">
        <v>40810</v>
      </c>
      <c r="G4891" s="198"/>
      <c r="H4891" s="199">
        <v>1</v>
      </c>
      <c r="I4891" s="791">
        <f>TIME(0,45, 5)</f>
        <v>3.1307870370370368E-2</v>
      </c>
      <c r="J4891" s="904" t="s">
        <v>1588</v>
      </c>
      <c r="K4891" s="200" t="s">
        <v>3451</v>
      </c>
      <c r="L4891" s="200" t="s">
        <v>1079</v>
      </c>
      <c r="M4891" s="200"/>
      <c r="N4891" s="200" t="s">
        <v>3810</v>
      </c>
      <c r="O4891" s="200" t="s">
        <v>5004</v>
      </c>
      <c r="P4891" s="197" t="s">
        <v>461</v>
      </c>
      <c r="Q4891" s="200" t="s">
        <v>3946</v>
      </c>
      <c r="R4891" s="201" t="s">
        <v>5280</v>
      </c>
      <c r="S4891" s="390" t="s">
        <v>2614</v>
      </c>
      <c r="T4891" s="197" t="s">
        <v>1738</v>
      </c>
      <c r="U4891" s="197"/>
      <c r="V4891" s="197"/>
      <c r="W4891" s="319" t="s">
        <v>1075</v>
      </c>
      <c r="X4891" s="651" t="s">
        <v>13227</v>
      </c>
      <c r="Y4891" s="358" t="s">
        <v>7018</v>
      </c>
      <c r="Z4891" s="253">
        <v>240</v>
      </c>
      <c r="AA4891" s="253">
        <v>3.5</v>
      </c>
      <c r="AB4891" s="35">
        <f t="shared" ca="1" si="120"/>
        <v>0.70860750157650154</v>
      </c>
      <c r="AC4891" s="820"/>
      <c r="AD4891" s="821" t="s">
        <v>16069</v>
      </c>
      <c r="AE4891" s="967" t="s">
        <v>12543</v>
      </c>
      <c r="AF4891" s="925">
        <f>IF(X4891=X4890,AF4890,0)+IF(ISNUMBER(I4891),IF(I4891&lt;1,I4891,I4891*VLOOKUP(J4891,Summary!$H$2:$I$9,2)),VLOOKUP(J4891,Summary!$J$2:$K$9,2)*IF(ISNUMBER(H4891),H4891,1))</f>
        <v>1.4856134259259264</v>
      </c>
      <c r="AG4891" s="293">
        <v>4890</v>
      </c>
      <c r="AH4891" s="94"/>
      <c r="AI4891" s="94"/>
    </row>
    <row r="4892" spans="1:35" s="3" customFormat="1" ht="12" customHeight="1" x14ac:dyDescent="0.25">
      <c r="A4892" s="613" t="s">
        <v>13229</v>
      </c>
      <c r="B4892" s="613">
        <v>11</v>
      </c>
      <c r="C4892" s="613"/>
      <c r="D4892" s="509" t="s">
        <v>3112</v>
      </c>
      <c r="E4892" s="335" t="s">
        <v>14503</v>
      </c>
      <c r="F4892" s="223">
        <v>40810</v>
      </c>
      <c r="G4892" s="223"/>
      <c r="H4892" s="242">
        <v>1</v>
      </c>
      <c r="I4892" s="792">
        <f>TIME(0,1,14)</f>
        <v>8.564814814814815E-4</v>
      </c>
      <c r="J4892" s="909" t="s">
        <v>1588</v>
      </c>
      <c r="K4892" s="243"/>
      <c r="L4892" s="243"/>
      <c r="M4892" s="243"/>
      <c r="N4892" s="243" t="s">
        <v>3810</v>
      </c>
      <c r="O4892" s="243" t="s">
        <v>5004</v>
      </c>
      <c r="P4892" s="241" t="s">
        <v>461</v>
      </c>
      <c r="Q4892" s="243" t="s">
        <v>3946</v>
      </c>
      <c r="R4892" s="244" t="s">
        <v>7896</v>
      </c>
      <c r="S4892" s="395"/>
      <c r="T4892" s="241"/>
      <c r="U4892" s="241"/>
      <c r="V4892" s="241"/>
      <c r="W4892" s="335" t="s">
        <v>10123</v>
      </c>
      <c r="X4892" s="667" t="s">
        <v>13227</v>
      </c>
      <c r="Y4892" s="375"/>
      <c r="Z4892" s="377"/>
      <c r="AA4892" s="377"/>
      <c r="AB4892" s="55">
        <f t="shared" ca="1" si="120"/>
        <v>0.72438321218102719</v>
      </c>
      <c r="AC4892" s="834"/>
      <c r="AD4892" s="835"/>
      <c r="AE4892" s="957"/>
      <c r="AF4892" s="930">
        <f>IF(X4892=X4891,AF4891,0)+IF(ISNUMBER(I4892),IF(I4892&lt;1,I4892,I4892*VLOOKUP(J4892,Summary!$H$2:$I$9,2)),VLOOKUP(J4892,Summary!$J$2:$K$9,2)*IF(ISNUMBER(H4892),H4892,1))</f>
        <v>1.4864699074074079</v>
      </c>
      <c r="AG4892" s="302">
        <v>4891</v>
      </c>
      <c r="AH4892" s="94"/>
      <c r="AI4892" s="94"/>
    </row>
    <row r="4893" spans="1:35" s="22" customFormat="1" ht="12" customHeight="1" x14ac:dyDescent="0.25">
      <c r="A4893" s="612" t="s">
        <v>13229</v>
      </c>
      <c r="B4893" s="612">
        <v>11</v>
      </c>
      <c r="C4893" s="612">
        <v>224</v>
      </c>
      <c r="D4893" s="424" t="s">
        <v>1084</v>
      </c>
      <c r="E4893" s="319" t="s">
        <v>1076</v>
      </c>
      <c r="F4893" s="198">
        <v>40817</v>
      </c>
      <c r="G4893" s="198"/>
      <c r="H4893" s="199">
        <v>1</v>
      </c>
      <c r="I4893" s="791">
        <f>TIME(0,45,20)</f>
        <v>3.1481481481481485E-2</v>
      </c>
      <c r="J4893" s="904" t="s">
        <v>1588</v>
      </c>
      <c r="K4893" s="200" t="s">
        <v>3810</v>
      </c>
      <c r="L4893" s="200" t="s">
        <v>6765</v>
      </c>
      <c r="M4893" s="200"/>
      <c r="N4893" s="200" t="s">
        <v>3810</v>
      </c>
      <c r="O4893" s="200" t="s">
        <v>5004</v>
      </c>
      <c r="P4893" s="197" t="s">
        <v>461</v>
      </c>
      <c r="Q4893" s="200" t="s">
        <v>3946</v>
      </c>
      <c r="R4893" s="201" t="s">
        <v>5280</v>
      </c>
      <c r="S4893" s="390" t="s">
        <v>2614</v>
      </c>
      <c r="T4893" s="197" t="s">
        <v>1738</v>
      </c>
      <c r="U4893" s="197"/>
      <c r="V4893" s="197"/>
      <c r="W4893" s="319" t="s">
        <v>1076</v>
      </c>
      <c r="X4893" s="651" t="s">
        <v>13227</v>
      </c>
      <c r="Y4893" s="358" t="s">
        <v>7018</v>
      </c>
      <c r="Z4893" s="253">
        <v>256</v>
      </c>
      <c r="AA4893" s="253">
        <v>3</v>
      </c>
      <c r="AB4893" s="35">
        <f t="shared" ca="1" si="120"/>
        <v>0.40904729905212323</v>
      </c>
      <c r="AC4893" s="820"/>
      <c r="AD4893" s="821" t="s">
        <v>16070</v>
      </c>
      <c r="AE4893" s="967" t="s">
        <v>16471</v>
      </c>
      <c r="AF4893" s="925">
        <f>IF(X4893=X4892,AF4892,0)+IF(ISNUMBER(I4893),IF(I4893&lt;1,I4893,I4893*VLOOKUP(J4893,Summary!$H$2:$I$9,2)),VLOOKUP(J4893,Summary!$J$2:$K$9,2)*IF(ISNUMBER(H4893),H4893,1))</f>
        <v>1.5179513888888894</v>
      </c>
      <c r="AG4893" s="293">
        <v>4892</v>
      </c>
      <c r="AH4893" s="94"/>
      <c r="AI4893" s="94"/>
    </row>
    <row r="4894" spans="1:35" s="22" customFormat="1" ht="12" customHeight="1" x14ac:dyDescent="0.2">
      <c r="A4894" s="625" t="s">
        <v>13229</v>
      </c>
      <c r="B4894" s="625">
        <v>11</v>
      </c>
      <c r="C4894" s="625"/>
      <c r="D4894" s="282"/>
      <c r="E4894" s="349" t="s">
        <v>10288</v>
      </c>
      <c r="F4894" s="281"/>
      <c r="G4894" s="281"/>
      <c r="H4894" s="282" t="s">
        <v>461</v>
      </c>
      <c r="I4894" s="282">
        <v>10</v>
      </c>
      <c r="J4894" s="915" t="s">
        <v>1796</v>
      </c>
      <c r="K4894" s="284" t="s">
        <v>10289</v>
      </c>
      <c r="L4894" s="284" t="s">
        <v>10290</v>
      </c>
      <c r="M4894" s="284" t="s">
        <v>10289</v>
      </c>
      <c r="N4894" s="284"/>
      <c r="O4894" s="284"/>
      <c r="P4894" s="280" t="s">
        <v>461</v>
      </c>
      <c r="Q4894" s="284"/>
      <c r="R4894" s="283"/>
      <c r="S4894" s="389"/>
      <c r="T4894" s="280"/>
      <c r="U4894" s="280"/>
      <c r="V4894" s="280"/>
      <c r="W4894" s="349" t="s">
        <v>10288</v>
      </c>
      <c r="X4894" s="684" t="s">
        <v>13227</v>
      </c>
      <c r="Y4894" s="389" t="s">
        <v>10291</v>
      </c>
      <c r="Z4894" s="282">
        <v>999</v>
      </c>
      <c r="AA4894" s="282"/>
      <c r="AB4894" s="33">
        <f t="shared" ca="1" si="120"/>
        <v>0.14666205648838015</v>
      </c>
      <c r="AC4894" s="813"/>
      <c r="AD4894" s="211"/>
      <c r="AE4894" s="949"/>
      <c r="AF4894" s="922">
        <f>IF(X4894=X4893,AF4893,0)+IF(ISNUMBER(I4894),IF(I4894&lt;1,I4894,I4894*VLOOKUP(J4894,Summary!$H$2:$I$9,2)),VLOOKUP(J4894,Summary!$J$2:$K$9,2)*IF(ISNUMBER(H4894),H4894,1))</f>
        <v>1.5214236111111117</v>
      </c>
      <c r="AG4894" s="295">
        <v>4893</v>
      </c>
      <c r="AH4894" s="94"/>
      <c r="AI4894" s="94"/>
    </row>
    <row r="4895" spans="1:35" s="22" customFormat="1" ht="12" customHeight="1" x14ac:dyDescent="0.25">
      <c r="A4895" s="474" t="s">
        <v>13229</v>
      </c>
      <c r="B4895" s="507" t="s">
        <v>2650</v>
      </c>
      <c r="C4895" s="474">
        <v>1</v>
      </c>
      <c r="D4895" s="188" t="s">
        <v>14496</v>
      </c>
      <c r="E4895" s="327" t="s">
        <v>14497</v>
      </c>
      <c r="F4895" s="187">
        <v>42948</v>
      </c>
      <c r="G4895" s="195"/>
      <c r="H4895" s="188" t="s">
        <v>461</v>
      </c>
      <c r="I4895" s="188">
        <v>123</v>
      </c>
      <c r="J4895" s="902" t="s">
        <v>6868</v>
      </c>
      <c r="K4895" s="218" t="s">
        <v>13719</v>
      </c>
      <c r="L4895" s="218" t="s">
        <v>461</v>
      </c>
      <c r="M4895" s="218"/>
      <c r="N4895" s="218" t="s">
        <v>14498</v>
      </c>
      <c r="O4895" s="218"/>
      <c r="P4895" s="178"/>
      <c r="Q4895" s="218" t="s">
        <v>13674</v>
      </c>
      <c r="R4895" s="217" t="s">
        <v>14499</v>
      </c>
      <c r="S4895" s="366"/>
      <c r="T4895" s="178"/>
      <c r="U4895" s="178"/>
      <c r="V4895" s="178"/>
      <c r="W4895" s="327" t="s">
        <v>14497</v>
      </c>
      <c r="X4895" s="658" t="s">
        <v>13227</v>
      </c>
      <c r="Y4895" s="366"/>
      <c r="Z4895" s="188"/>
      <c r="AA4895" s="188"/>
      <c r="AB4895" s="34">
        <f t="shared" ca="1" si="120"/>
        <v>0.5393986162262342</v>
      </c>
      <c r="AC4895" s="814"/>
      <c r="AD4895" s="815"/>
      <c r="AE4895" s="245"/>
      <c r="AF4895" s="923">
        <f>IF(X4895=X4894,AF4894,0)+IF(ISNUMBER(I4895),IF(I4895&lt;1,I4895,I4895*VLOOKUP(J4895,Summary!$H$2:$I$9,2)),VLOOKUP(J4895,Summary!$J$2:$K$9,2)*IF(ISNUMBER(H4895),H4895,1))</f>
        <v>1.6068402777777784</v>
      </c>
      <c r="AG4895" s="297">
        <v>4894</v>
      </c>
      <c r="AH4895" s="94"/>
      <c r="AI4895" s="94"/>
    </row>
    <row r="4896" spans="1:35" s="3" customFormat="1" ht="12" customHeight="1" x14ac:dyDescent="0.25">
      <c r="A4896" s="474" t="s">
        <v>13229</v>
      </c>
      <c r="B4896" s="507" t="s">
        <v>2650</v>
      </c>
      <c r="C4896" s="474">
        <v>2</v>
      </c>
      <c r="D4896" s="188" t="s">
        <v>14500</v>
      </c>
      <c r="E4896" s="327" t="s">
        <v>14501</v>
      </c>
      <c r="F4896" s="195">
        <v>43229</v>
      </c>
      <c r="G4896" s="195"/>
      <c r="H4896" s="188" t="s">
        <v>461</v>
      </c>
      <c r="I4896" s="188">
        <v>240</v>
      </c>
      <c r="J4896" s="902" t="s">
        <v>6868</v>
      </c>
      <c r="K4896" s="218" t="s">
        <v>14502</v>
      </c>
      <c r="L4896" s="218" t="s">
        <v>461</v>
      </c>
      <c r="M4896" s="218"/>
      <c r="N4896" s="218" t="s">
        <v>14498</v>
      </c>
      <c r="O4896" s="218"/>
      <c r="P4896" s="178"/>
      <c r="Q4896" s="218" t="s">
        <v>13674</v>
      </c>
      <c r="R4896" s="217" t="s">
        <v>14499</v>
      </c>
      <c r="S4896" s="366"/>
      <c r="T4896" s="178"/>
      <c r="U4896" s="178"/>
      <c r="V4896" s="178"/>
      <c r="W4896" s="327" t="s">
        <v>14501</v>
      </c>
      <c r="X4896" s="658" t="s">
        <v>13227</v>
      </c>
      <c r="Y4896" s="366"/>
      <c r="Z4896" s="188"/>
      <c r="AA4896" s="188"/>
      <c r="AB4896" s="34">
        <f t="shared" ca="1" si="120"/>
        <v>0.92192660765631396</v>
      </c>
      <c r="AC4896" s="814"/>
      <c r="AD4896" s="815"/>
      <c r="AE4896" s="245"/>
      <c r="AF4896" s="923">
        <f>IF(X4896=X4895,AF4895,0)+IF(ISNUMBER(I4896),IF(I4896&lt;1,I4896,I4896*VLOOKUP(J4896,Summary!$H$2:$I$9,2)),VLOOKUP(J4896,Summary!$J$2:$K$9,2)*IF(ISNUMBER(H4896),H4896,1))</f>
        <v>1.7735069444444451</v>
      </c>
      <c r="AG4896" s="297">
        <v>4895</v>
      </c>
      <c r="AH4896" s="94"/>
      <c r="AI4896" s="94"/>
    </row>
    <row r="4897" spans="1:36" s="22" customFormat="1" ht="12" customHeight="1" x14ac:dyDescent="0.25">
      <c r="A4897" s="553" t="s">
        <v>3195</v>
      </c>
      <c r="B4897" s="553" t="s">
        <v>3221</v>
      </c>
      <c r="C4897" s="553">
        <v>25</v>
      </c>
      <c r="D4897" s="424" t="s">
        <v>3196</v>
      </c>
      <c r="E4897" s="319" t="s">
        <v>3199</v>
      </c>
      <c r="F4897" s="198">
        <v>40819</v>
      </c>
      <c r="G4897" s="198">
        <v>40820</v>
      </c>
      <c r="H4897" s="199">
        <v>2</v>
      </c>
      <c r="I4897" s="791">
        <f>TIME(0,26,12)+TIME(0,25,35)</f>
        <v>3.5960648148148144E-2</v>
      </c>
      <c r="J4897" s="904" t="s">
        <v>1588</v>
      </c>
      <c r="K4897" s="200" t="s">
        <v>4152</v>
      </c>
      <c r="L4897" s="200" t="s">
        <v>3452</v>
      </c>
      <c r="M4897" s="200"/>
      <c r="N4897" s="200"/>
      <c r="O4897" s="200" t="s">
        <v>3365</v>
      </c>
      <c r="P4897" s="197" t="s">
        <v>461</v>
      </c>
      <c r="Q4897" s="200" t="s">
        <v>3946</v>
      </c>
      <c r="R4897" s="201" t="s">
        <v>5273</v>
      </c>
      <c r="S4897" s="390" t="s">
        <v>53</v>
      </c>
      <c r="T4897" s="197" t="s">
        <v>3199</v>
      </c>
      <c r="U4897" s="197" t="s">
        <v>3075</v>
      </c>
      <c r="V4897" s="197" t="s">
        <v>3072</v>
      </c>
      <c r="W4897" s="318"/>
      <c r="X4897" s="650" t="s">
        <v>12354</v>
      </c>
      <c r="Y4897" s="358" t="s">
        <v>7018</v>
      </c>
      <c r="Z4897" s="253">
        <v>1026</v>
      </c>
      <c r="AA4897" s="253">
        <v>3</v>
      </c>
      <c r="AB4897" s="35">
        <f t="shared" ca="1" si="120"/>
        <v>0.2351530366693424</v>
      </c>
      <c r="AC4897" s="820"/>
      <c r="AD4897" s="821" t="s">
        <v>15891</v>
      </c>
      <c r="AE4897" s="944"/>
      <c r="AF4897" s="925">
        <f>IF(X4897=X4896,AF4896,0)+IF(ISNUMBER(I4897),IF(I4897&lt;1,I4897,I4897*VLOOKUP(J4897,Summary!$H$2:$I$9,2)),VLOOKUP(J4897,Summary!$J$2:$K$9,2)*IF(ISNUMBER(H4897),H4897,1))</f>
        <v>3.5960648148148144E-2</v>
      </c>
      <c r="AG4897" s="293">
        <v>4896</v>
      </c>
      <c r="AH4897" s="94"/>
      <c r="AI4897" s="94"/>
    </row>
    <row r="4898" spans="1:36" s="8" customFormat="1" ht="12" customHeight="1" x14ac:dyDescent="0.25">
      <c r="A4898" s="553" t="s">
        <v>3195</v>
      </c>
      <c r="B4898" s="554" t="s">
        <v>3221</v>
      </c>
      <c r="C4898" s="553">
        <v>26</v>
      </c>
      <c r="D4898" s="424" t="s">
        <v>3197</v>
      </c>
      <c r="E4898" s="319" t="s">
        <v>3200</v>
      </c>
      <c r="F4898" s="198">
        <v>40826</v>
      </c>
      <c r="G4898" s="198">
        <v>40827</v>
      </c>
      <c r="H4898" s="199">
        <v>2</v>
      </c>
      <c r="I4898" s="791">
        <f>TIME(0,25,19)+TIME(0,26,10)</f>
        <v>3.575231481481482E-2</v>
      </c>
      <c r="J4898" s="904" t="s">
        <v>1588</v>
      </c>
      <c r="K4898" s="200" t="s">
        <v>4152</v>
      </c>
      <c r="L4898" s="200" t="s">
        <v>3452</v>
      </c>
      <c r="M4898" s="200"/>
      <c r="N4898" s="200"/>
      <c r="O4898" s="200" t="s">
        <v>3365</v>
      </c>
      <c r="P4898" s="197" t="s">
        <v>461</v>
      </c>
      <c r="Q4898" s="200" t="s">
        <v>3946</v>
      </c>
      <c r="R4898" s="201" t="s">
        <v>5273</v>
      </c>
      <c r="S4898" s="390" t="s">
        <v>53</v>
      </c>
      <c r="T4898" s="197" t="s">
        <v>3199</v>
      </c>
      <c r="U4898" s="197" t="s">
        <v>3075</v>
      </c>
      <c r="V4898" s="197" t="s">
        <v>3072</v>
      </c>
      <c r="W4898" s="318"/>
      <c r="X4898" s="650" t="s">
        <v>12354</v>
      </c>
      <c r="Y4898" s="358" t="s">
        <v>7018</v>
      </c>
      <c r="Z4898" s="253">
        <v>1002</v>
      </c>
      <c r="AA4898" s="253">
        <v>9.5</v>
      </c>
      <c r="AB4898" s="35">
        <f t="shared" ca="1" si="120"/>
        <v>0.45889317618072734</v>
      </c>
      <c r="AC4898" s="820"/>
      <c r="AD4898" s="821" t="s">
        <v>15892</v>
      </c>
      <c r="AE4898" s="944"/>
      <c r="AF4898" s="925">
        <f>IF(X4898=X4897,AF4897,0)+IF(ISNUMBER(I4898),IF(I4898&lt;1,I4898,I4898*VLOOKUP(J4898,Summary!$H$2:$I$9,2)),VLOOKUP(J4898,Summary!$J$2:$K$9,2)*IF(ISNUMBER(H4898),H4898,1))</f>
        <v>7.1712962962962964E-2</v>
      </c>
      <c r="AG4898" s="293">
        <v>4897</v>
      </c>
      <c r="AH4898" s="94"/>
      <c r="AI4898" s="94"/>
    </row>
    <row r="4899" spans="1:36" s="1" customFormat="1" ht="12" customHeight="1" x14ac:dyDescent="0.25">
      <c r="A4899" s="553" t="s">
        <v>3195</v>
      </c>
      <c r="B4899" s="554" t="s">
        <v>3221</v>
      </c>
      <c r="C4899" s="553">
        <v>27</v>
      </c>
      <c r="D4899" s="424" t="s">
        <v>3198</v>
      </c>
      <c r="E4899" s="319" t="s">
        <v>3201</v>
      </c>
      <c r="F4899" s="198">
        <v>40833</v>
      </c>
      <c r="G4899" s="198">
        <v>40834</v>
      </c>
      <c r="H4899" s="199">
        <v>2</v>
      </c>
      <c r="I4899" s="791">
        <f>TIME(0,26, 3)+TIME(0,25,50)</f>
        <v>3.6030092592592593E-2</v>
      </c>
      <c r="J4899" s="904" t="s">
        <v>1588</v>
      </c>
      <c r="K4899" s="200" t="s">
        <v>3451</v>
      </c>
      <c r="L4899" s="200" t="s">
        <v>2770</v>
      </c>
      <c r="M4899" s="200"/>
      <c r="N4899" s="200"/>
      <c r="O4899" s="200" t="s">
        <v>3365</v>
      </c>
      <c r="P4899" s="197" t="s">
        <v>461</v>
      </c>
      <c r="Q4899" s="200" t="s">
        <v>3946</v>
      </c>
      <c r="R4899" s="201" t="s">
        <v>5273</v>
      </c>
      <c r="S4899" s="390" t="s">
        <v>53</v>
      </c>
      <c r="T4899" s="197" t="s">
        <v>3199</v>
      </c>
      <c r="U4899" s="197" t="s">
        <v>3074</v>
      </c>
      <c r="V4899" s="197" t="s">
        <v>6398</v>
      </c>
      <c r="W4899" s="318"/>
      <c r="X4899" s="650" t="s">
        <v>12354</v>
      </c>
      <c r="Y4899" s="358" t="s">
        <v>7018</v>
      </c>
      <c r="Z4899" s="253">
        <v>1022</v>
      </c>
      <c r="AA4899" s="253">
        <v>4</v>
      </c>
      <c r="AB4899" s="35">
        <f t="shared" ca="1" si="120"/>
        <v>8.9559814775515778E-2</v>
      </c>
      <c r="AC4899" s="820"/>
      <c r="AD4899" s="821" t="s">
        <v>15893</v>
      </c>
      <c r="AE4899" s="944"/>
      <c r="AF4899" s="925">
        <f>IF(X4899=X4898,AF4898,0)+IF(ISNUMBER(I4899),IF(I4899&lt;1,I4899,I4899*VLOOKUP(J4899,Summary!$H$2:$I$9,2)),VLOOKUP(J4899,Summary!$J$2:$K$9,2)*IF(ISNUMBER(H4899),H4899,1))</f>
        <v>0.10774305555555555</v>
      </c>
      <c r="AG4899" s="293">
        <v>4898</v>
      </c>
      <c r="AH4899" s="94"/>
      <c r="AI4899" s="94"/>
    </row>
    <row r="4900" spans="1:36" s="1" customFormat="1" ht="12" customHeight="1" x14ac:dyDescent="0.25">
      <c r="A4900" s="405" t="s">
        <v>3195</v>
      </c>
      <c r="B4900" s="406" t="s">
        <v>3221</v>
      </c>
      <c r="C4900" s="405">
        <v>9</v>
      </c>
      <c r="D4900" s="407" t="s">
        <v>6392</v>
      </c>
      <c r="E4900" s="315" t="s">
        <v>6394</v>
      </c>
      <c r="F4900" s="196">
        <v>40857</v>
      </c>
      <c r="G4900" s="196"/>
      <c r="H4900" s="170" t="str">
        <f>IF(J4900="Book","n/a","")</f>
        <v/>
      </c>
      <c r="I4900" s="746">
        <f>TIME(1,4,40)</f>
        <v>4.4907407407407403E-2</v>
      </c>
      <c r="J4900" s="899" t="s">
        <v>4706</v>
      </c>
      <c r="K4900" s="167" t="s">
        <v>6235</v>
      </c>
      <c r="L4900" s="167" t="s">
        <v>3365</v>
      </c>
      <c r="M4900" s="167" t="s">
        <v>6400</v>
      </c>
      <c r="N4900" s="167"/>
      <c r="O4900" s="167" t="s">
        <v>3365</v>
      </c>
      <c r="P4900" s="168" t="s">
        <v>6399</v>
      </c>
      <c r="Q4900" s="167" t="s">
        <v>3951</v>
      </c>
      <c r="R4900" s="172" t="s">
        <v>2242</v>
      </c>
      <c r="S4900" s="388" t="s">
        <v>53</v>
      </c>
      <c r="T4900" s="168" t="s">
        <v>3199</v>
      </c>
      <c r="U4900" s="168" t="s">
        <v>3075</v>
      </c>
      <c r="V4900" s="168" t="s">
        <v>3072</v>
      </c>
      <c r="W4900" s="312"/>
      <c r="X4900" s="644" t="s">
        <v>12354</v>
      </c>
      <c r="Y4900" s="352" t="s">
        <v>5643</v>
      </c>
      <c r="Z4900" s="353"/>
      <c r="AA4900" s="353"/>
      <c r="AB4900" s="31">
        <f t="shared" ca="1" si="120"/>
        <v>0.64695615818448271</v>
      </c>
      <c r="AC4900" s="810"/>
      <c r="AD4900" s="811" t="s">
        <v>15888</v>
      </c>
      <c r="AE4900" s="940"/>
      <c r="AF4900" s="920">
        <f>IF(X4900=X4899,AF4899,0)+IF(ISNUMBER(I4900),IF(I4900&lt;1,I4900,I4900*VLOOKUP(J4900,Summary!$H$2:$I$9,2)),VLOOKUP(J4900,Summary!$J$2:$K$9,2)*IF(ISNUMBER(H4900),H4900,1))</f>
        <v>0.15265046296296295</v>
      </c>
      <c r="AG4900" s="287">
        <v>4899</v>
      </c>
      <c r="AH4900" s="94"/>
      <c r="AI4900" s="94"/>
    </row>
    <row r="4901" spans="1:36" s="58" customFormat="1" ht="12" customHeight="1" x14ac:dyDescent="0.2">
      <c r="A4901" s="405" t="s">
        <v>3195</v>
      </c>
      <c r="B4901" s="406" t="s">
        <v>3221</v>
      </c>
      <c r="C4901" s="405">
        <v>10</v>
      </c>
      <c r="D4901" s="407" t="s">
        <v>6393</v>
      </c>
      <c r="E4901" s="315" t="s">
        <v>6395</v>
      </c>
      <c r="F4901" s="196">
        <v>40857</v>
      </c>
      <c r="G4901" s="196"/>
      <c r="H4901" s="170" t="str">
        <f>IF(J4901="Book","n/a","")</f>
        <v/>
      </c>
      <c r="I4901" s="746">
        <f>TIME(1,18,10)</f>
        <v>5.4282407407407411E-2</v>
      </c>
      <c r="J4901" s="899" t="s">
        <v>4706</v>
      </c>
      <c r="K4901" s="167" t="s">
        <v>5251</v>
      </c>
      <c r="L4901" s="167" t="s">
        <v>3365</v>
      </c>
      <c r="M4901" s="167" t="s">
        <v>6396</v>
      </c>
      <c r="N4901" s="167"/>
      <c r="O4901" s="167" t="s">
        <v>3365</v>
      </c>
      <c r="P4901" s="168" t="s">
        <v>6397</v>
      </c>
      <c r="Q4901" s="167" t="s">
        <v>3951</v>
      </c>
      <c r="R4901" s="172" t="s">
        <v>2242</v>
      </c>
      <c r="S4901" s="388" t="s">
        <v>53</v>
      </c>
      <c r="T4901" s="168" t="s">
        <v>3199</v>
      </c>
      <c r="U4901" s="168" t="s">
        <v>3075</v>
      </c>
      <c r="V4901" s="168" t="s">
        <v>3072</v>
      </c>
      <c r="W4901" s="312"/>
      <c r="X4901" s="644" t="s">
        <v>12354</v>
      </c>
      <c r="Y4901" s="352" t="s">
        <v>5643</v>
      </c>
      <c r="Z4901" s="353"/>
      <c r="AA4901" s="353"/>
      <c r="AB4901" s="31">
        <f t="shared" ca="1" si="120"/>
        <v>0.1652591150081828</v>
      </c>
      <c r="AC4901" s="810"/>
      <c r="AD4901" s="811" t="s">
        <v>15888</v>
      </c>
      <c r="AE4901" s="940"/>
      <c r="AF4901" s="920">
        <f>IF(X4901=X4900,AF4900,0)+IF(ISNUMBER(I4901),IF(I4901&lt;1,I4901,I4901*VLOOKUP(J4901,Summary!$H$2:$I$9,2)),VLOOKUP(J4901,Summary!$J$2:$K$9,2)*IF(ISNUMBER(H4901),H4901,1))</f>
        <v>0.20693287037037036</v>
      </c>
      <c r="AG4901" s="287">
        <v>4900</v>
      </c>
      <c r="AH4901" s="94"/>
      <c r="AI4901" s="94"/>
    </row>
    <row r="4902" spans="1:36" s="3" customFormat="1" ht="12" customHeight="1" x14ac:dyDescent="0.25">
      <c r="A4902" s="613" t="s">
        <v>13230</v>
      </c>
      <c r="B4902" s="613">
        <v>11</v>
      </c>
      <c r="C4902" s="613"/>
      <c r="D4902" s="509" t="s">
        <v>7996</v>
      </c>
      <c r="E4902" s="335" t="s">
        <v>7999</v>
      </c>
      <c r="F4902" s="223">
        <v>41541</v>
      </c>
      <c r="G4902" s="223"/>
      <c r="H4902" s="242">
        <v>1</v>
      </c>
      <c r="I4902" s="792">
        <f>TIME(0,2,3)</f>
        <v>1.423611111111111E-3</v>
      </c>
      <c r="J4902" s="909" t="s">
        <v>1588</v>
      </c>
      <c r="K4902" s="243" t="s">
        <v>3810</v>
      </c>
      <c r="L4902" s="243"/>
      <c r="M4902" s="243"/>
      <c r="N4902" s="243" t="s">
        <v>3810</v>
      </c>
      <c r="O4902" s="243"/>
      <c r="P4902" s="241" t="s">
        <v>461</v>
      </c>
      <c r="Q4902" s="243" t="s">
        <v>3946</v>
      </c>
      <c r="R4902" s="244" t="s">
        <v>237</v>
      </c>
      <c r="S4902" s="395"/>
      <c r="T4902" s="241"/>
      <c r="U4902" s="241"/>
      <c r="V4902" s="241"/>
      <c r="W4902" s="335" t="s">
        <v>7999</v>
      </c>
      <c r="X4902" s="667" t="s">
        <v>12349</v>
      </c>
      <c r="Y4902" s="375"/>
      <c r="Z4902" s="377"/>
      <c r="AA4902" s="377"/>
      <c r="AB4902" s="55">
        <f t="shared" ca="1" si="120"/>
        <v>0.65380969567411007</v>
      </c>
      <c r="AC4902" s="834"/>
      <c r="AD4902" s="835"/>
      <c r="AE4902" s="957"/>
      <c r="AF4902" s="930">
        <f>IF(X4902=X4901,AF4901,0)+IF(ISNUMBER(I4902),IF(I4902&lt;1,I4902,I4902*VLOOKUP(J4902,Summary!$H$2:$I$9,2)),VLOOKUP(J4902,Summary!$J$2:$K$9,2)*IF(ISNUMBER(H4902),H4902,1))</f>
        <v>1.423611111111111E-3</v>
      </c>
      <c r="AG4902" s="302">
        <v>4901</v>
      </c>
      <c r="AH4902" s="94"/>
      <c r="AI4902" s="94"/>
      <c r="AJ4902" s="1"/>
    </row>
    <row r="4903" spans="1:36" s="3" customFormat="1" ht="12" customHeight="1" x14ac:dyDescent="0.25">
      <c r="A4903" s="615" t="s">
        <v>13230</v>
      </c>
      <c r="B4903" s="615">
        <v>11</v>
      </c>
      <c r="C4903" s="615">
        <v>50</v>
      </c>
      <c r="D4903" s="417" t="s">
        <v>2181</v>
      </c>
      <c r="E4903" s="316" t="s">
        <v>2182</v>
      </c>
      <c r="F4903" s="195">
        <v>41095</v>
      </c>
      <c r="G4903" s="195"/>
      <c r="H4903" s="188" t="str">
        <f>IF(J4903="Book","n/a","")</f>
        <v>n/a</v>
      </c>
      <c r="I4903" s="188">
        <v>320</v>
      </c>
      <c r="J4903" s="902" t="s">
        <v>6868</v>
      </c>
      <c r="K4903" s="162" t="s">
        <v>2183</v>
      </c>
      <c r="L4903" s="162" t="str">
        <f>IF(J4903="Book","n/a","")</f>
        <v>n/a</v>
      </c>
      <c r="M4903" s="162"/>
      <c r="N4903" s="162"/>
      <c r="O4903" s="162"/>
      <c r="P4903" s="178" t="s">
        <v>2184</v>
      </c>
      <c r="Q4903" s="162" t="s">
        <v>3953</v>
      </c>
      <c r="R4903" s="189" t="s">
        <v>2711</v>
      </c>
      <c r="S4903" s="366"/>
      <c r="T4903" s="178"/>
      <c r="U4903" s="178"/>
      <c r="V4903" s="178"/>
      <c r="W4903" s="316" t="s">
        <v>2182</v>
      </c>
      <c r="X4903" s="648" t="s">
        <v>12349</v>
      </c>
      <c r="Y4903" s="356"/>
      <c r="Z4903" s="272">
        <v>20</v>
      </c>
      <c r="AA4903" s="272">
        <v>9</v>
      </c>
      <c r="AB4903" s="34">
        <f t="shared" ca="1" si="120"/>
        <v>0.59938588636720336</v>
      </c>
      <c r="AC4903" s="814"/>
      <c r="AD4903" s="815"/>
      <c r="AE4903" s="942"/>
      <c r="AF4903" s="923">
        <f>IF(X4903=X4902,AF4902,0)+IF(ISNUMBER(I4903),IF(I4903&lt;1,I4903,I4903*VLOOKUP(J4903,Summary!$H$2:$I$9,2)),VLOOKUP(J4903,Summary!$J$2:$K$9,2)*IF(ISNUMBER(H4903),H4903,1))</f>
        <v>0.22364583333333335</v>
      </c>
      <c r="AG4903" s="291">
        <v>4902</v>
      </c>
      <c r="AH4903" s="94"/>
      <c r="AI4903" s="94"/>
      <c r="AJ4903" s="1"/>
    </row>
    <row r="4904" spans="1:36" s="57" customFormat="1" ht="12" customHeight="1" x14ac:dyDescent="0.25">
      <c r="A4904" s="612" t="s">
        <v>13230</v>
      </c>
      <c r="B4904" s="612">
        <v>11</v>
      </c>
      <c r="C4904" s="612"/>
      <c r="D4904" s="493"/>
      <c r="E4904" s="333" t="s">
        <v>1041</v>
      </c>
      <c r="F4904" s="233">
        <v>41158</v>
      </c>
      <c r="G4904" s="226"/>
      <c r="H4904" s="226" t="s">
        <v>461</v>
      </c>
      <c r="I4904" s="226">
        <v>128</v>
      </c>
      <c r="J4904" s="907" t="s">
        <v>1796</v>
      </c>
      <c r="K4904" s="165" t="s">
        <v>543</v>
      </c>
      <c r="L4904" s="165" t="s">
        <v>4138</v>
      </c>
      <c r="M4904" s="165"/>
      <c r="N4904" s="165"/>
      <c r="O4904" s="165"/>
      <c r="P4904" s="225" t="s">
        <v>9001</v>
      </c>
      <c r="Q4904" s="165" t="s">
        <v>3953</v>
      </c>
      <c r="R4904" s="234" t="s">
        <v>2711</v>
      </c>
      <c r="S4904" s="369"/>
      <c r="T4904" s="225"/>
      <c r="U4904" s="225"/>
      <c r="V4904" s="225"/>
      <c r="W4904" s="333" t="s">
        <v>1041</v>
      </c>
      <c r="X4904" s="665" t="s">
        <v>12349</v>
      </c>
      <c r="Y4904" s="372" t="s">
        <v>6868</v>
      </c>
      <c r="Z4904" s="269">
        <v>999</v>
      </c>
      <c r="AA4904" s="269"/>
      <c r="AB4904" s="33">
        <f t="shared" ca="1" si="120"/>
        <v>0.54885727306451293</v>
      </c>
      <c r="AC4904" s="813"/>
      <c r="AD4904" s="211"/>
      <c r="AE4904" s="941"/>
      <c r="AF4904" s="922">
        <f>IF(X4904=X4903,AF4903,0)+IF(ISNUMBER(I4904),IF(I4904&lt;1,I4904,I4904*VLOOKUP(J4904,Summary!$H$2:$I$9,2)),VLOOKUP(J4904,Summary!$J$2:$K$9,2)*IF(ISNUMBER(H4904),H4904,1))</f>
        <v>0.26809027777777777</v>
      </c>
      <c r="AG4904" s="290">
        <v>4903</v>
      </c>
      <c r="AH4904" s="94"/>
      <c r="AI4904" s="94"/>
    </row>
    <row r="4905" spans="1:36" s="3" customFormat="1" ht="12" customHeight="1" x14ac:dyDescent="0.25">
      <c r="A4905" s="755" t="s">
        <v>13230</v>
      </c>
      <c r="B4905" s="755" t="s">
        <v>8004</v>
      </c>
      <c r="C4905" s="755">
        <v>3</v>
      </c>
      <c r="D4905" s="486" t="s">
        <v>8006</v>
      </c>
      <c r="E4905" s="332" t="s">
        <v>8005</v>
      </c>
      <c r="F4905" s="213">
        <v>41368</v>
      </c>
      <c r="G4905" s="213"/>
      <c r="H4905" s="214" t="s">
        <v>461</v>
      </c>
      <c r="I4905" s="750">
        <f>TIME(1,57,0)</f>
        <v>8.1250000000000003E-2</v>
      </c>
      <c r="J4905" s="906" t="s">
        <v>6868</v>
      </c>
      <c r="K4905" s="161" t="s">
        <v>1643</v>
      </c>
      <c r="L4905" s="161" t="str">
        <f>IF(J4905="Book","n/a","")</f>
        <v>n/a</v>
      </c>
      <c r="M4905" s="161" t="s">
        <v>12126</v>
      </c>
      <c r="N4905" s="161"/>
      <c r="O4905" s="161"/>
      <c r="P4905" s="212" t="s">
        <v>8898</v>
      </c>
      <c r="Q4905" s="161" t="s">
        <v>2173</v>
      </c>
      <c r="R4905" s="231" t="s">
        <v>8377</v>
      </c>
      <c r="S4905" s="365"/>
      <c r="T4905" s="212"/>
      <c r="U4905" s="212"/>
      <c r="V4905" s="212"/>
      <c r="W4905" s="332" t="s">
        <v>8005</v>
      </c>
      <c r="X4905" s="664" t="s">
        <v>12349</v>
      </c>
      <c r="Y4905" s="370" t="s">
        <v>2174</v>
      </c>
      <c r="Z4905" s="371">
        <v>171</v>
      </c>
      <c r="AA4905" s="371">
        <v>4</v>
      </c>
      <c r="AB4905" s="39">
        <f t="shared" ca="1" si="120"/>
        <v>0.14912188246373081</v>
      </c>
      <c r="AC4905" s="828"/>
      <c r="AD4905" s="829"/>
      <c r="AE4905" s="952"/>
      <c r="AF4905" s="927">
        <f>IF(X4905=X4904,AF4904,0)+IF(ISNUMBER(I4905),IF(I4905&lt;1,I4905,I4905*VLOOKUP(J4905,Summary!$H$2:$I$9,2)),VLOOKUP(J4905,Summary!$J$2:$K$9,2)*IF(ISNUMBER(H4905),H4905,1))</f>
        <v>0.34934027777777776</v>
      </c>
      <c r="AG4905" s="299">
        <v>4904</v>
      </c>
      <c r="AH4905" s="94"/>
      <c r="AI4905" s="94"/>
      <c r="AJ4905" s="1"/>
    </row>
    <row r="4906" spans="1:36" s="8" customFormat="1" ht="12" customHeight="1" x14ac:dyDescent="0.25">
      <c r="A4906" s="613" t="s">
        <v>13230</v>
      </c>
      <c r="B4906" s="613">
        <v>11</v>
      </c>
      <c r="C4906" s="613"/>
      <c r="D4906" s="509" t="s">
        <v>3112</v>
      </c>
      <c r="E4906" s="335" t="s">
        <v>7949</v>
      </c>
      <c r="F4906" s="223">
        <v>40883</v>
      </c>
      <c r="G4906" s="223"/>
      <c r="H4906" s="242">
        <v>1</v>
      </c>
      <c r="I4906" s="792">
        <f>TIME(0,1,32)</f>
        <v>1.0648148148148147E-3</v>
      </c>
      <c r="J4906" s="909" t="s">
        <v>1588</v>
      </c>
      <c r="K4906" s="243" t="s">
        <v>3810</v>
      </c>
      <c r="L4906" s="243" t="s">
        <v>6508</v>
      </c>
      <c r="M4906" s="243"/>
      <c r="N4906" s="243" t="s">
        <v>3810</v>
      </c>
      <c r="O4906" s="243" t="s">
        <v>6509</v>
      </c>
      <c r="P4906" s="241" t="s">
        <v>461</v>
      </c>
      <c r="Q4906" s="243" t="s">
        <v>3946</v>
      </c>
      <c r="R4906" s="244" t="s">
        <v>7896</v>
      </c>
      <c r="S4906" s="395"/>
      <c r="T4906" s="241"/>
      <c r="U4906" s="241"/>
      <c r="V4906" s="241"/>
      <c r="W4906" s="335" t="s">
        <v>10128</v>
      </c>
      <c r="X4906" s="667" t="s">
        <v>12349</v>
      </c>
      <c r="Y4906" s="375"/>
      <c r="Z4906" s="377"/>
      <c r="AA4906" s="377"/>
      <c r="AB4906" s="55">
        <f t="shared" ca="1" si="120"/>
        <v>0.62350437422794192</v>
      </c>
      <c r="AC4906" s="834"/>
      <c r="AD4906" s="835"/>
      <c r="AE4906" s="957"/>
      <c r="AF4906" s="930">
        <f>IF(X4906=X4905,AF4905,0)+IF(ISNUMBER(I4906),IF(I4906&lt;1,I4906,I4906*VLOOKUP(J4906,Summary!$H$2:$I$9,2)),VLOOKUP(J4906,Summary!$J$2:$K$9,2)*IF(ISNUMBER(H4906),H4906,1))</f>
        <v>0.35040509259259256</v>
      </c>
      <c r="AG4906" s="302">
        <v>4905</v>
      </c>
      <c r="AH4906" s="94"/>
      <c r="AI4906" s="94"/>
    </row>
    <row r="4907" spans="1:36" s="22" customFormat="1" ht="12" customHeight="1" x14ac:dyDescent="0.25">
      <c r="A4907" s="612" t="s">
        <v>13230</v>
      </c>
      <c r="B4907" s="612">
        <v>11</v>
      </c>
      <c r="C4907" s="612">
        <v>225</v>
      </c>
      <c r="D4907" s="424" t="s">
        <v>2906</v>
      </c>
      <c r="E4907" s="319" t="s">
        <v>2907</v>
      </c>
      <c r="F4907" s="198">
        <v>40902</v>
      </c>
      <c r="G4907" s="198"/>
      <c r="H4907" s="199">
        <v>1</v>
      </c>
      <c r="I4907" s="791">
        <f>TIME(0,58,21)</f>
        <v>4.0520833333333332E-2</v>
      </c>
      <c r="J4907" s="904" t="s">
        <v>1588</v>
      </c>
      <c r="K4907" s="200" t="s">
        <v>3810</v>
      </c>
      <c r="L4907" s="200" t="s">
        <v>2908</v>
      </c>
      <c r="M4907" s="200"/>
      <c r="N4907" s="200" t="s">
        <v>3810</v>
      </c>
      <c r="O4907" s="200" t="s">
        <v>7457</v>
      </c>
      <c r="P4907" s="197" t="s">
        <v>461</v>
      </c>
      <c r="Q4907" s="200" t="s">
        <v>3946</v>
      </c>
      <c r="R4907" s="201" t="s">
        <v>5280</v>
      </c>
      <c r="S4907" s="390" t="s">
        <v>2614</v>
      </c>
      <c r="T4907" s="197" t="s">
        <v>1738</v>
      </c>
      <c r="U4907" s="197"/>
      <c r="V4907" s="197"/>
      <c r="W4907" s="319" t="s">
        <v>2907</v>
      </c>
      <c r="X4907" s="651" t="s">
        <v>12349</v>
      </c>
      <c r="Y4907" s="358" t="s">
        <v>7018</v>
      </c>
      <c r="Z4907" s="253">
        <v>245</v>
      </c>
      <c r="AA4907" s="253">
        <v>3.5</v>
      </c>
      <c r="AB4907" s="35">
        <f t="shared" ca="1" si="120"/>
        <v>5.9943728443358379E-2</v>
      </c>
      <c r="AC4907" s="820"/>
      <c r="AD4907" s="845" t="s">
        <v>16734</v>
      </c>
      <c r="AE4907" s="967" t="s">
        <v>16614</v>
      </c>
      <c r="AF4907" s="925">
        <f>IF(X4907=X4906,AF4906,0)+IF(ISNUMBER(I4907),IF(I4907&lt;1,I4907,I4907*VLOOKUP(J4907,Summary!$H$2:$I$9,2)),VLOOKUP(J4907,Summary!$J$2:$K$9,2)*IF(ISNUMBER(H4907),H4907,1))</f>
        <v>0.3909259259259259</v>
      </c>
      <c r="AG4907" s="293">
        <v>4906</v>
      </c>
      <c r="AH4907" s="94"/>
      <c r="AI4907" s="94"/>
    </row>
    <row r="4908" spans="1:36" s="22" customFormat="1" ht="12" customHeight="1" x14ac:dyDescent="0.25">
      <c r="A4908" s="618" t="s">
        <v>13230</v>
      </c>
      <c r="B4908" s="618">
        <v>11</v>
      </c>
      <c r="C4908" s="618">
        <v>2</v>
      </c>
      <c r="D4908" s="176" t="s">
        <v>13335</v>
      </c>
      <c r="E4908" s="313" t="s">
        <v>13336</v>
      </c>
      <c r="F4908" s="175">
        <v>42411</v>
      </c>
      <c r="G4908" s="174"/>
      <c r="H4908" s="176">
        <v>1</v>
      </c>
      <c r="I4908" s="176"/>
      <c r="J4908" s="900" t="s">
        <v>2755</v>
      </c>
      <c r="K4908" s="164" t="s">
        <v>4552</v>
      </c>
      <c r="L4908" s="164"/>
      <c r="M4908" s="164"/>
      <c r="N4908" s="164"/>
      <c r="O4908" s="164"/>
      <c r="P4908" s="173" t="s">
        <v>13331</v>
      </c>
      <c r="Q4908" s="164" t="s">
        <v>3953</v>
      </c>
      <c r="R4908" s="179" t="s">
        <v>13332</v>
      </c>
      <c r="S4908" s="354"/>
      <c r="T4908" s="173"/>
      <c r="U4908" s="173" t="s">
        <v>7344</v>
      </c>
      <c r="V4908" s="173"/>
      <c r="W4908" s="313" t="s">
        <v>13336</v>
      </c>
      <c r="X4908" s="645" t="s">
        <v>12349</v>
      </c>
      <c r="Y4908" s="354"/>
      <c r="Z4908" s="176"/>
      <c r="AA4908" s="176"/>
      <c r="AB4908" s="32">
        <f t="shared" ca="1" si="120"/>
        <v>0.98163199719505656</v>
      </c>
      <c r="AC4908" s="812"/>
      <c r="AD4908" s="763"/>
      <c r="AE4908" s="807"/>
      <c r="AF4908" s="921">
        <f>IF(X4908=X4907,AF4907,0)+IF(ISNUMBER(I4908),IF(I4908&lt;1,I4908,I4908*VLOOKUP(J4908,Summary!$H$2:$I$9,2)),VLOOKUP(J4908,Summary!$J$2:$K$9,2)*IF(ISNUMBER(H4908),H4908,1))</f>
        <v>0.408287037037037</v>
      </c>
      <c r="AG4908" s="288">
        <v>4907</v>
      </c>
      <c r="AH4908" s="94"/>
      <c r="AI4908" s="94"/>
    </row>
    <row r="4909" spans="1:36" s="43" customFormat="1" ht="12" customHeight="1" x14ac:dyDescent="0.25">
      <c r="A4909" s="409" t="s">
        <v>13230</v>
      </c>
      <c r="B4909" s="410" t="s">
        <v>2650</v>
      </c>
      <c r="C4909" s="409">
        <v>9</v>
      </c>
      <c r="D4909" s="176" t="s">
        <v>15532</v>
      </c>
      <c r="E4909" s="313" t="s">
        <v>15533</v>
      </c>
      <c r="F4909" s="175">
        <v>43384</v>
      </c>
      <c r="G4909" s="174"/>
      <c r="H4909" s="176">
        <v>1</v>
      </c>
      <c r="I4909" s="176"/>
      <c r="J4909" s="900" t="s">
        <v>2755</v>
      </c>
      <c r="K4909" s="164" t="s">
        <v>15498</v>
      </c>
      <c r="L4909" s="164" t="s">
        <v>461</v>
      </c>
      <c r="M4909" s="164"/>
      <c r="N4909" s="164"/>
      <c r="O4909" s="164"/>
      <c r="P4909" s="173" t="s">
        <v>15499</v>
      </c>
      <c r="Q4909" s="164" t="s">
        <v>3953</v>
      </c>
      <c r="R4909" s="179" t="s">
        <v>15500</v>
      </c>
      <c r="S4909" s="354"/>
      <c r="T4909" s="173"/>
      <c r="U4909" s="173"/>
      <c r="V4909" s="173"/>
      <c r="W4909" s="313" t="s">
        <v>15533</v>
      </c>
      <c r="X4909" s="645" t="s">
        <v>12349</v>
      </c>
      <c r="Y4909" s="354"/>
      <c r="Z4909" s="176"/>
      <c r="AA4909" s="176"/>
      <c r="AB4909" s="32">
        <f t="shared" ca="1" si="120"/>
        <v>0.62769599888990935</v>
      </c>
      <c r="AC4909" s="812"/>
      <c r="AD4909" s="763"/>
      <c r="AE4909" s="807"/>
      <c r="AF4909" s="921">
        <f>IF(X4909=X4908,AF4908,0)+IF(ISNUMBER(I4909),IF(I4909&lt;1,I4909,I4909*VLOOKUP(J4909,Summary!$H$2:$I$9,2)),VLOOKUP(J4909,Summary!$J$2:$K$9,2)*IF(ISNUMBER(H4909),H4909,1))</f>
        <v>0.42564814814814811</v>
      </c>
      <c r="AG4909" s="288">
        <v>4908</v>
      </c>
      <c r="AH4909" s="94"/>
      <c r="AI4909" s="94"/>
    </row>
    <row r="4910" spans="1:36" s="43" customFormat="1" ht="12" customHeight="1" x14ac:dyDescent="0.25">
      <c r="A4910" s="613" t="s">
        <v>13230</v>
      </c>
      <c r="B4910" s="613">
        <v>11</v>
      </c>
      <c r="C4910" s="613"/>
      <c r="D4910" s="509" t="s">
        <v>6511</v>
      </c>
      <c r="E4910" s="335" t="s">
        <v>6510</v>
      </c>
      <c r="F4910" s="223">
        <v>41148</v>
      </c>
      <c r="G4910" s="223">
        <v>41152</v>
      </c>
      <c r="H4910" s="242">
        <v>5</v>
      </c>
      <c r="I4910" s="792">
        <f>TIME(0,5,29)</f>
        <v>3.8078703703703707E-3</v>
      </c>
      <c r="J4910" s="909" t="s">
        <v>1588</v>
      </c>
      <c r="K4910" s="243" t="s">
        <v>7377</v>
      </c>
      <c r="L4910" s="243" t="s">
        <v>6508</v>
      </c>
      <c r="M4910" s="243"/>
      <c r="N4910" s="243" t="s">
        <v>3810</v>
      </c>
      <c r="O4910" s="243" t="s">
        <v>6509</v>
      </c>
      <c r="P4910" s="241" t="s">
        <v>461</v>
      </c>
      <c r="Q4910" s="243" t="s">
        <v>3946</v>
      </c>
      <c r="R4910" s="244" t="s">
        <v>237</v>
      </c>
      <c r="S4910" s="395" t="s">
        <v>2614</v>
      </c>
      <c r="T4910" s="241" t="s">
        <v>1738</v>
      </c>
      <c r="U4910" s="241"/>
      <c r="V4910" s="241"/>
      <c r="W4910" s="339" t="s">
        <v>12309</v>
      </c>
      <c r="X4910" s="672" t="s">
        <v>12349</v>
      </c>
      <c r="Y4910" s="375"/>
      <c r="Z4910" s="376">
        <v>267</v>
      </c>
      <c r="AA4910" s="377">
        <v>2.5</v>
      </c>
      <c r="AB4910" s="55">
        <f t="shared" ca="1" si="120"/>
        <v>0.16570577776023432</v>
      </c>
      <c r="AC4910" s="834"/>
      <c r="AD4910" s="835"/>
      <c r="AE4910" s="957"/>
      <c r="AF4910" s="930">
        <f>IF(X4910=X4909,AF4909,0)+IF(ISNUMBER(I4910),IF(I4910&lt;1,I4910,I4910*VLOOKUP(J4910,Summary!$H$2:$I$9,2)),VLOOKUP(J4910,Summary!$J$2:$K$9,2)*IF(ISNUMBER(H4910),H4910,1))</f>
        <v>0.4294560185185185</v>
      </c>
      <c r="AG4910" s="302">
        <v>4909</v>
      </c>
      <c r="AH4910" s="94"/>
      <c r="AI4910" s="94"/>
    </row>
    <row r="4911" spans="1:36" s="8" customFormat="1" ht="12" customHeight="1" x14ac:dyDescent="0.25">
      <c r="A4911" s="613" t="s">
        <v>13230</v>
      </c>
      <c r="B4911" s="613">
        <v>11</v>
      </c>
      <c r="C4911" s="613"/>
      <c r="D4911" s="509" t="s">
        <v>3112</v>
      </c>
      <c r="E4911" s="335" t="s">
        <v>7950</v>
      </c>
      <c r="F4911" s="223">
        <v>41153</v>
      </c>
      <c r="G4911" s="223"/>
      <c r="H4911" s="242">
        <v>1</v>
      </c>
      <c r="I4911" s="792">
        <f>TIME(0,2,34)</f>
        <v>1.7824074074074072E-3</v>
      </c>
      <c r="J4911" s="909" t="s">
        <v>1588</v>
      </c>
      <c r="K4911" s="243"/>
      <c r="L4911" s="243"/>
      <c r="M4911" s="243"/>
      <c r="N4911" s="243" t="s">
        <v>3810</v>
      </c>
      <c r="O4911" s="243" t="s">
        <v>5004</v>
      </c>
      <c r="P4911" s="241" t="s">
        <v>461</v>
      </c>
      <c r="Q4911" s="243" t="s">
        <v>3946</v>
      </c>
      <c r="R4911" s="244" t="s">
        <v>7896</v>
      </c>
      <c r="S4911" s="395"/>
      <c r="T4911" s="241"/>
      <c r="U4911" s="241"/>
      <c r="V4911" s="241"/>
      <c r="W4911" s="335" t="s">
        <v>10126</v>
      </c>
      <c r="X4911" s="667" t="s">
        <v>12349</v>
      </c>
      <c r="Y4911" s="375"/>
      <c r="Z4911" s="377"/>
      <c r="AA4911" s="377"/>
      <c r="AB4911" s="55">
        <f t="shared" ca="1" si="120"/>
        <v>0.24257141498180046</v>
      </c>
      <c r="AC4911" s="834"/>
      <c r="AD4911" s="835"/>
      <c r="AE4911" s="957"/>
      <c r="AF4911" s="930">
        <f>IF(X4911=X4910,AF4910,0)+IF(ISNUMBER(I4911),IF(I4911&lt;1,I4911,I4911*VLOOKUP(J4911,Summary!$H$2:$I$9,2)),VLOOKUP(J4911,Summary!$J$2:$K$9,2)*IF(ISNUMBER(H4911),H4911,1))</f>
        <v>0.43123842592592593</v>
      </c>
      <c r="AG4911" s="302">
        <v>4910</v>
      </c>
      <c r="AH4911" s="94"/>
      <c r="AI4911" s="94"/>
    </row>
    <row r="4912" spans="1:36" s="22" customFormat="1" ht="12" customHeight="1" x14ac:dyDescent="0.25">
      <c r="A4912" s="612" t="s">
        <v>13230</v>
      </c>
      <c r="B4912" s="612">
        <v>11</v>
      </c>
      <c r="C4912" s="612">
        <v>226</v>
      </c>
      <c r="D4912" s="424" t="s">
        <v>4750</v>
      </c>
      <c r="E4912" s="319" t="s">
        <v>4752</v>
      </c>
      <c r="F4912" s="198">
        <v>41153</v>
      </c>
      <c r="G4912" s="198"/>
      <c r="H4912" s="199">
        <v>1</v>
      </c>
      <c r="I4912" s="791">
        <f>TIME(0,48,51)</f>
        <v>3.3923611111111113E-2</v>
      </c>
      <c r="J4912" s="904" t="s">
        <v>1588</v>
      </c>
      <c r="K4912" s="200" t="s">
        <v>3810</v>
      </c>
      <c r="L4912" s="200" t="s">
        <v>1078</v>
      </c>
      <c r="M4912" s="200"/>
      <c r="N4912" s="200" t="s">
        <v>3810</v>
      </c>
      <c r="O4912" s="200" t="s">
        <v>6509</v>
      </c>
      <c r="P4912" s="197" t="s">
        <v>461</v>
      </c>
      <c r="Q4912" s="200" t="s">
        <v>3946</v>
      </c>
      <c r="R4912" s="201" t="s">
        <v>5280</v>
      </c>
      <c r="S4912" s="390" t="s">
        <v>2614</v>
      </c>
      <c r="T4912" s="197" t="s">
        <v>1738</v>
      </c>
      <c r="U4912" s="197"/>
      <c r="V4912" s="197"/>
      <c r="W4912" s="319" t="s">
        <v>4752</v>
      </c>
      <c r="X4912" s="651" t="s">
        <v>12349</v>
      </c>
      <c r="Y4912" s="358" t="s">
        <v>7018</v>
      </c>
      <c r="Z4912" s="253">
        <v>77</v>
      </c>
      <c r="AA4912" s="253">
        <v>7.5</v>
      </c>
      <c r="AB4912" s="35">
        <f t="shared" ca="1" si="120"/>
        <v>4.824683637594529E-2</v>
      </c>
      <c r="AC4912" s="820"/>
      <c r="AD4912" s="821"/>
      <c r="AE4912" s="967"/>
      <c r="AF4912" s="925">
        <f>IF(X4912=X4911,AF4911,0)+IF(ISNUMBER(I4912),IF(I4912&lt;1,I4912,I4912*VLOOKUP(J4912,Summary!$H$2:$I$9,2)),VLOOKUP(J4912,Summary!$J$2:$K$9,2)*IF(ISNUMBER(H4912),H4912,1))</f>
        <v>0.46516203703703707</v>
      </c>
      <c r="AG4912" s="293">
        <v>4911</v>
      </c>
      <c r="AH4912" s="94"/>
      <c r="AI4912" s="94"/>
    </row>
    <row r="4913" spans="1:36" s="22" customFormat="1" ht="12" customHeight="1" x14ac:dyDescent="0.25">
      <c r="A4913" s="612" t="s">
        <v>13230</v>
      </c>
      <c r="B4913" s="612">
        <v>11</v>
      </c>
      <c r="C4913" s="612">
        <v>227</v>
      </c>
      <c r="D4913" s="424" t="s">
        <v>4751</v>
      </c>
      <c r="E4913" s="319" t="s">
        <v>4753</v>
      </c>
      <c r="F4913" s="198">
        <v>41160</v>
      </c>
      <c r="G4913" s="198"/>
      <c r="H4913" s="199">
        <v>1</v>
      </c>
      <c r="I4913" s="791">
        <f>TIME(0,45,13)</f>
        <v>3.1400462962962963E-2</v>
      </c>
      <c r="J4913" s="904" t="s">
        <v>1588</v>
      </c>
      <c r="K4913" s="200" t="s">
        <v>7377</v>
      </c>
      <c r="L4913" s="200" t="s">
        <v>6508</v>
      </c>
      <c r="M4913" s="200"/>
      <c r="N4913" s="200" t="s">
        <v>3810</v>
      </c>
      <c r="O4913" s="200" t="s">
        <v>6509</v>
      </c>
      <c r="P4913" s="197" t="s">
        <v>461</v>
      </c>
      <c r="Q4913" s="200" t="s">
        <v>3946</v>
      </c>
      <c r="R4913" s="201" t="s">
        <v>5280</v>
      </c>
      <c r="S4913" s="390" t="s">
        <v>2614</v>
      </c>
      <c r="T4913" s="197" t="s">
        <v>1738</v>
      </c>
      <c r="U4913" s="197"/>
      <c r="V4913" s="197"/>
      <c r="W4913" s="319" t="s">
        <v>4753</v>
      </c>
      <c r="X4913" s="651" t="s">
        <v>12349</v>
      </c>
      <c r="Y4913" s="358" t="s">
        <v>7018</v>
      </c>
      <c r="Z4913" s="253">
        <v>128</v>
      </c>
      <c r="AA4913" s="253">
        <v>6</v>
      </c>
      <c r="AB4913" s="35">
        <f t="shared" ca="1" si="120"/>
        <v>5.0668494633934968E-2</v>
      </c>
      <c r="AC4913" s="820"/>
      <c r="AD4913" s="821"/>
      <c r="AE4913" s="967"/>
      <c r="AF4913" s="925">
        <f>IF(X4913=X4912,AF4912,0)+IF(ISNUMBER(I4913),IF(I4913&lt;1,I4913,I4913*VLOOKUP(J4913,Summary!$H$2:$I$9,2)),VLOOKUP(J4913,Summary!$J$2:$K$9,2)*IF(ISNUMBER(H4913),H4913,1))</f>
        <v>0.49656250000000002</v>
      </c>
      <c r="AG4913" s="293">
        <v>4912</v>
      </c>
      <c r="AH4913" s="94"/>
      <c r="AI4913" s="94"/>
    </row>
    <row r="4914" spans="1:36" s="22" customFormat="1" ht="12" customHeight="1" x14ac:dyDescent="0.2">
      <c r="A4914" s="614" t="s">
        <v>13230</v>
      </c>
      <c r="B4914" s="614">
        <v>11</v>
      </c>
      <c r="C4914" s="614"/>
      <c r="D4914" s="185" t="s">
        <v>13438</v>
      </c>
      <c r="E4914" s="314" t="s">
        <v>13443</v>
      </c>
      <c r="F4914" s="184">
        <v>41164</v>
      </c>
      <c r="G4914" s="184"/>
      <c r="H4914" s="185">
        <v>1</v>
      </c>
      <c r="I4914" s="185"/>
      <c r="J4914" s="901" t="s">
        <v>1796</v>
      </c>
      <c r="K4914" s="163" t="s">
        <v>13444</v>
      </c>
      <c r="L4914" s="163" t="s">
        <v>12</v>
      </c>
      <c r="M4914" s="163" t="s">
        <v>6567</v>
      </c>
      <c r="N4914" s="163" t="s">
        <v>6573</v>
      </c>
      <c r="O4914" s="163"/>
      <c r="P4914" s="182" t="s">
        <v>461</v>
      </c>
      <c r="Q4914" s="163" t="s">
        <v>5719</v>
      </c>
      <c r="R4914" s="186" t="s">
        <v>5718</v>
      </c>
      <c r="S4914" s="355" t="s">
        <v>2614</v>
      </c>
      <c r="T4914" s="182" t="s">
        <v>1738</v>
      </c>
      <c r="U4914" s="182"/>
      <c r="V4914" s="182"/>
      <c r="W4914" s="314" t="s">
        <v>13443</v>
      </c>
      <c r="X4914" s="646" t="s">
        <v>12349</v>
      </c>
      <c r="Y4914" s="355" t="s">
        <v>6000</v>
      </c>
      <c r="Z4914" s="185"/>
      <c r="AA4914" s="185"/>
      <c r="AB4914" s="33">
        <f t="shared" ca="1" si="120"/>
        <v>0.1854729294000188</v>
      </c>
      <c r="AC4914" s="813"/>
      <c r="AD4914" s="211"/>
      <c r="AE4914" s="941"/>
      <c r="AF4914" s="922">
        <f>IF(X4914=X4913,AF4913,0)+IF(ISNUMBER(I4914),IF(I4914&lt;1,I4914,I4914*VLOOKUP(J4914,Summary!$H$2:$I$9,2)),VLOOKUP(J4914,Summary!$J$2:$K$9,2)*IF(ISNUMBER(H4914),H4914,1))</f>
        <v>0.50003472222222223</v>
      </c>
      <c r="AG4914" s="290">
        <v>4913</v>
      </c>
      <c r="AH4914" s="94"/>
      <c r="AI4914" s="94"/>
    </row>
    <row r="4915" spans="1:36" s="22" customFormat="1" ht="12" customHeight="1" x14ac:dyDescent="0.2">
      <c r="A4915" s="776" t="s">
        <v>13230</v>
      </c>
      <c r="B4915" s="776">
        <v>11</v>
      </c>
      <c r="C4915" s="776"/>
      <c r="D4915" s="282" t="s">
        <v>13445</v>
      </c>
      <c r="E4915" s="349" t="s">
        <v>15433</v>
      </c>
      <c r="F4915" s="777">
        <v>41185</v>
      </c>
      <c r="G4915" s="777">
        <v>41213</v>
      </c>
      <c r="H4915" s="282">
        <v>2</v>
      </c>
      <c r="I4915" s="282">
        <v>50</v>
      </c>
      <c r="J4915" s="915" t="s">
        <v>1796</v>
      </c>
      <c r="K4915" s="284" t="s">
        <v>13444</v>
      </c>
      <c r="L4915" s="284" t="s">
        <v>12</v>
      </c>
      <c r="M4915" s="284" t="s">
        <v>6567</v>
      </c>
      <c r="N4915" s="284" t="s">
        <v>6573</v>
      </c>
      <c r="O4915" s="284"/>
      <c r="P4915" s="280" t="s">
        <v>461</v>
      </c>
      <c r="Q4915" s="284" t="s">
        <v>5719</v>
      </c>
      <c r="R4915" s="283" t="s">
        <v>5718</v>
      </c>
      <c r="S4915" s="389" t="s">
        <v>2614</v>
      </c>
      <c r="T4915" s="280" t="s">
        <v>1738</v>
      </c>
      <c r="U4915" s="280"/>
      <c r="V4915" s="280"/>
      <c r="W4915" s="349"/>
      <c r="X4915" s="684" t="s">
        <v>12349</v>
      </c>
      <c r="Y4915" s="389" t="s">
        <v>6000</v>
      </c>
      <c r="Z4915" s="282"/>
      <c r="AA4915" s="282"/>
      <c r="AB4915" s="121">
        <f t="shared" ca="1" si="120"/>
        <v>0.53746864765279811</v>
      </c>
      <c r="AC4915" s="851"/>
      <c r="AD4915" s="819"/>
      <c r="AE4915" s="972"/>
      <c r="AF4915" s="936">
        <f>IF(X4915=X4914,AF4914,0)+IF(ISNUMBER(I4915),IF(I4915&lt;1,I4915,I4915*VLOOKUP(J4915,Summary!$H$2:$I$9,2)),VLOOKUP(J4915,Summary!$J$2:$K$9,2)*IF(ISNUMBER(H4915),H4915,1))</f>
        <v>0.51739583333333339</v>
      </c>
      <c r="AG4915" s="308">
        <v>4914</v>
      </c>
      <c r="AH4915" s="94"/>
      <c r="AI4915" s="94"/>
    </row>
    <row r="4916" spans="1:36" s="1" customFormat="1" ht="12" customHeight="1" x14ac:dyDescent="0.25">
      <c r="A4916" s="614" t="s">
        <v>13230</v>
      </c>
      <c r="B4916" s="614">
        <v>11</v>
      </c>
      <c r="C4916" s="614"/>
      <c r="D4916" s="185" t="s">
        <v>13446</v>
      </c>
      <c r="E4916" s="314" t="s">
        <v>13447</v>
      </c>
      <c r="F4916" s="184">
        <v>41248</v>
      </c>
      <c r="G4916" s="184">
        <v>41283</v>
      </c>
      <c r="H4916" s="185">
        <v>2</v>
      </c>
      <c r="I4916" s="185">
        <v>44</v>
      </c>
      <c r="J4916" s="901" t="s">
        <v>1796</v>
      </c>
      <c r="K4916" s="163" t="s">
        <v>13448</v>
      </c>
      <c r="L4916" s="163" t="s">
        <v>8353</v>
      </c>
      <c r="M4916" s="163" t="s">
        <v>6567</v>
      </c>
      <c r="N4916" s="163" t="s">
        <v>6573</v>
      </c>
      <c r="O4916" s="163"/>
      <c r="P4916" s="182" t="s">
        <v>461</v>
      </c>
      <c r="Q4916" s="163" t="s">
        <v>5719</v>
      </c>
      <c r="R4916" s="186" t="s">
        <v>5718</v>
      </c>
      <c r="S4916" s="355" t="s">
        <v>2614</v>
      </c>
      <c r="T4916" s="182" t="s">
        <v>1738</v>
      </c>
      <c r="U4916" s="182"/>
      <c r="V4916" s="182"/>
      <c r="W4916" s="314"/>
      <c r="X4916" s="646" t="s">
        <v>12349</v>
      </c>
      <c r="Y4916" s="355" t="s">
        <v>6000</v>
      </c>
      <c r="Z4916" s="185"/>
      <c r="AA4916" s="185"/>
      <c r="AB4916" s="33">
        <f t="shared" ca="1" si="120"/>
        <v>0.9650532727076907</v>
      </c>
      <c r="AC4916" s="813"/>
      <c r="AD4916" s="211"/>
      <c r="AE4916" s="941"/>
      <c r="AF4916" s="922">
        <f>IF(X4916=X4915,AF4915,0)+IF(ISNUMBER(I4916),IF(I4916&lt;1,I4916,I4916*VLOOKUP(J4916,Summary!$H$2:$I$9,2)),VLOOKUP(J4916,Summary!$J$2:$K$9,2)*IF(ISNUMBER(H4916),H4916,1))</f>
        <v>0.53267361111111122</v>
      </c>
      <c r="AG4916" s="290">
        <v>4915</v>
      </c>
      <c r="AH4916" s="94"/>
      <c r="AI4916" s="94"/>
    </row>
    <row r="4917" spans="1:36" s="22" customFormat="1" ht="12" customHeight="1" x14ac:dyDescent="0.2">
      <c r="A4917" s="614" t="s">
        <v>13230</v>
      </c>
      <c r="B4917" s="614">
        <v>11</v>
      </c>
      <c r="C4917" s="614"/>
      <c r="D4917" s="185" t="s">
        <v>13450</v>
      </c>
      <c r="E4917" s="314" t="s">
        <v>13449</v>
      </c>
      <c r="F4917" s="184">
        <v>41311</v>
      </c>
      <c r="G4917" s="184">
        <v>41332</v>
      </c>
      <c r="H4917" s="185">
        <v>2</v>
      </c>
      <c r="I4917" s="185">
        <v>44</v>
      </c>
      <c r="J4917" s="901" t="s">
        <v>1796</v>
      </c>
      <c r="K4917" s="163" t="s">
        <v>13444</v>
      </c>
      <c r="L4917" s="163" t="s">
        <v>13451</v>
      </c>
      <c r="M4917" s="163" t="s">
        <v>6567</v>
      </c>
      <c r="N4917" s="163" t="s">
        <v>6573</v>
      </c>
      <c r="O4917" s="163"/>
      <c r="P4917" s="182" t="s">
        <v>461</v>
      </c>
      <c r="Q4917" s="163" t="s">
        <v>5719</v>
      </c>
      <c r="R4917" s="186" t="s">
        <v>5718</v>
      </c>
      <c r="S4917" s="355" t="s">
        <v>2614</v>
      </c>
      <c r="T4917" s="182" t="s">
        <v>1738</v>
      </c>
      <c r="U4917" s="182"/>
      <c r="V4917" s="182" t="s">
        <v>3078</v>
      </c>
      <c r="W4917" s="314"/>
      <c r="X4917" s="646" t="s">
        <v>12349</v>
      </c>
      <c r="Y4917" s="355" t="s">
        <v>6000</v>
      </c>
      <c r="Z4917" s="185"/>
      <c r="AA4917" s="185"/>
      <c r="AB4917" s="33">
        <f t="shared" ca="1" si="120"/>
        <v>0.18693923827840031</v>
      </c>
      <c r="AC4917" s="813"/>
      <c r="AD4917" s="211"/>
      <c r="AE4917" s="941"/>
      <c r="AF4917" s="922">
        <f>IF(X4917=X4916,AF4916,0)+IF(ISNUMBER(I4917),IF(I4917&lt;1,I4917,I4917*VLOOKUP(J4917,Summary!$H$2:$I$9,2)),VLOOKUP(J4917,Summary!$J$2:$K$9,2)*IF(ISNUMBER(H4917),H4917,1))</f>
        <v>0.54795138888888895</v>
      </c>
      <c r="AG4917" s="290">
        <v>4916</v>
      </c>
      <c r="AH4917" s="94"/>
      <c r="AI4917" s="94"/>
    </row>
    <row r="4918" spans="1:36" s="22" customFormat="1" ht="12" customHeight="1" x14ac:dyDescent="0.25">
      <c r="A4918" s="588" t="s">
        <v>13230</v>
      </c>
      <c r="B4918" s="589" t="s">
        <v>2650</v>
      </c>
      <c r="C4918" s="588"/>
      <c r="D4918" s="509" t="s">
        <v>3112</v>
      </c>
      <c r="E4918" s="335" t="s">
        <v>7992</v>
      </c>
      <c r="F4918" s="223">
        <v>41161</v>
      </c>
      <c r="G4918" s="223"/>
      <c r="H4918" s="242">
        <v>1</v>
      </c>
      <c r="I4918" s="792">
        <f>TIME(0,1,46)</f>
        <v>1.2268518518518518E-3</v>
      </c>
      <c r="J4918" s="909" t="s">
        <v>1588</v>
      </c>
      <c r="K4918" s="243" t="s">
        <v>5297</v>
      </c>
      <c r="L4918" s="243" t="s">
        <v>7993</v>
      </c>
      <c r="M4918" s="243"/>
      <c r="N4918" s="243" t="s">
        <v>3810</v>
      </c>
      <c r="O4918" s="243" t="s">
        <v>6509</v>
      </c>
      <c r="P4918" s="241" t="s">
        <v>461</v>
      </c>
      <c r="Q4918" s="243" t="s">
        <v>3946</v>
      </c>
      <c r="R4918" s="244" t="s">
        <v>7896</v>
      </c>
      <c r="S4918" s="395"/>
      <c r="T4918" s="241"/>
      <c r="U4918" s="241"/>
      <c r="V4918" s="241"/>
      <c r="W4918" s="335" t="s">
        <v>10131</v>
      </c>
      <c r="X4918" s="667" t="s">
        <v>12349</v>
      </c>
      <c r="Y4918" s="375"/>
      <c r="Z4918" s="377"/>
      <c r="AA4918" s="377"/>
      <c r="AB4918" s="55">
        <f t="shared" ca="1" si="120"/>
        <v>0.51561239283400884</v>
      </c>
      <c r="AC4918" s="834"/>
      <c r="AD4918" s="835"/>
      <c r="AE4918" s="957"/>
      <c r="AF4918" s="930">
        <f>IF(X4918=X4917,AF4917,0)+IF(ISNUMBER(I4918),IF(I4918&lt;1,I4918,I4918*VLOOKUP(J4918,Summary!$H$2:$I$9,2)),VLOOKUP(J4918,Summary!$J$2:$K$9,2)*IF(ISNUMBER(H4918),H4918,1))</f>
        <v>0.54917824074074084</v>
      </c>
      <c r="AG4918" s="302">
        <v>4917</v>
      </c>
      <c r="AH4918" s="94"/>
      <c r="AI4918" s="94"/>
    </row>
    <row r="4919" spans="1:36" s="22" customFormat="1" ht="12" customHeight="1" x14ac:dyDescent="0.25">
      <c r="A4919" s="612" t="s">
        <v>13230</v>
      </c>
      <c r="B4919" s="612">
        <v>11</v>
      </c>
      <c r="C4919" s="612">
        <v>228</v>
      </c>
      <c r="D4919" s="424" t="s">
        <v>4754</v>
      </c>
      <c r="E4919" s="319" t="s">
        <v>5025</v>
      </c>
      <c r="F4919" s="198">
        <v>41167</v>
      </c>
      <c r="G4919" s="198"/>
      <c r="H4919" s="199">
        <v>1</v>
      </c>
      <c r="I4919" s="791">
        <f>TIME(0,44,18)</f>
        <v>3.0763888888888886E-2</v>
      </c>
      <c r="J4919" s="904" t="s">
        <v>1588</v>
      </c>
      <c r="K4919" s="200" t="s">
        <v>5297</v>
      </c>
      <c r="L4919" s="200" t="s">
        <v>6508</v>
      </c>
      <c r="M4919" s="200"/>
      <c r="N4919" s="200" t="s">
        <v>3810</v>
      </c>
      <c r="O4919" s="200" t="s">
        <v>6509</v>
      </c>
      <c r="P4919" s="197" t="s">
        <v>461</v>
      </c>
      <c r="Q4919" s="200" t="s">
        <v>3946</v>
      </c>
      <c r="R4919" s="201" t="s">
        <v>5280</v>
      </c>
      <c r="S4919" s="390" t="s">
        <v>2614</v>
      </c>
      <c r="T4919" s="197" t="s">
        <v>1738</v>
      </c>
      <c r="U4919" s="197"/>
      <c r="V4919" s="197"/>
      <c r="W4919" s="319" t="s">
        <v>5025</v>
      </c>
      <c r="X4919" s="651" t="s">
        <v>12349</v>
      </c>
      <c r="Y4919" s="358" t="s">
        <v>7018</v>
      </c>
      <c r="Z4919" s="253">
        <v>244</v>
      </c>
      <c r="AA4919" s="253">
        <v>3.5</v>
      </c>
      <c r="AB4919" s="35">
        <f t="shared" ca="1" si="120"/>
        <v>0.74116732006177077</v>
      </c>
      <c r="AC4919" s="820"/>
      <c r="AD4919" s="821"/>
      <c r="AE4919" s="967"/>
      <c r="AF4919" s="925">
        <f>IF(X4919=X4918,AF4918,0)+IF(ISNUMBER(I4919),IF(I4919&lt;1,I4919,I4919*VLOOKUP(J4919,Summary!$H$2:$I$9,2)),VLOOKUP(J4919,Summary!$J$2:$K$9,2)*IF(ISNUMBER(H4919),H4919,1))</f>
        <v>0.57994212962962977</v>
      </c>
      <c r="AG4919" s="293">
        <v>4918</v>
      </c>
      <c r="AH4919" s="94"/>
      <c r="AI4919" s="94"/>
    </row>
    <row r="4920" spans="1:36" s="3" customFormat="1" ht="12" customHeight="1" x14ac:dyDescent="0.25">
      <c r="A4920" s="410" t="s">
        <v>13230</v>
      </c>
      <c r="B4920" s="410" t="s">
        <v>2650</v>
      </c>
      <c r="C4920" s="410">
        <v>4</v>
      </c>
      <c r="D4920" s="176" t="s">
        <v>13337</v>
      </c>
      <c r="E4920" s="313" t="s">
        <v>13338</v>
      </c>
      <c r="F4920" s="175">
        <v>42411</v>
      </c>
      <c r="G4920" s="174"/>
      <c r="H4920" s="176">
        <v>1</v>
      </c>
      <c r="I4920" s="176"/>
      <c r="J4920" s="900" t="s">
        <v>2755</v>
      </c>
      <c r="K4920" s="164" t="s">
        <v>1826</v>
      </c>
      <c r="L4920" s="164"/>
      <c r="M4920" s="164"/>
      <c r="N4920" s="164"/>
      <c r="O4920" s="164"/>
      <c r="P4920" s="173" t="s">
        <v>13331</v>
      </c>
      <c r="Q4920" s="164" t="s">
        <v>3953</v>
      </c>
      <c r="R4920" s="179" t="s">
        <v>13332</v>
      </c>
      <c r="S4920" s="354"/>
      <c r="T4920" s="173"/>
      <c r="U4920" s="173" t="s">
        <v>7344</v>
      </c>
      <c r="V4920" s="173"/>
      <c r="W4920" s="313" t="s">
        <v>13338</v>
      </c>
      <c r="X4920" s="645" t="s">
        <v>12349</v>
      </c>
      <c r="Y4920" s="354"/>
      <c r="Z4920" s="176"/>
      <c r="AA4920" s="176"/>
      <c r="AB4920" s="32">
        <f t="shared" ca="1" si="120"/>
        <v>0.72023616880343211</v>
      </c>
      <c r="AC4920" s="812"/>
      <c r="AD4920" s="763"/>
      <c r="AE4920" s="807"/>
      <c r="AF4920" s="921">
        <f>IF(X4920=X4919,AF4919,0)+IF(ISNUMBER(I4920),IF(I4920&lt;1,I4920,I4920*VLOOKUP(J4920,Summary!$H$2:$I$9,2)),VLOOKUP(J4920,Summary!$J$2:$K$9,2)*IF(ISNUMBER(H4920),H4920,1))</f>
        <v>0.59730324074074093</v>
      </c>
      <c r="AG4920" s="288">
        <v>4919</v>
      </c>
      <c r="AH4920" s="94"/>
      <c r="AI4920" s="94"/>
    </row>
    <row r="4921" spans="1:36" s="22" customFormat="1" ht="12" customHeight="1" x14ac:dyDescent="0.25">
      <c r="A4921" s="612" t="s">
        <v>13230</v>
      </c>
      <c r="B4921" s="612">
        <v>11</v>
      </c>
      <c r="C4921" s="612">
        <v>229</v>
      </c>
      <c r="D4921" s="424" t="s">
        <v>4755</v>
      </c>
      <c r="E4921" s="319" t="s">
        <v>5026</v>
      </c>
      <c r="F4921" s="198">
        <v>41174</v>
      </c>
      <c r="G4921" s="198"/>
      <c r="H4921" s="199">
        <v>1</v>
      </c>
      <c r="I4921" s="791">
        <f>TIME(0,41,17)</f>
        <v>2.8668981481481479E-2</v>
      </c>
      <c r="J4921" s="904" t="s">
        <v>1588</v>
      </c>
      <c r="K4921" s="200" t="s">
        <v>7377</v>
      </c>
      <c r="L4921" s="200" t="s">
        <v>1594</v>
      </c>
      <c r="M4921" s="200"/>
      <c r="N4921" s="200" t="s">
        <v>3810</v>
      </c>
      <c r="O4921" s="200" t="s">
        <v>6509</v>
      </c>
      <c r="P4921" s="197" t="s">
        <v>461</v>
      </c>
      <c r="Q4921" s="200" t="s">
        <v>3946</v>
      </c>
      <c r="R4921" s="201" t="s">
        <v>5280</v>
      </c>
      <c r="S4921" s="390" t="s">
        <v>2614</v>
      </c>
      <c r="T4921" s="197" t="s">
        <v>1738</v>
      </c>
      <c r="U4921" s="197" t="s">
        <v>10902</v>
      </c>
      <c r="V4921" s="197" t="s">
        <v>10903</v>
      </c>
      <c r="W4921" s="319" t="s">
        <v>5026</v>
      </c>
      <c r="X4921" s="651" t="s">
        <v>12349</v>
      </c>
      <c r="Y4921" s="358" t="s">
        <v>7018</v>
      </c>
      <c r="Z4921" s="253">
        <v>225</v>
      </c>
      <c r="AA4921" s="253">
        <v>4</v>
      </c>
      <c r="AB4921" s="35">
        <f t="shared" ca="1" si="120"/>
        <v>0.58720426234018774</v>
      </c>
      <c r="AC4921" s="820"/>
      <c r="AD4921" s="821"/>
      <c r="AE4921" s="967"/>
      <c r="AF4921" s="925">
        <f>IF(X4921=X4920,AF4920,0)+IF(ISNUMBER(I4921),IF(I4921&lt;1,I4921,I4921*VLOOKUP(J4921,Summary!$H$2:$I$9,2)),VLOOKUP(J4921,Summary!$J$2:$K$9,2)*IF(ISNUMBER(H4921),H4921,1))</f>
        <v>0.62597222222222237</v>
      </c>
      <c r="AG4921" s="293">
        <v>4920</v>
      </c>
      <c r="AH4921" s="94"/>
      <c r="AI4921" s="94"/>
    </row>
    <row r="4922" spans="1:36" s="59" customFormat="1" ht="12" customHeight="1" x14ac:dyDescent="0.25">
      <c r="A4922" s="618" t="s">
        <v>13230</v>
      </c>
      <c r="B4922" s="618">
        <v>11</v>
      </c>
      <c r="C4922" s="618">
        <v>8</v>
      </c>
      <c r="D4922" s="176" t="s">
        <v>9807</v>
      </c>
      <c r="E4922" s="313" t="s">
        <v>9808</v>
      </c>
      <c r="F4922" s="175">
        <v>41802</v>
      </c>
      <c r="G4922" s="174"/>
      <c r="H4922" s="176">
        <v>1</v>
      </c>
      <c r="I4922" s="176">
        <v>16</v>
      </c>
      <c r="J4922" s="900" t="s">
        <v>2755</v>
      </c>
      <c r="K4922" s="164" t="s">
        <v>9281</v>
      </c>
      <c r="L4922" s="164" t="s">
        <v>461</v>
      </c>
      <c r="M4922" s="164"/>
      <c r="N4922" s="164" t="s">
        <v>543</v>
      </c>
      <c r="O4922" s="164"/>
      <c r="P4922" s="173" t="s">
        <v>9278</v>
      </c>
      <c r="Q4922" s="164" t="s">
        <v>3953</v>
      </c>
      <c r="R4922" s="177" t="s">
        <v>9279</v>
      </c>
      <c r="S4922" s="354" t="s">
        <v>2614</v>
      </c>
      <c r="T4922" s="173" t="s">
        <v>1738</v>
      </c>
      <c r="U4922" s="173"/>
      <c r="V4922" s="173"/>
      <c r="W4922" s="313" t="s">
        <v>9808</v>
      </c>
      <c r="X4922" s="645" t="s">
        <v>12349</v>
      </c>
      <c r="Y4922" s="354" t="s">
        <v>6868</v>
      </c>
      <c r="Z4922" s="176"/>
      <c r="AA4922" s="176"/>
      <c r="AB4922" s="32">
        <f t="shared" ca="1" si="120"/>
        <v>0.18635084229047472</v>
      </c>
      <c r="AC4922" s="812"/>
      <c r="AD4922" s="763"/>
      <c r="AE4922" s="807"/>
      <c r="AF4922" s="921">
        <f>IF(X4922=X4921,AF4921,0)+IF(ISNUMBER(I4922),IF(I4922&lt;1,I4922,I4922*VLOOKUP(J4922,Summary!$H$2:$I$9,2)),VLOOKUP(J4922,Summary!$J$2:$K$9,2)*IF(ISNUMBER(H4922),H4922,1))</f>
        <v>0.63708333333333345</v>
      </c>
      <c r="AG4922" s="289">
        <v>4921</v>
      </c>
      <c r="AH4922" s="94"/>
      <c r="AI4922" s="94"/>
    </row>
    <row r="4923" spans="1:36" s="58" customFormat="1" ht="12" customHeight="1" x14ac:dyDescent="0.2">
      <c r="A4923" s="617" t="s">
        <v>13230</v>
      </c>
      <c r="B4923" s="617">
        <v>11</v>
      </c>
      <c r="C4923" s="617">
        <v>20</v>
      </c>
      <c r="D4923" s="170" t="s">
        <v>260</v>
      </c>
      <c r="E4923" s="348" t="s">
        <v>259</v>
      </c>
      <c r="F4923" s="196">
        <v>41214</v>
      </c>
      <c r="G4923" s="196"/>
      <c r="H4923" s="170">
        <v>1</v>
      </c>
      <c r="I4923" s="746">
        <f>TIME(1,18,43)</f>
        <v>5.4664351851851846E-2</v>
      </c>
      <c r="J4923" s="899" t="s">
        <v>4706</v>
      </c>
      <c r="K4923" s="279" t="s">
        <v>7289</v>
      </c>
      <c r="L4923" s="279"/>
      <c r="M4923" s="279" t="s">
        <v>930</v>
      </c>
      <c r="N4923" s="279"/>
      <c r="O4923" s="279"/>
      <c r="P4923" s="168" t="s">
        <v>261</v>
      </c>
      <c r="Q4923" s="279" t="s">
        <v>7290</v>
      </c>
      <c r="R4923" s="172" t="s">
        <v>2240</v>
      </c>
      <c r="S4923" s="388" t="s">
        <v>2614</v>
      </c>
      <c r="T4923" s="168" t="s">
        <v>1738</v>
      </c>
      <c r="U4923" s="168"/>
      <c r="V4923" s="168"/>
      <c r="W4923" s="348" t="s">
        <v>259</v>
      </c>
      <c r="X4923" s="683" t="s">
        <v>12349</v>
      </c>
      <c r="Y4923" s="388" t="s">
        <v>5643</v>
      </c>
      <c r="Z4923" s="170"/>
      <c r="AA4923" s="170"/>
      <c r="AB4923" s="31">
        <f t="shared" ca="1" si="120"/>
        <v>0.39839584663355265</v>
      </c>
      <c r="AC4923" s="810"/>
      <c r="AD4923" s="811"/>
      <c r="AE4923" s="876"/>
      <c r="AF4923" s="920">
        <f>IF(X4923=X4922,AF4922,0)+IF(ISNUMBER(I4923),IF(I4923&lt;1,I4923,I4923*VLOOKUP(J4923,Summary!$H$2:$I$9,2)),VLOOKUP(J4923,Summary!$J$2:$K$9,2)*IF(ISNUMBER(H4923),H4923,1))</f>
        <v>0.69174768518518526</v>
      </c>
      <c r="AG4923" s="311">
        <v>4922</v>
      </c>
      <c r="AH4923" s="94"/>
      <c r="AI4923" s="94"/>
    </row>
    <row r="4924" spans="1:36" s="22" customFormat="1" ht="12" customHeight="1" x14ac:dyDescent="0.2">
      <c r="A4924" s="614" t="s">
        <v>13230</v>
      </c>
      <c r="B4924" s="614">
        <v>11</v>
      </c>
      <c r="C4924" s="614">
        <v>244</v>
      </c>
      <c r="D4924" s="185" t="s">
        <v>6490</v>
      </c>
      <c r="E4924" s="314" t="s">
        <v>2670</v>
      </c>
      <c r="F4924" s="184">
        <v>41172</v>
      </c>
      <c r="G4924" s="184"/>
      <c r="H4924" s="185">
        <v>1</v>
      </c>
      <c r="I4924" s="185">
        <v>4</v>
      </c>
      <c r="J4924" s="901" t="s">
        <v>1796</v>
      </c>
      <c r="K4924" s="163" t="s">
        <v>4032</v>
      </c>
      <c r="L4924" s="163" t="s">
        <v>3832</v>
      </c>
      <c r="M4924" s="163" t="s">
        <v>254</v>
      </c>
      <c r="N4924" s="163" t="s">
        <v>7370</v>
      </c>
      <c r="O4924" s="163"/>
      <c r="P4924" s="182" t="s">
        <v>461</v>
      </c>
      <c r="Q4924" s="163" t="s">
        <v>729</v>
      </c>
      <c r="R4924" s="186" t="s">
        <v>4796</v>
      </c>
      <c r="S4924" s="355" t="s">
        <v>2614</v>
      </c>
      <c r="T4924" s="182" t="s">
        <v>1738</v>
      </c>
      <c r="U4924" s="182"/>
      <c r="V4924" s="182"/>
      <c r="W4924" s="314" t="s">
        <v>2670</v>
      </c>
      <c r="X4924" s="646" t="s">
        <v>12349</v>
      </c>
      <c r="Y4924" s="355"/>
      <c r="Z4924" s="185"/>
      <c r="AA4924" s="185"/>
      <c r="AB4924" s="33">
        <f t="shared" ca="1" si="120"/>
        <v>0.65460791712618593</v>
      </c>
      <c r="AC4924" s="813"/>
      <c r="AD4924" s="211"/>
      <c r="AE4924" s="941"/>
      <c r="AF4924" s="922">
        <f>IF(X4924=X4923,AF4923,0)+IF(ISNUMBER(I4924),IF(I4924&lt;1,I4924,I4924*VLOOKUP(J4924,Summary!$H$2:$I$9,2)),VLOOKUP(J4924,Summary!$J$2:$K$9,2)*IF(ISNUMBER(H4924),H4924,1))</f>
        <v>0.69313657407407414</v>
      </c>
      <c r="AG4924" s="290">
        <v>4923</v>
      </c>
      <c r="AH4924" s="94"/>
      <c r="AI4924" s="94"/>
    </row>
    <row r="4925" spans="1:36" s="3" customFormat="1" ht="12" customHeight="1" x14ac:dyDescent="0.25">
      <c r="A4925" s="614" t="s">
        <v>13230</v>
      </c>
      <c r="B4925" s="614">
        <v>11</v>
      </c>
      <c r="C4925" s="614">
        <v>245</v>
      </c>
      <c r="D4925" s="185" t="s">
        <v>6491</v>
      </c>
      <c r="E4925" s="314" t="s">
        <v>2671</v>
      </c>
      <c r="F4925" s="184">
        <v>41179</v>
      </c>
      <c r="G4925" s="184"/>
      <c r="H4925" s="185">
        <v>1</v>
      </c>
      <c r="I4925" s="185">
        <v>4</v>
      </c>
      <c r="J4925" s="901" t="s">
        <v>1796</v>
      </c>
      <c r="K4925" s="163" t="s">
        <v>4147</v>
      </c>
      <c r="L4925" s="163" t="s">
        <v>3832</v>
      </c>
      <c r="M4925" s="163" t="s">
        <v>254</v>
      </c>
      <c r="N4925" s="163" t="s">
        <v>7370</v>
      </c>
      <c r="O4925" s="163"/>
      <c r="P4925" s="182" t="s">
        <v>461</v>
      </c>
      <c r="Q4925" s="163" t="s">
        <v>729</v>
      </c>
      <c r="R4925" s="186" t="s">
        <v>4796</v>
      </c>
      <c r="S4925" s="355" t="s">
        <v>2614</v>
      </c>
      <c r="T4925" s="182" t="s">
        <v>1738</v>
      </c>
      <c r="U4925" s="182"/>
      <c r="V4925" s="182"/>
      <c r="W4925" s="314" t="s">
        <v>2671</v>
      </c>
      <c r="X4925" s="646" t="s">
        <v>12349</v>
      </c>
      <c r="Y4925" s="355"/>
      <c r="Z4925" s="185"/>
      <c r="AA4925" s="185"/>
      <c r="AB4925" s="33">
        <f t="shared" ca="1" si="120"/>
        <v>0.42221082518010378</v>
      </c>
      <c r="AC4925" s="813"/>
      <c r="AD4925" s="211"/>
      <c r="AE4925" s="941"/>
      <c r="AF4925" s="922">
        <f>IF(X4925=X4924,AF4924,0)+IF(ISNUMBER(I4925),IF(I4925&lt;1,I4925,I4925*VLOOKUP(J4925,Summary!$H$2:$I$9,2)),VLOOKUP(J4925,Summary!$J$2:$K$9,2)*IF(ISNUMBER(H4925),H4925,1))</f>
        <v>0.69452546296296302</v>
      </c>
      <c r="AG4925" s="290">
        <v>4924</v>
      </c>
      <c r="AH4925" s="94"/>
      <c r="AI4925" s="94"/>
      <c r="AJ4925" s="1"/>
    </row>
    <row r="4926" spans="1:36" s="1" customFormat="1" ht="12" customHeight="1" x14ac:dyDescent="0.25">
      <c r="A4926" s="614" t="s">
        <v>13230</v>
      </c>
      <c r="B4926" s="614">
        <v>11</v>
      </c>
      <c r="C4926" s="614">
        <v>246</v>
      </c>
      <c r="D4926" s="185" t="s">
        <v>6492</v>
      </c>
      <c r="E4926" s="314" t="s">
        <v>15430</v>
      </c>
      <c r="F4926" s="184">
        <v>41186</v>
      </c>
      <c r="G4926" s="184"/>
      <c r="H4926" s="185">
        <v>1</v>
      </c>
      <c r="I4926" s="185">
        <v>4</v>
      </c>
      <c r="J4926" s="901" t="s">
        <v>1796</v>
      </c>
      <c r="K4926" s="163" t="s">
        <v>4672</v>
      </c>
      <c r="L4926" s="163" t="s">
        <v>3832</v>
      </c>
      <c r="M4926" s="163" t="s">
        <v>254</v>
      </c>
      <c r="N4926" s="163" t="s">
        <v>7370</v>
      </c>
      <c r="O4926" s="163"/>
      <c r="P4926" s="182" t="s">
        <v>461</v>
      </c>
      <c r="Q4926" s="163" t="s">
        <v>729</v>
      </c>
      <c r="R4926" s="186" t="s">
        <v>4796</v>
      </c>
      <c r="S4926" s="355" t="s">
        <v>2614</v>
      </c>
      <c r="T4926" s="182" t="s">
        <v>1738</v>
      </c>
      <c r="U4926" s="182"/>
      <c r="V4926" s="182"/>
      <c r="W4926" s="314" t="s">
        <v>2672</v>
      </c>
      <c r="X4926" s="646" t="s">
        <v>12349</v>
      </c>
      <c r="Y4926" s="355"/>
      <c r="Z4926" s="185"/>
      <c r="AA4926" s="185"/>
      <c r="AB4926" s="33">
        <f t="shared" ca="1" si="120"/>
        <v>0.90900072515885455</v>
      </c>
      <c r="AC4926" s="813"/>
      <c r="AD4926" s="211"/>
      <c r="AE4926" s="941"/>
      <c r="AF4926" s="922">
        <f>IF(X4926=X4925,AF4925,0)+IF(ISNUMBER(I4926),IF(I4926&lt;1,I4926,I4926*VLOOKUP(J4926,Summary!$H$2:$I$9,2)),VLOOKUP(J4926,Summary!$J$2:$K$9,2)*IF(ISNUMBER(H4926),H4926,1))</f>
        <v>0.69591435185185191</v>
      </c>
      <c r="AG4926" s="290">
        <v>4925</v>
      </c>
      <c r="AH4926" s="94"/>
      <c r="AI4926" s="94"/>
    </row>
    <row r="4927" spans="1:36" s="58" customFormat="1" ht="12" customHeight="1" x14ac:dyDescent="0.2">
      <c r="A4927" s="617" t="s">
        <v>13230</v>
      </c>
      <c r="B4927" s="617">
        <v>11</v>
      </c>
      <c r="C4927" s="617">
        <v>21</v>
      </c>
      <c r="D4927" s="170" t="s">
        <v>262</v>
      </c>
      <c r="E4927" s="348" t="s">
        <v>263</v>
      </c>
      <c r="F4927" s="196">
        <v>41249</v>
      </c>
      <c r="G4927" s="196"/>
      <c r="H4927" s="170">
        <v>1</v>
      </c>
      <c r="I4927" s="746">
        <f>TIME(1,13,0)</f>
        <v>5.0694444444444452E-2</v>
      </c>
      <c r="J4927" s="899" t="s">
        <v>4706</v>
      </c>
      <c r="K4927" s="279" t="s">
        <v>179</v>
      </c>
      <c r="L4927" s="279"/>
      <c r="M4927" s="279" t="s">
        <v>264</v>
      </c>
      <c r="N4927" s="279"/>
      <c r="O4927" s="279"/>
      <c r="P4927" s="168" t="s">
        <v>265</v>
      </c>
      <c r="Q4927" s="279" t="s">
        <v>7290</v>
      </c>
      <c r="R4927" s="172" t="s">
        <v>2240</v>
      </c>
      <c r="S4927" s="388" t="s">
        <v>2614</v>
      </c>
      <c r="T4927" s="168" t="s">
        <v>1738</v>
      </c>
      <c r="U4927" s="168"/>
      <c r="V4927" s="168"/>
      <c r="W4927" s="348" t="s">
        <v>263</v>
      </c>
      <c r="X4927" s="683" t="s">
        <v>12349</v>
      </c>
      <c r="Y4927" s="388" t="s">
        <v>5643</v>
      </c>
      <c r="Z4927" s="170"/>
      <c r="AA4927" s="170"/>
      <c r="AB4927" s="31">
        <f t="shared" ca="1" si="120"/>
        <v>0.94047418659579374</v>
      </c>
      <c r="AC4927" s="810"/>
      <c r="AD4927" s="811"/>
      <c r="AE4927" s="876"/>
      <c r="AF4927" s="920">
        <f>IF(X4927=X4926,AF4926,0)+IF(ISNUMBER(I4927),IF(I4927&lt;1,I4927,I4927*VLOOKUP(J4927,Summary!$H$2:$I$9,2)),VLOOKUP(J4927,Summary!$J$2:$K$9,2)*IF(ISNUMBER(H4927),H4927,1))</f>
        <v>0.7466087962962964</v>
      </c>
      <c r="AG4927" s="311">
        <v>4926</v>
      </c>
      <c r="AH4927" s="94"/>
      <c r="AI4927" s="94"/>
    </row>
    <row r="4928" spans="1:36" s="3" customFormat="1" ht="12" customHeight="1" x14ac:dyDescent="0.25">
      <c r="A4928" s="510" t="s">
        <v>13230</v>
      </c>
      <c r="B4928" s="596" t="s">
        <v>2650</v>
      </c>
      <c r="C4928" s="510">
        <v>1</v>
      </c>
      <c r="D4928" s="486" t="s">
        <v>2179</v>
      </c>
      <c r="E4928" s="332" t="s">
        <v>15426</v>
      </c>
      <c r="F4928" s="213">
        <v>41186</v>
      </c>
      <c r="G4928" s="213"/>
      <c r="H4928" s="214" t="s">
        <v>461</v>
      </c>
      <c r="I4928" s="750">
        <f>TIME(1,42,0)</f>
        <v>7.0833333333333331E-2</v>
      </c>
      <c r="J4928" s="906" t="s">
        <v>6868</v>
      </c>
      <c r="K4928" s="161" t="s">
        <v>543</v>
      </c>
      <c r="L4928" s="161" t="str">
        <f>IF(J4928="Book","n/a","")</f>
        <v>n/a</v>
      </c>
      <c r="M4928" s="161" t="s">
        <v>15427</v>
      </c>
      <c r="N4928" s="161" t="s">
        <v>3810</v>
      </c>
      <c r="O4928" s="161"/>
      <c r="P4928" s="212" t="s">
        <v>8898</v>
      </c>
      <c r="Q4928" s="161" t="s">
        <v>2173</v>
      </c>
      <c r="R4928" s="231" t="s">
        <v>8377</v>
      </c>
      <c r="S4928" s="365"/>
      <c r="T4928" s="212"/>
      <c r="U4928" s="212" t="s">
        <v>7344</v>
      </c>
      <c r="V4928" s="212"/>
      <c r="W4928" s="332" t="s">
        <v>2439</v>
      </c>
      <c r="X4928" s="664" t="s">
        <v>12349</v>
      </c>
      <c r="Y4928" s="370" t="s">
        <v>2174</v>
      </c>
      <c r="Z4928" s="371">
        <v>206</v>
      </c>
      <c r="AA4928" s="371">
        <v>3</v>
      </c>
      <c r="AB4928" s="39">
        <f t="shared" ca="1" si="120"/>
        <v>0.82156170234470782</v>
      </c>
      <c r="AC4928" s="828"/>
      <c r="AD4928" s="829"/>
      <c r="AE4928" s="952"/>
      <c r="AF4928" s="927">
        <f>IF(X4928=X4927,AF4927,0)+IF(ISNUMBER(I4928),IF(I4928&lt;1,I4928,I4928*VLOOKUP(J4928,Summary!$H$2:$I$9,2)),VLOOKUP(J4928,Summary!$J$2:$K$9,2)*IF(ISNUMBER(H4928),H4928,1))</f>
        <v>0.8174421296296297</v>
      </c>
      <c r="AG4928" s="299">
        <v>4927</v>
      </c>
      <c r="AH4928" s="94"/>
      <c r="AI4928" s="94"/>
    </row>
    <row r="4929" spans="1:35" s="58" customFormat="1" ht="12" customHeight="1" x14ac:dyDescent="0.25">
      <c r="A4929" s="612" t="s">
        <v>13230</v>
      </c>
      <c r="B4929" s="612">
        <v>11</v>
      </c>
      <c r="C4929" s="612">
        <v>230</v>
      </c>
      <c r="D4929" s="424" t="s">
        <v>4756</v>
      </c>
      <c r="E4929" s="319" t="s">
        <v>6507</v>
      </c>
      <c r="F4929" s="198">
        <v>41181</v>
      </c>
      <c r="G4929" s="198"/>
      <c r="H4929" s="199">
        <v>1</v>
      </c>
      <c r="I4929" s="791">
        <f>TIME(0,44,15)</f>
        <v>3.0729166666666669E-2</v>
      </c>
      <c r="J4929" s="904" t="s">
        <v>1588</v>
      </c>
      <c r="K4929" s="200" t="s">
        <v>3810</v>
      </c>
      <c r="L4929" s="200" t="s">
        <v>1078</v>
      </c>
      <c r="M4929" s="200"/>
      <c r="N4929" s="200" t="s">
        <v>3810</v>
      </c>
      <c r="O4929" s="200" t="s">
        <v>6509</v>
      </c>
      <c r="P4929" s="197" t="s">
        <v>461</v>
      </c>
      <c r="Q4929" s="200" t="s">
        <v>3946</v>
      </c>
      <c r="R4929" s="201" t="s">
        <v>5280</v>
      </c>
      <c r="S4929" s="390" t="s">
        <v>2614</v>
      </c>
      <c r="T4929" s="197" t="s">
        <v>1738</v>
      </c>
      <c r="U4929" s="197" t="s">
        <v>7344</v>
      </c>
      <c r="V4929" s="197"/>
      <c r="W4929" s="319" t="s">
        <v>6507</v>
      </c>
      <c r="X4929" s="651" t="s">
        <v>12349</v>
      </c>
      <c r="Y4929" s="358" t="s">
        <v>7018</v>
      </c>
      <c r="Z4929" s="253">
        <v>86</v>
      </c>
      <c r="AA4929" s="253">
        <v>7</v>
      </c>
      <c r="AB4929" s="35">
        <f t="shared" ca="1" si="120"/>
        <v>6.0028456697654331E-2</v>
      </c>
      <c r="AC4929" s="820"/>
      <c r="AD4929" s="821"/>
      <c r="AE4929" s="967"/>
      <c r="AF4929" s="925">
        <f>IF(X4929=X4928,AF4928,0)+IF(ISNUMBER(I4929),IF(I4929&lt;1,I4929,I4929*VLOOKUP(J4929,Summary!$H$2:$I$9,2)),VLOOKUP(J4929,Summary!$J$2:$K$9,2)*IF(ISNUMBER(H4929),H4929,1))</f>
        <v>0.8481712962962964</v>
      </c>
      <c r="AG4929" s="293">
        <v>4928</v>
      </c>
      <c r="AH4929" s="94"/>
      <c r="AI4929" s="94"/>
    </row>
    <row r="4930" spans="1:35" s="58" customFormat="1" ht="12" customHeight="1" x14ac:dyDescent="0.25">
      <c r="A4930" s="588" t="s">
        <v>13230</v>
      </c>
      <c r="B4930" s="589" t="s">
        <v>2650</v>
      </c>
      <c r="C4930" s="588"/>
      <c r="D4930" s="509" t="s">
        <v>3112</v>
      </c>
      <c r="E4930" s="335" t="s">
        <v>8008</v>
      </c>
      <c r="F4930" s="223">
        <v>41194</v>
      </c>
      <c r="G4930" s="223"/>
      <c r="H4930" s="242">
        <v>1</v>
      </c>
      <c r="I4930" s="792">
        <f>TIME(0,4,39)</f>
        <v>3.2291666666666666E-3</v>
      </c>
      <c r="J4930" s="909" t="s">
        <v>1588</v>
      </c>
      <c r="K4930" s="243" t="s">
        <v>7377</v>
      </c>
      <c r="L4930" s="243"/>
      <c r="M4930" s="243"/>
      <c r="N4930" s="243" t="s">
        <v>3810</v>
      </c>
      <c r="O4930" s="243" t="s">
        <v>6509</v>
      </c>
      <c r="P4930" s="241" t="s">
        <v>461</v>
      </c>
      <c r="Q4930" s="243" t="s">
        <v>3946</v>
      </c>
      <c r="R4930" s="244" t="s">
        <v>7896</v>
      </c>
      <c r="S4930" s="395"/>
      <c r="T4930" s="241"/>
      <c r="U4930" s="241"/>
      <c r="V4930" s="241"/>
      <c r="W4930" s="335" t="s">
        <v>8008</v>
      </c>
      <c r="X4930" s="667" t="s">
        <v>12349</v>
      </c>
      <c r="Y4930" s="375"/>
      <c r="Z4930" s="377"/>
      <c r="AA4930" s="377"/>
      <c r="AB4930" s="55">
        <f t="shared" ref="AB4930:AB4993" ca="1" si="121">RAND()</f>
        <v>0.771964015079878</v>
      </c>
      <c r="AC4930" s="834"/>
      <c r="AD4930" s="835"/>
      <c r="AE4930" s="957"/>
      <c r="AF4930" s="930">
        <f>IF(X4930=X4929,AF4929,0)+IF(ISNUMBER(I4930),IF(I4930&lt;1,I4930,I4930*VLOOKUP(J4930,Summary!$H$2:$I$9,2)),VLOOKUP(J4930,Summary!$J$2:$K$9,2)*IF(ISNUMBER(H4930),H4930,1))</f>
        <v>0.85140046296296301</v>
      </c>
      <c r="AG4930" s="302">
        <v>4929</v>
      </c>
      <c r="AH4930" s="94"/>
      <c r="AI4930" s="94"/>
    </row>
    <row r="4931" spans="1:35" s="58" customFormat="1" ht="12" customHeight="1" x14ac:dyDescent="0.2">
      <c r="A4931" s="411" t="s">
        <v>13230</v>
      </c>
      <c r="B4931" s="411" t="s">
        <v>2650</v>
      </c>
      <c r="C4931" s="411">
        <v>155</v>
      </c>
      <c r="D4931" s="185" t="s">
        <v>4901</v>
      </c>
      <c r="E4931" s="314" t="s">
        <v>4902</v>
      </c>
      <c r="F4931" s="184">
        <v>41256</v>
      </c>
      <c r="G4931" s="184"/>
      <c r="H4931" s="185">
        <v>1</v>
      </c>
      <c r="I4931" s="185">
        <v>12</v>
      </c>
      <c r="J4931" s="901" t="s">
        <v>1796</v>
      </c>
      <c r="K4931" s="163" t="s">
        <v>5251</v>
      </c>
      <c r="L4931" s="163" t="s">
        <v>4138</v>
      </c>
      <c r="M4931" s="163" t="s">
        <v>252</v>
      </c>
      <c r="N4931" s="163" t="s">
        <v>5742</v>
      </c>
      <c r="O4931" s="163"/>
      <c r="P4931" s="182" t="s">
        <v>461</v>
      </c>
      <c r="Q4931" s="163" t="s">
        <v>4104</v>
      </c>
      <c r="R4931" s="186" t="s">
        <v>5266</v>
      </c>
      <c r="S4931" s="355" t="s">
        <v>2614</v>
      </c>
      <c r="T4931" s="182" t="s">
        <v>1738</v>
      </c>
      <c r="U4931" s="182"/>
      <c r="V4931" s="182"/>
      <c r="W4931" s="314" t="s">
        <v>4902</v>
      </c>
      <c r="X4931" s="646" t="s">
        <v>12349</v>
      </c>
      <c r="Y4931" s="355"/>
      <c r="Z4931" s="185"/>
      <c r="AA4931" s="185"/>
      <c r="AB4931" s="33">
        <f t="shared" ca="1" si="121"/>
        <v>9.3332339130575703E-2</v>
      </c>
      <c r="AC4931" s="813"/>
      <c r="AD4931" s="211"/>
      <c r="AE4931" s="941"/>
      <c r="AF4931" s="922">
        <f>IF(X4931=X4930,AF4930,0)+IF(ISNUMBER(I4931),IF(I4931&lt;1,I4931,I4931*VLOOKUP(J4931,Summary!$H$2:$I$9,2)),VLOOKUP(J4931,Summary!$J$2:$K$9,2)*IF(ISNUMBER(H4931),H4931,1))</f>
        <v>0.85556712962962966</v>
      </c>
      <c r="AG4931" s="290">
        <v>4930</v>
      </c>
      <c r="AH4931" s="94"/>
      <c r="AI4931" s="94"/>
    </row>
    <row r="4932" spans="1:35" s="22" customFormat="1" ht="12" customHeight="1" x14ac:dyDescent="0.2">
      <c r="A4932" s="614" t="s">
        <v>13230</v>
      </c>
      <c r="B4932" s="614">
        <v>11</v>
      </c>
      <c r="C4932" s="614">
        <v>247</v>
      </c>
      <c r="D4932" s="185" t="s">
        <v>6493</v>
      </c>
      <c r="E4932" s="314" t="s">
        <v>2673</v>
      </c>
      <c r="F4932" s="184">
        <v>41193</v>
      </c>
      <c r="G4932" s="184"/>
      <c r="H4932" s="185">
        <v>1</v>
      </c>
      <c r="I4932" s="185">
        <v>4</v>
      </c>
      <c r="J4932" s="901" t="s">
        <v>1796</v>
      </c>
      <c r="K4932" s="163" t="s">
        <v>4147</v>
      </c>
      <c r="L4932" s="163" t="s">
        <v>3832</v>
      </c>
      <c r="M4932" s="163" t="s">
        <v>254</v>
      </c>
      <c r="N4932" s="163" t="s">
        <v>7370</v>
      </c>
      <c r="O4932" s="163"/>
      <c r="P4932" s="182" t="s">
        <v>461</v>
      </c>
      <c r="Q4932" s="163" t="s">
        <v>729</v>
      </c>
      <c r="R4932" s="186" t="s">
        <v>4796</v>
      </c>
      <c r="S4932" s="355"/>
      <c r="T4932" s="182"/>
      <c r="U4932" s="182"/>
      <c r="V4932" s="182"/>
      <c r="W4932" s="314" t="s">
        <v>2673</v>
      </c>
      <c r="X4932" s="646" t="s">
        <v>12349</v>
      </c>
      <c r="Y4932" s="355"/>
      <c r="Z4932" s="185"/>
      <c r="AA4932" s="185"/>
      <c r="AB4932" s="33">
        <f t="shared" ca="1" si="121"/>
        <v>0.58710822248449424</v>
      </c>
      <c r="AC4932" s="813"/>
      <c r="AD4932" s="211"/>
      <c r="AE4932" s="941"/>
      <c r="AF4932" s="922">
        <f>IF(X4932=X4931,AF4931,0)+IF(ISNUMBER(I4932),IF(I4932&lt;1,I4932,I4932*VLOOKUP(J4932,Summary!$H$2:$I$9,2)),VLOOKUP(J4932,Summary!$J$2:$K$9,2)*IF(ISNUMBER(H4932),H4932,1))</f>
        <v>0.85695601851851855</v>
      </c>
      <c r="AG4932" s="290">
        <v>4931</v>
      </c>
      <c r="AH4932" s="94"/>
      <c r="AI4932" s="94"/>
    </row>
    <row r="4933" spans="1:35" s="22" customFormat="1" ht="12" customHeight="1" x14ac:dyDescent="0.2">
      <c r="A4933" s="614" t="s">
        <v>13230</v>
      </c>
      <c r="B4933" s="614">
        <v>11</v>
      </c>
      <c r="C4933" s="614">
        <v>248</v>
      </c>
      <c r="D4933" s="185" t="s">
        <v>6494</v>
      </c>
      <c r="E4933" s="314" t="s">
        <v>4895</v>
      </c>
      <c r="F4933" s="184">
        <v>41200</v>
      </c>
      <c r="G4933" s="184"/>
      <c r="H4933" s="185">
        <v>1</v>
      </c>
      <c r="I4933" s="185">
        <v>4</v>
      </c>
      <c r="J4933" s="901" t="s">
        <v>1796</v>
      </c>
      <c r="K4933" s="163" t="s">
        <v>4</v>
      </c>
      <c r="L4933" s="163" t="s">
        <v>3832</v>
      </c>
      <c r="M4933" s="163" t="s">
        <v>254</v>
      </c>
      <c r="N4933" s="163" t="s">
        <v>7370</v>
      </c>
      <c r="O4933" s="163"/>
      <c r="P4933" s="182" t="s">
        <v>461</v>
      </c>
      <c r="Q4933" s="163" t="s">
        <v>729</v>
      </c>
      <c r="R4933" s="186" t="s">
        <v>4796</v>
      </c>
      <c r="S4933" s="355"/>
      <c r="T4933" s="182"/>
      <c r="U4933" s="182"/>
      <c r="V4933" s="182"/>
      <c r="W4933" s="314" t="s">
        <v>4895</v>
      </c>
      <c r="X4933" s="646" t="s">
        <v>12349</v>
      </c>
      <c r="Y4933" s="355"/>
      <c r="Z4933" s="185"/>
      <c r="AA4933" s="185"/>
      <c r="AB4933" s="33">
        <f t="shared" ca="1" si="121"/>
        <v>0.92717512572009919</v>
      </c>
      <c r="AC4933" s="813"/>
      <c r="AD4933" s="211"/>
      <c r="AE4933" s="941"/>
      <c r="AF4933" s="922">
        <f>IF(X4933=X4932,AF4932,0)+IF(ISNUMBER(I4933),IF(I4933&lt;1,I4933,I4933*VLOOKUP(J4933,Summary!$H$2:$I$9,2)),VLOOKUP(J4933,Summary!$J$2:$K$9,2)*IF(ISNUMBER(H4933),H4933,1))</f>
        <v>0.85834490740740743</v>
      </c>
      <c r="AG4933" s="290">
        <v>4932</v>
      </c>
      <c r="AH4933" s="94"/>
      <c r="AI4933" s="94"/>
    </row>
    <row r="4934" spans="1:35" s="57" customFormat="1" ht="12" customHeight="1" x14ac:dyDescent="0.25">
      <c r="A4934" s="618" t="s">
        <v>13230</v>
      </c>
      <c r="B4934" s="618">
        <v>11</v>
      </c>
      <c r="C4934" s="618">
        <v>13</v>
      </c>
      <c r="D4934" s="176" t="s">
        <v>3112</v>
      </c>
      <c r="E4934" s="313" t="s">
        <v>4910</v>
      </c>
      <c r="F4934" s="175">
        <v>41258</v>
      </c>
      <c r="G4934" s="175">
        <v>41259</v>
      </c>
      <c r="H4934" s="176">
        <v>4</v>
      </c>
      <c r="I4934" s="176">
        <v>24</v>
      </c>
      <c r="J4934" s="900" t="s">
        <v>2755</v>
      </c>
      <c r="K4934" s="164" t="s">
        <v>4425</v>
      </c>
      <c r="L4934" s="164"/>
      <c r="M4934" s="164"/>
      <c r="N4934" s="164"/>
      <c r="O4934" s="164"/>
      <c r="P4934" s="173" t="s">
        <v>461</v>
      </c>
      <c r="Q4934" s="164" t="s">
        <v>3946</v>
      </c>
      <c r="R4934" s="177" t="s">
        <v>7896</v>
      </c>
      <c r="S4934" s="354"/>
      <c r="T4934" s="173"/>
      <c r="U4934" s="173"/>
      <c r="V4934" s="173"/>
      <c r="W4934" s="313"/>
      <c r="X4934" s="645" t="s">
        <v>12349</v>
      </c>
      <c r="Y4934" s="354" t="s">
        <v>6000</v>
      </c>
      <c r="Z4934" s="176"/>
      <c r="AA4934" s="176"/>
      <c r="AB4934" s="32">
        <f t="shared" ca="1" si="121"/>
        <v>0.47733369473838527</v>
      </c>
      <c r="AC4934" s="812"/>
      <c r="AD4934" s="763"/>
      <c r="AE4934" s="807"/>
      <c r="AF4934" s="921">
        <f>IF(X4934=X4933,AF4933,0)+IF(ISNUMBER(I4934),IF(I4934&lt;1,I4934,I4934*VLOOKUP(J4934,Summary!$H$2:$I$9,2)),VLOOKUP(J4934,Summary!$J$2:$K$9,2)*IF(ISNUMBER(H4934),H4934,1))</f>
        <v>0.87501157407407415</v>
      </c>
      <c r="AG4934" s="289">
        <v>4933</v>
      </c>
      <c r="AH4934" s="94"/>
      <c r="AI4934" s="94"/>
    </row>
    <row r="4935" spans="1:35" s="10" customFormat="1" ht="12" customHeight="1" x14ac:dyDescent="0.25">
      <c r="A4935" s="615" t="s">
        <v>13230</v>
      </c>
      <c r="B4935" s="615">
        <v>11</v>
      </c>
      <c r="C4935" s="615">
        <v>7</v>
      </c>
      <c r="D4935" s="417" t="s">
        <v>2175</v>
      </c>
      <c r="E4935" s="316" t="s">
        <v>2176</v>
      </c>
      <c r="F4935" s="195">
        <v>41312</v>
      </c>
      <c r="G4935" s="195"/>
      <c r="H4935" s="188" t="s">
        <v>461</v>
      </c>
      <c r="I4935" s="188">
        <v>112</v>
      </c>
      <c r="J4935" s="902" t="s">
        <v>6868</v>
      </c>
      <c r="K4935" s="162" t="s">
        <v>1935</v>
      </c>
      <c r="L4935" s="162" t="s">
        <v>461</v>
      </c>
      <c r="M4935" s="162"/>
      <c r="N4935" s="162"/>
      <c r="O4935" s="162"/>
      <c r="P4935" s="178" t="s">
        <v>2177</v>
      </c>
      <c r="Q4935" s="162" t="s">
        <v>3953</v>
      </c>
      <c r="R4935" s="189" t="s">
        <v>2712</v>
      </c>
      <c r="S4935" s="366"/>
      <c r="T4935" s="178"/>
      <c r="U4935" s="178"/>
      <c r="V4935" s="178"/>
      <c r="W4935" s="316" t="s">
        <v>2176</v>
      </c>
      <c r="X4935" s="648" t="s">
        <v>12349</v>
      </c>
      <c r="Y4935" s="356" t="s">
        <v>488</v>
      </c>
      <c r="Z4935" s="272">
        <v>196</v>
      </c>
      <c r="AA4935" s="272">
        <v>3</v>
      </c>
      <c r="AB4935" s="34">
        <f t="shared" ca="1" si="121"/>
        <v>0.54764095741197916</v>
      </c>
      <c r="AC4935" s="814"/>
      <c r="AD4935" s="815"/>
      <c r="AE4935" s="942"/>
      <c r="AF4935" s="923">
        <f>IF(X4935=X4934,AF4934,0)+IF(ISNUMBER(I4935),IF(I4935&lt;1,I4935,I4935*VLOOKUP(J4935,Summary!$H$2:$I$9,2)),VLOOKUP(J4935,Summary!$J$2:$K$9,2)*IF(ISNUMBER(H4935),H4935,1))</f>
        <v>0.95278935185185198</v>
      </c>
      <c r="AG4935" s="291">
        <v>4934</v>
      </c>
      <c r="AH4935" s="94"/>
      <c r="AI4935" s="94"/>
    </row>
    <row r="4936" spans="1:35" s="22" customFormat="1" ht="12" customHeight="1" x14ac:dyDescent="0.2">
      <c r="A4936" s="614" t="s">
        <v>13230</v>
      </c>
      <c r="B4936" s="614">
        <v>11</v>
      </c>
      <c r="C4936" s="614"/>
      <c r="D4936" s="185" t="s">
        <v>13452</v>
      </c>
      <c r="E4936" s="314" t="s">
        <v>8329</v>
      </c>
      <c r="F4936" s="183">
        <v>41334</v>
      </c>
      <c r="G4936" s="183">
        <v>41365</v>
      </c>
      <c r="H4936" s="185">
        <v>2</v>
      </c>
      <c r="I4936" s="185">
        <v>44</v>
      </c>
      <c r="J4936" s="901" t="s">
        <v>1796</v>
      </c>
      <c r="K4936" s="163" t="s">
        <v>6176</v>
      </c>
      <c r="L4936" s="163" t="s">
        <v>8330</v>
      </c>
      <c r="M4936" s="163" t="s">
        <v>3551</v>
      </c>
      <c r="N4936" s="163" t="s">
        <v>6573</v>
      </c>
      <c r="O4936" s="163"/>
      <c r="P4936" s="182" t="s">
        <v>461</v>
      </c>
      <c r="Q4936" s="163" t="s">
        <v>5719</v>
      </c>
      <c r="R4936" s="186" t="s">
        <v>5718</v>
      </c>
      <c r="S4936" s="355"/>
      <c r="T4936" s="182"/>
      <c r="U4936" s="182"/>
      <c r="V4936" s="182"/>
      <c r="W4936" s="314"/>
      <c r="X4936" s="646" t="s">
        <v>12349</v>
      </c>
      <c r="Y4936" s="355" t="s">
        <v>6000</v>
      </c>
      <c r="Z4936" s="185"/>
      <c r="AA4936" s="185"/>
      <c r="AB4936" s="33">
        <f t="shared" ca="1" si="121"/>
        <v>0.94589068721038461</v>
      </c>
      <c r="AC4936" s="813"/>
      <c r="AD4936" s="211"/>
      <c r="AE4936" s="941"/>
      <c r="AF4936" s="922">
        <f>IF(X4936=X4935,AF4935,0)+IF(ISNUMBER(I4936),IF(I4936&lt;1,I4936,I4936*VLOOKUP(J4936,Summary!$H$2:$I$9,2)),VLOOKUP(J4936,Summary!$J$2:$K$9,2)*IF(ISNUMBER(H4936),H4936,1))</f>
        <v>0.96806712962962971</v>
      </c>
      <c r="AG4936" s="290">
        <v>4935</v>
      </c>
      <c r="AH4936" s="94"/>
      <c r="AI4936" s="94"/>
    </row>
    <row r="4937" spans="1:35" s="8" customFormat="1" ht="12" customHeight="1" x14ac:dyDescent="0.25">
      <c r="A4937" s="617" t="s">
        <v>13230</v>
      </c>
      <c r="B4937" s="617">
        <v>11</v>
      </c>
      <c r="C4937" s="617">
        <v>11</v>
      </c>
      <c r="D4937" s="407" t="s">
        <v>8325</v>
      </c>
      <c r="E4937" s="315" t="s">
        <v>8326</v>
      </c>
      <c r="F4937" s="196">
        <v>41579</v>
      </c>
      <c r="G4937" s="170"/>
      <c r="H4937" s="170">
        <v>1</v>
      </c>
      <c r="I4937" s="746">
        <f>TIME(1,9,53)</f>
        <v>4.853009259259259E-2</v>
      </c>
      <c r="J4937" s="899" t="s">
        <v>4706</v>
      </c>
      <c r="K4937" s="167" t="s">
        <v>6452</v>
      </c>
      <c r="L4937" s="167" t="s">
        <v>6231</v>
      </c>
      <c r="M4937" s="167"/>
      <c r="N4937" s="167"/>
      <c r="O4937" s="167"/>
      <c r="P4937" s="168" t="s">
        <v>8327</v>
      </c>
      <c r="Q4937" s="167" t="s">
        <v>2096</v>
      </c>
      <c r="R4937" s="172" t="s">
        <v>2092</v>
      </c>
      <c r="S4937" s="388"/>
      <c r="T4937" s="168"/>
      <c r="U4937" s="168"/>
      <c r="V4937" s="168"/>
      <c r="W4937" s="315" t="s">
        <v>8326</v>
      </c>
      <c r="X4937" s="647" t="s">
        <v>12349</v>
      </c>
      <c r="Y4937" s="352" t="s">
        <v>5643</v>
      </c>
      <c r="Z4937" s="353">
        <v>653</v>
      </c>
      <c r="AA4937" s="353">
        <v>3</v>
      </c>
      <c r="AB4937" s="31">
        <f t="shared" ca="1" si="121"/>
        <v>4.7445780800603354E-2</v>
      </c>
      <c r="AC4937" s="810"/>
      <c r="AD4937" s="811"/>
      <c r="AE4937" s="940"/>
      <c r="AF4937" s="920">
        <f>IF(X4937=X4936,AF4936,0)+IF(ISNUMBER(I4937),IF(I4937&lt;1,I4937,I4937*VLOOKUP(J4937,Summary!$H$2:$I$9,2)),VLOOKUP(J4937,Summary!$J$2:$K$9,2)*IF(ISNUMBER(H4937),H4937,1))</f>
        <v>1.0165972222222224</v>
      </c>
      <c r="AG4937" s="287">
        <v>4936</v>
      </c>
      <c r="AH4937" s="94"/>
      <c r="AI4937" s="94"/>
    </row>
    <row r="4938" spans="1:35" s="3" customFormat="1" ht="12" customHeight="1" x14ac:dyDescent="0.25">
      <c r="A4938" s="618" t="s">
        <v>13230</v>
      </c>
      <c r="B4938" s="618">
        <v>11</v>
      </c>
      <c r="C4938" s="618">
        <v>11</v>
      </c>
      <c r="D4938" s="176" t="s">
        <v>9809</v>
      </c>
      <c r="E4938" s="313" t="s">
        <v>9810</v>
      </c>
      <c r="F4938" s="175">
        <v>41802</v>
      </c>
      <c r="G4938" s="174"/>
      <c r="H4938" s="176">
        <v>1</v>
      </c>
      <c r="I4938" s="176">
        <v>3</v>
      </c>
      <c r="J4938" s="900" t="s">
        <v>2755</v>
      </c>
      <c r="K4938" s="164" t="s">
        <v>9281</v>
      </c>
      <c r="L4938" s="164" t="s">
        <v>461</v>
      </c>
      <c r="M4938" s="164"/>
      <c r="N4938" s="164" t="s">
        <v>543</v>
      </c>
      <c r="O4938" s="164"/>
      <c r="P4938" s="173" t="s">
        <v>9278</v>
      </c>
      <c r="Q4938" s="164" t="s">
        <v>3953</v>
      </c>
      <c r="R4938" s="177" t="s">
        <v>9279</v>
      </c>
      <c r="S4938" s="354"/>
      <c r="T4938" s="173"/>
      <c r="U4938" s="173"/>
      <c r="V4938" s="173"/>
      <c r="W4938" s="313" t="s">
        <v>9810</v>
      </c>
      <c r="X4938" s="645" t="s">
        <v>12349</v>
      </c>
      <c r="Y4938" s="354" t="s">
        <v>6868</v>
      </c>
      <c r="Z4938" s="176"/>
      <c r="AA4938" s="176"/>
      <c r="AB4938" s="32">
        <f t="shared" ca="1" si="121"/>
        <v>0.11257627276892179</v>
      </c>
      <c r="AC4938" s="812"/>
      <c r="AD4938" s="763"/>
      <c r="AE4938" s="807"/>
      <c r="AF4938" s="921">
        <f>IF(X4938=X4937,AF4937,0)+IF(ISNUMBER(I4938),IF(I4938&lt;1,I4938,I4938*VLOOKUP(J4938,Summary!$H$2:$I$9,2)),VLOOKUP(J4938,Summary!$J$2:$K$9,2)*IF(ISNUMBER(H4938),H4938,1))</f>
        <v>1.0186805555555558</v>
      </c>
      <c r="AG4938" s="289">
        <v>4937</v>
      </c>
      <c r="AH4938" s="94"/>
      <c r="AI4938" s="94"/>
    </row>
    <row r="4939" spans="1:35" s="58" customFormat="1" ht="12" customHeight="1" x14ac:dyDescent="0.25">
      <c r="A4939" s="618" t="s">
        <v>13230</v>
      </c>
      <c r="B4939" s="618">
        <v>11</v>
      </c>
      <c r="C4939" s="618">
        <v>8</v>
      </c>
      <c r="D4939" s="176" t="s">
        <v>9788</v>
      </c>
      <c r="E4939" s="313" t="s">
        <v>9789</v>
      </c>
      <c r="F4939" s="175">
        <v>42159</v>
      </c>
      <c r="G4939" s="174"/>
      <c r="H4939" s="176" t="s">
        <v>461</v>
      </c>
      <c r="I4939" s="176"/>
      <c r="J4939" s="900" t="s">
        <v>2755</v>
      </c>
      <c r="K4939" s="164" t="s">
        <v>7797</v>
      </c>
      <c r="L4939" s="164" t="s">
        <v>461</v>
      </c>
      <c r="M4939" s="164"/>
      <c r="N4939" s="164"/>
      <c r="O4939" s="164"/>
      <c r="P4939" s="173" t="s">
        <v>9509</v>
      </c>
      <c r="Q4939" s="164" t="s">
        <v>3953</v>
      </c>
      <c r="R4939" s="177" t="s">
        <v>9510</v>
      </c>
      <c r="S4939" s="354"/>
      <c r="T4939" s="173"/>
      <c r="U4939" s="173"/>
      <c r="V4939" s="173"/>
      <c r="W4939" s="313" t="s">
        <v>9789</v>
      </c>
      <c r="X4939" s="645" t="s">
        <v>12349</v>
      </c>
      <c r="Y4939" s="354"/>
      <c r="Z4939" s="157"/>
      <c r="AA4939" s="176"/>
      <c r="AB4939" s="32">
        <f t="shared" ca="1" si="121"/>
        <v>0.39149491050752872</v>
      </c>
      <c r="AC4939" s="812"/>
      <c r="AD4939" s="763"/>
      <c r="AE4939" s="807"/>
      <c r="AF4939" s="921">
        <f>IF(X4939=X4938,AF4938,0)+IF(ISNUMBER(I4939),IF(I4939&lt;1,I4939,I4939*VLOOKUP(J4939,Summary!$H$2:$I$9,2)),VLOOKUP(J4939,Summary!$J$2:$K$9,2)*IF(ISNUMBER(H4939),H4939,1))</f>
        <v>1.036041666666667</v>
      </c>
      <c r="AG4939" s="289">
        <v>4938</v>
      </c>
      <c r="AH4939" s="94"/>
      <c r="AI4939" s="94"/>
    </row>
    <row r="4940" spans="1:35" s="3" customFormat="1" ht="12" customHeight="1" x14ac:dyDescent="0.25">
      <c r="A4940" s="615" t="s">
        <v>13230</v>
      </c>
      <c r="B4940" s="615">
        <v>11</v>
      </c>
      <c r="C4940" s="615">
        <v>51</v>
      </c>
      <c r="D4940" s="417" t="s">
        <v>8303</v>
      </c>
      <c r="E4940" s="316" t="s">
        <v>8304</v>
      </c>
      <c r="F4940" s="195">
        <v>41372</v>
      </c>
      <c r="G4940" s="195"/>
      <c r="H4940" s="188" t="str">
        <f>IF(J4940="Book","n/a","")</f>
        <v>n/a</v>
      </c>
      <c r="I4940" s="188">
        <v>258</v>
      </c>
      <c r="J4940" s="902" t="s">
        <v>6868</v>
      </c>
      <c r="K4940" s="162" t="s">
        <v>543</v>
      </c>
      <c r="L4940" s="162" t="str">
        <f>IF(J4940="Book","n/a","")</f>
        <v>n/a</v>
      </c>
      <c r="M4940" s="162"/>
      <c r="N4940" s="162"/>
      <c r="O4940" s="162"/>
      <c r="P4940" s="178" t="s">
        <v>8305</v>
      </c>
      <c r="Q4940" s="162" t="s">
        <v>3953</v>
      </c>
      <c r="R4940" s="189" t="s">
        <v>2711</v>
      </c>
      <c r="S4940" s="366"/>
      <c r="T4940" s="178"/>
      <c r="U4940" s="178"/>
      <c r="V4940" s="178"/>
      <c r="W4940" s="316" t="s">
        <v>8304</v>
      </c>
      <c r="X4940" s="648" t="s">
        <v>12349</v>
      </c>
      <c r="Y4940" s="356"/>
      <c r="Z4940" s="272">
        <v>75</v>
      </c>
      <c r="AA4940" s="272">
        <v>6</v>
      </c>
      <c r="AB4940" s="34">
        <f t="shared" ca="1" si="121"/>
        <v>0.5971214986522152</v>
      </c>
      <c r="AC4940" s="814"/>
      <c r="AD4940" s="815"/>
      <c r="AE4940" s="942"/>
      <c r="AF4940" s="923">
        <f>IF(X4940=X4939,AF4939,0)+IF(ISNUMBER(I4940),IF(I4940&lt;1,I4940,I4940*VLOOKUP(J4940,Summary!$H$2:$I$9,2)),VLOOKUP(J4940,Summary!$J$2:$K$9,2)*IF(ISNUMBER(H4940),H4940,1))</f>
        <v>1.2152083333333337</v>
      </c>
      <c r="AG4940" s="291">
        <v>4939</v>
      </c>
      <c r="AH4940" s="94"/>
      <c r="AI4940" s="94"/>
    </row>
    <row r="4941" spans="1:35" s="9" customFormat="1" ht="12" customHeight="1" x14ac:dyDescent="0.25">
      <c r="A4941" s="624" t="s">
        <v>13230</v>
      </c>
      <c r="B4941" s="624">
        <v>11</v>
      </c>
      <c r="C4941" s="624">
        <v>11</v>
      </c>
      <c r="D4941" s="192" t="s">
        <v>12654</v>
      </c>
      <c r="E4941" s="317" t="s">
        <v>12655</v>
      </c>
      <c r="F4941" s="209">
        <v>42985</v>
      </c>
      <c r="G4941" s="192"/>
      <c r="H4941" s="192" t="s">
        <v>461</v>
      </c>
      <c r="I4941" s="192"/>
      <c r="J4941" s="903" t="s">
        <v>2755</v>
      </c>
      <c r="K4941" s="194" t="s">
        <v>4672</v>
      </c>
      <c r="L4941" s="194" t="s">
        <v>12629</v>
      </c>
      <c r="M4941" s="194" t="s">
        <v>498</v>
      </c>
      <c r="N4941" s="194"/>
      <c r="O4941" s="194"/>
      <c r="P4941" s="190" t="s">
        <v>12632</v>
      </c>
      <c r="Q4941" s="194" t="s">
        <v>3954</v>
      </c>
      <c r="R4941" s="193" t="s">
        <v>12631</v>
      </c>
      <c r="S4941" s="357"/>
      <c r="T4941" s="190"/>
      <c r="U4941" s="190"/>
      <c r="V4941" s="190"/>
      <c r="W4941" s="317" t="s">
        <v>12655</v>
      </c>
      <c r="X4941" s="649" t="s">
        <v>12349</v>
      </c>
      <c r="Y4941" s="357"/>
      <c r="Z4941" s="192"/>
      <c r="AA4941" s="192"/>
      <c r="AB4941" s="37">
        <f t="shared" ca="1" si="121"/>
        <v>0.82586196707420378</v>
      </c>
      <c r="AC4941" s="816"/>
      <c r="AD4941" s="817"/>
      <c r="AE4941" s="943"/>
      <c r="AF4941" s="924">
        <f>IF(X4941=X4940,AF4940,0)+IF(ISNUMBER(I4941),IF(I4941&lt;1,I4941,I4941*VLOOKUP(J4941,Summary!$H$2:$I$9,2)),VLOOKUP(J4941,Summary!$J$2:$K$9,2)*IF(ISNUMBER(H4941),H4941,1))</f>
        <v>1.2325694444444448</v>
      </c>
      <c r="AG4941" s="292">
        <v>4940</v>
      </c>
      <c r="AH4941" s="94"/>
      <c r="AI4941" s="94"/>
    </row>
    <row r="4942" spans="1:35" s="57" customFormat="1" ht="12" customHeight="1" x14ac:dyDescent="0.25">
      <c r="A4942" s="614" t="s">
        <v>13230</v>
      </c>
      <c r="B4942" s="614">
        <v>11</v>
      </c>
      <c r="C4942" s="614">
        <v>249</v>
      </c>
      <c r="D4942" s="185" t="s">
        <v>6496</v>
      </c>
      <c r="E4942" s="314" t="s">
        <v>4896</v>
      </c>
      <c r="F4942" s="184">
        <v>41207</v>
      </c>
      <c r="G4942" s="184"/>
      <c r="H4942" s="185">
        <v>1</v>
      </c>
      <c r="I4942" s="185">
        <v>4</v>
      </c>
      <c r="J4942" s="901" t="s">
        <v>1796</v>
      </c>
      <c r="K4942" s="163" t="s">
        <v>176</v>
      </c>
      <c r="L4942" s="163" t="s">
        <v>3832</v>
      </c>
      <c r="M4942" s="163" t="s">
        <v>254</v>
      </c>
      <c r="N4942" s="163" t="s">
        <v>7370</v>
      </c>
      <c r="O4942" s="163"/>
      <c r="P4942" s="182" t="s">
        <v>461</v>
      </c>
      <c r="Q4942" s="163" t="s">
        <v>729</v>
      </c>
      <c r="R4942" s="186" t="s">
        <v>4796</v>
      </c>
      <c r="S4942" s="355"/>
      <c r="T4942" s="182"/>
      <c r="U4942" s="182"/>
      <c r="V4942" s="182"/>
      <c r="W4942" s="314" t="s">
        <v>4896</v>
      </c>
      <c r="X4942" s="646" t="s">
        <v>12349</v>
      </c>
      <c r="Y4942" s="355"/>
      <c r="Z4942" s="185"/>
      <c r="AA4942" s="185"/>
      <c r="AB4942" s="33">
        <f t="shared" ca="1" si="121"/>
        <v>9.6182037290644562E-2</v>
      </c>
      <c r="AC4942" s="813"/>
      <c r="AD4942" s="211"/>
      <c r="AE4942" s="941"/>
      <c r="AF4942" s="922">
        <f>IF(X4942=X4941,AF4941,0)+IF(ISNUMBER(I4942),IF(I4942&lt;1,I4942,I4942*VLOOKUP(J4942,Summary!$H$2:$I$9,2)),VLOOKUP(J4942,Summary!$J$2:$K$9,2)*IF(ISNUMBER(H4942),H4942,1))</f>
        <v>1.2339583333333337</v>
      </c>
      <c r="AG4942" s="290">
        <v>4941</v>
      </c>
      <c r="AH4942" s="94"/>
      <c r="AI4942" s="94"/>
    </row>
    <row r="4943" spans="1:35" s="22" customFormat="1" ht="12" customHeight="1" x14ac:dyDescent="0.2">
      <c r="A4943" s="614" t="s">
        <v>13230</v>
      </c>
      <c r="B4943" s="614">
        <v>11</v>
      </c>
      <c r="C4943" s="614">
        <v>250</v>
      </c>
      <c r="D4943" s="185" t="s">
        <v>8197</v>
      </c>
      <c r="E4943" s="314" t="s">
        <v>8217</v>
      </c>
      <c r="F4943" s="184">
        <v>41214</v>
      </c>
      <c r="G4943" s="184"/>
      <c r="H4943" s="185">
        <v>1</v>
      </c>
      <c r="I4943" s="185">
        <v>4</v>
      </c>
      <c r="J4943" s="901" t="s">
        <v>1796</v>
      </c>
      <c r="K4943" s="163" t="s">
        <v>4672</v>
      </c>
      <c r="L4943" s="163" t="s">
        <v>3832</v>
      </c>
      <c r="M4943" s="163" t="s">
        <v>254</v>
      </c>
      <c r="N4943" s="163" t="s">
        <v>7370</v>
      </c>
      <c r="O4943" s="163"/>
      <c r="P4943" s="182" t="s">
        <v>461</v>
      </c>
      <c r="Q4943" s="163" t="s">
        <v>729</v>
      </c>
      <c r="R4943" s="186" t="s">
        <v>4796</v>
      </c>
      <c r="S4943" s="355" t="s">
        <v>8196</v>
      </c>
      <c r="T4943" s="182"/>
      <c r="U4943" s="182"/>
      <c r="V4943" s="182"/>
      <c r="W4943" s="314" t="s">
        <v>8217</v>
      </c>
      <c r="X4943" s="646" t="s">
        <v>12349</v>
      </c>
      <c r="Y4943" s="355"/>
      <c r="Z4943" s="185"/>
      <c r="AA4943" s="185"/>
      <c r="AB4943" s="33">
        <f t="shared" ca="1" si="121"/>
        <v>0.68064818494344437</v>
      </c>
      <c r="AC4943" s="813"/>
      <c r="AD4943" s="211"/>
      <c r="AE4943" s="941"/>
      <c r="AF4943" s="922">
        <f>IF(X4943=X4942,AF4942,0)+IF(ISNUMBER(I4943),IF(I4943&lt;1,I4943,I4943*VLOOKUP(J4943,Summary!$H$2:$I$9,2)),VLOOKUP(J4943,Summary!$J$2:$K$9,2)*IF(ISNUMBER(H4943),H4943,1))</f>
        <v>1.2353472222222226</v>
      </c>
      <c r="AG4943" s="290">
        <v>4942</v>
      </c>
      <c r="AH4943" s="94"/>
      <c r="AI4943" s="94"/>
    </row>
    <row r="4944" spans="1:35" s="22" customFormat="1" ht="12" customHeight="1" x14ac:dyDescent="0.2">
      <c r="A4944" s="614" t="s">
        <v>13230</v>
      </c>
      <c r="B4944" s="614">
        <v>11</v>
      </c>
      <c r="C4944" s="614">
        <v>251</v>
      </c>
      <c r="D4944" s="185" t="s">
        <v>8198</v>
      </c>
      <c r="E4944" s="314" t="s">
        <v>8218</v>
      </c>
      <c r="F4944" s="184">
        <v>41221</v>
      </c>
      <c r="G4944" s="184"/>
      <c r="H4944" s="185">
        <v>1</v>
      </c>
      <c r="I4944" s="185">
        <v>4</v>
      </c>
      <c r="J4944" s="901" t="s">
        <v>1796</v>
      </c>
      <c r="K4944" s="163" t="s">
        <v>4672</v>
      </c>
      <c r="L4944" s="163" t="s">
        <v>3832</v>
      </c>
      <c r="M4944" s="163" t="s">
        <v>254</v>
      </c>
      <c r="N4944" s="163" t="s">
        <v>7370</v>
      </c>
      <c r="O4944" s="163"/>
      <c r="P4944" s="182" t="s">
        <v>461</v>
      </c>
      <c r="Q4944" s="163" t="s">
        <v>729</v>
      </c>
      <c r="R4944" s="186" t="s">
        <v>4796</v>
      </c>
      <c r="S4944" s="355" t="s">
        <v>8196</v>
      </c>
      <c r="T4944" s="182"/>
      <c r="U4944" s="182"/>
      <c r="V4944" s="182"/>
      <c r="W4944" s="314" t="s">
        <v>8218</v>
      </c>
      <c r="X4944" s="646" t="s">
        <v>12349</v>
      </c>
      <c r="Y4944" s="355"/>
      <c r="Z4944" s="185"/>
      <c r="AA4944" s="185"/>
      <c r="AB4944" s="33">
        <f t="shared" ca="1" si="121"/>
        <v>0.60186070909562239</v>
      </c>
      <c r="AC4944" s="813"/>
      <c r="AD4944" s="211"/>
      <c r="AE4944" s="941"/>
      <c r="AF4944" s="922">
        <f>IF(X4944=X4943,AF4943,0)+IF(ISNUMBER(I4944),IF(I4944&lt;1,I4944,I4944*VLOOKUP(J4944,Summary!$H$2:$I$9,2)),VLOOKUP(J4944,Summary!$J$2:$K$9,2)*IF(ISNUMBER(H4944),H4944,1))</f>
        <v>1.2367361111111115</v>
      </c>
      <c r="AG4944" s="290">
        <v>4943</v>
      </c>
      <c r="AH4944" s="94"/>
      <c r="AI4944" s="94"/>
    </row>
    <row r="4945" spans="1:35" s="22" customFormat="1" ht="12" customHeight="1" x14ac:dyDescent="0.2">
      <c r="A4945" s="614" t="s">
        <v>13230</v>
      </c>
      <c r="B4945" s="614">
        <v>11</v>
      </c>
      <c r="C4945" s="614">
        <v>252</v>
      </c>
      <c r="D4945" s="185" t="s">
        <v>8199</v>
      </c>
      <c r="E4945" s="314" t="s">
        <v>8219</v>
      </c>
      <c r="F4945" s="184">
        <v>41228</v>
      </c>
      <c r="G4945" s="184"/>
      <c r="H4945" s="185">
        <v>1</v>
      </c>
      <c r="I4945" s="185">
        <v>4</v>
      </c>
      <c r="J4945" s="901" t="s">
        <v>1796</v>
      </c>
      <c r="K4945" s="163" t="s">
        <v>4672</v>
      </c>
      <c r="L4945" s="163" t="s">
        <v>3832</v>
      </c>
      <c r="M4945" s="163" t="s">
        <v>254</v>
      </c>
      <c r="N4945" s="163" t="s">
        <v>7370</v>
      </c>
      <c r="O4945" s="163"/>
      <c r="P4945" s="182" t="s">
        <v>461</v>
      </c>
      <c r="Q4945" s="163" t="s">
        <v>729</v>
      </c>
      <c r="R4945" s="186" t="s">
        <v>4796</v>
      </c>
      <c r="S4945" s="355" t="s">
        <v>8196</v>
      </c>
      <c r="T4945" s="182"/>
      <c r="U4945" s="182"/>
      <c r="V4945" s="182"/>
      <c r="W4945" s="314" t="s">
        <v>8219</v>
      </c>
      <c r="X4945" s="646" t="s">
        <v>12349</v>
      </c>
      <c r="Y4945" s="355"/>
      <c r="Z4945" s="185"/>
      <c r="AA4945" s="185"/>
      <c r="AB4945" s="33">
        <f t="shared" ca="1" si="121"/>
        <v>3.1537383418543286E-2</v>
      </c>
      <c r="AC4945" s="813"/>
      <c r="AD4945" s="211"/>
      <c r="AE4945" s="941"/>
      <c r="AF4945" s="922">
        <f>IF(X4945=X4944,AF4944,0)+IF(ISNUMBER(I4945),IF(I4945&lt;1,I4945,I4945*VLOOKUP(J4945,Summary!$H$2:$I$9,2)),VLOOKUP(J4945,Summary!$J$2:$K$9,2)*IF(ISNUMBER(H4945),H4945,1))</f>
        <v>1.2381250000000004</v>
      </c>
      <c r="AG4945" s="290">
        <v>4944</v>
      </c>
      <c r="AH4945" s="94"/>
      <c r="AI4945" s="94"/>
    </row>
    <row r="4946" spans="1:35" s="22" customFormat="1" ht="12" customHeight="1" x14ac:dyDescent="0.2">
      <c r="A4946" s="614" t="s">
        <v>13230</v>
      </c>
      <c r="B4946" s="614">
        <v>11</v>
      </c>
      <c r="C4946" s="614">
        <v>253</v>
      </c>
      <c r="D4946" s="185" t="s">
        <v>8200</v>
      </c>
      <c r="E4946" s="314" t="s">
        <v>8220</v>
      </c>
      <c r="F4946" s="184">
        <v>41235</v>
      </c>
      <c r="G4946" s="184"/>
      <c r="H4946" s="185">
        <v>1</v>
      </c>
      <c r="I4946" s="185">
        <v>4</v>
      </c>
      <c r="J4946" s="901" t="s">
        <v>1796</v>
      </c>
      <c r="K4946" s="163" t="s">
        <v>6353</v>
      </c>
      <c r="L4946" s="163" t="s">
        <v>3832</v>
      </c>
      <c r="M4946" s="163" t="s">
        <v>254</v>
      </c>
      <c r="N4946" s="163" t="s">
        <v>7370</v>
      </c>
      <c r="O4946" s="163"/>
      <c r="P4946" s="182" t="s">
        <v>461</v>
      </c>
      <c r="Q4946" s="163" t="s">
        <v>729</v>
      </c>
      <c r="R4946" s="186" t="s">
        <v>4796</v>
      </c>
      <c r="S4946" s="355" t="s">
        <v>8196</v>
      </c>
      <c r="T4946" s="182"/>
      <c r="U4946" s="182"/>
      <c r="V4946" s="182"/>
      <c r="W4946" s="314" t="s">
        <v>8220</v>
      </c>
      <c r="X4946" s="646" t="s">
        <v>12349</v>
      </c>
      <c r="Y4946" s="355"/>
      <c r="Z4946" s="185"/>
      <c r="AA4946" s="185"/>
      <c r="AB4946" s="33">
        <f t="shared" ca="1" si="121"/>
        <v>0.15211331134523864</v>
      </c>
      <c r="AC4946" s="813"/>
      <c r="AD4946" s="211"/>
      <c r="AE4946" s="941"/>
      <c r="AF4946" s="922">
        <f>IF(X4946=X4945,AF4945,0)+IF(ISNUMBER(I4946),IF(I4946&lt;1,I4946,I4946*VLOOKUP(J4946,Summary!$H$2:$I$9,2)),VLOOKUP(J4946,Summary!$J$2:$K$9,2)*IF(ISNUMBER(H4946),H4946,1))</f>
        <v>1.2395138888888892</v>
      </c>
      <c r="AG4946" s="290">
        <v>4945</v>
      </c>
      <c r="AH4946" s="94"/>
      <c r="AI4946" s="94"/>
    </row>
    <row r="4947" spans="1:35" s="1" customFormat="1" ht="12" customHeight="1" x14ac:dyDescent="0.25">
      <c r="A4947" s="614" t="s">
        <v>13230</v>
      </c>
      <c r="B4947" s="614">
        <v>11</v>
      </c>
      <c r="C4947" s="614">
        <v>254</v>
      </c>
      <c r="D4947" s="185" t="s">
        <v>8201</v>
      </c>
      <c r="E4947" s="314" t="s">
        <v>8221</v>
      </c>
      <c r="F4947" s="184">
        <v>41242</v>
      </c>
      <c r="G4947" s="184"/>
      <c r="H4947" s="185">
        <v>1</v>
      </c>
      <c r="I4947" s="185">
        <v>4</v>
      </c>
      <c r="J4947" s="901" t="s">
        <v>1796</v>
      </c>
      <c r="K4947" s="163" t="s">
        <v>5664</v>
      </c>
      <c r="L4947" s="163" t="s">
        <v>3832</v>
      </c>
      <c r="M4947" s="163" t="s">
        <v>254</v>
      </c>
      <c r="N4947" s="163" t="s">
        <v>7370</v>
      </c>
      <c r="O4947" s="163"/>
      <c r="P4947" s="182" t="s">
        <v>461</v>
      </c>
      <c r="Q4947" s="163" t="s">
        <v>729</v>
      </c>
      <c r="R4947" s="186" t="s">
        <v>4796</v>
      </c>
      <c r="S4947" s="355" t="s">
        <v>8196</v>
      </c>
      <c r="T4947" s="182"/>
      <c r="U4947" s="182"/>
      <c r="V4947" s="182"/>
      <c r="W4947" s="314" t="s">
        <v>8221</v>
      </c>
      <c r="X4947" s="646" t="s">
        <v>12349</v>
      </c>
      <c r="Y4947" s="355"/>
      <c r="Z4947" s="185"/>
      <c r="AA4947" s="185"/>
      <c r="AB4947" s="33">
        <f t="shared" ca="1" si="121"/>
        <v>0.16938984239489963</v>
      </c>
      <c r="AC4947" s="813"/>
      <c r="AD4947" s="211"/>
      <c r="AE4947" s="941"/>
      <c r="AF4947" s="922">
        <f>IF(X4947=X4946,AF4946,0)+IF(ISNUMBER(I4947),IF(I4947&lt;1,I4947,I4947*VLOOKUP(J4947,Summary!$H$2:$I$9,2)),VLOOKUP(J4947,Summary!$J$2:$K$9,2)*IF(ISNUMBER(H4947),H4947,1))</f>
        <v>1.2409027777777781</v>
      </c>
      <c r="AG4947" s="290">
        <v>4946</v>
      </c>
      <c r="AH4947" s="94"/>
      <c r="AI4947" s="94"/>
    </row>
    <row r="4948" spans="1:35" s="1" customFormat="1" ht="12" customHeight="1" x14ac:dyDescent="0.25">
      <c r="A4948" s="614" t="s">
        <v>13230</v>
      </c>
      <c r="B4948" s="614">
        <v>11</v>
      </c>
      <c r="C4948" s="614">
        <v>255</v>
      </c>
      <c r="D4948" s="185" t="s">
        <v>8202</v>
      </c>
      <c r="E4948" s="314" t="s">
        <v>8222</v>
      </c>
      <c r="F4948" s="184">
        <v>41249</v>
      </c>
      <c r="G4948" s="184"/>
      <c r="H4948" s="185">
        <v>1</v>
      </c>
      <c r="I4948" s="185">
        <v>4</v>
      </c>
      <c r="J4948" s="901" t="s">
        <v>1796</v>
      </c>
      <c r="K4948" s="163" t="s">
        <v>6353</v>
      </c>
      <c r="L4948" s="163" t="s">
        <v>3832</v>
      </c>
      <c r="M4948" s="163" t="s">
        <v>254</v>
      </c>
      <c r="N4948" s="163" t="s">
        <v>7370</v>
      </c>
      <c r="O4948" s="163"/>
      <c r="P4948" s="182" t="s">
        <v>461</v>
      </c>
      <c r="Q4948" s="163" t="s">
        <v>729</v>
      </c>
      <c r="R4948" s="186" t="s">
        <v>4796</v>
      </c>
      <c r="S4948" s="355" t="s">
        <v>8196</v>
      </c>
      <c r="T4948" s="182"/>
      <c r="U4948" s="182"/>
      <c r="V4948" s="182"/>
      <c r="W4948" s="314" t="s">
        <v>8222</v>
      </c>
      <c r="X4948" s="646" t="s">
        <v>12349</v>
      </c>
      <c r="Y4948" s="355"/>
      <c r="Z4948" s="185"/>
      <c r="AA4948" s="185"/>
      <c r="AB4948" s="33">
        <f t="shared" ca="1" si="121"/>
        <v>0.2534058704576041</v>
      </c>
      <c r="AC4948" s="813"/>
      <c r="AD4948" s="211"/>
      <c r="AE4948" s="941"/>
      <c r="AF4948" s="922">
        <f>IF(X4948=X4947,AF4947,0)+IF(ISNUMBER(I4948),IF(I4948&lt;1,I4948,I4948*VLOOKUP(J4948,Summary!$H$2:$I$9,2)),VLOOKUP(J4948,Summary!$J$2:$K$9,2)*IF(ISNUMBER(H4948),H4948,1))</f>
        <v>1.242291666666667</v>
      </c>
      <c r="AG4948" s="290">
        <v>4947</v>
      </c>
      <c r="AH4948" s="94"/>
      <c r="AI4948" s="94"/>
    </row>
    <row r="4949" spans="1:35" s="22" customFormat="1" ht="12" customHeight="1" x14ac:dyDescent="0.2">
      <c r="A4949" s="614" t="s">
        <v>13230</v>
      </c>
      <c r="B4949" s="614">
        <v>11</v>
      </c>
      <c r="C4949" s="614">
        <v>256</v>
      </c>
      <c r="D4949" s="185" t="s">
        <v>8203</v>
      </c>
      <c r="E4949" s="314" t="s">
        <v>8223</v>
      </c>
      <c r="F4949" s="184">
        <v>41262</v>
      </c>
      <c r="G4949" s="184"/>
      <c r="H4949" s="185">
        <v>1</v>
      </c>
      <c r="I4949" s="185">
        <v>4</v>
      </c>
      <c r="J4949" s="901" t="s">
        <v>1796</v>
      </c>
      <c r="K4949" s="163" t="s">
        <v>4672</v>
      </c>
      <c r="L4949" s="163" t="s">
        <v>3832</v>
      </c>
      <c r="M4949" s="163" t="s">
        <v>254</v>
      </c>
      <c r="N4949" s="163" t="s">
        <v>7370</v>
      </c>
      <c r="O4949" s="163"/>
      <c r="P4949" s="182" t="s">
        <v>461</v>
      </c>
      <c r="Q4949" s="163" t="s">
        <v>729</v>
      </c>
      <c r="R4949" s="186" t="s">
        <v>4796</v>
      </c>
      <c r="S4949" s="355" t="s">
        <v>8196</v>
      </c>
      <c r="T4949" s="182"/>
      <c r="U4949" s="182"/>
      <c r="V4949" s="182"/>
      <c r="W4949" s="314" t="s">
        <v>8223</v>
      </c>
      <c r="X4949" s="646" t="s">
        <v>12349</v>
      </c>
      <c r="Y4949" s="355"/>
      <c r="Z4949" s="185"/>
      <c r="AA4949" s="185"/>
      <c r="AB4949" s="33">
        <f t="shared" ca="1" si="121"/>
        <v>0.65201128642031658</v>
      </c>
      <c r="AC4949" s="813"/>
      <c r="AD4949" s="211"/>
      <c r="AE4949" s="941"/>
      <c r="AF4949" s="922">
        <f>IF(X4949=X4948,AF4948,0)+IF(ISNUMBER(I4949),IF(I4949&lt;1,I4949,I4949*VLOOKUP(J4949,Summary!$H$2:$I$9,2)),VLOOKUP(J4949,Summary!$J$2:$K$9,2)*IF(ISNUMBER(H4949),H4949,1))</f>
        <v>1.2436805555555559</v>
      </c>
      <c r="AG4949" s="290">
        <v>4948</v>
      </c>
      <c r="AH4949" s="94"/>
      <c r="AI4949" s="94"/>
    </row>
    <row r="4950" spans="1:35" s="22" customFormat="1" ht="12" customHeight="1" x14ac:dyDescent="0.2">
      <c r="A4950" s="614" t="s">
        <v>13230</v>
      </c>
      <c r="B4950" s="614">
        <v>11</v>
      </c>
      <c r="C4950" s="614">
        <v>257</v>
      </c>
      <c r="D4950" s="185" t="s">
        <v>8204</v>
      </c>
      <c r="E4950" s="314" t="s">
        <v>8224</v>
      </c>
      <c r="F4950" s="184">
        <v>41271</v>
      </c>
      <c r="G4950" s="184"/>
      <c r="H4950" s="185">
        <v>1</v>
      </c>
      <c r="I4950" s="185">
        <v>4</v>
      </c>
      <c r="J4950" s="901" t="s">
        <v>1796</v>
      </c>
      <c r="K4950" s="163" t="s">
        <v>5317</v>
      </c>
      <c r="L4950" s="163" t="s">
        <v>3832</v>
      </c>
      <c r="M4950" s="163" t="s">
        <v>254</v>
      </c>
      <c r="N4950" s="163" t="s">
        <v>7370</v>
      </c>
      <c r="O4950" s="163"/>
      <c r="P4950" s="182" t="s">
        <v>461</v>
      </c>
      <c r="Q4950" s="163" t="s">
        <v>729</v>
      </c>
      <c r="R4950" s="186" t="s">
        <v>4796</v>
      </c>
      <c r="S4950" s="355" t="s">
        <v>8196</v>
      </c>
      <c r="T4950" s="182"/>
      <c r="U4950" s="182"/>
      <c r="V4950" s="182"/>
      <c r="W4950" s="314" t="s">
        <v>8224</v>
      </c>
      <c r="X4950" s="646" t="s">
        <v>12349</v>
      </c>
      <c r="Y4950" s="355"/>
      <c r="Z4950" s="185"/>
      <c r="AA4950" s="185"/>
      <c r="AB4950" s="33">
        <f t="shared" ca="1" si="121"/>
        <v>8.0813834375202953E-2</v>
      </c>
      <c r="AC4950" s="813"/>
      <c r="AD4950" s="211"/>
      <c r="AE4950" s="941"/>
      <c r="AF4950" s="922">
        <f>IF(X4950=X4949,AF4949,0)+IF(ISNUMBER(I4950),IF(I4950&lt;1,I4950,I4950*VLOOKUP(J4950,Summary!$H$2:$I$9,2)),VLOOKUP(J4950,Summary!$J$2:$K$9,2)*IF(ISNUMBER(H4950),H4950,1))</f>
        <v>1.2450694444444448</v>
      </c>
      <c r="AG4950" s="290">
        <v>4949</v>
      </c>
      <c r="AH4950" s="94"/>
      <c r="AI4950" s="94"/>
    </row>
    <row r="4951" spans="1:35" s="3" customFormat="1" ht="12" customHeight="1" x14ac:dyDescent="0.25">
      <c r="A4951" s="614" t="s">
        <v>13230</v>
      </c>
      <c r="B4951" s="614">
        <v>11</v>
      </c>
      <c r="C4951" s="614">
        <v>258</v>
      </c>
      <c r="D4951" s="185" t="s">
        <v>8205</v>
      </c>
      <c r="E4951" s="314" t="s">
        <v>8225</v>
      </c>
      <c r="F4951" s="184">
        <v>41278</v>
      </c>
      <c r="G4951" s="184"/>
      <c r="H4951" s="185">
        <v>1</v>
      </c>
      <c r="I4951" s="185">
        <v>4</v>
      </c>
      <c r="J4951" s="901" t="s">
        <v>1796</v>
      </c>
      <c r="K4951" s="163" t="s">
        <v>176</v>
      </c>
      <c r="L4951" s="163" t="s">
        <v>3832</v>
      </c>
      <c r="M4951" s="163" t="s">
        <v>254</v>
      </c>
      <c r="N4951" s="163" t="s">
        <v>7370</v>
      </c>
      <c r="O4951" s="163"/>
      <c r="P4951" s="182" t="s">
        <v>461</v>
      </c>
      <c r="Q4951" s="163" t="s">
        <v>729</v>
      </c>
      <c r="R4951" s="186" t="s">
        <v>4796</v>
      </c>
      <c r="S4951" s="355" t="s">
        <v>8196</v>
      </c>
      <c r="T4951" s="182"/>
      <c r="U4951" s="182"/>
      <c r="V4951" s="182"/>
      <c r="W4951" s="314" t="s">
        <v>8225</v>
      </c>
      <c r="X4951" s="646" t="s">
        <v>12349</v>
      </c>
      <c r="Y4951" s="355"/>
      <c r="Z4951" s="185"/>
      <c r="AA4951" s="185"/>
      <c r="AB4951" s="33">
        <f t="shared" ca="1" si="121"/>
        <v>0.80460369727266356</v>
      </c>
      <c r="AC4951" s="813"/>
      <c r="AD4951" s="211"/>
      <c r="AE4951" s="941"/>
      <c r="AF4951" s="922">
        <f>IF(X4951=X4950,AF4950,0)+IF(ISNUMBER(I4951),IF(I4951&lt;1,I4951,I4951*VLOOKUP(J4951,Summary!$H$2:$I$9,2)),VLOOKUP(J4951,Summary!$J$2:$K$9,2)*IF(ISNUMBER(H4951),H4951,1))</f>
        <v>1.2464583333333337</v>
      </c>
      <c r="AG4951" s="290">
        <v>4950</v>
      </c>
      <c r="AH4951" s="94"/>
      <c r="AI4951" s="94"/>
    </row>
    <row r="4952" spans="1:35" s="3" customFormat="1" ht="12" customHeight="1" x14ac:dyDescent="0.25">
      <c r="A4952" s="614" t="s">
        <v>13230</v>
      </c>
      <c r="B4952" s="614">
        <v>11</v>
      </c>
      <c r="C4952" s="614">
        <v>259</v>
      </c>
      <c r="D4952" s="185" t="s">
        <v>8206</v>
      </c>
      <c r="E4952" s="314" t="s">
        <v>8226</v>
      </c>
      <c r="F4952" s="184">
        <v>41284</v>
      </c>
      <c r="G4952" s="184"/>
      <c r="H4952" s="185">
        <v>1</v>
      </c>
      <c r="I4952" s="185">
        <v>4</v>
      </c>
      <c r="J4952" s="901" t="s">
        <v>1796</v>
      </c>
      <c r="K4952" s="163" t="s">
        <v>5664</v>
      </c>
      <c r="L4952" s="163" t="s">
        <v>3832</v>
      </c>
      <c r="M4952" s="163" t="s">
        <v>254</v>
      </c>
      <c r="N4952" s="163" t="s">
        <v>7370</v>
      </c>
      <c r="O4952" s="163"/>
      <c r="P4952" s="182" t="s">
        <v>461</v>
      </c>
      <c r="Q4952" s="163" t="s">
        <v>729</v>
      </c>
      <c r="R4952" s="186" t="s">
        <v>4796</v>
      </c>
      <c r="S4952" s="355" t="s">
        <v>8196</v>
      </c>
      <c r="T4952" s="182"/>
      <c r="U4952" s="182"/>
      <c r="V4952" s="182"/>
      <c r="W4952" s="314" t="s">
        <v>8226</v>
      </c>
      <c r="X4952" s="646" t="s">
        <v>12349</v>
      </c>
      <c r="Y4952" s="355"/>
      <c r="Z4952" s="185"/>
      <c r="AA4952" s="185"/>
      <c r="AB4952" s="33">
        <f t="shared" ca="1" si="121"/>
        <v>0.7214986701694952</v>
      </c>
      <c r="AC4952" s="813"/>
      <c r="AD4952" s="211"/>
      <c r="AE4952" s="941"/>
      <c r="AF4952" s="922">
        <f>IF(X4952=X4951,AF4951,0)+IF(ISNUMBER(I4952),IF(I4952&lt;1,I4952,I4952*VLOOKUP(J4952,Summary!$H$2:$I$9,2)),VLOOKUP(J4952,Summary!$J$2:$K$9,2)*IF(ISNUMBER(H4952),H4952,1))</f>
        <v>1.2478472222222226</v>
      </c>
      <c r="AG4952" s="290">
        <v>4951</v>
      </c>
      <c r="AH4952" s="94"/>
      <c r="AI4952" s="94"/>
    </row>
    <row r="4953" spans="1:35" s="61" customFormat="1" ht="12" customHeight="1" x14ac:dyDescent="0.25">
      <c r="A4953" s="614" t="s">
        <v>13230</v>
      </c>
      <c r="B4953" s="614">
        <v>11</v>
      </c>
      <c r="C4953" s="614">
        <v>260</v>
      </c>
      <c r="D4953" s="185" t="s">
        <v>8207</v>
      </c>
      <c r="E4953" s="314" t="s">
        <v>8227</v>
      </c>
      <c r="F4953" s="184">
        <v>41291</v>
      </c>
      <c r="G4953" s="184"/>
      <c r="H4953" s="185">
        <v>1</v>
      </c>
      <c r="I4953" s="185">
        <v>4</v>
      </c>
      <c r="J4953" s="901" t="s">
        <v>1796</v>
      </c>
      <c r="K4953" s="163" t="s">
        <v>8238</v>
      </c>
      <c r="L4953" s="163" t="s">
        <v>3832</v>
      </c>
      <c r="M4953" s="163" t="s">
        <v>254</v>
      </c>
      <c r="N4953" s="163" t="s">
        <v>7370</v>
      </c>
      <c r="O4953" s="163"/>
      <c r="P4953" s="182" t="s">
        <v>461</v>
      </c>
      <c r="Q4953" s="163" t="s">
        <v>729</v>
      </c>
      <c r="R4953" s="186" t="s">
        <v>4796</v>
      </c>
      <c r="S4953" s="355" t="s">
        <v>8196</v>
      </c>
      <c r="T4953" s="182"/>
      <c r="U4953" s="182"/>
      <c r="V4953" s="182"/>
      <c r="W4953" s="314" t="s">
        <v>8227</v>
      </c>
      <c r="X4953" s="646" t="s">
        <v>12349</v>
      </c>
      <c r="Y4953" s="355"/>
      <c r="Z4953" s="185"/>
      <c r="AA4953" s="185"/>
      <c r="AB4953" s="33">
        <f t="shared" ca="1" si="121"/>
        <v>0.57676621381214266</v>
      </c>
      <c r="AC4953" s="813"/>
      <c r="AD4953" s="211"/>
      <c r="AE4953" s="941"/>
      <c r="AF4953" s="922">
        <f>IF(X4953=X4952,AF4952,0)+IF(ISNUMBER(I4953),IF(I4953&lt;1,I4953,I4953*VLOOKUP(J4953,Summary!$H$2:$I$9,2)),VLOOKUP(J4953,Summary!$J$2:$K$9,2)*IF(ISNUMBER(H4953),H4953,1))</f>
        <v>1.2492361111111114</v>
      </c>
      <c r="AG4953" s="290">
        <v>4952</v>
      </c>
      <c r="AH4953" s="94"/>
      <c r="AI4953" s="94"/>
    </row>
    <row r="4954" spans="1:35" s="22" customFormat="1" ht="12" customHeight="1" x14ac:dyDescent="0.2">
      <c r="A4954" s="614" t="s">
        <v>13230</v>
      </c>
      <c r="B4954" s="614">
        <v>11</v>
      </c>
      <c r="C4954" s="614">
        <v>261</v>
      </c>
      <c r="D4954" s="185" t="s">
        <v>8208</v>
      </c>
      <c r="E4954" s="314" t="s">
        <v>8228</v>
      </c>
      <c r="F4954" s="184">
        <v>41298</v>
      </c>
      <c r="G4954" s="184"/>
      <c r="H4954" s="185">
        <v>1</v>
      </c>
      <c r="I4954" s="185">
        <v>4</v>
      </c>
      <c r="J4954" s="901" t="s">
        <v>1796</v>
      </c>
      <c r="K4954" s="163" t="s">
        <v>5317</v>
      </c>
      <c r="L4954" s="163" t="s">
        <v>3832</v>
      </c>
      <c r="M4954" s="163" t="s">
        <v>254</v>
      </c>
      <c r="N4954" s="163" t="s">
        <v>7370</v>
      </c>
      <c r="O4954" s="163"/>
      <c r="P4954" s="182" t="s">
        <v>461</v>
      </c>
      <c r="Q4954" s="163" t="s">
        <v>729</v>
      </c>
      <c r="R4954" s="186" t="s">
        <v>4796</v>
      </c>
      <c r="S4954" s="355" t="s">
        <v>8196</v>
      </c>
      <c r="T4954" s="182"/>
      <c r="U4954" s="182"/>
      <c r="V4954" s="182"/>
      <c r="W4954" s="314" t="s">
        <v>8228</v>
      </c>
      <c r="X4954" s="646" t="s">
        <v>12349</v>
      </c>
      <c r="Y4954" s="355"/>
      <c r="Z4954" s="185"/>
      <c r="AA4954" s="185"/>
      <c r="AB4954" s="33">
        <f t="shared" ca="1" si="121"/>
        <v>0.56576701590732892</v>
      </c>
      <c r="AC4954" s="813"/>
      <c r="AD4954" s="211"/>
      <c r="AE4954" s="941"/>
      <c r="AF4954" s="922">
        <f>IF(X4954=X4953,AF4953,0)+IF(ISNUMBER(I4954),IF(I4954&lt;1,I4954,I4954*VLOOKUP(J4954,Summary!$H$2:$I$9,2)),VLOOKUP(J4954,Summary!$J$2:$K$9,2)*IF(ISNUMBER(H4954),H4954,1))</f>
        <v>1.2506250000000003</v>
      </c>
      <c r="AG4954" s="290">
        <v>4953</v>
      </c>
      <c r="AH4954" s="94"/>
      <c r="AI4954" s="94"/>
    </row>
    <row r="4955" spans="1:35" s="22" customFormat="1" ht="12" customHeight="1" x14ac:dyDescent="0.2">
      <c r="A4955" s="614" t="s">
        <v>13230</v>
      </c>
      <c r="B4955" s="614">
        <v>11</v>
      </c>
      <c r="C4955" s="614">
        <v>262</v>
      </c>
      <c r="D4955" s="185" t="s">
        <v>8209</v>
      </c>
      <c r="E4955" s="314" t="s">
        <v>8229</v>
      </c>
      <c r="F4955" s="184">
        <v>41305</v>
      </c>
      <c r="G4955" s="184"/>
      <c r="H4955" s="185">
        <v>1</v>
      </c>
      <c r="I4955" s="185">
        <v>4</v>
      </c>
      <c r="J4955" s="901" t="s">
        <v>1796</v>
      </c>
      <c r="K4955" s="163" t="s">
        <v>4</v>
      </c>
      <c r="L4955" s="163" t="s">
        <v>3832</v>
      </c>
      <c r="M4955" s="163" t="s">
        <v>254</v>
      </c>
      <c r="N4955" s="163" t="s">
        <v>7370</v>
      </c>
      <c r="O4955" s="163"/>
      <c r="P4955" s="182" t="s">
        <v>461</v>
      </c>
      <c r="Q4955" s="163" t="s">
        <v>729</v>
      </c>
      <c r="R4955" s="186" t="s">
        <v>4796</v>
      </c>
      <c r="S4955" s="355" t="s">
        <v>8196</v>
      </c>
      <c r="T4955" s="182"/>
      <c r="U4955" s="182"/>
      <c r="V4955" s="182"/>
      <c r="W4955" s="314" t="s">
        <v>8229</v>
      </c>
      <c r="X4955" s="646" t="s">
        <v>12349</v>
      </c>
      <c r="Y4955" s="355"/>
      <c r="Z4955" s="185"/>
      <c r="AA4955" s="185"/>
      <c r="AB4955" s="33">
        <f t="shared" ca="1" si="121"/>
        <v>8.5687422450643425E-2</v>
      </c>
      <c r="AC4955" s="813"/>
      <c r="AD4955" s="211"/>
      <c r="AE4955" s="941"/>
      <c r="AF4955" s="922">
        <f>IF(X4955=X4954,AF4954,0)+IF(ISNUMBER(I4955),IF(I4955&lt;1,I4955,I4955*VLOOKUP(J4955,Summary!$H$2:$I$9,2)),VLOOKUP(J4955,Summary!$J$2:$K$9,2)*IF(ISNUMBER(H4955),H4955,1))</f>
        <v>1.2520138888888892</v>
      </c>
      <c r="AG4955" s="290">
        <v>4954</v>
      </c>
      <c r="AH4955" s="94"/>
      <c r="AI4955" s="94"/>
    </row>
    <row r="4956" spans="1:35" s="58" customFormat="1" ht="12" customHeight="1" x14ac:dyDescent="0.2">
      <c r="A4956" s="614" t="s">
        <v>13230</v>
      </c>
      <c r="B4956" s="614">
        <v>11</v>
      </c>
      <c r="C4956" s="614">
        <v>263</v>
      </c>
      <c r="D4956" s="185" t="s">
        <v>8210</v>
      </c>
      <c r="E4956" s="314" t="s">
        <v>8230</v>
      </c>
      <c r="F4956" s="184">
        <v>41312</v>
      </c>
      <c r="G4956" s="184"/>
      <c r="H4956" s="185">
        <v>1</v>
      </c>
      <c r="I4956" s="185">
        <v>4</v>
      </c>
      <c r="J4956" s="901" t="s">
        <v>1796</v>
      </c>
      <c r="K4956" s="163" t="s">
        <v>176</v>
      </c>
      <c r="L4956" s="875" t="s">
        <v>3832</v>
      </c>
      <c r="M4956" s="163" t="s">
        <v>254</v>
      </c>
      <c r="N4956" s="163" t="s">
        <v>7370</v>
      </c>
      <c r="O4956" s="163"/>
      <c r="P4956" s="182" t="s">
        <v>461</v>
      </c>
      <c r="Q4956" s="163" t="s">
        <v>729</v>
      </c>
      <c r="R4956" s="186" t="s">
        <v>4796</v>
      </c>
      <c r="S4956" s="355" t="s">
        <v>8196</v>
      </c>
      <c r="T4956" s="182"/>
      <c r="U4956" s="182"/>
      <c r="V4956" s="182"/>
      <c r="W4956" s="314" t="s">
        <v>8230</v>
      </c>
      <c r="X4956" s="646" t="s">
        <v>12349</v>
      </c>
      <c r="Y4956" s="355"/>
      <c r="Z4956" s="185"/>
      <c r="AA4956" s="185"/>
      <c r="AB4956" s="33">
        <f t="shared" ca="1" si="121"/>
        <v>0.22679369648105063</v>
      </c>
      <c r="AC4956" s="813"/>
      <c r="AD4956" s="211"/>
      <c r="AE4956" s="941"/>
      <c r="AF4956" s="922">
        <f>IF(X4956=X4955,AF4955,0)+IF(ISNUMBER(I4956),IF(I4956&lt;1,I4956,I4956*VLOOKUP(J4956,Summary!$H$2:$I$9,2)),VLOOKUP(J4956,Summary!$J$2:$K$9,2)*IF(ISNUMBER(H4956),H4956,1))</f>
        <v>1.2534027777777781</v>
      </c>
      <c r="AG4956" s="290">
        <v>4955</v>
      </c>
      <c r="AH4956" s="94"/>
      <c r="AI4956" s="94"/>
    </row>
    <row r="4957" spans="1:35" s="22" customFormat="1" ht="12" customHeight="1" x14ac:dyDescent="0.2">
      <c r="A4957" s="614" t="s">
        <v>13230</v>
      </c>
      <c r="B4957" s="614">
        <v>11</v>
      </c>
      <c r="C4957" s="614">
        <v>264</v>
      </c>
      <c r="D4957" s="185" t="s">
        <v>8211</v>
      </c>
      <c r="E4957" s="314" t="s">
        <v>8231</v>
      </c>
      <c r="F4957" s="184">
        <v>41319</v>
      </c>
      <c r="G4957" s="184"/>
      <c r="H4957" s="185">
        <v>1</v>
      </c>
      <c r="I4957" s="185">
        <v>4</v>
      </c>
      <c r="J4957" s="901" t="s">
        <v>1796</v>
      </c>
      <c r="K4957" s="163" t="s">
        <v>4672</v>
      </c>
      <c r="L4957" s="163" t="s">
        <v>3832</v>
      </c>
      <c r="M4957" s="163" t="s">
        <v>254</v>
      </c>
      <c r="N4957" s="163" t="s">
        <v>7370</v>
      </c>
      <c r="O4957" s="163"/>
      <c r="P4957" s="182" t="s">
        <v>461</v>
      </c>
      <c r="Q4957" s="163" t="s">
        <v>729</v>
      </c>
      <c r="R4957" s="186" t="s">
        <v>4796</v>
      </c>
      <c r="S4957" s="355" t="s">
        <v>8196</v>
      </c>
      <c r="T4957" s="182"/>
      <c r="U4957" s="182"/>
      <c r="V4957" s="182"/>
      <c r="W4957" s="314" t="s">
        <v>8231</v>
      </c>
      <c r="X4957" s="646" t="s">
        <v>12349</v>
      </c>
      <c r="Y4957" s="355"/>
      <c r="Z4957" s="185"/>
      <c r="AA4957" s="185"/>
      <c r="AB4957" s="33">
        <f t="shared" ca="1" si="121"/>
        <v>0.86254398910436825</v>
      </c>
      <c r="AC4957" s="813"/>
      <c r="AD4957" s="211"/>
      <c r="AE4957" s="941"/>
      <c r="AF4957" s="922">
        <f>IF(X4957=X4956,AF4956,0)+IF(ISNUMBER(I4957),IF(I4957&lt;1,I4957,I4957*VLOOKUP(J4957,Summary!$H$2:$I$9,2)),VLOOKUP(J4957,Summary!$J$2:$K$9,2)*IF(ISNUMBER(H4957),H4957,1))</f>
        <v>1.254791666666667</v>
      </c>
      <c r="AG4957" s="290">
        <v>4956</v>
      </c>
      <c r="AH4957" s="94"/>
      <c r="AI4957" s="94"/>
    </row>
    <row r="4958" spans="1:35" s="22" customFormat="1" ht="12" customHeight="1" x14ac:dyDescent="0.2">
      <c r="A4958" s="614" t="s">
        <v>13230</v>
      </c>
      <c r="B4958" s="614">
        <v>11</v>
      </c>
      <c r="C4958" s="614">
        <v>265</v>
      </c>
      <c r="D4958" s="185" t="s">
        <v>8212</v>
      </c>
      <c r="E4958" s="314" t="s">
        <v>8232</v>
      </c>
      <c r="F4958" s="184">
        <v>41326</v>
      </c>
      <c r="G4958" s="184"/>
      <c r="H4958" s="185">
        <v>1</v>
      </c>
      <c r="I4958" s="185">
        <v>4</v>
      </c>
      <c r="J4958" s="901" t="s">
        <v>1796</v>
      </c>
      <c r="K4958" s="163" t="s">
        <v>8238</v>
      </c>
      <c r="L4958" s="163" t="s">
        <v>3832</v>
      </c>
      <c r="M4958" s="163" t="s">
        <v>254</v>
      </c>
      <c r="N4958" s="163" t="s">
        <v>7370</v>
      </c>
      <c r="O4958" s="163"/>
      <c r="P4958" s="182" t="s">
        <v>461</v>
      </c>
      <c r="Q4958" s="163" t="s">
        <v>729</v>
      </c>
      <c r="R4958" s="186" t="s">
        <v>4796</v>
      </c>
      <c r="S4958" s="355" t="s">
        <v>8196</v>
      </c>
      <c r="T4958" s="182"/>
      <c r="U4958" s="182"/>
      <c r="V4958" s="182"/>
      <c r="W4958" s="314" t="s">
        <v>8232</v>
      </c>
      <c r="X4958" s="646" t="s">
        <v>12349</v>
      </c>
      <c r="Y4958" s="355"/>
      <c r="Z4958" s="185"/>
      <c r="AA4958" s="185"/>
      <c r="AB4958" s="33">
        <f t="shared" ca="1" si="121"/>
        <v>0.48414842628773525</v>
      </c>
      <c r="AC4958" s="813"/>
      <c r="AD4958" s="211"/>
      <c r="AE4958" s="941"/>
      <c r="AF4958" s="922">
        <f>IF(X4958=X4957,AF4957,0)+IF(ISNUMBER(I4958),IF(I4958&lt;1,I4958,I4958*VLOOKUP(J4958,Summary!$H$2:$I$9,2)),VLOOKUP(J4958,Summary!$J$2:$K$9,2)*IF(ISNUMBER(H4958),H4958,1))</f>
        <v>1.2561805555555559</v>
      </c>
      <c r="AG4958" s="290">
        <v>4957</v>
      </c>
      <c r="AH4958" s="94"/>
      <c r="AI4958" s="94"/>
    </row>
    <row r="4959" spans="1:35" s="22" customFormat="1" ht="12" customHeight="1" x14ac:dyDescent="0.2">
      <c r="A4959" s="614" t="s">
        <v>13230</v>
      </c>
      <c r="B4959" s="614">
        <v>11</v>
      </c>
      <c r="C4959" s="614">
        <v>266</v>
      </c>
      <c r="D4959" s="185" t="s">
        <v>8213</v>
      </c>
      <c r="E4959" s="314" t="s">
        <v>8233</v>
      </c>
      <c r="F4959" s="184">
        <v>41333</v>
      </c>
      <c r="G4959" s="184"/>
      <c r="H4959" s="185">
        <v>1</v>
      </c>
      <c r="I4959" s="185">
        <v>4</v>
      </c>
      <c r="J4959" s="901" t="s">
        <v>1796</v>
      </c>
      <c r="K4959" s="163" t="s">
        <v>4672</v>
      </c>
      <c r="L4959" s="163" t="s">
        <v>3832</v>
      </c>
      <c r="M4959" s="163" t="s">
        <v>254</v>
      </c>
      <c r="N4959" s="163" t="s">
        <v>7370</v>
      </c>
      <c r="O4959" s="163"/>
      <c r="P4959" s="182" t="s">
        <v>461</v>
      </c>
      <c r="Q4959" s="163" t="s">
        <v>729</v>
      </c>
      <c r="R4959" s="186" t="s">
        <v>4796</v>
      </c>
      <c r="S4959" s="355" t="s">
        <v>8196</v>
      </c>
      <c r="T4959" s="182"/>
      <c r="U4959" s="182"/>
      <c r="V4959" s="182"/>
      <c r="W4959" s="314" t="s">
        <v>8233</v>
      </c>
      <c r="X4959" s="646" t="s">
        <v>12349</v>
      </c>
      <c r="Y4959" s="355"/>
      <c r="Z4959" s="185"/>
      <c r="AA4959" s="185"/>
      <c r="AB4959" s="33">
        <f t="shared" ca="1" si="121"/>
        <v>0.51053987772705967</v>
      </c>
      <c r="AC4959" s="813"/>
      <c r="AD4959" s="211"/>
      <c r="AE4959" s="941"/>
      <c r="AF4959" s="922">
        <f>IF(X4959=X4958,AF4958,0)+IF(ISNUMBER(I4959),IF(I4959&lt;1,I4959,I4959*VLOOKUP(J4959,Summary!$H$2:$I$9,2)),VLOOKUP(J4959,Summary!$J$2:$K$9,2)*IF(ISNUMBER(H4959),H4959,1))</f>
        <v>1.2575694444444447</v>
      </c>
      <c r="AG4959" s="290">
        <v>4958</v>
      </c>
      <c r="AH4959" s="94"/>
      <c r="AI4959" s="94"/>
    </row>
    <row r="4960" spans="1:35" s="22" customFormat="1" ht="12" customHeight="1" x14ac:dyDescent="0.2">
      <c r="A4960" s="614" t="s">
        <v>13230</v>
      </c>
      <c r="B4960" s="614">
        <v>11</v>
      </c>
      <c r="C4960" s="614">
        <v>267</v>
      </c>
      <c r="D4960" s="185" t="s">
        <v>8214</v>
      </c>
      <c r="E4960" s="314" t="s">
        <v>8234</v>
      </c>
      <c r="F4960" s="184">
        <v>41340</v>
      </c>
      <c r="G4960" s="184"/>
      <c r="H4960" s="185">
        <v>1</v>
      </c>
      <c r="I4960" s="185">
        <v>4</v>
      </c>
      <c r="J4960" s="901" t="s">
        <v>1796</v>
      </c>
      <c r="K4960" s="163" t="s">
        <v>4672</v>
      </c>
      <c r="L4960" s="163" t="s">
        <v>3832</v>
      </c>
      <c r="M4960" s="163" t="s">
        <v>254</v>
      </c>
      <c r="N4960" s="163" t="s">
        <v>7370</v>
      </c>
      <c r="O4960" s="163"/>
      <c r="P4960" s="182" t="s">
        <v>461</v>
      </c>
      <c r="Q4960" s="163" t="s">
        <v>729</v>
      </c>
      <c r="R4960" s="186" t="s">
        <v>4796</v>
      </c>
      <c r="S4960" s="355" t="s">
        <v>8196</v>
      </c>
      <c r="T4960" s="182"/>
      <c r="U4960" s="182"/>
      <c r="V4960" s="182"/>
      <c r="W4960" s="314" t="s">
        <v>8234</v>
      </c>
      <c r="X4960" s="646" t="s">
        <v>12349</v>
      </c>
      <c r="Y4960" s="355"/>
      <c r="Z4960" s="185"/>
      <c r="AA4960" s="185"/>
      <c r="AB4960" s="33">
        <f t="shared" ca="1" si="121"/>
        <v>1.8925088242858101E-2</v>
      </c>
      <c r="AC4960" s="813"/>
      <c r="AD4960" s="211"/>
      <c r="AE4960" s="941"/>
      <c r="AF4960" s="922">
        <f>IF(X4960=X4959,AF4959,0)+IF(ISNUMBER(I4960),IF(I4960&lt;1,I4960,I4960*VLOOKUP(J4960,Summary!$H$2:$I$9,2)),VLOOKUP(J4960,Summary!$J$2:$K$9,2)*IF(ISNUMBER(H4960),H4960,1))</f>
        <v>1.2589583333333336</v>
      </c>
      <c r="AG4960" s="290">
        <v>4959</v>
      </c>
      <c r="AH4960" s="94"/>
      <c r="AI4960" s="94"/>
    </row>
    <row r="4961" spans="1:35" s="22" customFormat="1" ht="12" customHeight="1" x14ac:dyDescent="0.2">
      <c r="A4961" s="614" t="s">
        <v>13230</v>
      </c>
      <c r="B4961" s="614">
        <v>11</v>
      </c>
      <c r="C4961" s="614">
        <v>268</v>
      </c>
      <c r="D4961" s="185" t="s">
        <v>8237</v>
      </c>
      <c r="E4961" s="314" t="s">
        <v>8235</v>
      </c>
      <c r="F4961" s="184">
        <v>41347</v>
      </c>
      <c r="G4961" s="184"/>
      <c r="H4961" s="185">
        <v>1</v>
      </c>
      <c r="I4961" s="185">
        <v>4</v>
      </c>
      <c r="J4961" s="901" t="s">
        <v>1796</v>
      </c>
      <c r="K4961" s="163" t="s">
        <v>4672</v>
      </c>
      <c r="L4961" s="163" t="s">
        <v>3832</v>
      </c>
      <c r="M4961" s="163" t="s">
        <v>254</v>
      </c>
      <c r="N4961" s="163" t="s">
        <v>7370</v>
      </c>
      <c r="O4961" s="163"/>
      <c r="P4961" s="182" t="s">
        <v>461</v>
      </c>
      <c r="Q4961" s="163" t="s">
        <v>729</v>
      </c>
      <c r="R4961" s="186" t="s">
        <v>4796</v>
      </c>
      <c r="S4961" s="355" t="s">
        <v>8196</v>
      </c>
      <c r="T4961" s="182"/>
      <c r="U4961" s="182"/>
      <c r="V4961" s="182"/>
      <c r="W4961" s="314" t="s">
        <v>8235</v>
      </c>
      <c r="X4961" s="646" t="s">
        <v>12349</v>
      </c>
      <c r="Y4961" s="355"/>
      <c r="Z4961" s="185"/>
      <c r="AA4961" s="185"/>
      <c r="AB4961" s="33">
        <f t="shared" ca="1" si="121"/>
        <v>0.60943011344452125</v>
      </c>
      <c r="AC4961" s="813"/>
      <c r="AD4961" s="211"/>
      <c r="AE4961" s="941"/>
      <c r="AF4961" s="922">
        <f>IF(X4961=X4960,AF4960,0)+IF(ISNUMBER(I4961),IF(I4961&lt;1,I4961,I4961*VLOOKUP(J4961,Summary!$H$2:$I$9,2)),VLOOKUP(J4961,Summary!$J$2:$K$9,2)*IF(ISNUMBER(H4961),H4961,1))</f>
        <v>1.2603472222222225</v>
      </c>
      <c r="AG4961" s="290">
        <v>4960</v>
      </c>
      <c r="AH4961" s="94"/>
      <c r="AI4961" s="94"/>
    </row>
    <row r="4962" spans="1:35" s="22" customFormat="1" ht="12" customHeight="1" x14ac:dyDescent="0.2">
      <c r="A4962" s="614" t="s">
        <v>13230</v>
      </c>
      <c r="B4962" s="614">
        <v>11</v>
      </c>
      <c r="C4962" s="614">
        <v>269</v>
      </c>
      <c r="D4962" s="185" t="s">
        <v>8215</v>
      </c>
      <c r="E4962" s="314" t="s">
        <v>8236</v>
      </c>
      <c r="F4962" s="184">
        <v>41354</v>
      </c>
      <c r="G4962" s="184"/>
      <c r="H4962" s="185">
        <v>1</v>
      </c>
      <c r="I4962" s="185">
        <v>4</v>
      </c>
      <c r="J4962" s="901" t="s">
        <v>1796</v>
      </c>
      <c r="K4962" s="163" t="s">
        <v>4672</v>
      </c>
      <c r="L4962" s="163" t="s">
        <v>3832</v>
      </c>
      <c r="M4962" s="163" t="s">
        <v>254</v>
      </c>
      <c r="N4962" s="163" t="s">
        <v>7370</v>
      </c>
      <c r="O4962" s="163"/>
      <c r="P4962" s="182" t="s">
        <v>461</v>
      </c>
      <c r="Q4962" s="163" t="s">
        <v>729</v>
      </c>
      <c r="R4962" s="186" t="s">
        <v>4796</v>
      </c>
      <c r="S4962" s="355" t="s">
        <v>8196</v>
      </c>
      <c r="T4962" s="182"/>
      <c r="U4962" s="182"/>
      <c r="V4962" s="182"/>
      <c r="W4962" s="314" t="s">
        <v>8236</v>
      </c>
      <c r="X4962" s="646" t="s">
        <v>12349</v>
      </c>
      <c r="Y4962" s="355"/>
      <c r="Z4962" s="185"/>
      <c r="AA4962" s="185"/>
      <c r="AB4962" s="33">
        <f t="shared" ca="1" si="121"/>
        <v>0.98107243914037179</v>
      </c>
      <c r="AC4962" s="813"/>
      <c r="AD4962" s="211"/>
      <c r="AE4962" s="941"/>
      <c r="AF4962" s="922">
        <f>IF(X4962=X4961,AF4961,0)+IF(ISNUMBER(I4962),IF(I4962&lt;1,I4962,I4962*VLOOKUP(J4962,Summary!$H$2:$I$9,2)),VLOOKUP(J4962,Summary!$J$2:$K$9,2)*IF(ISNUMBER(H4962),H4962,1))</f>
        <v>1.2617361111111114</v>
      </c>
      <c r="AG4962" s="290">
        <v>4961</v>
      </c>
      <c r="AH4962" s="94"/>
      <c r="AI4962" s="94"/>
    </row>
    <row r="4963" spans="1:35" s="57" customFormat="1" ht="12" customHeight="1" x14ac:dyDescent="0.25">
      <c r="A4963" s="618" t="s">
        <v>13230</v>
      </c>
      <c r="B4963" s="618">
        <v>11</v>
      </c>
      <c r="C4963" s="618">
        <v>1</v>
      </c>
      <c r="D4963" s="176" t="s">
        <v>9819</v>
      </c>
      <c r="E4963" s="313" t="s">
        <v>9820</v>
      </c>
      <c r="F4963" s="175">
        <v>41802</v>
      </c>
      <c r="G4963" s="174"/>
      <c r="H4963" s="176">
        <v>1</v>
      </c>
      <c r="I4963" s="176">
        <v>3</v>
      </c>
      <c r="J4963" s="900" t="s">
        <v>2755</v>
      </c>
      <c r="K4963" s="164" t="s">
        <v>9281</v>
      </c>
      <c r="L4963" s="164" t="s">
        <v>461</v>
      </c>
      <c r="M4963" s="164"/>
      <c r="N4963" s="164" t="s">
        <v>543</v>
      </c>
      <c r="O4963" s="164"/>
      <c r="P4963" s="173" t="s">
        <v>9278</v>
      </c>
      <c r="Q4963" s="164" t="s">
        <v>3953</v>
      </c>
      <c r="R4963" s="177" t="s">
        <v>9279</v>
      </c>
      <c r="S4963" s="354"/>
      <c r="T4963" s="173"/>
      <c r="U4963" s="173"/>
      <c r="V4963" s="173"/>
      <c r="W4963" s="313" t="s">
        <v>9820</v>
      </c>
      <c r="X4963" s="645" t="s">
        <v>12349</v>
      </c>
      <c r="Y4963" s="354" t="s">
        <v>6868</v>
      </c>
      <c r="Z4963" s="176"/>
      <c r="AA4963" s="176"/>
      <c r="AB4963" s="32">
        <f t="shared" ca="1" si="121"/>
        <v>0.70263988448926329</v>
      </c>
      <c r="AC4963" s="812"/>
      <c r="AD4963" s="763"/>
      <c r="AE4963" s="807"/>
      <c r="AF4963" s="921">
        <f>IF(X4963=X4962,AF4962,0)+IF(ISNUMBER(I4963),IF(I4963&lt;1,I4963,I4963*VLOOKUP(J4963,Summary!$H$2:$I$9,2)),VLOOKUP(J4963,Summary!$J$2:$K$9,2)*IF(ISNUMBER(H4963),H4963,1))</f>
        <v>1.2638194444444448</v>
      </c>
      <c r="AG4963" s="289">
        <v>4962</v>
      </c>
      <c r="AH4963" s="94"/>
      <c r="AI4963" s="94"/>
    </row>
    <row r="4964" spans="1:35" s="22" customFormat="1" ht="12" customHeight="1" x14ac:dyDescent="0.2">
      <c r="A4964" s="765" t="s">
        <v>13230</v>
      </c>
      <c r="B4964" s="765">
        <v>11</v>
      </c>
      <c r="C4964" s="765">
        <v>156</v>
      </c>
      <c r="D4964" s="226" t="s">
        <v>8239</v>
      </c>
      <c r="E4964" s="331" t="s">
        <v>8240</v>
      </c>
      <c r="F4964" s="233">
        <v>41284</v>
      </c>
      <c r="G4964" s="766">
        <v>41426</v>
      </c>
      <c r="H4964" s="226">
        <v>6</v>
      </c>
      <c r="I4964" s="226">
        <v>72</v>
      </c>
      <c r="J4964" s="907" t="s">
        <v>1796</v>
      </c>
      <c r="K4964" s="228" t="s">
        <v>5251</v>
      </c>
      <c r="L4964" s="228" t="s">
        <v>6057</v>
      </c>
      <c r="M4964" s="228" t="s">
        <v>252</v>
      </c>
      <c r="N4964" s="228" t="s">
        <v>5742</v>
      </c>
      <c r="O4964" s="228"/>
      <c r="P4964" s="225" t="s">
        <v>461</v>
      </c>
      <c r="Q4964" s="228" t="s">
        <v>4104</v>
      </c>
      <c r="R4964" s="227" t="s">
        <v>5266</v>
      </c>
      <c r="S4964" s="369" t="s">
        <v>2614</v>
      </c>
      <c r="T4964" s="225" t="s">
        <v>1738</v>
      </c>
      <c r="U4964" s="225"/>
      <c r="V4964" s="225"/>
      <c r="W4964" s="331"/>
      <c r="X4964" s="663" t="s">
        <v>12349</v>
      </c>
      <c r="Y4964" s="369"/>
      <c r="Z4964" s="226"/>
      <c r="AA4964" s="226"/>
      <c r="AB4964" s="38">
        <f t="shared" ca="1" si="121"/>
        <v>0.44144107491164519</v>
      </c>
      <c r="AC4964" s="830"/>
      <c r="AD4964" s="831"/>
      <c r="AE4964" s="963"/>
      <c r="AF4964" s="928">
        <f>IF(X4964=X4963,AF4963,0)+IF(ISNUMBER(I4964),IF(I4964&lt;1,I4964,I4964*VLOOKUP(J4964,Summary!$H$2:$I$9,2)),VLOOKUP(J4964,Summary!$J$2:$K$9,2)*IF(ISNUMBER(H4964),H4964,1))</f>
        <v>1.2888194444444447</v>
      </c>
      <c r="AG4964" s="304">
        <v>4963</v>
      </c>
      <c r="AH4964" s="94"/>
      <c r="AI4964" s="94"/>
    </row>
    <row r="4965" spans="1:35" s="1" customFormat="1" ht="12" customHeight="1" x14ac:dyDescent="0.25">
      <c r="A4965" s="617" t="s">
        <v>13230</v>
      </c>
      <c r="B4965" s="617">
        <v>11</v>
      </c>
      <c r="C4965" s="617">
        <v>1.4</v>
      </c>
      <c r="D4965" s="407" t="s">
        <v>13233</v>
      </c>
      <c r="E4965" s="315" t="s">
        <v>13234</v>
      </c>
      <c r="F4965" s="196">
        <v>42383</v>
      </c>
      <c r="G4965" s="170"/>
      <c r="H4965" s="170">
        <v>1</v>
      </c>
      <c r="I4965" s="747">
        <f>TIME(0,60,0)</f>
        <v>4.1666666666666664E-2</v>
      </c>
      <c r="J4965" s="899" t="s">
        <v>4706</v>
      </c>
      <c r="K4965" s="167" t="s">
        <v>2313</v>
      </c>
      <c r="L4965" s="167" t="s">
        <v>2313</v>
      </c>
      <c r="M4965" s="167"/>
      <c r="N4965" s="167"/>
      <c r="O4965" s="167"/>
      <c r="P4965" s="168" t="s">
        <v>13033</v>
      </c>
      <c r="Q4965" s="167" t="s">
        <v>3947</v>
      </c>
      <c r="R4965" s="172" t="s">
        <v>11446</v>
      </c>
      <c r="S4965" s="388"/>
      <c r="T4965" s="168"/>
      <c r="U4965" s="168"/>
      <c r="V4965" s="168"/>
      <c r="W4965" s="315" t="s">
        <v>13234</v>
      </c>
      <c r="X4965" s="644" t="s">
        <v>12349</v>
      </c>
      <c r="Y4965" s="352"/>
      <c r="Z4965" s="353"/>
      <c r="AA4965" s="353"/>
      <c r="AB4965" s="31">
        <f t="shared" ca="1" si="121"/>
        <v>6.9885424797230034E-2</v>
      </c>
      <c r="AC4965" s="810"/>
      <c r="AD4965" s="811"/>
      <c r="AE4965" s="940"/>
      <c r="AF4965" s="920">
        <f>IF(X4965=X4964,AF4964,0)+IF(ISNUMBER(I4965),IF(I4965&lt;1,I4965,I4965*VLOOKUP(J4965,Summary!$H$2:$I$9,2)),VLOOKUP(J4965,Summary!$J$2:$K$9,2)*IF(ISNUMBER(H4965),H4965,1))</f>
        <v>1.3304861111111115</v>
      </c>
      <c r="AG4965" s="287">
        <v>4964</v>
      </c>
      <c r="AH4965" s="94"/>
      <c r="AI4965" s="94"/>
    </row>
    <row r="4966" spans="1:35" s="22" customFormat="1" ht="12" customHeight="1" x14ac:dyDescent="0.25">
      <c r="A4966" s="618" t="s">
        <v>13230</v>
      </c>
      <c r="B4966" s="618">
        <v>11</v>
      </c>
      <c r="C4966" s="618">
        <v>11</v>
      </c>
      <c r="D4966" s="463" t="s">
        <v>13264</v>
      </c>
      <c r="E4966" s="330" t="s">
        <v>6409</v>
      </c>
      <c r="F4966" s="209">
        <v>42649</v>
      </c>
      <c r="G4966" s="209"/>
      <c r="H4966" s="192" t="s">
        <v>461</v>
      </c>
      <c r="I4966" s="192"/>
      <c r="J4966" s="903" t="s">
        <v>2755</v>
      </c>
      <c r="K4966" s="159" t="s">
        <v>179</v>
      </c>
      <c r="L4966" s="159" t="s">
        <v>9450</v>
      </c>
      <c r="M4966" s="159" t="s">
        <v>264</v>
      </c>
      <c r="N4966" s="159"/>
      <c r="O4966" s="159"/>
      <c r="P4966" s="190" t="s">
        <v>461</v>
      </c>
      <c r="Q4966" s="159" t="s">
        <v>3953</v>
      </c>
      <c r="R4966" s="221" t="s">
        <v>13260</v>
      </c>
      <c r="S4966" s="357"/>
      <c r="T4966" s="190"/>
      <c r="U4966" s="190"/>
      <c r="V4966" s="190"/>
      <c r="W4966" s="330" t="s">
        <v>6409</v>
      </c>
      <c r="X4966" s="662" t="s">
        <v>12349</v>
      </c>
      <c r="Y4966" s="378"/>
      <c r="Z4966" s="367"/>
      <c r="AA4966" s="367"/>
      <c r="AB4966" s="37">
        <f t="shared" ca="1" si="121"/>
        <v>0.61591959476352187</v>
      </c>
      <c r="AC4966" s="816"/>
      <c r="AD4966" s="817"/>
      <c r="AE4966" s="955"/>
      <c r="AF4966" s="924">
        <f>IF(X4966=X4965,AF4965,0)+IF(ISNUMBER(I4966),IF(I4966&lt;1,I4966,I4966*VLOOKUP(J4966,Summary!$H$2:$I$9,2)),VLOOKUP(J4966,Summary!$J$2:$K$9,2)*IF(ISNUMBER(H4966),H4966,1))</f>
        <v>1.3478472222222226</v>
      </c>
      <c r="AG4966" s="298">
        <v>4965</v>
      </c>
      <c r="AH4966" s="94"/>
      <c r="AI4966" s="94"/>
    </row>
    <row r="4967" spans="1:35" s="3" customFormat="1" ht="12" customHeight="1" x14ac:dyDescent="0.25">
      <c r="A4967" s="624" t="s">
        <v>13230</v>
      </c>
      <c r="B4967" s="624">
        <v>11</v>
      </c>
      <c r="C4967" s="624">
        <v>3</v>
      </c>
      <c r="D4967" s="192" t="s">
        <v>13403</v>
      </c>
      <c r="E4967" s="317" t="s">
        <v>13402</v>
      </c>
      <c r="F4967" s="209">
        <v>42278</v>
      </c>
      <c r="G4967" s="209"/>
      <c r="H4967" s="192">
        <v>1</v>
      </c>
      <c r="I4967" s="192"/>
      <c r="J4967" s="903" t="s">
        <v>2755</v>
      </c>
      <c r="K4967" s="194" t="s">
        <v>543</v>
      </c>
      <c r="L4967" s="194" t="s">
        <v>13401</v>
      </c>
      <c r="M4967" s="194" t="s">
        <v>13404</v>
      </c>
      <c r="N4967" s="194"/>
      <c r="O4967" s="194"/>
      <c r="P4967" s="190" t="s">
        <v>13331</v>
      </c>
      <c r="Q4967" s="194" t="s">
        <v>3953</v>
      </c>
      <c r="R4967" s="193" t="s">
        <v>11447</v>
      </c>
      <c r="S4967" s="357"/>
      <c r="T4967" s="190"/>
      <c r="U4967" s="190"/>
      <c r="V4967" s="190"/>
      <c r="W4967" s="317" t="s">
        <v>13402</v>
      </c>
      <c r="X4967" s="662" t="s">
        <v>12349</v>
      </c>
      <c r="Y4967" s="357"/>
      <c r="Z4967" s="192"/>
      <c r="AA4967" s="192"/>
      <c r="AB4967" s="37">
        <f t="shared" ca="1" si="121"/>
        <v>0.2921267476483399</v>
      </c>
      <c r="AC4967" s="816"/>
      <c r="AD4967" s="817"/>
      <c r="AE4967" s="943"/>
      <c r="AF4967" s="924">
        <f>IF(X4967=X4966,AF4966,0)+IF(ISNUMBER(I4967),IF(I4967&lt;1,I4967,I4967*VLOOKUP(J4967,Summary!$H$2:$I$9,2)),VLOOKUP(J4967,Summary!$J$2:$K$9,2)*IF(ISNUMBER(H4967),H4967,1))</f>
        <v>1.3652083333333338</v>
      </c>
      <c r="AG4967" s="292">
        <v>4966</v>
      </c>
      <c r="AH4967" s="94"/>
      <c r="AI4967" s="94"/>
    </row>
    <row r="4968" spans="1:35" s="22" customFormat="1" ht="12" customHeight="1" x14ac:dyDescent="0.25">
      <c r="A4968" s="410" t="s">
        <v>13230</v>
      </c>
      <c r="B4968" s="410" t="s">
        <v>2650</v>
      </c>
      <c r="C4968" s="410">
        <v>5</v>
      </c>
      <c r="D4968" s="176" t="s">
        <v>13339</v>
      </c>
      <c r="E4968" s="313" t="s">
        <v>13340</v>
      </c>
      <c r="F4968" s="175">
        <v>42411</v>
      </c>
      <c r="G4968" s="174"/>
      <c r="H4968" s="176">
        <v>1</v>
      </c>
      <c r="I4968" s="176"/>
      <c r="J4968" s="900" t="s">
        <v>2755</v>
      </c>
      <c r="K4968" s="164" t="s">
        <v>4163</v>
      </c>
      <c r="L4968" s="164"/>
      <c r="M4968" s="164"/>
      <c r="N4968" s="164"/>
      <c r="O4968" s="164"/>
      <c r="P4968" s="173" t="s">
        <v>13331</v>
      </c>
      <c r="Q4968" s="164" t="s">
        <v>3953</v>
      </c>
      <c r="R4968" s="179" t="s">
        <v>13332</v>
      </c>
      <c r="S4968" s="354"/>
      <c r="T4968" s="173"/>
      <c r="U4968" s="173" t="s">
        <v>7344</v>
      </c>
      <c r="V4968" s="173"/>
      <c r="W4968" s="313" t="s">
        <v>13340</v>
      </c>
      <c r="X4968" s="645" t="s">
        <v>12349</v>
      </c>
      <c r="Y4968" s="354"/>
      <c r="Z4968" s="176"/>
      <c r="AA4968" s="176"/>
      <c r="AB4968" s="32">
        <f t="shared" ca="1" si="121"/>
        <v>0.56653311456400601</v>
      </c>
      <c r="AC4968" s="812"/>
      <c r="AD4968" s="763"/>
      <c r="AE4968" s="807"/>
      <c r="AF4968" s="921">
        <f>IF(X4968=X4967,AF4967,0)+IF(ISNUMBER(I4968),IF(I4968&lt;1,I4968,I4968*VLOOKUP(J4968,Summary!$H$2:$I$9,2)),VLOOKUP(J4968,Summary!$J$2:$K$9,2)*IF(ISNUMBER(H4968),H4968,1))</f>
        <v>1.382569444444445</v>
      </c>
      <c r="AG4968" s="288">
        <v>4967</v>
      </c>
      <c r="AH4968" s="94"/>
      <c r="AI4968" s="94"/>
    </row>
    <row r="4969" spans="1:35" s="22" customFormat="1" ht="12" customHeight="1" x14ac:dyDescent="0.25">
      <c r="A4969" s="613" t="s">
        <v>13230</v>
      </c>
      <c r="B4969" s="613">
        <v>11</v>
      </c>
      <c r="C4969" s="613"/>
      <c r="D4969" s="509" t="s">
        <v>7996</v>
      </c>
      <c r="E4969" s="335" t="s">
        <v>7998</v>
      </c>
      <c r="F4969" s="223">
        <v>41541</v>
      </c>
      <c r="G4969" s="223"/>
      <c r="H4969" s="242">
        <v>1</v>
      </c>
      <c r="I4969" s="792">
        <f>TIME(0,2,23)</f>
        <v>1.6550925925925926E-3</v>
      </c>
      <c r="J4969" s="909" t="s">
        <v>1588</v>
      </c>
      <c r="K4969" s="243" t="s">
        <v>6764</v>
      </c>
      <c r="L4969" s="243"/>
      <c r="M4969" s="243"/>
      <c r="N4969" s="243" t="s">
        <v>3810</v>
      </c>
      <c r="O4969" s="243"/>
      <c r="P4969" s="241" t="s">
        <v>461</v>
      </c>
      <c r="Q4969" s="243" t="s">
        <v>3946</v>
      </c>
      <c r="R4969" s="244" t="s">
        <v>237</v>
      </c>
      <c r="S4969" s="395"/>
      <c r="T4969" s="241"/>
      <c r="U4969" s="241" t="s">
        <v>7344</v>
      </c>
      <c r="V4969" s="241"/>
      <c r="W4969" s="335" t="s">
        <v>7998</v>
      </c>
      <c r="X4969" s="667" t="s">
        <v>12349</v>
      </c>
      <c r="Y4969" s="375"/>
      <c r="Z4969" s="377"/>
      <c r="AA4969" s="377"/>
      <c r="AB4969" s="55">
        <f t="shared" ca="1" si="121"/>
        <v>0.39751427084453062</v>
      </c>
      <c r="AC4969" s="834"/>
      <c r="AD4969" s="835"/>
      <c r="AE4969" s="957"/>
      <c r="AF4969" s="930">
        <f>IF(X4969=X4968,AF4968,0)+IF(ISNUMBER(I4969),IF(I4969&lt;1,I4969,I4969*VLOOKUP(J4969,Summary!$H$2:$I$9,2)),VLOOKUP(J4969,Summary!$J$2:$K$9,2)*IF(ISNUMBER(H4969),H4969,1))</f>
        <v>1.3842245370370376</v>
      </c>
      <c r="AG4969" s="302">
        <v>4968</v>
      </c>
      <c r="AH4969" s="94"/>
      <c r="AI4969" s="94"/>
    </row>
    <row r="4970" spans="1:35" s="57" customFormat="1" ht="12" customHeight="1" x14ac:dyDescent="0.25">
      <c r="A4970" s="615" t="s">
        <v>13230</v>
      </c>
      <c r="B4970" s="615">
        <v>11</v>
      </c>
      <c r="C4970" s="615">
        <v>52</v>
      </c>
      <c r="D4970" s="417" t="s">
        <v>8306</v>
      </c>
      <c r="E4970" s="316" t="s">
        <v>8307</v>
      </c>
      <c r="F4970" s="195">
        <v>41372</v>
      </c>
      <c r="G4970" s="195"/>
      <c r="H4970" s="188" t="str">
        <f>IF(J4970="Book","n/a","")</f>
        <v>n/a</v>
      </c>
      <c r="I4970" s="188">
        <v>258</v>
      </c>
      <c r="J4970" s="902" t="s">
        <v>6868</v>
      </c>
      <c r="K4970" s="162" t="s">
        <v>4549</v>
      </c>
      <c r="L4970" s="162" t="str">
        <f>IF(J4970="Book","n/a","")</f>
        <v>n/a</v>
      </c>
      <c r="M4970" s="162"/>
      <c r="N4970" s="162"/>
      <c r="O4970" s="162"/>
      <c r="P4970" s="178" t="s">
        <v>8308</v>
      </c>
      <c r="Q4970" s="162" t="s">
        <v>3953</v>
      </c>
      <c r="R4970" s="189" t="s">
        <v>2711</v>
      </c>
      <c r="S4970" s="366"/>
      <c r="T4970" s="178"/>
      <c r="U4970" s="178"/>
      <c r="V4970" s="178"/>
      <c r="W4970" s="316" t="s">
        <v>8307</v>
      </c>
      <c r="X4970" s="648" t="s">
        <v>12349</v>
      </c>
      <c r="Y4970" s="356"/>
      <c r="Z4970" s="272">
        <v>151</v>
      </c>
      <c r="AA4970" s="272">
        <v>4.5</v>
      </c>
      <c r="AB4970" s="34">
        <f t="shared" ca="1" si="121"/>
        <v>0.22749005164519265</v>
      </c>
      <c r="AC4970" s="814"/>
      <c r="AD4970" s="815"/>
      <c r="AE4970" s="942"/>
      <c r="AF4970" s="923">
        <f>IF(X4970=X4969,AF4969,0)+IF(ISNUMBER(I4970),IF(I4970&lt;1,I4970,I4970*VLOOKUP(J4970,Summary!$H$2:$I$9,2)),VLOOKUP(J4970,Summary!$J$2:$K$9,2)*IF(ISNUMBER(H4970),H4970,1))</f>
        <v>1.5633912037037043</v>
      </c>
      <c r="AG4970" s="291">
        <v>4969</v>
      </c>
      <c r="AH4970" s="94"/>
      <c r="AI4970" s="94"/>
    </row>
    <row r="4971" spans="1:35" s="22" customFormat="1" ht="12" customHeight="1" x14ac:dyDescent="0.2">
      <c r="A4971" s="481" t="s">
        <v>13231</v>
      </c>
      <c r="B4971" s="411" t="s">
        <v>2650</v>
      </c>
      <c r="C4971" s="481">
        <v>162</v>
      </c>
      <c r="D4971" s="428" t="s">
        <v>9435</v>
      </c>
      <c r="E4971" s="325" t="s">
        <v>9436</v>
      </c>
      <c r="F4971" s="184">
        <v>41816</v>
      </c>
      <c r="G4971" s="184">
        <v>41844</v>
      </c>
      <c r="H4971" s="185">
        <v>2</v>
      </c>
      <c r="I4971" s="185">
        <v>24</v>
      </c>
      <c r="J4971" s="901" t="s">
        <v>1796</v>
      </c>
      <c r="K4971" s="158" t="s">
        <v>5251</v>
      </c>
      <c r="L4971" s="158" t="s">
        <v>6061</v>
      </c>
      <c r="M4971" s="158" t="s">
        <v>252</v>
      </c>
      <c r="N4971" s="158" t="s">
        <v>5742</v>
      </c>
      <c r="O4971" s="158"/>
      <c r="P4971" s="182" t="s">
        <v>461</v>
      </c>
      <c r="Q4971" s="158" t="s">
        <v>4104</v>
      </c>
      <c r="R4971" s="186" t="s">
        <v>5266</v>
      </c>
      <c r="S4971" s="355"/>
      <c r="T4971" s="182" t="s">
        <v>6925</v>
      </c>
      <c r="U4971" s="182" t="s">
        <v>6924</v>
      </c>
      <c r="V4971" s="182" t="s">
        <v>3629</v>
      </c>
      <c r="W4971" s="321"/>
      <c r="X4971" s="653" t="s">
        <v>10130</v>
      </c>
      <c r="Y4971" s="361"/>
      <c r="Z4971" s="362"/>
      <c r="AA4971" s="362"/>
      <c r="AB4971" s="33">
        <f t="shared" ca="1" si="121"/>
        <v>0.85795730764036404</v>
      </c>
      <c r="AC4971" s="813"/>
      <c r="AD4971" s="826" t="s">
        <v>16634</v>
      </c>
      <c r="AE4971" s="941"/>
      <c r="AF4971" s="922">
        <f>IF(X4971=X4970,AF4970,0)+IF(ISNUMBER(I4971),IF(I4971&lt;1,I4971,I4971*VLOOKUP(J4971,Summary!$H$2:$I$9,2)),VLOOKUP(J4971,Summary!$J$2:$K$9,2)*IF(ISNUMBER(H4971),H4971,1))</f>
        <v>8.3333333333333332E-3</v>
      </c>
      <c r="AG4971" s="290">
        <v>4970</v>
      </c>
      <c r="AH4971" s="94"/>
      <c r="AI4971" s="94"/>
    </row>
    <row r="4972" spans="1:35" s="22" customFormat="1" ht="12" customHeight="1" x14ac:dyDescent="0.25">
      <c r="A4972" s="613" t="s">
        <v>13231</v>
      </c>
      <c r="B4972" s="613">
        <v>11</v>
      </c>
      <c r="C4972" s="613">
        <v>3</v>
      </c>
      <c r="D4972" s="509" t="s">
        <v>1541</v>
      </c>
      <c r="E4972" s="335" t="s">
        <v>1539</v>
      </c>
      <c r="F4972" s="223">
        <v>41229</v>
      </c>
      <c r="G4972" s="223"/>
      <c r="H4972" s="242">
        <v>1</v>
      </c>
      <c r="I4972" s="792">
        <f>TIME(0,3, 9)</f>
        <v>2.1874999999999998E-3</v>
      </c>
      <c r="J4972" s="909" t="s">
        <v>1588</v>
      </c>
      <c r="K4972" s="243" t="s">
        <v>3810</v>
      </c>
      <c r="L4972" s="243"/>
      <c r="M4972" s="243"/>
      <c r="N4972" s="243" t="s">
        <v>3810</v>
      </c>
      <c r="O4972" s="243" t="s">
        <v>6509</v>
      </c>
      <c r="P4972" s="241" t="s">
        <v>461</v>
      </c>
      <c r="Q4972" s="243" t="s">
        <v>3946</v>
      </c>
      <c r="R4972" s="244" t="s">
        <v>7896</v>
      </c>
      <c r="S4972" s="395"/>
      <c r="T4972" s="241" t="s">
        <v>6925</v>
      </c>
      <c r="U4972" s="241" t="s">
        <v>6924</v>
      </c>
      <c r="V4972" s="241" t="s">
        <v>3629</v>
      </c>
      <c r="W4972" s="335" t="s">
        <v>1539</v>
      </c>
      <c r="X4972" s="667" t="s">
        <v>10130</v>
      </c>
      <c r="Y4972" s="375"/>
      <c r="Z4972" s="376">
        <v>176</v>
      </c>
      <c r="AA4972" s="253">
        <v>5</v>
      </c>
      <c r="AB4972" s="55">
        <f t="shared" ca="1" si="121"/>
        <v>0.648764372560097</v>
      </c>
      <c r="AC4972" s="834"/>
      <c r="AD4972" s="981" t="s">
        <v>16970</v>
      </c>
      <c r="AE4972" s="957"/>
      <c r="AF4972" s="930">
        <f>IF(X4972=X4971,AF4971,0)+IF(ISNUMBER(I4972),IF(I4972&lt;1,I4972,I4972*VLOOKUP(J4972,Summary!$H$2:$I$9,2)),VLOOKUP(J4972,Summary!$J$2:$K$9,2)*IF(ISNUMBER(H4972),H4972,1))</f>
        <v>1.0520833333333333E-2</v>
      </c>
      <c r="AG4972" s="302">
        <v>4971</v>
      </c>
      <c r="AH4972" s="94"/>
      <c r="AI4972" s="94"/>
    </row>
    <row r="4973" spans="1:35" s="22" customFormat="1" ht="12" customHeight="1" x14ac:dyDescent="0.25">
      <c r="A4973" s="510" t="s">
        <v>13231</v>
      </c>
      <c r="B4973" s="596" t="s">
        <v>2650</v>
      </c>
      <c r="C4973" s="510">
        <v>2</v>
      </c>
      <c r="D4973" s="486" t="s">
        <v>2180</v>
      </c>
      <c r="E4973" s="332" t="s">
        <v>2172</v>
      </c>
      <c r="F4973" s="213">
        <v>41261</v>
      </c>
      <c r="G4973" s="213"/>
      <c r="H4973" s="214" t="s">
        <v>461</v>
      </c>
      <c r="I4973" s="750">
        <f>TIME(1,49,0)</f>
        <v>7.5694444444444439E-2</v>
      </c>
      <c r="J4973" s="906" t="s">
        <v>6868</v>
      </c>
      <c r="K4973" s="161" t="s">
        <v>543</v>
      </c>
      <c r="L4973" s="161" t="s">
        <v>461</v>
      </c>
      <c r="M4973" s="161" t="s">
        <v>9748</v>
      </c>
      <c r="N4973" s="161"/>
      <c r="O4973" s="161"/>
      <c r="P4973" s="212" t="s">
        <v>8898</v>
      </c>
      <c r="Q4973" s="161" t="s">
        <v>2173</v>
      </c>
      <c r="R4973" s="231" t="s">
        <v>8377</v>
      </c>
      <c r="S4973" s="365"/>
      <c r="T4973" s="212" t="s">
        <v>6925</v>
      </c>
      <c r="U4973" s="212" t="s">
        <v>6924</v>
      </c>
      <c r="V4973" s="212" t="s">
        <v>3629</v>
      </c>
      <c r="W4973" s="332" t="s">
        <v>2172</v>
      </c>
      <c r="X4973" s="664" t="s">
        <v>10130</v>
      </c>
      <c r="Y4973" s="370" t="s">
        <v>2174</v>
      </c>
      <c r="Z4973" s="371">
        <v>168</v>
      </c>
      <c r="AA4973" s="371">
        <v>4</v>
      </c>
      <c r="AB4973" s="39">
        <f t="shared" ca="1" si="121"/>
        <v>0.54396668727841946</v>
      </c>
      <c r="AC4973" s="828"/>
      <c r="AD4973" s="829" t="s">
        <v>16970</v>
      </c>
      <c r="AE4973" s="952" t="s">
        <v>15062</v>
      </c>
      <c r="AF4973" s="927">
        <f>IF(X4973=X4972,AF4972,0)+IF(ISNUMBER(I4973),IF(I4973&lt;1,I4973,I4973*VLOOKUP(J4973,Summary!$H$2:$I$9,2)),VLOOKUP(J4973,Summary!$J$2:$K$9,2)*IF(ISNUMBER(H4973),H4973,1))</f>
        <v>8.6215277777777766E-2</v>
      </c>
      <c r="AG4973" s="299">
        <v>4972</v>
      </c>
      <c r="AH4973" s="94"/>
      <c r="AI4973" s="94"/>
    </row>
    <row r="4974" spans="1:35" s="3" customFormat="1" ht="12" customHeight="1" x14ac:dyDescent="0.25">
      <c r="A4974" s="613" t="s">
        <v>13231</v>
      </c>
      <c r="B4974" s="613">
        <v>11</v>
      </c>
      <c r="C4974" s="613"/>
      <c r="D4974" s="509" t="s">
        <v>3112</v>
      </c>
      <c r="E4974" s="335" t="s">
        <v>1538</v>
      </c>
      <c r="F4974" s="223">
        <v>41264</v>
      </c>
      <c r="G4974" s="223"/>
      <c r="H4974" s="242">
        <v>1</v>
      </c>
      <c r="I4974" s="792">
        <f>TIME(0,0,51)</f>
        <v>5.9027777777777778E-4</v>
      </c>
      <c r="J4974" s="909" t="s">
        <v>1588</v>
      </c>
      <c r="K4974" s="243" t="s">
        <v>3810</v>
      </c>
      <c r="L4974" s="243"/>
      <c r="M4974" s="243"/>
      <c r="N4974" s="243" t="s">
        <v>3810</v>
      </c>
      <c r="O4974" s="243" t="s">
        <v>6509</v>
      </c>
      <c r="P4974" s="241" t="s">
        <v>461</v>
      </c>
      <c r="Q4974" s="243" t="s">
        <v>3946</v>
      </c>
      <c r="R4974" s="244" t="s">
        <v>7896</v>
      </c>
      <c r="S4974" s="395"/>
      <c r="T4974" s="241" t="s">
        <v>6925</v>
      </c>
      <c r="U4974" s="241" t="s">
        <v>6924</v>
      </c>
      <c r="V4974" s="241" t="s">
        <v>3629</v>
      </c>
      <c r="W4974" s="335" t="s">
        <v>1538</v>
      </c>
      <c r="X4974" s="667" t="s">
        <v>10130</v>
      </c>
      <c r="Y4974" s="375"/>
      <c r="Z4974" s="376">
        <v>277</v>
      </c>
      <c r="AA4974" s="377">
        <v>2.5</v>
      </c>
      <c r="AB4974" s="55">
        <f t="shared" ca="1" si="121"/>
        <v>0.8697421067698341</v>
      </c>
      <c r="AC4974" s="834"/>
      <c r="AD4974" s="835" t="s">
        <v>16972</v>
      </c>
      <c r="AE4974" s="957" t="s">
        <v>12543</v>
      </c>
      <c r="AF4974" s="930">
        <f>IF(X4974=X4973,AF4973,0)+IF(ISNUMBER(I4974),IF(I4974&lt;1,I4974,I4974*VLOOKUP(J4974,Summary!$H$2:$I$9,2)),VLOOKUP(J4974,Summary!$J$2:$K$9,2)*IF(ISNUMBER(H4974),H4974,1))</f>
        <v>8.6805555555555539E-2</v>
      </c>
      <c r="AG4974" s="302">
        <v>4973</v>
      </c>
      <c r="AH4974" s="94"/>
      <c r="AI4974" s="94"/>
    </row>
    <row r="4975" spans="1:35" s="1" customFormat="1" ht="12" customHeight="1" x14ac:dyDescent="0.25">
      <c r="A4975" s="588" t="s">
        <v>13231</v>
      </c>
      <c r="B4975" s="589" t="s">
        <v>2650</v>
      </c>
      <c r="C4975" s="588"/>
      <c r="D4975" s="509" t="s">
        <v>3112</v>
      </c>
      <c r="E4975" s="335" t="s">
        <v>1540</v>
      </c>
      <c r="F4975" s="223">
        <v>41260</v>
      </c>
      <c r="G4975" s="223"/>
      <c r="H4975" s="242">
        <v>1</v>
      </c>
      <c r="I4975" s="792">
        <f>TIME(0,2,42)</f>
        <v>1.8750000000000001E-3</v>
      </c>
      <c r="J4975" s="909" t="s">
        <v>1588</v>
      </c>
      <c r="K4975" s="243" t="s">
        <v>3810</v>
      </c>
      <c r="L4975" s="243"/>
      <c r="M4975" s="243"/>
      <c r="N4975" s="243" t="s">
        <v>3810</v>
      </c>
      <c r="O4975" s="243" t="s">
        <v>6509</v>
      </c>
      <c r="P4975" s="241" t="s">
        <v>461</v>
      </c>
      <c r="Q4975" s="243" t="s">
        <v>3946</v>
      </c>
      <c r="R4975" s="244" t="s">
        <v>7896</v>
      </c>
      <c r="S4975" s="395"/>
      <c r="T4975" s="241" t="s">
        <v>6925</v>
      </c>
      <c r="U4975" s="241" t="s">
        <v>6924</v>
      </c>
      <c r="V4975" s="241" t="s">
        <v>3629</v>
      </c>
      <c r="W4975" s="335" t="s">
        <v>1540</v>
      </c>
      <c r="X4975" s="667" t="s">
        <v>10130</v>
      </c>
      <c r="Y4975" s="375"/>
      <c r="Z4975" s="376">
        <v>173</v>
      </c>
      <c r="AA4975" s="253">
        <v>5</v>
      </c>
      <c r="AB4975" s="55">
        <f t="shared" ca="1" si="121"/>
        <v>0.24744975973324823</v>
      </c>
      <c r="AC4975" s="834"/>
      <c r="AD4975" s="981" t="s">
        <v>16971</v>
      </c>
      <c r="AE4975" s="957"/>
      <c r="AF4975" s="930">
        <f>IF(X4975=X4974,AF4974,0)+IF(ISNUMBER(I4975),IF(I4975&lt;1,I4975,I4975*VLOOKUP(J4975,Summary!$H$2:$I$9,2)),VLOOKUP(J4975,Summary!$J$2:$K$9,2)*IF(ISNUMBER(H4975),H4975,1))</f>
        <v>8.868055555555554E-2</v>
      </c>
      <c r="AG4975" s="302">
        <v>4974</v>
      </c>
      <c r="AH4975" s="94"/>
      <c r="AI4975" s="94"/>
    </row>
    <row r="4976" spans="1:35" s="22" customFormat="1" ht="12" customHeight="1" x14ac:dyDescent="0.25">
      <c r="A4976" s="612" t="s">
        <v>13231</v>
      </c>
      <c r="B4976" s="612">
        <v>11</v>
      </c>
      <c r="C4976" s="612">
        <v>231</v>
      </c>
      <c r="D4976" s="424" t="s">
        <v>6921</v>
      </c>
      <c r="E4976" s="319" t="s">
        <v>6922</v>
      </c>
      <c r="F4976" s="198">
        <v>41268</v>
      </c>
      <c r="G4976" s="198"/>
      <c r="H4976" s="199">
        <v>1</v>
      </c>
      <c r="I4976" s="791">
        <f>TIME(0,59,43)</f>
        <v>4.1469907407407407E-2</v>
      </c>
      <c r="J4976" s="904" t="s">
        <v>1588</v>
      </c>
      <c r="K4976" s="200" t="s">
        <v>3810</v>
      </c>
      <c r="L4976" s="200" t="s">
        <v>6508</v>
      </c>
      <c r="M4976" s="200"/>
      <c r="N4976" s="200" t="s">
        <v>3810</v>
      </c>
      <c r="O4976" s="200" t="s">
        <v>6509</v>
      </c>
      <c r="P4976" s="197" t="s">
        <v>461</v>
      </c>
      <c r="Q4976" s="200" t="s">
        <v>3946</v>
      </c>
      <c r="R4976" s="201" t="s">
        <v>5280</v>
      </c>
      <c r="S4976" s="390" t="s">
        <v>6923</v>
      </c>
      <c r="T4976" s="197" t="s">
        <v>6925</v>
      </c>
      <c r="U4976" s="197" t="s">
        <v>6924</v>
      </c>
      <c r="V4976" s="197" t="s">
        <v>3629</v>
      </c>
      <c r="W4976" s="319" t="s">
        <v>6922</v>
      </c>
      <c r="X4976" s="651" t="s">
        <v>10130</v>
      </c>
      <c r="Y4976" s="358" t="s">
        <v>7018</v>
      </c>
      <c r="Z4976" s="253">
        <v>118</v>
      </c>
      <c r="AA4976" s="253">
        <v>6.5</v>
      </c>
      <c r="AB4976" s="35">
        <f t="shared" ca="1" si="121"/>
        <v>0.65359432877624646</v>
      </c>
      <c r="AC4976" s="820"/>
      <c r="AD4976" s="821" t="s">
        <v>16972</v>
      </c>
      <c r="AE4976" s="967"/>
      <c r="AF4976" s="925">
        <f>IF(X4976=X4975,AF4975,0)+IF(ISNUMBER(I4976),IF(I4976&lt;1,I4976,I4976*VLOOKUP(J4976,Summary!$H$2:$I$9,2)),VLOOKUP(J4976,Summary!$J$2:$K$9,2)*IF(ISNUMBER(H4976),H4976,1))</f>
        <v>0.13015046296296295</v>
      </c>
      <c r="AG4976" s="293">
        <v>4975</v>
      </c>
      <c r="AH4976" s="94"/>
      <c r="AI4976" s="94"/>
    </row>
    <row r="4977" spans="1:35" s="22" customFormat="1" ht="12" customHeight="1" x14ac:dyDescent="0.2">
      <c r="A4977" s="614" t="s">
        <v>13231</v>
      </c>
      <c r="B4977" s="614">
        <v>11</v>
      </c>
      <c r="C4977" s="614">
        <v>270</v>
      </c>
      <c r="D4977" s="185" t="s">
        <v>8216</v>
      </c>
      <c r="E4977" s="314" t="s">
        <v>8241</v>
      </c>
      <c r="F4977" s="184">
        <v>41361</v>
      </c>
      <c r="G4977" s="184"/>
      <c r="H4977" s="185">
        <v>1</v>
      </c>
      <c r="I4977" s="185">
        <v>4</v>
      </c>
      <c r="J4977" s="901" t="s">
        <v>1796</v>
      </c>
      <c r="K4977" s="163" t="s">
        <v>8238</v>
      </c>
      <c r="L4977" s="163" t="s">
        <v>3832</v>
      </c>
      <c r="M4977" s="163" t="s">
        <v>254</v>
      </c>
      <c r="N4977" s="163" t="s">
        <v>7370</v>
      </c>
      <c r="O4977" s="163"/>
      <c r="P4977" s="182" t="s">
        <v>461</v>
      </c>
      <c r="Q4977" s="163" t="s">
        <v>729</v>
      </c>
      <c r="R4977" s="186" t="s">
        <v>4796</v>
      </c>
      <c r="S4977" s="355"/>
      <c r="T4977" s="182"/>
      <c r="U4977" s="182"/>
      <c r="V4977" s="182"/>
      <c r="W4977" s="314" t="s">
        <v>8241</v>
      </c>
      <c r="X4977" s="646" t="s">
        <v>10130</v>
      </c>
      <c r="Y4977" s="355"/>
      <c r="Z4977" s="185"/>
      <c r="AA4977" s="185"/>
      <c r="AB4977" s="33">
        <f t="shared" ca="1" si="121"/>
        <v>0.44186621061047249</v>
      </c>
      <c r="AC4977" s="813"/>
      <c r="AD4977" s="211"/>
      <c r="AE4977" s="941"/>
      <c r="AF4977" s="922">
        <f>IF(X4977=X4976,AF4976,0)+IF(ISNUMBER(I4977),IF(I4977&lt;1,I4977,I4977*VLOOKUP(J4977,Summary!$H$2:$I$9,2)),VLOOKUP(J4977,Summary!$J$2:$K$9,2)*IF(ISNUMBER(H4977),H4977,1))</f>
        <v>0.13153935185185184</v>
      </c>
      <c r="AG4977" s="290">
        <v>4976</v>
      </c>
      <c r="AH4977" s="94"/>
      <c r="AI4977" s="94"/>
    </row>
    <row r="4978" spans="1:35" s="58" customFormat="1" ht="12" customHeight="1" x14ac:dyDescent="0.25">
      <c r="A4978" s="613" t="s">
        <v>13231</v>
      </c>
      <c r="B4978" s="613">
        <v>11</v>
      </c>
      <c r="C4978" s="613"/>
      <c r="D4978" s="509" t="s">
        <v>3112</v>
      </c>
      <c r="E4978" s="335" t="s">
        <v>7951</v>
      </c>
      <c r="F4978" s="223">
        <v>41356</v>
      </c>
      <c r="G4978" s="223"/>
      <c r="H4978" s="242">
        <v>1</v>
      </c>
      <c r="I4978" s="792">
        <f>TIME(0,2,2)</f>
        <v>1.4120370370370369E-3</v>
      </c>
      <c r="J4978" s="909" t="s">
        <v>1588</v>
      </c>
      <c r="K4978" s="243" t="s">
        <v>3810</v>
      </c>
      <c r="L4978" s="243"/>
      <c r="M4978" s="243"/>
      <c r="N4978" s="243" t="s">
        <v>3810</v>
      </c>
      <c r="O4978" s="243" t="s">
        <v>6509</v>
      </c>
      <c r="P4978" s="241" t="s">
        <v>461</v>
      </c>
      <c r="Q4978" s="243" t="s">
        <v>3946</v>
      </c>
      <c r="R4978" s="244" t="s">
        <v>7896</v>
      </c>
      <c r="S4978" s="395"/>
      <c r="T4978" s="241"/>
      <c r="U4978" s="241"/>
      <c r="V4978" s="241"/>
      <c r="W4978" s="335" t="s">
        <v>10130</v>
      </c>
      <c r="X4978" s="667" t="s">
        <v>10130</v>
      </c>
      <c r="Y4978" s="375"/>
      <c r="Z4978" s="377"/>
      <c r="AA4978" s="377"/>
      <c r="AB4978" s="55">
        <f t="shared" ca="1" si="121"/>
        <v>0.69614170636275019</v>
      </c>
      <c r="AC4978" s="834"/>
      <c r="AD4978" s="835"/>
      <c r="AE4978" s="957"/>
      <c r="AF4978" s="930">
        <f>IF(X4978=X4977,AF4977,0)+IF(ISNUMBER(I4978),IF(I4978&lt;1,I4978,I4978*VLOOKUP(J4978,Summary!$H$2:$I$9,2)),VLOOKUP(J4978,Summary!$J$2:$K$9,2)*IF(ISNUMBER(H4978),H4978,1))</f>
        <v>0.13295138888888888</v>
      </c>
      <c r="AG4978" s="302">
        <v>4977</v>
      </c>
      <c r="AH4978" s="94"/>
      <c r="AI4978" s="94"/>
    </row>
    <row r="4979" spans="1:35" s="27" customFormat="1" ht="12" customHeight="1" x14ac:dyDescent="0.25">
      <c r="A4979" s="612" t="s">
        <v>13231</v>
      </c>
      <c r="B4979" s="612">
        <v>11</v>
      </c>
      <c r="C4979" s="612">
        <v>232</v>
      </c>
      <c r="D4979" s="424" t="s">
        <v>7392</v>
      </c>
      <c r="E4979" s="319" t="s">
        <v>7400</v>
      </c>
      <c r="F4979" s="198">
        <v>41363</v>
      </c>
      <c r="G4979" s="198"/>
      <c r="H4979" s="199">
        <v>1</v>
      </c>
      <c r="I4979" s="791">
        <f>TIME(0,45,14)</f>
        <v>3.1412037037037037E-2</v>
      </c>
      <c r="J4979" s="904" t="s">
        <v>1588</v>
      </c>
      <c r="K4979" s="200" t="s">
        <v>3810</v>
      </c>
      <c r="L4979" s="200" t="s">
        <v>2581</v>
      </c>
      <c r="M4979" s="200"/>
      <c r="N4979" s="200" t="s">
        <v>3810</v>
      </c>
      <c r="O4979" s="200" t="s">
        <v>6509</v>
      </c>
      <c r="P4979" s="197" t="s">
        <v>461</v>
      </c>
      <c r="Q4979" s="200" t="s">
        <v>3946</v>
      </c>
      <c r="R4979" s="201" t="s">
        <v>5280</v>
      </c>
      <c r="S4979" s="390" t="s">
        <v>6923</v>
      </c>
      <c r="T4979" s="197"/>
      <c r="U4979" s="197"/>
      <c r="V4979" s="197"/>
      <c r="W4979" s="319" t="s">
        <v>7400</v>
      </c>
      <c r="X4979" s="651" t="s">
        <v>10130</v>
      </c>
      <c r="Y4979" s="358" t="s">
        <v>7018</v>
      </c>
      <c r="Z4979" s="253">
        <v>211</v>
      </c>
      <c r="AA4979" s="253">
        <v>4.5</v>
      </c>
      <c r="AB4979" s="35">
        <f t="shared" ca="1" si="121"/>
        <v>0.1438754570386207</v>
      </c>
      <c r="AC4979" s="820"/>
      <c r="AD4979" s="821"/>
      <c r="AE4979" s="967"/>
      <c r="AF4979" s="925">
        <f>IF(X4979=X4978,AF4978,0)+IF(ISNUMBER(I4979),IF(I4979&lt;1,I4979,I4979*VLOOKUP(J4979,Summary!$H$2:$I$9,2)),VLOOKUP(J4979,Summary!$J$2:$K$9,2)*IF(ISNUMBER(H4979),H4979,1))</f>
        <v>0.16436342592592593</v>
      </c>
      <c r="AG4979" s="293">
        <v>4978</v>
      </c>
      <c r="AH4979" s="94"/>
      <c r="AI4979" s="94"/>
    </row>
    <row r="4980" spans="1:35" s="22" customFormat="1" ht="12" customHeight="1" x14ac:dyDescent="0.25">
      <c r="A4980" s="612" t="s">
        <v>13231</v>
      </c>
      <c r="B4980" s="612">
        <v>11</v>
      </c>
      <c r="C4980" s="612">
        <v>233</v>
      </c>
      <c r="D4980" s="424" t="s">
        <v>7393</v>
      </c>
      <c r="E4980" s="319" t="s">
        <v>7401</v>
      </c>
      <c r="F4980" s="198">
        <v>41370</v>
      </c>
      <c r="G4980" s="198"/>
      <c r="H4980" s="199">
        <v>1</v>
      </c>
      <c r="I4980" s="791">
        <f>TIME(0,43,45)</f>
        <v>3.0381944444444444E-2</v>
      </c>
      <c r="J4980" s="904" t="s">
        <v>1588</v>
      </c>
      <c r="K4980" s="200" t="s">
        <v>7407</v>
      </c>
      <c r="L4980" s="200" t="s">
        <v>2908</v>
      </c>
      <c r="M4980" s="200"/>
      <c r="N4980" s="200" t="s">
        <v>3810</v>
      </c>
      <c r="O4980" s="200" t="s">
        <v>6509</v>
      </c>
      <c r="P4980" s="197" t="s">
        <v>461</v>
      </c>
      <c r="Q4980" s="200" t="s">
        <v>3946</v>
      </c>
      <c r="R4980" s="201" t="s">
        <v>5280</v>
      </c>
      <c r="S4980" s="390" t="s">
        <v>6923</v>
      </c>
      <c r="T4980" s="197"/>
      <c r="U4980" s="197"/>
      <c r="V4980" s="197"/>
      <c r="W4980" s="319" t="s">
        <v>7401</v>
      </c>
      <c r="X4980" s="651" t="s">
        <v>10130</v>
      </c>
      <c r="Y4980" s="358" t="s">
        <v>7018</v>
      </c>
      <c r="Z4980" s="253">
        <v>182</v>
      </c>
      <c r="AA4980" s="253">
        <v>5</v>
      </c>
      <c r="AB4980" s="35">
        <f t="shared" ca="1" si="121"/>
        <v>0.99425274588046209</v>
      </c>
      <c r="AC4980" s="820"/>
      <c r="AD4980" s="821"/>
      <c r="AE4980" s="967"/>
      <c r="AF4980" s="925">
        <f>IF(X4980=X4979,AF4979,0)+IF(ISNUMBER(I4980),IF(I4980&lt;1,I4980,I4980*VLOOKUP(J4980,Summary!$H$2:$I$9,2)),VLOOKUP(J4980,Summary!$J$2:$K$9,2)*IF(ISNUMBER(H4980),H4980,1))</f>
        <v>0.19474537037037037</v>
      </c>
      <c r="AG4980" s="293">
        <v>4979</v>
      </c>
      <c r="AH4980" s="94"/>
      <c r="AI4980" s="94"/>
    </row>
    <row r="4981" spans="1:35" s="1" customFormat="1" ht="12" customHeight="1" x14ac:dyDescent="0.25">
      <c r="A4981" s="614" t="s">
        <v>13231</v>
      </c>
      <c r="B4981" s="614">
        <v>11</v>
      </c>
      <c r="C4981" s="614">
        <v>271</v>
      </c>
      <c r="D4981" s="185" t="s">
        <v>8242</v>
      </c>
      <c r="E4981" s="314" t="s">
        <v>8243</v>
      </c>
      <c r="F4981" s="184">
        <v>41368</v>
      </c>
      <c r="G4981" s="184"/>
      <c r="H4981" s="185">
        <v>1</v>
      </c>
      <c r="I4981" s="185">
        <v>4</v>
      </c>
      <c r="J4981" s="901" t="s">
        <v>1796</v>
      </c>
      <c r="K4981" s="163" t="s">
        <v>4672</v>
      </c>
      <c r="L4981" s="163" t="s">
        <v>3832</v>
      </c>
      <c r="M4981" s="163" t="s">
        <v>254</v>
      </c>
      <c r="N4981" s="163" t="s">
        <v>7370</v>
      </c>
      <c r="O4981" s="163"/>
      <c r="P4981" s="182" t="s">
        <v>461</v>
      </c>
      <c r="Q4981" s="163" t="s">
        <v>729</v>
      </c>
      <c r="R4981" s="186" t="s">
        <v>4796</v>
      </c>
      <c r="S4981" s="355" t="s">
        <v>6923</v>
      </c>
      <c r="T4981" s="182"/>
      <c r="U4981" s="182"/>
      <c r="V4981" s="182"/>
      <c r="W4981" s="314" t="s">
        <v>8243</v>
      </c>
      <c r="X4981" s="646" t="s">
        <v>10130</v>
      </c>
      <c r="Y4981" s="355"/>
      <c r="Z4981" s="185"/>
      <c r="AA4981" s="185"/>
      <c r="AB4981" s="33">
        <f t="shared" ca="1" si="121"/>
        <v>0.9774663915288031</v>
      </c>
      <c r="AC4981" s="813"/>
      <c r="AD4981" s="211"/>
      <c r="AE4981" s="941"/>
      <c r="AF4981" s="922">
        <f>IF(X4981=X4980,AF4980,0)+IF(ISNUMBER(I4981),IF(I4981&lt;1,I4981,I4981*VLOOKUP(J4981,Summary!$H$2:$I$9,2)),VLOOKUP(J4981,Summary!$J$2:$K$9,2)*IF(ISNUMBER(H4981),H4981,1))</f>
        <v>0.19613425925925926</v>
      </c>
      <c r="AG4981" s="290">
        <v>4980</v>
      </c>
      <c r="AH4981" s="94"/>
      <c r="AI4981" s="94"/>
    </row>
    <row r="4982" spans="1:35" s="58" customFormat="1" ht="12" customHeight="1" x14ac:dyDescent="0.25">
      <c r="A4982" s="588" t="s">
        <v>13231</v>
      </c>
      <c r="B4982" s="589" t="s">
        <v>2650</v>
      </c>
      <c r="C4982" s="588"/>
      <c r="D4982" s="509" t="s">
        <v>7996</v>
      </c>
      <c r="E4982" s="335" t="s">
        <v>7997</v>
      </c>
      <c r="F4982" s="223">
        <v>41541</v>
      </c>
      <c r="G4982" s="223"/>
      <c r="H4982" s="242">
        <v>1</v>
      </c>
      <c r="I4982" s="792">
        <f>TIME(0,2,15)</f>
        <v>1.5624999999999999E-3</v>
      </c>
      <c r="J4982" s="909" t="s">
        <v>1588</v>
      </c>
      <c r="K4982" s="243" t="s">
        <v>3810</v>
      </c>
      <c r="L4982" s="243"/>
      <c r="M4982" s="243"/>
      <c r="N4982" s="243" t="s">
        <v>3810</v>
      </c>
      <c r="O4982" s="243"/>
      <c r="P4982" s="241" t="s">
        <v>461</v>
      </c>
      <c r="Q4982" s="243" t="s">
        <v>3946</v>
      </c>
      <c r="R4982" s="244" t="s">
        <v>237</v>
      </c>
      <c r="S4982" s="395" t="s">
        <v>6923</v>
      </c>
      <c r="T4982" s="241"/>
      <c r="U4982" s="241"/>
      <c r="V4982" s="241"/>
      <c r="W4982" s="335" t="s">
        <v>7997</v>
      </c>
      <c r="X4982" s="667" t="s">
        <v>10130</v>
      </c>
      <c r="Y4982" s="375"/>
      <c r="Z4982" s="377"/>
      <c r="AA4982" s="377"/>
      <c r="AB4982" s="55">
        <f t="shared" ca="1" si="121"/>
        <v>0.54968554030388428</v>
      </c>
      <c r="AC4982" s="834"/>
      <c r="AD4982" s="835"/>
      <c r="AE4982" s="957"/>
      <c r="AF4982" s="930">
        <f>IF(X4982=X4981,AF4981,0)+IF(ISNUMBER(I4982),IF(I4982&lt;1,I4982,I4982*VLOOKUP(J4982,Summary!$H$2:$I$9,2)),VLOOKUP(J4982,Summary!$J$2:$K$9,2)*IF(ISNUMBER(H4982),H4982,1))</f>
        <v>0.19769675925925925</v>
      </c>
      <c r="AG4982" s="302">
        <v>4981</v>
      </c>
      <c r="AH4982" s="94"/>
      <c r="AI4982" s="94"/>
    </row>
    <row r="4983" spans="1:35" s="142" customFormat="1" ht="12" customHeight="1" x14ac:dyDescent="0.25">
      <c r="A4983" s="614" t="s">
        <v>13231</v>
      </c>
      <c r="B4983" s="614">
        <v>11</v>
      </c>
      <c r="C4983" s="614">
        <v>272</v>
      </c>
      <c r="D4983" s="185" t="s">
        <v>8244</v>
      </c>
      <c r="E4983" s="314" t="s">
        <v>8259</v>
      </c>
      <c r="F4983" s="184">
        <v>41375</v>
      </c>
      <c r="G4983" s="184"/>
      <c r="H4983" s="185">
        <v>1</v>
      </c>
      <c r="I4983" s="185">
        <v>4</v>
      </c>
      <c r="J4983" s="901" t="s">
        <v>1796</v>
      </c>
      <c r="K4983" s="163" t="s">
        <v>5317</v>
      </c>
      <c r="L4983" s="163" t="s">
        <v>3832</v>
      </c>
      <c r="M4983" s="163" t="s">
        <v>254</v>
      </c>
      <c r="N4983" s="163" t="s">
        <v>7370</v>
      </c>
      <c r="O4983" s="163"/>
      <c r="P4983" s="182" t="s">
        <v>461</v>
      </c>
      <c r="Q4983" s="163" t="s">
        <v>729</v>
      </c>
      <c r="R4983" s="186" t="s">
        <v>4796</v>
      </c>
      <c r="S4983" s="355" t="s">
        <v>6923</v>
      </c>
      <c r="T4983" s="182"/>
      <c r="U4983" s="182"/>
      <c r="V4983" s="182"/>
      <c r="W4983" s="314" t="s">
        <v>8259</v>
      </c>
      <c r="X4983" s="646" t="s">
        <v>10130</v>
      </c>
      <c r="Y4983" s="355"/>
      <c r="Z4983" s="185"/>
      <c r="AA4983" s="185"/>
      <c r="AB4983" s="33">
        <f t="shared" ca="1" si="121"/>
        <v>0.32419879415782427</v>
      </c>
      <c r="AC4983" s="813"/>
      <c r="AD4983" s="211"/>
      <c r="AE4983" s="941"/>
      <c r="AF4983" s="922">
        <f>IF(X4983=X4982,AF4982,0)+IF(ISNUMBER(I4983),IF(I4983&lt;1,I4983,I4983*VLOOKUP(J4983,Summary!$H$2:$I$9,2)),VLOOKUP(J4983,Summary!$J$2:$K$9,2)*IF(ISNUMBER(H4983),H4983,1))</f>
        <v>0.19908564814814814</v>
      </c>
      <c r="AG4983" s="290">
        <v>4982</v>
      </c>
      <c r="AH4983" s="94"/>
      <c r="AI4983" s="94"/>
    </row>
    <row r="4984" spans="1:35" s="1" customFormat="1" ht="12" customHeight="1" x14ac:dyDescent="0.25">
      <c r="A4984" s="614" t="s">
        <v>13231</v>
      </c>
      <c r="B4984" s="614">
        <v>11</v>
      </c>
      <c r="C4984" s="614">
        <v>273</v>
      </c>
      <c r="D4984" s="185" t="s">
        <v>8257</v>
      </c>
      <c r="E4984" s="314" t="s">
        <v>8260</v>
      </c>
      <c r="F4984" s="184">
        <v>41382</v>
      </c>
      <c r="G4984" s="184"/>
      <c r="H4984" s="185">
        <v>1</v>
      </c>
      <c r="I4984" s="185">
        <v>4</v>
      </c>
      <c r="J4984" s="901" t="s">
        <v>1796</v>
      </c>
      <c r="K4984" s="163" t="s">
        <v>4147</v>
      </c>
      <c r="L4984" s="163" t="s">
        <v>3832</v>
      </c>
      <c r="M4984" s="163" t="s">
        <v>254</v>
      </c>
      <c r="N4984" s="163" t="s">
        <v>7370</v>
      </c>
      <c r="O4984" s="163"/>
      <c r="P4984" s="182" t="s">
        <v>461</v>
      </c>
      <c r="Q4984" s="163" t="s">
        <v>729</v>
      </c>
      <c r="R4984" s="186" t="s">
        <v>4796</v>
      </c>
      <c r="S4984" s="355" t="s">
        <v>6923</v>
      </c>
      <c r="T4984" s="182"/>
      <c r="U4984" s="182"/>
      <c r="V4984" s="182"/>
      <c r="W4984" s="314" t="s">
        <v>8260</v>
      </c>
      <c r="X4984" s="646" t="s">
        <v>10130</v>
      </c>
      <c r="Y4984" s="355"/>
      <c r="Z4984" s="185"/>
      <c r="AA4984" s="185"/>
      <c r="AB4984" s="33">
        <f t="shared" ca="1" si="121"/>
        <v>0.75687767281891893</v>
      </c>
      <c r="AC4984" s="813"/>
      <c r="AD4984" s="211"/>
      <c r="AE4984" s="941"/>
      <c r="AF4984" s="922">
        <f>IF(X4984=X4983,AF4983,0)+IF(ISNUMBER(I4984),IF(I4984&lt;1,I4984,I4984*VLOOKUP(J4984,Summary!$H$2:$I$9,2)),VLOOKUP(J4984,Summary!$J$2:$K$9,2)*IF(ISNUMBER(H4984),H4984,1))</f>
        <v>0.20047453703703702</v>
      </c>
      <c r="AG4984" s="290">
        <v>4983</v>
      </c>
      <c r="AH4984" s="94"/>
      <c r="AI4984" s="94"/>
    </row>
    <row r="4985" spans="1:35" s="9" customFormat="1" ht="12" customHeight="1" x14ac:dyDescent="0.25">
      <c r="A4985" s="614" t="s">
        <v>13231</v>
      </c>
      <c r="B4985" s="614">
        <v>11</v>
      </c>
      <c r="C4985" s="614">
        <v>274</v>
      </c>
      <c r="D4985" s="185" t="s">
        <v>8258</v>
      </c>
      <c r="E4985" s="314" t="s">
        <v>8261</v>
      </c>
      <c r="F4985" s="184">
        <v>41389</v>
      </c>
      <c r="G4985" s="184"/>
      <c r="H4985" s="185">
        <v>1</v>
      </c>
      <c r="I4985" s="185">
        <v>4</v>
      </c>
      <c r="J4985" s="901" t="s">
        <v>1796</v>
      </c>
      <c r="K4985" s="163" t="s">
        <v>8273</v>
      </c>
      <c r="L4985" s="163" t="s">
        <v>3832</v>
      </c>
      <c r="M4985" s="163" t="s">
        <v>254</v>
      </c>
      <c r="N4985" s="163" t="s">
        <v>7370</v>
      </c>
      <c r="O4985" s="163"/>
      <c r="P4985" s="182" t="s">
        <v>461</v>
      </c>
      <c r="Q4985" s="163" t="s">
        <v>729</v>
      </c>
      <c r="R4985" s="186" t="s">
        <v>4796</v>
      </c>
      <c r="S4985" s="355" t="s">
        <v>6923</v>
      </c>
      <c r="T4985" s="182"/>
      <c r="U4985" s="182"/>
      <c r="V4985" s="182"/>
      <c r="W4985" s="314" t="s">
        <v>8261</v>
      </c>
      <c r="X4985" s="646" t="s">
        <v>10130</v>
      </c>
      <c r="Y4985" s="355"/>
      <c r="Z4985" s="185"/>
      <c r="AA4985" s="185"/>
      <c r="AB4985" s="33">
        <f t="shared" ca="1" si="121"/>
        <v>0.41984214099638972</v>
      </c>
      <c r="AC4985" s="813"/>
      <c r="AD4985" s="211"/>
      <c r="AE4985" s="941"/>
      <c r="AF4985" s="922">
        <f>IF(X4985=X4984,AF4984,0)+IF(ISNUMBER(I4985),IF(I4985&lt;1,I4985,I4985*VLOOKUP(J4985,Summary!$H$2:$I$9,2)),VLOOKUP(J4985,Summary!$J$2:$K$9,2)*IF(ISNUMBER(H4985),H4985,1))</f>
        <v>0.2018634259259259</v>
      </c>
      <c r="AG4985" s="290">
        <v>4984</v>
      </c>
      <c r="AH4985" s="94"/>
      <c r="AI4985" s="94"/>
    </row>
    <row r="4986" spans="1:35" s="22" customFormat="1" ht="12" customHeight="1" x14ac:dyDescent="0.2">
      <c r="A4986" s="614" t="s">
        <v>13231</v>
      </c>
      <c r="B4986" s="614">
        <v>11</v>
      </c>
      <c r="C4986" s="614">
        <v>11</v>
      </c>
      <c r="D4986" s="185" t="s">
        <v>8331</v>
      </c>
      <c r="E4986" s="314" t="s">
        <v>8335</v>
      </c>
      <c r="F4986" s="184">
        <v>41591</v>
      </c>
      <c r="G4986" s="184"/>
      <c r="H4986" s="185">
        <v>1</v>
      </c>
      <c r="I4986" s="185">
        <v>20</v>
      </c>
      <c r="J4986" s="901" t="s">
        <v>1796</v>
      </c>
      <c r="K4986" s="163" t="s">
        <v>8333</v>
      </c>
      <c r="L4986" s="163" t="s">
        <v>2335</v>
      </c>
      <c r="M4986" s="163"/>
      <c r="N4986" s="163" t="s">
        <v>6573</v>
      </c>
      <c r="O4986" s="163"/>
      <c r="P4986" s="182" t="s">
        <v>461</v>
      </c>
      <c r="Q4986" s="163" t="s">
        <v>5719</v>
      </c>
      <c r="R4986" s="186" t="s">
        <v>5718</v>
      </c>
      <c r="S4986" s="355" t="s">
        <v>6923</v>
      </c>
      <c r="T4986" s="182"/>
      <c r="U4986" s="182"/>
      <c r="V4986" s="182"/>
      <c r="W4986" s="314" t="s">
        <v>4652</v>
      </c>
      <c r="X4986" s="646" t="s">
        <v>10130</v>
      </c>
      <c r="Y4986" s="355" t="s">
        <v>6000</v>
      </c>
      <c r="Z4986" s="185">
        <v>999</v>
      </c>
      <c r="AA4986" s="185"/>
      <c r="AB4986" s="33">
        <f t="shared" ca="1" si="121"/>
        <v>0.16992963209227907</v>
      </c>
      <c r="AC4986" s="813"/>
      <c r="AD4986" s="211"/>
      <c r="AE4986" s="949"/>
      <c r="AF4986" s="922">
        <f>IF(X4986=X4985,AF4985,0)+IF(ISNUMBER(I4986),IF(I4986&lt;1,I4986,I4986*VLOOKUP(J4986,Summary!$H$2:$I$9,2)),VLOOKUP(J4986,Summary!$J$2:$K$9,2)*IF(ISNUMBER(H4986),H4986,1))</f>
        <v>0.20880787037037035</v>
      </c>
      <c r="AG4986" s="295">
        <v>4985</v>
      </c>
      <c r="AH4986" s="94"/>
      <c r="AI4986" s="94"/>
    </row>
    <row r="4987" spans="1:35" s="22" customFormat="1" ht="12" customHeight="1" x14ac:dyDescent="0.2">
      <c r="A4987" s="614" t="s">
        <v>13231</v>
      </c>
      <c r="B4987" s="614">
        <v>11</v>
      </c>
      <c r="C4987" s="614">
        <v>12</v>
      </c>
      <c r="D4987" s="185" t="s">
        <v>8332</v>
      </c>
      <c r="E4987" s="314" t="s">
        <v>8336</v>
      </c>
      <c r="F4987" s="184">
        <v>41598</v>
      </c>
      <c r="G4987" s="184"/>
      <c r="H4987" s="185">
        <v>1</v>
      </c>
      <c r="I4987" s="185">
        <v>20</v>
      </c>
      <c r="J4987" s="901" t="s">
        <v>1796</v>
      </c>
      <c r="K4987" s="163" t="s">
        <v>8333</v>
      </c>
      <c r="L4987" s="163" t="s">
        <v>5716</v>
      </c>
      <c r="M4987" s="163"/>
      <c r="N4987" s="163" t="s">
        <v>6573</v>
      </c>
      <c r="O4987" s="163"/>
      <c r="P4987" s="182" t="s">
        <v>461</v>
      </c>
      <c r="Q4987" s="163" t="s">
        <v>5719</v>
      </c>
      <c r="R4987" s="186" t="s">
        <v>5718</v>
      </c>
      <c r="S4987" s="355"/>
      <c r="T4987" s="797" t="s">
        <v>8334</v>
      </c>
      <c r="U4987" s="182" t="s">
        <v>8337</v>
      </c>
      <c r="V4987" s="182"/>
      <c r="W4987" s="314" t="s">
        <v>4391</v>
      </c>
      <c r="X4987" s="646" t="s">
        <v>10130</v>
      </c>
      <c r="Y4987" s="355" t="s">
        <v>6000</v>
      </c>
      <c r="Z4987" s="185">
        <v>999</v>
      </c>
      <c r="AA4987" s="185"/>
      <c r="AB4987" s="33">
        <f t="shared" ca="1" si="121"/>
        <v>0.25869481196807098</v>
      </c>
      <c r="AC4987" s="813"/>
      <c r="AD4987" s="211"/>
      <c r="AE4987" s="949"/>
      <c r="AF4987" s="922">
        <f>IF(X4987=X4986,AF4986,0)+IF(ISNUMBER(I4987),IF(I4987&lt;1,I4987,I4987*VLOOKUP(J4987,Summary!$H$2:$I$9,2)),VLOOKUP(J4987,Summary!$J$2:$K$9,2)*IF(ISNUMBER(H4987),H4987,1))</f>
        <v>0.2157523148148148</v>
      </c>
      <c r="AG4987" s="295">
        <v>4986</v>
      </c>
      <c r="AH4987" s="94"/>
      <c r="AI4987" s="94"/>
    </row>
    <row r="4988" spans="1:35" s="57" customFormat="1" ht="12" customHeight="1" x14ac:dyDescent="0.25">
      <c r="A4988" s="614" t="s">
        <v>13231</v>
      </c>
      <c r="B4988" s="614">
        <v>11</v>
      </c>
      <c r="C4988" s="614">
        <v>157</v>
      </c>
      <c r="D4988" s="185" t="s">
        <v>8289</v>
      </c>
      <c r="E4988" s="314" t="s">
        <v>8290</v>
      </c>
      <c r="F4988" s="184">
        <v>41452</v>
      </c>
      <c r="G4988" s="183">
        <v>41518</v>
      </c>
      <c r="H4988" s="185">
        <v>3</v>
      </c>
      <c r="I4988" s="185">
        <v>36</v>
      </c>
      <c r="J4988" s="901" t="s">
        <v>1796</v>
      </c>
      <c r="K4988" s="163" t="s">
        <v>5251</v>
      </c>
      <c r="L4988" s="163" t="s">
        <v>8291</v>
      </c>
      <c r="M4988" s="163" t="s">
        <v>252</v>
      </c>
      <c r="N4988" s="163" t="s">
        <v>5742</v>
      </c>
      <c r="O4988" s="163"/>
      <c r="P4988" s="182" t="s">
        <v>461</v>
      </c>
      <c r="Q4988" s="163" t="s">
        <v>4104</v>
      </c>
      <c r="R4988" s="186" t="s">
        <v>5266</v>
      </c>
      <c r="S4988" s="355" t="s">
        <v>2614</v>
      </c>
      <c r="T4988" s="182" t="s">
        <v>1738</v>
      </c>
      <c r="U4988" s="182"/>
      <c r="V4988" s="182"/>
      <c r="W4988" s="314"/>
      <c r="X4988" s="646" t="s">
        <v>10130</v>
      </c>
      <c r="Y4988" s="355"/>
      <c r="Z4988" s="185"/>
      <c r="AA4988" s="185"/>
      <c r="AB4988" s="33">
        <f t="shared" ca="1" si="121"/>
        <v>0.93496350239714099</v>
      </c>
      <c r="AC4988" s="813"/>
      <c r="AD4988" s="211"/>
      <c r="AE4988" s="941"/>
      <c r="AF4988" s="922">
        <f>IF(X4988=X4987,AF4987,0)+IF(ISNUMBER(I4988),IF(I4988&lt;1,I4988,I4988*VLOOKUP(J4988,Summary!$H$2:$I$9,2)),VLOOKUP(J4988,Summary!$J$2:$K$9,2)*IF(ISNUMBER(H4988),H4988,1))</f>
        <v>0.22825231481481481</v>
      </c>
      <c r="AG4988" s="290">
        <v>4987</v>
      </c>
      <c r="AH4988" s="94"/>
      <c r="AI4988" s="94"/>
    </row>
    <row r="4989" spans="1:35" s="58" customFormat="1" ht="12" customHeight="1" x14ac:dyDescent="0.25">
      <c r="A4989" s="408" t="s">
        <v>13231</v>
      </c>
      <c r="B4989" s="408" t="s">
        <v>2650</v>
      </c>
      <c r="C4989" s="408">
        <v>11</v>
      </c>
      <c r="D4989" s="176" t="s">
        <v>12606</v>
      </c>
      <c r="E4989" s="313" t="s">
        <v>12608</v>
      </c>
      <c r="F4989" s="175">
        <v>42915</v>
      </c>
      <c r="G4989" s="174"/>
      <c r="H4989" s="176" t="s">
        <v>461</v>
      </c>
      <c r="I4989" s="176"/>
      <c r="J4989" s="900" t="s">
        <v>2755</v>
      </c>
      <c r="K4989" s="164" t="s">
        <v>2675</v>
      </c>
      <c r="L4989" s="164" t="s">
        <v>3551</v>
      </c>
      <c r="M4989" s="164"/>
      <c r="N4989" s="164"/>
      <c r="O4989" s="164"/>
      <c r="P4989" s="173" t="s">
        <v>12587</v>
      </c>
      <c r="Q4989" s="164" t="s">
        <v>3953</v>
      </c>
      <c r="R4989" s="177" t="s">
        <v>12588</v>
      </c>
      <c r="S4989" s="354"/>
      <c r="T4989" s="173"/>
      <c r="U4989" s="173"/>
      <c r="V4989" s="173"/>
      <c r="W4989" s="313" t="s">
        <v>12608</v>
      </c>
      <c r="X4989" s="645" t="s">
        <v>10130</v>
      </c>
      <c r="Y4989" s="354"/>
      <c r="Z4989" s="176"/>
      <c r="AA4989" s="176"/>
      <c r="AB4989" s="32">
        <f t="shared" ca="1" si="121"/>
        <v>0.71666481174021879</v>
      </c>
      <c r="AC4989" s="812"/>
      <c r="AD4989" s="763"/>
      <c r="AE4989" s="807"/>
      <c r="AF4989" s="921">
        <f>IF(X4989=X4988,AF4988,0)+IF(ISNUMBER(I4989),IF(I4989&lt;1,I4989,I4989*VLOOKUP(J4989,Summary!$H$2:$I$9,2)),VLOOKUP(J4989,Summary!$J$2:$K$9,2)*IF(ISNUMBER(H4989),H4989,1))</f>
        <v>0.24561342592592592</v>
      </c>
      <c r="AG4989" s="289">
        <v>4988</v>
      </c>
      <c r="AH4989" s="94"/>
      <c r="AI4989" s="94"/>
    </row>
    <row r="4990" spans="1:35" s="22" customFormat="1" ht="12" customHeight="1" x14ac:dyDescent="0.25">
      <c r="A4990" s="612" t="s">
        <v>13231</v>
      </c>
      <c r="B4990" s="612">
        <v>11</v>
      </c>
      <c r="C4990" s="612">
        <v>234</v>
      </c>
      <c r="D4990" s="424" t="s">
        <v>7394</v>
      </c>
      <c r="E4990" s="319" t="s">
        <v>665</v>
      </c>
      <c r="F4990" s="198">
        <v>41377</v>
      </c>
      <c r="G4990" s="198"/>
      <c r="H4990" s="199">
        <v>1</v>
      </c>
      <c r="I4990" s="791">
        <f>TIME(0,41,23)</f>
        <v>2.8738425925925928E-2</v>
      </c>
      <c r="J4990" s="904" t="s">
        <v>1588</v>
      </c>
      <c r="K4990" s="200" t="s">
        <v>4964</v>
      </c>
      <c r="L4990" s="200" t="s">
        <v>1594</v>
      </c>
      <c r="M4990" s="200"/>
      <c r="N4990" s="200" t="s">
        <v>3810</v>
      </c>
      <c r="O4990" s="200" t="s">
        <v>6509</v>
      </c>
      <c r="P4990" s="197" t="s">
        <v>461</v>
      </c>
      <c r="Q4990" s="200" t="s">
        <v>3946</v>
      </c>
      <c r="R4990" s="201" t="s">
        <v>5280</v>
      </c>
      <c r="S4990" s="390" t="s">
        <v>6923</v>
      </c>
      <c r="T4990" s="197"/>
      <c r="U4990" s="197"/>
      <c r="V4990" s="197"/>
      <c r="W4990" s="319" t="s">
        <v>665</v>
      </c>
      <c r="X4990" s="651" t="s">
        <v>10130</v>
      </c>
      <c r="Y4990" s="358" t="s">
        <v>7018</v>
      </c>
      <c r="Z4990" s="253">
        <v>278</v>
      </c>
      <c r="AA4990" s="253">
        <v>2.5</v>
      </c>
      <c r="AB4990" s="35">
        <f t="shared" ca="1" si="121"/>
        <v>0.99524705494809595</v>
      </c>
      <c r="AC4990" s="820"/>
      <c r="AD4990" s="821"/>
      <c r="AE4990" s="967"/>
      <c r="AF4990" s="925">
        <f>IF(X4990=X4989,AF4989,0)+IF(ISNUMBER(I4990),IF(I4990&lt;1,I4990,I4990*VLOOKUP(J4990,Summary!$H$2:$I$9,2)),VLOOKUP(J4990,Summary!$J$2:$K$9,2)*IF(ISNUMBER(H4990),H4990,1))</f>
        <v>0.27435185185185185</v>
      </c>
      <c r="AG4990" s="293">
        <v>4989</v>
      </c>
      <c r="AH4990" s="94"/>
      <c r="AI4990" s="94"/>
    </row>
    <row r="4991" spans="1:35" s="1" customFormat="1" ht="12" customHeight="1" x14ac:dyDescent="0.25">
      <c r="A4991" s="615" t="s">
        <v>13231</v>
      </c>
      <c r="B4991" s="615">
        <v>11</v>
      </c>
      <c r="C4991" s="615">
        <v>53</v>
      </c>
      <c r="D4991" s="417" t="s">
        <v>8309</v>
      </c>
      <c r="E4991" s="316" t="s">
        <v>8310</v>
      </c>
      <c r="F4991" s="195">
        <v>41372</v>
      </c>
      <c r="G4991" s="195"/>
      <c r="H4991" s="188" t="str">
        <f>IF(J4991="Book","n/a","")</f>
        <v>n/a</v>
      </c>
      <c r="I4991" s="188">
        <v>258</v>
      </c>
      <c r="J4991" s="902" t="s">
        <v>6868</v>
      </c>
      <c r="K4991" s="162" t="s">
        <v>8311</v>
      </c>
      <c r="L4991" s="162" t="str">
        <f>IF(J4991="Book","n/a","")</f>
        <v>n/a</v>
      </c>
      <c r="M4991" s="162"/>
      <c r="N4991" s="162"/>
      <c r="O4991" s="162"/>
      <c r="P4991" s="178" t="s">
        <v>8312</v>
      </c>
      <c r="Q4991" s="162" t="s">
        <v>3953</v>
      </c>
      <c r="R4991" s="189" t="s">
        <v>2711</v>
      </c>
      <c r="S4991" s="366"/>
      <c r="T4991" s="178"/>
      <c r="U4991" s="178"/>
      <c r="V4991" s="178"/>
      <c r="W4991" s="316" t="s">
        <v>8310</v>
      </c>
      <c r="X4991" s="648" t="s">
        <v>10130</v>
      </c>
      <c r="Y4991" s="356"/>
      <c r="Z4991" s="272"/>
      <c r="AA4991" s="272"/>
      <c r="AB4991" s="34">
        <f t="shared" ca="1" si="121"/>
        <v>0.66607104922534377</v>
      </c>
      <c r="AC4991" s="814"/>
      <c r="AD4991" s="815"/>
      <c r="AE4991" s="942"/>
      <c r="AF4991" s="923">
        <f>IF(X4991=X4990,AF4990,0)+IF(ISNUMBER(I4991),IF(I4991&lt;1,I4991,I4991*VLOOKUP(J4991,Summary!$H$2:$I$9,2)),VLOOKUP(J4991,Summary!$J$2:$K$9,2)*IF(ISNUMBER(H4991),H4991,1))</f>
        <v>0.45351851851851854</v>
      </c>
      <c r="AG4991" s="291">
        <v>4990</v>
      </c>
      <c r="AH4991" s="94"/>
      <c r="AI4991" s="94"/>
    </row>
    <row r="4992" spans="1:35" s="22" customFormat="1" ht="12" customHeight="1" x14ac:dyDescent="0.25">
      <c r="A4992" s="612" t="s">
        <v>13231</v>
      </c>
      <c r="B4992" s="612">
        <v>11</v>
      </c>
      <c r="C4992" s="612">
        <v>235</v>
      </c>
      <c r="D4992" s="424" t="s">
        <v>7395</v>
      </c>
      <c r="E4992" s="319" t="s">
        <v>7402</v>
      </c>
      <c r="F4992" s="198">
        <v>41384</v>
      </c>
      <c r="G4992" s="198"/>
      <c r="H4992" s="199">
        <v>1</v>
      </c>
      <c r="I4992" s="791">
        <f>TIME(0,44,45)</f>
        <v>3.107638888888889E-2</v>
      </c>
      <c r="J4992" s="904" t="s">
        <v>1588</v>
      </c>
      <c r="K4992" s="200" t="s">
        <v>7407</v>
      </c>
      <c r="L4992" s="200" t="s">
        <v>2582</v>
      </c>
      <c r="M4992" s="200"/>
      <c r="N4992" s="200" t="s">
        <v>3810</v>
      </c>
      <c r="O4992" s="200" t="s">
        <v>6509</v>
      </c>
      <c r="P4992" s="197" t="s">
        <v>461</v>
      </c>
      <c r="Q4992" s="200" t="s">
        <v>3946</v>
      </c>
      <c r="R4992" s="201" t="s">
        <v>5280</v>
      </c>
      <c r="S4992" s="390" t="s">
        <v>6923</v>
      </c>
      <c r="T4992" s="197"/>
      <c r="U4992" s="197"/>
      <c r="V4992" s="197"/>
      <c r="W4992" s="319" t="s">
        <v>7402</v>
      </c>
      <c r="X4992" s="651" t="s">
        <v>10130</v>
      </c>
      <c r="Y4992" s="358" t="s">
        <v>7018</v>
      </c>
      <c r="Z4992" s="253">
        <v>68</v>
      </c>
      <c r="AA4992" s="253">
        <v>7.5</v>
      </c>
      <c r="AB4992" s="35">
        <f t="shared" ca="1" si="121"/>
        <v>3.6188461026838925E-2</v>
      </c>
      <c r="AC4992" s="820"/>
      <c r="AD4992" s="821"/>
      <c r="AE4992" s="967"/>
      <c r="AF4992" s="925">
        <f>IF(X4992=X4991,AF4991,0)+IF(ISNUMBER(I4992),IF(I4992&lt;1,I4992,I4992*VLOOKUP(J4992,Summary!$H$2:$I$9,2)),VLOOKUP(J4992,Summary!$J$2:$K$9,2)*IF(ISNUMBER(H4992),H4992,1))</f>
        <v>0.4845949074074074</v>
      </c>
      <c r="AG4992" s="293">
        <v>4991</v>
      </c>
      <c r="AH4992" s="94"/>
      <c r="AI4992" s="94"/>
    </row>
    <row r="4993" spans="1:35" s="22" customFormat="1" ht="12" customHeight="1" x14ac:dyDescent="0.2">
      <c r="A4993" s="614" t="s">
        <v>13231</v>
      </c>
      <c r="B4993" s="614">
        <v>11</v>
      </c>
      <c r="C4993" s="614">
        <v>275</v>
      </c>
      <c r="D4993" s="185" t="s">
        <v>8255</v>
      </c>
      <c r="E4993" s="314" t="s">
        <v>8262</v>
      </c>
      <c r="F4993" s="184">
        <v>41396</v>
      </c>
      <c r="G4993" s="184"/>
      <c r="H4993" s="185">
        <v>1</v>
      </c>
      <c r="I4993" s="185">
        <v>4</v>
      </c>
      <c r="J4993" s="901" t="s">
        <v>1796</v>
      </c>
      <c r="K4993" s="163" t="s">
        <v>176</v>
      </c>
      <c r="L4993" s="163" t="s">
        <v>3832</v>
      </c>
      <c r="M4993" s="163" t="s">
        <v>254</v>
      </c>
      <c r="N4993" s="163" t="s">
        <v>7370</v>
      </c>
      <c r="O4993" s="163"/>
      <c r="P4993" s="182" t="s">
        <v>461</v>
      </c>
      <c r="Q4993" s="163" t="s">
        <v>729</v>
      </c>
      <c r="R4993" s="186" t="s">
        <v>4796</v>
      </c>
      <c r="S4993" s="355" t="s">
        <v>6923</v>
      </c>
      <c r="T4993" s="182"/>
      <c r="U4993" s="182"/>
      <c r="V4993" s="182"/>
      <c r="W4993" s="314" t="s">
        <v>8262</v>
      </c>
      <c r="X4993" s="646" t="s">
        <v>10130</v>
      </c>
      <c r="Y4993" s="355"/>
      <c r="Z4993" s="185"/>
      <c r="AA4993" s="185"/>
      <c r="AB4993" s="33">
        <f t="shared" ca="1" si="121"/>
        <v>0.58914876557374418</v>
      </c>
      <c r="AC4993" s="813"/>
      <c r="AD4993" s="211"/>
      <c r="AE4993" s="941"/>
      <c r="AF4993" s="922">
        <f>IF(X4993=X4992,AF4992,0)+IF(ISNUMBER(I4993),IF(I4993&lt;1,I4993,I4993*VLOOKUP(J4993,Summary!$H$2:$I$9,2)),VLOOKUP(J4993,Summary!$J$2:$K$9,2)*IF(ISNUMBER(H4993),H4993,1))</f>
        <v>0.48598379629629629</v>
      </c>
      <c r="AG4993" s="290">
        <v>4992</v>
      </c>
      <c r="AH4993" s="94"/>
      <c r="AI4993" s="94"/>
    </row>
    <row r="4994" spans="1:35" s="57" customFormat="1" ht="12" customHeight="1" x14ac:dyDescent="0.25">
      <c r="A4994" s="614" t="s">
        <v>13231</v>
      </c>
      <c r="B4994" s="614">
        <v>11</v>
      </c>
      <c r="C4994" s="614">
        <v>276</v>
      </c>
      <c r="D4994" s="185" t="s">
        <v>8256</v>
      </c>
      <c r="E4994" s="314" t="s">
        <v>8263</v>
      </c>
      <c r="F4994" s="184">
        <v>41403</v>
      </c>
      <c r="G4994" s="184"/>
      <c r="H4994" s="185">
        <v>1</v>
      </c>
      <c r="I4994" s="185">
        <v>4</v>
      </c>
      <c r="J4994" s="901" t="s">
        <v>1796</v>
      </c>
      <c r="K4994" s="163" t="s">
        <v>8238</v>
      </c>
      <c r="L4994" s="163" t="s">
        <v>3832</v>
      </c>
      <c r="M4994" s="163" t="s">
        <v>254</v>
      </c>
      <c r="N4994" s="163" t="s">
        <v>7370</v>
      </c>
      <c r="O4994" s="163"/>
      <c r="P4994" s="182" t="s">
        <v>461</v>
      </c>
      <c r="Q4994" s="163" t="s">
        <v>729</v>
      </c>
      <c r="R4994" s="186" t="s">
        <v>4796</v>
      </c>
      <c r="S4994" s="355" t="s">
        <v>6923</v>
      </c>
      <c r="T4994" s="182"/>
      <c r="U4994" s="182"/>
      <c r="V4994" s="182"/>
      <c r="W4994" s="314" t="s">
        <v>8263</v>
      </c>
      <c r="X4994" s="646" t="s">
        <v>10130</v>
      </c>
      <c r="Y4994" s="355"/>
      <c r="Z4994" s="185"/>
      <c r="AA4994" s="185"/>
      <c r="AB4994" s="33">
        <f t="shared" ref="AB4994:AB5057" ca="1" si="122">RAND()</f>
        <v>0.72963126972179448</v>
      </c>
      <c r="AC4994" s="813"/>
      <c r="AD4994" s="211"/>
      <c r="AE4994" s="941"/>
      <c r="AF4994" s="922">
        <f>IF(X4994=X4993,AF4993,0)+IF(ISNUMBER(I4994),IF(I4994&lt;1,I4994,I4994*VLOOKUP(J4994,Summary!$H$2:$I$9,2)),VLOOKUP(J4994,Summary!$J$2:$K$9,2)*IF(ISNUMBER(H4994),H4994,1))</f>
        <v>0.48737268518518517</v>
      </c>
      <c r="AG4994" s="290">
        <v>4993</v>
      </c>
      <c r="AH4994" s="94"/>
      <c r="AI4994" s="94"/>
    </row>
    <row r="4995" spans="1:35" s="22" customFormat="1" ht="12" customHeight="1" x14ac:dyDescent="0.2">
      <c r="A4995" s="614" t="s">
        <v>13231</v>
      </c>
      <c r="B4995" s="614">
        <v>11</v>
      </c>
      <c r="C4995" s="614">
        <v>277</v>
      </c>
      <c r="D4995" s="185" t="s">
        <v>8253</v>
      </c>
      <c r="E4995" s="314" t="s">
        <v>2443</v>
      </c>
      <c r="F4995" s="184">
        <v>41410</v>
      </c>
      <c r="G4995" s="184"/>
      <c r="H4995" s="185">
        <v>1</v>
      </c>
      <c r="I4995" s="185">
        <v>4</v>
      </c>
      <c r="J4995" s="901" t="s">
        <v>1796</v>
      </c>
      <c r="K4995" s="163" t="s">
        <v>8274</v>
      </c>
      <c r="L4995" s="163" t="s">
        <v>3832</v>
      </c>
      <c r="M4995" s="163" t="s">
        <v>254</v>
      </c>
      <c r="N4995" s="163" t="s">
        <v>7370</v>
      </c>
      <c r="O4995" s="163"/>
      <c r="P4995" s="182" t="s">
        <v>461</v>
      </c>
      <c r="Q4995" s="163" t="s">
        <v>729</v>
      </c>
      <c r="R4995" s="186" t="s">
        <v>4796</v>
      </c>
      <c r="S4995" s="355" t="s">
        <v>6923</v>
      </c>
      <c r="T4995" s="182"/>
      <c r="U4995" s="182"/>
      <c r="V4995" s="182"/>
      <c r="W4995" s="314" t="s">
        <v>2443</v>
      </c>
      <c r="X4995" s="646" t="s">
        <v>10130</v>
      </c>
      <c r="Y4995" s="355"/>
      <c r="Z4995" s="185"/>
      <c r="AA4995" s="185"/>
      <c r="AB4995" s="33">
        <f t="shared" ca="1" si="122"/>
        <v>0.50745476718052951</v>
      </c>
      <c r="AC4995" s="813"/>
      <c r="AD4995" s="211"/>
      <c r="AE4995" s="941"/>
      <c r="AF4995" s="922">
        <f>IF(X4995=X4994,AF4994,0)+IF(ISNUMBER(I4995),IF(I4995&lt;1,I4995,I4995*VLOOKUP(J4995,Summary!$H$2:$I$9,2)),VLOOKUP(J4995,Summary!$J$2:$K$9,2)*IF(ISNUMBER(H4995),H4995,1))</f>
        <v>0.48876157407407406</v>
      </c>
      <c r="AG4995" s="290">
        <v>4994</v>
      </c>
      <c r="AH4995" s="94"/>
      <c r="AI4995" s="94"/>
    </row>
    <row r="4996" spans="1:35" s="1" customFormat="1" ht="12" customHeight="1" x14ac:dyDescent="0.25">
      <c r="A4996" s="614" t="s">
        <v>13231</v>
      </c>
      <c r="B4996" s="614">
        <v>11</v>
      </c>
      <c r="C4996" s="614">
        <v>278</v>
      </c>
      <c r="D4996" s="185" t="s">
        <v>8254</v>
      </c>
      <c r="E4996" s="314" t="s">
        <v>8264</v>
      </c>
      <c r="F4996" s="184">
        <v>41417</v>
      </c>
      <c r="G4996" s="184"/>
      <c r="H4996" s="185">
        <v>1</v>
      </c>
      <c r="I4996" s="185">
        <v>4</v>
      </c>
      <c r="J4996" s="901" t="s">
        <v>1796</v>
      </c>
      <c r="K4996" s="163" t="s">
        <v>6353</v>
      </c>
      <c r="L4996" s="163" t="s">
        <v>3832</v>
      </c>
      <c r="M4996" s="163" t="s">
        <v>254</v>
      </c>
      <c r="N4996" s="163" t="s">
        <v>7370</v>
      </c>
      <c r="O4996" s="163"/>
      <c r="P4996" s="182" t="s">
        <v>461</v>
      </c>
      <c r="Q4996" s="163" t="s">
        <v>729</v>
      </c>
      <c r="R4996" s="186" t="s">
        <v>4796</v>
      </c>
      <c r="S4996" s="355" t="s">
        <v>6923</v>
      </c>
      <c r="T4996" s="182"/>
      <c r="U4996" s="182"/>
      <c r="V4996" s="182"/>
      <c r="W4996" s="314" t="s">
        <v>8264</v>
      </c>
      <c r="X4996" s="646" t="s">
        <v>10130</v>
      </c>
      <c r="Y4996" s="355"/>
      <c r="Z4996" s="185"/>
      <c r="AA4996" s="185"/>
      <c r="AB4996" s="33">
        <f t="shared" ca="1" si="122"/>
        <v>0.14296686176553863</v>
      </c>
      <c r="AC4996" s="813"/>
      <c r="AD4996" s="211"/>
      <c r="AE4996" s="941"/>
      <c r="AF4996" s="922">
        <f>IF(X4996=X4995,AF4995,0)+IF(ISNUMBER(I4996),IF(I4996&lt;1,I4996,I4996*VLOOKUP(J4996,Summary!$H$2:$I$9,2)),VLOOKUP(J4996,Summary!$J$2:$K$9,2)*IF(ISNUMBER(H4996),H4996,1))</f>
        <v>0.49015046296296294</v>
      </c>
      <c r="AG4996" s="290">
        <v>4995</v>
      </c>
      <c r="AH4996" s="94"/>
      <c r="AI4996" s="94"/>
    </row>
    <row r="4997" spans="1:35" s="1" customFormat="1" ht="12" customHeight="1" x14ac:dyDescent="0.25">
      <c r="A4997" s="624" t="s">
        <v>13231</v>
      </c>
      <c r="B4997" s="624">
        <v>11</v>
      </c>
      <c r="C4997" s="624">
        <v>3</v>
      </c>
      <c r="D4997" s="192" t="s">
        <v>14487</v>
      </c>
      <c r="E4997" s="317" t="s">
        <v>14488</v>
      </c>
      <c r="F4997" s="209">
        <v>43167</v>
      </c>
      <c r="G4997" s="191"/>
      <c r="H4997" s="192">
        <v>1</v>
      </c>
      <c r="I4997" s="192"/>
      <c r="J4997" s="903" t="s">
        <v>2755</v>
      </c>
      <c r="K4997" s="194" t="s">
        <v>14489</v>
      </c>
      <c r="L4997" s="194" t="s">
        <v>14484</v>
      </c>
      <c r="M4997" s="194" t="s">
        <v>14490</v>
      </c>
      <c r="N4997" s="194"/>
      <c r="O4997" s="194"/>
      <c r="P4997" s="190" t="s">
        <v>14485</v>
      </c>
      <c r="Q4997" s="194" t="s">
        <v>3953</v>
      </c>
      <c r="R4997" s="221" t="s">
        <v>14486</v>
      </c>
      <c r="S4997" s="357" t="s">
        <v>6923</v>
      </c>
      <c r="T4997" s="190"/>
      <c r="U4997" s="190"/>
      <c r="V4997" s="190"/>
      <c r="W4997" s="317" t="s">
        <v>14488</v>
      </c>
      <c r="X4997" s="649" t="s">
        <v>10130</v>
      </c>
      <c r="Y4997" s="357"/>
      <c r="Z4997" s="192"/>
      <c r="AA4997" s="192"/>
      <c r="AB4997" s="37">
        <f t="shared" ca="1" si="122"/>
        <v>3.0509550924232243E-2</v>
      </c>
      <c r="AC4997" s="816"/>
      <c r="AD4997" s="817"/>
      <c r="AE4997" s="943"/>
      <c r="AF4997" s="924">
        <f>IF(X4997=X4996,AF4996,0)+IF(ISNUMBER(I4997),IF(I4997&lt;1,I4997,I4997*VLOOKUP(J4997,Summary!$H$2:$I$9,2)),VLOOKUP(J4997,Summary!$J$2:$K$9,2)*IF(ISNUMBER(H4997),H4997,1))</f>
        <v>0.5075115740740741</v>
      </c>
      <c r="AG4997" s="298">
        <v>4996</v>
      </c>
      <c r="AH4997" s="94"/>
      <c r="AI4997" s="94"/>
    </row>
    <row r="4998" spans="1:35" s="29" customFormat="1" ht="12" customHeight="1" x14ac:dyDescent="0.25">
      <c r="A4998" s="612" t="s">
        <v>13231</v>
      </c>
      <c r="B4998" s="612">
        <v>11</v>
      </c>
      <c r="C4998" s="612">
        <v>236</v>
      </c>
      <c r="D4998" s="424" t="s">
        <v>7396</v>
      </c>
      <c r="E4998" s="319" t="s">
        <v>7403</v>
      </c>
      <c r="F4998" s="198">
        <v>41391</v>
      </c>
      <c r="G4998" s="198"/>
      <c r="H4998" s="199">
        <v>1</v>
      </c>
      <c r="I4998" s="791">
        <f>TIME(0,44,43)</f>
        <v>3.1053240740740742E-2</v>
      </c>
      <c r="J4998" s="904" t="s">
        <v>1588</v>
      </c>
      <c r="K4998" s="200" t="s">
        <v>6763</v>
      </c>
      <c r="L4998" s="200" t="s">
        <v>2583</v>
      </c>
      <c r="M4998" s="200"/>
      <c r="N4998" s="200" t="s">
        <v>3810</v>
      </c>
      <c r="O4998" s="200" t="s">
        <v>6509</v>
      </c>
      <c r="P4998" s="197" t="s">
        <v>461</v>
      </c>
      <c r="Q4998" s="200" t="s">
        <v>3946</v>
      </c>
      <c r="R4998" s="201" t="s">
        <v>5280</v>
      </c>
      <c r="S4998" s="390" t="s">
        <v>6923</v>
      </c>
      <c r="T4998" s="197"/>
      <c r="U4998" s="197"/>
      <c r="V4998" s="197"/>
      <c r="W4998" s="319" t="s">
        <v>7403</v>
      </c>
      <c r="X4998" s="651" t="s">
        <v>10130</v>
      </c>
      <c r="Y4998" s="358" t="s">
        <v>7018</v>
      </c>
      <c r="Z4998" s="253">
        <v>213</v>
      </c>
      <c r="AA4998" s="253">
        <v>4.5</v>
      </c>
      <c r="AB4998" s="35">
        <f t="shared" ca="1" si="122"/>
        <v>5.548289395259054E-2</v>
      </c>
      <c r="AC4998" s="820"/>
      <c r="AD4998" s="821"/>
      <c r="AE4998" s="967"/>
      <c r="AF4998" s="925">
        <f>IF(X4998=X4997,AF4997,0)+IF(ISNUMBER(I4998),IF(I4998&lt;1,I4998,I4998*VLOOKUP(J4998,Summary!$H$2:$I$9,2)),VLOOKUP(J4998,Summary!$J$2:$K$9,2)*IF(ISNUMBER(H4998),H4998,1))</f>
        <v>0.53856481481481489</v>
      </c>
      <c r="AG4998" s="293">
        <v>4997</v>
      </c>
      <c r="AH4998" s="94"/>
      <c r="AI4998" s="94"/>
    </row>
    <row r="4999" spans="1:35" s="29" customFormat="1" ht="12" customHeight="1" x14ac:dyDescent="0.25">
      <c r="A4999" s="617" t="s">
        <v>13231</v>
      </c>
      <c r="B4999" s="617">
        <v>11</v>
      </c>
      <c r="C4999" s="617">
        <v>1.4</v>
      </c>
      <c r="D4999" s="407" t="s">
        <v>15028</v>
      </c>
      <c r="E4999" s="315" t="s">
        <v>15029</v>
      </c>
      <c r="F4999" s="196">
        <v>43327</v>
      </c>
      <c r="G4999" s="170"/>
      <c r="H4999" s="170">
        <v>1</v>
      </c>
      <c r="I4999" s="747">
        <f>TIME(0,60,0)</f>
        <v>4.1666666666666664E-2</v>
      </c>
      <c r="J4999" s="899" t="s">
        <v>4706</v>
      </c>
      <c r="K4999" s="167" t="s">
        <v>12999</v>
      </c>
      <c r="L4999" s="167" t="s">
        <v>12662</v>
      </c>
      <c r="M4999" s="167" t="s">
        <v>15030</v>
      </c>
      <c r="N4999" s="167" t="s">
        <v>6452</v>
      </c>
      <c r="O4999" s="167" t="s">
        <v>179</v>
      </c>
      <c r="P4999" s="168" t="s">
        <v>15020</v>
      </c>
      <c r="Q4999" s="167" t="s">
        <v>3947</v>
      </c>
      <c r="R4999" s="172" t="s">
        <v>15017</v>
      </c>
      <c r="S4999" s="388" t="s">
        <v>6923</v>
      </c>
      <c r="T4999" s="168"/>
      <c r="U4999" s="168"/>
      <c r="V4999" s="168"/>
      <c r="W4999" s="315" t="s">
        <v>15029</v>
      </c>
      <c r="X4999" s="644" t="s">
        <v>10130</v>
      </c>
      <c r="Y4999" s="352"/>
      <c r="Z4999" s="353"/>
      <c r="AA4999" s="353"/>
      <c r="AB4999" s="31">
        <f t="shared" ca="1" si="122"/>
        <v>0.37126736957024753</v>
      </c>
      <c r="AC4999" s="810"/>
      <c r="AD4999" s="811"/>
      <c r="AE4999" s="940"/>
      <c r="AF4999" s="920">
        <f>IF(X4999=X4998,AF4998,0)+IF(ISNUMBER(I4999),IF(I4999&lt;1,I4999,I4999*VLOOKUP(J4999,Summary!$H$2:$I$9,2)),VLOOKUP(J4999,Summary!$J$2:$K$9,2)*IF(ISNUMBER(H4999),H4999,1))</f>
        <v>0.58023148148148151</v>
      </c>
      <c r="AG4999" s="287">
        <v>4998</v>
      </c>
      <c r="AH4999" s="94"/>
      <c r="AI4999" s="94"/>
    </row>
    <row r="5000" spans="1:35" s="29" customFormat="1" ht="12" customHeight="1" x14ac:dyDescent="0.25">
      <c r="A5000" s="614" t="s">
        <v>13231</v>
      </c>
      <c r="B5000" s="614">
        <v>11</v>
      </c>
      <c r="C5000" s="614">
        <v>279</v>
      </c>
      <c r="D5000" s="185" t="s">
        <v>8246</v>
      </c>
      <c r="E5000" s="314" t="s">
        <v>8265</v>
      </c>
      <c r="F5000" s="184">
        <v>41429</v>
      </c>
      <c r="G5000" s="184"/>
      <c r="H5000" s="185">
        <v>1</v>
      </c>
      <c r="I5000" s="185">
        <v>4</v>
      </c>
      <c r="J5000" s="901" t="s">
        <v>1796</v>
      </c>
      <c r="K5000" s="163" t="s">
        <v>4672</v>
      </c>
      <c r="L5000" s="163" t="s">
        <v>3832</v>
      </c>
      <c r="M5000" s="163" t="s">
        <v>254</v>
      </c>
      <c r="N5000" s="163" t="s">
        <v>7370</v>
      </c>
      <c r="O5000" s="163"/>
      <c r="P5000" s="182" t="s">
        <v>461</v>
      </c>
      <c r="Q5000" s="163" t="s">
        <v>729</v>
      </c>
      <c r="R5000" s="186" t="s">
        <v>4796</v>
      </c>
      <c r="S5000" s="355" t="s">
        <v>6923</v>
      </c>
      <c r="T5000" s="182"/>
      <c r="U5000" s="182"/>
      <c r="V5000" s="182"/>
      <c r="W5000" s="314" t="s">
        <v>8265</v>
      </c>
      <c r="X5000" s="646" t="s">
        <v>10130</v>
      </c>
      <c r="Y5000" s="355"/>
      <c r="Z5000" s="185"/>
      <c r="AA5000" s="185"/>
      <c r="AB5000" s="33">
        <f t="shared" ca="1" si="122"/>
        <v>5.8185120434331217E-2</v>
      </c>
      <c r="AC5000" s="813"/>
      <c r="AD5000" s="211"/>
      <c r="AE5000" s="941"/>
      <c r="AF5000" s="922">
        <f>IF(X5000=X4999,AF4999,0)+IF(ISNUMBER(I5000),IF(I5000&lt;1,I5000,I5000*VLOOKUP(J5000,Summary!$H$2:$I$9,2)),VLOOKUP(J5000,Summary!$J$2:$K$9,2)*IF(ISNUMBER(H5000),H5000,1))</f>
        <v>0.5816203703703704</v>
      </c>
      <c r="AG5000" s="290">
        <v>4999</v>
      </c>
      <c r="AH5000" s="94"/>
      <c r="AI5000" s="94"/>
    </row>
    <row r="5001" spans="1:35" s="10" customFormat="1" ht="12" customHeight="1" x14ac:dyDescent="0.25">
      <c r="A5001" s="614" t="s">
        <v>13231</v>
      </c>
      <c r="B5001" s="614">
        <v>11</v>
      </c>
      <c r="C5001" s="614">
        <v>280</v>
      </c>
      <c r="D5001" s="185" t="s">
        <v>8247</v>
      </c>
      <c r="E5001" s="314" t="s">
        <v>8266</v>
      </c>
      <c r="F5001" s="184">
        <v>41445</v>
      </c>
      <c r="G5001" s="184"/>
      <c r="H5001" s="185">
        <v>1</v>
      </c>
      <c r="I5001" s="185">
        <v>4</v>
      </c>
      <c r="J5001" s="901" t="s">
        <v>1796</v>
      </c>
      <c r="K5001" s="163" t="s">
        <v>8273</v>
      </c>
      <c r="L5001" s="163" t="s">
        <v>3832</v>
      </c>
      <c r="M5001" s="163" t="s">
        <v>254</v>
      </c>
      <c r="N5001" s="163" t="s">
        <v>7370</v>
      </c>
      <c r="O5001" s="163"/>
      <c r="P5001" s="182" t="s">
        <v>461</v>
      </c>
      <c r="Q5001" s="163" t="s">
        <v>729</v>
      </c>
      <c r="R5001" s="186" t="s">
        <v>4796</v>
      </c>
      <c r="S5001" s="355" t="s">
        <v>6923</v>
      </c>
      <c r="T5001" s="182"/>
      <c r="U5001" s="182"/>
      <c r="V5001" s="182"/>
      <c r="W5001" s="314" t="s">
        <v>8266</v>
      </c>
      <c r="X5001" s="646" t="s">
        <v>10130</v>
      </c>
      <c r="Y5001" s="355"/>
      <c r="Z5001" s="185"/>
      <c r="AA5001" s="185"/>
      <c r="AB5001" s="33">
        <f t="shared" ca="1" si="122"/>
        <v>0.62756892249647211</v>
      </c>
      <c r="AC5001" s="813"/>
      <c r="AD5001" s="211"/>
      <c r="AE5001" s="941"/>
      <c r="AF5001" s="922">
        <f>IF(X5001=X5000,AF5000,0)+IF(ISNUMBER(I5001),IF(I5001&lt;1,I5001,I5001*VLOOKUP(J5001,Summary!$H$2:$I$9,2)),VLOOKUP(J5001,Summary!$J$2:$K$9,2)*IF(ISNUMBER(H5001),H5001,1))</f>
        <v>0.58300925925925928</v>
      </c>
      <c r="AG5001" s="290">
        <v>5000</v>
      </c>
      <c r="AH5001" s="94"/>
      <c r="AI5001" s="94"/>
    </row>
    <row r="5002" spans="1:35" s="1" customFormat="1" ht="12" customHeight="1" x14ac:dyDescent="0.25">
      <c r="A5002" s="614" t="s">
        <v>13231</v>
      </c>
      <c r="B5002" s="614">
        <v>11</v>
      </c>
      <c r="C5002" s="614">
        <v>281</v>
      </c>
      <c r="D5002" s="185" t="s">
        <v>8248</v>
      </c>
      <c r="E5002" s="314" t="s">
        <v>8267</v>
      </c>
      <c r="F5002" s="184">
        <v>41458</v>
      </c>
      <c r="G5002" s="184"/>
      <c r="H5002" s="185">
        <v>1</v>
      </c>
      <c r="I5002" s="185">
        <v>4</v>
      </c>
      <c r="J5002" s="901" t="s">
        <v>1796</v>
      </c>
      <c r="K5002" s="163" t="s">
        <v>8238</v>
      </c>
      <c r="L5002" s="163" t="s">
        <v>3832</v>
      </c>
      <c r="M5002" s="163" t="s">
        <v>254</v>
      </c>
      <c r="N5002" s="163" t="s">
        <v>7370</v>
      </c>
      <c r="O5002" s="163"/>
      <c r="P5002" s="182" t="s">
        <v>461</v>
      </c>
      <c r="Q5002" s="163" t="s">
        <v>729</v>
      </c>
      <c r="R5002" s="186" t="s">
        <v>4796</v>
      </c>
      <c r="S5002" s="355" t="s">
        <v>6923</v>
      </c>
      <c r="T5002" s="182"/>
      <c r="U5002" s="182"/>
      <c r="V5002" s="182"/>
      <c r="W5002" s="314" t="s">
        <v>8267</v>
      </c>
      <c r="X5002" s="646" t="s">
        <v>10130</v>
      </c>
      <c r="Y5002" s="355"/>
      <c r="Z5002" s="185"/>
      <c r="AA5002" s="185"/>
      <c r="AB5002" s="33">
        <f t="shared" ca="1" si="122"/>
        <v>8.8089013071257827E-2</v>
      </c>
      <c r="AC5002" s="813"/>
      <c r="AD5002" s="211"/>
      <c r="AE5002" s="941"/>
      <c r="AF5002" s="922">
        <f>IF(X5002=X5001,AF5001,0)+IF(ISNUMBER(I5002),IF(I5002&lt;1,I5002,I5002*VLOOKUP(J5002,Summary!$H$2:$I$9,2)),VLOOKUP(J5002,Summary!$J$2:$K$9,2)*IF(ISNUMBER(H5002),H5002,1))</f>
        <v>0.58439814814814817</v>
      </c>
      <c r="AG5002" s="290">
        <v>5001</v>
      </c>
      <c r="AH5002" s="94"/>
      <c r="AI5002" s="94"/>
    </row>
    <row r="5003" spans="1:35" s="1" customFormat="1" ht="12" customHeight="1" x14ac:dyDescent="0.25">
      <c r="A5003" s="614" t="s">
        <v>13231</v>
      </c>
      <c r="B5003" s="614">
        <v>11</v>
      </c>
      <c r="C5003" s="614">
        <v>282</v>
      </c>
      <c r="D5003" s="185" t="s">
        <v>8249</v>
      </c>
      <c r="E5003" s="314" t="s">
        <v>8268</v>
      </c>
      <c r="F5003" s="184">
        <v>41472</v>
      </c>
      <c r="G5003" s="184"/>
      <c r="H5003" s="185">
        <v>1</v>
      </c>
      <c r="I5003" s="185">
        <v>4</v>
      </c>
      <c r="J5003" s="901" t="s">
        <v>1796</v>
      </c>
      <c r="K5003" s="163" t="s">
        <v>8273</v>
      </c>
      <c r="L5003" s="163" t="s">
        <v>3832</v>
      </c>
      <c r="M5003" s="163" t="s">
        <v>254</v>
      </c>
      <c r="N5003" s="163" t="s">
        <v>7370</v>
      </c>
      <c r="O5003" s="163"/>
      <c r="P5003" s="182" t="s">
        <v>461</v>
      </c>
      <c r="Q5003" s="163" t="s">
        <v>729</v>
      </c>
      <c r="R5003" s="186" t="s">
        <v>4796</v>
      </c>
      <c r="S5003" s="355" t="s">
        <v>6923</v>
      </c>
      <c r="T5003" s="182"/>
      <c r="U5003" s="182"/>
      <c r="V5003" s="182"/>
      <c r="W5003" s="314" t="s">
        <v>8268</v>
      </c>
      <c r="X5003" s="646" t="s">
        <v>10130</v>
      </c>
      <c r="Y5003" s="355"/>
      <c r="Z5003" s="185"/>
      <c r="AA5003" s="185"/>
      <c r="AB5003" s="33">
        <f t="shared" ca="1" si="122"/>
        <v>0.14347176329731826</v>
      </c>
      <c r="AC5003" s="813"/>
      <c r="AD5003" s="211"/>
      <c r="AE5003" s="941"/>
      <c r="AF5003" s="922">
        <f>IF(X5003=X5002,AF5002,0)+IF(ISNUMBER(I5003),IF(I5003&lt;1,I5003,I5003*VLOOKUP(J5003,Summary!$H$2:$I$9,2)),VLOOKUP(J5003,Summary!$J$2:$K$9,2)*IF(ISNUMBER(H5003),H5003,1))</f>
        <v>0.58578703703703705</v>
      </c>
      <c r="AG5003" s="290">
        <v>5002</v>
      </c>
      <c r="AH5003" s="94"/>
      <c r="AI5003" s="94"/>
    </row>
    <row r="5004" spans="1:35" s="26" customFormat="1" ht="12" customHeight="1" x14ac:dyDescent="0.2">
      <c r="A5004" s="614" t="s">
        <v>13231</v>
      </c>
      <c r="B5004" s="614">
        <v>11</v>
      </c>
      <c r="C5004" s="614">
        <v>283</v>
      </c>
      <c r="D5004" s="185" t="s">
        <v>8250</v>
      </c>
      <c r="E5004" s="314" t="s">
        <v>8269</v>
      </c>
      <c r="F5004" s="184">
        <v>41486</v>
      </c>
      <c r="G5004" s="184"/>
      <c r="H5004" s="185">
        <v>1</v>
      </c>
      <c r="I5004" s="185">
        <v>4</v>
      </c>
      <c r="J5004" s="901" t="s">
        <v>1796</v>
      </c>
      <c r="K5004" s="163" t="s">
        <v>5664</v>
      </c>
      <c r="L5004" s="163" t="s">
        <v>3832</v>
      </c>
      <c r="M5004" s="163" t="s">
        <v>254</v>
      </c>
      <c r="N5004" s="163" t="s">
        <v>7370</v>
      </c>
      <c r="O5004" s="163"/>
      <c r="P5004" s="182" t="s">
        <v>461</v>
      </c>
      <c r="Q5004" s="163" t="s">
        <v>729</v>
      </c>
      <c r="R5004" s="186" t="s">
        <v>4796</v>
      </c>
      <c r="S5004" s="355" t="s">
        <v>6923</v>
      </c>
      <c r="T5004" s="182"/>
      <c r="U5004" s="182"/>
      <c r="V5004" s="182"/>
      <c r="W5004" s="314" t="s">
        <v>8269</v>
      </c>
      <c r="X5004" s="646" t="s">
        <v>10130</v>
      </c>
      <c r="Y5004" s="355"/>
      <c r="Z5004" s="185"/>
      <c r="AA5004" s="185"/>
      <c r="AB5004" s="33">
        <f t="shared" ca="1" si="122"/>
        <v>0.15151696364820966</v>
      </c>
      <c r="AC5004" s="813"/>
      <c r="AD5004" s="211"/>
      <c r="AE5004" s="941"/>
      <c r="AF5004" s="922">
        <f>IF(X5004=X5003,AF5003,0)+IF(ISNUMBER(I5004),IF(I5004&lt;1,I5004,I5004*VLOOKUP(J5004,Summary!$H$2:$I$9,2)),VLOOKUP(J5004,Summary!$J$2:$K$9,2)*IF(ISNUMBER(H5004),H5004,1))</f>
        <v>0.58717592592592593</v>
      </c>
      <c r="AG5004" s="290">
        <v>5003</v>
      </c>
      <c r="AH5004" s="94"/>
      <c r="AI5004" s="94"/>
    </row>
    <row r="5005" spans="1:35" s="22" customFormat="1" ht="12" customHeight="1" x14ac:dyDescent="0.2">
      <c r="A5005" s="614" t="s">
        <v>13231</v>
      </c>
      <c r="B5005" s="614">
        <v>11</v>
      </c>
      <c r="C5005" s="614">
        <v>284</v>
      </c>
      <c r="D5005" s="185" t="s">
        <v>8251</v>
      </c>
      <c r="E5005" s="314" t="s">
        <v>8270</v>
      </c>
      <c r="F5005" s="184">
        <v>41500</v>
      </c>
      <c r="G5005" s="184"/>
      <c r="H5005" s="185">
        <v>1</v>
      </c>
      <c r="I5005" s="185">
        <v>4</v>
      </c>
      <c r="J5005" s="901" t="s">
        <v>1796</v>
      </c>
      <c r="K5005" s="163" t="s">
        <v>8275</v>
      </c>
      <c r="L5005" s="163" t="s">
        <v>3832</v>
      </c>
      <c r="M5005" s="163" t="s">
        <v>254</v>
      </c>
      <c r="N5005" s="163" t="s">
        <v>7370</v>
      </c>
      <c r="O5005" s="163"/>
      <c r="P5005" s="182" t="s">
        <v>461</v>
      </c>
      <c r="Q5005" s="163" t="s">
        <v>729</v>
      </c>
      <c r="R5005" s="186" t="s">
        <v>4796</v>
      </c>
      <c r="S5005" s="355" t="s">
        <v>6923</v>
      </c>
      <c r="T5005" s="182"/>
      <c r="U5005" s="182"/>
      <c r="V5005" s="182"/>
      <c r="W5005" s="314" t="s">
        <v>8270</v>
      </c>
      <c r="X5005" s="646" t="s">
        <v>10130</v>
      </c>
      <c r="Y5005" s="355"/>
      <c r="Z5005" s="185"/>
      <c r="AA5005" s="185"/>
      <c r="AB5005" s="33">
        <f t="shared" ca="1" si="122"/>
        <v>0.48020335483370158</v>
      </c>
      <c r="AC5005" s="813"/>
      <c r="AD5005" s="211"/>
      <c r="AE5005" s="941"/>
      <c r="AF5005" s="922">
        <f>IF(X5005=X5004,AF5004,0)+IF(ISNUMBER(I5005),IF(I5005&lt;1,I5005,I5005*VLOOKUP(J5005,Summary!$H$2:$I$9,2)),VLOOKUP(J5005,Summary!$J$2:$K$9,2)*IF(ISNUMBER(H5005),H5005,1))</f>
        <v>0.58856481481481482</v>
      </c>
      <c r="AG5005" s="290">
        <v>5004</v>
      </c>
      <c r="AH5005" s="94"/>
      <c r="AI5005" s="94"/>
    </row>
    <row r="5006" spans="1:35" s="22" customFormat="1" ht="12" customHeight="1" x14ac:dyDescent="0.2">
      <c r="A5006" s="614" t="s">
        <v>13231</v>
      </c>
      <c r="B5006" s="614">
        <v>11</v>
      </c>
      <c r="C5006" s="614">
        <v>285</v>
      </c>
      <c r="D5006" s="185" t="s">
        <v>8252</v>
      </c>
      <c r="E5006" s="314" t="s">
        <v>8271</v>
      </c>
      <c r="F5006" s="184">
        <v>41514</v>
      </c>
      <c r="G5006" s="184"/>
      <c r="H5006" s="185">
        <v>1</v>
      </c>
      <c r="I5006" s="185">
        <v>4</v>
      </c>
      <c r="J5006" s="901" t="s">
        <v>1796</v>
      </c>
      <c r="K5006" s="163" t="s">
        <v>8274</v>
      </c>
      <c r="L5006" s="163" t="s">
        <v>3832</v>
      </c>
      <c r="M5006" s="163" t="s">
        <v>254</v>
      </c>
      <c r="N5006" s="163" t="s">
        <v>7370</v>
      </c>
      <c r="O5006" s="163"/>
      <c r="P5006" s="182" t="s">
        <v>461</v>
      </c>
      <c r="Q5006" s="163" t="s">
        <v>729</v>
      </c>
      <c r="R5006" s="186" t="s">
        <v>4796</v>
      </c>
      <c r="S5006" s="355" t="s">
        <v>6923</v>
      </c>
      <c r="T5006" s="182"/>
      <c r="U5006" s="182"/>
      <c r="V5006" s="182"/>
      <c r="W5006" s="314" t="s">
        <v>8271</v>
      </c>
      <c r="X5006" s="646" t="s">
        <v>10130</v>
      </c>
      <c r="Y5006" s="355"/>
      <c r="Z5006" s="185"/>
      <c r="AA5006" s="185"/>
      <c r="AB5006" s="33">
        <f t="shared" ca="1" si="122"/>
        <v>0.13871152979350654</v>
      </c>
      <c r="AC5006" s="813"/>
      <c r="AD5006" s="211"/>
      <c r="AE5006" s="941"/>
      <c r="AF5006" s="922">
        <f>IF(X5006=X5005,AF5005,0)+IF(ISNUMBER(I5006),IF(I5006&lt;1,I5006,I5006*VLOOKUP(J5006,Summary!$H$2:$I$9,2)),VLOOKUP(J5006,Summary!$J$2:$K$9,2)*IF(ISNUMBER(H5006),H5006,1))</f>
        <v>0.5899537037037037</v>
      </c>
      <c r="AG5006" s="290">
        <v>5005</v>
      </c>
      <c r="AH5006" s="94"/>
      <c r="AI5006" s="94"/>
    </row>
    <row r="5007" spans="1:35" s="22" customFormat="1" ht="12" customHeight="1" x14ac:dyDescent="0.2">
      <c r="A5007" s="614" t="s">
        <v>13231</v>
      </c>
      <c r="B5007" s="614">
        <v>11</v>
      </c>
      <c r="C5007" s="614">
        <v>286</v>
      </c>
      <c r="D5007" s="185" t="s">
        <v>8245</v>
      </c>
      <c r="E5007" s="314" t="s">
        <v>8272</v>
      </c>
      <c r="F5007" s="184">
        <v>41528</v>
      </c>
      <c r="G5007" s="184"/>
      <c r="H5007" s="185">
        <v>1</v>
      </c>
      <c r="I5007" s="185">
        <v>4</v>
      </c>
      <c r="J5007" s="901" t="s">
        <v>1796</v>
      </c>
      <c r="K5007" s="163" t="s">
        <v>176</v>
      </c>
      <c r="L5007" s="163" t="s">
        <v>3832</v>
      </c>
      <c r="M5007" s="163" t="s">
        <v>254</v>
      </c>
      <c r="N5007" s="163" t="s">
        <v>7370</v>
      </c>
      <c r="O5007" s="163"/>
      <c r="P5007" s="182" t="s">
        <v>461</v>
      </c>
      <c r="Q5007" s="163" t="s">
        <v>729</v>
      </c>
      <c r="R5007" s="186" t="s">
        <v>4796</v>
      </c>
      <c r="S5007" s="355" t="s">
        <v>6923</v>
      </c>
      <c r="T5007" s="182"/>
      <c r="U5007" s="182"/>
      <c r="V5007" s="182"/>
      <c r="W5007" s="314" t="s">
        <v>8272</v>
      </c>
      <c r="X5007" s="646" t="s">
        <v>10130</v>
      </c>
      <c r="Y5007" s="355"/>
      <c r="Z5007" s="185"/>
      <c r="AA5007" s="185"/>
      <c r="AB5007" s="33">
        <f t="shared" ca="1" si="122"/>
        <v>1.1943781759875538E-2</v>
      </c>
      <c r="AC5007" s="813"/>
      <c r="AD5007" s="211"/>
      <c r="AE5007" s="941"/>
      <c r="AF5007" s="922">
        <f>IF(X5007=X5006,AF5006,0)+IF(ISNUMBER(I5007),IF(I5007&lt;1,I5007,I5007*VLOOKUP(J5007,Summary!$H$2:$I$9,2)),VLOOKUP(J5007,Summary!$J$2:$K$9,2)*IF(ISNUMBER(H5007),H5007,1))</f>
        <v>0.59134259259259259</v>
      </c>
      <c r="AG5007" s="290">
        <v>5006</v>
      </c>
      <c r="AH5007" s="94"/>
      <c r="AI5007" s="94"/>
    </row>
    <row r="5008" spans="1:35" s="22" customFormat="1" ht="12" customHeight="1" x14ac:dyDescent="0.2">
      <c r="A5008" s="614" t="s">
        <v>13231</v>
      </c>
      <c r="B5008" s="614">
        <v>11</v>
      </c>
      <c r="C5008" s="614"/>
      <c r="D5008" s="185" t="s">
        <v>8284</v>
      </c>
      <c r="E5008" s="314" t="s">
        <v>8283</v>
      </c>
      <c r="F5008" s="184">
        <v>41496</v>
      </c>
      <c r="G5008" s="184"/>
      <c r="H5008" s="185">
        <v>1</v>
      </c>
      <c r="I5008" s="185"/>
      <c r="J5008" s="901" t="s">
        <v>1796</v>
      </c>
      <c r="K5008" s="163" t="s">
        <v>5198</v>
      </c>
      <c r="L5008" s="163" t="s">
        <v>3832</v>
      </c>
      <c r="M5008" s="163" t="s">
        <v>252</v>
      </c>
      <c r="N5008" s="163" t="s">
        <v>5198</v>
      </c>
      <c r="O5008" s="163"/>
      <c r="P5008" s="182" t="s">
        <v>8286</v>
      </c>
      <c r="Q5008" s="163" t="s">
        <v>8285</v>
      </c>
      <c r="R5008" s="186" t="s">
        <v>4600</v>
      </c>
      <c r="S5008" s="355" t="s">
        <v>6923</v>
      </c>
      <c r="T5008" s="182"/>
      <c r="U5008" s="182"/>
      <c r="V5008" s="182"/>
      <c r="W5008" s="314" t="s">
        <v>8283</v>
      </c>
      <c r="X5008" s="646" t="s">
        <v>10130</v>
      </c>
      <c r="Y5008" s="355"/>
      <c r="Z5008" s="185"/>
      <c r="AA5008" s="185"/>
      <c r="AB5008" s="33">
        <f t="shared" ca="1" si="122"/>
        <v>0.43316509702680817</v>
      </c>
      <c r="AC5008" s="813"/>
      <c r="AD5008" s="211"/>
      <c r="AE5008" s="941"/>
      <c r="AF5008" s="922">
        <f>IF(X5008=X5007,AF5007,0)+IF(ISNUMBER(I5008),IF(I5008&lt;1,I5008,I5008*VLOOKUP(J5008,Summary!$H$2:$I$9,2)),VLOOKUP(J5008,Summary!$J$2:$K$9,2)*IF(ISNUMBER(H5008),H5008,1))</f>
        <v>0.5948148148148148</v>
      </c>
      <c r="AG5008" s="290">
        <v>5007</v>
      </c>
      <c r="AH5008" s="94"/>
      <c r="AI5008" s="94"/>
    </row>
    <row r="5009" spans="1:35" s="8" customFormat="1" ht="12" customHeight="1" x14ac:dyDescent="0.25">
      <c r="A5009" s="612" t="s">
        <v>13231</v>
      </c>
      <c r="B5009" s="612">
        <v>11</v>
      </c>
      <c r="C5009" s="612">
        <v>237</v>
      </c>
      <c r="D5009" s="424" t="s">
        <v>7397</v>
      </c>
      <c r="E5009" s="319" t="s">
        <v>7404</v>
      </c>
      <c r="F5009" s="198">
        <v>41398</v>
      </c>
      <c r="G5009" s="198"/>
      <c r="H5009" s="199">
        <v>1</v>
      </c>
      <c r="I5009" s="791">
        <f>TIME(0,44,39)</f>
        <v>3.1006944444444445E-2</v>
      </c>
      <c r="J5009" s="904" t="s">
        <v>1588</v>
      </c>
      <c r="K5009" s="200" t="s">
        <v>4964</v>
      </c>
      <c r="L5009" s="200" t="s">
        <v>6508</v>
      </c>
      <c r="M5009" s="200"/>
      <c r="N5009" s="200" t="s">
        <v>3810</v>
      </c>
      <c r="O5009" s="200" t="s">
        <v>6509</v>
      </c>
      <c r="P5009" s="197" t="s">
        <v>461</v>
      </c>
      <c r="Q5009" s="200" t="s">
        <v>3946</v>
      </c>
      <c r="R5009" s="201" t="s">
        <v>5280</v>
      </c>
      <c r="S5009" s="390" t="s">
        <v>6923</v>
      </c>
      <c r="T5009" s="197" t="s">
        <v>6925</v>
      </c>
      <c r="U5009" s="197" t="s">
        <v>6924</v>
      </c>
      <c r="V5009" s="197" t="s">
        <v>3629</v>
      </c>
      <c r="W5009" s="319" t="s">
        <v>7404</v>
      </c>
      <c r="X5009" s="651" t="s">
        <v>10130</v>
      </c>
      <c r="Y5009" s="358" t="s">
        <v>7018</v>
      </c>
      <c r="Z5009" s="253">
        <v>67</v>
      </c>
      <c r="AA5009" s="253">
        <v>7.5</v>
      </c>
      <c r="AB5009" s="35">
        <f t="shared" ca="1" si="122"/>
        <v>0.49340566075814341</v>
      </c>
      <c r="AC5009" s="820"/>
      <c r="AD5009" s="821" t="s">
        <v>14606</v>
      </c>
      <c r="AE5009" s="967"/>
      <c r="AF5009" s="925">
        <f>IF(X5009=X5008,AF5008,0)+IF(ISNUMBER(I5009),IF(I5009&lt;1,I5009,I5009*VLOOKUP(J5009,Summary!$H$2:$I$9,2)),VLOOKUP(J5009,Summary!$J$2:$K$9,2)*IF(ISNUMBER(H5009),H5009,1))</f>
        <v>0.6258217592592592</v>
      </c>
      <c r="AG5009" s="293">
        <v>5008</v>
      </c>
      <c r="AH5009" s="94"/>
      <c r="AI5009" s="94"/>
    </row>
    <row r="5010" spans="1:35" s="22" customFormat="1" ht="12" customHeight="1" x14ac:dyDescent="0.25">
      <c r="A5010" s="612" t="s">
        <v>13231</v>
      </c>
      <c r="B5010" s="612">
        <v>11</v>
      </c>
      <c r="C5010" s="612">
        <v>238</v>
      </c>
      <c r="D5010" s="424" t="s">
        <v>7398</v>
      </c>
      <c r="E5010" s="319" t="s">
        <v>7405</v>
      </c>
      <c r="F5010" s="198">
        <v>41405</v>
      </c>
      <c r="G5010" s="198"/>
      <c r="H5010" s="199">
        <v>1</v>
      </c>
      <c r="I5010" s="791">
        <f>TIME(0,44,31)</f>
        <v>3.0914351851851849E-2</v>
      </c>
      <c r="J5010" s="904" t="s">
        <v>1588</v>
      </c>
      <c r="K5010" s="200" t="s">
        <v>6764</v>
      </c>
      <c r="L5010" s="200" t="s">
        <v>2584</v>
      </c>
      <c r="M5010" s="200"/>
      <c r="N5010" s="200" t="s">
        <v>3810</v>
      </c>
      <c r="O5010" s="200" t="s">
        <v>6509</v>
      </c>
      <c r="P5010" s="197" t="s">
        <v>461</v>
      </c>
      <c r="Q5010" s="200" t="s">
        <v>3946</v>
      </c>
      <c r="R5010" s="201" t="s">
        <v>5280</v>
      </c>
      <c r="S5010" s="390" t="s">
        <v>6923</v>
      </c>
      <c r="T5010" s="197"/>
      <c r="U5010" s="197"/>
      <c r="V5010" s="197"/>
      <c r="W5010" s="319" t="s">
        <v>7405</v>
      </c>
      <c r="X5010" s="651" t="s">
        <v>10130</v>
      </c>
      <c r="Y5010" s="358" t="s">
        <v>7018</v>
      </c>
      <c r="Z5010" s="253">
        <v>260</v>
      </c>
      <c r="AA5010" s="253">
        <v>3</v>
      </c>
      <c r="AB5010" s="35">
        <f t="shared" ca="1" si="122"/>
        <v>0.71580570176302671</v>
      </c>
      <c r="AC5010" s="820"/>
      <c r="AD5010" s="821"/>
      <c r="AE5010" s="967"/>
      <c r="AF5010" s="925">
        <f>IF(X5010=X5009,AF5009,0)+IF(ISNUMBER(I5010),IF(I5010&lt;1,I5010,I5010*VLOOKUP(J5010,Summary!$H$2:$I$9,2)),VLOOKUP(J5010,Summary!$J$2:$K$9,2)*IF(ISNUMBER(H5010),H5010,1))</f>
        <v>0.65673611111111108</v>
      </c>
      <c r="AG5010" s="293">
        <v>5009</v>
      </c>
      <c r="AH5010" s="94"/>
      <c r="AI5010" s="94"/>
    </row>
    <row r="5011" spans="1:35" s="1" customFormat="1" ht="12" customHeight="1" x14ac:dyDescent="0.25">
      <c r="A5011" s="617" t="s">
        <v>13231</v>
      </c>
      <c r="B5011" s="617">
        <v>11</v>
      </c>
      <c r="C5011" s="617">
        <v>2.1</v>
      </c>
      <c r="D5011" s="407" t="s">
        <v>13235</v>
      </c>
      <c r="E5011" s="315" t="s">
        <v>13236</v>
      </c>
      <c r="F5011" s="196">
        <v>43146</v>
      </c>
      <c r="G5011" s="170"/>
      <c r="H5011" s="170">
        <v>1</v>
      </c>
      <c r="I5011" s="747">
        <f>TIME(0,60,0)</f>
        <v>4.1666666666666664E-2</v>
      </c>
      <c r="J5011" s="899" t="s">
        <v>4706</v>
      </c>
      <c r="K5011" s="167" t="s">
        <v>10797</v>
      </c>
      <c r="L5011" s="167" t="s">
        <v>2313</v>
      </c>
      <c r="M5011" s="167"/>
      <c r="N5011" s="167"/>
      <c r="O5011" s="167"/>
      <c r="P5011" s="168" t="s">
        <v>13037</v>
      </c>
      <c r="Q5011" s="167" t="s">
        <v>3947</v>
      </c>
      <c r="R5011" s="172" t="s">
        <v>11446</v>
      </c>
      <c r="S5011" s="388"/>
      <c r="T5011" s="168"/>
      <c r="U5011" s="168" t="s">
        <v>6924</v>
      </c>
      <c r="V5011" s="168"/>
      <c r="W5011" s="315" t="s">
        <v>13236</v>
      </c>
      <c r="X5011" s="644" t="s">
        <v>10130</v>
      </c>
      <c r="Y5011" s="352"/>
      <c r="Z5011" s="353"/>
      <c r="AA5011" s="353"/>
      <c r="AB5011" s="31">
        <f t="shared" ca="1" si="122"/>
        <v>0.79852596833388789</v>
      </c>
      <c r="AC5011" s="810"/>
      <c r="AD5011" s="825" t="s">
        <v>16653</v>
      </c>
      <c r="AE5011" s="940"/>
      <c r="AF5011" s="920">
        <f>IF(X5011=X5010,AF5010,0)+IF(ISNUMBER(I5011),IF(I5011&lt;1,I5011,I5011*VLOOKUP(J5011,Summary!$H$2:$I$9,2)),VLOOKUP(J5011,Summary!$J$2:$K$9,2)*IF(ISNUMBER(H5011),H5011,1))</f>
        <v>0.69840277777777771</v>
      </c>
      <c r="AG5011" s="287">
        <v>5010</v>
      </c>
      <c r="AH5011" s="94"/>
      <c r="AI5011" s="94"/>
    </row>
    <row r="5012" spans="1:35" s="22" customFormat="1" ht="12" customHeight="1" x14ac:dyDescent="0.25">
      <c r="A5012" s="618" t="s">
        <v>13231</v>
      </c>
      <c r="B5012" s="618">
        <v>11</v>
      </c>
      <c r="C5012" s="618"/>
      <c r="D5012" s="176" t="s">
        <v>8284</v>
      </c>
      <c r="E5012" s="313" t="s">
        <v>8287</v>
      </c>
      <c r="F5012" s="175">
        <v>41496</v>
      </c>
      <c r="G5012" s="175"/>
      <c r="H5012" s="176">
        <v>1</v>
      </c>
      <c r="I5012" s="176"/>
      <c r="J5012" s="900" t="s">
        <v>2755</v>
      </c>
      <c r="K5012" s="164" t="s">
        <v>5198</v>
      </c>
      <c r="L5012" s="164" t="s">
        <v>7928</v>
      </c>
      <c r="M5012" s="164"/>
      <c r="N5012" s="164" t="s">
        <v>5198</v>
      </c>
      <c r="O5012" s="164"/>
      <c r="P5012" s="173" t="s">
        <v>8286</v>
      </c>
      <c r="Q5012" s="164" t="s">
        <v>8285</v>
      </c>
      <c r="R5012" s="177" t="s">
        <v>4600</v>
      </c>
      <c r="S5012" s="354"/>
      <c r="T5012" s="173"/>
      <c r="U5012" s="173"/>
      <c r="V5012" s="173"/>
      <c r="W5012" s="313" t="s">
        <v>8287</v>
      </c>
      <c r="X5012" s="645" t="s">
        <v>10130</v>
      </c>
      <c r="Y5012" s="354"/>
      <c r="Z5012" s="176"/>
      <c r="AA5012" s="176"/>
      <c r="AB5012" s="32">
        <f t="shared" ca="1" si="122"/>
        <v>0.28360327717734324</v>
      </c>
      <c r="AC5012" s="812"/>
      <c r="AD5012" s="763"/>
      <c r="AE5012" s="807"/>
      <c r="AF5012" s="921">
        <f>IF(X5012=X5011,AF5011,0)+IF(ISNUMBER(I5012),IF(I5012&lt;1,I5012,I5012*VLOOKUP(J5012,Summary!$H$2:$I$9,2)),VLOOKUP(J5012,Summary!$J$2:$K$9,2)*IF(ISNUMBER(H5012),H5012,1))</f>
        <v>0.71576388888888887</v>
      </c>
      <c r="AG5012" s="289">
        <v>5011</v>
      </c>
      <c r="AH5012" s="94"/>
      <c r="AI5012" s="94"/>
    </row>
    <row r="5013" spans="1:35" s="1" customFormat="1" ht="12" customHeight="1" x14ac:dyDescent="0.25">
      <c r="A5013" s="614" t="s">
        <v>13231</v>
      </c>
      <c r="B5013" s="614">
        <v>11</v>
      </c>
      <c r="C5013" s="614"/>
      <c r="D5013" s="185" t="s">
        <v>8284</v>
      </c>
      <c r="E5013" s="314" t="s">
        <v>8288</v>
      </c>
      <c r="F5013" s="184">
        <v>41496</v>
      </c>
      <c r="G5013" s="184"/>
      <c r="H5013" s="185">
        <v>1</v>
      </c>
      <c r="I5013" s="185"/>
      <c r="J5013" s="901" t="s">
        <v>1796</v>
      </c>
      <c r="K5013" s="163" t="s">
        <v>5317</v>
      </c>
      <c r="L5013" s="163" t="s">
        <v>3832</v>
      </c>
      <c r="M5013" s="163"/>
      <c r="N5013" s="163" t="s">
        <v>5317</v>
      </c>
      <c r="O5013" s="163"/>
      <c r="P5013" s="182" t="s">
        <v>8286</v>
      </c>
      <c r="Q5013" s="163" t="s">
        <v>8285</v>
      </c>
      <c r="R5013" s="186" t="s">
        <v>4600</v>
      </c>
      <c r="S5013" s="355" t="s">
        <v>6923</v>
      </c>
      <c r="T5013" s="182"/>
      <c r="U5013" s="182"/>
      <c r="V5013" s="182"/>
      <c r="W5013" s="314" t="s">
        <v>8288</v>
      </c>
      <c r="X5013" s="646" t="s">
        <v>10130</v>
      </c>
      <c r="Y5013" s="355"/>
      <c r="Z5013" s="185"/>
      <c r="AA5013" s="185"/>
      <c r="AB5013" s="33">
        <f t="shared" ca="1" si="122"/>
        <v>0.81485943018717644</v>
      </c>
      <c r="AC5013" s="813"/>
      <c r="AD5013" s="211"/>
      <c r="AE5013" s="941"/>
      <c r="AF5013" s="922">
        <f>IF(X5013=X5012,AF5012,0)+IF(ISNUMBER(I5013),IF(I5013&lt;1,I5013,I5013*VLOOKUP(J5013,Summary!$H$2:$I$9,2)),VLOOKUP(J5013,Summary!$J$2:$K$9,2)*IF(ISNUMBER(H5013),H5013,1))</f>
        <v>0.71923611111111108</v>
      </c>
      <c r="AG5013" s="290">
        <v>5012</v>
      </c>
      <c r="AH5013" s="94"/>
      <c r="AI5013" s="94"/>
    </row>
    <row r="5014" spans="1:35" s="26" customFormat="1" ht="12" customHeight="1" x14ac:dyDescent="0.2">
      <c r="A5014" s="614" t="s">
        <v>13231</v>
      </c>
      <c r="B5014" s="614">
        <v>11</v>
      </c>
      <c r="C5014" s="614">
        <v>287</v>
      </c>
      <c r="D5014" s="185" t="s">
        <v>8276</v>
      </c>
      <c r="E5014" s="314" t="s">
        <v>8279</v>
      </c>
      <c r="F5014" s="184">
        <v>41542</v>
      </c>
      <c r="G5014" s="184"/>
      <c r="H5014" s="185">
        <v>1</v>
      </c>
      <c r="I5014" s="185">
        <v>4</v>
      </c>
      <c r="J5014" s="901" t="s">
        <v>1796</v>
      </c>
      <c r="K5014" s="163" t="s">
        <v>6353</v>
      </c>
      <c r="L5014" s="163" t="s">
        <v>3832</v>
      </c>
      <c r="M5014" s="163" t="s">
        <v>254</v>
      </c>
      <c r="N5014" s="163" t="s">
        <v>7370</v>
      </c>
      <c r="O5014" s="163"/>
      <c r="P5014" s="182" t="s">
        <v>461</v>
      </c>
      <c r="Q5014" s="163" t="s">
        <v>729</v>
      </c>
      <c r="R5014" s="186" t="s">
        <v>4796</v>
      </c>
      <c r="S5014" s="355" t="s">
        <v>6923</v>
      </c>
      <c r="T5014" s="182"/>
      <c r="U5014" s="182"/>
      <c r="V5014" s="182"/>
      <c r="W5014" s="314" t="s">
        <v>8279</v>
      </c>
      <c r="X5014" s="646" t="s">
        <v>10130</v>
      </c>
      <c r="Y5014" s="355"/>
      <c r="Z5014" s="185"/>
      <c r="AA5014" s="185"/>
      <c r="AB5014" s="33">
        <f t="shared" ca="1" si="122"/>
        <v>0.67556259923117501</v>
      </c>
      <c r="AC5014" s="813"/>
      <c r="AD5014" s="211"/>
      <c r="AE5014" s="941"/>
      <c r="AF5014" s="922">
        <f>IF(X5014=X5013,AF5013,0)+IF(ISNUMBER(I5014),IF(I5014&lt;1,I5014,I5014*VLOOKUP(J5014,Summary!$H$2:$I$9,2)),VLOOKUP(J5014,Summary!$J$2:$K$9,2)*IF(ISNUMBER(H5014),H5014,1))</f>
        <v>0.72062499999999996</v>
      </c>
      <c r="AG5014" s="290">
        <v>5013</v>
      </c>
      <c r="AH5014" s="94"/>
      <c r="AI5014" s="94"/>
    </row>
    <row r="5015" spans="1:35" s="57" customFormat="1" ht="12" customHeight="1" x14ac:dyDescent="0.25">
      <c r="A5015" s="614" t="s">
        <v>13231</v>
      </c>
      <c r="B5015" s="614">
        <v>11</v>
      </c>
      <c r="C5015" s="614">
        <v>288</v>
      </c>
      <c r="D5015" s="185" t="s">
        <v>8277</v>
      </c>
      <c r="E5015" s="314" t="s">
        <v>8280</v>
      </c>
      <c r="F5015" s="184" t="s">
        <v>8282</v>
      </c>
      <c r="G5015" s="184"/>
      <c r="H5015" s="185">
        <v>1</v>
      </c>
      <c r="I5015" s="185">
        <v>4</v>
      </c>
      <c r="J5015" s="901" t="s">
        <v>1796</v>
      </c>
      <c r="K5015" s="163" t="s">
        <v>8273</v>
      </c>
      <c r="L5015" s="163" t="s">
        <v>3832</v>
      </c>
      <c r="M5015" s="163" t="s">
        <v>254</v>
      </c>
      <c r="N5015" s="163" t="s">
        <v>7370</v>
      </c>
      <c r="O5015" s="163"/>
      <c r="P5015" s="182" t="s">
        <v>461</v>
      </c>
      <c r="Q5015" s="163" t="s">
        <v>729</v>
      </c>
      <c r="R5015" s="186" t="s">
        <v>4796</v>
      </c>
      <c r="S5015" s="355" t="s">
        <v>6923</v>
      </c>
      <c r="T5015" s="182"/>
      <c r="U5015" s="182"/>
      <c r="V5015" s="182"/>
      <c r="W5015" s="314" t="s">
        <v>8280</v>
      </c>
      <c r="X5015" s="646" t="s">
        <v>10130</v>
      </c>
      <c r="Y5015" s="355"/>
      <c r="Z5015" s="185"/>
      <c r="AA5015" s="185"/>
      <c r="AB5015" s="33">
        <f t="shared" ca="1" si="122"/>
        <v>6.7159890207343031E-2</v>
      </c>
      <c r="AC5015" s="813"/>
      <c r="AD5015" s="211"/>
      <c r="AE5015" s="941"/>
      <c r="AF5015" s="922">
        <f>IF(X5015=X5014,AF5014,0)+IF(ISNUMBER(I5015),IF(I5015&lt;1,I5015,I5015*VLOOKUP(J5015,Summary!$H$2:$I$9,2)),VLOOKUP(J5015,Summary!$J$2:$K$9,2)*IF(ISNUMBER(H5015),H5015,1))</f>
        <v>0.72201388888888884</v>
      </c>
      <c r="AG5015" s="290">
        <v>5014</v>
      </c>
      <c r="AH5015" s="94"/>
      <c r="AI5015" s="94"/>
    </row>
    <row r="5016" spans="1:35" s="22" customFormat="1" ht="12" customHeight="1" x14ac:dyDescent="0.2">
      <c r="A5016" s="614" t="s">
        <v>13231</v>
      </c>
      <c r="B5016" s="614">
        <v>11</v>
      </c>
      <c r="C5016" s="614">
        <v>289</v>
      </c>
      <c r="D5016" s="185" t="s">
        <v>8278</v>
      </c>
      <c r="E5016" s="314" t="s">
        <v>8281</v>
      </c>
      <c r="F5016" s="184">
        <v>41570</v>
      </c>
      <c r="G5016" s="184"/>
      <c r="H5016" s="185">
        <v>1</v>
      </c>
      <c r="I5016" s="185">
        <v>4</v>
      </c>
      <c r="J5016" s="901" t="s">
        <v>1796</v>
      </c>
      <c r="K5016" s="163" t="s">
        <v>5664</v>
      </c>
      <c r="L5016" s="163" t="s">
        <v>3832</v>
      </c>
      <c r="M5016" s="163" t="s">
        <v>254</v>
      </c>
      <c r="N5016" s="163" t="s">
        <v>7370</v>
      </c>
      <c r="O5016" s="163"/>
      <c r="P5016" s="182" t="s">
        <v>461</v>
      </c>
      <c r="Q5016" s="163" t="s">
        <v>729</v>
      </c>
      <c r="R5016" s="186" t="s">
        <v>4796</v>
      </c>
      <c r="S5016" s="355" t="s">
        <v>6923</v>
      </c>
      <c r="T5016" s="182"/>
      <c r="U5016" s="182"/>
      <c r="V5016" s="182"/>
      <c r="W5016" s="314" t="s">
        <v>8281</v>
      </c>
      <c r="X5016" s="646" t="s">
        <v>10130</v>
      </c>
      <c r="Y5016" s="355"/>
      <c r="Z5016" s="185"/>
      <c r="AA5016" s="185"/>
      <c r="AB5016" s="33">
        <f t="shared" ca="1" si="122"/>
        <v>0.41648280787996572</v>
      </c>
      <c r="AC5016" s="813"/>
      <c r="AD5016" s="211"/>
      <c r="AE5016" s="941"/>
      <c r="AF5016" s="922">
        <f>IF(X5016=X5015,AF5015,0)+IF(ISNUMBER(I5016),IF(I5016&lt;1,I5016,I5016*VLOOKUP(J5016,Summary!$H$2:$I$9,2)),VLOOKUP(J5016,Summary!$J$2:$K$9,2)*IF(ISNUMBER(H5016),H5016,1))</f>
        <v>0.72340277777777773</v>
      </c>
      <c r="AG5016" s="290">
        <v>5015</v>
      </c>
      <c r="AH5016" s="94"/>
      <c r="AI5016" s="94"/>
    </row>
    <row r="5017" spans="1:35" s="22" customFormat="1" ht="12" customHeight="1" x14ac:dyDescent="0.2">
      <c r="A5017" s="614" t="s">
        <v>13231</v>
      </c>
      <c r="B5017" s="614"/>
      <c r="C5017" s="614"/>
      <c r="D5017" s="185" t="s">
        <v>8302</v>
      </c>
      <c r="E5017" s="314" t="s">
        <v>8300</v>
      </c>
      <c r="F5017" s="184">
        <v>41583</v>
      </c>
      <c r="G5017" s="184"/>
      <c r="H5017" s="185">
        <v>1</v>
      </c>
      <c r="I5017" s="185"/>
      <c r="J5017" s="901" t="s">
        <v>1796</v>
      </c>
      <c r="K5017" s="163" t="s">
        <v>2335</v>
      </c>
      <c r="L5017" s="163" t="s">
        <v>8301</v>
      </c>
      <c r="M5017" s="163" t="s">
        <v>2150</v>
      </c>
      <c r="N5017" s="163"/>
      <c r="O5017" s="163"/>
      <c r="P5017" s="182" t="s">
        <v>461</v>
      </c>
      <c r="Q5017" s="163" t="s">
        <v>5719</v>
      </c>
      <c r="R5017" s="186" t="s">
        <v>5718</v>
      </c>
      <c r="S5017" s="355"/>
      <c r="T5017" s="182"/>
      <c r="U5017" s="182"/>
      <c r="V5017" s="182"/>
      <c r="W5017" s="314" t="s">
        <v>8300</v>
      </c>
      <c r="X5017" s="646" t="s">
        <v>10130</v>
      </c>
      <c r="Y5017" s="355"/>
      <c r="Z5017" s="185"/>
      <c r="AA5017" s="185"/>
      <c r="AB5017" s="33">
        <f t="shared" ca="1" si="122"/>
        <v>0.73555767170137032</v>
      </c>
      <c r="AC5017" s="813"/>
      <c r="AD5017" s="211"/>
      <c r="AE5017" s="941"/>
      <c r="AF5017" s="922">
        <f>IF(X5017=X5016,AF5016,0)+IF(ISNUMBER(I5017),IF(I5017&lt;1,I5017,I5017*VLOOKUP(J5017,Summary!$H$2:$I$9,2)),VLOOKUP(J5017,Summary!$J$2:$K$9,2)*IF(ISNUMBER(H5017),H5017,1))</f>
        <v>0.72687499999999994</v>
      </c>
      <c r="AG5017" s="290">
        <v>5016</v>
      </c>
      <c r="AH5017" s="94"/>
      <c r="AI5017" s="94"/>
    </row>
    <row r="5018" spans="1:35" s="22" customFormat="1" ht="12" customHeight="1" x14ac:dyDescent="0.2">
      <c r="A5018" s="614" t="s">
        <v>13231</v>
      </c>
      <c r="B5018" s="614">
        <v>11</v>
      </c>
      <c r="C5018" s="614">
        <v>158</v>
      </c>
      <c r="D5018" s="185" t="s">
        <v>8292</v>
      </c>
      <c r="E5018" s="314" t="s">
        <v>8293</v>
      </c>
      <c r="F5018" s="183">
        <v>41548</v>
      </c>
      <c r="G5018" s="183">
        <v>41579</v>
      </c>
      <c r="H5018" s="185">
        <v>2</v>
      </c>
      <c r="I5018" s="185">
        <v>24</v>
      </c>
      <c r="J5018" s="901" t="s">
        <v>1796</v>
      </c>
      <c r="K5018" s="163" t="s">
        <v>5251</v>
      </c>
      <c r="L5018" s="163" t="s">
        <v>3551</v>
      </c>
      <c r="M5018" s="163" t="s">
        <v>3551</v>
      </c>
      <c r="N5018" s="163" t="s">
        <v>5742</v>
      </c>
      <c r="O5018" s="163"/>
      <c r="P5018" s="182" t="s">
        <v>461</v>
      </c>
      <c r="Q5018" s="163" t="s">
        <v>4104</v>
      </c>
      <c r="R5018" s="186" t="s">
        <v>5266</v>
      </c>
      <c r="S5018" s="355" t="s">
        <v>6923</v>
      </c>
      <c r="T5018" s="182"/>
      <c r="U5018" s="182"/>
      <c r="V5018" s="182"/>
      <c r="W5018" s="314"/>
      <c r="X5018" s="646" t="s">
        <v>10130</v>
      </c>
      <c r="Y5018" s="355"/>
      <c r="Z5018" s="185"/>
      <c r="AA5018" s="185"/>
      <c r="AB5018" s="33">
        <f t="shared" ca="1" si="122"/>
        <v>0.85869634923199412</v>
      </c>
      <c r="AC5018" s="813"/>
      <c r="AD5018" s="211"/>
      <c r="AE5018" s="941"/>
      <c r="AF5018" s="922">
        <f>IF(X5018=X5017,AF5017,0)+IF(ISNUMBER(I5018),IF(I5018&lt;1,I5018,I5018*VLOOKUP(J5018,Summary!$H$2:$I$9,2)),VLOOKUP(J5018,Summary!$J$2:$K$9,2)*IF(ISNUMBER(H5018),H5018,1))</f>
        <v>0.73520833333333324</v>
      </c>
      <c r="AG5018" s="290">
        <v>5017</v>
      </c>
      <c r="AH5018" s="94"/>
      <c r="AI5018" s="94"/>
    </row>
    <row r="5019" spans="1:35" s="27" customFormat="1" ht="12" customHeight="1" x14ac:dyDescent="0.25">
      <c r="A5019" s="613" t="s">
        <v>13231</v>
      </c>
      <c r="B5019" s="613">
        <v>11</v>
      </c>
      <c r="C5019" s="613"/>
      <c r="D5019" s="509" t="s">
        <v>3112</v>
      </c>
      <c r="E5019" s="335" t="s">
        <v>7981</v>
      </c>
      <c r="F5019" s="223">
        <v>41420</v>
      </c>
      <c r="G5019" s="223"/>
      <c r="H5019" s="242">
        <v>1</v>
      </c>
      <c r="I5019" s="792">
        <f>TIME(0,2,10)</f>
        <v>1.5046296296296294E-3</v>
      </c>
      <c r="J5019" s="909" t="s">
        <v>1588</v>
      </c>
      <c r="K5019" s="243" t="s">
        <v>3810</v>
      </c>
      <c r="L5019" s="243"/>
      <c r="M5019" s="243"/>
      <c r="N5019" s="243" t="s">
        <v>3810</v>
      </c>
      <c r="O5019" s="243" t="s">
        <v>6509</v>
      </c>
      <c r="P5019" s="241" t="s">
        <v>461</v>
      </c>
      <c r="Q5019" s="243" t="s">
        <v>3946</v>
      </c>
      <c r="R5019" s="244" t="s">
        <v>7896</v>
      </c>
      <c r="S5019" s="395"/>
      <c r="T5019" s="241"/>
      <c r="U5019" s="241"/>
      <c r="V5019" s="241"/>
      <c r="W5019" s="335" t="s">
        <v>7981</v>
      </c>
      <c r="X5019" s="667" t="s">
        <v>10130</v>
      </c>
      <c r="Y5019" s="375"/>
      <c r="Z5019" s="377"/>
      <c r="AA5019" s="377"/>
      <c r="AB5019" s="55">
        <f t="shared" ca="1" si="122"/>
        <v>0.82158923552481522</v>
      </c>
      <c r="AC5019" s="834"/>
      <c r="AD5019" s="835"/>
      <c r="AE5019" s="957"/>
      <c r="AF5019" s="930">
        <f>IF(X5019=X5018,AF5018,0)+IF(ISNUMBER(I5019),IF(I5019&lt;1,I5019,I5019*VLOOKUP(J5019,Summary!$H$2:$I$9,2)),VLOOKUP(J5019,Summary!$J$2:$K$9,2)*IF(ISNUMBER(H5019),H5019,1))</f>
        <v>0.73671296296296285</v>
      </c>
      <c r="AG5019" s="302">
        <v>5018</v>
      </c>
      <c r="AH5019" s="94"/>
      <c r="AI5019" s="94"/>
    </row>
    <row r="5020" spans="1:35" s="22" customFormat="1" ht="12" customHeight="1" x14ac:dyDescent="0.25">
      <c r="A5020" s="612" t="s">
        <v>13231</v>
      </c>
      <c r="B5020" s="612">
        <v>11</v>
      </c>
      <c r="C5020" s="612">
        <v>239</v>
      </c>
      <c r="D5020" s="424" t="s">
        <v>7399</v>
      </c>
      <c r="E5020" s="319" t="s">
        <v>7406</v>
      </c>
      <c r="F5020" s="198">
        <v>41412</v>
      </c>
      <c r="G5020" s="198"/>
      <c r="H5020" s="199">
        <v>1</v>
      </c>
      <c r="I5020" s="791">
        <f>TIME(0,44,20)</f>
        <v>3.078703703703704E-2</v>
      </c>
      <c r="J5020" s="904" t="s">
        <v>1588</v>
      </c>
      <c r="K5020" s="200" t="s">
        <v>3810</v>
      </c>
      <c r="L5020" s="200" t="s">
        <v>6508</v>
      </c>
      <c r="M5020" s="200"/>
      <c r="N5020" s="200" t="s">
        <v>3810</v>
      </c>
      <c r="O5020" s="200" t="s">
        <v>6509</v>
      </c>
      <c r="P5020" s="197" t="s">
        <v>461</v>
      </c>
      <c r="Q5020" s="200" t="s">
        <v>3946</v>
      </c>
      <c r="R5020" s="201" t="s">
        <v>5280</v>
      </c>
      <c r="S5020" s="390" t="s">
        <v>6923</v>
      </c>
      <c r="T5020" s="197" t="s">
        <v>6925</v>
      </c>
      <c r="U5020" s="197" t="s">
        <v>7344</v>
      </c>
      <c r="V5020" s="197" t="s">
        <v>12159</v>
      </c>
      <c r="W5020" s="319" t="s">
        <v>7406</v>
      </c>
      <c r="X5020" s="651" t="s">
        <v>10130</v>
      </c>
      <c r="Y5020" s="358" t="s">
        <v>7018</v>
      </c>
      <c r="Z5020" s="253">
        <v>161</v>
      </c>
      <c r="AA5020" s="253">
        <v>5</v>
      </c>
      <c r="AB5020" s="35">
        <f t="shared" ca="1" si="122"/>
        <v>0.36836255307239452</v>
      </c>
      <c r="AC5020" s="820"/>
      <c r="AD5020" s="821"/>
      <c r="AE5020" s="967"/>
      <c r="AF5020" s="925">
        <f>IF(X5020=X5019,AF5019,0)+IF(ISNUMBER(I5020),IF(I5020&lt;1,I5020,I5020*VLOOKUP(J5020,Summary!$H$2:$I$9,2)),VLOOKUP(J5020,Summary!$J$2:$K$9,2)*IF(ISNUMBER(H5020),H5020,1))</f>
        <v>0.76749999999999985</v>
      </c>
      <c r="AG5020" s="293">
        <v>5019</v>
      </c>
      <c r="AH5020" s="94"/>
      <c r="AI5020" s="94"/>
    </row>
    <row r="5021" spans="1:35" s="22" customFormat="1" ht="12" customHeight="1" x14ac:dyDescent="0.25">
      <c r="A5021" s="613" t="s">
        <v>13231</v>
      </c>
      <c r="B5021" s="613">
        <v>11</v>
      </c>
      <c r="C5021" s="613"/>
      <c r="D5021" s="509" t="s">
        <v>3112</v>
      </c>
      <c r="E5021" s="335" t="s">
        <v>7994</v>
      </c>
      <c r="F5021" s="223">
        <v>41405</v>
      </c>
      <c r="G5021" s="223"/>
      <c r="H5021" s="242">
        <v>1</v>
      </c>
      <c r="I5021" s="792">
        <f>TIME(0,3,31)</f>
        <v>2.4421296296296296E-3</v>
      </c>
      <c r="J5021" s="909" t="s">
        <v>1588</v>
      </c>
      <c r="K5021" s="243" t="s">
        <v>3810</v>
      </c>
      <c r="L5021" s="243" t="s">
        <v>6508</v>
      </c>
      <c r="M5021" s="243"/>
      <c r="N5021" s="243" t="s">
        <v>3810</v>
      </c>
      <c r="O5021" s="243" t="s">
        <v>6509</v>
      </c>
      <c r="P5021" s="241" t="s">
        <v>461</v>
      </c>
      <c r="Q5021" s="243" t="s">
        <v>3946</v>
      </c>
      <c r="R5021" s="244" t="s">
        <v>7896</v>
      </c>
      <c r="S5021" s="395" t="s">
        <v>6923</v>
      </c>
      <c r="T5021" s="241"/>
      <c r="U5021" s="241"/>
      <c r="V5021" s="241"/>
      <c r="W5021" s="335" t="s">
        <v>7994</v>
      </c>
      <c r="X5021" s="667" t="s">
        <v>10130</v>
      </c>
      <c r="Y5021" s="375"/>
      <c r="Z5021" s="377"/>
      <c r="AA5021" s="377"/>
      <c r="AB5021" s="55">
        <f t="shared" ca="1" si="122"/>
        <v>0.29486966254468772</v>
      </c>
      <c r="AC5021" s="834"/>
      <c r="AD5021" s="835"/>
      <c r="AE5021" s="957"/>
      <c r="AF5021" s="930">
        <f>IF(X5021=X5020,AF5020,0)+IF(ISNUMBER(I5021),IF(I5021&lt;1,I5021,I5021*VLOOKUP(J5021,Summary!$H$2:$I$9,2)),VLOOKUP(J5021,Summary!$J$2:$K$9,2)*IF(ISNUMBER(H5021),H5021,1))</f>
        <v>0.76994212962962949</v>
      </c>
      <c r="AG5021" s="302">
        <v>5020</v>
      </c>
      <c r="AH5021" s="94"/>
      <c r="AI5021" s="94"/>
    </row>
    <row r="5022" spans="1:35" s="3" customFormat="1" ht="12" customHeight="1" x14ac:dyDescent="0.25">
      <c r="A5022" s="614" t="s">
        <v>13232</v>
      </c>
      <c r="B5022" s="614">
        <v>11</v>
      </c>
      <c r="C5022" s="614"/>
      <c r="D5022" s="185" t="s">
        <v>13453</v>
      </c>
      <c r="E5022" s="314" t="s">
        <v>13454</v>
      </c>
      <c r="F5022" s="184">
        <v>41632</v>
      </c>
      <c r="G5022" s="184"/>
      <c r="H5022" s="185">
        <v>1</v>
      </c>
      <c r="I5022" s="185">
        <v>40</v>
      </c>
      <c r="J5022" s="901" t="s">
        <v>1796</v>
      </c>
      <c r="K5022" s="163" t="s">
        <v>3807</v>
      </c>
      <c r="L5022" s="163" t="s">
        <v>13455</v>
      </c>
      <c r="M5022" s="163"/>
      <c r="N5022" s="163"/>
      <c r="O5022" s="163"/>
      <c r="P5022" s="182" t="s">
        <v>461</v>
      </c>
      <c r="Q5022" s="163" t="s">
        <v>5719</v>
      </c>
      <c r="R5022" s="186" t="s">
        <v>5718</v>
      </c>
      <c r="S5022" s="355"/>
      <c r="T5022" s="182"/>
      <c r="U5022" s="182"/>
      <c r="V5022" s="182"/>
      <c r="W5022" s="314" t="s">
        <v>13454</v>
      </c>
      <c r="X5022" s="646" t="s">
        <v>10130</v>
      </c>
      <c r="Y5022" s="355" t="s">
        <v>6000</v>
      </c>
      <c r="Z5022" s="185"/>
      <c r="AA5022" s="185"/>
      <c r="AB5022" s="33">
        <f t="shared" ca="1" si="122"/>
        <v>0.90471369016754477</v>
      </c>
      <c r="AC5022" s="813"/>
      <c r="AD5022" s="211"/>
      <c r="AE5022" s="941"/>
      <c r="AF5022" s="922">
        <f>IF(X5022=X5021,AF5021,0)+IF(ISNUMBER(I5022),IF(I5022&lt;1,I5022,I5022*VLOOKUP(J5022,Summary!$H$2:$I$9,2)),VLOOKUP(J5022,Summary!$J$2:$K$9,2)*IF(ISNUMBER(H5022),H5022,1))</f>
        <v>0.78383101851851833</v>
      </c>
      <c r="AG5022" s="290">
        <v>5021</v>
      </c>
      <c r="AH5022" s="94"/>
      <c r="AI5022" s="94"/>
    </row>
    <row r="5023" spans="1:35" s="1" customFormat="1" ht="12" customHeight="1" x14ac:dyDescent="0.25">
      <c r="A5023" s="765" t="s">
        <v>13232</v>
      </c>
      <c r="B5023" s="765">
        <v>11</v>
      </c>
      <c r="C5023" s="765"/>
      <c r="D5023" s="226" t="s">
        <v>13456</v>
      </c>
      <c r="E5023" s="331" t="s">
        <v>13457</v>
      </c>
      <c r="F5023" s="233">
        <v>41416</v>
      </c>
      <c r="G5023" s="233">
        <v>41500</v>
      </c>
      <c r="H5023" s="226">
        <v>4</v>
      </c>
      <c r="I5023" s="226">
        <v>88</v>
      </c>
      <c r="J5023" s="907" t="s">
        <v>1796</v>
      </c>
      <c r="K5023" s="228" t="s">
        <v>13458</v>
      </c>
      <c r="L5023" s="228" t="s">
        <v>13459</v>
      </c>
      <c r="M5023" s="228" t="s">
        <v>6567</v>
      </c>
      <c r="N5023" s="228" t="s">
        <v>6573</v>
      </c>
      <c r="O5023" s="228"/>
      <c r="P5023" s="225" t="s">
        <v>461</v>
      </c>
      <c r="Q5023" s="228" t="s">
        <v>5719</v>
      </c>
      <c r="R5023" s="227" t="s">
        <v>5718</v>
      </c>
      <c r="S5023" s="369" t="s">
        <v>6923</v>
      </c>
      <c r="T5023" s="225"/>
      <c r="U5023" s="225"/>
      <c r="V5023" s="225"/>
      <c r="W5023" s="331"/>
      <c r="X5023" s="663" t="s">
        <v>10130</v>
      </c>
      <c r="Y5023" s="369" t="s">
        <v>6000</v>
      </c>
      <c r="Z5023" s="226"/>
      <c r="AA5023" s="226"/>
      <c r="AB5023" s="38">
        <f t="shared" ca="1" si="122"/>
        <v>0.98378856937045722</v>
      </c>
      <c r="AC5023" s="830"/>
      <c r="AD5023" s="831"/>
      <c r="AE5023" s="963"/>
      <c r="AF5023" s="928">
        <f>IF(X5023=X5022,AF5022,0)+IF(ISNUMBER(I5023),IF(I5023&lt;1,I5023,I5023*VLOOKUP(J5023,Summary!$H$2:$I$9,2)),VLOOKUP(J5023,Summary!$J$2:$K$9,2)*IF(ISNUMBER(H5023),H5023,1))</f>
        <v>0.81438657407407389</v>
      </c>
      <c r="AG5023" s="304">
        <v>5022</v>
      </c>
      <c r="AH5023" s="94"/>
      <c r="AI5023" s="94"/>
    </row>
    <row r="5024" spans="1:35" s="1" customFormat="1" ht="12" customHeight="1" x14ac:dyDescent="0.25">
      <c r="A5024" s="765" t="s">
        <v>13232</v>
      </c>
      <c r="B5024" s="765">
        <v>11</v>
      </c>
      <c r="C5024" s="765"/>
      <c r="D5024" s="226" t="s">
        <v>13460</v>
      </c>
      <c r="E5024" s="331" t="s">
        <v>13461</v>
      </c>
      <c r="F5024" s="233">
        <v>41535</v>
      </c>
      <c r="G5024" s="233">
        <v>41612</v>
      </c>
      <c r="H5024" s="226">
        <v>4</v>
      </c>
      <c r="I5024" s="226">
        <v>85</v>
      </c>
      <c r="J5024" s="907" t="s">
        <v>1796</v>
      </c>
      <c r="K5024" s="228" t="s">
        <v>3303</v>
      </c>
      <c r="L5024" s="228" t="s">
        <v>4138</v>
      </c>
      <c r="M5024" s="228" t="s">
        <v>6567</v>
      </c>
      <c r="N5024" s="228" t="s">
        <v>6573</v>
      </c>
      <c r="O5024" s="228"/>
      <c r="P5024" s="225" t="s">
        <v>461</v>
      </c>
      <c r="Q5024" s="228" t="s">
        <v>5719</v>
      </c>
      <c r="R5024" s="227" t="s">
        <v>5718</v>
      </c>
      <c r="S5024" s="369" t="s">
        <v>6923</v>
      </c>
      <c r="T5024" s="225"/>
      <c r="U5024" s="225"/>
      <c r="V5024" s="225"/>
      <c r="W5024" s="331"/>
      <c r="X5024" s="663" t="s">
        <v>10130</v>
      </c>
      <c r="Y5024" s="369" t="s">
        <v>6000</v>
      </c>
      <c r="Z5024" s="226"/>
      <c r="AA5024" s="226"/>
      <c r="AB5024" s="38">
        <f t="shared" ca="1" si="122"/>
        <v>0.72781595369518248</v>
      </c>
      <c r="AC5024" s="830"/>
      <c r="AD5024" s="831"/>
      <c r="AE5024" s="963"/>
      <c r="AF5024" s="928">
        <f>IF(X5024=X5023,AF5023,0)+IF(ISNUMBER(I5024),IF(I5024&lt;1,I5024,I5024*VLOOKUP(J5024,Summary!$H$2:$I$9,2)),VLOOKUP(J5024,Summary!$J$2:$K$9,2)*IF(ISNUMBER(H5024),H5024,1))</f>
        <v>0.84390046296296273</v>
      </c>
      <c r="AG5024" s="304">
        <v>5023</v>
      </c>
      <c r="AH5024" s="94"/>
      <c r="AI5024" s="94"/>
    </row>
    <row r="5025" spans="1:35" s="22" customFormat="1" ht="12" customHeight="1" x14ac:dyDescent="0.2">
      <c r="A5025" s="614" t="s">
        <v>13232</v>
      </c>
      <c r="B5025" s="614">
        <v>11</v>
      </c>
      <c r="C5025" s="614">
        <v>290</v>
      </c>
      <c r="D5025" s="185" t="s">
        <v>9437</v>
      </c>
      <c r="E5025" s="314" t="s">
        <v>9440</v>
      </c>
      <c r="F5025" s="184">
        <v>41584</v>
      </c>
      <c r="G5025" s="184"/>
      <c r="H5025" s="185">
        <v>1</v>
      </c>
      <c r="I5025" s="185">
        <v>4</v>
      </c>
      <c r="J5025" s="901" t="s">
        <v>1796</v>
      </c>
      <c r="K5025" s="163" t="s">
        <v>4672</v>
      </c>
      <c r="L5025" s="163" t="s">
        <v>3832</v>
      </c>
      <c r="M5025" s="163" t="s">
        <v>254</v>
      </c>
      <c r="N5025" s="163" t="s">
        <v>7370</v>
      </c>
      <c r="O5025" s="163"/>
      <c r="P5025" s="182" t="s">
        <v>461</v>
      </c>
      <c r="Q5025" s="163" t="s">
        <v>729</v>
      </c>
      <c r="R5025" s="186" t="s">
        <v>4796</v>
      </c>
      <c r="S5025" s="355" t="s">
        <v>6923</v>
      </c>
      <c r="T5025" s="182">
        <v>1</v>
      </c>
      <c r="U5025" s="182" t="s">
        <v>2326</v>
      </c>
      <c r="V5025" s="182"/>
      <c r="W5025" s="314" t="s">
        <v>9440</v>
      </c>
      <c r="X5025" s="646" t="s">
        <v>10130</v>
      </c>
      <c r="Y5025" s="355"/>
      <c r="Z5025" s="185"/>
      <c r="AA5025" s="185"/>
      <c r="AB5025" s="33">
        <f t="shared" ca="1" si="122"/>
        <v>0.86469322647904201</v>
      </c>
      <c r="AC5025" s="813"/>
      <c r="AD5025" s="211"/>
      <c r="AE5025" s="941"/>
      <c r="AF5025" s="922">
        <f>IF(X5025=X5024,AF5024,0)+IF(ISNUMBER(I5025),IF(I5025&lt;1,I5025,I5025*VLOOKUP(J5025,Summary!$H$2:$I$9,2)),VLOOKUP(J5025,Summary!$J$2:$K$9,2)*IF(ISNUMBER(H5025),H5025,1))</f>
        <v>0.84528935185185161</v>
      </c>
      <c r="AG5025" s="290">
        <v>5024</v>
      </c>
      <c r="AH5025" s="94"/>
      <c r="AI5025" s="94"/>
    </row>
    <row r="5026" spans="1:35" s="22" customFormat="1" ht="12" customHeight="1" x14ac:dyDescent="0.2">
      <c r="A5026" s="614" t="s">
        <v>13232</v>
      </c>
      <c r="B5026" s="614">
        <v>11</v>
      </c>
      <c r="C5026" s="614">
        <v>291</v>
      </c>
      <c r="D5026" s="185" t="s">
        <v>9438</v>
      </c>
      <c r="E5026" s="314" t="s">
        <v>9441</v>
      </c>
      <c r="F5026" s="184">
        <v>41605</v>
      </c>
      <c r="G5026" s="184"/>
      <c r="H5026" s="185">
        <v>1</v>
      </c>
      <c r="I5026" s="185">
        <v>4</v>
      </c>
      <c r="J5026" s="901" t="s">
        <v>1796</v>
      </c>
      <c r="K5026" s="163" t="s">
        <v>8238</v>
      </c>
      <c r="L5026" s="163" t="s">
        <v>3832</v>
      </c>
      <c r="M5026" s="163" t="s">
        <v>254</v>
      </c>
      <c r="N5026" s="163" t="s">
        <v>7370</v>
      </c>
      <c r="O5026" s="163"/>
      <c r="P5026" s="182" t="s">
        <v>461</v>
      </c>
      <c r="Q5026" s="163" t="s">
        <v>729</v>
      </c>
      <c r="R5026" s="186" t="s">
        <v>4796</v>
      </c>
      <c r="S5026" s="355" t="s">
        <v>6923</v>
      </c>
      <c r="T5026" s="182"/>
      <c r="U5026" s="182"/>
      <c r="V5026" s="182"/>
      <c r="W5026" s="314" t="s">
        <v>9441</v>
      </c>
      <c r="X5026" s="646" t="s">
        <v>10130</v>
      </c>
      <c r="Y5026" s="355"/>
      <c r="Z5026" s="185"/>
      <c r="AA5026" s="185"/>
      <c r="AB5026" s="33">
        <f t="shared" ca="1" si="122"/>
        <v>0.45951884092283202</v>
      </c>
      <c r="AC5026" s="813"/>
      <c r="AD5026" s="211"/>
      <c r="AE5026" s="941"/>
      <c r="AF5026" s="922">
        <f>IF(X5026=X5025,AF5025,0)+IF(ISNUMBER(I5026),IF(I5026&lt;1,I5026,I5026*VLOOKUP(J5026,Summary!$H$2:$I$9,2)),VLOOKUP(J5026,Summary!$J$2:$K$9,2)*IF(ISNUMBER(H5026),H5026,1))</f>
        <v>0.8466782407407405</v>
      </c>
      <c r="AG5026" s="290">
        <v>5025</v>
      </c>
      <c r="AH5026" s="94"/>
      <c r="AI5026" s="94"/>
    </row>
    <row r="5027" spans="1:35" s="27" customFormat="1" ht="12" customHeight="1" x14ac:dyDescent="0.25">
      <c r="A5027" s="614" t="s">
        <v>13232</v>
      </c>
      <c r="B5027" s="614">
        <v>11</v>
      </c>
      <c r="C5027" s="614">
        <v>292</v>
      </c>
      <c r="D5027" s="185" t="s">
        <v>9439</v>
      </c>
      <c r="E5027" s="314" t="s">
        <v>9442</v>
      </c>
      <c r="F5027" s="184">
        <v>41619</v>
      </c>
      <c r="G5027" s="184"/>
      <c r="H5027" s="185">
        <v>1</v>
      </c>
      <c r="I5027" s="185">
        <v>4</v>
      </c>
      <c r="J5027" s="901" t="s">
        <v>1796</v>
      </c>
      <c r="K5027" s="163" t="s">
        <v>5664</v>
      </c>
      <c r="L5027" s="163" t="s">
        <v>3832</v>
      </c>
      <c r="M5027" s="163" t="s">
        <v>254</v>
      </c>
      <c r="N5027" s="163" t="s">
        <v>7370</v>
      </c>
      <c r="O5027" s="163"/>
      <c r="P5027" s="182" t="s">
        <v>461</v>
      </c>
      <c r="Q5027" s="163" t="s">
        <v>729</v>
      </c>
      <c r="R5027" s="186" t="s">
        <v>4796</v>
      </c>
      <c r="S5027" s="355" t="s">
        <v>6923</v>
      </c>
      <c r="T5027" s="182"/>
      <c r="U5027" s="182"/>
      <c r="V5027" s="182"/>
      <c r="W5027" s="314" t="s">
        <v>9442</v>
      </c>
      <c r="X5027" s="646" t="s">
        <v>10130</v>
      </c>
      <c r="Y5027" s="355"/>
      <c r="Z5027" s="185"/>
      <c r="AA5027" s="185"/>
      <c r="AB5027" s="33">
        <f t="shared" ca="1" si="122"/>
        <v>0.22651383618802146</v>
      </c>
      <c r="AC5027" s="813"/>
      <c r="AD5027" s="211"/>
      <c r="AE5027" s="941"/>
      <c r="AF5027" s="922">
        <f>IF(X5027=X5026,AF5026,0)+IF(ISNUMBER(I5027),IF(I5027&lt;1,I5027,I5027*VLOOKUP(J5027,Summary!$H$2:$I$9,2)),VLOOKUP(J5027,Summary!$J$2:$K$9,2)*IF(ISNUMBER(H5027),H5027,1))</f>
        <v>0.84806712962962938</v>
      </c>
      <c r="AG5027" s="290">
        <v>5026</v>
      </c>
      <c r="AH5027" s="124"/>
      <c r="AI5027" s="124"/>
    </row>
    <row r="5028" spans="1:35" s="1" customFormat="1" ht="12" customHeight="1" x14ac:dyDescent="0.25">
      <c r="A5028" s="614" t="s">
        <v>13232</v>
      </c>
      <c r="B5028" s="614">
        <v>11</v>
      </c>
      <c r="C5028" s="614">
        <v>159</v>
      </c>
      <c r="D5028" s="185" t="s">
        <v>8294</v>
      </c>
      <c r="E5028" s="314" t="s">
        <v>8295</v>
      </c>
      <c r="F5028" s="183">
        <v>41579</v>
      </c>
      <c r="G5028" s="183"/>
      <c r="H5028" s="185">
        <v>1</v>
      </c>
      <c r="I5028" s="185">
        <v>12</v>
      </c>
      <c r="J5028" s="901" t="s">
        <v>1796</v>
      </c>
      <c r="K5028" s="163" t="s">
        <v>5251</v>
      </c>
      <c r="L5028" s="163" t="s">
        <v>6061</v>
      </c>
      <c r="M5028" s="163" t="s">
        <v>252</v>
      </c>
      <c r="N5028" s="163" t="s">
        <v>5742</v>
      </c>
      <c r="O5028" s="163"/>
      <c r="P5028" s="182" t="s">
        <v>461</v>
      </c>
      <c r="Q5028" s="163" t="s">
        <v>4104</v>
      </c>
      <c r="R5028" s="186" t="s">
        <v>5266</v>
      </c>
      <c r="S5028" s="355" t="s">
        <v>6923</v>
      </c>
      <c r="T5028" s="182"/>
      <c r="U5028" s="182"/>
      <c r="V5028" s="182"/>
      <c r="W5028" s="314" t="s">
        <v>8295</v>
      </c>
      <c r="X5028" s="646" t="s">
        <v>10130</v>
      </c>
      <c r="Y5028" s="355"/>
      <c r="Z5028" s="185"/>
      <c r="AA5028" s="185"/>
      <c r="AB5028" s="33">
        <f t="shared" ca="1" si="122"/>
        <v>3.8416023504165286E-2</v>
      </c>
      <c r="AC5028" s="813"/>
      <c r="AD5028" s="211"/>
      <c r="AE5028" s="941"/>
      <c r="AF5028" s="922">
        <f>IF(X5028=X5027,AF5027,0)+IF(ISNUMBER(I5028),IF(I5028&lt;1,I5028,I5028*VLOOKUP(J5028,Summary!$H$2:$I$9,2)),VLOOKUP(J5028,Summary!$J$2:$K$9,2)*IF(ISNUMBER(H5028),H5028,1))</f>
        <v>0.85223379629629603</v>
      </c>
      <c r="AG5028" s="290">
        <v>5027</v>
      </c>
      <c r="AH5028" s="94"/>
      <c r="AI5028" s="94"/>
    </row>
    <row r="5029" spans="1:35" s="1" customFormat="1" ht="12" customHeight="1" x14ac:dyDescent="0.25">
      <c r="A5029" s="618" t="s">
        <v>13232</v>
      </c>
      <c r="B5029" s="618">
        <v>11</v>
      </c>
      <c r="C5029" s="618">
        <v>2</v>
      </c>
      <c r="D5029" s="176" t="s">
        <v>10085</v>
      </c>
      <c r="E5029" s="313" t="s">
        <v>10086</v>
      </c>
      <c r="F5029" s="175">
        <v>42222</v>
      </c>
      <c r="G5029" s="174"/>
      <c r="H5029" s="176" t="s">
        <v>461</v>
      </c>
      <c r="I5029" s="176"/>
      <c r="J5029" s="900" t="s">
        <v>2755</v>
      </c>
      <c r="K5029" s="164" t="s">
        <v>7375</v>
      </c>
      <c r="L5029" s="164" t="s">
        <v>461</v>
      </c>
      <c r="M5029" s="164"/>
      <c r="N5029" s="164"/>
      <c r="O5029" s="164"/>
      <c r="P5029" s="173" t="s">
        <v>10083</v>
      </c>
      <c r="Q5029" s="164" t="s">
        <v>3953</v>
      </c>
      <c r="R5029" s="177" t="s">
        <v>10084</v>
      </c>
      <c r="S5029" s="354" t="s">
        <v>6923</v>
      </c>
      <c r="T5029" s="173"/>
      <c r="U5029" s="173"/>
      <c r="V5029" s="173"/>
      <c r="W5029" s="313" t="s">
        <v>10086</v>
      </c>
      <c r="X5029" s="645" t="s">
        <v>10130</v>
      </c>
      <c r="Y5029" s="354"/>
      <c r="Z5029" s="176"/>
      <c r="AA5029" s="176"/>
      <c r="AB5029" s="32">
        <f t="shared" ca="1" si="122"/>
        <v>0.74641381213301761</v>
      </c>
      <c r="AC5029" s="812"/>
      <c r="AD5029" s="763"/>
      <c r="AE5029" s="807"/>
      <c r="AF5029" s="921">
        <f>IF(X5029=X5028,AF5028,0)+IF(ISNUMBER(I5029),IF(I5029&lt;1,I5029,I5029*VLOOKUP(J5029,Summary!$H$2:$I$9,2)),VLOOKUP(J5029,Summary!$J$2:$K$9,2)*IF(ISNUMBER(H5029),H5029,1))</f>
        <v>0.86959490740740719</v>
      </c>
      <c r="AG5029" s="289">
        <v>5028</v>
      </c>
      <c r="AH5029" s="94"/>
      <c r="AI5029" s="94"/>
    </row>
    <row r="5030" spans="1:35" s="3" customFormat="1" ht="12" customHeight="1" x14ac:dyDescent="0.25">
      <c r="A5030" s="612" t="s">
        <v>13232</v>
      </c>
      <c r="B5030" s="612">
        <v>11</v>
      </c>
      <c r="C5030" s="612">
        <v>240</v>
      </c>
      <c r="D5030" s="424" t="s">
        <v>7989</v>
      </c>
      <c r="E5030" s="319" t="s">
        <v>7990</v>
      </c>
      <c r="F5030" s="198">
        <v>41601</v>
      </c>
      <c r="G5030" s="198"/>
      <c r="H5030" s="199">
        <v>1</v>
      </c>
      <c r="I5030" s="791">
        <f>TIME(0,76,31)</f>
        <v>5.3136574074074072E-2</v>
      </c>
      <c r="J5030" s="904" t="s">
        <v>1588</v>
      </c>
      <c r="K5030" s="200" t="s">
        <v>3810</v>
      </c>
      <c r="L5030" s="200" t="s">
        <v>1078</v>
      </c>
      <c r="M5030" s="200"/>
      <c r="N5030" s="200" t="s">
        <v>3810</v>
      </c>
      <c r="O5030" s="200" t="s">
        <v>7991</v>
      </c>
      <c r="P5030" s="197" t="s">
        <v>461</v>
      </c>
      <c r="Q5030" s="200" t="s">
        <v>3946</v>
      </c>
      <c r="R5030" s="201" t="s">
        <v>5280</v>
      </c>
      <c r="S5030" s="390" t="s">
        <v>6923</v>
      </c>
      <c r="T5030" s="197" t="s">
        <v>10904</v>
      </c>
      <c r="U5030" s="197" t="s">
        <v>10902</v>
      </c>
      <c r="V5030" s="197" t="s">
        <v>10903</v>
      </c>
      <c r="W5030" s="319" t="s">
        <v>7990</v>
      </c>
      <c r="X5030" s="651" t="s">
        <v>10130</v>
      </c>
      <c r="Y5030" s="358" t="s">
        <v>7018</v>
      </c>
      <c r="Z5030" s="253">
        <v>16</v>
      </c>
      <c r="AA5030" s="253">
        <v>9.5</v>
      </c>
      <c r="AB5030" s="35">
        <f t="shared" ca="1" si="122"/>
        <v>0.52352254287766675</v>
      </c>
      <c r="AC5030" s="820"/>
      <c r="AD5030" s="821"/>
      <c r="AE5030" s="967"/>
      <c r="AF5030" s="925">
        <f>IF(X5030=X5029,AF5029,0)+IF(ISNUMBER(I5030),IF(I5030&lt;1,I5030,I5030*VLOOKUP(J5030,Summary!$H$2:$I$9,2)),VLOOKUP(J5030,Summary!$J$2:$K$9,2)*IF(ISNUMBER(H5030),H5030,1))</f>
        <v>0.92273148148148132</v>
      </c>
      <c r="AG5030" s="293">
        <v>5029</v>
      </c>
      <c r="AH5030" s="94"/>
      <c r="AI5030" s="94"/>
    </row>
    <row r="5031" spans="1:35" s="22" customFormat="1" ht="12" customHeight="1" x14ac:dyDescent="0.2">
      <c r="A5031" s="614" t="s">
        <v>13232</v>
      </c>
      <c r="B5031" s="614">
        <v>11</v>
      </c>
      <c r="C5031" s="614">
        <v>293</v>
      </c>
      <c r="D5031" s="185" t="s">
        <v>9443</v>
      </c>
      <c r="E5031" s="314" t="s">
        <v>9444</v>
      </c>
      <c r="F5031" s="184">
        <v>41639</v>
      </c>
      <c r="G5031" s="184"/>
      <c r="H5031" s="185">
        <v>1</v>
      </c>
      <c r="I5031" s="185">
        <v>4</v>
      </c>
      <c r="J5031" s="901" t="s">
        <v>1796</v>
      </c>
      <c r="K5031" s="163" t="s">
        <v>6353</v>
      </c>
      <c r="L5031" s="163" t="s">
        <v>3832</v>
      </c>
      <c r="M5031" s="163" t="s">
        <v>254</v>
      </c>
      <c r="N5031" s="163" t="s">
        <v>7370</v>
      </c>
      <c r="O5031" s="163"/>
      <c r="P5031" s="182" t="s">
        <v>461</v>
      </c>
      <c r="Q5031" s="163" t="s">
        <v>729</v>
      </c>
      <c r="R5031" s="186" t="s">
        <v>4796</v>
      </c>
      <c r="S5031" s="355" t="s">
        <v>6923</v>
      </c>
      <c r="T5031" s="182"/>
      <c r="U5031" s="182"/>
      <c r="V5031" s="182"/>
      <c r="W5031" s="314" t="s">
        <v>9444</v>
      </c>
      <c r="X5031" s="646" t="s">
        <v>10130</v>
      </c>
      <c r="Y5031" s="355"/>
      <c r="Z5031" s="185"/>
      <c r="AA5031" s="185"/>
      <c r="AB5031" s="33">
        <f t="shared" ca="1" si="122"/>
        <v>0.5726470569117571</v>
      </c>
      <c r="AC5031" s="813"/>
      <c r="AD5031" s="211"/>
      <c r="AE5031" s="941"/>
      <c r="AF5031" s="922">
        <f>IF(X5031=X5030,AF5030,0)+IF(ISNUMBER(I5031),IF(I5031&lt;1,I5031,I5031*VLOOKUP(J5031,Summary!$H$2:$I$9,2)),VLOOKUP(J5031,Summary!$J$2:$K$9,2)*IF(ISNUMBER(H5031),H5031,1))</f>
        <v>0.9241203703703702</v>
      </c>
      <c r="AG5031" s="290">
        <v>5030</v>
      </c>
      <c r="AH5031" s="94"/>
      <c r="AI5031" s="94"/>
    </row>
    <row r="5032" spans="1:35" s="3" customFormat="1" ht="12" customHeight="1" x14ac:dyDescent="0.25">
      <c r="A5032" s="614" t="s">
        <v>13232</v>
      </c>
      <c r="B5032" s="614">
        <v>11</v>
      </c>
      <c r="C5032" s="614">
        <v>294</v>
      </c>
      <c r="D5032" s="185" t="s">
        <v>9451</v>
      </c>
      <c r="E5032" s="314" t="s">
        <v>9445</v>
      </c>
      <c r="F5032" s="184">
        <v>41654</v>
      </c>
      <c r="G5032" s="184"/>
      <c r="H5032" s="185">
        <v>1</v>
      </c>
      <c r="I5032" s="185">
        <v>4</v>
      </c>
      <c r="J5032" s="901" t="s">
        <v>1796</v>
      </c>
      <c r="K5032" s="163" t="s">
        <v>5664</v>
      </c>
      <c r="L5032" s="163" t="s">
        <v>3832</v>
      </c>
      <c r="M5032" s="163" t="s">
        <v>254</v>
      </c>
      <c r="N5032" s="163" t="s">
        <v>5317</v>
      </c>
      <c r="O5032" s="163"/>
      <c r="P5032" s="182" t="s">
        <v>461</v>
      </c>
      <c r="Q5032" s="163" t="s">
        <v>729</v>
      </c>
      <c r="R5032" s="186" t="s">
        <v>4796</v>
      </c>
      <c r="S5032" s="355" t="s">
        <v>6923</v>
      </c>
      <c r="T5032" s="182"/>
      <c r="U5032" s="182"/>
      <c r="V5032" s="182"/>
      <c r="W5032" s="314" t="s">
        <v>9445</v>
      </c>
      <c r="X5032" s="646" t="s">
        <v>10130</v>
      </c>
      <c r="Y5032" s="355"/>
      <c r="Z5032" s="185"/>
      <c r="AA5032" s="185"/>
      <c r="AB5032" s="33">
        <f t="shared" ca="1" si="122"/>
        <v>0.64374550432592226</v>
      </c>
      <c r="AC5032" s="813"/>
      <c r="AD5032" s="211"/>
      <c r="AE5032" s="941"/>
      <c r="AF5032" s="922">
        <f>IF(X5032=X5031,AF5031,0)+IF(ISNUMBER(I5032),IF(I5032&lt;1,I5032,I5032*VLOOKUP(J5032,Summary!$H$2:$I$9,2)),VLOOKUP(J5032,Summary!$J$2:$K$9,2)*IF(ISNUMBER(H5032),H5032,1))</f>
        <v>0.92550925925925909</v>
      </c>
      <c r="AG5032" s="290">
        <v>5031</v>
      </c>
      <c r="AH5032" s="94"/>
      <c r="AI5032" s="94"/>
    </row>
    <row r="5033" spans="1:35" s="1" customFormat="1" ht="12" customHeight="1" x14ac:dyDescent="0.25">
      <c r="A5033" s="618" t="s">
        <v>13232</v>
      </c>
      <c r="B5033" s="618">
        <v>11</v>
      </c>
      <c r="C5033" s="618">
        <v>2</v>
      </c>
      <c r="D5033" s="176" t="s">
        <v>13111</v>
      </c>
      <c r="E5033" s="313" t="s">
        <v>13116</v>
      </c>
      <c r="F5033" s="175">
        <v>41655</v>
      </c>
      <c r="G5033" s="174"/>
      <c r="H5033" s="176">
        <v>1</v>
      </c>
      <c r="I5033" s="176">
        <v>49</v>
      </c>
      <c r="J5033" s="900" t="s">
        <v>2755</v>
      </c>
      <c r="K5033" s="164" t="s">
        <v>10100</v>
      </c>
      <c r="L5033" s="164" t="s">
        <v>461</v>
      </c>
      <c r="M5033" s="164"/>
      <c r="N5033" s="164"/>
      <c r="O5033" s="164"/>
      <c r="P5033" s="173"/>
      <c r="Q5033" s="164" t="s">
        <v>2173</v>
      </c>
      <c r="R5033" s="177" t="s">
        <v>10233</v>
      </c>
      <c r="S5033" s="354" t="s">
        <v>6923</v>
      </c>
      <c r="T5033" s="173"/>
      <c r="U5033" s="173"/>
      <c r="V5033" s="173"/>
      <c r="W5033" s="313" t="s">
        <v>13116</v>
      </c>
      <c r="X5033" s="645" t="s">
        <v>10130</v>
      </c>
      <c r="Y5033" s="354"/>
      <c r="Z5033" s="176"/>
      <c r="AA5033" s="176"/>
      <c r="AB5033" s="32">
        <f t="shared" ca="1" si="122"/>
        <v>0.73030681983826606</v>
      </c>
      <c r="AC5033" s="812"/>
      <c r="AD5033" s="763"/>
      <c r="AE5033" s="807"/>
      <c r="AF5033" s="921">
        <f>IF(X5033=X5032,AF5032,0)+IF(ISNUMBER(I5033),IF(I5033&lt;1,I5033,I5033*VLOOKUP(J5033,Summary!$H$2:$I$9,2)),VLOOKUP(J5033,Summary!$J$2:$K$9,2)*IF(ISNUMBER(H5033),H5033,1))</f>
        <v>0.95953703703703686</v>
      </c>
      <c r="AG5033" s="289">
        <v>5032</v>
      </c>
      <c r="AH5033" s="94"/>
      <c r="AI5033" s="94"/>
    </row>
    <row r="5034" spans="1:35" s="22" customFormat="1" ht="12" customHeight="1" x14ac:dyDescent="0.2">
      <c r="A5034" s="614" t="s">
        <v>13232</v>
      </c>
      <c r="B5034" s="614">
        <v>11</v>
      </c>
      <c r="C5034" s="614">
        <v>295</v>
      </c>
      <c r="D5034" s="185" t="s">
        <v>9452</v>
      </c>
      <c r="E5034" s="314" t="s">
        <v>9446</v>
      </c>
      <c r="F5034" s="184">
        <v>41668</v>
      </c>
      <c r="G5034" s="184"/>
      <c r="H5034" s="185">
        <v>1</v>
      </c>
      <c r="I5034" s="185">
        <v>4</v>
      </c>
      <c r="J5034" s="901" t="s">
        <v>1796</v>
      </c>
      <c r="K5034" s="163" t="s">
        <v>176</v>
      </c>
      <c r="L5034" s="163" t="s">
        <v>3832</v>
      </c>
      <c r="M5034" s="163" t="s">
        <v>254</v>
      </c>
      <c r="N5034" s="163" t="s">
        <v>5317</v>
      </c>
      <c r="O5034" s="163"/>
      <c r="P5034" s="182" t="s">
        <v>461</v>
      </c>
      <c r="Q5034" s="163" t="s">
        <v>729</v>
      </c>
      <c r="R5034" s="186" t="s">
        <v>4796</v>
      </c>
      <c r="S5034" s="355" t="s">
        <v>6923</v>
      </c>
      <c r="T5034" s="182"/>
      <c r="U5034" s="182"/>
      <c r="V5034" s="182"/>
      <c r="W5034" s="314" t="s">
        <v>9446</v>
      </c>
      <c r="X5034" s="646" t="s">
        <v>10130</v>
      </c>
      <c r="Y5034" s="355"/>
      <c r="Z5034" s="185"/>
      <c r="AA5034" s="185"/>
      <c r="AB5034" s="33">
        <f t="shared" ca="1" si="122"/>
        <v>8.8173034500471648E-4</v>
      </c>
      <c r="AC5034" s="813"/>
      <c r="AD5034" s="211"/>
      <c r="AE5034" s="941"/>
      <c r="AF5034" s="922">
        <f>IF(X5034=X5033,AF5033,0)+IF(ISNUMBER(I5034),IF(I5034&lt;1,I5034,I5034*VLOOKUP(J5034,Summary!$H$2:$I$9,2)),VLOOKUP(J5034,Summary!$J$2:$K$9,2)*IF(ISNUMBER(H5034),H5034,1))</f>
        <v>0.96092592592592574</v>
      </c>
      <c r="AG5034" s="290">
        <v>5033</v>
      </c>
      <c r="AH5034" s="94"/>
      <c r="AI5034" s="94"/>
    </row>
    <row r="5035" spans="1:35" s="22" customFormat="1" ht="12" customHeight="1" x14ac:dyDescent="0.2">
      <c r="A5035" s="614" t="s">
        <v>13232</v>
      </c>
      <c r="B5035" s="614">
        <v>11</v>
      </c>
      <c r="C5035" s="614">
        <v>296</v>
      </c>
      <c r="D5035" s="185" t="s">
        <v>9453</v>
      </c>
      <c r="E5035" s="314" t="s">
        <v>9447</v>
      </c>
      <c r="F5035" s="184">
        <v>41682</v>
      </c>
      <c r="G5035" s="184"/>
      <c r="H5035" s="185">
        <v>1</v>
      </c>
      <c r="I5035" s="185">
        <v>4</v>
      </c>
      <c r="J5035" s="901" t="s">
        <v>1796</v>
      </c>
      <c r="K5035" s="163" t="s">
        <v>8238</v>
      </c>
      <c r="L5035" s="163" t="s">
        <v>3832</v>
      </c>
      <c r="M5035" s="163" t="s">
        <v>254</v>
      </c>
      <c r="N5035" s="163" t="s">
        <v>5317</v>
      </c>
      <c r="O5035" s="163"/>
      <c r="P5035" s="182" t="s">
        <v>461</v>
      </c>
      <c r="Q5035" s="163" t="s">
        <v>729</v>
      </c>
      <c r="R5035" s="186" t="s">
        <v>4796</v>
      </c>
      <c r="S5035" s="355" t="s">
        <v>6923</v>
      </c>
      <c r="T5035" s="182"/>
      <c r="U5035" s="182"/>
      <c r="V5035" s="182"/>
      <c r="W5035" s="314" t="s">
        <v>9447</v>
      </c>
      <c r="X5035" s="646" t="s">
        <v>10130</v>
      </c>
      <c r="Y5035" s="355"/>
      <c r="Z5035" s="185"/>
      <c r="AA5035" s="185"/>
      <c r="AB5035" s="33">
        <f t="shared" ca="1" si="122"/>
        <v>0.64906276672594554</v>
      </c>
      <c r="AC5035" s="813"/>
      <c r="AD5035" s="211"/>
      <c r="AE5035" s="941"/>
      <c r="AF5035" s="922">
        <f>IF(X5035=X5034,AF5034,0)+IF(ISNUMBER(I5035),IF(I5035&lt;1,I5035,I5035*VLOOKUP(J5035,Summary!$H$2:$I$9,2)),VLOOKUP(J5035,Summary!$J$2:$K$9,2)*IF(ISNUMBER(H5035),H5035,1))</f>
        <v>0.96231481481481462</v>
      </c>
      <c r="AG5035" s="290">
        <v>5034</v>
      </c>
      <c r="AH5035" s="94"/>
      <c r="AI5035" s="94"/>
    </row>
    <row r="5036" spans="1:35" s="58" customFormat="1" ht="12" customHeight="1" x14ac:dyDescent="0.2">
      <c r="A5036" s="614" t="s">
        <v>13232</v>
      </c>
      <c r="B5036" s="614">
        <v>11</v>
      </c>
      <c r="C5036" s="614">
        <v>297</v>
      </c>
      <c r="D5036" s="185" t="s">
        <v>9454</v>
      </c>
      <c r="E5036" s="314" t="s">
        <v>9448</v>
      </c>
      <c r="F5036" s="184">
        <v>41696</v>
      </c>
      <c r="G5036" s="184"/>
      <c r="H5036" s="185">
        <v>1</v>
      </c>
      <c r="I5036" s="185">
        <v>4</v>
      </c>
      <c r="J5036" s="901" t="s">
        <v>1796</v>
      </c>
      <c r="K5036" s="163" t="s">
        <v>8273</v>
      </c>
      <c r="L5036" s="163" t="s">
        <v>3832</v>
      </c>
      <c r="M5036" s="163" t="s">
        <v>254</v>
      </c>
      <c r="N5036" s="163" t="s">
        <v>5317</v>
      </c>
      <c r="O5036" s="163"/>
      <c r="P5036" s="182" t="s">
        <v>461</v>
      </c>
      <c r="Q5036" s="163" t="s">
        <v>729</v>
      </c>
      <c r="R5036" s="186" t="s">
        <v>4796</v>
      </c>
      <c r="S5036" s="355" t="s">
        <v>6923</v>
      </c>
      <c r="T5036" s="182"/>
      <c r="U5036" s="182"/>
      <c r="V5036" s="182"/>
      <c r="W5036" s="314" t="s">
        <v>9448</v>
      </c>
      <c r="X5036" s="646" t="s">
        <v>10130</v>
      </c>
      <c r="Y5036" s="355"/>
      <c r="Z5036" s="185"/>
      <c r="AA5036" s="185"/>
      <c r="AB5036" s="33">
        <f t="shared" ca="1" si="122"/>
        <v>8.7203948060253444E-2</v>
      </c>
      <c r="AC5036" s="813"/>
      <c r="AD5036" s="211"/>
      <c r="AE5036" s="941"/>
      <c r="AF5036" s="922">
        <f>IF(X5036=X5035,AF5035,0)+IF(ISNUMBER(I5036),IF(I5036&lt;1,I5036,I5036*VLOOKUP(J5036,Summary!$H$2:$I$9,2)),VLOOKUP(J5036,Summary!$J$2:$K$9,2)*IF(ISNUMBER(H5036),H5036,1))</f>
        <v>0.96370370370370351</v>
      </c>
      <c r="AG5036" s="290">
        <v>5035</v>
      </c>
      <c r="AH5036" s="94"/>
      <c r="AI5036" s="94"/>
    </row>
    <row r="5037" spans="1:35" s="29" customFormat="1" ht="12" customHeight="1" x14ac:dyDescent="0.25">
      <c r="A5037" s="614" t="s">
        <v>13232</v>
      </c>
      <c r="B5037" s="614">
        <v>11</v>
      </c>
      <c r="C5037" s="614">
        <v>298</v>
      </c>
      <c r="D5037" s="185" t="s">
        <v>9455</v>
      </c>
      <c r="E5037" s="314" t="s">
        <v>9449</v>
      </c>
      <c r="F5037" s="184">
        <v>41710</v>
      </c>
      <c r="G5037" s="184"/>
      <c r="H5037" s="185">
        <v>1</v>
      </c>
      <c r="I5037" s="185">
        <v>4</v>
      </c>
      <c r="J5037" s="901" t="s">
        <v>1796</v>
      </c>
      <c r="K5037" s="163" t="s">
        <v>6353</v>
      </c>
      <c r="L5037" s="163" t="s">
        <v>3832</v>
      </c>
      <c r="M5037" s="163" t="s">
        <v>254</v>
      </c>
      <c r="N5037" s="163" t="s">
        <v>5317</v>
      </c>
      <c r="O5037" s="163"/>
      <c r="P5037" s="182" t="s">
        <v>461</v>
      </c>
      <c r="Q5037" s="163" t="s">
        <v>729</v>
      </c>
      <c r="R5037" s="186" t="s">
        <v>4796</v>
      </c>
      <c r="S5037" s="355" t="s">
        <v>6923</v>
      </c>
      <c r="T5037" s="182"/>
      <c r="U5037" s="182"/>
      <c r="V5037" s="182"/>
      <c r="W5037" s="314" t="s">
        <v>9449</v>
      </c>
      <c r="X5037" s="646" t="s">
        <v>10130</v>
      </c>
      <c r="Y5037" s="355"/>
      <c r="Z5037" s="185"/>
      <c r="AA5037" s="185"/>
      <c r="AB5037" s="33">
        <f t="shared" ca="1" si="122"/>
        <v>0.1254538256631611</v>
      </c>
      <c r="AC5037" s="813"/>
      <c r="AD5037" s="211"/>
      <c r="AE5037" s="941"/>
      <c r="AF5037" s="922">
        <f>IF(X5037=X5036,AF5036,0)+IF(ISNUMBER(I5037),IF(I5037&lt;1,I5037,I5037*VLOOKUP(J5037,Summary!$H$2:$I$9,2)),VLOOKUP(J5037,Summary!$J$2:$K$9,2)*IF(ISNUMBER(H5037),H5037,1))</f>
        <v>0.96509259259259239</v>
      </c>
      <c r="AG5037" s="290">
        <v>5036</v>
      </c>
      <c r="AH5037" s="94"/>
      <c r="AI5037" s="94"/>
    </row>
    <row r="5038" spans="1:35" s="58" customFormat="1" ht="12" customHeight="1" x14ac:dyDescent="0.2">
      <c r="A5038" s="614" t="s">
        <v>13232</v>
      </c>
      <c r="B5038" s="614">
        <v>11</v>
      </c>
      <c r="C5038" s="614">
        <v>299</v>
      </c>
      <c r="D5038" s="185" t="s">
        <v>9456</v>
      </c>
      <c r="E5038" s="314" t="s">
        <v>9450</v>
      </c>
      <c r="F5038" s="184">
        <v>41724</v>
      </c>
      <c r="G5038" s="184"/>
      <c r="H5038" s="185">
        <v>1</v>
      </c>
      <c r="I5038" s="185">
        <v>4</v>
      </c>
      <c r="J5038" s="901" t="s">
        <v>1796</v>
      </c>
      <c r="K5038" s="163" t="s">
        <v>8274</v>
      </c>
      <c r="L5038" s="163" t="s">
        <v>3832</v>
      </c>
      <c r="M5038" s="163" t="s">
        <v>254</v>
      </c>
      <c r="N5038" s="163" t="s">
        <v>5317</v>
      </c>
      <c r="O5038" s="163"/>
      <c r="P5038" s="182" t="s">
        <v>461</v>
      </c>
      <c r="Q5038" s="163" t="s">
        <v>729</v>
      </c>
      <c r="R5038" s="186" t="s">
        <v>4796</v>
      </c>
      <c r="S5038" s="355" t="s">
        <v>6923</v>
      </c>
      <c r="T5038" s="182"/>
      <c r="U5038" s="182"/>
      <c r="V5038" s="182"/>
      <c r="W5038" s="314" t="s">
        <v>9450</v>
      </c>
      <c r="X5038" s="646" t="s">
        <v>10130</v>
      </c>
      <c r="Y5038" s="355"/>
      <c r="Z5038" s="185"/>
      <c r="AA5038" s="185"/>
      <c r="AB5038" s="33">
        <f t="shared" ca="1" si="122"/>
        <v>0.10034350960328775</v>
      </c>
      <c r="AC5038" s="813"/>
      <c r="AD5038" s="211"/>
      <c r="AE5038" s="941"/>
      <c r="AF5038" s="922">
        <f>IF(X5038=X5037,AF5037,0)+IF(ISNUMBER(I5038),IF(I5038&lt;1,I5038,I5038*VLOOKUP(J5038,Summary!$H$2:$I$9,2)),VLOOKUP(J5038,Summary!$J$2:$K$9,2)*IF(ISNUMBER(H5038),H5038,1))</f>
        <v>0.96648148148148127</v>
      </c>
      <c r="AG5038" s="290">
        <v>5037</v>
      </c>
      <c r="AH5038" s="94"/>
      <c r="AI5038" s="94"/>
    </row>
    <row r="5039" spans="1:35" s="1" customFormat="1" ht="12" customHeight="1" x14ac:dyDescent="0.25">
      <c r="A5039" s="614" t="s">
        <v>13232</v>
      </c>
      <c r="B5039" s="614">
        <v>11</v>
      </c>
      <c r="C5039" s="614">
        <v>301</v>
      </c>
      <c r="D5039" s="185" t="s">
        <v>9457</v>
      </c>
      <c r="E5039" s="314" t="s">
        <v>9466</v>
      </c>
      <c r="F5039" s="184">
        <v>41738</v>
      </c>
      <c r="G5039" s="184"/>
      <c r="H5039" s="185">
        <v>1</v>
      </c>
      <c r="I5039" s="185">
        <v>4</v>
      </c>
      <c r="J5039" s="901" t="s">
        <v>1796</v>
      </c>
      <c r="K5039" s="163" t="s">
        <v>6353</v>
      </c>
      <c r="L5039" s="163" t="s">
        <v>3832</v>
      </c>
      <c r="M5039" s="163" t="s">
        <v>254</v>
      </c>
      <c r="N5039" s="163" t="s">
        <v>5317</v>
      </c>
      <c r="O5039" s="163"/>
      <c r="P5039" s="182" t="s">
        <v>461</v>
      </c>
      <c r="Q5039" s="163" t="s">
        <v>729</v>
      </c>
      <c r="R5039" s="186" t="s">
        <v>4796</v>
      </c>
      <c r="S5039" s="355" t="s">
        <v>6923</v>
      </c>
      <c r="T5039" s="182"/>
      <c r="U5039" s="182"/>
      <c r="V5039" s="182"/>
      <c r="W5039" s="314" t="s">
        <v>9466</v>
      </c>
      <c r="X5039" s="646" t="s">
        <v>10130</v>
      </c>
      <c r="Y5039" s="355"/>
      <c r="Z5039" s="185"/>
      <c r="AA5039" s="185"/>
      <c r="AB5039" s="33">
        <f t="shared" ca="1" si="122"/>
        <v>0.44340576969268641</v>
      </c>
      <c r="AC5039" s="813"/>
      <c r="AD5039" s="211"/>
      <c r="AE5039" s="941"/>
      <c r="AF5039" s="922">
        <f>IF(X5039=X5038,AF5038,0)+IF(ISNUMBER(I5039),IF(I5039&lt;1,I5039,I5039*VLOOKUP(J5039,Summary!$H$2:$I$9,2)),VLOOKUP(J5039,Summary!$J$2:$K$9,2)*IF(ISNUMBER(H5039),H5039,1))</f>
        <v>0.96787037037037016</v>
      </c>
      <c r="AG5039" s="290">
        <v>5038</v>
      </c>
      <c r="AH5039" s="94"/>
      <c r="AI5039" s="94"/>
    </row>
    <row r="5040" spans="1:35" s="22" customFormat="1" ht="12" customHeight="1" x14ac:dyDescent="0.2">
      <c r="A5040" s="614" t="s">
        <v>13232</v>
      </c>
      <c r="B5040" s="614">
        <v>11</v>
      </c>
      <c r="C5040" s="614">
        <v>302</v>
      </c>
      <c r="D5040" s="185" t="s">
        <v>9458</v>
      </c>
      <c r="E5040" s="314" t="s">
        <v>9467</v>
      </c>
      <c r="F5040" s="184">
        <v>41752</v>
      </c>
      <c r="G5040" s="184"/>
      <c r="H5040" s="185">
        <v>1</v>
      </c>
      <c r="I5040" s="185">
        <v>4</v>
      </c>
      <c r="J5040" s="901" t="s">
        <v>1796</v>
      </c>
      <c r="K5040" s="163" t="s">
        <v>8274</v>
      </c>
      <c r="L5040" s="163" t="s">
        <v>3832</v>
      </c>
      <c r="M5040" s="163" t="s">
        <v>254</v>
      </c>
      <c r="N5040" s="163" t="s">
        <v>5317</v>
      </c>
      <c r="O5040" s="163"/>
      <c r="P5040" s="182" t="s">
        <v>461</v>
      </c>
      <c r="Q5040" s="163" t="s">
        <v>729</v>
      </c>
      <c r="R5040" s="186" t="s">
        <v>4796</v>
      </c>
      <c r="S5040" s="355" t="s">
        <v>6923</v>
      </c>
      <c r="T5040" s="182"/>
      <c r="U5040" s="182"/>
      <c r="V5040" s="182"/>
      <c r="W5040" s="314" t="s">
        <v>9467</v>
      </c>
      <c r="X5040" s="646" t="s">
        <v>10130</v>
      </c>
      <c r="Y5040" s="355"/>
      <c r="Z5040" s="185"/>
      <c r="AA5040" s="185"/>
      <c r="AB5040" s="33">
        <f t="shared" ca="1" si="122"/>
        <v>0.46568024294482202</v>
      </c>
      <c r="AC5040" s="813"/>
      <c r="AD5040" s="211"/>
      <c r="AE5040" s="941"/>
      <c r="AF5040" s="922">
        <f>IF(X5040=X5039,AF5039,0)+IF(ISNUMBER(I5040),IF(I5040&lt;1,I5040,I5040*VLOOKUP(J5040,Summary!$H$2:$I$9,2)),VLOOKUP(J5040,Summary!$J$2:$K$9,2)*IF(ISNUMBER(H5040),H5040,1))</f>
        <v>0.96925925925925904</v>
      </c>
      <c r="AG5040" s="290">
        <v>5039</v>
      </c>
      <c r="AH5040" s="94"/>
      <c r="AI5040" s="94"/>
    </row>
    <row r="5041" spans="1:35" s="22" customFormat="1" ht="12" customHeight="1" x14ac:dyDescent="0.2">
      <c r="A5041" s="614" t="s">
        <v>13232</v>
      </c>
      <c r="B5041" s="614">
        <v>11</v>
      </c>
      <c r="C5041" s="614">
        <v>303</v>
      </c>
      <c r="D5041" s="185" t="s">
        <v>9459</v>
      </c>
      <c r="E5041" s="314" t="s">
        <v>9468</v>
      </c>
      <c r="F5041" s="184">
        <v>41766</v>
      </c>
      <c r="G5041" s="184"/>
      <c r="H5041" s="185">
        <v>1</v>
      </c>
      <c r="I5041" s="185">
        <v>4</v>
      </c>
      <c r="J5041" s="901" t="s">
        <v>1796</v>
      </c>
      <c r="K5041" s="163" t="s">
        <v>8274</v>
      </c>
      <c r="L5041" s="163" t="s">
        <v>3832</v>
      </c>
      <c r="M5041" s="163" t="s">
        <v>254</v>
      </c>
      <c r="N5041" s="163" t="s">
        <v>5317</v>
      </c>
      <c r="O5041" s="163"/>
      <c r="P5041" s="182" t="s">
        <v>461</v>
      </c>
      <c r="Q5041" s="163" t="s">
        <v>729</v>
      </c>
      <c r="R5041" s="186" t="s">
        <v>4796</v>
      </c>
      <c r="S5041" s="355" t="s">
        <v>6923</v>
      </c>
      <c r="T5041" s="182"/>
      <c r="U5041" s="182"/>
      <c r="V5041" s="182"/>
      <c r="W5041" s="314" t="s">
        <v>9468</v>
      </c>
      <c r="X5041" s="646" t="s">
        <v>10130</v>
      </c>
      <c r="Y5041" s="355"/>
      <c r="Z5041" s="185"/>
      <c r="AA5041" s="185"/>
      <c r="AB5041" s="33">
        <f t="shared" ca="1" si="122"/>
        <v>0.2540338016821031</v>
      </c>
      <c r="AC5041" s="813"/>
      <c r="AD5041" s="211"/>
      <c r="AE5041" s="941"/>
      <c r="AF5041" s="922">
        <f>IF(X5041=X5040,AF5040,0)+IF(ISNUMBER(I5041),IF(I5041&lt;1,I5041,I5041*VLOOKUP(J5041,Summary!$H$2:$I$9,2)),VLOOKUP(J5041,Summary!$J$2:$K$9,2)*IF(ISNUMBER(H5041),H5041,1))</f>
        <v>0.97064814814814793</v>
      </c>
      <c r="AG5041" s="290">
        <v>5040</v>
      </c>
      <c r="AH5041" s="94"/>
      <c r="AI5041" s="94"/>
    </row>
    <row r="5042" spans="1:35" s="27" customFormat="1" ht="12" customHeight="1" x14ac:dyDescent="0.25">
      <c r="A5042" s="614" t="s">
        <v>13232</v>
      </c>
      <c r="B5042" s="614">
        <v>11</v>
      </c>
      <c r="C5042" s="614">
        <v>304</v>
      </c>
      <c r="D5042" s="185" t="s">
        <v>9460</v>
      </c>
      <c r="E5042" s="314" t="s">
        <v>9469</v>
      </c>
      <c r="F5042" s="184">
        <v>41780</v>
      </c>
      <c r="G5042" s="184"/>
      <c r="H5042" s="185">
        <v>1</v>
      </c>
      <c r="I5042" s="185">
        <v>4</v>
      </c>
      <c r="J5042" s="901" t="s">
        <v>1796</v>
      </c>
      <c r="K5042" s="163" t="s">
        <v>9475</v>
      </c>
      <c r="L5042" s="163" t="s">
        <v>3832</v>
      </c>
      <c r="M5042" s="163" t="s">
        <v>254</v>
      </c>
      <c r="N5042" s="163" t="s">
        <v>5317</v>
      </c>
      <c r="O5042" s="163"/>
      <c r="P5042" s="182" t="s">
        <v>461</v>
      </c>
      <c r="Q5042" s="163" t="s">
        <v>729</v>
      </c>
      <c r="R5042" s="186" t="s">
        <v>4796</v>
      </c>
      <c r="S5042" s="355" t="s">
        <v>6923</v>
      </c>
      <c r="T5042" s="182"/>
      <c r="U5042" s="182"/>
      <c r="V5042" s="182"/>
      <c r="W5042" s="314" t="s">
        <v>9469</v>
      </c>
      <c r="X5042" s="646" t="s">
        <v>10130</v>
      </c>
      <c r="Y5042" s="355"/>
      <c r="Z5042" s="185"/>
      <c r="AA5042" s="185"/>
      <c r="AB5042" s="33">
        <f t="shared" ca="1" si="122"/>
        <v>0.12061971813079064</v>
      </c>
      <c r="AC5042" s="813"/>
      <c r="AD5042" s="211"/>
      <c r="AE5042" s="941"/>
      <c r="AF5042" s="922">
        <f>IF(X5042=X5041,AF5041,0)+IF(ISNUMBER(I5042),IF(I5042&lt;1,I5042,I5042*VLOOKUP(J5042,Summary!$H$2:$I$9,2)),VLOOKUP(J5042,Summary!$J$2:$K$9,2)*IF(ISNUMBER(H5042),H5042,1))</f>
        <v>0.97203703703703681</v>
      </c>
      <c r="AG5042" s="290">
        <v>5041</v>
      </c>
      <c r="AH5042" s="119"/>
      <c r="AI5042" s="119"/>
    </row>
    <row r="5043" spans="1:35" s="22" customFormat="1" ht="12" customHeight="1" x14ac:dyDescent="0.2">
      <c r="A5043" s="614" t="s">
        <v>13232</v>
      </c>
      <c r="B5043" s="614">
        <v>11</v>
      </c>
      <c r="C5043" s="614">
        <v>305</v>
      </c>
      <c r="D5043" s="185" t="s">
        <v>9461</v>
      </c>
      <c r="E5043" s="314" t="s">
        <v>9470</v>
      </c>
      <c r="F5043" s="184">
        <v>41794</v>
      </c>
      <c r="G5043" s="184"/>
      <c r="H5043" s="185">
        <v>1</v>
      </c>
      <c r="I5043" s="185">
        <v>4</v>
      </c>
      <c r="J5043" s="901" t="s">
        <v>1796</v>
      </c>
      <c r="K5043" s="163" t="s">
        <v>4032</v>
      </c>
      <c r="L5043" s="163" t="s">
        <v>3832</v>
      </c>
      <c r="M5043" s="163" t="s">
        <v>254</v>
      </c>
      <c r="N5043" s="163" t="s">
        <v>5317</v>
      </c>
      <c r="O5043" s="163"/>
      <c r="P5043" s="182" t="s">
        <v>461</v>
      </c>
      <c r="Q5043" s="163" t="s">
        <v>729</v>
      </c>
      <c r="R5043" s="186" t="s">
        <v>4796</v>
      </c>
      <c r="S5043" s="355" t="s">
        <v>6923</v>
      </c>
      <c r="T5043" s="182"/>
      <c r="U5043" s="182"/>
      <c r="V5043" s="182"/>
      <c r="W5043" s="314" t="s">
        <v>9470</v>
      </c>
      <c r="X5043" s="646" t="s">
        <v>10130</v>
      </c>
      <c r="Y5043" s="355"/>
      <c r="Z5043" s="185"/>
      <c r="AA5043" s="185"/>
      <c r="AB5043" s="33">
        <f t="shared" ca="1" si="122"/>
        <v>0.96167918164763522</v>
      </c>
      <c r="AC5043" s="813"/>
      <c r="AD5043" s="211"/>
      <c r="AE5043" s="941"/>
      <c r="AF5043" s="922">
        <f>IF(X5043=X5042,AF5042,0)+IF(ISNUMBER(I5043),IF(I5043&lt;1,I5043,I5043*VLOOKUP(J5043,Summary!$H$2:$I$9,2)),VLOOKUP(J5043,Summary!$J$2:$K$9,2)*IF(ISNUMBER(H5043),H5043,1))</f>
        <v>0.97342592592592569</v>
      </c>
      <c r="AG5043" s="290">
        <v>5042</v>
      </c>
      <c r="AH5043" s="94"/>
      <c r="AI5043" s="94"/>
    </row>
    <row r="5044" spans="1:35" s="22" customFormat="1" ht="12" customHeight="1" x14ac:dyDescent="0.2">
      <c r="A5044" s="614" t="s">
        <v>13232</v>
      </c>
      <c r="B5044" s="614">
        <v>11</v>
      </c>
      <c r="C5044" s="614">
        <v>306</v>
      </c>
      <c r="D5044" s="185" t="s">
        <v>9462</v>
      </c>
      <c r="E5044" s="314" t="s">
        <v>9471</v>
      </c>
      <c r="F5044" s="184">
        <v>41808</v>
      </c>
      <c r="G5044" s="184"/>
      <c r="H5044" s="185">
        <v>1</v>
      </c>
      <c r="I5044" s="185">
        <v>4</v>
      </c>
      <c r="J5044" s="901" t="s">
        <v>1796</v>
      </c>
      <c r="K5044" s="163" t="s">
        <v>176</v>
      </c>
      <c r="L5044" s="163" t="s">
        <v>3832</v>
      </c>
      <c r="M5044" s="163" t="s">
        <v>254</v>
      </c>
      <c r="N5044" s="163" t="s">
        <v>5317</v>
      </c>
      <c r="O5044" s="163"/>
      <c r="P5044" s="182" t="s">
        <v>461</v>
      </c>
      <c r="Q5044" s="163" t="s">
        <v>729</v>
      </c>
      <c r="R5044" s="186" t="s">
        <v>4796</v>
      </c>
      <c r="S5044" s="355" t="s">
        <v>6923</v>
      </c>
      <c r="T5044" s="182"/>
      <c r="U5044" s="182"/>
      <c r="V5044" s="182"/>
      <c r="W5044" s="314" t="s">
        <v>9471</v>
      </c>
      <c r="X5044" s="646" t="s">
        <v>10130</v>
      </c>
      <c r="Y5044" s="355"/>
      <c r="Z5044" s="185"/>
      <c r="AA5044" s="185"/>
      <c r="AB5044" s="33">
        <f t="shared" ca="1" si="122"/>
        <v>0.88471470899843863</v>
      </c>
      <c r="AC5044" s="813"/>
      <c r="AD5044" s="211"/>
      <c r="AE5044" s="941"/>
      <c r="AF5044" s="922">
        <f>IF(X5044=X5043,AF5043,0)+IF(ISNUMBER(I5044),IF(I5044&lt;1,I5044,I5044*VLOOKUP(J5044,Summary!$H$2:$I$9,2)),VLOOKUP(J5044,Summary!$J$2:$K$9,2)*IF(ISNUMBER(H5044),H5044,1))</f>
        <v>0.97481481481481458</v>
      </c>
      <c r="AG5044" s="290">
        <v>5043</v>
      </c>
      <c r="AH5044" s="94"/>
      <c r="AI5044" s="94"/>
    </row>
    <row r="5045" spans="1:35" s="1" customFormat="1" ht="12" customHeight="1" x14ac:dyDescent="0.25">
      <c r="A5045" s="614" t="s">
        <v>13232</v>
      </c>
      <c r="B5045" s="614">
        <v>11</v>
      </c>
      <c r="C5045" s="614">
        <v>307</v>
      </c>
      <c r="D5045" s="185" t="s">
        <v>9463</v>
      </c>
      <c r="E5045" s="314" t="s">
        <v>9472</v>
      </c>
      <c r="F5045" s="184">
        <v>41822</v>
      </c>
      <c r="G5045" s="184"/>
      <c r="H5045" s="185">
        <v>2</v>
      </c>
      <c r="I5045" s="185">
        <v>5</v>
      </c>
      <c r="J5045" s="901" t="s">
        <v>1796</v>
      </c>
      <c r="K5045" s="163" t="s">
        <v>2939</v>
      </c>
      <c r="L5045" s="163" t="s">
        <v>3832</v>
      </c>
      <c r="M5045" s="163" t="s">
        <v>254</v>
      </c>
      <c r="N5045" s="163" t="s">
        <v>5317</v>
      </c>
      <c r="O5045" s="163"/>
      <c r="P5045" s="182" t="s">
        <v>461</v>
      </c>
      <c r="Q5045" s="163" t="s">
        <v>729</v>
      </c>
      <c r="R5045" s="186" t="s">
        <v>4796</v>
      </c>
      <c r="S5045" s="355" t="s">
        <v>6923</v>
      </c>
      <c r="T5045" s="182"/>
      <c r="U5045" s="182"/>
      <c r="V5045" s="182"/>
      <c r="W5045" s="314"/>
      <c r="X5045" s="646" t="s">
        <v>10130</v>
      </c>
      <c r="Y5045" s="355"/>
      <c r="Z5045" s="185"/>
      <c r="AA5045" s="185"/>
      <c r="AB5045" s="33">
        <f t="shared" ca="1" si="122"/>
        <v>0.43635718115847399</v>
      </c>
      <c r="AC5045" s="813"/>
      <c r="AD5045" s="211"/>
      <c r="AE5045" s="941"/>
      <c r="AF5045" s="922">
        <f>IF(X5045=X5044,AF5044,0)+IF(ISNUMBER(I5045),IF(I5045&lt;1,I5045,I5045*VLOOKUP(J5045,Summary!$H$2:$I$9,2)),VLOOKUP(J5045,Summary!$J$2:$K$9,2)*IF(ISNUMBER(H5045),H5045,1))</f>
        <v>0.97655092592592574</v>
      </c>
      <c r="AG5045" s="290">
        <v>5044</v>
      </c>
      <c r="AH5045" s="94"/>
      <c r="AI5045" s="94"/>
    </row>
    <row r="5046" spans="1:35" s="22" customFormat="1" ht="12" customHeight="1" x14ac:dyDescent="0.2">
      <c r="A5046" s="614" t="s">
        <v>13232</v>
      </c>
      <c r="B5046" s="614">
        <v>11</v>
      </c>
      <c r="C5046" s="614">
        <v>308</v>
      </c>
      <c r="D5046" s="185" t="s">
        <v>9464</v>
      </c>
      <c r="E5046" s="314" t="s">
        <v>9473</v>
      </c>
      <c r="F5046" s="184">
        <v>41836</v>
      </c>
      <c r="G5046" s="184"/>
      <c r="H5046" s="185">
        <v>2</v>
      </c>
      <c r="I5046" s="185">
        <v>5</v>
      </c>
      <c r="J5046" s="901" t="s">
        <v>1796</v>
      </c>
      <c r="K5046" s="163" t="s">
        <v>9475</v>
      </c>
      <c r="L5046" s="163" t="s">
        <v>3832</v>
      </c>
      <c r="M5046" s="163" t="s">
        <v>254</v>
      </c>
      <c r="N5046" s="163" t="s">
        <v>5317</v>
      </c>
      <c r="O5046" s="163"/>
      <c r="P5046" s="182" t="s">
        <v>461</v>
      </c>
      <c r="Q5046" s="163" t="s">
        <v>729</v>
      </c>
      <c r="R5046" s="186" t="s">
        <v>4796</v>
      </c>
      <c r="S5046" s="355" t="s">
        <v>6923</v>
      </c>
      <c r="T5046" s="182"/>
      <c r="U5046" s="182"/>
      <c r="V5046" s="182"/>
      <c r="W5046" s="314"/>
      <c r="X5046" s="646" t="s">
        <v>10130</v>
      </c>
      <c r="Y5046" s="355"/>
      <c r="Z5046" s="185"/>
      <c r="AA5046" s="185"/>
      <c r="AB5046" s="33">
        <f t="shared" ca="1" si="122"/>
        <v>0.71697037098249183</v>
      </c>
      <c r="AC5046" s="813"/>
      <c r="AD5046" s="211"/>
      <c r="AE5046" s="941"/>
      <c r="AF5046" s="922">
        <f>IF(X5046=X5045,AF5045,0)+IF(ISNUMBER(I5046),IF(I5046&lt;1,I5046,I5046*VLOOKUP(J5046,Summary!$H$2:$I$9,2)),VLOOKUP(J5046,Summary!$J$2:$K$9,2)*IF(ISNUMBER(H5046),H5046,1))</f>
        <v>0.9782870370370369</v>
      </c>
      <c r="AG5046" s="290">
        <v>5045</v>
      </c>
      <c r="AH5046" s="94"/>
      <c r="AI5046" s="94"/>
    </row>
    <row r="5047" spans="1:35" s="1" customFormat="1" ht="12" customHeight="1" x14ac:dyDescent="0.25">
      <c r="A5047" s="614" t="s">
        <v>13232</v>
      </c>
      <c r="B5047" s="614">
        <v>11</v>
      </c>
      <c r="C5047" s="614">
        <v>309</v>
      </c>
      <c r="D5047" s="185" t="s">
        <v>9465</v>
      </c>
      <c r="E5047" s="314" t="s">
        <v>9474</v>
      </c>
      <c r="F5047" s="184">
        <v>41850</v>
      </c>
      <c r="G5047" s="184"/>
      <c r="H5047" s="185">
        <v>2</v>
      </c>
      <c r="I5047" s="185">
        <v>5</v>
      </c>
      <c r="J5047" s="901" t="s">
        <v>1796</v>
      </c>
      <c r="K5047" s="163" t="s">
        <v>2939</v>
      </c>
      <c r="L5047" s="163" t="s">
        <v>3832</v>
      </c>
      <c r="M5047" s="163" t="s">
        <v>254</v>
      </c>
      <c r="N5047" s="163" t="s">
        <v>5317</v>
      </c>
      <c r="O5047" s="163"/>
      <c r="P5047" s="182" t="s">
        <v>461</v>
      </c>
      <c r="Q5047" s="163" t="s">
        <v>729</v>
      </c>
      <c r="R5047" s="186" t="s">
        <v>4796</v>
      </c>
      <c r="S5047" s="355" t="s">
        <v>6923</v>
      </c>
      <c r="T5047" s="182"/>
      <c r="U5047" s="182"/>
      <c r="V5047" s="182"/>
      <c r="W5047" s="314"/>
      <c r="X5047" s="646" t="s">
        <v>10130</v>
      </c>
      <c r="Y5047" s="355"/>
      <c r="Z5047" s="185"/>
      <c r="AA5047" s="185"/>
      <c r="AB5047" s="33">
        <f t="shared" ca="1" si="122"/>
        <v>0.95008682957723134</v>
      </c>
      <c r="AC5047" s="813"/>
      <c r="AD5047" s="211"/>
      <c r="AE5047" s="941"/>
      <c r="AF5047" s="922">
        <f>IF(X5047=X5046,AF5046,0)+IF(ISNUMBER(I5047),IF(I5047&lt;1,I5047,I5047*VLOOKUP(J5047,Summary!$H$2:$I$9,2)),VLOOKUP(J5047,Summary!$J$2:$K$9,2)*IF(ISNUMBER(H5047),H5047,1))</f>
        <v>0.98002314814814806</v>
      </c>
      <c r="AG5047" s="290">
        <v>5046</v>
      </c>
      <c r="AH5047" s="94"/>
      <c r="AI5047" s="94"/>
    </row>
    <row r="5048" spans="1:35" s="22" customFormat="1" ht="12" customHeight="1" x14ac:dyDescent="0.25">
      <c r="A5048" s="618" t="s">
        <v>13232</v>
      </c>
      <c r="B5048" s="618">
        <v>11</v>
      </c>
      <c r="C5048" s="618">
        <v>4</v>
      </c>
      <c r="D5048" s="176" t="s">
        <v>9811</v>
      </c>
      <c r="E5048" s="313" t="s">
        <v>9812</v>
      </c>
      <c r="F5048" s="175">
        <v>41802</v>
      </c>
      <c r="G5048" s="174"/>
      <c r="H5048" s="176">
        <v>1</v>
      </c>
      <c r="I5048" s="176">
        <v>8</v>
      </c>
      <c r="J5048" s="900" t="s">
        <v>2755</v>
      </c>
      <c r="K5048" s="164" t="s">
        <v>9281</v>
      </c>
      <c r="L5048" s="164" t="s">
        <v>461</v>
      </c>
      <c r="M5048" s="164"/>
      <c r="N5048" s="164" t="s">
        <v>543</v>
      </c>
      <c r="O5048" s="164"/>
      <c r="P5048" s="173" t="s">
        <v>9278</v>
      </c>
      <c r="Q5048" s="164" t="s">
        <v>3953</v>
      </c>
      <c r="R5048" s="177" t="s">
        <v>9279</v>
      </c>
      <c r="S5048" s="354"/>
      <c r="T5048" s="173"/>
      <c r="U5048" s="173"/>
      <c r="V5048" s="173"/>
      <c r="W5048" s="313" t="s">
        <v>9812</v>
      </c>
      <c r="X5048" s="645" t="s">
        <v>10130</v>
      </c>
      <c r="Y5048" s="354" t="s">
        <v>6868</v>
      </c>
      <c r="Z5048" s="176"/>
      <c r="AA5048" s="176"/>
      <c r="AB5048" s="32">
        <f t="shared" ca="1" si="122"/>
        <v>0.5632371827307322</v>
      </c>
      <c r="AC5048" s="812"/>
      <c r="AD5048" s="837"/>
      <c r="AE5048" s="807"/>
      <c r="AF5048" s="921">
        <f>IF(X5048=X5047,AF5047,0)+IF(ISNUMBER(I5048),IF(I5048&lt;1,I5048,I5048*VLOOKUP(J5048,Summary!$H$2:$I$9,2)),VLOOKUP(J5048,Summary!$J$2:$K$9,2)*IF(ISNUMBER(H5048),H5048,1))</f>
        <v>0.9855787037037036</v>
      </c>
      <c r="AG5048" s="289">
        <v>5047</v>
      </c>
      <c r="AH5048" s="94"/>
      <c r="AI5048" s="94"/>
    </row>
    <row r="5049" spans="1:35" s="2" customFormat="1" ht="12" customHeight="1" x14ac:dyDescent="0.25">
      <c r="A5049" s="614" t="s">
        <v>13232</v>
      </c>
      <c r="B5049" s="614">
        <v>11</v>
      </c>
      <c r="C5049" s="614">
        <v>160</v>
      </c>
      <c r="D5049" s="185" t="s">
        <v>8296</v>
      </c>
      <c r="E5049" s="314" t="s">
        <v>8297</v>
      </c>
      <c r="F5049" s="183">
        <v>41609</v>
      </c>
      <c r="G5049" s="183">
        <v>41640</v>
      </c>
      <c r="H5049" s="185">
        <v>2</v>
      </c>
      <c r="I5049" s="185">
        <v>24</v>
      </c>
      <c r="J5049" s="901" t="s">
        <v>1796</v>
      </c>
      <c r="K5049" s="163" t="s">
        <v>5251</v>
      </c>
      <c r="L5049" s="163" t="s">
        <v>3828</v>
      </c>
      <c r="M5049" s="163" t="s">
        <v>252</v>
      </c>
      <c r="N5049" s="163" t="s">
        <v>5742</v>
      </c>
      <c r="O5049" s="163"/>
      <c r="P5049" s="182" t="s">
        <v>461</v>
      </c>
      <c r="Q5049" s="163" t="s">
        <v>4104</v>
      </c>
      <c r="R5049" s="186" t="s">
        <v>5266</v>
      </c>
      <c r="S5049" s="355" t="s">
        <v>6923</v>
      </c>
      <c r="T5049" s="182"/>
      <c r="U5049" s="182"/>
      <c r="V5049" s="182"/>
      <c r="W5049" s="314"/>
      <c r="X5049" s="646" t="s">
        <v>10130</v>
      </c>
      <c r="Y5049" s="355"/>
      <c r="Z5049" s="185"/>
      <c r="AA5049" s="185"/>
      <c r="AB5049" s="33">
        <f t="shared" ca="1" si="122"/>
        <v>0.99875276647975586</v>
      </c>
      <c r="AC5049" s="813"/>
      <c r="AD5049" s="211"/>
      <c r="AE5049" s="941"/>
      <c r="AF5049" s="922">
        <f>IF(X5049=X5048,AF5048,0)+IF(ISNUMBER(I5049),IF(I5049&lt;1,I5049,I5049*VLOOKUP(J5049,Summary!$H$2:$I$9,2)),VLOOKUP(J5049,Summary!$J$2:$K$9,2)*IF(ISNUMBER(H5049),H5049,1))</f>
        <v>0.9939120370370369</v>
      </c>
      <c r="AG5049" s="290">
        <v>5048</v>
      </c>
      <c r="AH5049" s="94"/>
      <c r="AI5049" s="94"/>
    </row>
    <row r="5050" spans="1:35" s="22" customFormat="1" ht="12" customHeight="1" x14ac:dyDescent="0.2">
      <c r="A5050" s="765" t="s">
        <v>13232</v>
      </c>
      <c r="B5050" s="765">
        <v>11</v>
      </c>
      <c r="C5050" s="765">
        <v>161</v>
      </c>
      <c r="D5050" s="226" t="s">
        <v>8299</v>
      </c>
      <c r="E5050" s="331" t="s">
        <v>8298</v>
      </c>
      <c r="F5050" s="766">
        <v>41640</v>
      </c>
      <c r="G5050" s="766">
        <v>41760</v>
      </c>
      <c r="H5050" s="226">
        <v>5</v>
      </c>
      <c r="I5050" s="226">
        <v>61</v>
      </c>
      <c r="J5050" s="907" t="s">
        <v>1796</v>
      </c>
      <c r="K5050" s="228" t="s">
        <v>5251</v>
      </c>
      <c r="L5050" s="228" t="s">
        <v>3828</v>
      </c>
      <c r="M5050" s="228" t="s">
        <v>252</v>
      </c>
      <c r="N5050" s="228" t="s">
        <v>5742</v>
      </c>
      <c r="O5050" s="228"/>
      <c r="P5050" s="225" t="s">
        <v>461</v>
      </c>
      <c r="Q5050" s="228" t="s">
        <v>4104</v>
      </c>
      <c r="R5050" s="227" t="s">
        <v>5266</v>
      </c>
      <c r="S5050" s="369" t="s">
        <v>6923</v>
      </c>
      <c r="T5050" s="225"/>
      <c r="U5050" s="225"/>
      <c r="V5050" s="225"/>
      <c r="W5050" s="331"/>
      <c r="X5050" s="663" t="s">
        <v>10130</v>
      </c>
      <c r="Y5050" s="369"/>
      <c r="Z5050" s="226"/>
      <c r="AA5050" s="226"/>
      <c r="AB5050" s="38">
        <f t="shared" ca="1" si="122"/>
        <v>0.97688525247354419</v>
      </c>
      <c r="AC5050" s="830"/>
      <c r="AD5050" s="831"/>
      <c r="AE5050" s="953"/>
      <c r="AF5050" s="928">
        <f>IF(X5050=X5049,AF5049,0)+IF(ISNUMBER(I5050),IF(I5050&lt;1,I5050,I5050*VLOOKUP(J5050,Summary!$H$2:$I$9,2)),VLOOKUP(J5050,Summary!$J$2:$K$9,2)*IF(ISNUMBER(H5050),H5050,1))</f>
        <v>1.0150925925925924</v>
      </c>
      <c r="AG5050" s="300">
        <v>5049</v>
      </c>
      <c r="AH5050" s="94"/>
      <c r="AI5050" s="94"/>
    </row>
    <row r="5051" spans="1:35" s="57" customFormat="1" ht="12" customHeight="1" x14ac:dyDescent="0.25">
      <c r="A5051" s="612" t="s">
        <v>13232</v>
      </c>
      <c r="B5051" s="612">
        <v>11</v>
      </c>
      <c r="C5051" s="612">
        <v>241</v>
      </c>
      <c r="D5051" s="424" t="s">
        <v>8000</v>
      </c>
      <c r="E5051" s="319" t="s">
        <v>8001</v>
      </c>
      <c r="F5051" s="198">
        <v>41633</v>
      </c>
      <c r="G5051" s="198"/>
      <c r="H5051" s="199">
        <v>1</v>
      </c>
      <c r="I5051" s="791">
        <f>TIME(0,61, 0)</f>
        <v>4.2361111111111106E-2</v>
      </c>
      <c r="J5051" s="904" t="s">
        <v>1588</v>
      </c>
      <c r="K5051" s="200" t="s">
        <v>3810</v>
      </c>
      <c r="L5051" s="200" t="s">
        <v>2582</v>
      </c>
      <c r="M5051" s="200"/>
      <c r="N5051" s="200" t="s">
        <v>3810</v>
      </c>
      <c r="O5051" s="200" t="s">
        <v>8002</v>
      </c>
      <c r="P5051" s="197" t="s">
        <v>461</v>
      </c>
      <c r="Q5051" s="200" t="s">
        <v>3946</v>
      </c>
      <c r="R5051" s="201" t="s">
        <v>5280</v>
      </c>
      <c r="S5051" s="390" t="s">
        <v>6923</v>
      </c>
      <c r="T5051" s="197"/>
      <c r="U5051" s="197"/>
      <c r="V5051" s="197"/>
      <c r="W5051" s="319" t="s">
        <v>8001</v>
      </c>
      <c r="X5051" s="651" t="s">
        <v>10130</v>
      </c>
      <c r="Y5051" s="358" t="s">
        <v>7018</v>
      </c>
      <c r="Z5051" s="253">
        <v>233</v>
      </c>
      <c r="AA5051" s="253">
        <v>4</v>
      </c>
      <c r="AB5051" s="35">
        <f t="shared" ca="1" si="122"/>
        <v>0.66211443869490527</v>
      </c>
      <c r="AC5051" s="820"/>
      <c r="AD5051" s="821"/>
      <c r="AE5051" s="967"/>
      <c r="AF5051" s="925">
        <f>IF(X5051=X5050,AF5050,0)+IF(ISNUMBER(I5051),IF(I5051&lt;1,I5051,I5051*VLOOKUP(J5051,Summary!$H$2:$I$9,2)),VLOOKUP(J5051,Summary!$J$2:$K$9,2)*IF(ISNUMBER(H5051),H5051,1))</f>
        <v>1.0574537037037035</v>
      </c>
      <c r="AG5051" s="293">
        <v>5050</v>
      </c>
      <c r="AH5051" s="94"/>
      <c r="AI5051" s="94"/>
    </row>
    <row r="5052" spans="1:35" s="1" customFormat="1" ht="12" customHeight="1" x14ac:dyDescent="0.25">
      <c r="A5052" s="618" t="s">
        <v>13232</v>
      </c>
      <c r="B5052" s="618">
        <v>11</v>
      </c>
      <c r="C5052" s="618">
        <v>4.0999999999999996</v>
      </c>
      <c r="D5052" s="176" t="s">
        <v>8378</v>
      </c>
      <c r="E5052" s="313" t="s">
        <v>13312</v>
      </c>
      <c r="F5052" s="175">
        <v>41697</v>
      </c>
      <c r="G5052" s="175"/>
      <c r="H5052" s="176" t="s">
        <v>461</v>
      </c>
      <c r="I5052" s="176"/>
      <c r="J5052" s="900" t="s">
        <v>2755</v>
      </c>
      <c r="K5052" s="164" t="s">
        <v>543</v>
      </c>
      <c r="L5052" s="164" t="str">
        <f>IF(J5052="Book","n/a","")</f>
        <v/>
      </c>
      <c r="M5052" s="164"/>
      <c r="N5052" s="164"/>
      <c r="O5052" s="164"/>
      <c r="P5052" s="173" t="s">
        <v>461</v>
      </c>
      <c r="Q5052" s="164" t="s">
        <v>3953</v>
      </c>
      <c r="R5052" s="177" t="s">
        <v>13311</v>
      </c>
      <c r="S5052" s="354"/>
      <c r="T5052" s="173"/>
      <c r="U5052" s="173"/>
      <c r="V5052" s="173"/>
      <c r="W5052" s="313" t="s">
        <v>13312</v>
      </c>
      <c r="X5052" s="645" t="s">
        <v>10130</v>
      </c>
      <c r="Y5052" s="354"/>
      <c r="Z5052" s="176"/>
      <c r="AA5052" s="176"/>
      <c r="AB5052" s="32">
        <f t="shared" ca="1" si="122"/>
        <v>0.49857555635875728</v>
      </c>
      <c r="AC5052" s="812"/>
      <c r="AD5052" s="763"/>
      <c r="AE5052" s="807"/>
      <c r="AF5052" s="921">
        <f>IF(X5052=X5051,AF5051,0)+IF(ISNUMBER(I5052),IF(I5052&lt;1,I5052,I5052*VLOOKUP(J5052,Summary!$H$2:$I$9,2)),VLOOKUP(J5052,Summary!$J$2:$K$9,2)*IF(ISNUMBER(H5052),H5052,1))</f>
        <v>1.0748148148148147</v>
      </c>
      <c r="AG5052" s="289">
        <v>5051</v>
      </c>
      <c r="AH5052" s="94"/>
      <c r="AI5052" s="94"/>
    </row>
    <row r="5053" spans="1:35" s="58" customFormat="1" ht="12" customHeight="1" x14ac:dyDescent="0.25">
      <c r="A5053" s="618" t="s">
        <v>13232</v>
      </c>
      <c r="B5053" s="618">
        <v>11</v>
      </c>
      <c r="C5053" s="618">
        <v>4.2</v>
      </c>
      <c r="D5053" s="176" t="s">
        <v>8381</v>
      </c>
      <c r="E5053" s="313" t="s">
        <v>13313</v>
      </c>
      <c r="F5053" s="175">
        <v>41697</v>
      </c>
      <c r="G5053" s="175"/>
      <c r="H5053" s="176" t="s">
        <v>461</v>
      </c>
      <c r="I5053" s="176"/>
      <c r="J5053" s="900" t="s">
        <v>2755</v>
      </c>
      <c r="K5053" s="164" t="s">
        <v>2310</v>
      </c>
      <c r="L5053" s="164" t="str">
        <f>IF(J5053="Book","n/a","")</f>
        <v/>
      </c>
      <c r="M5053" s="164"/>
      <c r="N5053" s="164"/>
      <c r="O5053" s="164"/>
      <c r="P5053" s="173" t="s">
        <v>461</v>
      </c>
      <c r="Q5053" s="164" t="s">
        <v>3953</v>
      </c>
      <c r="R5053" s="177" t="s">
        <v>13311</v>
      </c>
      <c r="S5053" s="354"/>
      <c r="T5053" s="173"/>
      <c r="U5053" s="173"/>
      <c r="V5053" s="173"/>
      <c r="W5053" s="313" t="s">
        <v>13313</v>
      </c>
      <c r="X5053" s="645" t="s">
        <v>10130</v>
      </c>
      <c r="Y5053" s="354"/>
      <c r="Z5053" s="176"/>
      <c r="AA5053" s="176"/>
      <c r="AB5053" s="32">
        <f t="shared" ca="1" si="122"/>
        <v>0.32757969227717809</v>
      </c>
      <c r="AC5053" s="812"/>
      <c r="AD5053" s="763"/>
      <c r="AE5053" s="807"/>
      <c r="AF5053" s="921">
        <f>IF(X5053=X5052,AF5052,0)+IF(ISNUMBER(I5053),IF(I5053&lt;1,I5053,I5053*VLOOKUP(J5053,Summary!$H$2:$I$9,2)),VLOOKUP(J5053,Summary!$J$2:$K$9,2)*IF(ISNUMBER(H5053),H5053,1))</f>
        <v>1.0921759259259258</v>
      </c>
      <c r="AG5053" s="289">
        <v>5052</v>
      </c>
      <c r="AH5053" s="94"/>
      <c r="AI5053" s="94"/>
    </row>
    <row r="5054" spans="1:35" s="1" customFormat="1" ht="12" customHeight="1" x14ac:dyDescent="0.25">
      <c r="A5054" s="618" t="s">
        <v>13232</v>
      </c>
      <c r="B5054" s="618">
        <v>11</v>
      </c>
      <c r="C5054" s="618">
        <v>4.3</v>
      </c>
      <c r="D5054" s="176" t="s">
        <v>8380</v>
      </c>
      <c r="E5054" s="313" t="s">
        <v>13314</v>
      </c>
      <c r="F5054" s="175">
        <v>41697</v>
      </c>
      <c r="G5054" s="175"/>
      <c r="H5054" s="176" t="s">
        <v>461</v>
      </c>
      <c r="I5054" s="176"/>
      <c r="J5054" s="900" t="s">
        <v>2755</v>
      </c>
      <c r="K5054" s="164" t="s">
        <v>2304</v>
      </c>
      <c r="L5054" s="164" t="str">
        <f>IF(J5054="Book","n/a","")</f>
        <v/>
      </c>
      <c r="M5054" s="164"/>
      <c r="N5054" s="164"/>
      <c r="O5054" s="164"/>
      <c r="P5054" s="173" t="s">
        <v>461</v>
      </c>
      <c r="Q5054" s="164" t="s">
        <v>3953</v>
      </c>
      <c r="R5054" s="177" t="s">
        <v>13311</v>
      </c>
      <c r="S5054" s="354"/>
      <c r="T5054" s="173"/>
      <c r="U5054" s="173"/>
      <c r="V5054" s="173"/>
      <c r="W5054" s="313" t="s">
        <v>13314</v>
      </c>
      <c r="X5054" s="645" t="s">
        <v>10130</v>
      </c>
      <c r="Y5054" s="354"/>
      <c r="Z5054" s="176"/>
      <c r="AA5054" s="176"/>
      <c r="AB5054" s="32">
        <f t="shared" ca="1" si="122"/>
        <v>0.921841115449754</v>
      </c>
      <c r="AC5054" s="812"/>
      <c r="AD5054" s="763"/>
      <c r="AE5054" s="807"/>
      <c r="AF5054" s="921">
        <f>IF(X5054=X5053,AF5053,0)+IF(ISNUMBER(I5054),IF(I5054&lt;1,I5054,I5054*VLOOKUP(J5054,Summary!$H$2:$I$9,2)),VLOOKUP(J5054,Summary!$J$2:$K$9,2)*IF(ISNUMBER(H5054),H5054,1))</f>
        <v>1.109537037037037</v>
      </c>
      <c r="AG5054" s="289">
        <v>5053</v>
      </c>
      <c r="AH5054" s="94"/>
      <c r="AI5054" s="94"/>
    </row>
    <row r="5055" spans="1:35" s="57" customFormat="1" ht="12" customHeight="1" x14ac:dyDescent="0.25">
      <c r="A5055" s="618" t="s">
        <v>13232</v>
      </c>
      <c r="B5055" s="618">
        <v>11</v>
      </c>
      <c r="C5055" s="618">
        <v>4.4000000000000004</v>
      </c>
      <c r="D5055" s="176" t="s">
        <v>8379</v>
      </c>
      <c r="E5055" s="313" t="s">
        <v>13315</v>
      </c>
      <c r="F5055" s="175">
        <v>41697</v>
      </c>
      <c r="G5055" s="175"/>
      <c r="H5055" s="176" t="s">
        <v>461</v>
      </c>
      <c r="I5055" s="176"/>
      <c r="J5055" s="900" t="s">
        <v>2755</v>
      </c>
      <c r="K5055" s="164" t="s">
        <v>4033</v>
      </c>
      <c r="L5055" s="164" t="str">
        <f>IF(J5055="Book","n/a","")</f>
        <v/>
      </c>
      <c r="M5055" s="164"/>
      <c r="N5055" s="164"/>
      <c r="O5055" s="164"/>
      <c r="P5055" s="173" t="s">
        <v>461</v>
      </c>
      <c r="Q5055" s="164" t="s">
        <v>3953</v>
      </c>
      <c r="R5055" s="177" t="s">
        <v>13311</v>
      </c>
      <c r="S5055" s="354"/>
      <c r="T5055" s="173"/>
      <c r="U5055" s="173"/>
      <c r="V5055" s="173"/>
      <c r="W5055" s="313" t="s">
        <v>13315</v>
      </c>
      <c r="X5055" s="645" t="s">
        <v>10130</v>
      </c>
      <c r="Y5055" s="354"/>
      <c r="Z5055" s="176"/>
      <c r="AA5055" s="176"/>
      <c r="AB5055" s="32">
        <f t="shared" ca="1" si="122"/>
        <v>0.79811661141725099</v>
      </c>
      <c r="AC5055" s="812"/>
      <c r="AD5055" s="763"/>
      <c r="AE5055" s="807"/>
      <c r="AF5055" s="921">
        <f>IF(X5055=X5054,AF5054,0)+IF(ISNUMBER(I5055),IF(I5055&lt;1,I5055,I5055*VLOOKUP(J5055,Summary!$H$2:$I$9,2)),VLOOKUP(J5055,Summary!$J$2:$K$9,2)*IF(ISNUMBER(H5055),H5055,1))</f>
        <v>1.1268981481481481</v>
      </c>
      <c r="AG5055" s="289">
        <v>5054</v>
      </c>
      <c r="AH5055" s="94"/>
      <c r="AI5055" s="94"/>
    </row>
    <row r="5056" spans="1:35" s="22" customFormat="1" ht="12" customHeight="1" x14ac:dyDescent="0.2">
      <c r="A5056" s="405" t="s">
        <v>10669</v>
      </c>
      <c r="B5056" s="406" t="s">
        <v>3234</v>
      </c>
      <c r="C5056" s="551">
        <v>1.1000000000000001</v>
      </c>
      <c r="D5056" s="407" t="s">
        <v>10048</v>
      </c>
      <c r="E5056" s="315" t="s">
        <v>10053</v>
      </c>
      <c r="F5056" s="169">
        <v>42317</v>
      </c>
      <c r="G5056" s="170"/>
      <c r="H5056" s="170">
        <v>1</v>
      </c>
      <c r="I5056" s="747">
        <f t="shared" ref="I5056:I5071" si="123">TIME(0,60,0)</f>
        <v>4.1666666666666664E-2</v>
      </c>
      <c r="J5056" s="899" t="s">
        <v>4706</v>
      </c>
      <c r="K5056" s="167" t="s">
        <v>6452</v>
      </c>
      <c r="L5056" s="167" t="s">
        <v>2313</v>
      </c>
      <c r="M5056" s="167"/>
      <c r="N5056" s="167" t="s">
        <v>2313</v>
      </c>
      <c r="O5056" s="167" t="s">
        <v>3295</v>
      </c>
      <c r="P5056" s="168" t="s">
        <v>10052</v>
      </c>
      <c r="Q5056" s="167" t="s">
        <v>3947</v>
      </c>
      <c r="R5056" s="172" t="s">
        <v>7380</v>
      </c>
      <c r="S5056" s="388"/>
      <c r="T5056" s="168"/>
      <c r="U5056" s="168" t="s">
        <v>10902</v>
      </c>
      <c r="V5056" s="168" t="s">
        <v>10903</v>
      </c>
      <c r="W5056" s="315" t="s">
        <v>10051</v>
      </c>
      <c r="X5056" s="647" t="s">
        <v>15799</v>
      </c>
      <c r="Y5056" s="352"/>
      <c r="Z5056" s="353"/>
      <c r="AA5056" s="353"/>
      <c r="AB5056" s="31">
        <f t="shared" ca="1" si="122"/>
        <v>0.55472395639231464</v>
      </c>
      <c r="AC5056" s="810"/>
      <c r="AD5056" s="811"/>
      <c r="AE5056" s="940"/>
      <c r="AF5056" s="920">
        <f>IF(X5056=X5055,AF5055,0)+IF(ISNUMBER(I5056),IF(I5056&lt;1,I5056,I5056*VLOOKUP(J5056,Summary!$H$2:$I$9,2)),VLOOKUP(J5056,Summary!$J$2:$K$9,2)*IF(ISNUMBER(H5056),H5056,1))</f>
        <v>4.1666666666666664E-2</v>
      </c>
      <c r="AG5056" s="287">
        <v>5055</v>
      </c>
      <c r="AH5056" s="94"/>
      <c r="AI5056" s="94"/>
    </row>
    <row r="5057" spans="1:35" s="22" customFormat="1" ht="12" customHeight="1" x14ac:dyDescent="0.2">
      <c r="A5057" s="405" t="s">
        <v>10669</v>
      </c>
      <c r="B5057" s="406" t="s">
        <v>3234</v>
      </c>
      <c r="C5057" s="551">
        <v>1.2</v>
      </c>
      <c r="D5057" s="407" t="s">
        <v>10049</v>
      </c>
      <c r="E5057" s="315" t="s">
        <v>10057</v>
      </c>
      <c r="F5057" s="169">
        <v>42317</v>
      </c>
      <c r="G5057" s="170"/>
      <c r="H5057" s="170">
        <v>1</v>
      </c>
      <c r="I5057" s="747">
        <f t="shared" si="123"/>
        <v>4.1666666666666664E-2</v>
      </c>
      <c r="J5057" s="899" t="s">
        <v>4706</v>
      </c>
      <c r="K5057" s="167" t="s">
        <v>6970</v>
      </c>
      <c r="L5057" s="167" t="s">
        <v>2313</v>
      </c>
      <c r="M5057" s="167"/>
      <c r="N5057" s="167" t="s">
        <v>2313</v>
      </c>
      <c r="O5057" s="167" t="s">
        <v>3295</v>
      </c>
      <c r="P5057" s="168" t="s">
        <v>10052</v>
      </c>
      <c r="Q5057" s="167" t="s">
        <v>3947</v>
      </c>
      <c r="R5057" s="172" t="s">
        <v>7380</v>
      </c>
      <c r="S5057" s="388"/>
      <c r="T5057" s="168"/>
      <c r="U5057" s="168" t="s">
        <v>10902</v>
      </c>
      <c r="V5057" s="168" t="s">
        <v>10903</v>
      </c>
      <c r="W5057" s="315" t="s">
        <v>10058</v>
      </c>
      <c r="X5057" s="647" t="s">
        <v>15799</v>
      </c>
      <c r="Y5057" s="352"/>
      <c r="Z5057" s="353"/>
      <c r="AA5057" s="353"/>
      <c r="AB5057" s="31">
        <f t="shared" ca="1" si="122"/>
        <v>0.86265969034403234</v>
      </c>
      <c r="AC5057" s="810"/>
      <c r="AD5057" s="811"/>
      <c r="AE5057" s="940"/>
      <c r="AF5057" s="920">
        <f>IF(X5057=X5056,AF5056,0)+IF(ISNUMBER(I5057),IF(I5057&lt;1,I5057,I5057*VLOOKUP(J5057,Summary!$H$2:$I$9,2)),VLOOKUP(J5057,Summary!$J$2:$K$9,2)*IF(ISNUMBER(H5057),H5057,1))</f>
        <v>8.3333333333333329E-2</v>
      </c>
      <c r="AG5057" s="287">
        <v>5056</v>
      </c>
      <c r="AH5057" s="94"/>
      <c r="AI5057" s="94"/>
    </row>
    <row r="5058" spans="1:35" s="22" customFormat="1" ht="12" customHeight="1" x14ac:dyDescent="0.2">
      <c r="A5058" s="405" t="s">
        <v>10669</v>
      </c>
      <c r="B5058" s="406" t="s">
        <v>3234</v>
      </c>
      <c r="C5058" s="551">
        <v>1.3</v>
      </c>
      <c r="D5058" s="407" t="s">
        <v>10050</v>
      </c>
      <c r="E5058" s="315" t="s">
        <v>10062</v>
      </c>
      <c r="F5058" s="169">
        <v>42317</v>
      </c>
      <c r="G5058" s="170"/>
      <c r="H5058" s="170">
        <v>1</v>
      </c>
      <c r="I5058" s="747">
        <f t="shared" si="123"/>
        <v>4.1666666666666664E-2</v>
      </c>
      <c r="J5058" s="899" t="s">
        <v>4706</v>
      </c>
      <c r="K5058" s="167" t="s">
        <v>6970</v>
      </c>
      <c r="L5058" s="167" t="s">
        <v>2313</v>
      </c>
      <c r="M5058" s="167"/>
      <c r="N5058" s="167" t="s">
        <v>2313</v>
      </c>
      <c r="O5058" s="167" t="s">
        <v>3295</v>
      </c>
      <c r="P5058" s="168" t="s">
        <v>10052</v>
      </c>
      <c r="Q5058" s="167" t="s">
        <v>3947</v>
      </c>
      <c r="R5058" s="172" t="s">
        <v>7380</v>
      </c>
      <c r="S5058" s="388"/>
      <c r="T5058" s="168"/>
      <c r="U5058" s="168" t="s">
        <v>10902</v>
      </c>
      <c r="V5058" s="168" t="s">
        <v>10903</v>
      </c>
      <c r="W5058" s="315" t="s">
        <v>10059</v>
      </c>
      <c r="X5058" s="647" t="s">
        <v>15799</v>
      </c>
      <c r="Y5058" s="352"/>
      <c r="Z5058" s="353"/>
      <c r="AA5058" s="353"/>
      <c r="AB5058" s="31">
        <f t="shared" ref="AB5058:AB5121" ca="1" si="124">RAND()</f>
        <v>8.6347371501352188E-2</v>
      </c>
      <c r="AC5058" s="810"/>
      <c r="AD5058" s="811"/>
      <c r="AE5058" s="940"/>
      <c r="AF5058" s="920">
        <f>IF(X5058=X5057,AF5057,0)+IF(ISNUMBER(I5058),IF(I5058&lt;1,I5058,I5058*VLOOKUP(J5058,Summary!$H$2:$I$9,2)),VLOOKUP(J5058,Summary!$J$2:$K$9,2)*IF(ISNUMBER(H5058),H5058,1))</f>
        <v>0.125</v>
      </c>
      <c r="AG5058" s="287">
        <v>5057</v>
      </c>
      <c r="AH5058" s="94"/>
      <c r="AI5058" s="94"/>
    </row>
    <row r="5059" spans="1:35" s="1" customFormat="1" ht="12" customHeight="1" x14ac:dyDescent="0.25">
      <c r="A5059" s="405" t="s">
        <v>10669</v>
      </c>
      <c r="B5059" s="406" t="s">
        <v>3234</v>
      </c>
      <c r="C5059" s="551">
        <v>1.4</v>
      </c>
      <c r="D5059" s="407" t="s">
        <v>10047</v>
      </c>
      <c r="E5059" s="315" t="s">
        <v>10061</v>
      </c>
      <c r="F5059" s="169">
        <v>42317</v>
      </c>
      <c r="G5059" s="170"/>
      <c r="H5059" s="170">
        <v>1</v>
      </c>
      <c r="I5059" s="747">
        <f t="shared" si="123"/>
        <v>4.1666666666666664E-2</v>
      </c>
      <c r="J5059" s="899" t="s">
        <v>4706</v>
      </c>
      <c r="K5059" s="167" t="s">
        <v>6452</v>
      </c>
      <c r="L5059" s="167" t="s">
        <v>2313</v>
      </c>
      <c r="M5059" s="167"/>
      <c r="N5059" s="167" t="s">
        <v>2313</v>
      </c>
      <c r="O5059" s="167" t="s">
        <v>3295</v>
      </c>
      <c r="P5059" s="168" t="s">
        <v>10052</v>
      </c>
      <c r="Q5059" s="167" t="s">
        <v>3947</v>
      </c>
      <c r="R5059" s="172" t="s">
        <v>7380</v>
      </c>
      <c r="S5059" s="388"/>
      <c r="T5059" s="168"/>
      <c r="U5059" s="168" t="s">
        <v>10902</v>
      </c>
      <c r="V5059" s="168" t="s">
        <v>10903</v>
      </c>
      <c r="W5059" s="315" t="s">
        <v>10060</v>
      </c>
      <c r="X5059" s="647" t="s">
        <v>15799</v>
      </c>
      <c r="Y5059" s="352"/>
      <c r="Z5059" s="353"/>
      <c r="AA5059" s="353"/>
      <c r="AB5059" s="31">
        <f t="shared" ca="1" si="124"/>
        <v>0.30733501721534073</v>
      </c>
      <c r="AC5059" s="810"/>
      <c r="AD5059" s="811"/>
      <c r="AE5059" s="940"/>
      <c r="AF5059" s="920">
        <f>IF(X5059=X5058,AF5058,0)+IF(ISNUMBER(I5059),IF(I5059&lt;1,I5059,I5059*VLOOKUP(J5059,Summary!$H$2:$I$9,2)),VLOOKUP(J5059,Summary!$J$2:$K$9,2)*IF(ISNUMBER(H5059),H5059,1))</f>
        <v>0.16666666666666666</v>
      </c>
      <c r="AG5059" s="287">
        <v>5058</v>
      </c>
      <c r="AH5059" s="94"/>
      <c r="AI5059" s="94"/>
    </row>
    <row r="5060" spans="1:35" s="1" customFormat="1" ht="12" customHeight="1" x14ac:dyDescent="0.25">
      <c r="A5060" s="405" t="s">
        <v>10668</v>
      </c>
      <c r="B5060" s="406" t="s">
        <v>3234</v>
      </c>
      <c r="C5060" s="551">
        <v>2.1</v>
      </c>
      <c r="D5060" s="407" t="s">
        <v>15701</v>
      </c>
      <c r="E5060" s="315" t="s">
        <v>10660</v>
      </c>
      <c r="F5060" s="196">
        <v>42551</v>
      </c>
      <c r="G5060" s="170"/>
      <c r="H5060" s="170">
        <v>1</v>
      </c>
      <c r="I5060" s="747">
        <f t="shared" si="123"/>
        <v>4.1666666666666664E-2</v>
      </c>
      <c r="J5060" s="899" t="s">
        <v>4706</v>
      </c>
      <c r="K5060" s="167" t="s">
        <v>6452</v>
      </c>
      <c r="L5060" s="167" t="s">
        <v>2313</v>
      </c>
      <c r="M5060" s="167"/>
      <c r="N5060" s="167" t="s">
        <v>15715</v>
      </c>
      <c r="O5060" s="167" t="s">
        <v>3295</v>
      </c>
      <c r="P5060" s="168" t="s">
        <v>10655</v>
      </c>
      <c r="Q5060" s="167" t="s">
        <v>3947</v>
      </c>
      <c r="R5060" s="172" t="s">
        <v>7380</v>
      </c>
      <c r="S5060" s="388"/>
      <c r="T5060" s="168"/>
      <c r="U5060" s="168" t="s">
        <v>10902</v>
      </c>
      <c r="V5060" s="168" t="s">
        <v>10903</v>
      </c>
      <c r="W5060" s="315" t="s">
        <v>10664</v>
      </c>
      <c r="X5060" s="647" t="s">
        <v>15799</v>
      </c>
      <c r="Y5060" s="352"/>
      <c r="Z5060" s="353"/>
      <c r="AA5060" s="353"/>
      <c r="AB5060" s="31">
        <f t="shared" ca="1" si="124"/>
        <v>0.83917496668987768</v>
      </c>
      <c r="AC5060" s="810"/>
      <c r="AD5060" s="811"/>
      <c r="AE5060" s="940"/>
      <c r="AF5060" s="920">
        <f>IF(X5060=X5059,AF5059,0)+IF(ISNUMBER(I5060),IF(I5060&lt;1,I5060,I5060*VLOOKUP(J5060,Summary!$H$2:$I$9,2)),VLOOKUP(J5060,Summary!$J$2:$K$9,2)*IF(ISNUMBER(H5060),H5060,1))</f>
        <v>0.20833333333333331</v>
      </c>
      <c r="AG5060" s="287">
        <v>5059</v>
      </c>
      <c r="AH5060" s="94"/>
      <c r="AI5060" s="94"/>
    </row>
    <row r="5061" spans="1:35" s="1" customFormat="1" ht="12" customHeight="1" x14ac:dyDescent="0.25">
      <c r="A5061" s="405" t="s">
        <v>10668</v>
      </c>
      <c r="B5061" s="406" t="s">
        <v>3234</v>
      </c>
      <c r="C5061" s="551">
        <v>2.2000000000000002</v>
      </c>
      <c r="D5061" s="407" t="s">
        <v>15702</v>
      </c>
      <c r="E5061" s="315" t="s">
        <v>10661</v>
      </c>
      <c r="F5061" s="196">
        <v>42551</v>
      </c>
      <c r="G5061" s="170"/>
      <c r="H5061" s="170">
        <v>1</v>
      </c>
      <c r="I5061" s="747">
        <f t="shared" si="123"/>
        <v>4.1666666666666664E-2</v>
      </c>
      <c r="J5061" s="899" t="s">
        <v>4706</v>
      </c>
      <c r="K5061" s="167" t="s">
        <v>6970</v>
      </c>
      <c r="L5061" s="167" t="s">
        <v>2313</v>
      </c>
      <c r="M5061" s="167"/>
      <c r="N5061" s="167" t="s">
        <v>15715</v>
      </c>
      <c r="O5061" s="167" t="s">
        <v>3295</v>
      </c>
      <c r="P5061" s="168" t="s">
        <v>10655</v>
      </c>
      <c r="Q5061" s="167" t="s">
        <v>3947</v>
      </c>
      <c r="R5061" s="172" t="s">
        <v>7380</v>
      </c>
      <c r="S5061" s="388"/>
      <c r="T5061" s="168"/>
      <c r="U5061" s="168" t="s">
        <v>10902</v>
      </c>
      <c r="V5061" s="168" t="s">
        <v>10903</v>
      </c>
      <c r="W5061" s="315" t="s">
        <v>10665</v>
      </c>
      <c r="X5061" s="647" t="s">
        <v>15799</v>
      </c>
      <c r="Y5061" s="352"/>
      <c r="Z5061" s="353"/>
      <c r="AA5061" s="353"/>
      <c r="AB5061" s="31">
        <f t="shared" ca="1" si="124"/>
        <v>0.13549969395562655</v>
      </c>
      <c r="AC5061" s="810"/>
      <c r="AD5061" s="811"/>
      <c r="AE5061" s="940"/>
      <c r="AF5061" s="920">
        <f>IF(X5061=X5060,AF5060,0)+IF(ISNUMBER(I5061),IF(I5061&lt;1,I5061,I5061*VLOOKUP(J5061,Summary!$H$2:$I$9,2)),VLOOKUP(J5061,Summary!$J$2:$K$9,2)*IF(ISNUMBER(H5061),H5061,1))</f>
        <v>0.24999999999999997</v>
      </c>
      <c r="AG5061" s="287">
        <v>5060</v>
      </c>
      <c r="AH5061" s="94"/>
      <c r="AI5061" s="94"/>
    </row>
    <row r="5062" spans="1:35" s="22" customFormat="1" ht="12" customHeight="1" x14ac:dyDescent="0.2">
      <c r="A5062" s="405" t="s">
        <v>10668</v>
      </c>
      <c r="B5062" s="406" t="s">
        <v>3234</v>
      </c>
      <c r="C5062" s="551">
        <v>2.2999999999999998</v>
      </c>
      <c r="D5062" s="407" t="s">
        <v>15703</v>
      </c>
      <c r="E5062" s="315" t="s">
        <v>10662</v>
      </c>
      <c r="F5062" s="196">
        <v>42551</v>
      </c>
      <c r="G5062" s="170"/>
      <c r="H5062" s="170">
        <v>1</v>
      </c>
      <c r="I5062" s="747">
        <f t="shared" si="123"/>
        <v>4.1666666666666664E-2</v>
      </c>
      <c r="J5062" s="899" t="s">
        <v>4706</v>
      </c>
      <c r="K5062" s="167" t="s">
        <v>6970</v>
      </c>
      <c r="L5062" s="167" t="s">
        <v>2313</v>
      </c>
      <c r="M5062" s="167"/>
      <c r="N5062" s="167" t="s">
        <v>15715</v>
      </c>
      <c r="O5062" s="167" t="s">
        <v>3295</v>
      </c>
      <c r="P5062" s="168" t="s">
        <v>10655</v>
      </c>
      <c r="Q5062" s="167" t="s">
        <v>3947</v>
      </c>
      <c r="R5062" s="172" t="s">
        <v>7380</v>
      </c>
      <c r="S5062" s="388"/>
      <c r="T5062" s="168"/>
      <c r="U5062" s="168" t="s">
        <v>10902</v>
      </c>
      <c r="V5062" s="168" t="s">
        <v>10903</v>
      </c>
      <c r="W5062" s="315" t="s">
        <v>10666</v>
      </c>
      <c r="X5062" s="647" t="s">
        <v>15799</v>
      </c>
      <c r="Y5062" s="352"/>
      <c r="Z5062" s="353"/>
      <c r="AA5062" s="353"/>
      <c r="AB5062" s="31">
        <f t="shared" ca="1" si="124"/>
        <v>0.1802707525173326</v>
      </c>
      <c r="AC5062" s="810"/>
      <c r="AD5062" s="811"/>
      <c r="AE5062" s="940"/>
      <c r="AF5062" s="920">
        <f>IF(X5062=X5061,AF5061,0)+IF(ISNUMBER(I5062),IF(I5062&lt;1,I5062,I5062*VLOOKUP(J5062,Summary!$H$2:$I$9,2)),VLOOKUP(J5062,Summary!$J$2:$K$9,2)*IF(ISNUMBER(H5062),H5062,1))</f>
        <v>0.29166666666666663</v>
      </c>
      <c r="AG5062" s="287">
        <v>5061</v>
      </c>
      <c r="AH5062" s="94"/>
      <c r="AI5062" s="94"/>
    </row>
    <row r="5063" spans="1:35" s="1" customFormat="1" ht="12" customHeight="1" x14ac:dyDescent="0.25">
      <c r="A5063" s="405" t="s">
        <v>10668</v>
      </c>
      <c r="B5063" s="406" t="s">
        <v>3234</v>
      </c>
      <c r="C5063" s="551">
        <v>2.4</v>
      </c>
      <c r="D5063" s="407" t="s">
        <v>15704</v>
      </c>
      <c r="E5063" s="315" t="s">
        <v>10663</v>
      </c>
      <c r="F5063" s="196">
        <v>42551</v>
      </c>
      <c r="G5063" s="170"/>
      <c r="H5063" s="170">
        <v>1</v>
      </c>
      <c r="I5063" s="747">
        <f t="shared" si="123"/>
        <v>4.1666666666666664E-2</v>
      </c>
      <c r="J5063" s="899" t="s">
        <v>4706</v>
      </c>
      <c r="K5063" s="167" t="s">
        <v>6452</v>
      </c>
      <c r="L5063" s="167" t="s">
        <v>2313</v>
      </c>
      <c r="M5063" s="167"/>
      <c r="N5063" s="167" t="s">
        <v>15715</v>
      </c>
      <c r="O5063" s="167" t="s">
        <v>3295</v>
      </c>
      <c r="P5063" s="168" t="s">
        <v>10655</v>
      </c>
      <c r="Q5063" s="167" t="s">
        <v>3947</v>
      </c>
      <c r="R5063" s="172" t="s">
        <v>7380</v>
      </c>
      <c r="S5063" s="388"/>
      <c r="T5063" s="168"/>
      <c r="U5063" s="168" t="s">
        <v>10902</v>
      </c>
      <c r="V5063" s="168" t="s">
        <v>10903</v>
      </c>
      <c r="W5063" s="315" t="s">
        <v>10667</v>
      </c>
      <c r="X5063" s="647" t="s">
        <v>15799</v>
      </c>
      <c r="Y5063" s="352"/>
      <c r="Z5063" s="353"/>
      <c r="AA5063" s="353"/>
      <c r="AB5063" s="31">
        <f t="shared" ca="1" si="124"/>
        <v>0.85741892963161626</v>
      </c>
      <c r="AC5063" s="810"/>
      <c r="AD5063" s="811"/>
      <c r="AE5063" s="940"/>
      <c r="AF5063" s="920">
        <f>IF(X5063=X5062,AF5062,0)+IF(ISNUMBER(I5063),IF(I5063&lt;1,I5063,I5063*VLOOKUP(J5063,Summary!$H$2:$I$9,2)),VLOOKUP(J5063,Summary!$J$2:$K$9,2)*IF(ISNUMBER(H5063),H5063,1))</f>
        <v>0.33333333333333331</v>
      </c>
      <c r="AG5063" s="287">
        <v>5062</v>
      </c>
      <c r="AH5063" s="94"/>
      <c r="AI5063" s="94"/>
    </row>
    <row r="5064" spans="1:35" s="57" customFormat="1" ht="12" customHeight="1" x14ac:dyDescent="0.25">
      <c r="A5064" s="405" t="s">
        <v>10672</v>
      </c>
      <c r="B5064" s="406" t="s">
        <v>3234</v>
      </c>
      <c r="C5064" s="551">
        <v>3.1</v>
      </c>
      <c r="D5064" s="407" t="s">
        <v>10054</v>
      </c>
      <c r="E5064" s="315" t="s">
        <v>10684</v>
      </c>
      <c r="F5064" s="196">
        <v>42697</v>
      </c>
      <c r="G5064" s="170"/>
      <c r="H5064" s="170">
        <v>1</v>
      </c>
      <c r="I5064" s="747">
        <f t="shared" si="123"/>
        <v>4.1666666666666664E-2</v>
      </c>
      <c r="J5064" s="899" t="s">
        <v>4706</v>
      </c>
      <c r="K5064" s="167" t="s">
        <v>10670</v>
      </c>
      <c r="L5064" s="167" t="s">
        <v>2313</v>
      </c>
      <c r="M5064" s="167"/>
      <c r="N5064" s="167" t="s">
        <v>10670</v>
      </c>
      <c r="O5064" s="167" t="s">
        <v>3295</v>
      </c>
      <c r="P5064" s="168" t="s">
        <v>10671</v>
      </c>
      <c r="Q5064" s="167" t="s">
        <v>3947</v>
      </c>
      <c r="R5064" s="172" t="s">
        <v>7380</v>
      </c>
      <c r="S5064" s="388"/>
      <c r="T5064" s="168"/>
      <c r="U5064" s="168" t="s">
        <v>10902</v>
      </c>
      <c r="V5064" s="168" t="s">
        <v>10903</v>
      </c>
      <c r="W5064" s="315" t="s">
        <v>10683</v>
      </c>
      <c r="X5064" s="647" t="s">
        <v>15799</v>
      </c>
      <c r="Y5064" s="352"/>
      <c r="Z5064" s="353"/>
      <c r="AA5064" s="353"/>
      <c r="AB5064" s="31">
        <f t="shared" ca="1" si="124"/>
        <v>0.82745944256340076</v>
      </c>
      <c r="AC5064" s="810"/>
      <c r="AD5064" s="811"/>
      <c r="AE5064" s="940"/>
      <c r="AF5064" s="920">
        <f>IF(X5064=X5063,AF5063,0)+IF(ISNUMBER(I5064),IF(I5064&lt;1,I5064,I5064*VLOOKUP(J5064,Summary!$H$2:$I$9,2)),VLOOKUP(J5064,Summary!$J$2:$K$9,2)*IF(ISNUMBER(H5064),H5064,1))</f>
        <v>0.375</v>
      </c>
      <c r="AG5064" s="287">
        <v>5063</v>
      </c>
      <c r="AH5064" s="94"/>
      <c r="AI5064" s="94"/>
    </row>
    <row r="5065" spans="1:35" s="22" customFormat="1" ht="12" customHeight="1" x14ac:dyDescent="0.2">
      <c r="A5065" s="405" t="s">
        <v>10672</v>
      </c>
      <c r="B5065" s="406" t="s">
        <v>3234</v>
      </c>
      <c r="C5065" s="551">
        <v>3.2</v>
      </c>
      <c r="D5065" s="407" t="s">
        <v>10055</v>
      </c>
      <c r="E5065" s="315" t="s">
        <v>10680</v>
      </c>
      <c r="F5065" s="196">
        <v>42697</v>
      </c>
      <c r="G5065" s="170"/>
      <c r="H5065" s="170">
        <v>1</v>
      </c>
      <c r="I5065" s="747">
        <f t="shared" si="123"/>
        <v>4.1666666666666664E-2</v>
      </c>
      <c r="J5065" s="899" t="s">
        <v>4706</v>
      </c>
      <c r="K5065" s="167" t="s">
        <v>10670</v>
      </c>
      <c r="L5065" s="167" t="s">
        <v>2313</v>
      </c>
      <c r="M5065" s="167"/>
      <c r="N5065" s="167" t="s">
        <v>10670</v>
      </c>
      <c r="O5065" s="167" t="s">
        <v>3295</v>
      </c>
      <c r="P5065" s="168" t="s">
        <v>10671</v>
      </c>
      <c r="Q5065" s="167" t="s">
        <v>3947</v>
      </c>
      <c r="R5065" s="172" t="s">
        <v>7380</v>
      </c>
      <c r="S5065" s="388"/>
      <c r="T5065" s="168"/>
      <c r="U5065" s="168" t="s">
        <v>10902</v>
      </c>
      <c r="V5065" s="168" t="s">
        <v>10903</v>
      </c>
      <c r="W5065" s="315" t="s">
        <v>10677</v>
      </c>
      <c r="X5065" s="647" t="s">
        <v>15799</v>
      </c>
      <c r="Y5065" s="352"/>
      <c r="Z5065" s="353"/>
      <c r="AA5065" s="353"/>
      <c r="AB5065" s="31">
        <f t="shared" ca="1" si="124"/>
        <v>0.67220503546952948</v>
      </c>
      <c r="AC5065" s="810"/>
      <c r="AD5065" s="811"/>
      <c r="AE5065" s="940"/>
      <c r="AF5065" s="920">
        <f>IF(X5065=X5064,AF5064,0)+IF(ISNUMBER(I5065),IF(I5065&lt;1,I5065,I5065*VLOOKUP(J5065,Summary!$H$2:$I$9,2)),VLOOKUP(J5065,Summary!$J$2:$K$9,2)*IF(ISNUMBER(H5065),H5065,1))</f>
        <v>0.41666666666666669</v>
      </c>
      <c r="AG5065" s="287">
        <v>5064</v>
      </c>
      <c r="AH5065" s="94"/>
      <c r="AI5065" s="94"/>
    </row>
    <row r="5066" spans="1:35" s="2" customFormat="1" ht="12" customHeight="1" x14ac:dyDescent="0.25">
      <c r="A5066" s="405" t="s">
        <v>10672</v>
      </c>
      <c r="B5066" s="406" t="s">
        <v>3234</v>
      </c>
      <c r="C5066" s="551">
        <v>3.3</v>
      </c>
      <c r="D5066" s="407" t="s">
        <v>10056</v>
      </c>
      <c r="E5066" s="315" t="s">
        <v>10679</v>
      </c>
      <c r="F5066" s="196">
        <v>42697</v>
      </c>
      <c r="G5066" s="170"/>
      <c r="H5066" s="170">
        <v>1</v>
      </c>
      <c r="I5066" s="747">
        <f t="shared" si="123"/>
        <v>4.1666666666666664E-2</v>
      </c>
      <c r="J5066" s="899" t="s">
        <v>4706</v>
      </c>
      <c r="K5066" s="167" t="s">
        <v>10670</v>
      </c>
      <c r="L5066" s="167" t="s">
        <v>2313</v>
      </c>
      <c r="M5066" s="167"/>
      <c r="N5066" s="167" t="s">
        <v>10670</v>
      </c>
      <c r="O5066" s="167" t="s">
        <v>3295</v>
      </c>
      <c r="P5066" s="168" t="s">
        <v>10671</v>
      </c>
      <c r="Q5066" s="167" t="s">
        <v>3947</v>
      </c>
      <c r="R5066" s="172" t="s">
        <v>7380</v>
      </c>
      <c r="S5066" s="388"/>
      <c r="T5066" s="168"/>
      <c r="U5066" s="168" t="s">
        <v>10902</v>
      </c>
      <c r="V5066" s="168" t="s">
        <v>10903</v>
      </c>
      <c r="W5066" s="315" t="s">
        <v>10678</v>
      </c>
      <c r="X5066" s="647" t="s">
        <v>15799</v>
      </c>
      <c r="Y5066" s="352"/>
      <c r="Z5066" s="353"/>
      <c r="AA5066" s="353"/>
      <c r="AB5066" s="31">
        <f t="shared" ca="1" si="124"/>
        <v>0.43904597031023163</v>
      </c>
      <c r="AC5066" s="810"/>
      <c r="AD5066" s="811"/>
      <c r="AE5066" s="940"/>
      <c r="AF5066" s="920">
        <f>IF(X5066=X5065,AF5065,0)+IF(ISNUMBER(I5066),IF(I5066&lt;1,I5066,I5066*VLOOKUP(J5066,Summary!$H$2:$I$9,2)),VLOOKUP(J5066,Summary!$J$2:$K$9,2)*IF(ISNUMBER(H5066),H5066,1))</f>
        <v>0.45833333333333337</v>
      </c>
      <c r="AG5066" s="287">
        <v>5065</v>
      </c>
      <c r="AH5066" s="94"/>
      <c r="AI5066" s="94"/>
    </row>
    <row r="5067" spans="1:35" s="22" customFormat="1" ht="12" customHeight="1" x14ac:dyDescent="0.2">
      <c r="A5067" s="405" t="s">
        <v>10672</v>
      </c>
      <c r="B5067" s="406" t="s">
        <v>3234</v>
      </c>
      <c r="C5067" s="551">
        <v>3.4</v>
      </c>
      <c r="D5067" s="407" t="s">
        <v>10346</v>
      </c>
      <c r="E5067" s="315" t="s">
        <v>10682</v>
      </c>
      <c r="F5067" s="196">
        <v>42697</v>
      </c>
      <c r="G5067" s="170"/>
      <c r="H5067" s="170">
        <v>1</v>
      </c>
      <c r="I5067" s="747">
        <f t="shared" si="123"/>
        <v>4.1666666666666664E-2</v>
      </c>
      <c r="J5067" s="899" t="s">
        <v>4706</v>
      </c>
      <c r="K5067" s="167" t="s">
        <v>10670</v>
      </c>
      <c r="L5067" s="167" t="s">
        <v>2313</v>
      </c>
      <c r="M5067" s="167"/>
      <c r="N5067" s="167" t="s">
        <v>10670</v>
      </c>
      <c r="O5067" s="167" t="s">
        <v>3295</v>
      </c>
      <c r="P5067" s="168" t="s">
        <v>10671</v>
      </c>
      <c r="Q5067" s="167" t="s">
        <v>3947</v>
      </c>
      <c r="R5067" s="172" t="s">
        <v>7380</v>
      </c>
      <c r="S5067" s="388"/>
      <c r="T5067" s="168"/>
      <c r="U5067" s="168" t="s">
        <v>10902</v>
      </c>
      <c r="V5067" s="168" t="s">
        <v>10903</v>
      </c>
      <c r="W5067" s="315" t="s">
        <v>10681</v>
      </c>
      <c r="X5067" s="647" t="s">
        <v>15799</v>
      </c>
      <c r="Y5067" s="352"/>
      <c r="Z5067" s="353"/>
      <c r="AA5067" s="353"/>
      <c r="AB5067" s="31">
        <f t="shared" ca="1" si="124"/>
        <v>0.94549540564892809</v>
      </c>
      <c r="AC5067" s="810"/>
      <c r="AD5067" s="811"/>
      <c r="AE5067" s="940"/>
      <c r="AF5067" s="920">
        <f>IF(X5067=X5066,AF5066,0)+IF(ISNUMBER(I5067),IF(I5067&lt;1,I5067,I5067*VLOOKUP(J5067,Summary!$H$2:$I$9,2)),VLOOKUP(J5067,Summary!$J$2:$K$9,2)*IF(ISNUMBER(H5067),H5067,1))</f>
        <v>0.5</v>
      </c>
      <c r="AG5067" s="287">
        <v>5066</v>
      </c>
      <c r="AH5067" s="94"/>
      <c r="AI5067" s="94"/>
    </row>
    <row r="5068" spans="1:35" s="3" customFormat="1" ht="12" customHeight="1" x14ac:dyDescent="0.25">
      <c r="A5068" s="405" t="s">
        <v>14343</v>
      </c>
      <c r="B5068" s="406" t="s">
        <v>3234</v>
      </c>
      <c r="C5068" s="551">
        <v>4.0999999999999996</v>
      </c>
      <c r="D5068" s="407" t="s">
        <v>10656</v>
      </c>
      <c r="E5068" s="315" t="s">
        <v>12882</v>
      </c>
      <c r="F5068" s="196">
        <v>42878</v>
      </c>
      <c r="G5068" s="170"/>
      <c r="H5068" s="170">
        <v>1</v>
      </c>
      <c r="I5068" s="747">
        <f t="shared" si="123"/>
        <v>4.1666666666666664E-2</v>
      </c>
      <c r="J5068" s="899" t="s">
        <v>4706</v>
      </c>
      <c r="K5068" s="167" t="s">
        <v>6452</v>
      </c>
      <c r="L5068" s="167" t="s">
        <v>2313</v>
      </c>
      <c r="M5068" s="167"/>
      <c r="N5068" s="167" t="s">
        <v>2313</v>
      </c>
      <c r="O5068" s="167" t="s">
        <v>3295</v>
      </c>
      <c r="P5068" s="168" t="s">
        <v>12878</v>
      </c>
      <c r="Q5068" s="167" t="s">
        <v>3947</v>
      </c>
      <c r="R5068" s="172" t="s">
        <v>7380</v>
      </c>
      <c r="S5068" s="388" t="s">
        <v>2600</v>
      </c>
      <c r="T5068" s="168" t="s">
        <v>2601</v>
      </c>
      <c r="U5068" s="168" t="s">
        <v>10902</v>
      </c>
      <c r="V5068" s="168" t="s">
        <v>10903</v>
      </c>
      <c r="W5068" s="315" t="s">
        <v>12886</v>
      </c>
      <c r="X5068" s="647" t="s">
        <v>15799</v>
      </c>
      <c r="Y5068" s="352"/>
      <c r="Z5068" s="353"/>
      <c r="AA5068" s="353"/>
      <c r="AB5068" s="31">
        <f t="shared" ca="1" si="124"/>
        <v>0.96929930013728727</v>
      </c>
      <c r="AC5068" s="810"/>
      <c r="AD5068" s="811"/>
      <c r="AE5068" s="940"/>
      <c r="AF5068" s="920">
        <f>IF(X5068=X5067,AF5067,0)+IF(ISNUMBER(I5068),IF(I5068&lt;1,I5068,I5068*VLOOKUP(J5068,Summary!$H$2:$I$9,2)),VLOOKUP(J5068,Summary!$J$2:$K$9,2)*IF(ISNUMBER(H5068),H5068,1))</f>
        <v>0.54166666666666663</v>
      </c>
      <c r="AG5068" s="287">
        <v>5067</v>
      </c>
      <c r="AH5068" s="94"/>
      <c r="AI5068" s="94"/>
    </row>
    <row r="5069" spans="1:35" s="1" customFormat="1" ht="12" customHeight="1" x14ac:dyDescent="0.25">
      <c r="A5069" s="405" t="s">
        <v>14343</v>
      </c>
      <c r="B5069" s="406" t="s">
        <v>3234</v>
      </c>
      <c r="C5069" s="551">
        <v>4.2</v>
      </c>
      <c r="D5069" s="407" t="s">
        <v>10657</v>
      </c>
      <c r="E5069" s="873" t="s">
        <v>12883</v>
      </c>
      <c r="F5069" s="196">
        <v>42878</v>
      </c>
      <c r="G5069" s="170"/>
      <c r="H5069" s="170">
        <v>1</v>
      </c>
      <c r="I5069" s="747">
        <f t="shared" si="123"/>
        <v>4.1666666666666664E-2</v>
      </c>
      <c r="J5069" s="899" t="s">
        <v>4706</v>
      </c>
      <c r="K5069" s="167" t="s">
        <v>1826</v>
      </c>
      <c r="L5069" s="167" t="s">
        <v>2313</v>
      </c>
      <c r="M5069" s="167"/>
      <c r="N5069" s="167" t="s">
        <v>2313</v>
      </c>
      <c r="O5069" s="167" t="s">
        <v>3295</v>
      </c>
      <c r="P5069" s="168" t="s">
        <v>12878</v>
      </c>
      <c r="Q5069" s="167" t="s">
        <v>3947</v>
      </c>
      <c r="R5069" s="172" t="s">
        <v>7380</v>
      </c>
      <c r="S5069" s="388" t="s">
        <v>1778</v>
      </c>
      <c r="T5069" s="168"/>
      <c r="U5069" s="168" t="s">
        <v>10902</v>
      </c>
      <c r="V5069" s="168" t="s">
        <v>10903</v>
      </c>
      <c r="W5069" s="315" t="s">
        <v>12887</v>
      </c>
      <c r="X5069" s="647" t="s">
        <v>15799</v>
      </c>
      <c r="Y5069" s="352"/>
      <c r="Z5069" s="353"/>
      <c r="AA5069" s="353"/>
      <c r="AB5069" s="31">
        <f t="shared" ca="1" si="124"/>
        <v>0.40396706485420519</v>
      </c>
      <c r="AC5069" s="810"/>
      <c r="AD5069" s="811"/>
      <c r="AE5069" s="940"/>
      <c r="AF5069" s="920">
        <f>IF(X5069=X5068,AF5068,0)+IF(ISNUMBER(I5069),IF(I5069&lt;1,I5069,I5069*VLOOKUP(J5069,Summary!$H$2:$I$9,2)),VLOOKUP(J5069,Summary!$J$2:$K$9,2)*IF(ISNUMBER(H5069),H5069,1))</f>
        <v>0.58333333333333326</v>
      </c>
      <c r="AG5069" s="287">
        <v>5068</v>
      </c>
      <c r="AH5069" s="94"/>
      <c r="AI5069" s="94"/>
    </row>
    <row r="5070" spans="1:35" s="27" customFormat="1" ht="12" customHeight="1" x14ac:dyDescent="0.25">
      <c r="A5070" s="405" t="s">
        <v>14343</v>
      </c>
      <c r="B5070" s="406" t="s">
        <v>3234</v>
      </c>
      <c r="C5070" s="551">
        <v>4.3</v>
      </c>
      <c r="D5070" s="407" t="s">
        <v>10658</v>
      </c>
      <c r="E5070" s="315" t="s">
        <v>12884</v>
      </c>
      <c r="F5070" s="196">
        <v>42878</v>
      </c>
      <c r="G5070" s="170"/>
      <c r="H5070" s="170">
        <v>1</v>
      </c>
      <c r="I5070" s="747">
        <f t="shared" si="123"/>
        <v>4.1666666666666664E-2</v>
      </c>
      <c r="J5070" s="899" t="s">
        <v>4706</v>
      </c>
      <c r="K5070" s="167" t="s">
        <v>1826</v>
      </c>
      <c r="L5070" s="167" t="s">
        <v>2313</v>
      </c>
      <c r="M5070" s="167"/>
      <c r="N5070" s="167" t="s">
        <v>2313</v>
      </c>
      <c r="O5070" s="167" t="s">
        <v>3295</v>
      </c>
      <c r="P5070" s="168" t="s">
        <v>12878</v>
      </c>
      <c r="Q5070" s="167" t="s">
        <v>3947</v>
      </c>
      <c r="R5070" s="172" t="s">
        <v>7380</v>
      </c>
      <c r="S5070" s="388"/>
      <c r="T5070" s="168"/>
      <c r="U5070" s="168" t="s">
        <v>10902</v>
      </c>
      <c r="V5070" s="168" t="s">
        <v>10903</v>
      </c>
      <c r="W5070" s="315" t="s">
        <v>12888</v>
      </c>
      <c r="X5070" s="647" t="s">
        <v>15799</v>
      </c>
      <c r="Y5070" s="352"/>
      <c r="Z5070" s="353"/>
      <c r="AA5070" s="353"/>
      <c r="AB5070" s="31">
        <f t="shared" ca="1" si="124"/>
        <v>0.80920197999654764</v>
      </c>
      <c r="AC5070" s="810"/>
      <c r="AD5070" s="811"/>
      <c r="AE5070" s="940"/>
      <c r="AF5070" s="920">
        <f>IF(X5070=X5069,AF5069,0)+IF(ISNUMBER(I5070),IF(I5070&lt;1,I5070,I5070*VLOOKUP(J5070,Summary!$H$2:$I$9,2)),VLOOKUP(J5070,Summary!$J$2:$K$9,2)*IF(ISNUMBER(H5070),H5070,1))</f>
        <v>0.62499999999999989</v>
      </c>
      <c r="AG5070" s="287">
        <v>5069</v>
      </c>
      <c r="AH5070" s="124"/>
      <c r="AI5070" s="124"/>
    </row>
    <row r="5071" spans="1:35" s="1" customFormat="1" ht="12" customHeight="1" x14ac:dyDescent="0.25">
      <c r="A5071" s="405" t="s">
        <v>14343</v>
      </c>
      <c r="B5071" s="406" t="s">
        <v>3234</v>
      </c>
      <c r="C5071" s="551">
        <v>4.4000000000000004</v>
      </c>
      <c r="D5071" s="407" t="s">
        <v>10659</v>
      </c>
      <c r="E5071" s="873" t="s">
        <v>12885</v>
      </c>
      <c r="F5071" s="196">
        <v>42878</v>
      </c>
      <c r="G5071" s="170"/>
      <c r="H5071" s="170">
        <v>1</v>
      </c>
      <c r="I5071" s="747">
        <f t="shared" si="123"/>
        <v>4.1666666666666664E-2</v>
      </c>
      <c r="J5071" s="899" t="s">
        <v>4706</v>
      </c>
      <c r="K5071" s="167" t="s">
        <v>6452</v>
      </c>
      <c r="L5071" s="167" t="s">
        <v>2313</v>
      </c>
      <c r="M5071" s="167"/>
      <c r="N5071" s="167" t="s">
        <v>2313</v>
      </c>
      <c r="O5071" s="167" t="s">
        <v>3295</v>
      </c>
      <c r="P5071" s="168" t="s">
        <v>12878</v>
      </c>
      <c r="Q5071" s="167" t="s">
        <v>3947</v>
      </c>
      <c r="R5071" s="172" t="s">
        <v>7380</v>
      </c>
      <c r="S5071" s="388" t="s">
        <v>1778</v>
      </c>
      <c r="T5071" s="168" t="s">
        <v>12890</v>
      </c>
      <c r="U5071" s="168" t="s">
        <v>10902</v>
      </c>
      <c r="V5071" s="168" t="s">
        <v>10903</v>
      </c>
      <c r="W5071" s="315" t="s">
        <v>12889</v>
      </c>
      <c r="X5071" s="647" t="s">
        <v>15799</v>
      </c>
      <c r="Y5071" s="352"/>
      <c r="Z5071" s="353"/>
      <c r="AA5071" s="353"/>
      <c r="AB5071" s="31">
        <f t="shared" ca="1" si="124"/>
        <v>0.94358511080781315</v>
      </c>
      <c r="AC5071" s="810"/>
      <c r="AD5071" s="811"/>
      <c r="AE5071" s="940"/>
      <c r="AF5071" s="920">
        <f>IF(X5071=X5070,AF5070,0)+IF(ISNUMBER(I5071),IF(I5071&lt;1,I5071,I5071*VLOOKUP(J5071,Summary!$H$2:$I$9,2)),VLOOKUP(J5071,Summary!$J$2:$K$9,2)*IF(ISNUMBER(H5071),H5071,1))</f>
        <v>0.66666666666666652</v>
      </c>
      <c r="AG5071" s="287">
        <v>5070</v>
      </c>
      <c r="AH5071" s="94"/>
      <c r="AI5071" s="94"/>
    </row>
    <row r="5072" spans="1:35" s="1" customFormat="1" ht="12" customHeight="1" x14ac:dyDescent="0.25">
      <c r="A5072" s="409" t="s">
        <v>14343</v>
      </c>
      <c r="B5072" s="410" t="s">
        <v>3234</v>
      </c>
      <c r="C5072" s="409"/>
      <c r="D5072" s="176" t="s">
        <v>11354</v>
      </c>
      <c r="E5072" s="157" t="s">
        <v>11353</v>
      </c>
      <c r="F5072" s="175">
        <v>42649</v>
      </c>
      <c r="G5072" s="174"/>
      <c r="H5072" s="176">
        <v>1</v>
      </c>
      <c r="I5072" s="176"/>
      <c r="J5072" s="900" t="s">
        <v>2755</v>
      </c>
      <c r="K5072" s="164" t="s">
        <v>11355</v>
      </c>
      <c r="L5072" s="164" t="s">
        <v>11356</v>
      </c>
      <c r="M5072" s="164"/>
      <c r="N5072" s="164"/>
      <c r="O5072" s="164"/>
      <c r="P5072" s="173" t="s">
        <v>11357</v>
      </c>
      <c r="Q5072" s="164" t="s">
        <v>3953</v>
      </c>
      <c r="R5072" s="179" t="s">
        <v>4600</v>
      </c>
      <c r="S5072" s="354"/>
      <c r="T5072" s="173"/>
      <c r="U5072" s="173"/>
      <c r="V5072" s="173" t="s">
        <v>10903</v>
      </c>
      <c r="W5072" s="313" t="s">
        <v>11353</v>
      </c>
      <c r="X5072" s="645" t="s">
        <v>15799</v>
      </c>
      <c r="Y5072" s="354"/>
      <c r="Z5072" s="176"/>
      <c r="AA5072" s="176"/>
      <c r="AB5072" s="32">
        <f t="shared" ca="1" si="124"/>
        <v>0.64275573674239106</v>
      </c>
      <c r="AC5072" s="812"/>
      <c r="AD5072" s="763"/>
      <c r="AE5072" s="807"/>
      <c r="AF5072" s="921">
        <f>IF(X5072=X5071,AF5071,0)+IF(ISNUMBER(I5072),IF(I5072&lt;1,I5072,I5072*VLOOKUP(J5072,Summary!$H$2:$I$9,2)),VLOOKUP(J5072,Summary!$J$2:$K$9,2)*IF(ISNUMBER(H5072),H5072,1))</f>
        <v>0.68402777777777768</v>
      </c>
      <c r="AG5072" s="288">
        <v>5071</v>
      </c>
      <c r="AH5072" s="94"/>
      <c r="AI5072" s="94"/>
    </row>
    <row r="5073" spans="1:35" s="22" customFormat="1" ht="12" customHeight="1" x14ac:dyDescent="0.25">
      <c r="A5073" s="409" t="s">
        <v>14343</v>
      </c>
      <c r="B5073" s="410" t="s">
        <v>2650</v>
      </c>
      <c r="C5073" s="409">
        <v>1</v>
      </c>
      <c r="D5073" s="176" t="s">
        <v>13383</v>
      </c>
      <c r="E5073" s="157" t="s">
        <v>13384</v>
      </c>
      <c r="F5073" s="175">
        <v>43153</v>
      </c>
      <c r="G5073" s="174"/>
      <c r="H5073" s="176">
        <v>1</v>
      </c>
      <c r="I5073" s="176"/>
      <c r="J5073" s="900" t="s">
        <v>2755</v>
      </c>
      <c r="K5073" s="164" t="s">
        <v>1643</v>
      </c>
      <c r="L5073" s="164"/>
      <c r="M5073" s="164"/>
      <c r="N5073" s="164"/>
      <c r="O5073" s="164"/>
      <c r="P5073" s="173" t="s">
        <v>13386</v>
      </c>
      <c r="Q5073" s="164" t="s">
        <v>3953</v>
      </c>
      <c r="R5073" s="179" t="s">
        <v>13385</v>
      </c>
      <c r="S5073" s="354"/>
      <c r="T5073" s="173"/>
      <c r="U5073" s="173"/>
      <c r="V5073" s="173"/>
      <c r="W5073" s="313" t="s">
        <v>13384</v>
      </c>
      <c r="X5073" s="645" t="s">
        <v>15799</v>
      </c>
      <c r="Y5073" s="354"/>
      <c r="Z5073" s="176"/>
      <c r="AA5073" s="176"/>
      <c r="AB5073" s="32">
        <f t="shared" ca="1" si="124"/>
        <v>0.76332834798013482</v>
      </c>
      <c r="AC5073" s="812"/>
      <c r="AD5073" s="763"/>
      <c r="AE5073" s="807"/>
      <c r="AF5073" s="921">
        <f>IF(X5073=X5072,AF5072,0)+IF(ISNUMBER(I5073),IF(I5073&lt;1,I5073,I5073*VLOOKUP(J5073,Summary!$H$2:$I$9,2)),VLOOKUP(J5073,Summary!$J$2:$K$9,2)*IF(ISNUMBER(H5073),H5073,1))</f>
        <v>0.70138888888888884</v>
      </c>
      <c r="AG5073" s="288">
        <v>5072</v>
      </c>
      <c r="AH5073" s="94"/>
      <c r="AI5073" s="94"/>
    </row>
    <row r="5074" spans="1:35" s="57" customFormat="1" ht="12" customHeight="1" x14ac:dyDescent="0.25">
      <c r="A5074" s="405" t="s">
        <v>14342</v>
      </c>
      <c r="B5074" s="406" t="s">
        <v>3234</v>
      </c>
      <c r="C5074" s="551">
        <v>5.0999999999999996</v>
      </c>
      <c r="D5074" s="407" t="s">
        <v>10673</v>
      </c>
      <c r="E5074" s="315" t="s">
        <v>14347</v>
      </c>
      <c r="F5074" s="196">
        <v>43068</v>
      </c>
      <c r="G5074" s="170"/>
      <c r="H5074" s="170">
        <v>1</v>
      </c>
      <c r="I5074" s="747">
        <f t="shared" ref="I5074:I5083" si="125">TIME(0,60,0)</f>
        <v>4.1666666666666664E-2</v>
      </c>
      <c r="J5074" s="899" t="s">
        <v>4706</v>
      </c>
      <c r="K5074" s="167" t="s">
        <v>6452</v>
      </c>
      <c r="L5074" s="167" t="s">
        <v>2313</v>
      </c>
      <c r="M5074" s="167"/>
      <c r="N5074" s="167" t="s">
        <v>10670</v>
      </c>
      <c r="O5074" s="167" t="s">
        <v>3295</v>
      </c>
      <c r="P5074" s="168" t="s">
        <v>14341</v>
      </c>
      <c r="Q5074" s="167" t="s">
        <v>3947</v>
      </c>
      <c r="R5074" s="172" t="s">
        <v>7380</v>
      </c>
      <c r="S5074" s="388"/>
      <c r="T5074" s="168"/>
      <c r="U5074" s="168" t="s">
        <v>10902</v>
      </c>
      <c r="V5074" s="168" t="s">
        <v>10903</v>
      </c>
      <c r="W5074" s="315" t="s">
        <v>14348</v>
      </c>
      <c r="X5074" s="647" t="s">
        <v>15799</v>
      </c>
      <c r="Y5074" s="352"/>
      <c r="Z5074" s="353"/>
      <c r="AA5074" s="353"/>
      <c r="AB5074" s="31">
        <f t="shared" ca="1" si="124"/>
        <v>0.4186485566024235</v>
      </c>
      <c r="AC5074" s="810"/>
      <c r="AD5074" s="811"/>
      <c r="AE5074" s="940"/>
      <c r="AF5074" s="920">
        <f>IF(X5074=X5073,AF5073,0)+IF(ISNUMBER(I5074),IF(I5074&lt;1,I5074,I5074*VLOOKUP(J5074,Summary!$H$2:$I$9,2)),VLOOKUP(J5074,Summary!$J$2:$K$9,2)*IF(ISNUMBER(H5074),H5074,1))</f>
        <v>0.74305555555555547</v>
      </c>
      <c r="AG5074" s="287">
        <v>5073</v>
      </c>
      <c r="AH5074" s="94"/>
      <c r="AI5074" s="94"/>
    </row>
    <row r="5075" spans="1:35" s="57" customFormat="1" ht="12" customHeight="1" x14ac:dyDescent="0.25">
      <c r="A5075" s="405" t="s">
        <v>14342</v>
      </c>
      <c r="B5075" s="406" t="s">
        <v>3234</v>
      </c>
      <c r="C5075" s="551">
        <v>5.2</v>
      </c>
      <c r="D5075" s="407" t="s">
        <v>10674</v>
      </c>
      <c r="E5075" s="315" t="s">
        <v>14354</v>
      </c>
      <c r="F5075" s="196">
        <v>43068</v>
      </c>
      <c r="G5075" s="170"/>
      <c r="H5075" s="170">
        <v>1</v>
      </c>
      <c r="I5075" s="747">
        <f t="shared" si="125"/>
        <v>4.1666666666666664E-2</v>
      </c>
      <c r="J5075" s="899" t="s">
        <v>4706</v>
      </c>
      <c r="K5075" s="167" t="s">
        <v>12205</v>
      </c>
      <c r="L5075" s="167" t="s">
        <v>2313</v>
      </c>
      <c r="M5075" s="167"/>
      <c r="N5075" s="167" t="s">
        <v>10670</v>
      </c>
      <c r="O5075" s="167" t="s">
        <v>3295</v>
      </c>
      <c r="P5075" s="168" t="s">
        <v>14341</v>
      </c>
      <c r="Q5075" s="167" t="s">
        <v>3947</v>
      </c>
      <c r="R5075" s="172" t="s">
        <v>7380</v>
      </c>
      <c r="S5075" s="388"/>
      <c r="T5075" s="168"/>
      <c r="U5075" s="168" t="s">
        <v>10902</v>
      </c>
      <c r="V5075" s="168" t="s">
        <v>10903</v>
      </c>
      <c r="W5075" s="315" t="s">
        <v>14349</v>
      </c>
      <c r="X5075" s="647" t="s">
        <v>15799</v>
      </c>
      <c r="Y5075" s="352"/>
      <c r="Z5075" s="353"/>
      <c r="AA5075" s="353"/>
      <c r="AB5075" s="31">
        <f t="shared" ca="1" si="124"/>
        <v>0.7798958855900211</v>
      </c>
      <c r="AC5075" s="810"/>
      <c r="AD5075" s="811"/>
      <c r="AE5075" s="940"/>
      <c r="AF5075" s="920">
        <f>IF(X5075=X5074,AF5074,0)+IF(ISNUMBER(I5075),IF(I5075&lt;1,I5075,I5075*VLOOKUP(J5075,Summary!$H$2:$I$9,2)),VLOOKUP(J5075,Summary!$J$2:$K$9,2)*IF(ISNUMBER(H5075),H5075,1))</f>
        <v>0.7847222222222221</v>
      </c>
      <c r="AG5075" s="287">
        <v>5074</v>
      </c>
      <c r="AH5075" s="94"/>
      <c r="AI5075" s="94"/>
    </row>
    <row r="5076" spans="1:35" s="57" customFormat="1" ht="12" customHeight="1" x14ac:dyDescent="0.25">
      <c r="A5076" s="405" t="s">
        <v>14342</v>
      </c>
      <c r="B5076" s="406" t="s">
        <v>3234</v>
      </c>
      <c r="C5076" s="551">
        <v>5.3</v>
      </c>
      <c r="D5076" s="407" t="s">
        <v>10675</v>
      </c>
      <c r="E5076" s="315" t="s">
        <v>14353</v>
      </c>
      <c r="F5076" s="196">
        <v>43068</v>
      </c>
      <c r="G5076" s="170"/>
      <c r="H5076" s="170">
        <v>1</v>
      </c>
      <c r="I5076" s="747">
        <f t="shared" si="125"/>
        <v>4.1666666666666664E-2</v>
      </c>
      <c r="J5076" s="899" t="s">
        <v>4706</v>
      </c>
      <c r="K5076" s="167" t="s">
        <v>6970</v>
      </c>
      <c r="L5076" s="167" t="s">
        <v>2313</v>
      </c>
      <c r="M5076" s="167"/>
      <c r="N5076" s="167" t="s">
        <v>10670</v>
      </c>
      <c r="O5076" s="167" t="s">
        <v>3295</v>
      </c>
      <c r="P5076" s="168" t="s">
        <v>14341</v>
      </c>
      <c r="Q5076" s="167" t="s">
        <v>3947</v>
      </c>
      <c r="R5076" s="172" t="s">
        <v>7380</v>
      </c>
      <c r="S5076" s="388"/>
      <c r="T5076" s="168"/>
      <c r="U5076" s="168" t="s">
        <v>10902</v>
      </c>
      <c r="V5076" s="168" t="s">
        <v>10903</v>
      </c>
      <c r="W5076" s="315" t="s">
        <v>14350</v>
      </c>
      <c r="X5076" s="647" t="s">
        <v>15799</v>
      </c>
      <c r="Y5076" s="352"/>
      <c r="Z5076" s="353"/>
      <c r="AA5076" s="353"/>
      <c r="AB5076" s="31">
        <f t="shared" ca="1" si="124"/>
        <v>2.6500742984890691E-3</v>
      </c>
      <c r="AC5076" s="810"/>
      <c r="AD5076" s="811"/>
      <c r="AE5076" s="940"/>
      <c r="AF5076" s="920">
        <f>IF(X5076=X5075,AF5075,0)+IF(ISNUMBER(I5076),IF(I5076&lt;1,I5076,I5076*VLOOKUP(J5076,Summary!$H$2:$I$9,2)),VLOOKUP(J5076,Summary!$J$2:$K$9,2)*IF(ISNUMBER(H5076),H5076,1))</f>
        <v>0.82638888888888873</v>
      </c>
      <c r="AG5076" s="287">
        <v>5075</v>
      </c>
      <c r="AH5076" s="94"/>
      <c r="AI5076" s="94"/>
    </row>
    <row r="5077" spans="1:35" s="22" customFormat="1" ht="12" customHeight="1" x14ac:dyDescent="0.2">
      <c r="A5077" s="405" t="s">
        <v>14342</v>
      </c>
      <c r="B5077" s="406" t="s">
        <v>3234</v>
      </c>
      <c r="C5077" s="551">
        <v>5.4</v>
      </c>
      <c r="D5077" s="407" t="s">
        <v>10676</v>
      </c>
      <c r="E5077" s="315" t="s">
        <v>14352</v>
      </c>
      <c r="F5077" s="196">
        <v>43068</v>
      </c>
      <c r="G5077" s="170"/>
      <c r="H5077" s="170">
        <v>1</v>
      </c>
      <c r="I5077" s="747">
        <f t="shared" si="125"/>
        <v>4.1666666666666664E-2</v>
      </c>
      <c r="J5077" s="899" t="s">
        <v>4706</v>
      </c>
      <c r="K5077" s="167" t="s">
        <v>5666</v>
      </c>
      <c r="L5077" s="167" t="s">
        <v>2313</v>
      </c>
      <c r="M5077" s="167"/>
      <c r="N5077" s="167" t="s">
        <v>10670</v>
      </c>
      <c r="O5077" s="167" t="s">
        <v>3295</v>
      </c>
      <c r="P5077" s="168" t="s">
        <v>14341</v>
      </c>
      <c r="Q5077" s="167" t="s">
        <v>3947</v>
      </c>
      <c r="R5077" s="172" t="s">
        <v>7380</v>
      </c>
      <c r="S5077" s="388"/>
      <c r="T5077" s="168"/>
      <c r="U5077" s="168" t="s">
        <v>10902</v>
      </c>
      <c r="V5077" s="168" t="s">
        <v>10903</v>
      </c>
      <c r="W5077" s="315" t="s">
        <v>14351</v>
      </c>
      <c r="X5077" s="647" t="s">
        <v>15799</v>
      </c>
      <c r="Y5077" s="352"/>
      <c r="Z5077" s="353"/>
      <c r="AA5077" s="353"/>
      <c r="AB5077" s="31">
        <f t="shared" ca="1" si="124"/>
        <v>0.44428025528888448</v>
      </c>
      <c r="AC5077" s="810"/>
      <c r="AD5077" s="811"/>
      <c r="AE5077" s="940"/>
      <c r="AF5077" s="920">
        <f>IF(X5077=X5076,AF5076,0)+IF(ISNUMBER(I5077),IF(I5077&lt;1,I5077,I5077*VLOOKUP(J5077,Summary!$H$2:$I$9,2)),VLOOKUP(J5077,Summary!$J$2:$K$9,2)*IF(ISNUMBER(H5077),H5077,1))</f>
        <v>0.86805555555555536</v>
      </c>
      <c r="AG5077" s="287">
        <v>5076</v>
      </c>
      <c r="AH5077" s="94"/>
      <c r="AI5077" s="94"/>
    </row>
    <row r="5078" spans="1:35" s="22" customFormat="1" ht="12" customHeight="1" x14ac:dyDescent="0.2">
      <c r="A5078" s="405" t="s">
        <v>14342</v>
      </c>
      <c r="B5078" s="406" t="s">
        <v>3234</v>
      </c>
      <c r="C5078" s="565">
        <v>1.03</v>
      </c>
      <c r="D5078" s="407" t="s">
        <v>15162</v>
      </c>
      <c r="E5078" s="315" t="s">
        <v>15165</v>
      </c>
      <c r="F5078" s="196">
        <v>43335</v>
      </c>
      <c r="G5078" s="170"/>
      <c r="H5078" s="170">
        <v>1</v>
      </c>
      <c r="I5078" s="747">
        <f t="shared" si="125"/>
        <v>4.1666666666666664E-2</v>
      </c>
      <c r="J5078" s="899" t="s">
        <v>4706</v>
      </c>
      <c r="K5078" s="167" t="s">
        <v>15164</v>
      </c>
      <c r="L5078" s="167" t="s">
        <v>12662</v>
      </c>
      <c r="M5078" s="167"/>
      <c r="N5078" s="167" t="s">
        <v>6452</v>
      </c>
      <c r="O5078" s="167" t="s">
        <v>3295</v>
      </c>
      <c r="P5078" s="168" t="s">
        <v>15163</v>
      </c>
      <c r="Q5078" s="167" t="s">
        <v>3947</v>
      </c>
      <c r="R5078" s="172" t="s">
        <v>15166</v>
      </c>
      <c r="S5078" s="388"/>
      <c r="T5078" s="168"/>
      <c r="U5078" s="168"/>
      <c r="V5078" s="168" t="s">
        <v>3078</v>
      </c>
      <c r="W5078" s="315" t="s">
        <v>15165</v>
      </c>
      <c r="X5078" s="647" t="s">
        <v>15799</v>
      </c>
      <c r="Y5078" s="352"/>
      <c r="Z5078" s="353"/>
      <c r="AA5078" s="353"/>
      <c r="AB5078" s="31">
        <f t="shared" ca="1" si="124"/>
        <v>0.5031867550701562</v>
      </c>
      <c r="AC5078" s="810"/>
      <c r="AD5078" s="825"/>
      <c r="AE5078" s="940"/>
      <c r="AF5078" s="920">
        <f>IF(X5078=X5077,AF5077,0)+IF(ISNUMBER(I5078),IF(I5078&lt;1,I5078,I5078*VLOOKUP(J5078,Summary!$H$2:$I$9,2)),VLOOKUP(J5078,Summary!$J$2:$K$9,2)*IF(ISNUMBER(H5078),H5078,1))</f>
        <v>0.90972222222222199</v>
      </c>
      <c r="AG5078" s="287">
        <v>5077</v>
      </c>
      <c r="AH5078" s="94"/>
      <c r="AI5078" s="94"/>
    </row>
    <row r="5079" spans="1:35" s="57" customFormat="1" ht="12" customHeight="1" x14ac:dyDescent="0.25">
      <c r="A5079" s="405" t="s">
        <v>14342</v>
      </c>
      <c r="B5079" s="406" t="s">
        <v>3234</v>
      </c>
      <c r="C5079" s="565">
        <v>1.04</v>
      </c>
      <c r="D5079" s="407" t="s">
        <v>15169</v>
      </c>
      <c r="E5079" s="315" t="s">
        <v>15170</v>
      </c>
      <c r="F5079" s="196">
        <v>43335</v>
      </c>
      <c r="G5079" s="170"/>
      <c r="H5079" s="170">
        <v>1</v>
      </c>
      <c r="I5079" s="747">
        <f t="shared" si="125"/>
        <v>4.1666666666666664E-2</v>
      </c>
      <c r="J5079" s="899" t="s">
        <v>4706</v>
      </c>
      <c r="K5079" s="167" t="s">
        <v>15171</v>
      </c>
      <c r="L5079" s="167" t="s">
        <v>12662</v>
      </c>
      <c r="M5079" s="167"/>
      <c r="N5079" s="167" t="s">
        <v>6452</v>
      </c>
      <c r="O5079" s="167" t="s">
        <v>3295</v>
      </c>
      <c r="P5079" s="168" t="s">
        <v>15163</v>
      </c>
      <c r="Q5079" s="167" t="s">
        <v>3947</v>
      </c>
      <c r="R5079" s="172" t="s">
        <v>15166</v>
      </c>
      <c r="S5079" s="388"/>
      <c r="T5079" s="168"/>
      <c r="U5079" s="168"/>
      <c r="V5079" s="168" t="s">
        <v>3078</v>
      </c>
      <c r="W5079" s="315" t="s">
        <v>15170</v>
      </c>
      <c r="X5079" s="647" t="s">
        <v>15799</v>
      </c>
      <c r="Y5079" s="352"/>
      <c r="Z5079" s="353"/>
      <c r="AA5079" s="353"/>
      <c r="AB5079" s="31">
        <f t="shared" ca="1" si="124"/>
        <v>0.95193039914785627</v>
      </c>
      <c r="AC5079" s="810"/>
      <c r="AD5079" s="825"/>
      <c r="AE5079" s="940"/>
      <c r="AF5079" s="920">
        <f>IF(X5079=X5078,AF5078,0)+IF(ISNUMBER(I5079),IF(I5079&lt;1,I5079,I5079*VLOOKUP(J5079,Summary!$H$2:$I$9,2)),VLOOKUP(J5079,Summary!$J$2:$K$9,2)*IF(ISNUMBER(H5079),H5079,1))</f>
        <v>0.95138888888888862</v>
      </c>
      <c r="AG5079" s="287">
        <v>5078</v>
      </c>
      <c r="AH5079" s="94"/>
      <c r="AI5079" s="94"/>
    </row>
    <row r="5080" spans="1:35" s="29" customFormat="1" ht="12" customHeight="1" x14ac:dyDescent="0.25">
      <c r="A5080" s="405" t="s">
        <v>14344</v>
      </c>
      <c r="B5080" s="406" t="s">
        <v>3234</v>
      </c>
      <c r="C5080" s="551">
        <v>6.1</v>
      </c>
      <c r="D5080" s="407" t="s">
        <v>12877</v>
      </c>
      <c r="E5080" s="315" t="s">
        <v>14360</v>
      </c>
      <c r="F5080" s="196">
        <v>43230</v>
      </c>
      <c r="G5080" s="170"/>
      <c r="H5080" s="170">
        <v>1</v>
      </c>
      <c r="I5080" s="747">
        <f t="shared" si="125"/>
        <v>4.1666666666666664E-2</v>
      </c>
      <c r="J5080" s="899" t="s">
        <v>4706</v>
      </c>
      <c r="K5080" s="167" t="s">
        <v>6452</v>
      </c>
      <c r="L5080" s="167" t="s">
        <v>2313</v>
      </c>
      <c r="M5080" s="167"/>
      <c r="N5080" s="167" t="s">
        <v>15714</v>
      </c>
      <c r="O5080" s="167" t="s">
        <v>3295</v>
      </c>
      <c r="P5080" s="168" t="s">
        <v>14355</v>
      </c>
      <c r="Q5080" s="167" t="s">
        <v>3947</v>
      </c>
      <c r="R5080" s="172" t="s">
        <v>7380</v>
      </c>
      <c r="S5080" s="388"/>
      <c r="T5080" s="168"/>
      <c r="U5080" s="168" t="s">
        <v>10902</v>
      </c>
      <c r="V5080" s="168" t="s">
        <v>10903</v>
      </c>
      <c r="W5080" s="315" t="s">
        <v>14356</v>
      </c>
      <c r="X5080" s="647" t="s">
        <v>15799</v>
      </c>
      <c r="Y5080" s="352"/>
      <c r="Z5080" s="353"/>
      <c r="AA5080" s="353"/>
      <c r="AB5080" s="31">
        <f t="shared" ca="1" si="124"/>
        <v>0.94117782397324856</v>
      </c>
      <c r="AC5080" s="810"/>
      <c r="AD5080" s="811"/>
      <c r="AE5080" s="940"/>
      <c r="AF5080" s="920">
        <f>IF(X5080=X5079,AF5079,0)+IF(ISNUMBER(I5080),IF(I5080&lt;1,I5080,I5080*VLOOKUP(J5080,Summary!$H$2:$I$9,2)),VLOOKUP(J5080,Summary!$J$2:$K$9,2)*IF(ISNUMBER(H5080),H5080,1))</f>
        <v>0.99305555555555525</v>
      </c>
      <c r="AG5080" s="287">
        <v>5079</v>
      </c>
      <c r="AH5080" s="94"/>
      <c r="AI5080" s="94"/>
    </row>
    <row r="5081" spans="1:35" s="57" customFormat="1" ht="12" customHeight="1" x14ac:dyDescent="0.25">
      <c r="A5081" s="405" t="s">
        <v>14344</v>
      </c>
      <c r="B5081" s="406" t="s">
        <v>3234</v>
      </c>
      <c r="C5081" s="551">
        <v>6.2</v>
      </c>
      <c r="D5081" s="407" t="s">
        <v>12879</v>
      </c>
      <c r="E5081" s="315" t="s">
        <v>14361</v>
      </c>
      <c r="F5081" s="196">
        <v>43230</v>
      </c>
      <c r="G5081" s="170"/>
      <c r="H5081" s="170">
        <v>1</v>
      </c>
      <c r="I5081" s="747">
        <f t="shared" si="125"/>
        <v>4.1666666666666664E-2</v>
      </c>
      <c r="J5081" s="899" t="s">
        <v>4706</v>
      </c>
      <c r="K5081" s="167" t="s">
        <v>1826</v>
      </c>
      <c r="L5081" s="167" t="s">
        <v>2313</v>
      </c>
      <c r="M5081" s="167"/>
      <c r="N5081" s="167" t="s">
        <v>15714</v>
      </c>
      <c r="O5081" s="167" t="s">
        <v>3295</v>
      </c>
      <c r="P5081" s="168" t="s">
        <v>14355</v>
      </c>
      <c r="Q5081" s="167" t="s">
        <v>3947</v>
      </c>
      <c r="R5081" s="172" t="s">
        <v>7380</v>
      </c>
      <c r="S5081" s="388"/>
      <c r="T5081" s="168"/>
      <c r="U5081" s="168" t="s">
        <v>10902</v>
      </c>
      <c r="V5081" s="168" t="s">
        <v>10903</v>
      </c>
      <c r="W5081" s="315" t="s">
        <v>14357</v>
      </c>
      <c r="X5081" s="647" t="s">
        <v>15799</v>
      </c>
      <c r="Y5081" s="352"/>
      <c r="Z5081" s="353"/>
      <c r="AA5081" s="353"/>
      <c r="AB5081" s="31">
        <f t="shared" ca="1" si="124"/>
        <v>0.32924660654740168</v>
      </c>
      <c r="AC5081" s="810"/>
      <c r="AD5081" s="811"/>
      <c r="AE5081" s="940"/>
      <c r="AF5081" s="920">
        <f>IF(X5081=X5080,AF5080,0)+IF(ISNUMBER(I5081),IF(I5081&lt;1,I5081,I5081*VLOOKUP(J5081,Summary!$H$2:$I$9,2)),VLOOKUP(J5081,Summary!$J$2:$K$9,2)*IF(ISNUMBER(H5081),H5081,1))</f>
        <v>1.0347222222222219</v>
      </c>
      <c r="AG5081" s="287">
        <v>5080</v>
      </c>
      <c r="AH5081" s="94"/>
      <c r="AI5081" s="94"/>
    </row>
    <row r="5082" spans="1:35" s="22" customFormat="1" ht="12" customHeight="1" x14ac:dyDescent="0.2">
      <c r="A5082" s="405" t="s">
        <v>14344</v>
      </c>
      <c r="B5082" s="406" t="s">
        <v>3234</v>
      </c>
      <c r="C5082" s="551">
        <v>6.3</v>
      </c>
      <c r="D5082" s="407" t="s">
        <v>12880</v>
      </c>
      <c r="E5082" s="315" t="s">
        <v>14362</v>
      </c>
      <c r="F5082" s="196">
        <v>43230</v>
      </c>
      <c r="G5082" s="170"/>
      <c r="H5082" s="170">
        <v>1</v>
      </c>
      <c r="I5082" s="747">
        <f t="shared" si="125"/>
        <v>4.1666666666666664E-2</v>
      </c>
      <c r="J5082" s="899" t="s">
        <v>4706</v>
      </c>
      <c r="K5082" s="167" t="s">
        <v>1826</v>
      </c>
      <c r="L5082" s="167" t="s">
        <v>2313</v>
      </c>
      <c r="M5082" s="167"/>
      <c r="N5082" s="167" t="s">
        <v>15714</v>
      </c>
      <c r="O5082" s="167" t="s">
        <v>3295</v>
      </c>
      <c r="P5082" s="168" t="s">
        <v>14355</v>
      </c>
      <c r="Q5082" s="167" t="s">
        <v>3947</v>
      </c>
      <c r="R5082" s="172" t="s">
        <v>7380</v>
      </c>
      <c r="S5082" s="388"/>
      <c r="T5082" s="168"/>
      <c r="U5082" s="168" t="s">
        <v>10902</v>
      </c>
      <c r="V5082" s="168" t="s">
        <v>10903</v>
      </c>
      <c r="W5082" s="315" t="s">
        <v>14358</v>
      </c>
      <c r="X5082" s="647" t="s">
        <v>15799</v>
      </c>
      <c r="Y5082" s="352"/>
      <c r="Z5082" s="353"/>
      <c r="AA5082" s="353"/>
      <c r="AB5082" s="31">
        <f t="shared" ca="1" si="124"/>
        <v>0.54026156421412563</v>
      </c>
      <c r="AC5082" s="810"/>
      <c r="AD5082" s="811"/>
      <c r="AE5082" s="940"/>
      <c r="AF5082" s="920">
        <f>IF(X5082=X5081,AF5081,0)+IF(ISNUMBER(I5082),IF(I5082&lt;1,I5082,I5082*VLOOKUP(J5082,Summary!$H$2:$I$9,2)),VLOOKUP(J5082,Summary!$J$2:$K$9,2)*IF(ISNUMBER(H5082),H5082,1))</f>
        <v>1.0763888888888886</v>
      </c>
      <c r="AG5082" s="287">
        <v>5081</v>
      </c>
      <c r="AH5082" s="94"/>
      <c r="AI5082" s="94"/>
    </row>
    <row r="5083" spans="1:35" s="57" customFormat="1" ht="12" customHeight="1" x14ac:dyDescent="0.25">
      <c r="A5083" s="405" t="s">
        <v>14344</v>
      </c>
      <c r="B5083" s="406" t="s">
        <v>3234</v>
      </c>
      <c r="C5083" s="551">
        <v>6.4</v>
      </c>
      <c r="D5083" s="407" t="s">
        <v>12881</v>
      </c>
      <c r="E5083" s="315" t="s">
        <v>14363</v>
      </c>
      <c r="F5083" s="196">
        <v>43230</v>
      </c>
      <c r="G5083" s="170"/>
      <c r="H5083" s="170">
        <v>1</v>
      </c>
      <c r="I5083" s="747">
        <f t="shared" si="125"/>
        <v>4.1666666666666664E-2</v>
      </c>
      <c r="J5083" s="899" t="s">
        <v>4706</v>
      </c>
      <c r="K5083" s="167" t="s">
        <v>6452</v>
      </c>
      <c r="L5083" s="167" t="s">
        <v>2313</v>
      </c>
      <c r="M5083" s="167"/>
      <c r="N5083" s="167" t="s">
        <v>15714</v>
      </c>
      <c r="O5083" s="167" t="s">
        <v>3295</v>
      </c>
      <c r="P5083" s="168" t="s">
        <v>14355</v>
      </c>
      <c r="Q5083" s="167" t="s">
        <v>3947</v>
      </c>
      <c r="R5083" s="172" t="s">
        <v>7380</v>
      </c>
      <c r="S5083" s="388"/>
      <c r="T5083" s="168"/>
      <c r="U5083" s="168" t="s">
        <v>10902</v>
      </c>
      <c r="V5083" s="168" t="s">
        <v>10903</v>
      </c>
      <c r="W5083" s="315" t="s">
        <v>14359</v>
      </c>
      <c r="X5083" s="647" t="s">
        <v>15799</v>
      </c>
      <c r="Y5083" s="352"/>
      <c r="Z5083" s="353"/>
      <c r="AA5083" s="353"/>
      <c r="AB5083" s="31">
        <f t="shared" ca="1" si="124"/>
        <v>0.25267336676139962</v>
      </c>
      <c r="AC5083" s="810"/>
      <c r="AD5083" s="811"/>
      <c r="AE5083" s="940"/>
      <c r="AF5083" s="920">
        <f>IF(X5083=X5082,AF5082,0)+IF(ISNUMBER(I5083),IF(I5083&lt;1,I5083,I5083*VLOOKUP(J5083,Summary!$H$2:$I$9,2)),VLOOKUP(J5083,Summary!$J$2:$K$9,2)*IF(ISNUMBER(H5083),H5083,1))</f>
        <v>1.1180555555555554</v>
      </c>
      <c r="AG5083" s="287">
        <v>5082</v>
      </c>
      <c r="AH5083" s="94"/>
      <c r="AI5083" s="94"/>
    </row>
    <row r="5084" spans="1:35" s="22" customFormat="1" ht="12" customHeight="1" x14ac:dyDescent="0.2">
      <c r="A5084" s="405" t="s">
        <v>15706</v>
      </c>
      <c r="B5084" s="406" t="s">
        <v>3234</v>
      </c>
      <c r="C5084" s="551">
        <v>7.1</v>
      </c>
      <c r="D5084" s="407" t="s">
        <v>15707</v>
      </c>
      <c r="E5084" s="315" t="s">
        <v>15708</v>
      </c>
      <c r="F5084" s="196">
        <v>43425</v>
      </c>
      <c r="G5084" s="170"/>
      <c r="H5084" s="170">
        <v>2</v>
      </c>
      <c r="I5084" s="747">
        <f>TIME(0,120,0)</f>
        <v>8.3333333333333329E-2</v>
      </c>
      <c r="J5084" s="899" t="s">
        <v>4706</v>
      </c>
      <c r="K5084" s="167" t="s">
        <v>12751</v>
      </c>
      <c r="L5084" s="167" t="s">
        <v>2313</v>
      </c>
      <c r="M5084" s="167"/>
      <c r="N5084" s="167" t="s">
        <v>6452</v>
      </c>
      <c r="O5084" s="167" t="s">
        <v>3295</v>
      </c>
      <c r="P5084" s="168" t="s">
        <v>15711</v>
      </c>
      <c r="Q5084" s="167" t="s">
        <v>3947</v>
      </c>
      <c r="R5084" s="172" t="s">
        <v>7380</v>
      </c>
      <c r="S5084" s="388"/>
      <c r="T5084" s="168"/>
      <c r="U5084" s="168" t="s">
        <v>10902</v>
      </c>
      <c r="V5084" s="168" t="s">
        <v>10903</v>
      </c>
      <c r="W5084" s="315"/>
      <c r="X5084" s="647" t="s">
        <v>15799</v>
      </c>
      <c r="Y5084" s="352"/>
      <c r="Z5084" s="353"/>
      <c r="AA5084" s="353"/>
      <c r="AB5084" s="31">
        <f t="shared" ca="1" si="124"/>
        <v>0.83246276764327087</v>
      </c>
      <c r="AC5084" s="810"/>
      <c r="AD5084" s="846"/>
      <c r="AE5084" s="940"/>
      <c r="AF5084" s="920">
        <f>IF(X5084=X5083,AF5083,0)+IF(ISNUMBER(I5084),IF(I5084&lt;1,I5084,I5084*VLOOKUP(J5084,Summary!$H$2:$I$9,2)),VLOOKUP(J5084,Summary!$J$2:$K$9,2)*IF(ISNUMBER(H5084),H5084,1))</f>
        <v>1.2013888888888886</v>
      </c>
      <c r="AG5084" s="287">
        <v>5083</v>
      </c>
      <c r="AH5084" s="94"/>
      <c r="AI5084" s="94"/>
    </row>
    <row r="5085" spans="1:35" s="22" customFormat="1" ht="12" customHeight="1" x14ac:dyDescent="0.2">
      <c r="A5085" s="405" t="s">
        <v>15706</v>
      </c>
      <c r="B5085" s="406" t="s">
        <v>3234</v>
      </c>
      <c r="C5085" s="551">
        <v>7.3</v>
      </c>
      <c r="D5085" s="407" t="s">
        <v>14345</v>
      </c>
      <c r="E5085" s="315" t="s">
        <v>15709</v>
      </c>
      <c r="F5085" s="196">
        <v>43425</v>
      </c>
      <c r="G5085" s="170"/>
      <c r="H5085" s="170">
        <v>1</v>
      </c>
      <c r="I5085" s="747">
        <f>TIME(0,60,0)</f>
        <v>4.1666666666666664E-2</v>
      </c>
      <c r="J5085" s="899" t="s">
        <v>4706</v>
      </c>
      <c r="K5085" s="167" t="s">
        <v>15292</v>
      </c>
      <c r="L5085" s="167" t="s">
        <v>2313</v>
      </c>
      <c r="M5085" s="167"/>
      <c r="N5085" s="167" t="s">
        <v>6452</v>
      </c>
      <c r="O5085" s="167" t="s">
        <v>3295</v>
      </c>
      <c r="P5085" s="168" t="s">
        <v>15711</v>
      </c>
      <c r="Q5085" s="167" t="s">
        <v>3947</v>
      </c>
      <c r="R5085" s="172" t="s">
        <v>7380</v>
      </c>
      <c r="S5085" s="388"/>
      <c r="T5085" s="168"/>
      <c r="U5085" s="168" t="s">
        <v>10902</v>
      </c>
      <c r="V5085" s="168" t="s">
        <v>10903</v>
      </c>
      <c r="W5085" s="315" t="s">
        <v>15712</v>
      </c>
      <c r="X5085" s="647" t="s">
        <v>15799</v>
      </c>
      <c r="Y5085" s="352"/>
      <c r="Z5085" s="353"/>
      <c r="AA5085" s="353"/>
      <c r="AB5085" s="31">
        <f t="shared" ca="1" si="124"/>
        <v>0.82367131584388109</v>
      </c>
      <c r="AC5085" s="810"/>
      <c r="AD5085" s="846"/>
      <c r="AE5085" s="940"/>
      <c r="AF5085" s="920">
        <f>IF(X5085=X5084,AF5084,0)+IF(ISNUMBER(I5085),IF(I5085&lt;1,I5085,I5085*VLOOKUP(J5085,Summary!$H$2:$I$9,2)),VLOOKUP(J5085,Summary!$J$2:$K$9,2)*IF(ISNUMBER(H5085),H5085,1))</f>
        <v>1.2430555555555554</v>
      </c>
      <c r="AG5085" s="287">
        <v>5084</v>
      </c>
      <c r="AH5085" s="94"/>
      <c r="AI5085" s="94"/>
    </row>
    <row r="5086" spans="1:35" s="57" customFormat="1" ht="12" customHeight="1" x14ac:dyDescent="0.25">
      <c r="A5086" s="405" t="s">
        <v>15706</v>
      </c>
      <c r="B5086" s="406" t="s">
        <v>3234</v>
      </c>
      <c r="C5086" s="551">
        <v>7.4</v>
      </c>
      <c r="D5086" s="407" t="s">
        <v>14346</v>
      </c>
      <c r="E5086" s="315" t="s">
        <v>15710</v>
      </c>
      <c r="F5086" s="196">
        <v>43425</v>
      </c>
      <c r="G5086" s="170"/>
      <c r="H5086" s="170">
        <v>1</v>
      </c>
      <c r="I5086" s="747">
        <f>TIME(0,60,0)</f>
        <v>4.1666666666666664E-2</v>
      </c>
      <c r="J5086" s="899" t="s">
        <v>4706</v>
      </c>
      <c r="K5086" s="167" t="s">
        <v>12205</v>
      </c>
      <c r="L5086" s="167" t="s">
        <v>2313</v>
      </c>
      <c r="M5086" s="167"/>
      <c r="N5086" s="167" t="s">
        <v>6452</v>
      </c>
      <c r="O5086" s="167" t="s">
        <v>3295</v>
      </c>
      <c r="P5086" s="168" t="s">
        <v>15711</v>
      </c>
      <c r="Q5086" s="167" t="s">
        <v>3947</v>
      </c>
      <c r="R5086" s="172" t="s">
        <v>7380</v>
      </c>
      <c r="S5086" s="388"/>
      <c r="T5086" s="168"/>
      <c r="U5086" s="168" t="s">
        <v>10902</v>
      </c>
      <c r="V5086" s="168" t="s">
        <v>10903</v>
      </c>
      <c r="W5086" s="315" t="s">
        <v>15713</v>
      </c>
      <c r="X5086" s="647" t="s">
        <v>15799</v>
      </c>
      <c r="Y5086" s="352"/>
      <c r="Z5086" s="353"/>
      <c r="AA5086" s="353"/>
      <c r="AB5086" s="31">
        <f t="shared" ca="1" si="124"/>
        <v>0.86961006033373756</v>
      </c>
      <c r="AC5086" s="810"/>
      <c r="AD5086" s="811"/>
      <c r="AE5086" s="940"/>
      <c r="AF5086" s="920">
        <f>IF(X5086=X5085,AF5085,0)+IF(ISNUMBER(I5086),IF(I5086&lt;1,I5086,I5086*VLOOKUP(J5086,Summary!$H$2:$I$9,2)),VLOOKUP(J5086,Summary!$J$2:$K$9,2)*IF(ISNUMBER(H5086),H5086,1))</f>
        <v>1.2847222222222221</v>
      </c>
      <c r="AG5086" s="287">
        <v>5085</v>
      </c>
      <c r="AH5086" s="94"/>
      <c r="AI5086" s="94"/>
    </row>
    <row r="5087" spans="1:35" s="57" customFormat="1" ht="12" customHeight="1" x14ac:dyDescent="0.25">
      <c r="A5087" s="405" t="s">
        <v>15963</v>
      </c>
      <c r="B5087" s="406" t="s">
        <v>3234</v>
      </c>
      <c r="C5087" s="551">
        <v>8.1</v>
      </c>
      <c r="D5087" s="407" t="s">
        <v>15966</v>
      </c>
      <c r="E5087" s="315" t="s">
        <v>15968</v>
      </c>
      <c r="F5087" s="196" t="s">
        <v>11072</v>
      </c>
      <c r="G5087" s="170"/>
      <c r="H5087" s="170">
        <v>1</v>
      </c>
      <c r="I5087" s="747">
        <f>TIME(0,60,0)</f>
        <v>4.1666666666666664E-2</v>
      </c>
      <c r="J5087" s="899" t="s">
        <v>4706</v>
      </c>
      <c r="K5087" s="167" t="s">
        <v>177</v>
      </c>
      <c r="L5087" s="167" t="s">
        <v>2313</v>
      </c>
      <c r="M5087" s="167"/>
      <c r="N5087" s="167"/>
      <c r="O5087" s="167" t="s">
        <v>3295</v>
      </c>
      <c r="P5087" s="168" t="s">
        <v>15972</v>
      </c>
      <c r="Q5087" s="167" t="s">
        <v>3947</v>
      </c>
      <c r="R5087" s="172" t="s">
        <v>7380</v>
      </c>
      <c r="S5087" s="388"/>
      <c r="T5087" s="168"/>
      <c r="U5087" s="168" t="s">
        <v>10902</v>
      </c>
      <c r="V5087" s="168" t="s">
        <v>10903</v>
      </c>
      <c r="W5087" s="315" t="s">
        <v>15969</v>
      </c>
      <c r="X5087" s="647" t="s">
        <v>15799</v>
      </c>
      <c r="Y5087" s="352"/>
      <c r="Z5087" s="353"/>
      <c r="AA5087" s="353"/>
      <c r="AB5087" s="31">
        <f t="shared" ca="1" si="124"/>
        <v>0.99704275387521257</v>
      </c>
      <c r="AC5087" s="810"/>
      <c r="AD5087" s="811"/>
      <c r="AE5087" s="940"/>
      <c r="AF5087" s="920">
        <f>IF(X5087=X5086,AF5086,0)+IF(ISNUMBER(I5087),IF(I5087&lt;1,I5087,I5087*VLOOKUP(J5087,Summary!$H$2:$I$9,2)),VLOOKUP(J5087,Summary!$J$2:$K$9,2)*IF(ISNUMBER(H5087),H5087,1))</f>
        <v>1.3263888888888888</v>
      </c>
      <c r="AG5087" s="287">
        <v>5086</v>
      </c>
      <c r="AH5087" s="94"/>
      <c r="AI5087" s="94"/>
    </row>
    <row r="5088" spans="1:35" s="22" customFormat="1" ht="12" customHeight="1" x14ac:dyDescent="0.2">
      <c r="A5088" s="405" t="s">
        <v>15963</v>
      </c>
      <c r="B5088" s="406" t="s">
        <v>3234</v>
      </c>
      <c r="C5088" s="551">
        <v>8.1999999999999993</v>
      </c>
      <c r="D5088" s="407" t="s">
        <v>15967</v>
      </c>
      <c r="E5088" s="315" t="s">
        <v>15970</v>
      </c>
      <c r="F5088" s="196" t="s">
        <v>11072</v>
      </c>
      <c r="G5088" s="170"/>
      <c r="H5088" s="170">
        <v>1</v>
      </c>
      <c r="I5088" s="747">
        <f>TIME(0,60,0)</f>
        <v>4.1666666666666664E-2</v>
      </c>
      <c r="J5088" s="899" t="s">
        <v>4706</v>
      </c>
      <c r="K5088" s="167" t="s">
        <v>15725</v>
      </c>
      <c r="L5088" s="167" t="s">
        <v>2313</v>
      </c>
      <c r="M5088" s="167"/>
      <c r="N5088" s="167"/>
      <c r="O5088" s="167" t="s">
        <v>3295</v>
      </c>
      <c r="P5088" s="168" t="s">
        <v>15972</v>
      </c>
      <c r="Q5088" s="167" t="s">
        <v>3947</v>
      </c>
      <c r="R5088" s="172" t="s">
        <v>7380</v>
      </c>
      <c r="S5088" s="388"/>
      <c r="T5088" s="168"/>
      <c r="U5088" s="168" t="s">
        <v>10902</v>
      </c>
      <c r="V5088" s="168" t="s">
        <v>10903</v>
      </c>
      <c r="W5088" s="315" t="s">
        <v>1363</v>
      </c>
      <c r="X5088" s="647" t="s">
        <v>15799</v>
      </c>
      <c r="Y5088" s="352"/>
      <c r="Z5088" s="353"/>
      <c r="AA5088" s="353"/>
      <c r="AB5088" s="31">
        <f t="shared" ca="1" si="124"/>
        <v>0.60863583501015694</v>
      </c>
      <c r="AC5088" s="810"/>
      <c r="AD5088" s="846"/>
      <c r="AE5088" s="940"/>
      <c r="AF5088" s="920">
        <f>IF(X5088=X5087,AF5087,0)+IF(ISNUMBER(I5088),IF(I5088&lt;1,I5088,I5088*VLOOKUP(J5088,Summary!$H$2:$I$9,2)),VLOOKUP(J5088,Summary!$J$2:$K$9,2)*IF(ISNUMBER(H5088),H5088,1))</f>
        <v>1.3680555555555556</v>
      </c>
      <c r="AG5088" s="287">
        <v>5087</v>
      </c>
      <c r="AH5088" s="94"/>
      <c r="AI5088" s="94"/>
    </row>
    <row r="5089" spans="1:35" s="57" customFormat="1" ht="12" customHeight="1" x14ac:dyDescent="0.25">
      <c r="A5089" s="405" t="s">
        <v>15963</v>
      </c>
      <c r="B5089" s="406" t="s">
        <v>3234</v>
      </c>
      <c r="C5089" s="551">
        <v>8.3000000000000007</v>
      </c>
      <c r="D5089" s="407" t="s">
        <v>15965</v>
      </c>
      <c r="E5089" s="315" t="s">
        <v>15971</v>
      </c>
      <c r="F5089" s="196" t="s">
        <v>11072</v>
      </c>
      <c r="G5089" s="170"/>
      <c r="H5089" s="170">
        <v>2</v>
      </c>
      <c r="I5089" s="747">
        <f>TIME(0,120,0)</f>
        <v>8.3333333333333329E-2</v>
      </c>
      <c r="J5089" s="899" t="s">
        <v>4706</v>
      </c>
      <c r="K5089" s="167" t="s">
        <v>1826</v>
      </c>
      <c r="L5089" s="167" t="s">
        <v>2313</v>
      </c>
      <c r="M5089" s="167"/>
      <c r="N5089" s="167"/>
      <c r="O5089" s="167" t="s">
        <v>3295</v>
      </c>
      <c r="P5089" s="168" t="s">
        <v>15972</v>
      </c>
      <c r="Q5089" s="167" t="s">
        <v>3947</v>
      </c>
      <c r="R5089" s="172" t="s">
        <v>7380</v>
      </c>
      <c r="S5089" s="388"/>
      <c r="T5089" s="168" t="s">
        <v>7344</v>
      </c>
      <c r="U5089" s="168" t="s">
        <v>10902</v>
      </c>
      <c r="V5089" s="168" t="s">
        <v>10903</v>
      </c>
      <c r="W5089" s="315"/>
      <c r="X5089" s="647" t="s">
        <v>15799</v>
      </c>
      <c r="Y5089" s="352"/>
      <c r="Z5089" s="353"/>
      <c r="AA5089" s="353"/>
      <c r="AB5089" s="31">
        <f t="shared" ca="1" si="124"/>
        <v>0.47512741600393138</v>
      </c>
      <c r="AC5089" s="810"/>
      <c r="AD5089" s="811"/>
      <c r="AE5089" s="940"/>
      <c r="AF5089" s="920">
        <f>IF(X5089=X5088,AF5088,0)+IF(ISNUMBER(I5089),IF(I5089&lt;1,I5089,I5089*VLOOKUP(J5089,Summary!$H$2:$I$9,2)),VLOOKUP(J5089,Summary!$J$2:$K$9,2)*IF(ISNUMBER(H5089),H5089,1))</f>
        <v>1.4513888888888888</v>
      </c>
      <c r="AG5089" s="287">
        <v>5088</v>
      </c>
      <c r="AH5089" s="94"/>
      <c r="AI5089" s="94"/>
    </row>
    <row r="5090" spans="1:35" s="57" customFormat="1" ht="12" customHeight="1" x14ac:dyDescent="0.25">
      <c r="A5090" s="405"/>
      <c r="B5090" s="406" t="s">
        <v>2650</v>
      </c>
      <c r="C5090" s="405">
        <v>5.0999999999999996</v>
      </c>
      <c r="D5090" s="407" t="s">
        <v>15783</v>
      </c>
      <c r="E5090" s="336" t="s">
        <v>15784</v>
      </c>
      <c r="F5090" s="196">
        <v>43487</v>
      </c>
      <c r="G5090" s="169"/>
      <c r="H5090" s="170">
        <v>1</v>
      </c>
      <c r="I5090" s="747">
        <f>TIME(0,60,0)</f>
        <v>4.1666666666666664E-2</v>
      </c>
      <c r="J5090" s="899" t="s">
        <v>4706</v>
      </c>
      <c r="K5090" s="167" t="s">
        <v>177</v>
      </c>
      <c r="L5090" s="167" t="s">
        <v>2313</v>
      </c>
      <c r="M5090" s="167"/>
      <c r="N5090" s="167" t="s">
        <v>6452</v>
      </c>
      <c r="O5090" s="167" t="s">
        <v>3295</v>
      </c>
      <c r="P5090" s="168" t="s">
        <v>15785</v>
      </c>
      <c r="Q5090" s="167" t="s">
        <v>3947</v>
      </c>
      <c r="R5090" s="172" t="s">
        <v>10102</v>
      </c>
      <c r="S5090" s="388"/>
      <c r="T5090" s="168"/>
      <c r="U5090" s="168" t="s">
        <v>7344</v>
      </c>
      <c r="V5090" s="168"/>
      <c r="W5090" s="336" t="s">
        <v>15784</v>
      </c>
      <c r="X5090" s="647" t="s">
        <v>15799</v>
      </c>
      <c r="Y5090" s="352"/>
      <c r="Z5090" s="353"/>
      <c r="AA5090" s="353"/>
      <c r="AB5090" s="31">
        <f t="shared" ca="1" si="124"/>
        <v>0.977972230592697</v>
      </c>
      <c r="AC5090" s="810"/>
      <c r="AD5090" s="811"/>
      <c r="AE5090" s="945"/>
      <c r="AF5090" s="920">
        <f>IF(X5090=X5089,AF5089,0)+IF(ISNUMBER(I5090),IF(I5090&lt;1,I5090,I5090*VLOOKUP(J5090,Summary!$H$2:$I$9,2)),VLOOKUP(J5090,Summary!$J$2:$K$9,2)*IF(ISNUMBER(H5090),H5090,1))</f>
        <v>1.4930555555555556</v>
      </c>
      <c r="AG5090" s="287">
        <v>5089</v>
      </c>
      <c r="AH5090" s="94"/>
      <c r="AI5090" s="94"/>
    </row>
    <row r="5091" spans="1:35" s="22" customFormat="1" ht="12" customHeight="1" x14ac:dyDescent="0.25">
      <c r="A5091" s="626" t="s">
        <v>8155</v>
      </c>
      <c r="B5091" s="626">
        <v>12</v>
      </c>
      <c r="C5091" s="626">
        <v>242</v>
      </c>
      <c r="D5091" s="424" t="s">
        <v>8156</v>
      </c>
      <c r="E5091" s="319" t="s">
        <v>8157</v>
      </c>
      <c r="F5091" s="198">
        <v>41874</v>
      </c>
      <c r="G5091" s="198"/>
      <c r="H5091" s="199">
        <v>1</v>
      </c>
      <c r="I5091" s="791">
        <f>TIME(0,76,23)</f>
        <v>5.3043981481481484E-2</v>
      </c>
      <c r="J5091" s="904" t="s">
        <v>1588</v>
      </c>
      <c r="K5091" s="200" t="s">
        <v>3810</v>
      </c>
      <c r="L5091" s="200" t="s">
        <v>8165</v>
      </c>
      <c r="M5091" s="200"/>
      <c r="N5091" s="200" t="s">
        <v>3810</v>
      </c>
      <c r="O5091" s="200" t="s">
        <v>8002</v>
      </c>
      <c r="P5091" s="197" t="s">
        <v>461</v>
      </c>
      <c r="Q5091" s="200" t="s">
        <v>3946</v>
      </c>
      <c r="R5091" s="201" t="s">
        <v>5280</v>
      </c>
      <c r="S5091" s="390" t="s">
        <v>6923</v>
      </c>
      <c r="T5091" s="197" t="s">
        <v>6925</v>
      </c>
      <c r="U5091" s="197" t="s">
        <v>6924</v>
      </c>
      <c r="V5091" s="197" t="s">
        <v>3629</v>
      </c>
      <c r="W5091" s="319" t="s">
        <v>8157</v>
      </c>
      <c r="X5091" s="651" t="s">
        <v>12350</v>
      </c>
      <c r="Y5091" s="358" t="s">
        <v>7018</v>
      </c>
      <c r="Z5091" s="253">
        <v>219</v>
      </c>
      <c r="AA5091" s="253">
        <v>4</v>
      </c>
      <c r="AB5091" s="35">
        <f t="shared" ca="1" si="124"/>
        <v>0.64381443597414312</v>
      </c>
      <c r="AC5091" s="820"/>
      <c r="AD5091" s="983" t="s">
        <v>16650</v>
      </c>
      <c r="AE5091" s="967"/>
      <c r="AF5091" s="925">
        <f>IF(X5091=X5090,AF5090,0)+IF(ISNUMBER(I5091),IF(I5091&lt;1,I5091,I5091*VLOOKUP(J5091,Summary!$H$2:$I$9,2)),VLOOKUP(J5091,Summary!$J$2:$K$9,2)*IF(ISNUMBER(H5091),H5091,1))</f>
        <v>5.3043981481481484E-2</v>
      </c>
      <c r="AG5091" s="293">
        <v>5090</v>
      </c>
      <c r="AH5091" s="94"/>
      <c r="AI5091" s="94"/>
    </row>
    <row r="5092" spans="1:35" s="57" customFormat="1" ht="12" customHeight="1" x14ac:dyDescent="0.25">
      <c r="A5092" s="627" t="s">
        <v>8155</v>
      </c>
      <c r="B5092" s="627">
        <v>12</v>
      </c>
      <c r="C5092" s="628">
        <v>1.1200000000000001</v>
      </c>
      <c r="D5092" s="176" t="s">
        <v>9760</v>
      </c>
      <c r="E5092" s="313" t="s">
        <v>9761</v>
      </c>
      <c r="F5092" s="175">
        <v>41935</v>
      </c>
      <c r="G5092" s="174"/>
      <c r="H5092" s="176" t="s">
        <v>461</v>
      </c>
      <c r="I5092" s="176"/>
      <c r="J5092" s="900" t="s">
        <v>2755</v>
      </c>
      <c r="K5092" s="164" t="s">
        <v>9762</v>
      </c>
      <c r="L5092" s="164" t="s">
        <v>461</v>
      </c>
      <c r="M5092" s="164" t="s">
        <v>9763</v>
      </c>
      <c r="N5092" s="164"/>
      <c r="O5092" s="164"/>
      <c r="P5092" s="173" t="s">
        <v>9237</v>
      </c>
      <c r="Q5092" s="164" t="s">
        <v>9235</v>
      </c>
      <c r="R5092" s="177" t="s">
        <v>9236</v>
      </c>
      <c r="S5092" s="354"/>
      <c r="T5092" s="173"/>
      <c r="U5092" s="173"/>
      <c r="V5092" s="173"/>
      <c r="W5092" s="313" t="s">
        <v>9761</v>
      </c>
      <c r="X5092" s="645" t="s">
        <v>12350</v>
      </c>
      <c r="Y5092" s="354"/>
      <c r="Z5092" s="176"/>
      <c r="AA5092" s="176"/>
      <c r="AB5092" s="32">
        <f t="shared" ca="1" si="124"/>
        <v>0.14742817776044925</v>
      </c>
      <c r="AC5092" s="812"/>
      <c r="AD5092" s="763"/>
      <c r="AE5092" s="807"/>
      <c r="AF5092" s="921">
        <f>IF(X5092=X5091,AF5091,0)+IF(ISNUMBER(I5092),IF(I5092&lt;1,I5092,I5092*VLOOKUP(J5092,Summary!$H$2:$I$9,2)),VLOOKUP(J5092,Summary!$J$2:$K$9,2)*IF(ISNUMBER(H5092),H5092,1))</f>
        <v>7.0405092592592589E-2</v>
      </c>
      <c r="AG5092" s="289">
        <v>5091</v>
      </c>
      <c r="AH5092" s="94"/>
      <c r="AI5092" s="94"/>
    </row>
    <row r="5093" spans="1:35" s="57" customFormat="1" ht="12" customHeight="1" x14ac:dyDescent="0.25">
      <c r="A5093" s="627" t="s">
        <v>8155</v>
      </c>
      <c r="B5093" s="627">
        <v>12</v>
      </c>
      <c r="C5093" s="627">
        <v>14</v>
      </c>
      <c r="D5093" s="176" t="s">
        <v>9772</v>
      </c>
      <c r="E5093" s="313" t="s">
        <v>9773</v>
      </c>
      <c r="F5093" s="175">
        <v>42159</v>
      </c>
      <c r="G5093" s="174"/>
      <c r="H5093" s="176" t="s">
        <v>461</v>
      </c>
      <c r="I5093" s="176"/>
      <c r="J5093" s="900" t="s">
        <v>2755</v>
      </c>
      <c r="K5093" s="164" t="s">
        <v>4146</v>
      </c>
      <c r="L5093" s="164" t="s">
        <v>461</v>
      </c>
      <c r="M5093" s="164"/>
      <c r="N5093" s="164"/>
      <c r="O5093" s="164"/>
      <c r="P5093" s="173" t="s">
        <v>9509</v>
      </c>
      <c r="Q5093" s="164" t="s">
        <v>3953</v>
      </c>
      <c r="R5093" s="177" t="s">
        <v>9510</v>
      </c>
      <c r="S5093" s="354"/>
      <c r="T5093" s="173"/>
      <c r="U5093" s="173"/>
      <c r="V5093" s="173"/>
      <c r="W5093" s="313" t="s">
        <v>9773</v>
      </c>
      <c r="X5093" s="645" t="s">
        <v>12350</v>
      </c>
      <c r="Y5093" s="354"/>
      <c r="Z5093" s="157"/>
      <c r="AA5093" s="176"/>
      <c r="AB5093" s="32">
        <f t="shared" ca="1" si="124"/>
        <v>0.83445957934383475</v>
      </c>
      <c r="AC5093" s="812"/>
      <c r="AD5093" s="763"/>
      <c r="AE5093" s="807"/>
      <c r="AF5093" s="921">
        <f>IF(X5093=X5092,AF5092,0)+IF(ISNUMBER(I5093),IF(I5093&lt;1,I5093,I5093*VLOOKUP(J5093,Summary!$H$2:$I$9,2)),VLOOKUP(J5093,Summary!$J$2:$K$9,2)*IF(ISNUMBER(H5093),H5093,1))</f>
        <v>8.7766203703703694E-2</v>
      </c>
      <c r="AG5093" s="289">
        <v>5092</v>
      </c>
      <c r="AH5093" s="94"/>
      <c r="AI5093" s="94"/>
    </row>
    <row r="5094" spans="1:35" s="22" customFormat="1" ht="12" customHeight="1" x14ac:dyDescent="0.25">
      <c r="A5094" s="626" t="s">
        <v>8155</v>
      </c>
      <c r="B5094" s="626">
        <v>12</v>
      </c>
      <c r="C5094" s="626">
        <v>243</v>
      </c>
      <c r="D5094" s="424" t="s">
        <v>8166</v>
      </c>
      <c r="E5094" s="319" t="s">
        <v>8171</v>
      </c>
      <c r="F5094" s="198">
        <v>41881</v>
      </c>
      <c r="G5094" s="198"/>
      <c r="H5094" s="199">
        <v>1</v>
      </c>
      <c r="I5094" s="791">
        <f>TIME(0,46,45)</f>
        <v>3.246527777777778E-2</v>
      </c>
      <c r="J5094" s="904" t="s">
        <v>1588</v>
      </c>
      <c r="K5094" s="200" t="s">
        <v>8190</v>
      </c>
      <c r="L5094" s="200" t="s">
        <v>8165</v>
      </c>
      <c r="M5094" s="200"/>
      <c r="N5094" s="200" t="s">
        <v>3810</v>
      </c>
      <c r="O5094" s="200" t="s">
        <v>8002</v>
      </c>
      <c r="P5094" s="197" t="s">
        <v>461</v>
      </c>
      <c r="Q5094" s="200" t="s">
        <v>3946</v>
      </c>
      <c r="R5094" s="201" t="s">
        <v>5280</v>
      </c>
      <c r="S5094" s="390" t="s">
        <v>6923</v>
      </c>
      <c r="T5094" s="197"/>
      <c r="U5094" s="197"/>
      <c r="V5094" s="197"/>
      <c r="W5094" s="319" t="s">
        <v>8171</v>
      </c>
      <c r="X5094" s="651" t="s">
        <v>12350</v>
      </c>
      <c r="Y5094" s="358" t="s">
        <v>7018</v>
      </c>
      <c r="Z5094" s="253">
        <v>198</v>
      </c>
      <c r="AA5094" s="253">
        <v>4.5</v>
      </c>
      <c r="AB5094" s="35">
        <f t="shared" ca="1" si="124"/>
        <v>0.70688423770603281</v>
      </c>
      <c r="AC5094" s="820"/>
      <c r="AD5094" s="821"/>
      <c r="AE5094" s="967"/>
      <c r="AF5094" s="925">
        <f>IF(X5094=X5093,AF5093,0)+IF(ISNUMBER(I5094),IF(I5094&lt;1,I5094,I5094*VLOOKUP(J5094,Summary!$H$2:$I$9,2)),VLOOKUP(J5094,Summary!$J$2:$K$9,2)*IF(ISNUMBER(H5094),H5094,1))</f>
        <v>0.12023148148148147</v>
      </c>
      <c r="AG5094" s="293">
        <v>5093</v>
      </c>
      <c r="AH5094" s="94"/>
      <c r="AI5094" s="94"/>
    </row>
    <row r="5095" spans="1:35" s="57" customFormat="1" ht="12" customHeight="1" x14ac:dyDescent="0.25">
      <c r="A5095" s="629" t="s">
        <v>8155</v>
      </c>
      <c r="B5095" s="629">
        <v>12</v>
      </c>
      <c r="C5095" s="629">
        <v>310</v>
      </c>
      <c r="D5095" s="185" t="s">
        <v>9861</v>
      </c>
      <c r="E5095" s="314" t="s">
        <v>2795</v>
      </c>
      <c r="F5095" s="184">
        <v>41864</v>
      </c>
      <c r="G5095" s="184"/>
      <c r="H5095" s="185">
        <v>2</v>
      </c>
      <c r="I5095" s="185">
        <v>4</v>
      </c>
      <c r="J5095" s="901" t="s">
        <v>1796</v>
      </c>
      <c r="K5095" s="163" t="s">
        <v>4672</v>
      </c>
      <c r="L5095" s="163" t="s">
        <v>3832</v>
      </c>
      <c r="M5095" s="163" t="s">
        <v>254</v>
      </c>
      <c r="N5095" s="163" t="s">
        <v>5317</v>
      </c>
      <c r="O5095" s="163"/>
      <c r="P5095" s="182" t="s">
        <v>461</v>
      </c>
      <c r="Q5095" s="163" t="s">
        <v>729</v>
      </c>
      <c r="R5095" s="186" t="s">
        <v>4796</v>
      </c>
      <c r="S5095" s="355" t="s">
        <v>6923</v>
      </c>
      <c r="T5095" s="182"/>
      <c r="U5095" s="182"/>
      <c r="V5095" s="182"/>
      <c r="W5095" s="314"/>
      <c r="X5095" s="646" t="s">
        <v>12350</v>
      </c>
      <c r="Y5095" s="355"/>
      <c r="Z5095" s="185"/>
      <c r="AA5095" s="185"/>
      <c r="AB5095" s="33">
        <f t="shared" ca="1" si="124"/>
        <v>0.4544967073660211</v>
      </c>
      <c r="AC5095" s="813"/>
      <c r="AD5095" s="211"/>
      <c r="AE5095" s="941"/>
      <c r="AF5095" s="922">
        <f>IF(X5095=X5094,AF5094,0)+IF(ISNUMBER(I5095),IF(I5095&lt;1,I5095,I5095*VLOOKUP(J5095,Summary!$H$2:$I$9,2)),VLOOKUP(J5095,Summary!$J$2:$K$9,2)*IF(ISNUMBER(H5095),H5095,1))</f>
        <v>0.12162037037037035</v>
      </c>
      <c r="AG5095" s="290">
        <v>5094</v>
      </c>
      <c r="AH5095" s="94"/>
      <c r="AI5095" s="94"/>
    </row>
    <row r="5096" spans="1:35" s="57" customFormat="1" ht="12" customHeight="1" x14ac:dyDescent="0.25">
      <c r="A5096" s="629" t="s">
        <v>8155</v>
      </c>
      <c r="B5096" s="629">
        <v>12</v>
      </c>
      <c r="C5096" s="629">
        <v>311</v>
      </c>
      <c r="D5096" s="185" t="s">
        <v>9862</v>
      </c>
      <c r="E5096" s="314" t="s">
        <v>9858</v>
      </c>
      <c r="F5096" s="184">
        <v>41878</v>
      </c>
      <c r="G5096" s="184"/>
      <c r="H5096" s="185">
        <v>2</v>
      </c>
      <c r="I5096" s="185">
        <v>5</v>
      </c>
      <c r="J5096" s="901" t="s">
        <v>1796</v>
      </c>
      <c r="K5096" s="163" t="s">
        <v>4672</v>
      </c>
      <c r="L5096" s="163" t="s">
        <v>3832</v>
      </c>
      <c r="M5096" s="163" t="s">
        <v>254</v>
      </c>
      <c r="N5096" s="163" t="s">
        <v>5317</v>
      </c>
      <c r="O5096" s="163"/>
      <c r="P5096" s="182" t="s">
        <v>461</v>
      </c>
      <c r="Q5096" s="163" t="s">
        <v>729</v>
      </c>
      <c r="R5096" s="186" t="s">
        <v>4796</v>
      </c>
      <c r="S5096" s="355" t="s">
        <v>6923</v>
      </c>
      <c r="T5096" s="182"/>
      <c r="U5096" s="182"/>
      <c r="V5096" s="182"/>
      <c r="W5096" s="314"/>
      <c r="X5096" s="646" t="s">
        <v>12350</v>
      </c>
      <c r="Y5096" s="355"/>
      <c r="Z5096" s="185"/>
      <c r="AA5096" s="185"/>
      <c r="AB5096" s="33">
        <f t="shared" ca="1" si="124"/>
        <v>0.45670187381116001</v>
      </c>
      <c r="AC5096" s="813"/>
      <c r="AD5096" s="211"/>
      <c r="AE5096" s="941"/>
      <c r="AF5096" s="922">
        <f>IF(X5096=X5095,AF5095,0)+IF(ISNUMBER(I5096),IF(I5096&lt;1,I5096,I5096*VLOOKUP(J5096,Summary!$H$2:$I$9,2)),VLOOKUP(J5096,Summary!$J$2:$K$9,2)*IF(ISNUMBER(H5096),H5096,1))</f>
        <v>0.12335648148148146</v>
      </c>
      <c r="AG5096" s="290">
        <v>5095</v>
      </c>
      <c r="AH5096" s="94"/>
      <c r="AI5096" s="94"/>
    </row>
    <row r="5097" spans="1:35" s="57" customFormat="1" ht="12" customHeight="1" x14ac:dyDescent="0.25">
      <c r="A5097" s="630" t="s">
        <v>8155</v>
      </c>
      <c r="B5097" s="630">
        <v>12</v>
      </c>
      <c r="C5097" s="630">
        <v>54</v>
      </c>
      <c r="D5097" s="417" t="s">
        <v>9739</v>
      </c>
      <c r="E5097" s="316" t="s">
        <v>9740</v>
      </c>
      <c r="F5097" s="195">
        <v>41893</v>
      </c>
      <c r="G5097" s="195"/>
      <c r="H5097" s="188" t="str">
        <f>IF(J5097="Book","n/a","")</f>
        <v>n/a</v>
      </c>
      <c r="I5097" s="188">
        <v>258</v>
      </c>
      <c r="J5097" s="902" t="s">
        <v>6868</v>
      </c>
      <c r="K5097" s="162" t="s">
        <v>543</v>
      </c>
      <c r="L5097" s="264" t="s">
        <v>461</v>
      </c>
      <c r="M5097" s="162" t="s">
        <v>9748</v>
      </c>
      <c r="N5097" s="162"/>
      <c r="O5097" s="162"/>
      <c r="P5097" s="178" t="s">
        <v>9749</v>
      </c>
      <c r="Q5097" s="162" t="s">
        <v>3953</v>
      </c>
      <c r="R5097" s="189" t="s">
        <v>2711</v>
      </c>
      <c r="S5097" s="366" t="s">
        <v>6923</v>
      </c>
      <c r="T5097" s="178" t="s">
        <v>6925</v>
      </c>
      <c r="U5097" s="178" t="s">
        <v>6924</v>
      </c>
      <c r="V5097" s="178" t="s">
        <v>3629</v>
      </c>
      <c r="W5097" s="316" t="s">
        <v>9740</v>
      </c>
      <c r="X5097" s="648" t="s">
        <v>12350</v>
      </c>
      <c r="Y5097" s="356" t="s">
        <v>2174</v>
      </c>
      <c r="Z5097" s="272">
        <v>194</v>
      </c>
      <c r="AA5097" s="272">
        <v>3</v>
      </c>
      <c r="AB5097" s="34">
        <f t="shared" ca="1" si="124"/>
        <v>0.74287755033587088</v>
      </c>
      <c r="AC5097" s="814"/>
      <c r="AD5097" s="818" t="s">
        <v>16983</v>
      </c>
      <c r="AE5097" s="942"/>
      <c r="AF5097" s="923">
        <f>IF(X5097=X5096,AF5096,0)+IF(ISNUMBER(I5097),IF(I5097&lt;1,I5097,I5097*VLOOKUP(J5097,Summary!$H$2:$I$9,2)),VLOOKUP(J5097,Summary!$J$2:$K$9,2)*IF(ISNUMBER(H5097),H5097,1))</f>
        <v>0.30252314814814812</v>
      </c>
      <c r="AG5097" s="291">
        <v>5096</v>
      </c>
      <c r="AH5097" s="94"/>
      <c r="AI5097" s="94"/>
    </row>
    <row r="5098" spans="1:35" s="57" customFormat="1" ht="12" customHeight="1" x14ac:dyDescent="0.25">
      <c r="A5098" s="626" t="s">
        <v>8155</v>
      </c>
      <c r="B5098" s="626">
        <v>12</v>
      </c>
      <c r="C5098" s="626">
        <v>244</v>
      </c>
      <c r="D5098" s="424" t="s">
        <v>8167</v>
      </c>
      <c r="E5098" s="319" t="s">
        <v>8172</v>
      </c>
      <c r="F5098" s="198">
        <v>41888</v>
      </c>
      <c r="G5098" s="198"/>
      <c r="H5098" s="199">
        <v>1</v>
      </c>
      <c r="I5098" s="791">
        <f>TIME(0,46,15)</f>
        <v>3.2118055555555559E-2</v>
      </c>
      <c r="J5098" s="904" t="s">
        <v>1588</v>
      </c>
      <c r="K5098" s="200" t="s">
        <v>4964</v>
      </c>
      <c r="L5098" s="200" t="s">
        <v>8191</v>
      </c>
      <c r="M5098" s="200"/>
      <c r="N5098" s="200" t="s">
        <v>3810</v>
      </c>
      <c r="O5098" s="200" t="s">
        <v>8002</v>
      </c>
      <c r="P5098" s="197" t="s">
        <v>461</v>
      </c>
      <c r="Q5098" s="200" t="s">
        <v>3946</v>
      </c>
      <c r="R5098" s="201" t="s">
        <v>5280</v>
      </c>
      <c r="S5098" s="390" t="s">
        <v>6923</v>
      </c>
      <c r="T5098" s="197"/>
      <c r="U5098" s="197"/>
      <c r="V5098" s="197"/>
      <c r="W5098" s="319" t="s">
        <v>8172</v>
      </c>
      <c r="X5098" s="651" t="s">
        <v>12350</v>
      </c>
      <c r="Y5098" s="358" t="s">
        <v>7018</v>
      </c>
      <c r="Z5098" s="253">
        <v>100</v>
      </c>
      <c r="AA5098" s="253">
        <v>7</v>
      </c>
      <c r="AB5098" s="35">
        <f t="shared" ca="1" si="124"/>
        <v>0.63854168479299778</v>
      </c>
      <c r="AC5098" s="820"/>
      <c r="AD5098" s="821"/>
      <c r="AE5098" s="967"/>
      <c r="AF5098" s="925">
        <f>IF(X5098=X5097,AF5097,0)+IF(ISNUMBER(I5098),IF(I5098&lt;1,I5098,I5098*VLOOKUP(J5098,Summary!$H$2:$I$9,2)),VLOOKUP(J5098,Summary!$J$2:$K$9,2)*IF(ISNUMBER(H5098),H5098,1))</f>
        <v>0.3346412037037037</v>
      </c>
      <c r="AG5098" s="293">
        <v>5097</v>
      </c>
      <c r="AH5098" s="94"/>
      <c r="AI5098" s="94"/>
    </row>
    <row r="5099" spans="1:35" s="57" customFormat="1" ht="12" customHeight="1" x14ac:dyDescent="0.25">
      <c r="A5099" s="629" t="s">
        <v>8155</v>
      </c>
      <c r="B5099" s="629">
        <v>12</v>
      </c>
      <c r="C5099" s="629">
        <v>312</v>
      </c>
      <c r="D5099" s="185" t="s">
        <v>9863</v>
      </c>
      <c r="E5099" s="314" t="s">
        <v>9859</v>
      </c>
      <c r="F5099" s="184">
        <v>41892</v>
      </c>
      <c r="G5099" s="184"/>
      <c r="H5099" s="185">
        <v>2</v>
      </c>
      <c r="I5099" s="185">
        <v>4</v>
      </c>
      <c r="J5099" s="901" t="s">
        <v>1796</v>
      </c>
      <c r="K5099" s="163" t="s">
        <v>2939</v>
      </c>
      <c r="L5099" s="163" t="s">
        <v>3832</v>
      </c>
      <c r="M5099" s="163" t="s">
        <v>254</v>
      </c>
      <c r="N5099" s="163" t="s">
        <v>5317</v>
      </c>
      <c r="O5099" s="163"/>
      <c r="P5099" s="182" t="s">
        <v>461</v>
      </c>
      <c r="Q5099" s="163" t="s">
        <v>729</v>
      </c>
      <c r="R5099" s="186" t="s">
        <v>4796</v>
      </c>
      <c r="S5099" s="355" t="s">
        <v>6923</v>
      </c>
      <c r="T5099" s="182"/>
      <c r="U5099" s="182"/>
      <c r="V5099" s="182"/>
      <c r="W5099" s="314"/>
      <c r="X5099" s="646" t="s">
        <v>12350</v>
      </c>
      <c r="Y5099" s="355"/>
      <c r="Z5099" s="185"/>
      <c r="AA5099" s="185"/>
      <c r="AB5099" s="33">
        <f t="shared" ca="1" si="124"/>
        <v>0.2371830416223929</v>
      </c>
      <c r="AC5099" s="813"/>
      <c r="AD5099" s="211"/>
      <c r="AE5099" s="941"/>
      <c r="AF5099" s="922">
        <f>IF(X5099=X5098,AF5098,0)+IF(ISNUMBER(I5099),IF(I5099&lt;1,I5099,I5099*VLOOKUP(J5099,Summary!$H$2:$I$9,2)),VLOOKUP(J5099,Summary!$J$2:$K$9,2)*IF(ISNUMBER(H5099),H5099,1))</f>
        <v>0.33603009259259259</v>
      </c>
      <c r="AG5099" s="290">
        <v>5098</v>
      </c>
      <c r="AH5099" s="94"/>
      <c r="AI5099" s="94"/>
    </row>
    <row r="5100" spans="1:35" s="57" customFormat="1" ht="12" customHeight="1" x14ac:dyDescent="0.25">
      <c r="A5100" s="629" t="s">
        <v>8155</v>
      </c>
      <c r="B5100" s="629">
        <v>12</v>
      </c>
      <c r="C5100" s="629">
        <v>313</v>
      </c>
      <c r="D5100" s="185" t="s">
        <v>9864</v>
      </c>
      <c r="E5100" s="314" t="s">
        <v>9860</v>
      </c>
      <c r="F5100" s="184">
        <v>41906</v>
      </c>
      <c r="G5100" s="184"/>
      <c r="H5100" s="185">
        <v>2</v>
      </c>
      <c r="I5100" s="185">
        <v>4</v>
      </c>
      <c r="J5100" s="901" t="s">
        <v>1796</v>
      </c>
      <c r="K5100" s="163" t="s">
        <v>8238</v>
      </c>
      <c r="L5100" s="163" t="s">
        <v>3832</v>
      </c>
      <c r="M5100" s="163" t="s">
        <v>254</v>
      </c>
      <c r="N5100" s="163" t="s">
        <v>5317</v>
      </c>
      <c r="O5100" s="163"/>
      <c r="P5100" s="182" t="s">
        <v>461</v>
      </c>
      <c r="Q5100" s="163" t="s">
        <v>729</v>
      </c>
      <c r="R5100" s="186" t="s">
        <v>4796</v>
      </c>
      <c r="S5100" s="355" t="s">
        <v>6923</v>
      </c>
      <c r="T5100" s="182"/>
      <c r="U5100" s="182"/>
      <c r="V5100" s="182"/>
      <c r="W5100" s="314"/>
      <c r="X5100" s="646" t="s">
        <v>12350</v>
      </c>
      <c r="Y5100" s="355"/>
      <c r="Z5100" s="185"/>
      <c r="AA5100" s="185"/>
      <c r="AB5100" s="33">
        <f t="shared" ca="1" si="124"/>
        <v>0.170226468413059</v>
      </c>
      <c r="AC5100" s="813"/>
      <c r="AD5100" s="211"/>
      <c r="AE5100" s="941"/>
      <c r="AF5100" s="922">
        <f>IF(X5100=X5099,AF5099,0)+IF(ISNUMBER(I5100),IF(I5100&lt;1,I5100,I5100*VLOOKUP(J5100,Summary!$H$2:$I$9,2)),VLOOKUP(J5100,Summary!$J$2:$K$9,2)*IF(ISNUMBER(H5100),H5100,1))</f>
        <v>0.33741898148148147</v>
      </c>
      <c r="AG5100" s="290">
        <v>5099</v>
      </c>
      <c r="AH5100" s="94"/>
      <c r="AI5100" s="94"/>
    </row>
    <row r="5101" spans="1:35" s="22" customFormat="1" ht="12" customHeight="1" x14ac:dyDescent="0.25">
      <c r="A5101" s="630" t="s">
        <v>8155</v>
      </c>
      <c r="B5101" s="630">
        <v>12</v>
      </c>
      <c r="C5101" s="630">
        <v>55</v>
      </c>
      <c r="D5101" s="417" t="s">
        <v>9751</v>
      </c>
      <c r="E5101" s="316" t="s">
        <v>9741</v>
      </c>
      <c r="F5101" s="195">
        <v>41893</v>
      </c>
      <c r="G5101" s="195"/>
      <c r="H5101" s="188" t="str">
        <f>IF(J5101="Book","n/a","")</f>
        <v>n/a</v>
      </c>
      <c r="I5101" s="188">
        <v>258</v>
      </c>
      <c r="J5101" s="902" t="s">
        <v>6868</v>
      </c>
      <c r="K5101" s="162" t="s">
        <v>1935</v>
      </c>
      <c r="L5101" s="264" t="s">
        <v>461</v>
      </c>
      <c r="M5101" s="162" t="s">
        <v>9753</v>
      </c>
      <c r="N5101" s="162"/>
      <c r="O5101" s="162"/>
      <c r="P5101" s="178" t="s">
        <v>9752</v>
      </c>
      <c r="Q5101" s="162" t="s">
        <v>3953</v>
      </c>
      <c r="R5101" s="189" t="s">
        <v>2711</v>
      </c>
      <c r="S5101" s="366" t="s">
        <v>6923</v>
      </c>
      <c r="T5101" s="178"/>
      <c r="U5101" s="178"/>
      <c r="V5101" s="178"/>
      <c r="W5101" s="316" t="s">
        <v>9741</v>
      </c>
      <c r="X5101" s="648" t="s">
        <v>12350</v>
      </c>
      <c r="Y5101" s="356" t="s">
        <v>2174</v>
      </c>
      <c r="Z5101" s="272">
        <v>204</v>
      </c>
      <c r="AA5101" s="272">
        <v>3</v>
      </c>
      <c r="AB5101" s="34">
        <f t="shared" ca="1" si="124"/>
        <v>0.79557955344425391</v>
      </c>
      <c r="AC5101" s="814"/>
      <c r="AD5101" s="815"/>
      <c r="AE5101" s="942"/>
      <c r="AF5101" s="923">
        <f>IF(X5101=X5100,AF5100,0)+IF(ISNUMBER(I5101),IF(I5101&lt;1,I5101,I5101*VLOOKUP(J5101,Summary!$H$2:$I$9,2)),VLOOKUP(J5101,Summary!$J$2:$K$9,2)*IF(ISNUMBER(H5101),H5101,1))</f>
        <v>0.51658564814814811</v>
      </c>
      <c r="AG5101" s="291">
        <v>5100</v>
      </c>
      <c r="AH5101" s="94"/>
      <c r="AI5101" s="94"/>
    </row>
    <row r="5102" spans="1:35" s="22" customFormat="1" ht="12" customHeight="1" x14ac:dyDescent="0.25">
      <c r="A5102" s="630" t="s">
        <v>8155</v>
      </c>
      <c r="B5102" s="630">
        <v>12</v>
      </c>
      <c r="C5102" s="630">
        <v>56</v>
      </c>
      <c r="D5102" s="417" t="s">
        <v>9750</v>
      </c>
      <c r="E5102" s="316" t="s">
        <v>9742</v>
      </c>
      <c r="F5102" s="195">
        <v>41893</v>
      </c>
      <c r="G5102" s="195"/>
      <c r="H5102" s="188" t="str">
        <f>IF(J5102="Book","n/a","")</f>
        <v>n/a</v>
      </c>
      <c r="I5102" s="188">
        <v>258</v>
      </c>
      <c r="J5102" s="902" t="s">
        <v>6868</v>
      </c>
      <c r="K5102" s="162" t="s">
        <v>1643</v>
      </c>
      <c r="L5102" s="264" t="s">
        <v>461</v>
      </c>
      <c r="M5102" s="162" t="s">
        <v>9747</v>
      </c>
      <c r="N5102" s="162"/>
      <c r="O5102" s="162"/>
      <c r="P5102" s="178" t="s">
        <v>9746</v>
      </c>
      <c r="Q5102" s="162" t="s">
        <v>3953</v>
      </c>
      <c r="R5102" s="189" t="s">
        <v>2711</v>
      </c>
      <c r="S5102" s="366" t="s">
        <v>6923</v>
      </c>
      <c r="T5102" s="178"/>
      <c r="U5102" s="178"/>
      <c r="V5102" s="178"/>
      <c r="W5102" s="316" t="s">
        <v>9742</v>
      </c>
      <c r="X5102" s="648" t="s">
        <v>12350</v>
      </c>
      <c r="Y5102" s="356" t="s">
        <v>2174</v>
      </c>
      <c r="Z5102" s="272">
        <v>102</v>
      </c>
      <c r="AA5102" s="272">
        <v>5</v>
      </c>
      <c r="AB5102" s="34">
        <f t="shared" ca="1" si="124"/>
        <v>0.9257338049281576</v>
      </c>
      <c r="AC5102" s="814"/>
      <c r="AD5102" s="815"/>
      <c r="AE5102" s="942"/>
      <c r="AF5102" s="923">
        <f>IF(X5102=X5101,AF5101,0)+IF(ISNUMBER(I5102),IF(I5102&lt;1,I5102,I5102*VLOOKUP(J5102,Summary!$H$2:$I$9,2)),VLOOKUP(J5102,Summary!$J$2:$K$9,2)*IF(ISNUMBER(H5102),H5102,1))</f>
        <v>0.69575231481481481</v>
      </c>
      <c r="AG5102" s="291">
        <v>5101</v>
      </c>
      <c r="AH5102" s="94"/>
      <c r="AI5102" s="94"/>
    </row>
    <row r="5103" spans="1:35" s="57" customFormat="1" ht="12" customHeight="1" x14ac:dyDescent="0.25">
      <c r="A5103" s="626" t="s">
        <v>8155</v>
      </c>
      <c r="B5103" s="626">
        <v>12</v>
      </c>
      <c r="C5103" s="626">
        <v>245</v>
      </c>
      <c r="D5103" s="424" t="s">
        <v>8168</v>
      </c>
      <c r="E5103" s="319" t="s">
        <v>8173</v>
      </c>
      <c r="F5103" s="198">
        <v>41895</v>
      </c>
      <c r="G5103" s="198"/>
      <c r="H5103" s="199">
        <v>1</v>
      </c>
      <c r="I5103" s="791">
        <f>TIME(0,47,47)</f>
        <v>3.318287037037037E-2</v>
      </c>
      <c r="J5103" s="904" t="s">
        <v>1588</v>
      </c>
      <c r="K5103" s="200" t="s">
        <v>3810</v>
      </c>
      <c r="L5103" s="200" t="s">
        <v>1594</v>
      </c>
      <c r="M5103" s="200"/>
      <c r="N5103" s="200" t="s">
        <v>3810</v>
      </c>
      <c r="O5103" s="200" t="s">
        <v>8002</v>
      </c>
      <c r="P5103" s="197" t="s">
        <v>461</v>
      </c>
      <c r="Q5103" s="200" t="s">
        <v>3946</v>
      </c>
      <c r="R5103" s="201" t="s">
        <v>5280</v>
      </c>
      <c r="S5103" s="390" t="s">
        <v>6923</v>
      </c>
      <c r="T5103" s="197"/>
      <c r="U5103" s="197"/>
      <c r="V5103" s="197"/>
      <c r="W5103" s="319" t="s">
        <v>8173</v>
      </c>
      <c r="X5103" s="651" t="s">
        <v>12350</v>
      </c>
      <c r="Y5103" s="358" t="s">
        <v>7018</v>
      </c>
      <c r="Z5103" s="253">
        <v>31</v>
      </c>
      <c r="AA5103" s="253">
        <v>9</v>
      </c>
      <c r="AB5103" s="35">
        <f t="shared" ca="1" si="124"/>
        <v>0.37099084994316744</v>
      </c>
      <c r="AC5103" s="820"/>
      <c r="AD5103" s="821"/>
      <c r="AE5103" s="967"/>
      <c r="AF5103" s="925">
        <f>IF(X5103=X5102,AF5102,0)+IF(ISNUMBER(I5103),IF(I5103&lt;1,I5103,I5103*VLOOKUP(J5103,Summary!$H$2:$I$9,2)),VLOOKUP(J5103,Summary!$J$2:$K$9,2)*IF(ISNUMBER(H5103),H5103,1))</f>
        <v>0.72893518518518519</v>
      </c>
      <c r="AG5103" s="293">
        <v>5102</v>
      </c>
      <c r="AH5103" s="94"/>
      <c r="AI5103" s="94"/>
    </row>
    <row r="5104" spans="1:35" s="22" customFormat="1" ht="12" customHeight="1" x14ac:dyDescent="0.2">
      <c r="A5104" s="629" t="s">
        <v>8155</v>
      </c>
      <c r="B5104" s="629">
        <v>12</v>
      </c>
      <c r="C5104" s="629"/>
      <c r="D5104" s="185" t="s">
        <v>11295</v>
      </c>
      <c r="E5104" s="314" t="s">
        <v>11296</v>
      </c>
      <c r="F5104" s="285">
        <v>41974</v>
      </c>
      <c r="G5104" s="223"/>
      <c r="H5104" s="185">
        <v>1</v>
      </c>
      <c r="I5104" s="185"/>
      <c r="J5104" s="901" t="s">
        <v>1796</v>
      </c>
      <c r="K5104" s="163" t="s">
        <v>5317</v>
      </c>
      <c r="L5104" s="163" t="s">
        <v>3832</v>
      </c>
      <c r="M5104" s="163" t="s">
        <v>252</v>
      </c>
      <c r="N5104" s="163" t="s">
        <v>5317</v>
      </c>
      <c r="O5104" s="163"/>
      <c r="P5104" s="182"/>
      <c r="Q5104" s="163" t="s">
        <v>3953</v>
      </c>
      <c r="R5104" s="186" t="s">
        <v>4600</v>
      </c>
      <c r="S5104" s="355" t="s">
        <v>6923</v>
      </c>
      <c r="T5104" s="182"/>
      <c r="U5104" s="182"/>
      <c r="V5104" s="182"/>
      <c r="W5104" s="314" t="s">
        <v>11296</v>
      </c>
      <c r="X5104" s="646" t="s">
        <v>12350</v>
      </c>
      <c r="Y5104" s="355" t="s">
        <v>6868</v>
      </c>
      <c r="Z5104" s="158">
        <v>999</v>
      </c>
      <c r="AA5104" s="185"/>
      <c r="AB5104" s="33">
        <f t="shared" ca="1" si="124"/>
        <v>0.6144618034280156</v>
      </c>
      <c r="AC5104" s="813"/>
      <c r="AD5104" s="211"/>
      <c r="AE5104" s="941"/>
      <c r="AF5104" s="922">
        <f>IF(X5104=X5103,AF5103,0)+IF(ISNUMBER(I5104),IF(I5104&lt;1,I5104,I5104*VLOOKUP(J5104,Summary!$H$2:$I$9,2)),VLOOKUP(J5104,Summary!$J$2:$K$9,2)*IF(ISNUMBER(H5104),H5104,1))</f>
        <v>0.7324074074074074</v>
      </c>
      <c r="AG5104" s="290">
        <v>5103</v>
      </c>
      <c r="AH5104" s="94"/>
      <c r="AI5104" s="94"/>
    </row>
    <row r="5105" spans="1:35" s="57" customFormat="1" ht="12" customHeight="1" x14ac:dyDescent="0.25">
      <c r="A5105" s="626" t="s">
        <v>8155</v>
      </c>
      <c r="B5105" s="626">
        <v>12</v>
      </c>
      <c r="C5105" s="626">
        <v>246</v>
      </c>
      <c r="D5105" s="424" t="s">
        <v>8169</v>
      </c>
      <c r="E5105" s="319" t="s">
        <v>8174</v>
      </c>
      <c r="F5105" s="198">
        <v>41902</v>
      </c>
      <c r="G5105" s="198"/>
      <c r="H5105" s="199">
        <v>1</v>
      </c>
      <c r="I5105" s="791">
        <f>TIME(0,45,21)</f>
        <v>3.1493055555555559E-2</v>
      </c>
      <c r="J5105" s="904" t="s">
        <v>1588</v>
      </c>
      <c r="K5105" s="200" t="s">
        <v>8189</v>
      </c>
      <c r="L5105" s="200" t="s">
        <v>1594</v>
      </c>
      <c r="M5105" s="200"/>
      <c r="N5105" s="200" t="s">
        <v>3810</v>
      </c>
      <c r="O5105" s="200" t="s">
        <v>8002</v>
      </c>
      <c r="P5105" s="197" t="s">
        <v>461</v>
      </c>
      <c r="Q5105" s="200" t="s">
        <v>3946</v>
      </c>
      <c r="R5105" s="201" t="s">
        <v>5280</v>
      </c>
      <c r="S5105" s="390" t="s">
        <v>6923</v>
      </c>
      <c r="T5105" s="197"/>
      <c r="U5105" s="197"/>
      <c r="V5105" s="197"/>
      <c r="W5105" s="319" t="s">
        <v>8174</v>
      </c>
      <c r="X5105" s="651" t="s">
        <v>12350</v>
      </c>
      <c r="Y5105" s="358" t="s">
        <v>7018</v>
      </c>
      <c r="Z5105" s="253">
        <v>222</v>
      </c>
      <c r="AA5105" s="253">
        <v>4</v>
      </c>
      <c r="AB5105" s="35">
        <f t="shared" ca="1" si="124"/>
        <v>0.21353205506362494</v>
      </c>
      <c r="AC5105" s="820"/>
      <c r="AD5105" s="821"/>
      <c r="AE5105" s="967"/>
      <c r="AF5105" s="925">
        <f>IF(X5105=X5104,AF5104,0)+IF(ISNUMBER(I5105),IF(I5105&lt;1,I5105,I5105*VLOOKUP(J5105,Summary!$H$2:$I$9,2)),VLOOKUP(J5105,Summary!$J$2:$K$9,2)*IF(ISNUMBER(H5105),H5105,1))</f>
        <v>0.76390046296296299</v>
      </c>
      <c r="AG5105" s="293">
        <v>5104</v>
      </c>
      <c r="AH5105" s="94"/>
      <c r="AI5105" s="94"/>
    </row>
    <row r="5106" spans="1:35" s="58" customFormat="1" ht="12" customHeight="1" x14ac:dyDescent="0.25">
      <c r="A5106" s="627" t="s">
        <v>8155</v>
      </c>
      <c r="B5106" s="627">
        <v>12</v>
      </c>
      <c r="C5106" s="627"/>
      <c r="D5106" s="176" t="s">
        <v>11295</v>
      </c>
      <c r="E5106" s="313" t="s">
        <v>11297</v>
      </c>
      <c r="F5106" s="286">
        <v>41974</v>
      </c>
      <c r="G5106" s="181"/>
      <c r="H5106" s="176">
        <v>1</v>
      </c>
      <c r="I5106" s="176"/>
      <c r="J5106" s="900" t="s">
        <v>2755</v>
      </c>
      <c r="K5106" s="164" t="s">
        <v>5317</v>
      </c>
      <c r="L5106" s="164"/>
      <c r="M5106" s="164"/>
      <c r="N5106" s="164" t="s">
        <v>5317</v>
      </c>
      <c r="O5106" s="164"/>
      <c r="P5106" s="173"/>
      <c r="Q5106" s="164" t="s">
        <v>3953</v>
      </c>
      <c r="R5106" s="177" t="s">
        <v>4600</v>
      </c>
      <c r="S5106" s="354" t="s">
        <v>6923</v>
      </c>
      <c r="T5106" s="173"/>
      <c r="U5106" s="173"/>
      <c r="V5106" s="173"/>
      <c r="W5106" s="313" t="s">
        <v>11297</v>
      </c>
      <c r="X5106" s="645" t="s">
        <v>12350</v>
      </c>
      <c r="Y5106" s="354" t="s">
        <v>6868</v>
      </c>
      <c r="Z5106" s="157">
        <v>999</v>
      </c>
      <c r="AA5106" s="176"/>
      <c r="AB5106" s="32">
        <f t="shared" ca="1" si="124"/>
        <v>0.98547723618489191</v>
      </c>
      <c r="AC5106" s="812"/>
      <c r="AD5106" s="763"/>
      <c r="AE5106" s="807"/>
      <c r="AF5106" s="921">
        <f>IF(X5106=X5105,AF5105,0)+IF(ISNUMBER(I5106),IF(I5106&lt;1,I5106,I5106*VLOOKUP(J5106,Summary!$H$2:$I$9,2)),VLOOKUP(J5106,Summary!$J$2:$K$9,2)*IF(ISNUMBER(H5106),H5106,1))</f>
        <v>0.78126157407407415</v>
      </c>
      <c r="AG5106" s="289">
        <v>5105</v>
      </c>
      <c r="AH5106" s="94"/>
      <c r="AI5106" s="94"/>
    </row>
    <row r="5107" spans="1:35" s="57" customFormat="1" ht="12" customHeight="1" x14ac:dyDescent="0.25">
      <c r="A5107" s="629" t="s">
        <v>8155</v>
      </c>
      <c r="B5107" s="629">
        <v>12</v>
      </c>
      <c r="C5107" s="629"/>
      <c r="D5107" s="185" t="s">
        <v>11295</v>
      </c>
      <c r="E5107" s="314" t="s">
        <v>11298</v>
      </c>
      <c r="F5107" s="285">
        <v>41974</v>
      </c>
      <c r="G5107" s="223"/>
      <c r="H5107" s="185">
        <v>1</v>
      </c>
      <c r="I5107" s="185"/>
      <c r="J5107" s="901" t="s">
        <v>1796</v>
      </c>
      <c r="K5107" s="163" t="s">
        <v>5198</v>
      </c>
      <c r="L5107" s="163" t="s">
        <v>3832</v>
      </c>
      <c r="M5107" s="163" t="s">
        <v>252</v>
      </c>
      <c r="N5107" s="163" t="s">
        <v>5198</v>
      </c>
      <c r="O5107" s="163"/>
      <c r="P5107" s="182"/>
      <c r="Q5107" s="163" t="s">
        <v>3953</v>
      </c>
      <c r="R5107" s="186" t="s">
        <v>4600</v>
      </c>
      <c r="S5107" s="355" t="s">
        <v>6923</v>
      </c>
      <c r="T5107" s="182"/>
      <c r="U5107" s="182"/>
      <c r="V5107" s="182"/>
      <c r="W5107" s="314" t="s">
        <v>11298</v>
      </c>
      <c r="X5107" s="646" t="s">
        <v>12350</v>
      </c>
      <c r="Y5107" s="355" t="s">
        <v>6868</v>
      </c>
      <c r="Z5107" s="158">
        <v>999</v>
      </c>
      <c r="AA5107" s="185"/>
      <c r="AB5107" s="33">
        <f t="shared" ca="1" si="124"/>
        <v>0.8135077222948971</v>
      </c>
      <c r="AC5107" s="813"/>
      <c r="AD5107" s="211"/>
      <c r="AE5107" s="941"/>
      <c r="AF5107" s="922">
        <f>IF(X5107=X5106,AF5106,0)+IF(ISNUMBER(I5107),IF(I5107&lt;1,I5107,I5107*VLOOKUP(J5107,Summary!$H$2:$I$9,2)),VLOOKUP(J5107,Summary!$J$2:$K$9,2)*IF(ISNUMBER(H5107),H5107,1))</f>
        <v>0.78473379629629636</v>
      </c>
      <c r="AG5107" s="290">
        <v>5106</v>
      </c>
      <c r="AH5107" s="94"/>
      <c r="AI5107" s="94"/>
    </row>
    <row r="5108" spans="1:35" s="2" customFormat="1" ht="12" customHeight="1" x14ac:dyDescent="0.25">
      <c r="A5108" s="629" t="s">
        <v>8155</v>
      </c>
      <c r="B5108" s="629">
        <v>12</v>
      </c>
      <c r="C5108" s="629">
        <v>163</v>
      </c>
      <c r="D5108" s="185" t="s">
        <v>9839</v>
      </c>
      <c r="E5108" s="314" t="s">
        <v>9840</v>
      </c>
      <c r="F5108" s="183">
        <v>41852</v>
      </c>
      <c r="G5108" s="183">
        <v>41944</v>
      </c>
      <c r="H5108" s="185">
        <v>4</v>
      </c>
      <c r="I5108" s="185">
        <v>48</v>
      </c>
      <c r="J5108" s="901" t="s">
        <v>1796</v>
      </c>
      <c r="K5108" s="163" t="s">
        <v>5251</v>
      </c>
      <c r="L5108" s="163" t="s">
        <v>6057</v>
      </c>
      <c r="M5108" s="163" t="s">
        <v>252</v>
      </c>
      <c r="N5108" s="163" t="s">
        <v>5742</v>
      </c>
      <c r="O5108" s="163"/>
      <c r="P5108" s="182" t="s">
        <v>461</v>
      </c>
      <c r="Q5108" s="163" t="s">
        <v>4104</v>
      </c>
      <c r="R5108" s="186" t="s">
        <v>5266</v>
      </c>
      <c r="S5108" s="355" t="s">
        <v>6923</v>
      </c>
      <c r="T5108" s="182"/>
      <c r="U5108" s="182"/>
      <c r="V5108" s="182"/>
      <c r="W5108" s="314"/>
      <c r="X5108" s="646" t="s">
        <v>12350</v>
      </c>
      <c r="Y5108" s="355"/>
      <c r="Z5108" s="185"/>
      <c r="AA5108" s="185"/>
      <c r="AB5108" s="33">
        <f t="shared" ca="1" si="124"/>
        <v>0.258936594169769</v>
      </c>
      <c r="AC5108" s="813"/>
      <c r="AD5108" s="211"/>
      <c r="AE5108" s="941"/>
      <c r="AF5108" s="922">
        <f>IF(X5108=X5107,AF5107,0)+IF(ISNUMBER(I5108),IF(I5108&lt;1,I5108,I5108*VLOOKUP(J5108,Summary!$H$2:$I$9,2)),VLOOKUP(J5108,Summary!$J$2:$K$9,2)*IF(ISNUMBER(H5108),H5108,1))</f>
        <v>0.80140046296296308</v>
      </c>
      <c r="AG5108" s="290">
        <v>5107</v>
      </c>
      <c r="AH5108" s="94"/>
      <c r="AI5108" s="94"/>
    </row>
    <row r="5109" spans="1:35" s="57" customFormat="1" ht="12" customHeight="1" x14ac:dyDescent="0.25">
      <c r="A5109" s="629" t="s">
        <v>8155</v>
      </c>
      <c r="B5109" s="629">
        <v>12</v>
      </c>
      <c r="C5109" s="629">
        <v>314</v>
      </c>
      <c r="D5109" s="185" t="s">
        <v>9865</v>
      </c>
      <c r="E5109" s="314" t="s">
        <v>9868</v>
      </c>
      <c r="F5109" s="184">
        <v>41920</v>
      </c>
      <c r="G5109" s="184"/>
      <c r="H5109" s="185">
        <v>2</v>
      </c>
      <c r="I5109" s="185">
        <v>4</v>
      </c>
      <c r="J5109" s="901" t="s">
        <v>1796</v>
      </c>
      <c r="K5109" s="163" t="s">
        <v>5664</v>
      </c>
      <c r="L5109" s="163" t="s">
        <v>3832</v>
      </c>
      <c r="M5109" s="163" t="s">
        <v>254</v>
      </c>
      <c r="N5109" s="163" t="s">
        <v>5317</v>
      </c>
      <c r="O5109" s="163"/>
      <c r="P5109" s="182" t="s">
        <v>461</v>
      </c>
      <c r="Q5109" s="163" t="s">
        <v>729</v>
      </c>
      <c r="R5109" s="186" t="s">
        <v>4796</v>
      </c>
      <c r="S5109" s="355" t="s">
        <v>6923</v>
      </c>
      <c r="T5109" s="182"/>
      <c r="U5109" s="182"/>
      <c r="V5109" s="182"/>
      <c r="W5109" s="314"/>
      <c r="X5109" s="646" t="s">
        <v>12350</v>
      </c>
      <c r="Y5109" s="355"/>
      <c r="Z5109" s="185"/>
      <c r="AA5109" s="185"/>
      <c r="AB5109" s="33">
        <f t="shared" ca="1" si="124"/>
        <v>0.53357311149258357</v>
      </c>
      <c r="AC5109" s="813"/>
      <c r="AD5109" s="211"/>
      <c r="AE5109" s="941"/>
      <c r="AF5109" s="922">
        <f>IF(X5109=X5108,AF5108,0)+IF(ISNUMBER(I5109),IF(I5109&lt;1,I5109,I5109*VLOOKUP(J5109,Summary!$H$2:$I$9,2)),VLOOKUP(J5109,Summary!$J$2:$K$9,2)*IF(ISNUMBER(H5109),H5109,1))</f>
        <v>0.80278935185185196</v>
      </c>
      <c r="AG5109" s="290">
        <v>5108</v>
      </c>
      <c r="AH5109" s="94"/>
      <c r="AI5109" s="94"/>
    </row>
    <row r="5110" spans="1:35" s="57" customFormat="1" ht="12" customHeight="1" x14ac:dyDescent="0.25">
      <c r="A5110" s="629" t="s">
        <v>8155</v>
      </c>
      <c r="B5110" s="629">
        <v>12</v>
      </c>
      <c r="C5110" s="629">
        <v>315</v>
      </c>
      <c r="D5110" s="185" t="s">
        <v>9866</v>
      </c>
      <c r="E5110" s="314" t="s">
        <v>9869</v>
      </c>
      <c r="F5110" s="184">
        <v>41934</v>
      </c>
      <c r="G5110" s="184"/>
      <c r="H5110" s="185">
        <v>2</v>
      </c>
      <c r="I5110" s="185">
        <v>4</v>
      </c>
      <c r="J5110" s="901" t="s">
        <v>1796</v>
      </c>
      <c r="K5110" s="163" t="s">
        <v>9475</v>
      </c>
      <c r="L5110" s="163" t="s">
        <v>3832</v>
      </c>
      <c r="M5110" s="163" t="s">
        <v>254</v>
      </c>
      <c r="N5110" s="163" t="s">
        <v>5317</v>
      </c>
      <c r="O5110" s="163"/>
      <c r="P5110" s="182" t="s">
        <v>461</v>
      </c>
      <c r="Q5110" s="163" t="s">
        <v>729</v>
      </c>
      <c r="R5110" s="186" t="s">
        <v>4796</v>
      </c>
      <c r="S5110" s="355" t="s">
        <v>6923</v>
      </c>
      <c r="T5110" s="182"/>
      <c r="U5110" s="182"/>
      <c r="V5110" s="182"/>
      <c r="W5110" s="314"/>
      <c r="X5110" s="646" t="s">
        <v>12350</v>
      </c>
      <c r="Y5110" s="355"/>
      <c r="Z5110" s="185"/>
      <c r="AA5110" s="185"/>
      <c r="AB5110" s="33">
        <f t="shared" ca="1" si="124"/>
        <v>0.67852062924599965</v>
      </c>
      <c r="AC5110" s="813"/>
      <c r="AD5110" s="211"/>
      <c r="AE5110" s="941"/>
      <c r="AF5110" s="922">
        <f>IF(X5110=X5109,AF5109,0)+IF(ISNUMBER(I5110),IF(I5110&lt;1,I5110,I5110*VLOOKUP(J5110,Summary!$H$2:$I$9,2)),VLOOKUP(J5110,Summary!$J$2:$K$9,2)*IF(ISNUMBER(H5110),H5110,1))</f>
        <v>0.80417824074074085</v>
      </c>
      <c r="AG5110" s="290">
        <v>5109</v>
      </c>
      <c r="AH5110" s="94"/>
      <c r="AI5110" s="94"/>
    </row>
    <row r="5111" spans="1:35" s="22" customFormat="1" ht="12" customHeight="1" x14ac:dyDescent="0.2">
      <c r="A5111" s="629" t="s">
        <v>8155</v>
      </c>
      <c r="B5111" s="629">
        <v>12</v>
      </c>
      <c r="C5111" s="629">
        <v>316</v>
      </c>
      <c r="D5111" s="185" t="s">
        <v>9867</v>
      </c>
      <c r="E5111" s="314" t="s">
        <v>9870</v>
      </c>
      <c r="F5111" s="184">
        <v>41948</v>
      </c>
      <c r="G5111" s="184"/>
      <c r="H5111" s="185">
        <v>2</v>
      </c>
      <c r="I5111" s="185">
        <v>4</v>
      </c>
      <c r="J5111" s="901" t="s">
        <v>1796</v>
      </c>
      <c r="K5111" s="163" t="s">
        <v>2939</v>
      </c>
      <c r="L5111" s="163" t="s">
        <v>3832</v>
      </c>
      <c r="M5111" s="163" t="s">
        <v>254</v>
      </c>
      <c r="N5111" s="163" t="s">
        <v>5317</v>
      </c>
      <c r="O5111" s="163"/>
      <c r="P5111" s="182" t="s">
        <v>461</v>
      </c>
      <c r="Q5111" s="163" t="s">
        <v>729</v>
      </c>
      <c r="R5111" s="186" t="s">
        <v>4796</v>
      </c>
      <c r="S5111" s="355" t="s">
        <v>6923</v>
      </c>
      <c r="T5111" s="182"/>
      <c r="U5111" s="182"/>
      <c r="V5111" s="182"/>
      <c r="W5111" s="314"/>
      <c r="X5111" s="646" t="s">
        <v>12350</v>
      </c>
      <c r="Y5111" s="355"/>
      <c r="Z5111" s="185"/>
      <c r="AA5111" s="185"/>
      <c r="AB5111" s="33">
        <f t="shared" ca="1" si="124"/>
        <v>0.66551106786746483</v>
      </c>
      <c r="AC5111" s="813"/>
      <c r="AD5111" s="211"/>
      <c r="AE5111" s="941"/>
      <c r="AF5111" s="922">
        <f>IF(X5111=X5110,AF5110,0)+IF(ISNUMBER(I5111),IF(I5111&lt;1,I5111,I5111*VLOOKUP(J5111,Summary!$H$2:$I$9,2)),VLOOKUP(J5111,Summary!$J$2:$K$9,2)*IF(ISNUMBER(H5111),H5111,1))</f>
        <v>0.80556712962962973</v>
      </c>
      <c r="AG5111" s="290">
        <v>5110</v>
      </c>
      <c r="AH5111" s="94"/>
      <c r="AI5111" s="94"/>
    </row>
    <row r="5112" spans="1:35" s="57" customFormat="1" ht="12" customHeight="1" x14ac:dyDescent="0.25">
      <c r="A5112" s="627" t="s">
        <v>8155</v>
      </c>
      <c r="B5112" s="627">
        <v>12</v>
      </c>
      <c r="C5112" s="627">
        <v>3</v>
      </c>
      <c r="D5112" s="176" t="s">
        <v>10087</v>
      </c>
      <c r="E5112" s="313" t="s">
        <v>10088</v>
      </c>
      <c r="F5112" s="175">
        <v>42222</v>
      </c>
      <c r="G5112" s="174"/>
      <c r="H5112" s="176" t="s">
        <v>461</v>
      </c>
      <c r="I5112" s="176"/>
      <c r="J5112" s="900" t="s">
        <v>2755</v>
      </c>
      <c r="K5112" s="164" t="s">
        <v>7375</v>
      </c>
      <c r="L5112" s="164" t="s">
        <v>461</v>
      </c>
      <c r="M5112" s="164"/>
      <c r="N5112" s="164"/>
      <c r="O5112" s="164"/>
      <c r="P5112" s="173" t="s">
        <v>10083</v>
      </c>
      <c r="Q5112" s="164" t="s">
        <v>3953</v>
      </c>
      <c r="R5112" s="177" t="s">
        <v>10084</v>
      </c>
      <c r="S5112" s="354"/>
      <c r="T5112" s="173"/>
      <c r="U5112" s="173"/>
      <c r="V5112" s="173"/>
      <c r="W5112" s="313" t="s">
        <v>10088</v>
      </c>
      <c r="X5112" s="645" t="s">
        <v>12350</v>
      </c>
      <c r="Y5112" s="354"/>
      <c r="Z5112" s="176"/>
      <c r="AA5112" s="176"/>
      <c r="AB5112" s="32">
        <f t="shared" ca="1" si="124"/>
        <v>0.60831661699692341</v>
      </c>
      <c r="AC5112" s="812"/>
      <c r="AD5112" s="763"/>
      <c r="AE5112" s="807"/>
      <c r="AF5112" s="921">
        <f>IF(X5112=X5111,AF5111,0)+IF(ISNUMBER(I5112),IF(I5112&lt;1,I5112,I5112*VLOOKUP(J5112,Summary!$H$2:$I$9,2)),VLOOKUP(J5112,Summary!$J$2:$K$9,2)*IF(ISNUMBER(H5112),H5112,1))</f>
        <v>0.82292824074074089</v>
      </c>
      <c r="AG5112" s="289">
        <v>5111</v>
      </c>
      <c r="AH5112" s="94"/>
      <c r="AI5112" s="94"/>
    </row>
    <row r="5113" spans="1:35" s="57" customFormat="1" ht="12" customHeight="1" x14ac:dyDescent="0.25">
      <c r="A5113" s="626" t="s">
        <v>8155</v>
      </c>
      <c r="B5113" s="626">
        <v>12</v>
      </c>
      <c r="C5113" s="626">
        <v>247</v>
      </c>
      <c r="D5113" s="424" t="s">
        <v>8170</v>
      </c>
      <c r="E5113" s="319" t="s">
        <v>8175</v>
      </c>
      <c r="F5113" s="198">
        <v>41909</v>
      </c>
      <c r="G5113" s="198"/>
      <c r="H5113" s="199">
        <v>1</v>
      </c>
      <c r="I5113" s="791">
        <f>TIME(0,45,11)</f>
        <v>3.1377314814814809E-2</v>
      </c>
      <c r="J5113" s="904" t="s">
        <v>1588</v>
      </c>
      <c r="K5113" s="200" t="s">
        <v>8188</v>
      </c>
      <c r="L5113" s="200" t="s">
        <v>8191</v>
      </c>
      <c r="M5113" s="200"/>
      <c r="N5113" s="200" t="s">
        <v>3810</v>
      </c>
      <c r="O5113" s="200" t="s">
        <v>8002</v>
      </c>
      <c r="P5113" s="197" t="s">
        <v>461</v>
      </c>
      <c r="Q5113" s="200" t="s">
        <v>3946</v>
      </c>
      <c r="R5113" s="201" t="s">
        <v>5280</v>
      </c>
      <c r="S5113" s="390" t="s">
        <v>6923</v>
      </c>
      <c r="T5113" s="197"/>
      <c r="U5113" s="197"/>
      <c r="V5113" s="197"/>
      <c r="W5113" s="319" t="s">
        <v>8175</v>
      </c>
      <c r="X5113" s="651" t="s">
        <v>12350</v>
      </c>
      <c r="Y5113" s="358" t="s">
        <v>7018</v>
      </c>
      <c r="Z5113" s="253">
        <v>207</v>
      </c>
      <c r="AA5113" s="253">
        <v>4.5</v>
      </c>
      <c r="AB5113" s="35">
        <f t="shared" ca="1" si="124"/>
        <v>5.2377996768873225E-2</v>
      </c>
      <c r="AC5113" s="820"/>
      <c r="AD5113" s="821"/>
      <c r="AE5113" s="967"/>
      <c r="AF5113" s="925">
        <f>IF(X5113=X5112,AF5112,0)+IF(ISNUMBER(I5113),IF(I5113&lt;1,I5113,I5113*VLOOKUP(J5113,Summary!$H$2:$I$9,2)),VLOOKUP(J5113,Summary!$J$2:$K$9,2)*IF(ISNUMBER(H5113),H5113,1))</f>
        <v>0.85430555555555565</v>
      </c>
      <c r="AG5113" s="293">
        <v>5112</v>
      </c>
      <c r="AH5113" s="94"/>
      <c r="AI5113" s="94"/>
    </row>
    <row r="5114" spans="1:35" s="57" customFormat="1" ht="12" customHeight="1" x14ac:dyDescent="0.25">
      <c r="A5114" s="629" t="s">
        <v>8155</v>
      </c>
      <c r="B5114" s="629">
        <v>12</v>
      </c>
      <c r="C5114" s="629">
        <v>1.1000000000000001</v>
      </c>
      <c r="D5114" s="185" t="s">
        <v>10921</v>
      </c>
      <c r="E5114" s="314" t="s">
        <v>10918</v>
      </c>
      <c r="F5114" s="184">
        <v>41927</v>
      </c>
      <c r="G5114" s="184">
        <v>41962</v>
      </c>
      <c r="H5114" s="185">
        <v>2</v>
      </c>
      <c r="I5114" s="185">
        <v>46</v>
      </c>
      <c r="J5114" s="901" t="s">
        <v>1796</v>
      </c>
      <c r="K5114" s="163" t="s">
        <v>10900</v>
      </c>
      <c r="L5114" s="163" t="s">
        <v>10919</v>
      </c>
      <c r="M5114" s="163" t="s">
        <v>10920</v>
      </c>
      <c r="N5114" s="163" t="s">
        <v>10882</v>
      </c>
      <c r="O5114" s="163"/>
      <c r="P5114" s="182" t="s">
        <v>461</v>
      </c>
      <c r="Q5114" s="163" t="s">
        <v>7076</v>
      </c>
      <c r="R5114" s="186" t="s">
        <v>10879</v>
      </c>
      <c r="S5114" s="355" t="s">
        <v>6923</v>
      </c>
      <c r="T5114" s="182"/>
      <c r="U5114" s="182"/>
      <c r="V5114" s="182"/>
      <c r="W5114" s="314"/>
      <c r="X5114" s="646" t="s">
        <v>12350</v>
      </c>
      <c r="Y5114" s="355" t="s">
        <v>6000</v>
      </c>
      <c r="Z5114" s="185"/>
      <c r="AA5114" s="185"/>
      <c r="AB5114" s="33">
        <f t="shared" ca="1" si="124"/>
        <v>0.59625109074015825</v>
      </c>
      <c r="AC5114" s="813"/>
      <c r="AD5114" s="211"/>
      <c r="AE5114" s="941"/>
      <c r="AF5114" s="922">
        <f>IF(X5114=X5113,AF5113,0)+IF(ISNUMBER(I5114),IF(I5114&lt;1,I5114,I5114*VLOOKUP(J5114,Summary!$H$2:$I$9,2)),VLOOKUP(J5114,Summary!$J$2:$K$9,2)*IF(ISNUMBER(H5114),H5114,1))</f>
        <v>0.87027777777777793</v>
      </c>
      <c r="AG5114" s="290">
        <v>5113</v>
      </c>
      <c r="AH5114" s="94"/>
      <c r="AI5114" s="94"/>
    </row>
    <row r="5115" spans="1:35" s="57" customFormat="1" ht="12" customHeight="1" x14ac:dyDescent="0.25">
      <c r="A5115" s="769" t="s">
        <v>8155</v>
      </c>
      <c r="B5115" s="769">
        <v>12</v>
      </c>
      <c r="C5115" s="769">
        <v>1.2</v>
      </c>
      <c r="D5115" s="226" t="s">
        <v>10922</v>
      </c>
      <c r="E5115" s="331" t="s">
        <v>10923</v>
      </c>
      <c r="F5115" s="233">
        <v>41997</v>
      </c>
      <c r="G5115" s="233">
        <v>42060</v>
      </c>
      <c r="H5115" s="226">
        <v>3</v>
      </c>
      <c r="I5115" s="226">
        <v>68</v>
      </c>
      <c r="J5115" s="907" t="s">
        <v>1796</v>
      </c>
      <c r="K5115" s="228" t="s">
        <v>10900</v>
      </c>
      <c r="L5115" s="228" t="s">
        <v>10924</v>
      </c>
      <c r="M5115" s="228" t="s">
        <v>10914</v>
      </c>
      <c r="N5115" s="228" t="s">
        <v>10882</v>
      </c>
      <c r="O5115" s="228"/>
      <c r="P5115" s="225" t="s">
        <v>461</v>
      </c>
      <c r="Q5115" s="228" t="s">
        <v>7076</v>
      </c>
      <c r="R5115" s="227" t="s">
        <v>10879</v>
      </c>
      <c r="S5115" s="369" t="s">
        <v>6923</v>
      </c>
      <c r="T5115" s="225"/>
      <c r="U5115" s="225"/>
      <c r="V5115" s="225"/>
      <c r="W5115" s="331"/>
      <c r="X5115" s="663" t="s">
        <v>12350</v>
      </c>
      <c r="Y5115" s="369" t="s">
        <v>6000</v>
      </c>
      <c r="Z5115" s="226"/>
      <c r="AA5115" s="226"/>
      <c r="AB5115" s="38">
        <f t="shared" ca="1" si="124"/>
        <v>0.59562406165439252</v>
      </c>
      <c r="AC5115" s="830"/>
      <c r="AD5115" s="831"/>
      <c r="AE5115" s="963"/>
      <c r="AF5115" s="928">
        <f>IF(X5115=X5114,AF5114,0)+IF(ISNUMBER(I5115),IF(I5115&lt;1,I5115,I5115*VLOOKUP(J5115,Summary!$H$2:$I$9,2)),VLOOKUP(J5115,Summary!$J$2:$K$9,2)*IF(ISNUMBER(H5115),H5115,1))</f>
        <v>0.89388888888888907</v>
      </c>
      <c r="AG5115" s="304">
        <v>5114</v>
      </c>
      <c r="AH5115" s="94"/>
      <c r="AI5115" s="94"/>
    </row>
    <row r="5116" spans="1:35" s="57" customFormat="1" ht="12" customHeight="1" x14ac:dyDescent="0.25">
      <c r="A5116" s="627" t="s">
        <v>8155</v>
      </c>
      <c r="B5116" s="627">
        <v>12</v>
      </c>
      <c r="C5116" s="627">
        <v>7</v>
      </c>
      <c r="D5116" s="176" t="s">
        <v>9770</v>
      </c>
      <c r="E5116" s="313" t="s">
        <v>9771</v>
      </c>
      <c r="F5116" s="175">
        <v>42159</v>
      </c>
      <c r="G5116" s="174"/>
      <c r="H5116" s="176" t="s">
        <v>461</v>
      </c>
      <c r="I5116" s="176"/>
      <c r="J5116" s="900" t="s">
        <v>2755</v>
      </c>
      <c r="K5116" s="164" t="s">
        <v>5348</v>
      </c>
      <c r="L5116" s="164" t="s">
        <v>461</v>
      </c>
      <c r="M5116" s="164"/>
      <c r="N5116" s="164"/>
      <c r="O5116" s="164"/>
      <c r="P5116" s="173" t="s">
        <v>9509</v>
      </c>
      <c r="Q5116" s="164" t="s">
        <v>3953</v>
      </c>
      <c r="R5116" s="177" t="s">
        <v>9510</v>
      </c>
      <c r="S5116" s="354" t="s">
        <v>6923</v>
      </c>
      <c r="T5116" s="173"/>
      <c r="U5116" s="173"/>
      <c r="V5116" s="173"/>
      <c r="W5116" s="313" t="s">
        <v>9771</v>
      </c>
      <c r="X5116" s="645" t="s">
        <v>12350</v>
      </c>
      <c r="Y5116" s="354"/>
      <c r="Z5116" s="157"/>
      <c r="AA5116" s="176"/>
      <c r="AB5116" s="32">
        <f t="shared" ca="1" si="124"/>
        <v>0.59869571235146768</v>
      </c>
      <c r="AC5116" s="812"/>
      <c r="AD5116" s="763"/>
      <c r="AE5116" s="807"/>
      <c r="AF5116" s="921">
        <f>IF(X5116=X5115,AF5115,0)+IF(ISNUMBER(I5116),IF(I5116&lt;1,I5116,I5116*VLOOKUP(J5116,Summary!$H$2:$I$9,2)),VLOOKUP(J5116,Summary!$J$2:$K$9,2)*IF(ISNUMBER(H5116),H5116,1))</f>
        <v>0.91125000000000023</v>
      </c>
      <c r="AG5116" s="289">
        <v>5115</v>
      </c>
      <c r="AH5116" s="94"/>
      <c r="AI5116" s="94"/>
    </row>
    <row r="5117" spans="1:35" s="57" customFormat="1" ht="12" customHeight="1" x14ac:dyDescent="0.25">
      <c r="A5117" s="627" t="s">
        <v>8155</v>
      </c>
      <c r="B5117" s="627">
        <v>12</v>
      </c>
      <c r="C5117" s="627">
        <v>9</v>
      </c>
      <c r="D5117" s="176" t="s">
        <v>11299</v>
      </c>
      <c r="E5117" s="313" t="s">
        <v>9469</v>
      </c>
      <c r="F5117" s="175">
        <v>42066</v>
      </c>
      <c r="G5117" s="174"/>
      <c r="H5117" s="176">
        <v>1</v>
      </c>
      <c r="I5117" s="176"/>
      <c r="J5117" s="900" t="s">
        <v>2755</v>
      </c>
      <c r="K5117" s="164" t="s">
        <v>9769</v>
      </c>
      <c r="L5117" s="164" t="s">
        <v>461</v>
      </c>
      <c r="M5117" s="164"/>
      <c r="N5117" s="164"/>
      <c r="O5117" s="164"/>
      <c r="P5117" s="173"/>
      <c r="Q5117" s="164" t="s">
        <v>2173</v>
      </c>
      <c r="R5117" s="177" t="s">
        <v>10233</v>
      </c>
      <c r="S5117" s="354" t="s">
        <v>6923</v>
      </c>
      <c r="T5117" s="173"/>
      <c r="U5117" s="173"/>
      <c r="V5117" s="173"/>
      <c r="W5117" s="313" t="s">
        <v>9469</v>
      </c>
      <c r="X5117" s="645" t="s">
        <v>12350</v>
      </c>
      <c r="Y5117" s="354"/>
      <c r="Z5117" s="176"/>
      <c r="AA5117" s="176"/>
      <c r="AB5117" s="32">
        <f t="shared" ca="1" si="124"/>
        <v>0.26787828924269774</v>
      </c>
      <c r="AC5117" s="812"/>
      <c r="AD5117" s="763"/>
      <c r="AE5117" s="807"/>
      <c r="AF5117" s="921">
        <f>IF(X5117=X5116,AF5116,0)+IF(ISNUMBER(I5117),IF(I5117&lt;1,I5117,I5117*VLOOKUP(J5117,Summary!$H$2:$I$9,2)),VLOOKUP(J5117,Summary!$J$2:$K$9,2)*IF(ISNUMBER(H5117),H5117,1))</f>
        <v>0.92861111111111139</v>
      </c>
      <c r="AG5117" s="289">
        <v>5116</v>
      </c>
      <c r="AH5117" s="94"/>
      <c r="AI5117" s="94"/>
    </row>
    <row r="5118" spans="1:35" s="57" customFormat="1" ht="12" customHeight="1" x14ac:dyDescent="0.25">
      <c r="A5118" s="626" t="s">
        <v>8155</v>
      </c>
      <c r="B5118" s="626">
        <v>12</v>
      </c>
      <c r="C5118" s="626">
        <v>248</v>
      </c>
      <c r="D5118" s="424" t="s">
        <v>8176</v>
      </c>
      <c r="E5118" s="319" t="s">
        <v>8180</v>
      </c>
      <c r="F5118" s="198">
        <v>41916</v>
      </c>
      <c r="G5118" s="198"/>
      <c r="H5118" s="199">
        <v>1</v>
      </c>
      <c r="I5118" s="791">
        <f>TIME(0,44,58)</f>
        <v>3.1226851851851853E-2</v>
      </c>
      <c r="J5118" s="904" t="s">
        <v>1588</v>
      </c>
      <c r="K5118" s="200" t="s">
        <v>8187</v>
      </c>
      <c r="L5118" s="200" t="s">
        <v>8195</v>
      </c>
      <c r="M5118" s="200"/>
      <c r="N5118" s="200" t="s">
        <v>3810</v>
      </c>
      <c r="O5118" s="200" t="s">
        <v>8002</v>
      </c>
      <c r="P5118" s="197" t="s">
        <v>461</v>
      </c>
      <c r="Q5118" s="200" t="s">
        <v>3946</v>
      </c>
      <c r="R5118" s="201" t="s">
        <v>5280</v>
      </c>
      <c r="S5118" s="390" t="s">
        <v>6923</v>
      </c>
      <c r="T5118" s="197"/>
      <c r="U5118" s="197"/>
      <c r="V5118" s="197"/>
      <c r="W5118" s="319" t="s">
        <v>8180</v>
      </c>
      <c r="X5118" s="651" t="s">
        <v>12350</v>
      </c>
      <c r="Y5118" s="358" t="s">
        <v>7018</v>
      </c>
      <c r="Z5118" s="253">
        <v>251</v>
      </c>
      <c r="AA5118" s="253">
        <v>3.5</v>
      </c>
      <c r="AB5118" s="35">
        <f t="shared" ca="1" si="124"/>
        <v>1.3885046063587425E-2</v>
      </c>
      <c r="AC5118" s="820"/>
      <c r="AD5118" s="821"/>
      <c r="AE5118" s="967"/>
      <c r="AF5118" s="925">
        <f>IF(X5118=X5117,AF5117,0)+IF(ISNUMBER(I5118),IF(I5118&lt;1,I5118,I5118*VLOOKUP(J5118,Summary!$H$2:$I$9,2)),VLOOKUP(J5118,Summary!$J$2:$K$9,2)*IF(ISNUMBER(H5118),H5118,1))</f>
        <v>0.9598379629629632</v>
      </c>
      <c r="AG5118" s="293">
        <v>5117</v>
      </c>
      <c r="AH5118" s="94"/>
      <c r="AI5118" s="94"/>
    </row>
    <row r="5119" spans="1:35" s="58" customFormat="1" ht="12" customHeight="1" x14ac:dyDescent="0.25">
      <c r="A5119" s="626" t="s">
        <v>8155</v>
      </c>
      <c r="B5119" s="626">
        <v>12</v>
      </c>
      <c r="C5119" s="626">
        <v>249</v>
      </c>
      <c r="D5119" s="424" t="s">
        <v>8177</v>
      </c>
      <c r="E5119" s="319" t="s">
        <v>8181</v>
      </c>
      <c r="F5119" s="198">
        <v>41923</v>
      </c>
      <c r="G5119" s="198"/>
      <c r="H5119" s="199">
        <v>1</v>
      </c>
      <c r="I5119" s="791">
        <f>TIME(0,46,31)</f>
        <v>3.2303240740740737E-2</v>
      </c>
      <c r="J5119" s="904" t="s">
        <v>1588</v>
      </c>
      <c r="K5119" s="200" t="s">
        <v>8186</v>
      </c>
      <c r="L5119" s="200" t="s">
        <v>8195</v>
      </c>
      <c r="M5119" s="200"/>
      <c r="N5119" s="200" t="s">
        <v>3810</v>
      </c>
      <c r="O5119" s="200" t="s">
        <v>8002</v>
      </c>
      <c r="P5119" s="197" t="s">
        <v>461</v>
      </c>
      <c r="Q5119" s="200" t="s">
        <v>3946</v>
      </c>
      <c r="R5119" s="201" t="s">
        <v>5280</v>
      </c>
      <c r="S5119" s="390" t="s">
        <v>6923</v>
      </c>
      <c r="T5119" s="197"/>
      <c r="U5119" s="197"/>
      <c r="V5119" s="197"/>
      <c r="W5119" s="319" t="s">
        <v>8181</v>
      </c>
      <c r="X5119" s="651" t="s">
        <v>12350</v>
      </c>
      <c r="Y5119" s="358" t="s">
        <v>7018</v>
      </c>
      <c r="Z5119" s="253">
        <v>184</v>
      </c>
      <c r="AA5119" s="253">
        <v>5</v>
      </c>
      <c r="AB5119" s="35">
        <f t="shared" ca="1" si="124"/>
        <v>5.5312243829255259E-3</v>
      </c>
      <c r="AC5119" s="820"/>
      <c r="AD5119" s="821"/>
      <c r="AE5119" s="967"/>
      <c r="AF5119" s="925">
        <f>IF(X5119=X5118,AF5118,0)+IF(ISNUMBER(I5119),IF(I5119&lt;1,I5119,I5119*VLOOKUP(J5119,Summary!$H$2:$I$9,2)),VLOOKUP(J5119,Summary!$J$2:$K$9,2)*IF(ISNUMBER(H5119),H5119,1))</f>
        <v>0.99214120370370396</v>
      </c>
      <c r="AG5119" s="293">
        <v>5118</v>
      </c>
      <c r="AH5119" s="94"/>
      <c r="AI5119" s="94"/>
    </row>
    <row r="5120" spans="1:35" s="22" customFormat="1" ht="12" customHeight="1" x14ac:dyDescent="0.2">
      <c r="A5120" s="629" t="s">
        <v>8155</v>
      </c>
      <c r="B5120" s="629">
        <v>12</v>
      </c>
      <c r="C5120" s="629">
        <v>317</v>
      </c>
      <c r="D5120" s="185" t="s">
        <v>9872</v>
      </c>
      <c r="E5120" s="314" t="s">
        <v>9871</v>
      </c>
      <c r="F5120" s="184">
        <v>41976</v>
      </c>
      <c r="G5120" s="184"/>
      <c r="H5120" s="185">
        <v>1</v>
      </c>
      <c r="I5120" s="185">
        <v>4</v>
      </c>
      <c r="J5120" s="901" t="s">
        <v>1796</v>
      </c>
      <c r="K5120" s="163" t="s">
        <v>8238</v>
      </c>
      <c r="L5120" s="163" t="s">
        <v>3832</v>
      </c>
      <c r="M5120" s="163" t="s">
        <v>254</v>
      </c>
      <c r="N5120" s="163" t="s">
        <v>5317</v>
      </c>
      <c r="O5120" s="163"/>
      <c r="P5120" s="182" t="s">
        <v>461</v>
      </c>
      <c r="Q5120" s="163" t="s">
        <v>729</v>
      </c>
      <c r="R5120" s="186" t="s">
        <v>4796</v>
      </c>
      <c r="S5120" s="355" t="s">
        <v>6923</v>
      </c>
      <c r="T5120" s="182"/>
      <c r="U5120" s="182"/>
      <c r="V5120" s="182"/>
      <c r="W5120" s="314" t="s">
        <v>9871</v>
      </c>
      <c r="X5120" s="646" t="s">
        <v>12350</v>
      </c>
      <c r="Y5120" s="355"/>
      <c r="Z5120" s="185"/>
      <c r="AA5120" s="185"/>
      <c r="AB5120" s="33">
        <f t="shared" ca="1" si="124"/>
        <v>0.1307466785519743</v>
      </c>
      <c r="AC5120" s="813"/>
      <c r="AD5120" s="211"/>
      <c r="AE5120" s="941"/>
      <c r="AF5120" s="922">
        <f>IF(X5120=X5119,AF5119,0)+IF(ISNUMBER(I5120),IF(I5120&lt;1,I5120,I5120*VLOOKUP(J5120,Summary!$H$2:$I$9,2)),VLOOKUP(J5120,Summary!$J$2:$K$9,2)*IF(ISNUMBER(H5120),H5120,1))</f>
        <v>0.99353009259259284</v>
      </c>
      <c r="AG5120" s="290">
        <v>5119</v>
      </c>
      <c r="AH5120" s="94"/>
      <c r="AI5120" s="94"/>
    </row>
    <row r="5121" spans="1:35" s="22" customFormat="1" ht="12" customHeight="1" x14ac:dyDescent="0.25">
      <c r="A5121" s="626" t="s">
        <v>8155</v>
      </c>
      <c r="B5121" s="626">
        <v>12</v>
      </c>
      <c r="C5121" s="626">
        <v>250</v>
      </c>
      <c r="D5121" s="424" t="s">
        <v>8178</v>
      </c>
      <c r="E5121" s="319" t="s">
        <v>8182</v>
      </c>
      <c r="F5121" s="198">
        <v>41930</v>
      </c>
      <c r="G5121" s="198"/>
      <c r="H5121" s="199">
        <v>1</v>
      </c>
      <c r="I5121" s="791">
        <f>TIME(0,43,17)</f>
        <v>3.005787037037037E-2</v>
      </c>
      <c r="J5121" s="904" t="s">
        <v>1588</v>
      </c>
      <c r="K5121" s="200" t="s">
        <v>8186</v>
      </c>
      <c r="L5121" s="200" t="s">
        <v>1594</v>
      </c>
      <c r="M5121" s="200"/>
      <c r="N5121" s="200" t="s">
        <v>3810</v>
      </c>
      <c r="O5121" s="200" t="s">
        <v>8002</v>
      </c>
      <c r="P5121" s="197" t="s">
        <v>461</v>
      </c>
      <c r="Q5121" s="200" t="s">
        <v>3946</v>
      </c>
      <c r="R5121" s="201" t="s">
        <v>5280</v>
      </c>
      <c r="S5121" s="390" t="s">
        <v>6923</v>
      </c>
      <c r="T5121" s="197"/>
      <c r="U5121" s="197"/>
      <c r="V5121" s="197"/>
      <c r="W5121" s="319" t="s">
        <v>8182</v>
      </c>
      <c r="X5121" s="651" t="s">
        <v>12350</v>
      </c>
      <c r="Y5121" s="358" t="s">
        <v>7018</v>
      </c>
      <c r="Z5121" s="253">
        <v>109</v>
      </c>
      <c r="AA5121" s="253">
        <v>6.5</v>
      </c>
      <c r="AB5121" s="35">
        <f t="shared" ca="1" si="124"/>
        <v>0.94874104351968769</v>
      </c>
      <c r="AC5121" s="820"/>
      <c r="AD5121" s="821"/>
      <c r="AE5121" s="967"/>
      <c r="AF5121" s="925">
        <f>IF(X5121=X5120,AF5120,0)+IF(ISNUMBER(I5121),IF(I5121&lt;1,I5121,I5121*VLOOKUP(J5121,Summary!$H$2:$I$9,2)),VLOOKUP(J5121,Summary!$J$2:$K$9,2)*IF(ISNUMBER(H5121),H5121,1))</f>
        <v>1.0235879629629632</v>
      </c>
      <c r="AG5121" s="293">
        <v>5120</v>
      </c>
      <c r="AH5121" s="94"/>
      <c r="AI5121" s="94"/>
    </row>
    <row r="5122" spans="1:35" s="57" customFormat="1" ht="12" customHeight="1" x14ac:dyDescent="0.25">
      <c r="A5122" s="629" t="s">
        <v>8155</v>
      </c>
      <c r="B5122" s="629">
        <v>12</v>
      </c>
      <c r="C5122" s="629">
        <v>164</v>
      </c>
      <c r="D5122" s="185" t="s">
        <v>9842</v>
      </c>
      <c r="E5122" s="314" t="s">
        <v>9841</v>
      </c>
      <c r="F5122" s="183">
        <v>41974</v>
      </c>
      <c r="G5122" s="183">
        <v>42036</v>
      </c>
      <c r="H5122" s="185">
        <v>3</v>
      </c>
      <c r="I5122" s="185">
        <v>36</v>
      </c>
      <c r="J5122" s="901" t="s">
        <v>1796</v>
      </c>
      <c r="K5122" s="163" t="s">
        <v>4138</v>
      </c>
      <c r="L5122" s="163" t="s">
        <v>8291</v>
      </c>
      <c r="M5122" s="163" t="s">
        <v>252</v>
      </c>
      <c r="N5122" s="163" t="s">
        <v>9843</v>
      </c>
      <c r="O5122" s="163"/>
      <c r="P5122" s="182" t="s">
        <v>461</v>
      </c>
      <c r="Q5122" s="163" t="s">
        <v>4104</v>
      </c>
      <c r="R5122" s="186" t="s">
        <v>5266</v>
      </c>
      <c r="S5122" s="355" t="s">
        <v>6923</v>
      </c>
      <c r="T5122" s="182"/>
      <c r="U5122" s="182"/>
      <c r="V5122" s="182"/>
      <c r="W5122" s="314"/>
      <c r="X5122" s="646" t="s">
        <v>12350</v>
      </c>
      <c r="Y5122" s="355"/>
      <c r="Z5122" s="185"/>
      <c r="AA5122" s="185"/>
      <c r="AB5122" s="33">
        <f t="shared" ref="AB5122:AB5185" ca="1" si="126">RAND()</f>
        <v>0.60868048791830365</v>
      </c>
      <c r="AC5122" s="813"/>
      <c r="AD5122" s="211"/>
      <c r="AE5122" s="941"/>
      <c r="AF5122" s="922">
        <f>IF(X5122=X5121,AF5121,0)+IF(ISNUMBER(I5122),IF(I5122&lt;1,I5122,I5122*VLOOKUP(J5122,Summary!$H$2:$I$9,2)),VLOOKUP(J5122,Summary!$J$2:$K$9,2)*IF(ISNUMBER(H5122),H5122,1))</f>
        <v>1.0360879629629631</v>
      </c>
      <c r="AG5122" s="290">
        <v>5121</v>
      </c>
      <c r="AH5122" s="94"/>
      <c r="AI5122" s="94"/>
    </row>
    <row r="5123" spans="1:35" s="57" customFormat="1" ht="12" customHeight="1" x14ac:dyDescent="0.25">
      <c r="A5123" s="629" t="s">
        <v>8155</v>
      </c>
      <c r="B5123" s="629">
        <v>12</v>
      </c>
      <c r="C5123" s="629">
        <v>1</v>
      </c>
      <c r="D5123" s="185" t="s">
        <v>10917</v>
      </c>
      <c r="E5123" s="314" t="s">
        <v>10913</v>
      </c>
      <c r="F5123" s="184">
        <v>42126</v>
      </c>
      <c r="G5123" s="184"/>
      <c r="H5123" s="185">
        <v>1</v>
      </c>
      <c r="I5123" s="185">
        <v>6</v>
      </c>
      <c r="J5123" s="901" t="s">
        <v>1796</v>
      </c>
      <c r="K5123" s="163" t="s">
        <v>2310</v>
      </c>
      <c r="L5123" s="163" t="s">
        <v>10915</v>
      </c>
      <c r="M5123" s="163" t="s">
        <v>10914</v>
      </c>
      <c r="N5123" s="163"/>
      <c r="O5123" s="163"/>
      <c r="P5123" s="182" t="s">
        <v>461</v>
      </c>
      <c r="Q5123" s="163" t="s">
        <v>7076</v>
      </c>
      <c r="R5123" s="186" t="s">
        <v>10880</v>
      </c>
      <c r="S5123" s="355" t="s">
        <v>6923</v>
      </c>
      <c r="T5123" s="182"/>
      <c r="U5123" s="182"/>
      <c r="V5123" s="182"/>
      <c r="W5123" s="314" t="s">
        <v>10913</v>
      </c>
      <c r="X5123" s="646" t="s">
        <v>12350</v>
      </c>
      <c r="Y5123" s="355"/>
      <c r="Z5123" s="185"/>
      <c r="AA5123" s="185"/>
      <c r="AB5123" s="33">
        <f t="shared" ca="1" si="126"/>
        <v>0.1481411439448157</v>
      </c>
      <c r="AC5123" s="813"/>
      <c r="AD5123" s="211"/>
      <c r="AE5123" s="941"/>
      <c r="AF5123" s="922">
        <f>IF(X5123=X5122,AF5122,0)+IF(ISNUMBER(I5123),IF(I5123&lt;1,I5123,I5123*VLOOKUP(J5123,Summary!$H$2:$I$9,2)),VLOOKUP(J5123,Summary!$J$2:$K$9,2)*IF(ISNUMBER(H5123),H5123,1))</f>
        <v>1.0381712962962966</v>
      </c>
      <c r="AG5123" s="290">
        <v>5122</v>
      </c>
      <c r="AH5123" s="94"/>
      <c r="AI5123" s="94"/>
    </row>
    <row r="5124" spans="1:35" s="57" customFormat="1" ht="12" customHeight="1" x14ac:dyDescent="0.25">
      <c r="A5124" s="769" t="s">
        <v>8155</v>
      </c>
      <c r="B5124" s="769">
        <v>12</v>
      </c>
      <c r="C5124" s="769">
        <v>1.3</v>
      </c>
      <c r="D5124" s="226" t="s">
        <v>10925</v>
      </c>
      <c r="E5124" s="331" t="s">
        <v>10927</v>
      </c>
      <c r="F5124" s="233">
        <v>42081</v>
      </c>
      <c r="G5124" s="233">
        <v>42158</v>
      </c>
      <c r="H5124" s="226">
        <v>3</v>
      </c>
      <c r="I5124" s="226">
        <v>65</v>
      </c>
      <c r="J5124" s="907" t="s">
        <v>1796</v>
      </c>
      <c r="K5124" s="228" t="s">
        <v>10900</v>
      </c>
      <c r="L5124" s="228" t="s">
        <v>3543</v>
      </c>
      <c r="M5124" s="228" t="s">
        <v>10920</v>
      </c>
      <c r="N5124" s="228" t="s">
        <v>10882</v>
      </c>
      <c r="O5124" s="228"/>
      <c r="P5124" s="225" t="s">
        <v>461</v>
      </c>
      <c r="Q5124" s="228" t="s">
        <v>7076</v>
      </c>
      <c r="R5124" s="227" t="s">
        <v>10879</v>
      </c>
      <c r="S5124" s="369" t="s">
        <v>6923</v>
      </c>
      <c r="T5124" s="225"/>
      <c r="U5124" s="225" t="s">
        <v>10902</v>
      </c>
      <c r="V5124" s="225"/>
      <c r="W5124" s="331"/>
      <c r="X5124" s="663" t="s">
        <v>12350</v>
      </c>
      <c r="Y5124" s="369" t="s">
        <v>6000</v>
      </c>
      <c r="Z5124" s="226"/>
      <c r="AA5124" s="226"/>
      <c r="AB5124" s="38">
        <f t="shared" ca="1" si="126"/>
        <v>0.93148579875321569</v>
      </c>
      <c r="AC5124" s="830"/>
      <c r="AD5124" s="831"/>
      <c r="AE5124" s="963"/>
      <c r="AF5124" s="928">
        <f>IF(X5124=X5123,AF5123,0)+IF(ISNUMBER(I5124),IF(I5124&lt;1,I5124,I5124*VLOOKUP(J5124,Summary!$H$2:$I$9,2)),VLOOKUP(J5124,Summary!$J$2:$K$9,2)*IF(ISNUMBER(H5124),H5124,1))</f>
        <v>1.060740740740741</v>
      </c>
      <c r="AG5124" s="304">
        <v>5123</v>
      </c>
      <c r="AH5124" s="94"/>
      <c r="AI5124" s="94"/>
    </row>
    <row r="5125" spans="1:35" s="1" customFormat="1" ht="12" customHeight="1" x14ac:dyDescent="0.25">
      <c r="A5125" s="629" t="s">
        <v>8155</v>
      </c>
      <c r="B5125" s="629">
        <v>12</v>
      </c>
      <c r="C5125" s="629">
        <v>1.4</v>
      </c>
      <c r="D5125" s="185" t="s">
        <v>10926</v>
      </c>
      <c r="E5125" s="314" t="s">
        <v>10928</v>
      </c>
      <c r="F5125" s="184">
        <v>42186</v>
      </c>
      <c r="G5125" s="184">
        <v>42214</v>
      </c>
      <c r="H5125" s="185">
        <v>2</v>
      </c>
      <c r="I5125" s="185">
        <v>42</v>
      </c>
      <c r="J5125" s="901" t="s">
        <v>1796</v>
      </c>
      <c r="K5125" s="163" t="s">
        <v>10900</v>
      </c>
      <c r="L5125" s="163" t="s">
        <v>10929</v>
      </c>
      <c r="M5125" s="163" t="s">
        <v>10920</v>
      </c>
      <c r="N5125" s="163" t="s">
        <v>10882</v>
      </c>
      <c r="O5125" s="163"/>
      <c r="P5125" s="182" t="s">
        <v>461</v>
      </c>
      <c r="Q5125" s="163" t="s">
        <v>7076</v>
      </c>
      <c r="R5125" s="186" t="s">
        <v>10879</v>
      </c>
      <c r="S5125" s="355" t="s">
        <v>6923</v>
      </c>
      <c r="T5125" s="182"/>
      <c r="U5125" s="182"/>
      <c r="V5125" s="182"/>
      <c r="W5125" s="314"/>
      <c r="X5125" s="646" t="s">
        <v>12350</v>
      </c>
      <c r="Y5125" s="355" t="s">
        <v>6000</v>
      </c>
      <c r="Z5125" s="185"/>
      <c r="AA5125" s="185"/>
      <c r="AB5125" s="33">
        <f t="shared" ca="1" si="126"/>
        <v>6.9638755217636628E-2</v>
      </c>
      <c r="AC5125" s="813"/>
      <c r="AD5125" s="211"/>
      <c r="AE5125" s="941"/>
      <c r="AF5125" s="922">
        <f>IF(X5125=X5124,AF5124,0)+IF(ISNUMBER(I5125),IF(I5125&lt;1,I5125,I5125*VLOOKUP(J5125,Summary!$H$2:$I$9,2)),VLOOKUP(J5125,Summary!$J$2:$K$9,2)*IF(ISNUMBER(H5125),H5125,1))</f>
        <v>1.0753240740740744</v>
      </c>
      <c r="AG5125" s="290">
        <v>5124</v>
      </c>
      <c r="AH5125" s="94"/>
      <c r="AI5125" s="94"/>
    </row>
    <row r="5126" spans="1:35" s="22" customFormat="1" ht="12" customHeight="1" x14ac:dyDescent="0.25">
      <c r="A5126" s="626" t="s">
        <v>8155</v>
      </c>
      <c r="B5126" s="626">
        <v>12</v>
      </c>
      <c r="C5126" s="626">
        <v>251</v>
      </c>
      <c r="D5126" s="424" t="s">
        <v>8179</v>
      </c>
      <c r="E5126" s="319" t="s">
        <v>8183</v>
      </c>
      <c r="F5126" s="198">
        <v>41937</v>
      </c>
      <c r="G5126" s="198"/>
      <c r="H5126" s="199">
        <v>1</v>
      </c>
      <c r="I5126" s="791">
        <f>TIME(0,45,15)</f>
        <v>3.142361111111111E-2</v>
      </c>
      <c r="J5126" s="904" t="s">
        <v>1588</v>
      </c>
      <c r="K5126" s="200" t="s">
        <v>8185</v>
      </c>
      <c r="L5126" s="200" t="s">
        <v>8192</v>
      </c>
      <c r="M5126" s="200"/>
      <c r="N5126" s="200" t="s">
        <v>3810</v>
      </c>
      <c r="O5126" s="200" t="s">
        <v>8002</v>
      </c>
      <c r="P5126" s="197" t="s">
        <v>461</v>
      </c>
      <c r="Q5126" s="200" t="s">
        <v>3946</v>
      </c>
      <c r="R5126" s="201" t="s">
        <v>5280</v>
      </c>
      <c r="S5126" s="390" t="s">
        <v>6923</v>
      </c>
      <c r="T5126" s="197"/>
      <c r="U5126" s="197"/>
      <c r="V5126" s="197"/>
      <c r="W5126" s="319" t="s">
        <v>8183</v>
      </c>
      <c r="X5126" s="651" t="s">
        <v>12350</v>
      </c>
      <c r="Y5126" s="358" t="s">
        <v>7018</v>
      </c>
      <c r="Z5126" s="253">
        <v>224</v>
      </c>
      <c r="AA5126" s="253">
        <v>4</v>
      </c>
      <c r="AB5126" s="35">
        <f t="shared" ca="1" si="126"/>
        <v>0.80266751299932793</v>
      </c>
      <c r="AC5126" s="820"/>
      <c r="AD5126" s="821"/>
      <c r="AE5126" s="967"/>
      <c r="AF5126" s="925">
        <f>IF(X5126=X5125,AF5125,0)+IF(ISNUMBER(I5126),IF(I5126&lt;1,I5126,I5126*VLOOKUP(J5126,Summary!$H$2:$I$9,2)),VLOOKUP(J5126,Summary!$J$2:$K$9,2)*IF(ISNUMBER(H5126),H5126,1))</f>
        <v>1.1067476851851854</v>
      </c>
      <c r="AG5126" s="293">
        <v>5125</v>
      </c>
      <c r="AH5126" s="94"/>
      <c r="AI5126" s="94"/>
    </row>
    <row r="5127" spans="1:35" s="57" customFormat="1" ht="12" customHeight="1" x14ac:dyDescent="0.25">
      <c r="A5127" s="769" t="s">
        <v>8155</v>
      </c>
      <c r="B5127" s="769">
        <v>12</v>
      </c>
      <c r="C5127" s="769">
        <v>6</v>
      </c>
      <c r="D5127" s="226" t="s">
        <v>10906</v>
      </c>
      <c r="E5127" s="331" t="s">
        <v>10905</v>
      </c>
      <c r="F5127" s="233">
        <v>42235</v>
      </c>
      <c r="G5127" s="233">
        <v>42270</v>
      </c>
      <c r="H5127" s="226">
        <v>5</v>
      </c>
      <c r="I5127" s="226">
        <v>110</v>
      </c>
      <c r="J5127" s="907" t="s">
        <v>1796</v>
      </c>
      <c r="K5127" s="228" t="s">
        <v>3807</v>
      </c>
      <c r="L5127" s="228" t="s">
        <v>10907</v>
      </c>
      <c r="M5127" s="228" t="s">
        <v>10908</v>
      </c>
      <c r="N5127" s="228"/>
      <c r="O5127" s="228"/>
      <c r="P5127" s="225" t="s">
        <v>461</v>
      </c>
      <c r="Q5127" s="228" t="s">
        <v>7076</v>
      </c>
      <c r="R5127" s="227" t="s">
        <v>10880</v>
      </c>
      <c r="S5127" s="369" t="s">
        <v>6923</v>
      </c>
      <c r="T5127" s="225" t="s">
        <v>10886</v>
      </c>
      <c r="U5127" s="225" t="s">
        <v>10234</v>
      </c>
      <c r="V5127" s="225" t="s">
        <v>10909</v>
      </c>
      <c r="W5127" s="331"/>
      <c r="X5127" s="663" t="s">
        <v>12350</v>
      </c>
      <c r="Y5127" s="369" t="s">
        <v>6000</v>
      </c>
      <c r="Z5127" s="226"/>
      <c r="AA5127" s="226"/>
      <c r="AB5127" s="38">
        <f t="shared" ca="1" si="126"/>
        <v>6.4266992970207992E-2</v>
      </c>
      <c r="AC5127" s="830"/>
      <c r="AD5127" s="831"/>
      <c r="AE5127" s="963"/>
      <c r="AF5127" s="928">
        <f>IF(X5127=X5126,AF5126,0)+IF(ISNUMBER(I5127),IF(I5127&lt;1,I5127,I5127*VLOOKUP(J5127,Summary!$H$2:$I$9,2)),VLOOKUP(J5127,Summary!$J$2:$K$9,2)*IF(ISNUMBER(H5127),H5127,1))</f>
        <v>1.1449421296296298</v>
      </c>
      <c r="AG5127" s="304">
        <v>5126</v>
      </c>
      <c r="AH5127" s="94"/>
      <c r="AI5127" s="94"/>
    </row>
    <row r="5128" spans="1:35" s="22" customFormat="1" ht="12" customHeight="1" x14ac:dyDescent="0.25">
      <c r="A5128" s="627" t="s">
        <v>8155</v>
      </c>
      <c r="B5128" s="627">
        <v>12</v>
      </c>
      <c r="C5128" s="627">
        <v>5</v>
      </c>
      <c r="D5128" s="176" t="s">
        <v>9768</v>
      </c>
      <c r="E5128" s="313" t="s">
        <v>9767</v>
      </c>
      <c r="F5128" s="175">
        <v>42159</v>
      </c>
      <c r="G5128" s="174"/>
      <c r="H5128" s="176" t="s">
        <v>461</v>
      </c>
      <c r="I5128" s="176"/>
      <c r="J5128" s="900" t="s">
        <v>2755</v>
      </c>
      <c r="K5128" s="164" t="s">
        <v>9769</v>
      </c>
      <c r="L5128" s="164" t="s">
        <v>461</v>
      </c>
      <c r="M5128" s="164"/>
      <c r="N5128" s="164"/>
      <c r="O5128" s="164"/>
      <c r="P5128" s="173" t="s">
        <v>9509</v>
      </c>
      <c r="Q5128" s="164" t="s">
        <v>3953</v>
      </c>
      <c r="R5128" s="177" t="s">
        <v>9510</v>
      </c>
      <c r="S5128" s="354" t="s">
        <v>6923</v>
      </c>
      <c r="T5128" s="173"/>
      <c r="U5128" s="173"/>
      <c r="V5128" s="173"/>
      <c r="W5128" s="313" t="s">
        <v>9767</v>
      </c>
      <c r="X5128" s="645" t="s">
        <v>12350</v>
      </c>
      <c r="Y5128" s="354"/>
      <c r="Z5128" s="157"/>
      <c r="AA5128" s="176"/>
      <c r="AB5128" s="32">
        <f t="shared" ca="1" si="126"/>
        <v>0.8435964857142465</v>
      </c>
      <c r="AC5128" s="812"/>
      <c r="AD5128" s="763"/>
      <c r="AE5128" s="807"/>
      <c r="AF5128" s="921">
        <f>IF(X5128=X5127,AF5127,0)+IF(ISNUMBER(I5128),IF(I5128&lt;1,I5128,I5128*VLOOKUP(J5128,Summary!$H$2:$I$9,2)),VLOOKUP(J5128,Summary!$J$2:$K$9,2)*IF(ISNUMBER(H5128),H5128,1))</f>
        <v>1.162303240740741</v>
      </c>
      <c r="AG5128" s="289">
        <v>5127</v>
      </c>
      <c r="AH5128" s="94"/>
      <c r="AI5128" s="94"/>
    </row>
    <row r="5129" spans="1:35" s="22" customFormat="1" ht="12" customHeight="1" x14ac:dyDescent="0.25">
      <c r="A5129" s="626" t="s">
        <v>8155</v>
      </c>
      <c r="B5129" s="626">
        <v>12</v>
      </c>
      <c r="C5129" s="626">
        <v>252</v>
      </c>
      <c r="D5129" s="424" t="s">
        <v>8184</v>
      </c>
      <c r="E5129" s="319" t="s">
        <v>8728</v>
      </c>
      <c r="F5129" s="198">
        <v>41944</v>
      </c>
      <c r="G5129" s="198">
        <v>41951</v>
      </c>
      <c r="H5129" s="199">
        <v>2</v>
      </c>
      <c r="I5129" s="791">
        <f>TIME(0,46,20)+TIME(0,56,36)</f>
        <v>7.1481481481481479E-2</v>
      </c>
      <c r="J5129" s="904" t="s">
        <v>1588</v>
      </c>
      <c r="K5129" s="200" t="s">
        <v>3810</v>
      </c>
      <c r="L5129" s="200" t="s">
        <v>8193</v>
      </c>
      <c r="M5129" s="200"/>
      <c r="N5129" s="200" t="s">
        <v>3810</v>
      </c>
      <c r="O5129" s="200" t="s">
        <v>8002</v>
      </c>
      <c r="P5129" s="197" t="s">
        <v>461</v>
      </c>
      <c r="Q5129" s="200" t="s">
        <v>3946</v>
      </c>
      <c r="R5129" s="201" t="s">
        <v>5280</v>
      </c>
      <c r="S5129" s="390" t="s">
        <v>6923</v>
      </c>
      <c r="T5129" s="197"/>
      <c r="U5129" s="197" t="s">
        <v>10902</v>
      </c>
      <c r="V5129" s="197" t="s">
        <v>10903</v>
      </c>
      <c r="W5129" s="318" t="s">
        <v>8505</v>
      </c>
      <c r="X5129" s="650" t="s">
        <v>12350</v>
      </c>
      <c r="Y5129" s="358" t="s">
        <v>7018</v>
      </c>
      <c r="Z5129" s="253">
        <v>129</v>
      </c>
      <c r="AA5129" s="253">
        <v>6</v>
      </c>
      <c r="AB5129" s="35">
        <f t="shared" ca="1" si="126"/>
        <v>0.47816457783801836</v>
      </c>
      <c r="AC5129" s="820"/>
      <c r="AD5129" s="821"/>
      <c r="AE5129" s="944"/>
      <c r="AF5129" s="925">
        <f>IF(X5129=X5128,AF5128,0)+IF(ISNUMBER(I5129),IF(I5129&lt;1,I5129,I5129*VLOOKUP(J5129,Summary!$H$2:$I$9,2)),VLOOKUP(J5129,Summary!$J$2:$K$9,2)*IF(ISNUMBER(H5129),H5129,1))</f>
        <v>1.2337847222222225</v>
      </c>
      <c r="AG5129" s="293">
        <v>5128</v>
      </c>
      <c r="AH5129" s="94"/>
      <c r="AI5129" s="94"/>
    </row>
    <row r="5130" spans="1:35" s="57" customFormat="1" ht="12" customHeight="1" x14ac:dyDescent="0.25">
      <c r="A5130" s="405" t="s">
        <v>14246</v>
      </c>
      <c r="B5130" s="406" t="s">
        <v>2650</v>
      </c>
      <c r="C5130" s="551">
        <v>1.3</v>
      </c>
      <c r="D5130" s="407" t="s">
        <v>16967</v>
      </c>
      <c r="E5130" s="315" t="s">
        <v>16968</v>
      </c>
      <c r="F5130" s="196">
        <v>43532</v>
      </c>
      <c r="G5130" s="170"/>
      <c r="H5130" s="170">
        <v>1</v>
      </c>
      <c r="I5130" s="747">
        <f>TIME(0,60,0)</f>
        <v>4.1666666666666664E-2</v>
      </c>
      <c r="J5130" s="899" t="s">
        <v>4706</v>
      </c>
      <c r="K5130" s="167" t="s">
        <v>16969</v>
      </c>
      <c r="L5130" s="167" t="s">
        <v>12662</v>
      </c>
      <c r="M5130" s="167"/>
      <c r="N5130" s="167" t="s">
        <v>6452</v>
      </c>
      <c r="O5130" s="167" t="s">
        <v>16961</v>
      </c>
      <c r="P5130" s="168" t="s">
        <v>16962</v>
      </c>
      <c r="Q5130" s="167" t="s">
        <v>3947</v>
      </c>
      <c r="R5130" s="172" t="s">
        <v>16960</v>
      </c>
      <c r="S5130" s="388"/>
      <c r="T5130" s="168" t="s">
        <v>6925</v>
      </c>
      <c r="U5130" s="168" t="s">
        <v>6924</v>
      </c>
      <c r="V5130" s="168" t="s">
        <v>3629</v>
      </c>
      <c r="W5130" s="315" t="s">
        <v>16968</v>
      </c>
      <c r="X5130" s="668" t="s">
        <v>14196</v>
      </c>
      <c r="Y5130" s="352"/>
      <c r="Z5130" s="353"/>
      <c r="AA5130" s="353"/>
      <c r="AB5130" s="31">
        <f t="shared" ca="1" si="126"/>
        <v>0.8550931125322655</v>
      </c>
      <c r="AC5130" s="810"/>
      <c r="AD5130" s="811"/>
      <c r="AE5130" s="940"/>
      <c r="AF5130" s="920">
        <f>IF(X5130=X5129,AF5129,0)+IF(ISNUMBER(I5130),IF(I5130&lt;1,I5130,I5130*VLOOKUP(J5130,Summary!$H$2:$I$9,2)),VLOOKUP(J5130,Summary!$J$2:$K$9,2)*IF(ISNUMBER(H5130),H5130,1))</f>
        <v>4.1666666666666664E-2</v>
      </c>
      <c r="AG5130" s="287">
        <v>5129</v>
      </c>
      <c r="AH5130" s="94"/>
      <c r="AI5130" s="94"/>
    </row>
    <row r="5131" spans="1:35" s="22" customFormat="1" ht="12" customHeight="1" x14ac:dyDescent="0.25">
      <c r="A5131" s="409" t="s">
        <v>14246</v>
      </c>
      <c r="B5131" s="410" t="s">
        <v>2650</v>
      </c>
      <c r="C5131" s="409">
        <v>8</v>
      </c>
      <c r="D5131" s="176" t="s">
        <v>15526</v>
      </c>
      <c r="E5131" s="313" t="s">
        <v>15527</v>
      </c>
      <c r="F5131" s="175">
        <v>43384</v>
      </c>
      <c r="G5131" s="174"/>
      <c r="H5131" s="176">
        <v>1</v>
      </c>
      <c r="I5131" s="176"/>
      <c r="J5131" s="900" t="s">
        <v>2755</v>
      </c>
      <c r="K5131" s="164" t="s">
        <v>15498</v>
      </c>
      <c r="L5131" s="164" t="s">
        <v>461</v>
      </c>
      <c r="M5131" s="164"/>
      <c r="N5131" s="164"/>
      <c r="O5131" s="164"/>
      <c r="P5131" s="173" t="s">
        <v>15499</v>
      </c>
      <c r="Q5131" s="164" t="s">
        <v>3953</v>
      </c>
      <c r="R5131" s="179" t="s">
        <v>15500</v>
      </c>
      <c r="S5131" s="354"/>
      <c r="T5131" s="173"/>
      <c r="U5131" s="173"/>
      <c r="V5131" s="173"/>
      <c r="W5131" s="313" t="s">
        <v>15527</v>
      </c>
      <c r="X5131" s="645" t="s">
        <v>14196</v>
      </c>
      <c r="Y5131" s="354"/>
      <c r="Z5131" s="176"/>
      <c r="AA5131" s="176"/>
      <c r="AB5131" s="32">
        <f t="shared" ca="1" si="126"/>
        <v>0.50213836220279984</v>
      </c>
      <c r="AC5131" s="812"/>
      <c r="AD5131" s="842" t="s">
        <v>16628</v>
      </c>
      <c r="AE5131" s="807" t="s">
        <v>16984</v>
      </c>
      <c r="AF5131" s="921">
        <f>IF(X5131=X5130,AF5130,0)+IF(ISNUMBER(I5131),IF(I5131&lt;1,I5131,I5131*VLOOKUP(J5131,Summary!$H$2:$I$9,2)),VLOOKUP(J5131,Summary!$J$2:$K$9,2)*IF(ISNUMBER(H5131),H5131,1))</f>
        <v>5.9027777777777776E-2</v>
      </c>
      <c r="AG5131" s="288">
        <v>5130</v>
      </c>
      <c r="AH5131" s="94"/>
      <c r="AI5131" s="94"/>
    </row>
    <row r="5132" spans="1:35" s="27" customFormat="1" ht="12" customHeight="1" x14ac:dyDescent="0.25">
      <c r="A5132" s="409" t="s">
        <v>14246</v>
      </c>
      <c r="B5132" s="410" t="s">
        <v>2650</v>
      </c>
      <c r="C5132" s="409">
        <v>4</v>
      </c>
      <c r="D5132" s="176" t="s">
        <v>14203</v>
      </c>
      <c r="E5132" s="313" t="s">
        <v>14204</v>
      </c>
      <c r="F5132" s="175">
        <v>42201</v>
      </c>
      <c r="G5132" s="175"/>
      <c r="H5132" s="176">
        <v>1</v>
      </c>
      <c r="I5132" s="176"/>
      <c r="J5132" s="900" t="s">
        <v>2755</v>
      </c>
      <c r="K5132" s="164" t="s">
        <v>3365</v>
      </c>
      <c r="L5132" s="164" t="s">
        <v>3365</v>
      </c>
      <c r="M5132" s="164" t="s">
        <v>3365</v>
      </c>
      <c r="N5132" s="164"/>
      <c r="O5132" s="164"/>
      <c r="P5132" s="173" t="s">
        <v>461</v>
      </c>
      <c r="Q5132" s="164" t="s">
        <v>4104</v>
      </c>
      <c r="R5132" s="179" t="s">
        <v>14197</v>
      </c>
      <c r="S5132" s="354"/>
      <c r="T5132" s="173" t="s">
        <v>6925</v>
      </c>
      <c r="U5132" s="173"/>
      <c r="V5132" s="173"/>
      <c r="W5132" s="313" t="s">
        <v>14204</v>
      </c>
      <c r="X5132" s="645" t="s">
        <v>14196</v>
      </c>
      <c r="Y5132" s="354"/>
      <c r="Z5132" s="176"/>
      <c r="AA5132" s="176"/>
      <c r="AB5132" s="32">
        <f t="shared" ca="1" si="126"/>
        <v>0.20430738667138404</v>
      </c>
      <c r="AC5132" s="812"/>
      <c r="AD5132" s="842" t="s">
        <v>14606</v>
      </c>
      <c r="AE5132" s="807"/>
      <c r="AF5132" s="921">
        <f>IF(X5132=X5131,AF5131,0)+IF(ISNUMBER(I5132),IF(I5132&lt;1,I5132,I5132*VLOOKUP(J5132,Summary!$H$2:$I$9,2)),VLOOKUP(J5132,Summary!$J$2:$K$9,2)*IF(ISNUMBER(H5132),H5132,1))</f>
        <v>7.6388888888888895E-2</v>
      </c>
      <c r="AG5132" s="289">
        <v>5131</v>
      </c>
      <c r="AH5132" s="124"/>
      <c r="AI5132" s="124"/>
    </row>
    <row r="5133" spans="1:35" s="57" customFormat="1" ht="12" customHeight="1" x14ac:dyDescent="0.25">
      <c r="A5133" s="409" t="s">
        <v>14246</v>
      </c>
      <c r="B5133" s="410" t="s">
        <v>2650</v>
      </c>
      <c r="C5133" s="409">
        <v>6</v>
      </c>
      <c r="D5133" s="176" t="s">
        <v>14207</v>
      </c>
      <c r="E5133" s="313" t="s">
        <v>14208</v>
      </c>
      <c r="F5133" s="175">
        <v>42257</v>
      </c>
      <c r="G5133" s="175"/>
      <c r="H5133" s="176">
        <v>1</v>
      </c>
      <c r="I5133" s="176"/>
      <c r="J5133" s="900" t="s">
        <v>2755</v>
      </c>
      <c r="K5133" s="164" t="s">
        <v>3365</v>
      </c>
      <c r="L5133" s="164" t="s">
        <v>3365</v>
      </c>
      <c r="M5133" s="164" t="s">
        <v>3365</v>
      </c>
      <c r="N5133" s="164"/>
      <c r="O5133" s="164"/>
      <c r="P5133" s="173" t="s">
        <v>461</v>
      </c>
      <c r="Q5133" s="164" t="s">
        <v>4104</v>
      </c>
      <c r="R5133" s="179" t="s">
        <v>14197</v>
      </c>
      <c r="S5133" s="354"/>
      <c r="T5133" s="173" t="s">
        <v>6925</v>
      </c>
      <c r="U5133" s="173" t="s">
        <v>6924</v>
      </c>
      <c r="V5133" s="173" t="s">
        <v>3629</v>
      </c>
      <c r="W5133" s="313" t="s">
        <v>14208</v>
      </c>
      <c r="X5133" s="645" t="s">
        <v>14196</v>
      </c>
      <c r="Y5133" s="354"/>
      <c r="Z5133" s="176"/>
      <c r="AA5133" s="176"/>
      <c r="AB5133" s="32">
        <f t="shared" ca="1" si="126"/>
        <v>7.8297412829945734E-2</v>
      </c>
      <c r="AC5133" s="812"/>
      <c r="AD5133" s="842" t="s">
        <v>14606</v>
      </c>
      <c r="AE5133" s="807"/>
      <c r="AF5133" s="921">
        <f>IF(X5133=X5132,AF5132,0)+IF(ISNUMBER(I5133),IF(I5133&lt;1,I5133,I5133*VLOOKUP(J5133,Summary!$H$2:$I$9,2)),VLOOKUP(J5133,Summary!$J$2:$K$9,2)*IF(ISNUMBER(H5133),H5133,1))</f>
        <v>9.375E-2</v>
      </c>
      <c r="AG5133" s="289">
        <v>5132</v>
      </c>
      <c r="AH5133" s="94"/>
      <c r="AI5133" s="94"/>
    </row>
    <row r="5134" spans="1:35" s="1" customFormat="1" ht="12" customHeight="1" x14ac:dyDescent="0.25">
      <c r="A5134" s="409" t="s">
        <v>14246</v>
      </c>
      <c r="B5134" s="410" t="s">
        <v>2650</v>
      </c>
      <c r="C5134" s="409">
        <v>12</v>
      </c>
      <c r="D5134" s="176" t="s">
        <v>14219</v>
      </c>
      <c r="E5134" s="313" t="s">
        <v>14220</v>
      </c>
      <c r="F5134" s="175">
        <v>42432</v>
      </c>
      <c r="G5134" s="175"/>
      <c r="H5134" s="176">
        <v>1</v>
      </c>
      <c r="I5134" s="176"/>
      <c r="J5134" s="900" t="s">
        <v>2755</v>
      </c>
      <c r="K5134" s="164" t="s">
        <v>3365</v>
      </c>
      <c r="L5134" s="164" t="s">
        <v>3365</v>
      </c>
      <c r="M5134" s="164" t="s">
        <v>3365</v>
      </c>
      <c r="N5134" s="164"/>
      <c r="O5134" s="164"/>
      <c r="P5134" s="173" t="s">
        <v>461</v>
      </c>
      <c r="Q5134" s="164" t="s">
        <v>4104</v>
      </c>
      <c r="R5134" s="179" t="s">
        <v>14197</v>
      </c>
      <c r="S5134" s="354"/>
      <c r="T5134" s="173" t="s">
        <v>6925</v>
      </c>
      <c r="U5134" s="173" t="s">
        <v>6924</v>
      </c>
      <c r="V5134" s="173" t="s">
        <v>3629</v>
      </c>
      <c r="W5134" s="313" t="s">
        <v>14220</v>
      </c>
      <c r="X5134" s="645" t="s">
        <v>14196</v>
      </c>
      <c r="Y5134" s="354"/>
      <c r="Z5134" s="176"/>
      <c r="AA5134" s="176"/>
      <c r="AB5134" s="32">
        <f t="shared" ca="1" si="126"/>
        <v>0.18129016327764214</v>
      </c>
      <c r="AC5134" s="812"/>
      <c r="AD5134" s="842" t="s">
        <v>14606</v>
      </c>
      <c r="AE5134" s="807"/>
      <c r="AF5134" s="921">
        <f>IF(X5134=X5133,AF5133,0)+IF(ISNUMBER(I5134),IF(I5134&lt;1,I5134,I5134*VLOOKUP(J5134,Summary!$H$2:$I$9,2)),VLOOKUP(J5134,Summary!$J$2:$K$9,2)*IF(ISNUMBER(H5134),H5134,1))</f>
        <v>0.1111111111111111</v>
      </c>
      <c r="AG5134" s="289">
        <v>5133</v>
      </c>
      <c r="AH5134" s="94"/>
      <c r="AI5134" s="94"/>
    </row>
    <row r="5135" spans="1:35" s="57" customFormat="1" ht="12" customHeight="1" x14ac:dyDescent="0.25">
      <c r="A5135" s="409" t="s">
        <v>14246</v>
      </c>
      <c r="B5135" s="410" t="s">
        <v>2650</v>
      </c>
      <c r="C5135" s="409">
        <v>17</v>
      </c>
      <c r="D5135" s="176" t="s">
        <v>14229</v>
      </c>
      <c r="E5135" s="313" t="s">
        <v>14230</v>
      </c>
      <c r="F5135" s="175">
        <v>42572</v>
      </c>
      <c r="G5135" s="175"/>
      <c r="H5135" s="176">
        <v>1</v>
      </c>
      <c r="I5135" s="176"/>
      <c r="J5135" s="900" t="s">
        <v>2755</v>
      </c>
      <c r="K5135" s="164" t="s">
        <v>8311</v>
      </c>
      <c r="L5135" s="164" t="s">
        <v>3365</v>
      </c>
      <c r="M5135" s="164" t="s">
        <v>3365</v>
      </c>
      <c r="N5135" s="164"/>
      <c r="O5135" s="164"/>
      <c r="P5135" s="173" t="s">
        <v>461</v>
      </c>
      <c r="Q5135" s="164" t="s">
        <v>4104</v>
      </c>
      <c r="R5135" s="179" t="s">
        <v>14197</v>
      </c>
      <c r="S5135" s="354"/>
      <c r="T5135" s="173" t="s">
        <v>6925</v>
      </c>
      <c r="U5135" s="173" t="s">
        <v>6924</v>
      </c>
      <c r="V5135" s="173" t="s">
        <v>3629</v>
      </c>
      <c r="W5135" s="313" t="s">
        <v>14230</v>
      </c>
      <c r="X5135" s="645" t="s">
        <v>14196</v>
      </c>
      <c r="Y5135" s="354"/>
      <c r="Z5135" s="176"/>
      <c r="AA5135" s="176"/>
      <c r="AB5135" s="32">
        <f t="shared" ca="1" si="126"/>
        <v>0.96089279208021205</v>
      </c>
      <c r="AC5135" s="812"/>
      <c r="AD5135" s="842" t="s">
        <v>16973</v>
      </c>
      <c r="AE5135" s="807"/>
      <c r="AF5135" s="921">
        <f>IF(X5135=X5134,AF5134,0)+IF(ISNUMBER(I5135),IF(I5135&lt;1,I5135,I5135*VLOOKUP(J5135,Summary!$H$2:$I$9,2)),VLOOKUP(J5135,Summary!$J$2:$K$9,2)*IF(ISNUMBER(H5135),H5135,1))</f>
        <v>0.12847222222222221</v>
      </c>
      <c r="AG5135" s="289">
        <v>5134</v>
      </c>
      <c r="AH5135" s="94"/>
      <c r="AI5135" s="94"/>
    </row>
    <row r="5136" spans="1:35" s="22" customFormat="1" ht="12" customHeight="1" x14ac:dyDescent="0.25">
      <c r="A5136" s="409" t="s">
        <v>14246</v>
      </c>
      <c r="B5136" s="410" t="s">
        <v>2650</v>
      </c>
      <c r="C5136" s="409">
        <v>1</v>
      </c>
      <c r="D5136" s="176" t="s">
        <v>14198</v>
      </c>
      <c r="E5136" s="313" t="s">
        <v>14199</v>
      </c>
      <c r="F5136" s="175">
        <v>42117</v>
      </c>
      <c r="G5136" s="175"/>
      <c r="H5136" s="176">
        <v>1</v>
      </c>
      <c r="I5136" s="176"/>
      <c r="J5136" s="900" t="s">
        <v>2755</v>
      </c>
      <c r="K5136" s="164" t="s">
        <v>3365</v>
      </c>
      <c r="L5136" s="164" t="s">
        <v>3365</v>
      </c>
      <c r="M5136" s="164" t="s">
        <v>3365</v>
      </c>
      <c r="N5136" s="164"/>
      <c r="O5136" s="164"/>
      <c r="P5136" s="173" t="s">
        <v>461</v>
      </c>
      <c r="Q5136" s="164" t="s">
        <v>4104</v>
      </c>
      <c r="R5136" s="179" t="s">
        <v>14197</v>
      </c>
      <c r="S5136" s="354"/>
      <c r="T5136" s="173" t="s">
        <v>6925</v>
      </c>
      <c r="U5136" s="173" t="s">
        <v>6924</v>
      </c>
      <c r="V5136" s="173" t="s">
        <v>3629</v>
      </c>
      <c r="W5136" s="313" t="s">
        <v>14199</v>
      </c>
      <c r="X5136" s="645" t="s">
        <v>14196</v>
      </c>
      <c r="Y5136" s="354"/>
      <c r="Z5136" s="176"/>
      <c r="AA5136" s="176"/>
      <c r="AB5136" s="32">
        <f t="shared" ca="1" si="126"/>
        <v>0.68515212663637237</v>
      </c>
      <c r="AC5136" s="812"/>
      <c r="AD5136" s="842" t="s">
        <v>16973</v>
      </c>
      <c r="AE5136" s="807"/>
      <c r="AF5136" s="921">
        <f>IF(X5136=X5135,AF5135,0)+IF(ISNUMBER(I5136),IF(I5136&lt;1,I5136,I5136*VLOOKUP(J5136,Summary!$H$2:$I$9,2)),VLOOKUP(J5136,Summary!$J$2:$K$9,2)*IF(ISNUMBER(H5136),H5136,1))</f>
        <v>0.14583333333333331</v>
      </c>
      <c r="AG5136" s="289">
        <v>5135</v>
      </c>
      <c r="AH5136" s="94"/>
      <c r="AI5136" s="94"/>
    </row>
    <row r="5137" spans="1:35" s="57" customFormat="1" ht="12" customHeight="1" x14ac:dyDescent="0.25">
      <c r="A5137" s="409" t="s">
        <v>14246</v>
      </c>
      <c r="B5137" s="410" t="s">
        <v>2650</v>
      </c>
      <c r="C5137" s="409">
        <v>2</v>
      </c>
      <c r="D5137" s="176" t="s">
        <v>14200</v>
      </c>
      <c r="E5137" s="313" t="s">
        <v>14201</v>
      </c>
      <c r="F5137" s="175">
        <v>42145</v>
      </c>
      <c r="G5137" s="175"/>
      <c r="H5137" s="176">
        <v>1</v>
      </c>
      <c r="I5137" s="176"/>
      <c r="J5137" s="900" t="s">
        <v>2755</v>
      </c>
      <c r="K5137" s="164" t="s">
        <v>3365</v>
      </c>
      <c r="L5137" s="164" t="s">
        <v>3365</v>
      </c>
      <c r="M5137" s="164" t="s">
        <v>3365</v>
      </c>
      <c r="N5137" s="164"/>
      <c r="O5137" s="164"/>
      <c r="P5137" s="173" t="s">
        <v>461</v>
      </c>
      <c r="Q5137" s="164" t="s">
        <v>4104</v>
      </c>
      <c r="R5137" s="179" t="s">
        <v>14197</v>
      </c>
      <c r="S5137" s="354"/>
      <c r="T5137" s="173" t="s">
        <v>6925</v>
      </c>
      <c r="U5137" s="173" t="s">
        <v>6924</v>
      </c>
      <c r="V5137" s="173" t="s">
        <v>3629</v>
      </c>
      <c r="W5137" s="313" t="s">
        <v>14201</v>
      </c>
      <c r="X5137" s="645" t="s">
        <v>14196</v>
      </c>
      <c r="Y5137" s="354"/>
      <c r="Z5137" s="176"/>
      <c r="AA5137" s="176"/>
      <c r="AB5137" s="32">
        <f t="shared" ca="1" si="126"/>
        <v>0.79676437968260261</v>
      </c>
      <c r="AC5137" s="812"/>
      <c r="AD5137" s="842" t="s">
        <v>16973</v>
      </c>
      <c r="AE5137" s="807"/>
      <c r="AF5137" s="921">
        <f>IF(X5137=X5136,AF5136,0)+IF(ISNUMBER(I5137),IF(I5137&lt;1,I5137,I5137*VLOOKUP(J5137,Summary!$H$2:$I$9,2)),VLOOKUP(J5137,Summary!$J$2:$K$9,2)*IF(ISNUMBER(H5137),H5137,1))</f>
        <v>0.16319444444444442</v>
      </c>
      <c r="AG5137" s="289">
        <v>5136</v>
      </c>
      <c r="AH5137" s="94"/>
      <c r="AI5137" s="94"/>
    </row>
    <row r="5138" spans="1:35" s="57" customFormat="1" ht="12" customHeight="1" x14ac:dyDescent="0.25">
      <c r="A5138" s="409" t="s">
        <v>14246</v>
      </c>
      <c r="B5138" s="410" t="s">
        <v>2650</v>
      </c>
      <c r="C5138" s="409">
        <v>5</v>
      </c>
      <c r="D5138" s="176" t="s">
        <v>14205</v>
      </c>
      <c r="E5138" s="313" t="s">
        <v>14206</v>
      </c>
      <c r="F5138" s="175">
        <v>42229</v>
      </c>
      <c r="G5138" s="175"/>
      <c r="H5138" s="176">
        <v>1</v>
      </c>
      <c r="I5138" s="176"/>
      <c r="J5138" s="900" t="s">
        <v>2755</v>
      </c>
      <c r="K5138" s="164" t="s">
        <v>3365</v>
      </c>
      <c r="L5138" s="164" t="s">
        <v>3365</v>
      </c>
      <c r="M5138" s="164" t="s">
        <v>3365</v>
      </c>
      <c r="N5138" s="164"/>
      <c r="O5138" s="164"/>
      <c r="P5138" s="173" t="s">
        <v>461</v>
      </c>
      <c r="Q5138" s="164" t="s">
        <v>4104</v>
      </c>
      <c r="R5138" s="179" t="s">
        <v>14197</v>
      </c>
      <c r="S5138" s="354"/>
      <c r="T5138" s="173" t="s">
        <v>6925</v>
      </c>
      <c r="U5138" s="173" t="s">
        <v>6924</v>
      </c>
      <c r="V5138" s="173" t="s">
        <v>3629</v>
      </c>
      <c r="W5138" s="313" t="s">
        <v>14206</v>
      </c>
      <c r="X5138" s="645" t="s">
        <v>14196</v>
      </c>
      <c r="Y5138" s="354"/>
      <c r="Z5138" s="176"/>
      <c r="AA5138" s="176"/>
      <c r="AB5138" s="32">
        <f t="shared" ca="1" si="126"/>
        <v>0.6138464618210856</v>
      </c>
      <c r="AC5138" s="812"/>
      <c r="AD5138" s="842" t="s">
        <v>16974</v>
      </c>
      <c r="AE5138" s="807"/>
      <c r="AF5138" s="921">
        <f>IF(X5138=X5137,AF5137,0)+IF(ISNUMBER(I5138),IF(I5138&lt;1,I5138,I5138*VLOOKUP(J5138,Summary!$H$2:$I$9,2)),VLOOKUP(J5138,Summary!$J$2:$K$9,2)*IF(ISNUMBER(H5138),H5138,1))</f>
        <v>0.18055555555555552</v>
      </c>
      <c r="AG5138" s="289">
        <v>5137</v>
      </c>
      <c r="AH5138" s="94"/>
      <c r="AI5138" s="94"/>
    </row>
    <row r="5139" spans="1:35" s="27" customFormat="1" ht="12" customHeight="1" x14ac:dyDescent="0.25">
      <c r="A5139" s="409" t="s">
        <v>14246</v>
      </c>
      <c r="B5139" s="410" t="s">
        <v>2650</v>
      </c>
      <c r="C5139" s="409">
        <v>7</v>
      </c>
      <c r="D5139" s="176" t="s">
        <v>14209</v>
      </c>
      <c r="E5139" s="313" t="s">
        <v>14210</v>
      </c>
      <c r="F5139" s="175">
        <v>42285</v>
      </c>
      <c r="G5139" s="175"/>
      <c r="H5139" s="176">
        <v>1</v>
      </c>
      <c r="I5139" s="176"/>
      <c r="J5139" s="900" t="s">
        <v>2755</v>
      </c>
      <c r="K5139" s="164" t="s">
        <v>8274</v>
      </c>
      <c r="L5139" s="164" t="s">
        <v>3365</v>
      </c>
      <c r="M5139" s="164" t="s">
        <v>3365</v>
      </c>
      <c r="N5139" s="164"/>
      <c r="O5139" s="164"/>
      <c r="P5139" s="173" t="s">
        <v>461</v>
      </c>
      <c r="Q5139" s="164" t="s">
        <v>4104</v>
      </c>
      <c r="R5139" s="179" t="s">
        <v>14197</v>
      </c>
      <c r="S5139" s="354"/>
      <c r="T5139" s="173" t="s">
        <v>6925</v>
      </c>
      <c r="U5139" s="173" t="s">
        <v>6924</v>
      </c>
      <c r="V5139" s="173" t="s">
        <v>3629</v>
      </c>
      <c r="W5139" s="313" t="s">
        <v>14210</v>
      </c>
      <c r="X5139" s="645" t="s">
        <v>14196</v>
      </c>
      <c r="Y5139" s="354"/>
      <c r="Z5139" s="176"/>
      <c r="AA5139" s="176"/>
      <c r="AB5139" s="32">
        <f t="shared" ca="1" si="126"/>
        <v>0.21529557928086207</v>
      </c>
      <c r="AC5139" s="812"/>
      <c r="AD5139" s="842" t="s">
        <v>16980</v>
      </c>
      <c r="AE5139" s="807"/>
      <c r="AF5139" s="921">
        <f>IF(X5139=X5138,AF5138,0)+IF(ISNUMBER(I5139),IF(I5139&lt;1,I5139,I5139*VLOOKUP(J5139,Summary!$H$2:$I$9,2)),VLOOKUP(J5139,Summary!$J$2:$K$9,2)*IF(ISNUMBER(H5139),H5139,1))</f>
        <v>0.19791666666666663</v>
      </c>
      <c r="AG5139" s="289">
        <v>5138</v>
      </c>
      <c r="AH5139" s="124"/>
      <c r="AI5139" s="124"/>
    </row>
    <row r="5140" spans="1:35" s="57" customFormat="1" ht="12" customHeight="1" x14ac:dyDescent="0.25">
      <c r="A5140" s="409" t="s">
        <v>14246</v>
      </c>
      <c r="B5140" s="410" t="s">
        <v>2650</v>
      </c>
      <c r="C5140" s="409">
        <v>8</v>
      </c>
      <c r="D5140" s="176" t="s">
        <v>14211</v>
      </c>
      <c r="E5140" s="313" t="s">
        <v>14212</v>
      </c>
      <c r="F5140" s="175">
        <v>42313</v>
      </c>
      <c r="G5140" s="175"/>
      <c r="H5140" s="176">
        <v>1</v>
      </c>
      <c r="I5140" s="176"/>
      <c r="J5140" s="900" t="s">
        <v>2755</v>
      </c>
      <c r="K5140" s="164" t="s">
        <v>8238</v>
      </c>
      <c r="L5140" s="164" t="s">
        <v>3365</v>
      </c>
      <c r="M5140" s="164" t="s">
        <v>3365</v>
      </c>
      <c r="N5140" s="164"/>
      <c r="O5140" s="164"/>
      <c r="P5140" s="173" t="s">
        <v>461</v>
      </c>
      <c r="Q5140" s="164" t="s">
        <v>4104</v>
      </c>
      <c r="R5140" s="179" t="s">
        <v>14197</v>
      </c>
      <c r="S5140" s="354"/>
      <c r="T5140" s="173" t="s">
        <v>6925</v>
      </c>
      <c r="U5140" s="173" t="s">
        <v>6924</v>
      </c>
      <c r="V5140" s="173" t="s">
        <v>3629</v>
      </c>
      <c r="W5140" s="313" t="s">
        <v>14212</v>
      </c>
      <c r="X5140" s="645" t="s">
        <v>14196</v>
      </c>
      <c r="Y5140" s="354"/>
      <c r="Z5140" s="176"/>
      <c r="AA5140" s="176"/>
      <c r="AB5140" s="32">
        <f t="shared" ca="1" si="126"/>
        <v>0.62765074729766757</v>
      </c>
      <c r="AC5140" s="812"/>
      <c r="AD5140" s="842" t="s">
        <v>16975</v>
      </c>
      <c r="AE5140" s="807"/>
      <c r="AF5140" s="921">
        <f>IF(X5140=X5139,AF5139,0)+IF(ISNUMBER(I5140),IF(I5140&lt;1,I5140,I5140*VLOOKUP(J5140,Summary!$H$2:$I$9,2)),VLOOKUP(J5140,Summary!$J$2:$K$9,2)*IF(ISNUMBER(H5140),H5140,1))</f>
        <v>0.21527777777777773</v>
      </c>
      <c r="AG5140" s="289">
        <v>5139</v>
      </c>
      <c r="AH5140" s="94"/>
      <c r="AI5140" s="94"/>
    </row>
    <row r="5141" spans="1:35" s="58" customFormat="1" ht="12" customHeight="1" x14ac:dyDescent="0.25">
      <c r="A5141" s="409" t="s">
        <v>14246</v>
      </c>
      <c r="B5141" s="410" t="s">
        <v>2650</v>
      </c>
      <c r="C5141" s="409">
        <v>21</v>
      </c>
      <c r="D5141" s="176" t="s">
        <v>14237</v>
      </c>
      <c r="E5141" s="313" t="s">
        <v>14238</v>
      </c>
      <c r="F5141" s="175">
        <v>42740</v>
      </c>
      <c r="G5141" s="175"/>
      <c r="H5141" s="176">
        <v>1</v>
      </c>
      <c r="I5141" s="176"/>
      <c r="J5141" s="900" t="s">
        <v>2755</v>
      </c>
      <c r="K5141" s="164" t="s">
        <v>8238</v>
      </c>
      <c r="L5141" s="164" t="s">
        <v>9881</v>
      </c>
      <c r="M5141" s="164" t="s">
        <v>9882</v>
      </c>
      <c r="N5141" s="164"/>
      <c r="O5141" s="164"/>
      <c r="P5141" s="173" t="s">
        <v>461</v>
      </c>
      <c r="Q5141" s="164" t="s">
        <v>4104</v>
      </c>
      <c r="R5141" s="179" t="s">
        <v>14197</v>
      </c>
      <c r="S5141" s="354"/>
      <c r="T5141" s="173" t="s">
        <v>6925</v>
      </c>
      <c r="U5141" s="173" t="s">
        <v>6924</v>
      </c>
      <c r="V5141" s="173" t="s">
        <v>3629</v>
      </c>
      <c r="W5141" s="313" t="s">
        <v>14238</v>
      </c>
      <c r="X5141" s="645" t="s">
        <v>14196</v>
      </c>
      <c r="Y5141" s="354"/>
      <c r="Z5141" s="176"/>
      <c r="AA5141" s="176"/>
      <c r="AB5141" s="32">
        <f t="shared" ca="1" si="126"/>
        <v>0.36117456364961031</v>
      </c>
      <c r="AC5141" s="812"/>
      <c r="AD5141" s="842" t="s">
        <v>16976</v>
      </c>
      <c r="AE5141" s="807"/>
      <c r="AF5141" s="921">
        <f>IF(X5141=X5140,AF5140,0)+IF(ISNUMBER(I5141),IF(I5141&lt;1,I5141,I5141*VLOOKUP(J5141,Summary!$H$2:$I$9,2)),VLOOKUP(J5141,Summary!$J$2:$K$9,2)*IF(ISNUMBER(H5141),H5141,1))</f>
        <v>0.23263888888888884</v>
      </c>
      <c r="AG5141" s="289">
        <v>5140</v>
      </c>
      <c r="AH5141" s="94"/>
      <c r="AI5141" s="94"/>
    </row>
    <row r="5142" spans="1:35" s="22" customFormat="1" ht="12" customHeight="1" x14ac:dyDescent="0.25">
      <c r="A5142" s="409" t="s">
        <v>14246</v>
      </c>
      <c r="B5142" s="410" t="s">
        <v>2650</v>
      </c>
      <c r="C5142" s="409">
        <v>9</v>
      </c>
      <c r="D5142" s="176" t="s">
        <v>14213</v>
      </c>
      <c r="E5142" s="313" t="s">
        <v>14214</v>
      </c>
      <c r="F5142" s="175">
        <v>42342</v>
      </c>
      <c r="G5142" s="175"/>
      <c r="H5142" s="176">
        <v>1</v>
      </c>
      <c r="I5142" s="176"/>
      <c r="J5142" s="900" t="s">
        <v>2755</v>
      </c>
      <c r="K5142" s="164" t="s">
        <v>9479</v>
      </c>
      <c r="L5142" s="164" t="s">
        <v>3365</v>
      </c>
      <c r="M5142" s="164" t="s">
        <v>3365</v>
      </c>
      <c r="N5142" s="164"/>
      <c r="O5142" s="164"/>
      <c r="P5142" s="173" t="s">
        <v>461</v>
      </c>
      <c r="Q5142" s="164" t="s">
        <v>4104</v>
      </c>
      <c r="R5142" s="179" t="s">
        <v>14197</v>
      </c>
      <c r="S5142" s="354"/>
      <c r="T5142" s="173" t="s">
        <v>6925</v>
      </c>
      <c r="U5142" s="173" t="s">
        <v>6924</v>
      </c>
      <c r="V5142" s="173" t="s">
        <v>3629</v>
      </c>
      <c r="W5142" s="313" t="s">
        <v>14214</v>
      </c>
      <c r="X5142" s="645" t="s">
        <v>14196</v>
      </c>
      <c r="Y5142" s="354"/>
      <c r="Z5142" s="176"/>
      <c r="AA5142" s="176"/>
      <c r="AB5142" s="32">
        <f t="shared" ca="1" si="126"/>
        <v>0.93645606586830354</v>
      </c>
      <c r="AC5142" s="812"/>
      <c r="AD5142" s="842" t="s">
        <v>16977</v>
      </c>
      <c r="AE5142" s="807"/>
      <c r="AF5142" s="921">
        <f>IF(X5142=X5141,AF5141,0)+IF(ISNUMBER(I5142),IF(I5142&lt;1,I5142,I5142*VLOOKUP(J5142,Summary!$H$2:$I$9,2)),VLOOKUP(J5142,Summary!$J$2:$K$9,2)*IF(ISNUMBER(H5142),H5142,1))</f>
        <v>0.24999999999999994</v>
      </c>
      <c r="AG5142" s="289">
        <v>5141</v>
      </c>
      <c r="AH5142" s="94"/>
      <c r="AI5142" s="94"/>
    </row>
    <row r="5143" spans="1:35" s="57" customFormat="1" ht="12" customHeight="1" x14ac:dyDescent="0.25">
      <c r="A5143" s="409" t="s">
        <v>14246</v>
      </c>
      <c r="B5143" s="410" t="s">
        <v>2650</v>
      </c>
      <c r="C5143" s="409">
        <v>11</v>
      </c>
      <c r="D5143" s="176" t="s">
        <v>14217</v>
      </c>
      <c r="E5143" s="313" t="s">
        <v>14218</v>
      </c>
      <c r="F5143" s="175">
        <v>42404</v>
      </c>
      <c r="G5143" s="175"/>
      <c r="H5143" s="176">
        <v>1</v>
      </c>
      <c r="I5143" s="176"/>
      <c r="J5143" s="900" t="s">
        <v>2755</v>
      </c>
      <c r="K5143" s="164" t="s">
        <v>8311</v>
      </c>
      <c r="L5143" s="164" t="s">
        <v>3365</v>
      </c>
      <c r="M5143" s="164" t="s">
        <v>3365</v>
      </c>
      <c r="N5143" s="164"/>
      <c r="O5143" s="164"/>
      <c r="P5143" s="173" t="s">
        <v>461</v>
      </c>
      <c r="Q5143" s="164" t="s">
        <v>4104</v>
      </c>
      <c r="R5143" s="179" t="s">
        <v>14197</v>
      </c>
      <c r="S5143" s="354"/>
      <c r="T5143" s="173" t="s">
        <v>6925</v>
      </c>
      <c r="U5143" s="173" t="s">
        <v>6924</v>
      </c>
      <c r="V5143" s="173" t="s">
        <v>3629</v>
      </c>
      <c r="W5143" s="313" t="s">
        <v>14218</v>
      </c>
      <c r="X5143" s="645" t="s">
        <v>14196</v>
      </c>
      <c r="Y5143" s="354"/>
      <c r="Z5143" s="176"/>
      <c r="AA5143" s="176"/>
      <c r="AB5143" s="32">
        <f t="shared" ca="1" si="126"/>
        <v>0.14940374406312995</v>
      </c>
      <c r="AC5143" s="812"/>
      <c r="AD5143" s="842" t="s">
        <v>16978</v>
      </c>
      <c r="AE5143" s="807"/>
      <c r="AF5143" s="921">
        <f>IF(X5143=X5142,AF5142,0)+IF(ISNUMBER(I5143),IF(I5143&lt;1,I5143,I5143*VLOOKUP(J5143,Summary!$H$2:$I$9,2)),VLOOKUP(J5143,Summary!$J$2:$K$9,2)*IF(ISNUMBER(H5143),H5143,1))</f>
        <v>0.26736111111111105</v>
      </c>
      <c r="AG5143" s="289">
        <v>5142</v>
      </c>
      <c r="AH5143" s="94"/>
      <c r="AI5143" s="94"/>
    </row>
    <row r="5144" spans="1:35" s="22" customFormat="1" ht="12" customHeight="1" x14ac:dyDescent="0.25">
      <c r="A5144" s="409" t="s">
        <v>14246</v>
      </c>
      <c r="B5144" s="410" t="s">
        <v>2650</v>
      </c>
      <c r="C5144" s="409">
        <v>13</v>
      </c>
      <c r="D5144" s="176" t="s">
        <v>14221</v>
      </c>
      <c r="E5144" s="313" t="s">
        <v>14222</v>
      </c>
      <c r="F5144" s="175">
        <v>42460</v>
      </c>
      <c r="G5144" s="175"/>
      <c r="H5144" s="176">
        <v>1</v>
      </c>
      <c r="I5144" s="176"/>
      <c r="J5144" s="900" t="s">
        <v>2755</v>
      </c>
      <c r="K5144" s="164" t="s">
        <v>8274</v>
      </c>
      <c r="L5144" s="164" t="s">
        <v>9881</v>
      </c>
      <c r="M5144" s="164" t="s">
        <v>9882</v>
      </c>
      <c r="N5144" s="164"/>
      <c r="O5144" s="164"/>
      <c r="P5144" s="173" t="s">
        <v>461</v>
      </c>
      <c r="Q5144" s="164" t="s">
        <v>4104</v>
      </c>
      <c r="R5144" s="179" t="s">
        <v>14197</v>
      </c>
      <c r="S5144" s="354"/>
      <c r="T5144" s="173" t="s">
        <v>6925</v>
      </c>
      <c r="U5144" s="173" t="s">
        <v>6924</v>
      </c>
      <c r="V5144" s="173" t="s">
        <v>3629</v>
      </c>
      <c r="W5144" s="313" t="s">
        <v>14222</v>
      </c>
      <c r="X5144" s="645" t="s">
        <v>14196</v>
      </c>
      <c r="Y5144" s="354"/>
      <c r="Z5144" s="176"/>
      <c r="AA5144" s="176"/>
      <c r="AB5144" s="32">
        <f t="shared" ca="1" si="126"/>
        <v>0.49280027125418602</v>
      </c>
      <c r="AC5144" s="812"/>
      <c r="AD5144" s="842" t="s">
        <v>14977</v>
      </c>
      <c r="AE5144" s="807"/>
      <c r="AF5144" s="921">
        <f>IF(X5144=X5143,AF5143,0)+IF(ISNUMBER(I5144),IF(I5144&lt;1,I5144,I5144*VLOOKUP(J5144,Summary!$H$2:$I$9,2)),VLOOKUP(J5144,Summary!$J$2:$K$9,2)*IF(ISNUMBER(H5144),H5144,1))</f>
        <v>0.28472222222222215</v>
      </c>
      <c r="AG5144" s="289">
        <v>5143</v>
      </c>
      <c r="AH5144" s="94"/>
      <c r="AI5144" s="94"/>
    </row>
    <row r="5145" spans="1:35" s="57" customFormat="1" ht="12" customHeight="1" x14ac:dyDescent="0.25">
      <c r="A5145" s="409" t="s">
        <v>14246</v>
      </c>
      <c r="B5145" s="410" t="s">
        <v>2650</v>
      </c>
      <c r="C5145" s="409">
        <v>16</v>
      </c>
      <c r="D5145" s="176" t="s">
        <v>14227</v>
      </c>
      <c r="E5145" s="313" t="s">
        <v>14228</v>
      </c>
      <c r="F5145" s="175">
        <v>42546</v>
      </c>
      <c r="G5145" s="175"/>
      <c r="H5145" s="176">
        <v>1</v>
      </c>
      <c r="I5145" s="176"/>
      <c r="J5145" s="900" t="s">
        <v>2755</v>
      </c>
      <c r="K5145" s="164" t="s">
        <v>9479</v>
      </c>
      <c r="L5145" s="164" t="s">
        <v>3365</v>
      </c>
      <c r="M5145" s="164" t="s">
        <v>3365</v>
      </c>
      <c r="N5145" s="164"/>
      <c r="O5145" s="164"/>
      <c r="P5145" s="173" t="s">
        <v>461</v>
      </c>
      <c r="Q5145" s="164" t="s">
        <v>4104</v>
      </c>
      <c r="R5145" s="179" t="s">
        <v>14197</v>
      </c>
      <c r="S5145" s="354"/>
      <c r="T5145" s="173" t="s">
        <v>6925</v>
      </c>
      <c r="U5145" s="173" t="s">
        <v>6924</v>
      </c>
      <c r="V5145" s="173" t="s">
        <v>3629</v>
      </c>
      <c r="W5145" s="313" t="s">
        <v>14228</v>
      </c>
      <c r="X5145" s="645" t="s">
        <v>14196</v>
      </c>
      <c r="Y5145" s="354"/>
      <c r="Z5145" s="176"/>
      <c r="AA5145" s="176"/>
      <c r="AB5145" s="32">
        <f t="shared" ca="1" si="126"/>
        <v>0.25242668502649146</v>
      </c>
      <c r="AC5145" s="812"/>
      <c r="AD5145" s="842" t="s">
        <v>14977</v>
      </c>
      <c r="AE5145" s="807"/>
      <c r="AF5145" s="921">
        <f>IF(X5145=X5144,AF5144,0)+IF(ISNUMBER(I5145),IF(I5145&lt;1,I5145,I5145*VLOOKUP(J5145,Summary!$H$2:$I$9,2)),VLOOKUP(J5145,Summary!$J$2:$K$9,2)*IF(ISNUMBER(H5145),H5145,1))</f>
        <v>0.30208333333333326</v>
      </c>
      <c r="AG5145" s="289">
        <v>5144</v>
      </c>
      <c r="AH5145" s="94"/>
      <c r="AI5145" s="94"/>
    </row>
    <row r="5146" spans="1:35" s="22" customFormat="1" ht="12" customHeight="1" x14ac:dyDescent="0.25">
      <c r="A5146" s="409" t="s">
        <v>14246</v>
      </c>
      <c r="B5146" s="410" t="s">
        <v>2650</v>
      </c>
      <c r="C5146" s="409">
        <v>23</v>
      </c>
      <c r="D5146" s="176" t="s">
        <v>14241</v>
      </c>
      <c r="E5146" s="313" t="s">
        <v>14242</v>
      </c>
      <c r="F5146" s="175">
        <v>42852</v>
      </c>
      <c r="G5146" s="175"/>
      <c r="H5146" s="176">
        <v>1</v>
      </c>
      <c r="I5146" s="176"/>
      <c r="J5146" s="900" t="s">
        <v>2755</v>
      </c>
      <c r="K5146" s="164" t="s">
        <v>9909</v>
      </c>
      <c r="L5146" s="164" t="s">
        <v>9881</v>
      </c>
      <c r="M5146" s="164" t="s">
        <v>9882</v>
      </c>
      <c r="N5146" s="164"/>
      <c r="O5146" s="164"/>
      <c r="P5146" s="173" t="s">
        <v>461</v>
      </c>
      <c r="Q5146" s="164" t="s">
        <v>4104</v>
      </c>
      <c r="R5146" s="179" t="s">
        <v>14197</v>
      </c>
      <c r="S5146" s="354"/>
      <c r="T5146" s="173" t="s">
        <v>6925</v>
      </c>
      <c r="U5146" s="173" t="s">
        <v>6924</v>
      </c>
      <c r="V5146" s="173" t="s">
        <v>3629</v>
      </c>
      <c r="W5146" s="313" t="s">
        <v>14242</v>
      </c>
      <c r="X5146" s="645" t="s">
        <v>14196</v>
      </c>
      <c r="Y5146" s="354"/>
      <c r="Z5146" s="176"/>
      <c r="AA5146" s="176"/>
      <c r="AB5146" s="32">
        <f t="shared" ca="1" si="126"/>
        <v>0.1134928046138971</v>
      </c>
      <c r="AC5146" s="812"/>
      <c r="AD5146" s="842" t="s">
        <v>16979</v>
      </c>
      <c r="AE5146" s="807"/>
      <c r="AF5146" s="921">
        <f>IF(X5146=X5145,AF5145,0)+IF(ISNUMBER(I5146),IF(I5146&lt;1,I5146,I5146*VLOOKUP(J5146,Summary!$H$2:$I$9,2)),VLOOKUP(J5146,Summary!$J$2:$K$9,2)*IF(ISNUMBER(H5146),H5146,1))</f>
        <v>0.31944444444444436</v>
      </c>
      <c r="AG5146" s="289">
        <v>5145</v>
      </c>
      <c r="AH5146" s="94"/>
      <c r="AI5146" s="94"/>
    </row>
    <row r="5147" spans="1:35" s="57" customFormat="1" ht="12" customHeight="1" x14ac:dyDescent="0.25">
      <c r="A5147" s="409" t="s">
        <v>14246</v>
      </c>
      <c r="B5147" s="410" t="s">
        <v>2650</v>
      </c>
      <c r="C5147" s="409">
        <v>10</v>
      </c>
      <c r="D5147" s="176" t="s">
        <v>14215</v>
      </c>
      <c r="E5147" s="313" t="s">
        <v>14216</v>
      </c>
      <c r="F5147" s="175">
        <v>42376</v>
      </c>
      <c r="G5147" s="175"/>
      <c r="H5147" s="176">
        <v>1</v>
      </c>
      <c r="I5147" s="176"/>
      <c r="J5147" s="900" t="s">
        <v>2755</v>
      </c>
      <c r="K5147" s="164" t="s">
        <v>8274</v>
      </c>
      <c r="L5147" s="164" t="s">
        <v>3365</v>
      </c>
      <c r="M5147" s="164" t="s">
        <v>3365</v>
      </c>
      <c r="N5147" s="164"/>
      <c r="O5147" s="164"/>
      <c r="P5147" s="173" t="s">
        <v>461</v>
      </c>
      <c r="Q5147" s="164" t="s">
        <v>4104</v>
      </c>
      <c r="R5147" s="179" t="s">
        <v>14197</v>
      </c>
      <c r="S5147" s="354"/>
      <c r="T5147" s="173" t="s">
        <v>6925</v>
      </c>
      <c r="U5147" s="173" t="s">
        <v>6924</v>
      </c>
      <c r="V5147" s="173" t="s">
        <v>3629</v>
      </c>
      <c r="W5147" s="313" t="s">
        <v>14216</v>
      </c>
      <c r="X5147" s="645" t="s">
        <v>14196</v>
      </c>
      <c r="Y5147" s="354"/>
      <c r="Z5147" s="176"/>
      <c r="AA5147" s="176"/>
      <c r="AB5147" s="32">
        <f t="shared" ca="1" si="126"/>
        <v>0.28003018640386246</v>
      </c>
      <c r="AC5147" s="812"/>
      <c r="AD5147" s="842" t="s">
        <v>16982</v>
      </c>
      <c r="AE5147" s="807"/>
      <c r="AF5147" s="921">
        <f>IF(X5147=X5146,AF5146,0)+IF(ISNUMBER(I5147),IF(I5147&lt;1,I5147,I5147*VLOOKUP(J5147,Summary!$H$2:$I$9,2)),VLOOKUP(J5147,Summary!$J$2:$K$9,2)*IF(ISNUMBER(H5147),H5147,1))</f>
        <v>0.33680555555555547</v>
      </c>
      <c r="AG5147" s="289">
        <v>5146</v>
      </c>
      <c r="AH5147" s="94"/>
      <c r="AI5147" s="94"/>
    </row>
    <row r="5148" spans="1:35" s="57" customFormat="1" ht="12" customHeight="1" x14ac:dyDescent="0.25">
      <c r="A5148" s="409" t="s">
        <v>14246</v>
      </c>
      <c r="B5148" s="410" t="s">
        <v>2650</v>
      </c>
      <c r="C5148" s="409">
        <v>18</v>
      </c>
      <c r="D5148" s="176" t="s">
        <v>14231</v>
      </c>
      <c r="E5148" s="313" t="s">
        <v>14232</v>
      </c>
      <c r="F5148" s="175">
        <v>42601</v>
      </c>
      <c r="G5148" s="175"/>
      <c r="H5148" s="176">
        <v>1</v>
      </c>
      <c r="I5148" s="176"/>
      <c r="J5148" s="900" t="s">
        <v>2755</v>
      </c>
      <c r="K5148" s="164" t="s">
        <v>8274</v>
      </c>
      <c r="L5148" s="164" t="s">
        <v>3365</v>
      </c>
      <c r="M5148" s="164" t="s">
        <v>3365</v>
      </c>
      <c r="N5148" s="164"/>
      <c r="O5148" s="164"/>
      <c r="P5148" s="173" t="s">
        <v>461</v>
      </c>
      <c r="Q5148" s="164" t="s">
        <v>4104</v>
      </c>
      <c r="R5148" s="179" t="s">
        <v>14197</v>
      </c>
      <c r="S5148" s="354"/>
      <c r="T5148" s="173" t="s">
        <v>6925</v>
      </c>
      <c r="U5148" s="173" t="s">
        <v>6924</v>
      </c>
      <c r="V5148" s="173" t="s">
        <v>3629</v>
      </c>
      <c r="W5148" s="313" t="s">
        <v>14232</v>
      </c>
      <c r="X5148" s="645" t="s">
        <v>14196</v>
      </c>
      <c r="Y5148" s="354"/>
      <c r="Z5148" s="176"/>
      <c r="AA5148" s="176"/>
      <c r="AB5148" s="32">
        <f t="shared" ca="1" si="126"/>
        <v>9.1567769025902801E-2</v>
      </c>
      <c r="AC5148" s="812"/>
      <c r="AD5148" s="842" t="s">
        <v>16982</v>
      </c>
      <c r="AE5148" s="807"/>
      <c r="AF5148" s="921">
        <f>IF(X5148=X5147,AF5147,0)+IF(ISNUMBER(I5148),IF(I5148&lt;1,I5148,I5148*VLOOKUP(J5148,Summary!$H$2:$I$9,2)),VLOOKUP(J5148,Summary!$J$2:$K$9,2)*IF(ISNUMBER(H5148),H5148,1))</f>
        <v>0.35416666666666657</v>
      </c>
      <c r="AG5148" s="289">
        <v>5147</v>
      </c>
      <c r="AH5148" s="94"/>
      <c r="AI5148" s="94"/>
    </row>
    <row r="5149" spans="1:35" s="57" customFormat="1" ht="12" customHeight="1" x14ac:dyDescent="0.25">
      <c r="A5149" s="409" t="s">
        <v>14246</v>
      </c>
      <c r="B5149" s="410" t="s">
        <v>2650</v>
      </c>
      <c r="C5149" s="409">
        <v>19</v>
      </c>
      <c r="D5149" s="176" t="s">
        <v>14233</v>
      </c>
      <c r="E5149" s="313" t="s">
        <v>14234</v>
      </c>
      <c r="F5149" s="175">
        <v>42628</v>
      </c>
      <c r="G5149" s="175"/>
      <c r="H5149" s="176">
        <v>1</v>
      </c>
      <c r="I5149" s="176"/>
      <c r="J5149" s="900" t="s">
        <v>2755</v>
      </c>
      <c r="K5149" s="164" t="s">
        <v>8274</v>
      </c>
      <c r="L5149" s="164" t="s">
        <v>3365</v>
      </c>
      <c r="M5149" s="164" t="s">
        <v>9882</v>
      </c>
      <c r="N5149" s="164"/>
      <c r="O5149" s="164"/>
      <c r="P5149" s="173" t="s">
        <v>461</v>
      </c>
      <c r="Q5149" s="164" t="s">
        <v>4104</v>
      </c>
      <c r="R5149" s="179" t="s">
        <v>14197</v>
      </c>
      <c r="S5149" s="354"/>
      <c r="T5149" s="173" t="s">
        <v>6925</v>
      </c>
      <c r="U5149" s="173" t="s">
        <v>6924</v>
      </c>
      <c r="V5149" s="173" t="s">
        <v>3629</v>
      </c>
      <c r="W5149" s="313" t="s">
        <v>14234</v>
      </c>
      <c r="X5149" s="645" t="s">
        <v>14196</v>
      </c>
      <c r="Y5149" s="354"/>
      <c r="Z5149" s="176"/>
      <c r="AA5149" s="176"/>
      <c r="AB5149" s="32">
        <f t="shared" ca="1" si="126"/>
        <v>0.37381438913379972</v>
      </c>
      <c r="AC5149" s="812"/>
      <c r="AD5149" s="842" t="s">
        <v>16982</v>
      </c>
      <c r="AE5149" s="807"/>
      <c r="AF5149" s="921">
        <f>IF(X5149=X5148,AF5148,0)+IF(ISNUMBER(I5149),IF(I5149&lt;1,I5149,I5149*VLOOKUP(J5149,Summary!$H$2:$I$9,2)),VLOOKUP(J5149,Summary!$J$2:$K$9,2)*IF(ISNUMBER(H5149),H5149,1))</f>
        <v>0.37152777777777768</v>
      </c>
      <c r="AG5149" s="289">
        <v>5148</v>
      </c>
      <c r="AH5149" s="94"/>
      <c r="AI5149" s="94"/>
    </row>
    <row r="5150" spans="1:35" s="57" customFormat="1" ht="12" customHeight="1" x14ac:dyDescent="0.25">
      <c r="A5150" s="409" t="s">
        <v>14246</v>
      </c>
      <c r="B5150" s="410" t="s">
        <v>2650</v>
      </c>
      <c r="C5150" s="409">
        <v>20</v>
      </c>
      <c r="D5150" s="176" t="s">
        <v>14235</v>
      </c>
      <c r="E5150" s="313" t="s">
        <v>14236</v>
      </c>
      <c r="F5150" s="175">
        <v>42684</v>
      </c>
      <c r="G5150" s="175"/>
      <c r="H5150" s="176">
        <v>1</v>
      </c>
      <c r="I5150" s="176"/>
      <c r="J5150" s="900" t="s">
        <v>2755</v>
      </c>
      <c r="K5150" s="164" t="s">
        <v>9909</v>
      </c>
      <c r="L5150" s="164" t="s">
        <v>9881</v>
      </c>
      <c r="M5150" s="164" t="s">
        <v>3365</v>
      </c>
      <c r="N5150" s="164"/>
      <c r="O5150" s="164"/>
      <c r="P5150" s="173" t="s">
        <v>461</v>
      </c>
      <c r="Q5150" s="164" t="s">
        <v>4104</v>
      </c>
      <c r="R5150" s="179" t="s">
        <v>14197</v>
      </c>
      <c r="S5150" s="354"/>
      <c r="T5150" s="173" t="s">
        <v>6925</v>
      </c>
      <c r="U5150" s="173" t="s">
        <v>6924</v>
      </c>
      <c r="V5150" s="173" t="s">
        <v>3629</v>
      </c>
      <c r="W5150" s="313" t="s">
        <v>14236</v>
      </c>
      <c r="X5150" s="645" t="s">
        <v>14196</v>
      </c>
      <c r="Y5150" s="354"/>
      <c r="Z5150" s="176"/>
      <c r="AA5150" s="176"/>
      <c r="AB5150" s="32">
        <f t="shared" ca="1" si="126"/>
        <v>4.8193447794187327E-2</v>
      </c>
      <c r="AC5150" s="812"/>
      <c r="AD5150" s="842" t="s">
        <v>16982</v>
      </c>
      <c r="AE5150" s="807"/>
      <c r="AF5150" s="921">
        <f>IF(X5150=X5149,AF5149,0)+IF(ISNUMBER(I5150),IF(I5150&lt;1,I5150,I5150*VLOOKUP(J5150,Summary!$H$2:$I$9,2)),VLOOKUP(J5150,Summary!$J$2:$K$9,2)*IF(ISNUMBER(H5150),H5150,1))</f>
        <v>0.38888888888888878</v>
      </c>
      <c r="AG5150" s="289">
        <v>5149</v>
      </c>
      <c r="AH5150" s="94"/>
      <c r="AI5150" s="94"/>
    </row>
    <row r="5151" spans="1:35" s="22" customFormat="1" ht="12" customHeight="1" x14ac:dyDescent="0.25">
      <c r="A5151" s="409" t="s">
        <v>14246</v>
      </c>
      <c r="B5151" s="410" t="s">
        <v>2650</v>
      </c>
      <c r="C5151" s="409">
        <v>22</v>
      </c>
      <c r="D5151" s="176" t="s">
        <v>14239</v>
      </c>
      <c r="E5151" s="313" t="s">
        <v>14240</v>
      </c>
      <c r="F5151" s="175">
        <v>42796</v>
      </c>
      <c r="G5151" s="175"/>
      <c r="H5151" s="176">
        <v>1</v>
      </c>
      <c r="I5151" s="176"/>
      <c r="J5151" s="900" t="s">
        <v>2755</v>
      </c>
      <c r="K5151" s="164" t="s">
        <v>9909</v>
      </c>
      <c r="L5151" s="164" t="s">
        <v>9881</v>
      </c>
      <c r="M5151" s="164" t="s">
        <v>9882</v>
      </c>
      <c r="N5151" s="164"/>
      <c r="O5151" s="164"/>
      <c r="P5151" s="173" t="s">
        <v>461</v>
      </c>
      <c r="Q5151" s="164" t="s">
        <v>4104</v>
      </c>
      <c r="R5151" s="179" t="s">
        <v>14197</v>
      </c>
      <c r="S5151" s="354"/>
      <c r="T5151" s="173" t="s">
        <v>6925</v>
      </c>
      <c r="U5151" s="173" t="s">
        <v>6924</v>
      </c>
      <c r="V5151" s="173" t="s">
        <v>3629</v>
      </c>
      <c r="W5151" s="313" t="s">
        <v>14240</v>
      </c>
      <c r="X5151" s="645" t="s">
        <v>14196</v>
      </c>
      <c r="Y5151" s="354"/>
      <c r="Z5151" s="176"/>
      <c r="AA5151" s="176"/>
      <c r="AB5151" s="32">
        <f t="shared" ca="1" si="126"/>
        <v>0.95192897833721135</v>
      </c>
      <c r="AC5151" s="812"/>
      <c r="AD5151" s="842" t="s">
        <v>16982</v>
      </c>
      <c r="AE5151" s="807"/>
      <c r="AF5151" s="921">
        <f>IF(X5151=X5150,AF5150,0)+IF(ISNUMBER(I5151),IF(I5151&lt;1,I5151,I5151*VLOOKUP(J5151,Summary!$H$2:$I$9,2)),VLOOKUP(J5151,Summary!$J$2:$K$9,2)*IF(ISNUMBER(H5151),H5151,1))</f>
        <v>0.40624999999999989</v>
      </c>
      <c r="AG5151" s="289">
        <v>5150</v>
      </c>
      <c r="AH5151" s="94"/>
      <c r="AI5151" s="94"/>
    </row>
    <row r="5152" spans="1:35" s="57" customFormat="1" ht="12" customHeight="1" x14ac:dyDescent="0.25">
      <c r="A5152" s="409" t="s">
        <v>14246</v>
      </c>
      <c r="B5152" s="410" t="s">
        <v>2650</v>
      </c>
      <c r="C5152" s="409">
        <v>24</v>
      </c>
      <c r="D5152" s="176" t="s">
        <v>14243</v>
      </c>
      <c r="E5152" s="313" t="s">
        <v>14244</v>
      </c>
      <c r="F5152" s="175">
        <v>42908</v>
      </c>
      <c r="G5152" s="175"/>
      <c r="H5152" s="176">
        <v>1</v>
      </c>
      <c r="I5152" s="176"/>
      <c r="J5152" s="900" t="s">
        <v>2755</v>
      </c>
      <c r="K5152" s="164" t="s">
        <v>8238</v>
      </c>
      <c r="L5152" s="164" t="s">
        <v>9881</v>
      </c>
      <c r="M5152" s="164" t="s">
        <v>9882</v>
      </c>
      <c r="N5152" s="164"/>
      <c r="O5152" s="164"/>
      <c r="P5152" s="173" t="s">
        <v>461</v>
      </c>
      <c r="Q5152" s="164" t="s">
        <v>4104</v>
      </c>
      <c r="R5152" s="179" t="s">
        <v>14197</v>
      </c>
      <c r="S5152" s="354"/>
      <c r="T5152" s="173" t="s">
        <v>6925</v>
      </c>
      <c r="U5152" s="173" t="s">
        <v>6924</v>
      </c>
      <c r="V5152" s="173" t="s">
        <v>3629</v>
      </c>
      <c r="W5152" s="313" t="s">
        <v>14244</v>
      </c>
      <c r="X5152" s="645" t="s">
        <v>14196</v>
      </c>
      <c r="Y5152" s="354"/>
      <c r="Z5152" s="176"/>
      <c r="AA5152" s="176"/>
      <c r="AB5152" s="32">
        <f t="shared" ca="1" si="126"/>
        <v>0.1799741002155455</v>
      </c>
      <c r="AC5152" s="812"/>
      <c r="AD5152" s="842" t="s">
        <v>16982</v>
      </c>
      <c r="AE5152" s="807"/>
      <c r="AF5152" s="921">
        <f>IF(X5152=X5151,AF5151,0)+IF(ISNUMBER(I5152),IF(I5152&lt;1,I5152,I5152*VLOOKUP(J5152,Summary!$H$2:$I$9,2)),VLOOKUP(J5152,Summary!$J$2:$K$9,2)*IF(ISNUMBER(H5152),H5152,1))</f>
        <v>0.42361111111111099</v>
      </c>
      <c r="AG5152" s="289">
        <v>5151</v>
      </c>
      <c r="AH5152" s="94"/>
      <c r="AI5152" s="94"/>
    </row>
    <row r="5153" spans="1:35" s="57" customFormat="1" ht="12" customHeight="1" x14ac:dyDescent="0.25">
      <c r="A5153" s="627" t="s">
        <v>14246</v>
      </c>
      <c r="B5153" s="627">
        <v>12</v>
      </c>
      <c r="C5153" s="627">
        <v>3</v>
      </c>
      <c r="D5153" s="176" t="s">
        <v>14202</v>
      </c>
      <c r="E5153" s="313" t="s">
        <v>9893</v>
      </c>
      <c r="F5153" s="175">
        <v>42173</v>
      </c>
      <c r="G5153" s="175"/>
      <c r="H5153" s="176">
        <v>1</v>
      </c>
      <c r="I5153" s="176"/>
      <c r="J5153" s="900" t="s">
        <v>2755</v>
      </c>
      <c r="K5153" s="164" t="s">
        <v>3365</v>
      </c>
      <c r="L5153" s="164" t="s">
        <v>3365</v>
      </c>
      <c r="M5153" s="164" t="s">
        <v>3365</v>
      </c>
      <c r="N5153" s="164"/>
      <c r="O5153" s="164"/>
      <c r="P5153" s="173" t="s">
        <v>461</v>
      </c>
      <c r="Q5153" s="164" t="s">
        <v>4104</v>
      </c>
      <c r="R5153" s="179" t="s">
        <v>14197</v>
      </c>
      <c r="S5153" s="354"/>
      <c r="T5153" s="173" t="s">
        <v>6925</v>
      </c>
      <c r="U5153" s="173" t="s">
        <v>6924</v>
      </c>
      <c r="V5153" s="173" t="s">
        <v>3629</v>
      </c>
      <c r="W5153" s="313" t="s">
        <v>9893</v>
      </c>
      <c r="X5153" s="645" t="s">
        <v>14196</v>
      </c>
      <c r="Y5153" s="354"/>
      <c r="Z5153" s="176"/>
      <c r="AA5153" s="176"/>
      <c r="AB5153" s="32">
        <f t="shared" ca="1" si="126"/>
        <v>0.72828383010083797</v>
      </c>
      <c r="AC5153" s="812"/>
      <c r="AD5153" s="842" t="s">
        <v>16985</v>
      </c>
      <c r="AE5153" s="807"/>
      <c r="AF5153" s="921">
        <f>IF(X5153=X5152,AF5152,0)+IF(ISNUMBER(I5153),IF(I5153&lt;1,I5153,I5153*VLOOKUP(J5153,Summary!$H$2:$I$9,2)),VLOOKUP(J5153,Summary!$J$2:$K$9,2)*IF(ISNUMBER(H5153),H5153,1))</f>
        <v>0.4409722222222221</v>
      </c>
      <c r="AG5153" s="289">
        <v>5152</v>
      </c>
      <c r="AH5153" s="94"/>
      <c r="AI5153" s="94"/>
    </row>
    <row r="5154" spans="1:35" s="57" customFormat="1" ht="12" customHeight="1" x14ac:dyDescent="0.25">
      <c r="A5154" s="409" t="s">
        <v>14246</v>
      </c>
      <c r="B5154" s="410" t="s">
        <v>2650</v>
      </c>
      <c r="C5154" s="409">
        <v>15</v>
      </c>
      <c r="D5154" s="176" t="s">
        <v>14225</v>
      </c>
      <c r="E5154" s="313" t="s">
        <v>14226</v>
      </c>
      <c r="F5154" s="175">
        <v>42519</v>
      </c>
      <c r="G5154" s="175"/>
      <c r="H5154" s="176">
        <v>1</v>
      </c>
      <c r="I5154" s="176"/>
      <c r="J5154" s="900" t="s">
        <v>2755</v>
      </c>
      <c r="K5154" s="164" t="s">
        <v>8311</v>
      </c>
      <c r="L5154" s="164" t="s">
        <v>3365</v>
      </c>
      <c r="M5154" s="164" t="s">
        <v>3365</v>
      </c>
      <c r="N5154" s="164"/>
      <c r="O5154" s="164"/>
      <c r="P5154" s="173" t="s">
        <v>461</v>
      </c>
      <c r="Q5154" s="164" t="s">
        <v>4104</v>
      </c>
      <c r="R5154" s="179" t="s">
        <v>14197</v>
      </c>
      <c r="S5154" s="354"/>
      <c r="T5154" s="173" t="s">
        <v>6925</v>
      </c>
      <c r="U5154" s="173" t="s">
        <v>6924</v>
      </c>
      <c r="V5154" s="173" t="s">
        <v>3629</v>
      </c>
      <c r="W5154" s="313" t="s">
        <v>14226</v>
      </c>
      <c r="X5154" s="645" t="s">
        <v>14196</v>
      </c>
      <c r="Y5154" s="354"/>
      <c r="Z5154" s="176"/>
      <c r="AA5154" s="176"/>
      <c r="AB5154" s="32">
        <f t="shared" ca="1" si="126"/>
        <v>0.33381161161261985</v>
      </c>
      <c r="AC5154" s="812"/>
      <c r="AD5154" s="842" t="s">
        <v>16981</v>
      </c>
      <c r="AE5154" s="807"/>
      <c r="AF5154" s="921">
        <f>IF(X5154=X5153,AF5153,0)+IF(ISNUMBER(I5154),IF(I5154&lt;1,I5154,I5154*VLOOKUP(J5154,Summary!$H$2:$I$9,2)),VLOOKUP(J5154,Summary!$J$2:$K$9,2)*IF(ISNUMBER(H5154),H5154,1))</f>
        <v>0.4583333333333332</v>
      </c>
      <c r="AG5154" s="289">
        <v>5153</v>
      </c>
      <c r="AH5154" s="94"/>
      <c r="AI5154" s="94"/>
    </row>
    <row r="5155" spans="1:35" s="57" customFormat="1" ht="12" customHeight="1" x14ac:dyDescent="0.25">
      <c r="A5155" s="409" t="s">
        <v>14246</v>
      </c>
      <c r="B5155" s="410" t="s">
        <v>2650</v>
      </c>
      <c r="C5155" s="409"/>
      <c r="D5155" s="176" t="s">
        <v>11302</v>
      </c>
      <c r="E5155" s="313" t="s">
        <v>11493</v>
      </c>
      <c r="F5155" s="175">
        <v>42278</v>
      </c>
      <c r="G5155" s="175"/>
      <c r="H5155" s="176">
        <v>1</v>
      </c>
      <c r="I5155" s="176"/>
      <c r="J5155" s="900" t="s">
        <v>2755</v>
      </c>
      <c r="K5155" s="164" t="s">
        <v>3365</v>
      </c>
      <c r="L5155" s="164" t="s">
        <v>461</v>
      </c>
      <c r="M5155" s="164" t="s">
        <v>461</v>
      </c>
      <c r="N5155" s="164"/>
      <c r="O5155" s="164"/>
      <c r="P5155" s="173" t="s">
        <v>461</v>
      </c>
      <c r="Q5155" s="164" t="s">
        <v>3953</v>
      </c>
      <c r="R5155" s="179" t="s">
        <v>4600</v>
      </c>
      <c r="S5155" s="354"/>
      <c r="T5155" s="173" t="s">
        <v>6925</v>
      </c>
      <c r="U5155" s="173" t="s">
        <v>6924</v>
      </c>
      <c r="V5155" s="173" t="s">
        <v>3629</v>
      </c>
      <c r="W5155" s="313" t="s">
        <v>11493</v>
      </c>
      <c r="X5155" s="645" t="s">
        <v>14196</v>
      </c>
      <c r="Y5155" s="354"/>
      <c r="Z5155" s="176"/>
      <c r="AA5155" s="176"/>
      <c r="AB5155" s="32">
        <f t="shared" ca="1" si="126"/>
        <v>5.7593638258501501E-2</v>
      </c>
      <c r="AC5155" s="812"/>
      <c r="AD5155" s="842" t="s">
        <v>16650</v>
      </c>
      <c r="AE5155" s="807"/>
      <c r="AF5155" s="921">
        <f>IF(X5155=X5154,AF5154,0)+IF(ISNUMBER(I5155),IF(I5155&lt;1,I5155,I5155*VLOOKUP(J5155,Summary!$H$2:$I$9,2)),VLOOKUP(J5155,Summary!$J$2:$K$9,2)*IF(ISNUMBER(H5155),H5155,1))</f>
        <v>0.47569444444444431</v>
      </c>
      <c r="AG5155" s="289">
        <v>5154</v>
      </c>
      <c r="AH5155" s="94"/>
      <c r="AI5155" s="94"/>
    </row>
    <row r="5156" spans="1:35" s="57" customFormat="1" ht="12" customHeight="1" x14ac:dyDescent="0.25">
      <c r="A5156" s="409" t="s">
        <v>14246</v>
      </c>
      <c r="B5156" s="410" t="s">
        <v>2650</v>
      </c>
      <c r="C5156" s="409">
        <v>14</v>
      </c>
      <c r="D5156" s="176" t="s">
        <v>14223</v>
      </c>
      <c r="E5156" s="313" t="s">
        <v>14224</v>
      </c>
      <c r="F5156" s="175">
        <v>42488</v>
      </c>
      <c r="G5156" s="175"/>
      <c r="H5156" s="176">
        <v>1</v>
      </c>
      <c r="I5156" s="176"/>
      <c r="J5156" s="900" t="s">
        <v>2755</v>
      </c>
      <c r="K5156" s="164" t="s">
        <v>8274</v>
      </c>
      <c r="L5156" s="164" t="s">
        <v>3365</v>
      </c>
      <c r="M5156" s="164" t="s">
        <v>3365</v>
      </c>
      <c r="N5156" s="164"/>
      <c r="O5156" s="164"/>
      <c r="P5156" s="173" t="s">
        <v>461</v>
      </c>
      <c r="Q5156" s="164" t="s">
        <v>4104</v>
      </c>
      <c r="R5156" s="179" t="s">
        <v>14197</v>
      </c>
      <c r="S5156" s="354"/>
      <c r="T5156" s="173" t="s">
        <v>6925</v>
      </c>
      <c r="U5156" s="173" t="s">
        <v>6924</v>
      </c>
      <c r="V5156" s="173" t="s">
        <v>3629</v>
      </c>
      <c r="W5156" s="313" t="s">
        <v>14224</v>
      </c>
      <c r="X5156" s="645" t="s">
        <v>14196</v>
      </c>
      <c r="Y5156" s="354"/>
      <c r="Z5156" s="176"/>
      <c r="AA5156" s="176"/>
      <c r="AB5156" s="32">
        <f t="shared" ca="1" si="126"/>
        <v>0.81482131495937604</v>
      </c>
      <c r="AC5156" s="812"/>
      <c r="AD5156" s="842" t="s">
        <v>16650</v>
      </c>
      <c r="AE5156" s="807"/>
      <c r="AF5156" s="921">
        <f>IF(X5156=X5155,AF5155,0)+IF(ISNUMBER(I5156),IF(I5156&lt;1,I5156,I5156*VLOOKUP(J5156,Summary!$H$2:$I$9,2)),VLOOKUP(J5156,Summary!$J$2:$K$9,2)*IF(ISNUMBER(H5156),H5156,1))</f>
        <v>0.49305555555555541</v>
      </c>
      <c r="AG5156" s="289">
        <v>5155</v>
      </c>
      <c r="AH5156" s="94"/>
      <c r="AI5156" s="94"/>
    </row>
    <row r="5157" spans="1:35" s="89" customFormat="1" ht="12" customHeight="1" x14ac:dyDescent="0.25">
      <c r="A5157" s="627" t="s">
        <v>15674</v>
      </c>
      <c r="B5157" s="627">
        <v>12</v>
      </c>
      <c r="C5157" s="627"/>
      <c r="D5157" s="176" t="s">
        <v>3112</v>
      </c>
      <c r="E5157" s="313" t="s">
        <v>10122</v>
      </c>
      <c r="F5157" s="175">
        <v>41992</v>
      </c>
      <c r="G5157" s="175">
        <v>41994</v>
      </c>
      <c r="H5157" s="176">
        <v>3</v>
      </c>
      <c r="I5157" s="176">
        <v>9</v>
      </c>
      <c r="J5157" s="900" t="s">
        <v>2755</v>
      </c>
      <c r="K5157" s="164" t="s">
        <v>11391</v>
      </c>
      <c r="L5157" s="164" t="s">
        <v>461</v>
      </c>
      <c r="M5157" s="164"/>
      <c r="N5157" s="164"/>
      <c r="O5157" s="164"/>
      <c r="P5157" s="173" t="s">
        <v>461</v>
      </c>
      <c r="Q5157" s="164" t="s">
        <v>3946</v>
      </c>
      <c r="R5157" s="177" t="s">
        <v>7896</v>
      </c>
      <c r="S5157" s="354"/>
      <c r="T5157" s="173"/>
      <c r="U5157" s="173"/>
      <c r="V5157" s="173"/>
      <c r="W5157" s="313" t="s">
        <v>10122</v>
      </c>
      <c r="X5157" s="645" t="s">
        <v>12419</v>
      </c>
      <c r="Y5157" s="354" t="s">
        <v>6000</v>
      </c>
      <c r="Z5157" s="176"/>
      <c r="AA5157" s="176"/>
      <c r="AB5157" s="32">
        <f t="shared" ca="1" si="126"/>
        <v>2.9876460658527226E-2</v>
      </c>
      <c r="AC5157" s="812"/>
      <c r="AD5157" s="763"/>
      <c r="AE5157" s="807"/>
      <c r="AF5157" s="921">
        <f>IF(X5157=X5156,AF5156,0)+IF(ISNUMBER(I5157),IF(I5157&lt;1,I5157,I5157*VLOOKUP(J5157,Summary!$H$2:$I$9,2)),VLOOKUP(J5157,Summary!$J$2:$K$9,2)*IF(ISNUMBER(H5157),H5157,1))</f>
        <v>6.2500000000000003E-3</v>
      </c>
      <c r="AG5157" s="289">
        <v>5156</v>
      </c>
      <c r="AH5157" s="94"/>
      <c r="AI5157" s="94"/>
    </row>
    <row r="5158" spans="1:35" s="57" customFormat="1" ht="12" customHeight="1" x14ac:dyDescent="0.25">
      <c r="A5158" s="626" t="s">
        <v>15674</v>
      </c>
      <c r="B5158" s="626">
        <v>12</v>
      </c>
      <c r="C5158" s="626">
        <v>253</v>
      </c>
      <c r="D5158" s="424" t="s">
        <v>8194</v>
      </c>
      <c r="E5158" s="319" t="s">
        <v>666</v>
      </c>
      <c r="F5158" s="198">
        <v>41998</v>
      </c>
      <c r="G5158" s="198"/>
      <c r="H5158" s="199">
        <v>1</v>
      </c>
      <c r="I5158" s="791">
        <f>TIME(0,60,20)</f>
        <v>4.189814814814815E-2</v>
      </c>
      <c r="J5158" s="904" t="s">
        <v>1588</v>
      </c>
      <c r="K5158" s="200" t="s">
        <v>3810</v>
      </c>
      <c r="L5158" s="200" t="s">
        <v>8195</v>
      </c>
      <c r="M5158" s="200"/>
      <c r="N5158" s="200" t="s">
        <v>3810</v>
      </c>
      <c r="O5158" s="200" t="s">
        <v>8002</v>
      </c>
      <c r="P5158" s="197" t="s">
        <v>461</v>
      </c>
      <c r="Q5158" s="200" t="s">
        <v>3946</v>
      </c>
      <c r="R5158" s="201" t="s">
        <v>5280</v>
      </c>
      <c r="S5158" s="390" t="s">
        <v>6923</v>
      </c>
      <c r="T5158" s="197"/>
      <c r="U5158" s="197"/>
      <c r="V5158" s="197"/>
      <c r="W5158" s="319" t="s">
        <v>666</v>
      </c>
      <c r="X5158" s="651" t="s">
        <v>12419</v>
      </c>
      <c r="Y5158" s="358" t="s">
        <v>7018</v>
      </c>
      <c r="Z5158" s="253">
        <v>73</v>
      </c>
      <c r="AA5158" s="253">
        <v>7.5</v>
      </c>
      <c r="AB5158" s="35">
        <f t="shared" ca="1" si="126"/>
        <v>0.83787338198756789</v>
      </c>
      <c r="AC5158" s="820"/>
      <c r="AD5158" s="821"/>
      <c r="AE5158" s="967"/>
      <c r="AF5158" s="925">
        <f>IF(X5158=X5157,AF5157,0)+IF(ISNUMBER(I5158),IF(I5158&lt;1,I5158,I5158*VLOOKUP(J5158,Summary!$H$2:$I$9,2)),VLOOKUP(J5158,Summary!$J$2:$K$9,2)*IF(ISNUMBER(H5158),H5158,1))</f>
        <v>4.8148148148148148E-2</v>
      </c>
      <c r="AG5158" s="293">
        <v>5157</v>
      </c>
      <c r="AH5158" s="94"/>
      <c r="AI5158" s="94"/>
    </row>
    <row r="5159" spans="1:35" s="57" customFormat="1" ht="12" customHeight="1" x14ac:dyDescent="0.25">
      <c r="A5159" s="740" t="s">
        <v>15674</v>
      </c>
      <c r="B5159" s="740">
        <v>12</v>
      </c>
      <c r="C5159" s="740">
        <v>22</v>
      </c>
      <c r="D5159" s="407" t="s">
        <v>11308</v>
      </c>
      <c r="E5159" s="315" t="s">
        <v>11301</v>
      </c>
      <c r="F5159" s="196">
        <v>42236</v>
      </c>
      <c r="G5159" s="170"/>
      <c r="H5159" s="170">
        <v>1</v>
      </c>
      <c r="I5159" s="747">
        <f>TIME(0,60,0)</f>
        <v>4.1666666666666664E-2</v>
      </c>
      <c r="J5159" s="899" t="s">
        <v>4706</v>
      </c>
      <c r="K5159" s="167" t="s">
        <v>1643</v>
      </c>
      <c r="L5159" s="167"/>
      <c r="M5159" s="167" t="s">
        <v>11307</v>
      </c>
      <c r="N5159" s="167"/>
      <c r="O5159" s="167"/>
      <c r="P5159" s="168" t="s">
        <v>11309</v>
      </c>
      <c r="Q5159" s="167" t="s">
        <v>3950</v>
      </c>
      <c r="R5159" s="172" t="s">
        <v>2240</v>
      </c>
      <c r="S5159" s="388" t="s">
        <v>6923</v>
      </c>
      <c r="T5159" s="168"/>
      <c r="U5159" s="168"/>
      <c r="V5159" s="168"/>
      <c r="W5159" s="315" t="s">
        <v>11301</v>
      </c>
      <c r="X5159" s="647" t="s">
        <v>12419</v>
      </c>
      <c r="Y5159" s="352"/>
      <c r="Z5159" s="353"/>
      <c r="AA5159" s="353"/>
      <c r="AB5159" s="31">
        <f t="shared" ca="1" si="126"/>
        <v>0.46556598521193737</v>
      </c>
      <c r="AC5159" s="810"/>
      <c r="AD5159" s="811"/>
      <c r="AE5159" s="940"/>
      <c r="AF5159" s="920">
        <f>IF(X5159=X5158,AF5158,0)+IF(ISNUMBER(I5159),IF(I5159&lt;1,I5159,I5159*VLOOKUP(J5159,Summary!$H$2:$I$9,2)),VLOOKUP(J5159,Summary!$J$2:$K$9,2)*IF(ISNUMBER(H5159),H5159,1))</f>
        <v>8.981481481481482E-2</v>
      </c>
      <c r="AG5159" s="287">
        <v>5158</v>
      </c>
      <c r="AH5159" s="94"/>
      <c r="AI5159" s="94"/>
    </row>
    <row r="5160" spans="1:35" s="57" customFormat="1" ht="12" customHeight="1" x14ac:dyDescent="0.25">
      <c r="A5160" s="629" t="s">
        <v>15674</v>
      </c>
      <c r="B5160" s="629">
        <v>12</v>
      </c>
      <c r="C5160" s="629">
        <v>318</v>
      </c>
      <c r="D5160" s="185" t="s">
        <v>9873</v>
      </c>
      <c r="E5160" s="314" t="s">
        <v>2450</v>
      </c>
      <c r="F5160" s="184">
        <v>42004</v>
      </c>
      <c r="G5160" s="184"/>
      <c r="H5160" s="185">
        <v>1</v>
      </c>
      <c r="I5160" s="185">
        <v>4</v>
      </c>
      <c r="J5160" s="901" t="s">
        <v>1796</v>
      </c>
      <c r="K5160" s="163" t="s">
        <v>2939</v>
      </c>
      <c r="L5160" s="163" t="s">
        <v>3832</v>
      </c>
      <c r="M5160" s="163" t="s">
        <v>254</v>
      </c>
      <c r="N5160" s="163" t="s">
        <v>5317</v>
      </c>
      <c r="O5160" s="163"/>
      <c r="P5160" s="182" t="s">
        <v>461</v>
      </c>
      <c r="Q5160" s="163" t="s">
        <v>729</v>
      </c>
      <c r="R5160" s="186" t="s">
        <v>4796</v>
      </c>
      <c r="S5160" s="355" t="s">
        <v>6923</v>
      </c>
      <c r="T5160" s="182"/>
      <c r="U5160" s="182"/>
      <c r="V5160" s="182"/>
      <c r="W5160" s="314" t="s">
        <v>2450</v>
      </c>
      <c r="X5160" s="646" t="s">
        <v>12419</v>
      </c>
      <c r="Y5160" s="355"/>
      <c r="Z5160" s="185"/>
      <c r="AA5160" s="185"/>
      <c r="AB5160" s="33">
        <f t="shared" ca="1" si="126"/>
        <v>0.26702120825290077</v>
      </c>
      <c r="AC5160" s="813"/>
      <c r="AD5160" s="211"/>
      <c r="AE5160" s="941"/>
      <c r="AF5160" s="922">
        <f>IF(X5160=X5159,AF5159,0)+IF(ISNUMBER(I5160),IF(I5160&lt;1,I5160,I5160*VLOOKUP(J5160,Summary!$H$2:$I$9,2)),VLOOKUP(J5160,Summary!$J$2:$K$9,2)*IF(ISNUMBER(H5160),H5160,1))</f>
        <v>9.1203703703703703E-2</v>
      </c>
      <c r="AG5160" s="290">
        <v>5159</v>
      </c>
      <c r="AH5160" s="94"/>
      <c r="AI5160" s="94"/>
    </row>
    <row r="5161" spans="1:35" s="57" customFormat="1" ht="12" customHeight="1" x14ac:dyDescent="0.25">
      <c r="A5161" s="629" t="s">
        <v>15674</v>
      </c>
      <c r="B5161" s="629">
        <v>12</v>
      </c>
      <c r="C5161" s="629">
        <v>319</v>
      </c>
      <c r="D5161" s="185" t="s">
        <v>9874</v>
      </c>
      <c r="E5161" s="314" t="s">
        <v>9877</v>
      </c>
      <c r="F5161" s="184">
        <v>42032</v>
      </c>
      <c r="G5161" s="184"/>
      <c r="H5161" s="185">
        <v>1</v>
      </c>
      <c r="I5161" s="185">
        <v>4</v>
      </c>
      <c r="J5161" s="901" t="s">
        <v>1796</v>
      </c>
      <c r="K5161" s="163" t="s">
        <v>9475</v>
      </c>
      <c r="L5161" s="163" t="s">
        <v>3832</v>
      </c>
      <c r="M5161" s="163" t="s">
        <v>254</v>
      </c>
      <c r="N5161" s="163" t="s">
        <v>5317</v>
      </c>
      <c r="O5161" s="163"/>
      <c r="P5161" s="182" t="s">
        <v>461</v>
      </c>
      <c r="Q5161" s="163" t="s">
        <v>729</v>
      </c>
      <c r="R5161" s="186" t="s">
        <v>4796</v>
      </c>
      <c r="S5161" s="355" t="s">
        <v>6923</v>
      </c>
      <c r="T5161" s="182"/>
      <c r="U5161" s="182"/>
      <c r="V5161" s="182"/>
      <c r="W5161" s="314" t="s">
        <v>9877</v>
      </c>
      <c r="X5161" s="646" t="s">
        <v>12419</v>
      </c>
      <c r="Y5161" s="355"/>
      <c r="Z5161" s="185"/>
      <c r="AA5161" s="185"/>
      <c r="AB5161" s="33">
        <f t="shared" ca="1" si="126"/>
        <v>0.67504173774133536</v>
      </c>
      <c r="AC5161" s="813"/>
      <c r="AD5161" s="211"/>
      <c r="AE5161" s="941"/>
      <c r="AF5161" s="922">
        <f>IF(X5161=X5160,AF5160,0)+IF(ISNUMBER(I5161),IF(I5161&lt;1,I5161,I5161*VLOOKUP(J5161,Summary!$H$2:$I$9,2)),VLOOKUP(J5161,Summary!$J$2:$K$9,2)*IF(ISNUMBER(H5161),H5161,1))</f>
        <v>9.2592592592592587E-2</v>
      </c>
      <c r="AG5161" s="290">
        <v>5160</v>
      </c>
      <c r="AH5161" s="94"/>
      <c r="AI5161" s="94"/>
    </row>
    <row r="5162" spans="1:35" s="57" customFormat="1" ht="12" customHeight="1" x14ac:dyDescent="0.25">
      <c r="A5162" s="629" t="s">
        <v>15674</v>
      </c>
      <c r="B5162" s="629">
        <v>12</v>
      </c>
      <c r="C5162" s="629">
        <v>320</v>
      </c>
      <c r="D5162" s="185" t="s">
        <v>9875</v>
      </c>
      <c r="E5162" s="314" t="s">
        <v>9878</v>
      </c>
      <c r="F5162" s="184">
        <v>42060</v>
      </c>
      <c r="G5162" s="184"/>
      <c r="H5162" s="185">
        <v>1</v>
      </c>
      <c r="I5162" s="185">
        <v>4</v>
      </c>
      <c r="J5162" s="901" t="s">
        <v>1796</v>
      </c>
      <c r="K5162" s="163" t="s">
        <v>5664</v>
      </c>
      <c r="L5162" s="163" t="s">
        <v>3832</v>
      </c>
      <c r="M5162" s="163" t="s">
        <v>254</v>
      </c>
      <c r="N5162" s="163" t="s">
        <v>5317</v>
      </c>
      <c r="O5162" s="163"/>
      <c r="P5162" s="182" t="s">
        <v>461</v>
      </c>
      <c r="Q5162" s="163" t="s">
        <v>729</v>
      </c>
      <c r="R5162" s="186" t="s">
        <v>4796</v>
      </c>
      <c r="S5162" s="355" t="s">
        <v>6923</v>
      </c>
      <c r="T5162" s="182"/>
      <c r="U5162" s="182"/>
      <c r="V5162" s="182"/>
      <c r="W5162" s="314" t="s">
        <v>9878</v>
      </c>
      <c r="X5162" s="646" t="s">
        <v>12419</v>
      </c>
      <c r="Y5162" s="355"/>
      <c r="Z5162" s="185"/>
      <c r="AA5162" s="185"/>
      <c r="AB5162" s="33">
        <f t="shared" ca="1" si="126"/>
        <v>0.9919561824162122</v>
      </c>
      <c r="AC5162" s="813"/>
      <c r="AD5162" s="211"/>
      <c r="AE5162" s="941"/>
      <c r="AF5162" s="922">
        <f>IF(X5162=X5161,AF5161,0)+IF(ISNUMBER(I5162),IF(I5162&lt;1,I5162,I5162*VLOOKUP(J5162,Summary!$H$2:$I$9,2)),VLOOKUP(J5162,Summary!$J$2:$K$9,2)*IF(ISNUMBER(H5162),H5162,1))</f>
        <v>9.3981481481481471E-2</v>
      </c>
      <c r="AG5162" s="290">
        <v>5161</v>
      </c>
      <c r="AH5162" s="94"/>
      <c r="AI5162" s="94"/>
    </row>
    <row r="5163" spans="1:35" s="22" customFormat="1" ht="12" customHeight="1" x14ac:dyDescent="0.2">
      <c r="A5163" s="629" t="s">
        <v>15674</v>
      </c>
      <c r="B5163" s="629">
        <v>12</v>
      </c>
      <c r="C5163" s="629">
        <v>321</v>
      </c>
      <c r="D5163" s="185" t="s">
        <v>9876</v>
      </c>
      <c r="E5163" s="314" t="s">
        <v>9879</v>
      </c>
      <c r="F5163" s="184">
        <v>42088</v>
      </c>
      <c r="G5163" s="184"/>
      <c r="H5163" s="185">
        <v>1</v>
      </c>
      <c r="I5163" s="185">
        <v>4</v>
      </c>
      <c r="J5163" s="901" t="s">
        <v>1796</v>
      </c>
      <c r="K5163" s="163" t="s">
        <v>5664</v>
      </c>
      <c r="L5163" s="163" t="s">
        <v>3832</v>
      </c>
      <c r="M5163" s="163" t="s">
        <v>254</v>
      </c>
      <c r="N5163" s="163" t="s">
        <v>5317</v>
      </c>
      <c r="O5163" s="163"/>
      <c r="P5163" s="182" t="s">
        <v>461</v>
      </c>
      <c r="Q5163" s="163" t="s">
        <v>729</v>
      </c>
      <c r="R5163" s="186" t="s">
        <v>4796</v>
      </c>
      <c r="S5163" s="355" t="s">
        <v>6923</v>
      </c>
      <c r="T5163" s="182"/>
      <c r="U5163" s="182"/>
      <c r="V5163" s="182"/>
      <c r="W5163" s="314" t="s">
        <v>9879</v>
      </c>
      <c r="X5163" s="646" t="s">
        <v>12419</v>
      </c>
      <c r="Y5163" s="355"/>
      <c r="Z5163" s="185"/>
      <c r="AA5163" s="185"/>
      <c r="AB5163" s="33">
        <f t="shared" ca="1" si="126"/>
        <v>0.15958433233529468</v>
      </c>
      <c r="AC5163" s="813"/>
      <c r="AD5163" s="211"/>
      <c r="AE5163" s="941"/>
      <c r="AF5163" s="922">
        <f>IF(X5163=X5162,AF5162,0)+IF(ISNUMBER(I5163),IF(I5163&lt;1,I5163,I5163*VLOOKUP(J5163,Summary!$H$2:$I$9,2)),VLOOKUP(J5163,Summary!$J$2:$K$9,2)*IF(ISNUMBER(H5163),H5163,1))</f>
        <v>9.5370370370370355E-2</v>
      </c>
      <c r="AG5163" s="290">
        <v>5162</v>
      </c>
      <c r="AH5163" s="94"/>
      <c r="AI5163" s="94"/>
    </row>
    <row r="5164" spans="1:35" s="57" customFormat="1" ht="12" customHeight="1" x14ac:dyDescent="0.25">
      <c r="A5164" s="630" t="s">
        <v>15674</v>
      </c>
      <c r="B5164" s="630">
        <v>12</v>
      </c>
      <c r="C5164" s="630">
        <v>57</v>
      </c>
      <c r="D5164" s="417" t="s">
        <v>9755</v>
      </c>
      <c r="E5164" s="316" t="s">
        <v>9743</v>
      </c>
      <c r="F5164" s="195">
        <v>42257</v>
      </c>
      <c r="G5164" s="195"/>
      <c r="H5164" s="188" t="str">
        <f>IF(J5164="Book","n/a","")</f>
        <v>n/a</v>
      </c>
      <c r="I5164" s="188">
        <v>242</v>
      </c>
      <c r="J5164" s="902" t="s">
        <v>6868</v>
      </c>
      <c r="K5164" s="162" t="s">
        <v>7797</v>
      </c>
      <c r="L5164" s="264" t="s">
        <v>461</v>
      </c>
      <c r="M5164" s="162" t="s">
        <v>9757</v>
      </c>
      <c r="N5164" s="162"/>
      <c r="O5164" s="162"/>
      <c r="P5164" s="178" t="s">
        <v>9758</v>
      </c>
      <c r="Q5164" s="162" t="s">
        <v>3953</v>
      </c>
      <c r="R5164" s="189" t="s">
        <v>2711</v>
      </c>
      <c r="S5164" s="366" t="s">
        <v>6923</v>
      </c>
      <c r="T5164" s="178"/>
      <c r="U5164" s="178"/>
      <c r="V5164" s="178"/>
      <c r="W5164" s="316" t="s">
        <v>9743</v>
      </c>
      <c r="X5164" s="648" t="s">
        <v>12419</v>
      </c>
      <c r="Y5164" s="356"/>
      <c r="Z5164" s="272"/>
      <c r="AA5164" s="272"/>
      <c r="AB5164" s="34">
        <f t="shared" ca="1" si="126"/>
        <v>0.83512201858758739</v>
      </c>
      <c r="AC5164" s="814"/>
      <c r="AD5164" s="815"/>
      <c r="AE5164" s="942"/>
      <c r="AF5164" s="923">
        <f>IF(X5164=X5163,AF5163,0)+IF(ISNUMBER(I5164),IF(I5164&lt;1,I5164,I5164*VLOOKUP(J5164,Summary!$H$2:$I$9,2)),VLOOKUP(J5164,Summary!$J$2:$K$9,2)*IF(ISNUMBER(H5164),H5164,1))</f>
        <v>0.26342592592592595</v>
      </c>
      <c r="AG5164" s="291">
        <v>5163</v>
      </c>
      <c r="AH5164" s="94"/>
      <c r="AI5164" s="94"/>
    </row>
    <row r="5165" spans="1:35" s="57" customFormat="1" ht="12" customHeight="1" x14ac:dyDescent="0.25">
      <c r="A5165" s="627" t="s">
        <v>15674</v>
      </c>
      <c r="B5165" s="627">
        <v>12</v>
      </c>
      <c r="C5165" s="627">
        <v>1</v>
      </c>
      <c r="D5165" s="176" t="s">
        <v>9765</v>
      </c>
      <c r="E5165" s="313" t="s">
        <v>9766</v>
      </c>
      <c r="F5165" s="175">
        <v>42159</v>
      </c>
      <c r="G5165" s="174"/>
      <c r="H5165" s="176" t="s">
        <v>461</v>
      </c>
      <c r="I5165" s="176"/>
      <c r="J5165" s="900" t="s">
        <v>2755</v>
      </c>
      <c r="K5165" s="164" t="s">
        <v>563</v>
      </c>
      <c r="L5165" s="164" t="s">
        <v>461</v>
      </c>
      <c r="M5165" s="164"/>
      <c r="N5165" s="164"/>
      <c r="O5165" s="164"/>
      <c r="P5165" s="173" t="s">
        <v>9509</v>
      </c>
      <c r="Q5165" s="164" t="s">
        <v>3953</v>
      </c>
      <c r="R5165" s="177" t="s">
        <v>9510</v>
      </c>
      <c r="S5165" s="354" t="s">
        <v>6923</v>
      </c>
      <c r="T5165" s="173"/>
      <c r="U5165" s="173"/>
      <c r="V5165" s="173"/>
      <c r="W5165" s="313" t="s">
        <v>9766</v>
      </c>
      <c r="X5165" s="645" t="s">
        <v>12419</v>
      </c>
      <c r="Y5165" s="354"/>
      <c r="Z5165" s="157"/>
      <c r="AA5165" s="176"/>
      <c r="AB5165" s="32">
        <f t="shared" ca="1" si="126"/>
        <v>1.1930177195842218E-2</v>
      </c>
      <c r="AC5165" s="812"/>
      <c r="AD5165" s="763"/>
      <c r="AE5165" s="807"/>
      <c r="AF5165" s="921">
        <f>IF(X5165=X5164,AF5164,0)+IF(ISNUMBER(I5165),IF(I5165&lt;1,I5165,I5165*VLOOKUP(J5165,Summary!$H$2:$I$9,2)),VLOOKUP(J5165,Summary!$J$2:$K$9,2)*IF(ISNUMBER(H5165),H5165,1))</f>
        <v>0.28078703703703706</v>
      </c>
      <c r="AG5165" s="289">
        <v>5164</v>
      </c>
      <c r="AH5165" s="94"/>
      <c r="AI5165" s="94"/>
    </row>
    <row r="5166" spans="1:35" s="57" customFormat="1" ht="12" customHeight="1" x14ac:dyDescent="0.25">
      <c r="A5166" s="629" t="s">
        <v>15674</v>
      </c>
      <c r="B5166" s="629">
        <v>12</v>
      </c>
      <c r="C5166" s="629">
        <v>165</v>
      </c>
      <c r="D5166" s="185" t="s">
        <v>9845</v>
      </c>
      <c r="E5166" s="314" t="s">
        <v>9844</v>
      </c>
      <c r="F5166" s="183">
        <v>42064</v>
      </c>
      <c r="G5166" s="183"/>
      <c r="H5166" s="185">
        <v>1</v>
      </c>
      <c r="I5166" s="185">
        <v>12</v>
      </c>
      <c r="J5166" s="901" t="s">
        <v>1796</v>
      </c>
      <c r="K5166" s="163" t="s">
        <v>563</v>
      </c>
      <c r="L5166" s="163" t="s">
        <v>8291</v>
      </c>
      <c r="M5166" s="163" t="s">
        <v>252</v>
      </c>
      <c r="N5166" s="163" t="s">
        <v>9843</v>
      </c>
      <c r="O5166" s="163"/>
      <c r="P5166" s="182" t="s">
        <v>461</v>
      </c>
      <c r="Q5166" s="163" t="s">
        <v>4104</v>
      </c>
      <c r="R5166" s="186" t="s">
        <v>5266</v>
      </c>
      <c r="S5166" s="355" t="s">
        <v>6923</v>
      </c>
      <c r="T5166" s="182"/>
      <c r="U5166" s="182"/>
      <c r="V5166" s="182"/>
      <c r="W5166" s="314" t="s">
        <v>9844</v>
      </c>
      <c r="X5166" s="646" t="s">
        <v>12419</v>
      </c>
      <c r="Y5166" s="355"/>
      <c r="Z5166" s="185"/>
      <c r="AA5166" s="185"/>
      <c r="AB5166" s="33">
        <f t="shared" ca="1" si="126"/>
        <v>0.25876780291359391</v>
      </c>
      <c r="AC5166" s="813"/>
      <c r="AD5166" s="211"/>
      <c r="AE5166" s="941"/>
      <c r="AF5166" s="922">
        <f>IF(X5166=X5165,AF5165,0)+IF(ISNUMBER(I5166),IF(I5166&lt;1,I5166,I5166*VLOOKUP(J5166,Summary!$H$2:$I$9,2)),VLOOKUP(J5166,Summary!$J$2:$K$9,2)*IF(ISNUMBER(H5166),H5166,1))</f>
        <v>0.28495370370370371</v>
      </c>
      <c r="AG5166" s="290">
        <v>5165</v>
      </c>
      <c r="AH5166" s="94"/>
      <c r="AI5166" s="94"/>
    </row>
    <row r="5167" spans="1:35" s="57" customFormat="1" ht="12" customHeight="1" x14ac:dyDescent="0.25">
      <c r="A5167" s="629" t="s">
        <v>15674</v>
      </c>
      <c r="B5167" s="629">
        <v>12</v>
      </c>
      <c r="C5167" s="629">
        <v>166</v>
      </c>
      <c r="D5167" s="185" t="s">
        <v>9846</v>
      </c>
      <c r="E5167" s="314" t="s">
        <v>9847</v>
      </c>
      <c r="F5167" s="183">
        <v>42095</v>
      </c>
      <c r="G5167" s="183">
        <v>42156</v>
      </c>
      <c r="H5167" s="185">
        <v>4</v>
      </c>
      <c r="I5167" s="185">
        <v>48</v>
      </c>
      <c r="J5167" s="901" t="s">
        <v>1796</v>
      </c>
      <c r="K5167" s="163" t="s">
        <v>4552</v>
      </c>
      <c r="L5167" s="163" t="s">
        <v>6057</v>
      </c>
      <c r="M5167" s="163" t="s">
        <v>252</v>
      </c>
      <c r="N5167" s="163" t="s">
        <v>9843</v>
      </c>
      <c r="O5167" s="163"/>
      <c r="P5167" s="182" t="s">
        <v>461</v>
      </c>
      <c r="Q5167" s="163" t="s">
        <v>4104</v>
      </c>
      <c r="R5167" s="186" t="s">
        <v>5266</v>
      </c>
      <c r="S5167" s="355" t="s">
        <v>6923</v>
      </c>
      <c r="T5167" s="182"/>
      <c r="U5167" s="182"/>
      <c r="V5167" s="182"/>
      <c r="W5167" s="314"/>
      <c r="X5167" s="646" t="s">
        <v>12419</v>
      </c>
      <c r="Y5167" s="355"/>
      <c r="Z5167" s="185"/>
      <c r="AA5167" s="185"/>
      <c r="AB5167" s="33">
        <f t="shared" ca="1" si="126"/>
        <v>0.52970832496887521</v>
      </c>
      <c r="AC5167" s="813"/>
      <c r="AD5167" s="211"/>
      <c r="AE5167" s="941"/>
      <c r="AF5167" s="922">
        <f>IF(X5167=X5166,AF5166,0)+IF(ISNUMBER(I5167),IF(I5167&lt;1,I5167,I5167*VLOOKUP(J5167,Summary!$H$2:$I$9,2)),VLOOKUP(J5167,Summary!$J$2:$K$9,2)*IF(ISNUMBER(H5167),H5167,1))</f>
        <v>0.30162037037037037</v>
      </c>
      <c r="AG5167" s="290">
        <v>5166</v>
      </c>
      <c r="AH5167" s="94"/>
      <c r="AI5167" s="94"/>
    </row>
    <row r="5168" spans="1:35" s="57" customFormat="1" ht="12" customHeight="1" x14ac:dyDescent="0.25">
      <c r="A5168" s="629" t="s">
        <v>15674</v>
      </c>
      <c r="B5168" s="629">
        <v>12</v>
      </c>
      <c r="C5168" s="629">
        <v>5</v>
      </c>
      <c r="D5168" s="185" t="s">
        <v>10910</v>
      </c>
      <c r="E5168" s="314" t="s">
        <v>10911</v>
      </c>
      <c r="F5168" s="184">
        <v>42196</v>
      </c>
      <c r="G5168" s="184"/>
      <c r="H5168" s="185">
        <v>1</v>
      </c>
      <c r="I5168" s="185">
        <v>12</v>
      </c>
      <c r="J5168" s="901" t="s">
        <v>1796</v>
      </c>
      <c r="K5168" s="163" t="s">
        <v>10889</v>
      </c>
      <c r="L5168" s="163" t="s">
        <v>10912</v>
      </c>
      <c r="M5168" s="163" t="s">
        <v>10908</v>
      </c>
      <c r="N5168" s="163"/>
      <c r="O5168" s="163"/>
      <c r="P5168" s="182" t="s">
        <v>461</v>
      </c>
      <c r="Q5168" s="163" t="s">
        <v>7076</v>
      </c>
      <c r="R5168" s="186" t="s">
        <v>10880</v>
      </c>
      <c r="S5168" s="355" t="s">
        <v>6923</v>
      </c>
      <c r="T5168" s="182"/>
      <c r="U5168" s="182"/>
      <c r="V5168" s="182"/>
      <c r="W5168" s="314" t="s">
        <v>10911</v>
      </c>
      <c r="X5168" s="646" t="s">
        <v>12419</v>
      </c>
      <c r="Y5168" s="355"/>
      <c r="Z5168" s="185"/>
      <c r="AA5168" s="185"/>
      <c r="AB5168" s="33">
        <f t="shared" ca="1" si="126"/>
        <v>0.20783680407765159</v>
      </c>
      <c r="AC5168" s="813"/>
      <c r="AD5168" s="211"/>
      <c r="AE5168" s="941"/>
      <c r="AF5168" s="922">
        <f>IF(X5168=X5167,AF5167,0)+IF(ISNUMBER(I5168),IF(I5168&lt;1,I5168,I5168*VLOOKUP(J5168,Summary!$H$2:$I$9,2)),VLOOKUP(J5168,Summary!$J$2:$K$9,2)*IF(ISNUMBER(H5168),H5168,1))</f>
        <v>0.30578703703703702</v>
      </c>
      <c r="AG5168" s="290">
        <v>5167</v>
      </c>
      <c r="AH5168" s="94"/>
      <c r="AI5168" s="94"/>
    </row>
    <row r="5169" spans="1:35" s="57" customFormat="1" ht="12" customHeight="1" x14ac:dyDescent="0.25">
      <c r="A5169" s="629" t="s">
        <v>15674</v>
      </c>
      <c r="B5169" s="629">
        <v>12</v>
      </c>
      <c r="C5169" s="629">
        <v>1</v>
      </c>
      <c r="D5169" s="185" t="s">
        <v>9885</v>
      </c>
      <c r="E5169" s="314" t="s">
        <v>9891</v>
      </c>
      <c r="F5169" s="184">
        <v>42117</v>
      </c>
      <c r="G5169" s="184"/>
      <c r="H5169" s="185">
        <v>2</v>
      </c>
      <c r="I5169" s="185">
        <v>9</v>
      </c>
      <c r="J5169" s="901" t="s">
        <v>1796</v>
      </c>
      <c r="K5169" s="163" t="s">
        <v>9880</v>
      </c>
      <c r="L5169" s="163" t="s">
        <v>9881</v>
      </c>
      <c r="M5169" s="163" t="s">
        <v>9882</v>
      </c>
      <c r="N5169" s="163"/>
      <c r="O5169" s="163"/>
      <c r="P5169" s="182" t="s">
        <v>461</v>
      </c>
      <c r="Q5169" s="163" t="s">
        <v>9883</v>
      </c>
      <c r="R5169" s="186" t="s">
        <v>9898</v>
      </c>
      <c r="S5169" s="355" t="s">
        <v>6923</v>
      </c>
      <c r="T5169" s="182"/>
      <c r="U5169" s="182"/>
      <c r="V5169" s="182"/>
      <c r="W5169" s="314"/>
      <c r="X5169" s="646" t="s">
        <v>12419</v>
      </c>
      <c r="Y5169" s="355"/>
      <c r="Z5169" s="185"/>
      <c r="AA5169" s="185"/>
      <c r="AB5169" s="33">
        <f t="shared" ca="1" si="126"/>
        <v>0.14249177531062418</v>
      </c>
      <c r="AC5169" s="813"/>
      <c r="AD5169" s="211"/>
      <c r="AE5169" s="941"/>
      <c r="AF5169" s="922">
        <f>IF(X5169=X5168,AF5168,0)+IF(ISNUMBER(I5169),IF(I5169&lt;1,I5169,I5169*VLOOKUP(J5169,Summary!$H$2:$I$9,2)),VLOOKUP(J5169,Summary!$J$2:$K$9,2)*IF(ISNUMBER(H5169),H5169,1))</f>
        <v>0.30891203703703701</v>
      </c>
      <c r="AG5169" s="290">
        <v>5168</v>
      </c>
      <c r="AH5169" s="94"/>
      <c r="AI5169" s="94"/>
    </row>
    <row r="5170" spans="1:35" s="57" customFormat="1" ht="12" customHeight="1" x14ac:dyDescent="0.25">
      <c r="A5170" s="629" t="s">
        <v>15674</v>
      </c>
      <c r="B5170" s="629">
        <v>12</v>
      </c>
      <c r="C5170" s="629">
        <v>2</v>
      </c>
      <c r="D5170" s="185" t="s">
        <v>9886</v>
      </c>
      <c r="E5170" s="314" t="s">
        <v>9892</v>
      </c>
      <c r="F5170" s="184">
        <v>42145</v>
      </c>
      <c r="G5170" s="184"/>
      <c r="H5170" s="185">
        <v>2</v>
      </c>
      <c r="I5170" s="185">
        <v>9</v>
      </c>
      <c r="J5170" s="901" t="s">
        <v>1796</v>
      </c>
      <c r="K5170" s="163" t="s">
        <v>9880</v>
      </c>
      <c r="L5170" s="163" t="s">
        <v>9881</v>
      </c>
      <c r="M5170" s="163" t="s">
        <v>9882</v>
      </c>
      <c r="N5170" s="163"/>
      <c r="O5170" s="163"/>
      <c r="P5170" s="182" t="s">
        <v>461</v>
      </c>
      <c r="Q5170" s="163" t="s">
        <v>9883</v>
      </c>
      <c r="R5170" s="186" t="s">
        <v>9898</v>
      </c>
      <c r="S5170" s="355" t="s">
        <v>6923</v>
      </c>
      <c r="T5170" s="182"/>
      <c r="U5170" s="182"/>
      <c r="V5170" s="182"/>
      <c r="W5170" s="314"/>
      <c r="X5170" s="646" t="s">
        <v>12419</v>
      </c>
      <c r="Y5170" s="355"/>
      <c r="Z5170" s="185"/>
      <c r="AA5170" s="185"/>
      <c r="AB5170" s="33">
        <f t="shared" ca="1" si="126"/>
        <v>0.55156136884737716</v>
      </c>
      <c r="AC5170" s="813"/>
      <c r="AD5170" s="211"/>
      <c r="AE5170" s="941"/>
      <c r="AF5170" s="922">
        <f>IF(X5170=X5169,AF5169,0)+IF(ISNUMBER(I5170),IF(I5170&lt;1,I5170,I5170*VLOOKUP(J5170,Summary!$H$2:$I$9,2)),VLOOKUP(J5170,Summary!$J$2:$K$9,2)*IF(ISNUMBER(H5170),H5170,1))</f>
        <v>0.312037037037037</v>
      </c>
      <c r="AG5170" s="290">
        <v>5169</v>
      </c>
      <c r="AH5170" s="94"/>
      <c r="AI5170" s="94"/>
    </row>
    <row r="5171" spans="1:35" s="22" customFormat="1" ht="12" customHeight="1" x14ac:dyDescent="0.25">
      <c r="A5171" s="627" t="s">
        <v>15674</v>
      </c>
      <c r="B5171" s="627">
        <v>12</v>
      </c>
      <c r="C5171" s="627">
        <v>1</v>
      </c>
      <c r="D5171" s="176" t="s">
        <v>9887</v>
      </c>
      <c r="E5171" s="313" t="s">
        <v>9893</v>
      </c>
      <c r="F5171" s="175">
        <v>42173</v>
      </c>
      <c r="G5171" s="175"/>
      <c r="H5171" s="176">
        <v>1</v>
      </c>
      <c r="I5171" s="176"/>
      <c r="J5171" s="900" t="s">
        <v>2755</v>
      </c>
      <c r="K5171" s="164" t="s">
        <v>3365</v>
      </c>
      <c r="L5171" s="164" t="s">
        <v>461</v>
      </c>
      <c r="M5171" s="164" t="s">
        <v>461</v>
      </c>
      <c r="N5171" s="164"/>
      <c r="O5171" s="164"/>
      <c r="P5171" s="173" t="s">
        <v>461</v>
      </c>
      <c r="Q5171" s="164" t="s">
        <v>9883</v>
      </c>
      <c r="R5171" s="177" t="s">
        <v>9884</v>
      </c>
      <c r="S5171" s="354"/>
      <c r="T5171" s="173" t="s">
        <v>6925</v>
      </c>
      <c r="U5171" s="173" t="s">
        <v>6924</v>
      </c>
      <c r="V5171" s="173" t="s">
        <v>3629</v>
      </c>
      <c r="W5171" s="313" t="s">
        <v>9893</v>
      </c>
      <c r="X5171" s="645" t="s">
        <v>12419</v>
      </c>
      <c r="Y5171" s="354"/>
      <c r="Z5171" s="176"/>
      <c r="AA5171" s="176"/>
      <c r="AB5171" s="32">
        <f t="shared" ca="1" si="126"/>
        <v>0.72215915217957349</v>
      </c>
      <c r="AC5171" s="812"/>
      <c r="AD5171" s="837"/>
      <c r="AE5171" s="807"/>
      <c r="AF5171" s="921">
        <f>IF(X5171=X5170,AF5170,0)+IF(ISNUMBER(I5171),IF(I5171&lt;1,I5171,I5171*VLOOKUP(J5171,Summary!$H$2:$I$9,2)),VLOOKUP(J5171,Summary!$J$2:$K$9,2)*IF(ISNUMBER(H5171),H5171,1))</f>
        <v>0.32939814814814811</v>
      </c>
      <c r="AG5171" s="289">
        <v>5170</v>
      </c>
      <c r="AH5171" s="94"/>
      <c r="AI5171" s="94"/>
    </row>
    <row r="5172" spans="1:35" s="22" customFormat="1" ht="12" customHeight="1" x14ac:dyDescent="0.2">
      <c r="A5172" s="629" t="s">
        <v>15674</v>
      </c>
      <c r="B5172" s="629">
        <v>12</v>
      </c>
      <c r="C5172" s="629">
        <v>3</v>
      </c>
      <c r="D5172" s="185" t="s">
        <v>9887</v>
      </c>
      <c r="E5172" s="314" t="s">
        <v>9894</v>
      </c>
      <c r="F5172" s="184">
        <v>42173</v>
      </c>
      <c r="G5172" s="184"/>
      <c r="H5172" s="185">
        <v>2</v>
      </c>
      <c r="I5172" s="185">
        <v>9</v>
      </c>
      <c r="J5172" s="901" t="s">
        <v>1796</v>
      </c>
      <c r="K5172" s="163" t="s">
        <v>9880</v>
      </c>
      <c r="L5172" s="163" t="s">
        <v>9881</v>
      </c>
      <c r="M5172" s="163" t="s">
        <v>9882</v>
      </c>
      <c r="N5172" s="163"/>
      <c r="O5172" s="163"/>
      <c r="P5172" s="182" t="s">
        <v>461</v>
      </c>
      <c r="Q5172" s="163" t="s">
        <v>9883</v>
      </c>
      <c r="R5172" s="186" t="s">
        <v>9898</v>
      </c>
      <c r="S5172" s="355" t="s">
        <v>6923</v>
      </c>
      <c r="T5172" s="182"/>
      <c r="U5172" s="182"/>
      <c r="V5172" s="182"/>
      <c r="W5172" s="314"/>
      <c r="X5172" s="646" t="s">
        <v>12419</v>
      </c>
      <c r="Y5172" s="355"/>
      <c r="Z5172" s="185"/>
      <c r="AA5172" s="185"/>
      <c r="AB5172" s="33">
        <f t="shared" ca="1" si="126"/>
        <v>0.80757592324038574</v>
      </c>
      <c r="AC5172" s="813"/>
      <c r="AD5172" s="836"/>
      <c r="AE5172" s="941"/>
      <c r="AF5172" s="922">
        <f>IF(X5172=X5171,AF5171,0)+IF(ISNUMBER(I5172),IF(I5172&lt;1,I5172,I5172*VLOOKUP(J5172,Summary!$H$2:$I$9,2)),VLOOKUP(J5172,Summary!$J$2:$K$9,2)*IF(ISNUMBER(H5172),H5172,1))</f>
        <v>0.3325231481481481</v>
      </c>
      <c r="AG5172" s="290">
        <v>5171</v>
      </c>
      <c r="AH5172" s="94"/>
      <c r="AI5172" s="94"/>
    </row>
    <row r="5173" spans="1:35" s="22" customFormat="1" ht="12" customHeight="1" x14ac:dyDescent="0.2">
      <c r="A5173" s="629" t="s">
        <v>15674</v>
      </c>
      <c r="B5173" s="629">
        <v>12</v>
      </c>
      <c r="C5173" s="629">
        <v>4</v>
      </c>
      <c r="D5173" s="185" t="s">
        <v>9888</v>
      </c>
      <c r="E5173" s="314" t="s">
        <v>9895</v>
      </c>
      <c r="F5173" s="184">
        <v>42201</v>
      </c>
      <c r="G5173" s="184"/>
      <c r="H5173" s="185">
        <v>2</v>
      </c>
      <c r="I5173" s="185">
        <v>9</v>
      </c>
      <c r="J5173" s="901" t="s">
        <v>1796</v>
      </c>
      <c r="K5173" s="163" t="s">
        <v>9880</v>
      </c>
      <c r="L5173" s="163" t="s">
        <v>9881</v>
      </c>
      <c r="M5173" s="163" t="s">
        <v>9882</v>
      </c>
      <c r="N5173" s="163"/>
      <c r="O5173" s="163"/>
      <c r="P5173" s="182" t="s">
        <v>461</v>
      </c>
      <c r="Q5173" s="163" t="s">
        <v>9883</v>
      </c>
      <c r="R5173" s="186" t="s">
        <v>9898</v>
      </c>
      <c r="S5173" s="355" t="s">
        <v>6923</v>
      </c>
      <c r="T5173" s="182"/>
      <c r="U5173" s="182"/>
      <c r="V5173" s="182"/>
      <c r="W5173" s="314"/>
      <c r="X5173" s="646" t="s">
        <v>12419</v>
      </c>
      <c r="Y5173" s="355"/>
      <c r="Z5173" s="185"/>
      <c r="AA5173" s="185"/>
      <c r="AB5173" s="33">
        <f t="shared" ca="1" si="126"/>
        <v>0.98756904682690771</v>
      </c>
      <c r="AC5173" s="813"/>
      <c r="AD5173" s="211"/>
      <c r="AE5173" s="941"/>
      <c r="AF5173" s="922">
        <f>IF(X5173=X5172,AF5172,0)+IF(ISNUMBER(I5173),IF(I5173&lt;1,I5173,I5173*VLOOKUP(J5173,Summary!$H$2:$I$9,2)),VLOOKUP(J5173,Summary!$J$2:$K$9,2)*IF(ISNUMBER(H5173),H5173,1))</f>
        <v>0.33564814814814808</v>
      </c>
      <c r="AG5173" s="290">
        <v>5172</v>
      </c>
      <c r="AH5173" s="94"/>
      <c r="AI5173" s="94"/>
    </row>
    <row r="5174" spans="1:35" s="57" customFormat="1" ht="12" customHeight="1" x14ac:dyDescent="0.25">
      <c r="A5174" s="629" t="s">
        <v>15674</v>
      </c>
      <c r="B5174" s="629">
        <v>12</v>
      </c>
      <c r="C5174" s="629">
        <v>5</v>
      </c>
      <c r="D5174" s="185" t="s">
        <v>9889</v>
      </c>
      <c r="E5174" s="314" t="s">
        <v>9896</v>
      </c>
      <c r="F5174" s="184">
        <v>42229</v>
      </c>
      <c r="G5174" s="184"/>
      <c r="H5174" s="185">
        <v>2</v>
      </c>
      <c r="I5174" s="185">
        <v>9</v>
      </c>
      <c r="J5174" s="901" t="s">
        <v>1796</v>
      </c>
      <c r="K5174" s="163" t="s">
        <v>9880</v>
      </c>
      <c r="L5174" s="163" t="s">
        <v>9881</v>
      </c>
      <c r="M5174" s="163" t="s">
        <v>9882</v>
      </c>
      <c r="N5174" s="163"/>
      <c r="O5174" s="163"/>
      <c r="P5174" s="182" t="s">
        <v>461</v>
      </c>
      <c r="Q5174" s="163" t="s">
        <v>9883</v>
      </c>
      <c r="R5174" s="186" t="s">
        <v>9898</v>
      </c>
      <c r="S5174" s="355" t="s">
        <v>6923</v>
      </c>
      <c r="T5174" s="182"/>
      <c r="U5174" s="182"/>
      <c r="V5174" s="182"/>
      <c r="W5174" s="314"/>
      <c r="X5174" s="646" t="s">
        <v>12419</v>
      </c>
      <c r="Y5174" s="355"/>
      <c r="Z5174" s="185"/>
      <c r="AA5174" s="185"/>
      <c r="AB5174" s="33">
        <f t="shared" ca="1" si="126"/>
        <v>0.58751009209004279</v>
      </c>
      <c r="AC5174" s="813"/>
      <c r="AD5174" s="211"/>
      <c r="AE5174" s="941"/>
      <c r="AF5174" s="922">
        <f>IF(X5174=X5173,AF5173,0)+IF(ISNUMBER(I5174),IF(I5174&lt;1,I5174,I5174*VLOOKUP(J5174,Summary!$H$2:$I$9,2)),VLOOKUP(J5174,Summary!$J$2:$K$9,2)*IF(ISNUMBER(H5174),H5174,1))</f>
        <v>0.33877314814814807</v>
      </c>
      <c r="AG5174" s="290">
        <v>5173</v>
      </c>
      <c r="AH5174" s="94"/>
      <c r="AI5174" s="94"/>
    </row>
    <row r="5175" spans="1:35" s="57" customFormat="1" ht="12" customHeight="1" x14ac:dyDescent="0.25">
      <c r="A5175" s="629" t="s">
        <v>15674</v>
      </c>
      <c r="B5175" s="629">
        <v>12</v>
      </c>
      <c r="C5175" s="629">
        <v>6</v>
      </c>
      <c r="D5175" s="185" t="s">
        <v>9890</v>
      </c>
      <c r="E5175" s="314" t="s">
        <v>9897</v>
      </c>
      <c r="F5175" s="184">
        <v>42257</v>
      </c>
      <c r="G5175" s="184"/>
      <c r="H5175" s="185">
        <v>2</v>
      </c>
      <c r="I5175" s="185">
        <v>9</v>
      </c>
      <c r="J5175" s="901" t="s">
        <v>1796</v>
      </c>
      <c r="K5175" s="163" t="s">
        <v>9479</v>
      </c>
      <c r="L5175" s="163" t="s">
        <v>9881</v>
      </c>
      <c r="M5175" s="163" t="s">
        <v>9882</v>
      </c>
      <c r="N5175" s="163"/>
      <c r="O5175" s="163"/>
      <c r="P5175" s="182" t="s">
        <v>461</v>
      </c>
      <c r="Q5175" s="163" t="s">
        <v>9883</v>
      </c>
      <c r="R5175" s="186" t="s">
        <v>9898</v>
      </c>
      <c r="S5175" s="355" t="s">
        <v>6923</v>
      </c>
      <c r="T5175" s="182"/>
      <c r="U5175" s="182"/>
      <c r="V5175" s="182"/>
      <c r="W5175" s="314"/>
      <c r="X5175" s="646" t="s">
        <v>12419</v>
      </c>
      <c r="Y5175" s="355"/>
      <c r="Z5175" s="185"/>
      <c r="AA5175" s="185"/>
      <c r="AB5175" s="33">
        <f t="shared" ca="1" si="126"/>
        <v>0.28456522576956633</v>
      </c>
      <c r="AC5175" s="813"/>
      <c r="AD5175" s="211"/>
      <c r="AE5175" s="941"/>
      <c r="AF5175" s="922">
        <f>IF(X5175=X5174,AF5174,0)+IF(ISNUMBER(I5175),IF(I5175&lt;1,I5175,I5175*VLOOKUP(J5175,Summary!$H$2:$I$9,2)),VLOOKUP(J5175,Summary!$J$2:$K$9,2)*IF(ISNUMBER(H5175),H5175,1))</f>
        <v>0.34189814814814806</v>
      </c>
      <c r="AG5175" s="290">
        <v>5174</v>
      </c>
      <c r="AH5175" s="94"/>
      <c r="AI5175" s="94"/>
    </row>
    <row r="5176" spans="1:35" s="57" customFormat="1" ht="12" customHeight="1" x14ac:dyDescent="0.25">
      <c r="A5176" s="630" t="s">
        <v>15674</v>
      </c>
      <c r="B5176" s="630">
        <v>12</v>
      </c>
      <c r="C5176" s="630">
        <v>58</v>
      </c>
      <c r="D5176" s="417" t="s">
        <v>9756</v>
      </c>
      <c r="E5176" s="316" t="s">
        <v>9744</v>
      </c>
      <c r="F5176" s="195">
        <v>42257</v>
      </c>
      <c r="G5176" s="195"/>
      <c r="H5176" s="188" t="str">
        <f>IF(J5176="Book","n/a","")</f>
        <v>n/a</v>
      </c>
      <c r="I5176" s="188">
        <v>242</v>
      </c>
      <c r="J5176" s="902" t="s">
        <v>6868</v>
      </c>
      <c r="K5176" s="162" t="s">
        <v>7375</v>
      </c>
      <c r="L5176" s="264"/>
      <c r="M5176" s="162" t="s">
        <v>5662</v>
      </c>
      <c r="N5176" s="162"/>
      <c r="O5176" s="162"/>
      <c r="P5176" s="178" t="s">
        <v>9759</v>
      </c>
      <c r="Q5176" s="162" t="s">
        <v>3953</v>
      </c>
      <c r="R5176" s="189" t="s">
        <v>2711</v>
      </c>
      <c r="S5176" s="366"/>
      <c r="T5176" s="178" t="s">
        <v>2611</v>
      </c>
      <c r="U5176" s="178"/>
      <c r="V5176" s="178"/>
      <c r="W5176" s="316" t="s">
        <v>9744</v>
      </c>
      <c r="X5176" s="648" t="s">
        <v>12419</v>
      </c>
      <c r="Y5176" s="356"/>
      <c r="Z5176" s="272"/>
      <c r="AA5176" s="272"/>
      <c r="AB5176" s="34">
        <f t="shared" ca="1" si="126"/>
        <v>8.2201350867066036E-3</v>
      </c>
      <c r="AC5176" s="814"/>
      <c r="AD5176" s="815"/>
      <c r="AE5176" s="942"/>
      <c r="AF5176" s="923">
        <f>IF(X5176=X5175,AF5175,0)+IF(ISNUMBER(I5176),IF(I5176&lt;1,I5176,I5176*VLOOKUP(J5176,Summary!$H$2:$I$9,2)),VLOOKUP(J5176,Summary!$J$2:$K$9,2)*IF(ISNUMBER(H5176),H5176,1))</f>
        <v>0.50995370370370363</v>
      </c>
      <c r="AG5176" s="291">
        <v>5175</v>
      </c>
      <c r="AH5176" s="94"/>
      <c r="AI5176" s="94"/>
    </row>
    <row r="5177" spans="1:35" s="57" customFormat="1" ht="12" customHeight="1" x14ac:dyDescent="0.25">
      <c r="A5177" s="631" t="s">
        <v>15674</v>
      </c>
      <c r="B5177" s="631">
        <v>12</v>
      </c>
      <c r="C5177" s="631">
        <v>11</v>
      </c>
      <c r="D5177" s="192" t="s">
        <v>13399</v>
      </c>
      <c r="E5177" s="317" t="s">
        <v>13398</v>
      </c>
      <c r="F5177" s="209">
        <v>42278</v>
      </c>
      <c r="G5177" s="209"/>
      <c r="H5177" s="192">
        <v>1</v>
      </c>
      <c r="I5177" s="192"/>
      <c r="J5177" s="903" t="s">
        <v>2755</v>
      </c>
      <c r="K5177" s="194" t="s">
        <v>543</v>
      </c>
      <c r="L5177" s="194" t="s">
        <v>13401</v>
      </c>
      <c r="M5177" s="194" t="s">
        <v>13400</v>
      </c>
      <c r="N5177" s="194"/>
      <c r="O5177" s="194"/>
      <c r="P5177" s="190" t="s">
        <v>13331</v>
      </c>
      <c r="Q5177" s="194" t="s">
        <v>3953</v>
      </c>
      <c r="R5177" s="193" t="s">
        <v>11447</v>
      </c>
      <c r="S5177" s="357"/>
      <c r="T5177" s="190"/>
      <c r="U5177" s="190"/>
      <c r="V5177" s="190"/>
      <c r="W5177" s="317" t="s">
        <v>13398</v>
      </c>
      <c r="X5177" s="649" t="s">
        <v>12419</v>
      </c>
      <c r="Y5177" s="357"/>
      <c r="Z5177" s="192"/>
      <c r="AA5177" s="192"/>
      <c r="AB5177" s="37">
        <f t="shared" ca="1" si="126"/>
        <v>0.77657653642375446</v>
      </c>
      <c r="AC5177" s="816"/>
      <c r="AD5177" s="817"/>
      <c r="AE5177" s="943"/>
      <c r="AF5177" s="924">
        <f>IF(X5177=X5176,AF5176,0)+IF(ISNUMBER(I5177),IF(I5177&lt;1,I5177,I5177*VLOOKUP(J5177,Summary!$H$2:$I$9,2)),VLOOKUP(J5177,Summary!$J$2:$K$9,2)*IF(ISNUMBER(H5177),H5177,1))</f>
        <v>0.52731481481481479</v>
      </c>
      <c r="AG5177" s="292">
        <v>5176</v>
      </c>
      <c r="AH5177" s="94"/>
      <c r="AI5177" s="94"/>
    </row>
    <row r="5178" spans="1:35" s="58" customFormat="1" ht="12" customHeight="1" x14ac:dyDescent="0.2">
      <c r="A5178" s="629" t="s">
        <v>15674</v>
      </c>
      <c r="B5178" s="629">
        <v>12</v>
      </c>
      <c r="C5178" s="629">
        <v>7</v>
      </c>
      <c r="D5178" s="185" t="s">
        <v>9904</v>
      </c>
      <c r="E5178" s="314" t="s">
        <v>9905</v>
      </c>
      <c r="F5178" s="184">
        <v>42285</v>
      </c>
      <c r="G5178" s="184"/>
      <c r="H5178" s="185">
        <v>2</v>
      </c>
      <c r="I5178" s="185">
        <v>9</v>
      </c>
      <c r="J5178" s="901" t="s">
        <v>1796</v>
      </c>
      <c r="K5178" s="163" t="s">
        <v>9880</v>
      </c>
      <c r="L5178" s="163" t="s">
        <v>9881</v>
      </c>
      <c r="M5178" s="163" t="s">
        <v>9882</v>
      </c>
      <c r="N5178" s="163"/>
      <c r="O5178" s="163"/>
      <c r="P5178" s="182" t="s">
        <v>461</v>
      </c>
      <c r="Q5178" s="163" t="s">
        <v>9883</v>
      </c>
      <c r="R5178" s="186" t="s">
        <v>9898</v>
      </c>
      <c r="S5178" s="355" t="s">
        <v>6923</v>
      </c>
      <c r="T5178" s="182"/>
      <c r="U5178" s="182"/>
      <c r="V5178" s="182"/>
      <c r="W5178" s="314"/>
      <c r="X5178" s="646" t="s">
        <v>12419</v>
      </c>
      <c r="Y5178" s="355"/>
      <c r="Z5178" s="185"/>
      <c r="AA5178" s="185"/>
      <c r="AB5178" s="33">
        <f t="shared" ca="1" si="126"/>
        <v>0.29557661769700705</v>
      </c>
      <c r="AC5178" s="813"/>
      <c r="AD5178" s="211"/>
      <c r="AE5178" s="941"/>
      <c r="AF5178" s="922">
        <f>IF(X5178=X5177,AF5177,0)+IF(ISNUMBER(I5178),IF(I5178&lt;1,I5178,I5178*VLOOKUP(J5178,Summary!$H$2:$I$9,2)),VLOOKUP(J5178,Summary!$J$2:$K$9,2)*IF(ISNUMBER(H5178),H5178,1))</f>
        <v>0.53043981481481484</v>
      </c>
      <c r="AG5178" s="290">
        <v>5177</v>
      </c>
      <c r="AH5178" s="94"/>
      <c r="AI5178" s="94"/>
    </row>
    <row r="5179" spans="1:35" s="57" customFormat="1" ht="12" customHeight="1" x14ac:dyDescent="0.25">
      <c r="A5179" s="629" t="s">
        <v>15674</v>
      </c>
      <c r="B5179" s="629">
        <v>12</v>
      </c>
      <c r="C5179" s="629">
        <v>1.5</v>
      </c>
      <c r="D5179" s="185" t="s">
        <v>10930</v>
      </c>
      <c r="E5179" s="314" t="s">
        <v>10932</v>
      </c>
      <c r="F5179" s="184">
        <v>42256</v>
      </c>
      <c r="G5179" s="184"/>
      <c r="H5179" s="185">
        <v>1</v>
      </c>
      <c r="I5179" s="185">
        <v>22</v>
      </c>
      <c r="J5179" s="901" t="s">
        <v>1796</v>
      </c>
      <c r="K5179" s="163" t="s">
        <v>2310</v>
      </c>
      <c r="L5179" s="163" t="s">
        <v>10915</v>
      </c>
      <c r="M5179" s="163" t="s">
        <v>10914</v>
      </c>
      <c r="N5179" s="163" t="s">
        <v>10882</v>
      </c>
      <c r="O5179" s="163"/>
      <c r="P5179" s="182" t="s">
        <v>461</v>
      </c>
      <c r="Q5179" s="163" t="s">
        <v>7076</v>
      </c>
      <c r="R5179" s="186" t="s">
        <v>10879</v>
      </c>
      <c r="S5179" s="355" t="s">
        <v>6923</v>
      </c>
      <c r="T5179" s="182"/>
      <c r="U5179" s="182"/>
      <c r="V5179" s="182"/>
      <c r="W5179" s="314" t="s">
        <v>10932</v>
      </c>
      <c r="X5179" s="646" t="s">
        <v>12419</v>
      </c>
      <c r="Y5179" s="355" t="s">
        <v>6000</v>
      </c>
      <c r="Z5179" s="185"/>
      <c r="AA5179" s="185"/>
      <c r="AB5179" s="33">
        <f t="shared" ca="1" si="126"/>
        <v>0.52583312700758789</v>
      </c>
      <c r="AC5179" s="813"/>
      <c r="AD5179" s="211"/>
      <c r="AE5179" s="941"/>
      <c r="AF5179" s="922">
        <f>IF(X5179=X5178,AF5178,0)+IF(ISNUMBER(I5179),IF(I5179&lt;1,I5179,I5179*VLOOKUP(J5179,Summary!$H$2:$I$9,2)),VLOOKUP(J5179,Summary!$J$2:$K$9,2)*IF(ISNUMBER(H5179),H5179,1))</f>
        <v>0.5380787037037037</v>
      </c>
      <c r="AG5179" s="290">
        <v>5178</v>
      </c>
      <c r="AH5179" s="94"/>
      <c r="AI5179" s="94"/>
    </row>
    <row r="5180" spans="1:35" s="57" customFormat="1" ht="12" customHeight="1" x14ac:dyDescent="0.25">
      <c r="A5180" s="769" t="s">
        <v>15674</v>
      </c>
      <c r="B5180" s="769">
        <v>12</v>
      </c>
      <c r="C5180" s="769">
        <v>1.6</v>
      </c>
      <c r="D5180" s="226" t="s">
        <v>10931</v>
      </c>
      <c r="E5180" s="331" t="s">
        <v>13499</v>
      </c>
      <c r="F5180" s="233">
        <v>42277</v>
      </c>
      <c r="G5180" s="233">
        <v>42362</v>
      </c>
      <c r="H5180" s="226">
        <v>4</v>
      </c>
      <c r="I5180" s="226">
        <v>90</v>
      </c>
      <c r="J5180" s="907" t="s">
        <v>1796</v>
      </c>
      <c r="K5180" s="228" t="s">
        <v>10900</v>
      </c>
      <c r="L5180" s="228" t="s">
        <v>10933</v>
      </c>
      <c r="M5180" s="228" t="s">
        <v>10934</v>
      </c>
      <c r="N5180" s="228" t="s">
        <v>10882</v>
      </c>
      <c r="O5180" s="228"/>
      <c r="P5180" s="225" t="s">
        <v>461</v>
      </c>
      <c r="Q5180" s="228" t="s">
        <v>7076</v>
      </c>
      <c r="R5180" s="227" t="s">
        <v>10879</v>
      </c>
      <c r="S5180" s="369" t="s">
        <v>6923</v>
      </c>
      <c r="T5180" s="225"/>
      <c r="U5180" s="225" t="s">
        <v>10902</v>
      </c>
      <c r="V5180" s="225"/>
      <c r="W5180" s="331"/>
      <c r="X5180" s="663" t="s">
        <v>12419</v>
      </c>
      <c r="Y5180" s="369" t="s">
        <v>6000</v>
      </c>
      <c r="Z5180" s="226"/>
      <c r="AA5180" s="226"/>
      <c r="AB5180" s="38">
        <f t="shared" ca="1" si="126"/>
        <v>0.205172900552685</v>
      </c>
      <c r="AC5180" s="830"/>
      <c r="AD5180" s="831"/>
      <c r="AE5180" s="963"/>
      <c r="AF5180" s="928">
        <f>IF(X5180=X5179,AF5179,0)+IF(ISNUMBER(I5180),IF(I5180&lt;1,I5180,I5180*VLOOKUP(J5180,Summary!$H$2:$I$9,2)),VLOOKUP(J5180,Summary!$J$2:$K$9,2)*IF(ISNUMBER(H5180),H5180,1))</f>
        <v>0.5693287037037037</v>
      </c>
      <c r="AG5180" s="304">
        <v>5179</v>
      </c>
      <c r="AH5180" s="94"/>
      <c r="AI5180" s="94"/>
    </row>
    <row r="5181" spans="1:35" s="57" customFormat="1" ht="12" customHeight="1" x14ac:dyDescent="0.25">
      <c r="A5181" s="629" t="s">
        <v>15674</v>
      </c>
      <c r="B5181" s="629">
        <v>12</v>
      </c>
      <c r="C5181" s="629">
        <v>167</v>
      </c>
      <c r="D5181" s="185" t="s">
        <v>9848</v>
      </c>
      <c r="E5181" s="314" t="s">
        <v>9849</v>
      </c>
      <c r="F5181" s="184">
        <v>42208</v>
      </c>
      <c r="G5181" s="184">
        <v>42264</v>
      </c>
      <c r="H5181" s="185">
        <v>3</v>
      </c>
      <c r="I5181" s="185">
        <v>36</v>
      </c>
      <c r="J5181" s="901" t="s">
        <v>1796</v>
      </c>
      <c r="K5181" s="163" t="s">
        <v>177</v>
      </c>
      <c r="L5181" s="163" t="s">
        <v>3832</v>
      </c>
      <c r="M5181" s="163" t="s">
        <v>252</v>
      </c>
      <c r="N5181" s="163" t="s">
        <v>9850</v>
      </c>
      <c r="O5181" s="163"/>
      <c r="P5181" s="182" t="s">
        <v>461</v>
      </c>
      <c r="Q5181" s="163" t="s">
        <v>4104</v>
      </c>
      <c r="R5181" s="186" t="s">
        <v>5266</v>
      </c>
      <c r="S5181" s="355" t="s">
        <v>6923</v>
      </c>
      <c r="T5181" s="182"/>
      <c r="U5181" s="182"/>
      <c r="V5181" s="182"/>
      <c r="W5181" s="314"/>
      <c r="X5181" s="646" t="s">
        <v>12419</v>
      </c>
      <c r="Y5181" s="355"/>
      <c r="Z5181" s="185"/>
      <c r="AA5181" s="185"/>
      <c r="AB5181" s="33">
        <f t="shared" ca="1" si="126"/>
        <v>0.59566261159527467</v>
      </c>
      <c r="AC5181" s="813"/>
      <c r="AD5181" s="211"/>
      <c r="AE5181" s="941"/>
      <c r="AF5181" s="922">
        <f>IF(X5181=X5180,AF5180,0)+IF(ISNUMBER(I5181),IF(I5181&lt;1,I5181,I5181*VLOOKUP(J5181,Summary!$H$2:$I$9,2)),VLOOKUP(J5181,Summary!$J$2:$K$9,2)*IF(ISNUMBER(H5181),H5181,1))</f>
        <v>0.58182870370370365</v>
      </c>
      <c r="AG5181" s="290">
        <v>5180</v>
      </c>
      <c r="AH5181" s="94"/>
      <c r="AI5181" s="94"/>
    </row>
    <row r="5182" spans="1:35" s="58" customFormat="1" ht="12" customHeight="1" x14ac:dyDescent="0.2">
      <c r="A5182" s="740" t="s">
        <v>15674</v>
      </c>
      <c r="B5182" s="740">
        <v>12</v>
      </c>
      <c r="C5182" s="740">
        <v>23</v>
      </c>
      <c r="D5182" s="407" t="s">
        <v>11310</v>
      </c>
      <c r="E5182" s="315" t="s">
        <v>11300</v>
      </c>
      <c r="F5182" s="196">
        <v>42292</v>
      </c>
      <c r="G5182" s="170"/>
      <c r="H5182" s="170">
        <v>1</v>
      </c>
      <c r="I5182" s="747">
        <f>TIME(0,60,0)</f>
        <v>4.1666666666666664E-2</v>
      </c>
      <c r="J5182" s="899" t="s">
        <v>4706</v>
      </c>
      <c r="K5182" s="167" t="s">
        <v>2310</v>
      </c>
      <c r="L5182" s="167"/>
      <c r="M5182" s="167" t="s">
        <v>11311</v>
      </c>
      <c r="N5182" s="167"/>
      <c r="O5182" s="167"/>
      <c r="P5182" s="168" t="s">
        <v>11312</v>
      </c>
      <c r="Q5182" s="167" t="s">
        <v>3950</v>
      </c>
      <c r="R5182" s="172" t="s">
        <v>2240</v>
      </c>
      <c r="S5182" s="388" t="s">
        <v>6923</v>
      </c>
      <c r="T5182" s="168"/>
      <c r="U5182" s="168"/>
      <c r="V5182" s="168"/>
      <c r="W5182" s="315" t="s">
        <v>11300</v>
      </c>
      <c r="X5182" s="647" t="s">
        <v>12419</v>
      </c>
      <c r="Y5182" s="352"/>
      <c r="Z5182" s="353"/>
      <c r="AA5182" s="353"/>
      <c r="AB5182" s="31">
        <f t="shared" ca="1" si="126"/>
        <v>0.73927702754927027</v>
      </c>
      <c r="AC5182" s="810"/>
      <c r="AD5182" s="811"/>
      <c r="AE5182" s="940"/>
      <c r="AF5182" s="920">
        <f>IF(X5182=X5181,AF5181,0)+IF(ISNUMBER(I5182),IF(I5182&lt;1,I5182,I5182*VLOOKUP(J5182,Summary!$H$2:$I$9,2)),VLOOKUP(J5182,Summary!$J$2:$K$9,2)*IF(ISNUMBER(H5182),H5182,1))</f>
        <v>0.62349537037037028</v>
      </c>
      <c r="AG5182" s="287">
        <v>5181</v>
      </c>
      <c r="AH5182" s="94"/>
      <c r="AI5182" s="94"/>
    </row>
    <row r="5183" spans="1:35" s="22" customFormat="1" ht="12" customHeight="1" x14ac:dyDescent="0.25">
      <c r="A5183" s="630" t="s">
        <v>15674</v>
      </c>
      <c r="B5183" s="630">
        <v>12</v>
      </c>
      <c r="C5183" s="630">
        <v>59</v>
      </c>
      <c r="D5183" s="417" t="s">
        <v>9754</v>
      </c>
      <c r="E5183" s="316" t="s">
        <v>9745</v>
      </c>
      <c r="F5183" s="195">
        <v>42257</v>
      </c>
      <c r="G5183" s="195"/>
      <c r="H5183" s="188" t="str">
        <f>IF(J5183="Book","n/a","")</f>
        <v>n/a</v>
      </c>
      <c r="I5183" s="188">
        <v>258</v>
      </c>
      <c r="J5183" s="902" t="s">
        <v>6868</v>
      </c>
      <c r="K5183" s="162" t="s">
        <v>4032</v>
      </c>
      <c r="L5183" s="264"/>
      <c r="M5183" s="162" t="s">
        <v>9748</v>
      </c>
      <c r="N5183" s="162"/>
      <c r="O5183" s="162"/>
      <c r="P5183" s="178" t="s">
        <v>9759</v>
      </c>
      <c r="Q5183" s="162" t="s">
        <v>3953</v>
      </c>
      <c r="R5183" s="189" t="s">
        <v>2711</v>
      </c>
      <c r="S5183" s="366" t="s">
        <v>6923</v>
      </c>
      <c r="T5183" s="178"/>
      <c r="U5183" s="178"/>
      <c r="V5183" s="178"/>
      <c r="W5183" s="316" t="s">
        <v>9745</v>
      </c>
      <c r="X5183" s="648" t="s">
        <v>12419</v>
      </c>
      <c r="Y5183" s="356"/>
      <c r="Z5183" s="272"/>
      <c r="AA5183" s="272"/>
      <c r="AB5183" s="34">
        <f t="shared" ca="1" si="126"/>
        <v>0.69641884273570731</v>
      </c>
      <c r="AC5183" s="814"/>
      <c r="AD5183" s="815"/>
      <c r="AE5183" s="942"/>
      <c r="AF5183" s="923">
        <f>IF(X5183=X5182,AF5182,0)+IF(ISNUMBER(I5183),IF(I5183&lt;1,I5183,I5183*VLOOKUP(J5183,Summary!$H$2:$I$9,2)),VLOOKUP(J5183,Summary!$J$2:$K$9,2)*IF(ISNUMBER(H5183),H5183,1))</f>
        <v>0.80266203703703698</v>
      </c>
      <c r="AG5183" s="291">
        <v>5182</v>
      </c>
      <c r="AH5183" s="94"/>
      <c r="AI5183" s="94"/>
    </row>
    <row r="5184" spans="1:35" s="22" customFormat="1" ht="12" customHeight="1" x14ac:dyDescent="0.25">
      <c r="A5184" s="409" t="s">
        <v>15674</v>
      </c>
      <c r="B5184" s="410" t="s">
        <v>2650</v>
      </c>
      <c r="C5184" s="409">
        <v>2</v>
      </c>
      <c r="D5184" s="176" t="s">
        <v>13397</v>
      </c>
      <c r="E5184" s="313" t="s">
        <v>13396</v>
      </c>
      <c r="F5184" s="175">
        <v>43153</v>
      </c>
      <c r="G5184" s="174"/>
      <c r="H5184" s="176">
        <v>1</v>
      </c>
      <c r="I5184" s="176"/>
      <c r="J5184" s="900" t="s">
        <v>2755</v>
      </c>
      <c r="K5184" s="164" t="s">
        <v>2479</v>
      </c>
      <c r="L5184" s="164"/>
      <c r="M5184" s="164"/>
      <c r="N5184" s="164"/>
      <c r="O5184" s="164"/>
      <c r="P5184" s="173" t="s">
        <v>13386</v>
      </c>
      <c r="Q5184" s="164" t="s">
        <v>3953</v>
      </c>
      <c r="R5184" s="179" t="s">
        <v>13385</v>
      </c>
      <c r="S5184" s="354"/>
      <c r="T5184" s="173"/>
      <c r="U5184" s="173"/>
      <c r="V5184" s="173"/>
      <c r="W5184" s="313" t="s">
        <v>13396</v>
      </c>
      <c r="X5184" s="645" t="s">
        <v>12419</v>
      </c>
      <c r="Y5184" s="354"/>
      <c r="Z5184" s="176"/>
      <c r="AA5184" s="176"/>
      <c r="AB5184" s="32">
        <f t="shared" ca="1" si="126"/>
        <v>0.61548216761466334</v>
      </c>
      <c r="AC5184" s="812"/>
      <c r="AD5184" s="763"/>
      <c r="AE5184" s="807"/>
      <c r="AF5184" s="921">
        <f>IF(X5184=X5183,AF5183,0)+IF(ISNUMBER(I5184),IF(I5184&lt;1,I5184,I5184*VLOOKUP(J5184,Summary!$H$2:$I$9,2)),VLOOKUP(J5184,Summary!$J$2:$K$9,2)*IF(ISNUMBER(H5184),H5184,1))</f>
        <v>0.82002314814814814</v>
      </c>
      <c r="AG5184" s="288">
        <v>5183</v>
      </c>
      <c r="AH5184" s="94"/>
      <c r="AI5184" s="94"/>
    </row>
    <row r="5185" spans="1:35" s="22" customFormat="1" ht="12" customHeight="1" x14ac:dyDescent="0.25">
      <c r="A5185" s="632" t="s">
        <v>9706</v>
      </c>
      <c r="B5185" s="632">
        <v>12</v>
      </c>
      <c r="C5185" s="632"/>
      <c r="D5185" s="509" t="s">
        <v>3112</v>
      </c>
      <c r="E5185" s="335" t="s">
        <v>9737</v>
      </c>
      <c r="F5185" s="223">
        <v>42258</v>
      </c>
      <c r="G5185" s="223"/>
      <c r="H5185" s="242">
        <v>1</v>
      </c>
      <c r="I5185" s="792">
        <f>TIME(0,1,58)</f>
        <v>1.3657407407407409E-3</v>
      </c>
      <c r="J5185" s="909" t="s">
        <v>1588</v>
      </c>
      <c r="K5185" s="243" t="s">
        <v>3810</v>
      </c>
      <c r="L5185" s="243" t="s">
        <v>9730</v>
      </c>
      <c r="M5185" s="243"/>
      <c r="N5185" s="243" t="s">
        <v>3810</v>
      </c>
      <c r="O5185" s="243" t="s">
        <v>8002</v>
      </c>
      <c r="P5185" s="241" t="s">
        <v>461</v>
      </c>
      <c r="Q5185" s="243" t="s">
        <v>3946</v>
      </c>
      <c r="R5185" s="244" t="s">
        <v>7896</v>
      </c>
      <c r="S5185" s="395"/>
      <c r="T5185" s="241"/>
      <c r="U5185" s="241"/>
      <c r="V5185" s="241"/>
      <c r="W5185" s="335" t="s">
        <v>10129</v>
      </c>
      <c r="X5185" s="667" t="s">
        <v>15418</v>
      </c>
      <c r="Y5185" s="375"/>
      <c r="Z5185" s="377"/>
      <c r="AA5185" s="377"/>
      <c r="AB5185" s="55">
        <f t="shared" ca="1" si="126"/>
        <v>0.36086610581144385</v>
      </c>
      <c r="AC5185" s="834"/>
      <c r="AD5185" s="835"/>
      <c r="AE5185" s="957"/>
      <c r="AF5185" s="930">
        <f>IF(X5185=X5184,AF5184,0)+IF(ISNUMBER(I5185),IF(I5185&lt;1,I5185,I5185*VLOOKUP(J5185,Summary!$H$2:$I$9,2)),VLOOKUP(J5185,Summary!$J$2:$K$9,2)*IF(ISNUMBER(H5185),H5185,1))</f>
        <v>1.3657407407407409E-3</v>
      </c>
      <c r="AG5185" s="302">
        <v>5184</v>
      </c>
      <c r="AH5185" s="94"/>
      <c r="AI5185" s="94"/>
    </row>
    <row r="5186" spans="1:35" s="57" customFormat="1" ht="12" customHeight="1" x14ac:dyDescent="0.25">
      <c r="A5186" s="632" t="s">
        <v>9706</v>
      </c>
      <c r="B5186" s="632">
        <v>12</v>
      </c>
      <c r="C5186" s="632"/>
      <c r="D5186" s="509" t="s">
        <v>3112</v>
      </c>
      <c r="E5186" s="335" t="s">
        <v>9738</v>
      </c>
      <c r="F5186" s="223">
        <v>42258</v>
      </c>
      <c r="G5186" s="223"/>
      <c r="H5186" s="242">
        <v>1</v>
      </c>
      <c r="I5186" s="792">
        <f>TIME(0,6,37)</f>
        <v>4.5949074074074078E-3</v>
      </c>
      <c r="J5186" s="909" t="s">
        <v>1588</v>
      </c>
      <c r="K5186" s="243" t="s">
        <v>3810</v>
      </c>
      <c r="L5186" s="243" t="s">
        <v>9732</v>
      </c>
      <c r="M5186" s="243"/>
      <c r="N5186" s="243" t="s">
        <v>3810</v>
      </c>
      <c r="O5186" s="243" t="s">
        <v>8002</v>
      </c>
      <c r="P5186" s="241" t="s">
        <v>461</v>
      </c>
      <c r="Q5186" s="243" t="s">
        <v>3946</v>
      </c>
      <c r="R5186" s="244" t="s">
        <v>7896</v>
      </c>
      <c r="S5186" s="395"/>
      <c r="T5186" s="241"/>
      <c r="U5186" s="241"/>
      <c r="V5186" s="241"/>
      <c r="W5186" s="335" t="s">
        <v>9738</v>
      </c>
      <c r="X5186" s="667" t="s">
        <v>15418</v>
      </c>
      <c r="Y5186" s="375"/>
      <c r="Z5186" s="377"/>
      <c r="AA5186" s="377"/>
      <c r="AB5186" s="55">
        <f t="shared" ref="AB5186:AB5249" ca="1" si="127">RAND()</f>
        <v>0.65730895398127365</v>
      </c>
      <c r="AC5186" s="834"/>
      <c r="AD5186" s="835"/>
      <c r="AE5186" s="957"/>
      <c r="AF5186" s="930">
        <f>IF(X5186=X5185,AF5185,0)+IF(ISNUMBER(I5186),IF(I5186&lt;1,I5186,I5186*VLOOKUP(J5186,Summary!$H$2:$I$9,2)),VLOOKUP(J5186,Summary!$J$2:$K$9,2)*IF(ISNUMBER(H5186),H5186,1))</f>
        <v>5.9606481481481489E-3</v>
      </c>
      <c r="AG5186" s="302">
        <v>5185</v>
      </c>
      <c r="AH5186" s="94"/>
      <c r="AI5186" s="94"/>
    </row>
    <row r="5187" spans="1:35" s="22" customFormat="1" ht="12" customHeight="1" x14ac:dyDescent="0.25">
      <c r="A5187" s="626" t="s">
        <v>9706</v>
      </c>
      <c r="B5187" s="626">
        <v>12</v>
      </c>
      <c r="C5187" s="626">
        <v>254</v>
      </c>
      <c r="D5187" s="424" t="s">
        <v>9707</v>
      </c>
      <c r="E5187" s="319" t="s">
        <v>9708</v>
      </c>
      <c r="F5187" s="198">
        <v>42266</v>
      </c>
      <c r="G5187" s="198">
        <v>42273</v>
      </c>
      <c r="H5187" s="199">
        <v>2</v>
      </c>
      <c r="I5187" s="791">
        <f>TIME(0,46,15)+TIME(0,47,49)</f>
        <v>6.5324074074074076E-2</v>
      </c>
      <c r="J5187" s="904" t="s">
        <v>1588</v>
      </c>
      <c r="K5187" s="200" t="s">
        <v>3810</v>
      </c>
      <c r="L5187" s="200" t="s">
        <v>9730</v>
      </c>
      <c r="M5187" s="200"/>
      <c r="N5187" s="200" t="s">
        <v>3810</v>
      </c>
      <c r="O5187" s="200" t="s">
        <v>8002</v>
      </c>
      <c r="P5187" s="197" t="s">
        <v>461</v>
      </c>
      <c r="Q5187" s="200" t="s">
        <v>3946</v>
      </c>
      <c r="R5187" s="201" t="s">
        <v>5280</v>
      </c>
      <c r="S5187" s="390" t="s">
        <v>6923</v>
      </c>
      <c r="T5187" s="197"/>
      <c r="U5187" s="197" t="s">
        <v>10902</v>
      </c>
      <c r="V5187" s="197"/>
      <c r="W5187" s="319" t="s">
        <v>9709</v>
      </c>
      <c r="X5187" s="651" t="s">
        <v>15418</v>
      </c>
      <c r="Y5187" s="358" t="s">
        <v>7018</v>
      </c>
      <c r="Z5187" s="253">
        <v>181</v>
      </c>
      <c r="AA5187" s="253">
        <v>5</v>
      </c>
      <c r="AB5187" s="35">
        <f t="shared" ca="1" si="127"/>
        <v>0.57962315096247041</v>
      </c>
      <c r="AC5187" s="820"/>
      <c r="AD5187" s="821"/>
      <c r="AE5187" s="967"/>
      <c r="AF5187" s="925">
        <f>IF(X5187=X5186,AF5186,0)+IF(ISNUMBER(I5187),IF(I5187&lt;1,I5187,I5187*VLOOKUP(J5187,Summary!$H$2:$I$9,2)),VLOOKUP(J5187,Summary!$J$2:$K$9,2)*IF(ISNUMBER(H5187),H5187,1))</f>
        <v>7.1284722222222222E-2</v>
      </c>
      <c r="AG5187" s="293">
        <v>5186</v>
      </c>
      <c r="AH5187" s="94"/>
      <c r="AI5187" s="94"/>
    </row>
    <row r="5188" spans="1:35" s="57" customFormat="1" ht="12" customHeight="1" x14ac:dyDescent="0.25">
      <c r="A5188" s="626" t="s">
        <v>9706</v>
      </c>
      <c r="B5188" s="626">
        <v>12</v>
      </c>
      <c r="C5188" s="626">
        <v>255</v>
      </c>
      <c r="D5188" s="424" t="s">
        <v>9710</v>
      </c>
      <c r="E5188" s="319" t="s">
        <v>9719</v>
      </c>
      <c r="F5188" s="198">
        <v>42280</v>
      </c>
      <c r="G5188" s="198">
        <v>42287</v>
      </c>
      <c r="H5188" s="199">
        <v>2</v>
      </c>
      <c r="I5188" s="791">
        <f>TIME(0,43,15)+TIME(0,42,17)</f>
        <v>5.9398148148148144E-2</v>
      </c>
      <c r="J5188" s="904" t="s">
        <v>1588</v>
      </c>
      <c r="K5188" s="200" t="s">
        <v>5297</v>
      </c>
      <c r="L5188" s="200" t="s">
        <v>9731</v>
      </c>
      <c r="M5188" s="200"/>
      <c r="N5188" s="200" t="s">
        <v>3810</v>
      </c>
      <c r="O5188" s="200" t="s">
        <v>8002</v>
      </c>
      <c r="P5188" s="197" t="s">
        <v>461</v>
      </c>
      <c r="Q5188" s="200" t="s">
        <v>3946</v>
      </c>
      <c r="R5188" s="201" t="s">
        <v>5280</v>
      </c>
      <c r="S5188" s="390" t="s">
        <v>6923</v>
      </c>
      <c r="T5188" s="197"/>
      <c r="U5188" s="197"/>
      <c r="V5188" s="197"/>
      <c r="W5188" s="319" t="s">
        <v>9735</v>
      </c>
      <c r="X5188" s="651" t="s">
        <v>15418</v>
      </c>
      <c r="Y5188" s="358" t="s">
        <v>7018</v>
      </c>
      <c r="Z5188" s="253">
        <v>286</v>
      </c>
      <c r="AA5188" s="253">
        <v>2</v>
      </c>
      <c r="AB5188" s="35">
        <f t="shared" ca="1" si="127"/>
        <v>0.50981366064365874</v>
      </c>
      <c r="AC5188" s="820"/>
      <c r="AD5188" s="821"/>
      <c r="AE5188" s="967"/>
      <c r="AF5188" s="925">
        <f>IF(X5188=X5187,AF5187,0)+IF(ISNUMBER(I5188),IF(I5188&lt;1,I5188,I5188*VLOOKUP(J5188,Summary!$H$2:$I$9,2)),VLOOKUP(J5188,Summary!$J$2:$K$9,2)*IF(ISNUMBER(H5188),H5188,1))</f>
        <v>0.13068287037037035</v>
      </c>
      <c r="AG5188" s="293">
        <v>5187</v>
      </c>
      <c r="AH5188" s="94"/>
      <c r="AI5188" s="94"/>
    </row>
    <row r="5189" spans="1:35" s="57" customFormat="1" ht="12" customHeight="1" x14ac:dyDescent="0.25">
      <c r="A5189" s="629" t="s">
        <v>9706</v>
      </c>
      <c r="B5189" s="629">
        <v>12</v>
      </c>
      <c r="C5189" s="629"/>
      <c r="D5189" s="185" t="s">
        <v>11302</v>
      </c>
      <c r="E5189" s="314" t="s">
        <v>11305</v>
      </c>
      <c r="F5189" s="223">
        <v>42278</v>
      </c>
      <c r="G5189" s="223"/>
      <c r="H5189" s="185">
        <v>1</v>
      </c>
      <c r="I5189" s="185"/>
      <c r="J5189" s="901" t="s">
        <v>1796</v>
      </c>
      <c r="K5189" s="163"/>
      <c r="L5189" s="163"/>
      <c r="M5189" s="163"/>
      <c r="N5189" s="163"/>
      <c r="O5189" s="163"/>
      <c r="P5189" s="182"/>
      <c r="Q5189" s="163" t="s">
        <v>3953</v>
      </c>
      <c r="R5189" s="186" t="s">
        <v>4600</v>
      </c>
      <c r="S5189" s="355" t="s">
        <v>6923</v>
      </c>
      <c r="T5189" s="182"/>
      <c r="U5189" s="182"/>
      <c r="V5189" s="182"/>
      <c r="W5189" s="314" t="s">
        <v>11305</v>
      </c>
      <c r="X5189" s="646" t="s">
        <v>15418</v>
      </c>
      <c r="Y5189" s="355" t="s">
        <v>6868</v>
      </c>
      <c r="Z5189" s="158">
        <v>999</v>
      </c>
      <c r="AA5189" s="185"/>
      <c r="AB5189" s="33">
        <f t="shared" ca="1" si="127"/>
        <v>0.94568450853659514</v>
      </c>
      <c r="AC5189" s="813"/>
      <c r="AD5189" s="211"/>
      <c r="AE5189" s="941"/>
      <c r="AF5189" s="922">
        <f>IF(X5189=X5188,AF5188,0)+IF(ISNUMBER(I5189),IF(I5189&lt;1,I5189,I5189*VLOOKUP(J5189,Summary!$H$2:$I$9,2)),VLOOKUP(J5189,Summary!$J$2:$K$9,2)*IF(ISNUMBER(H5189),H5189,1))</f>
        <v>0.13415509259259256</v>
      </c>
      <c r="AG5189" s="290">
        <v>5188</v>
      </c>
      <c r="AH5189" s="94"/>
      <c r="AI5189" s="94"/>
    </row>
    <row r="5190" spans="1:35" s="57" customFormat="1" ht="12" customHeight="1" x14ac:dyDescent="0.25">
      <c r="A5190" s="629" t="s">
        <v>9706</v>
      </c>
      <c r="B5190" s="629">
        <v>12</v>
      </c>
      <c r="C5190" s="629"/>
      <c r="D5190" s="185" t="s">
        <v>11302</v>
      </c>
      <c r="E5190" s="314" t="s">
        <v>11306</v>
      </c>
      <c r="F5190" s="223">
        <v>42278</v>
      </c>
      <c r="G5190" s="223"/>
      <c r="H5190" s="185">
        <v>1</v>
      </c>
      <c r="I5190" s="185"/>
      <c r="J5190" s="901" t="s">
        <v>1796</v>
      </c>
      <c r="K5190" s="163"/>
      <c r="L5190" s="163"/>
      <c r="M5190" s="163"/>
      <c r="N5190" s="163"/>
      <c r="O5190" s="163"/>
      <c r="P5190" s="182"/>
      <c r="Q5190" s="163" t="s">
        <v>3953</v>
      </c>
      <c r="R5190" s="186" t="s">
        <v>4600</v>
      </c>
      <c r="S5190" s="355" t="s">
        <v>6923</v>
      </c>
      <c r="T5190" s="182"/>
      <c r="U5190" s="182"/>
      <c r="V5190" s="182"/>
      <c r="W5190" s="314" t="s">
        <v>11306</v>
      </c>
      <c r="X5190" s="646" t="s">
        <v>15418</v>
      </c>
      <c r="Y5190" s="355" t="s">
        <v>6868</v>
      </c>
      <c r="Z5190" s="158">
        <v>999</v>
      </c>
      <c r="AA5190" s="185"/>
      <c r="AB5190" s="33">
        <f t="shared" ca="1" si="127"/>
        <v>0.96300412188527529</v>
      </c>
      <c r="AC5190" s="813"/>
      <c r="AD5190" s="211"/>
      <c r="AE5190" s="941"/>
      <c r="AF5190" s="922">
        <f>IF(X5190=X5189,AF5189,0)+IF(ISNUMBER(I5190),IF(I5190&lt;1,I5190,I5190*VLOOKUP(J5190,Summary!$H$2:$I$9,2)),VLOOKUP(J5190,Summary!$J$2:$K$9,2)*IF(ISNUMBER(H5190),H5190,1))</f>
        <v>0.13762731481481477</v>
      </c>
      <c r="AG5190" s="290">
        <v>5189</v>
      </c>
      <c r="AH5190" s="94"/>
      <c r="AI5190" s="94"/>
    </row>
    <row r="5191" spans="1:35" s="58" customFormat="1" ht="12" customHeight="1" x14ac:dyDescent="0.25">
      <c r="A5191" s="626" t="s">
        <v>9706</v>
      </c>
      <c r="B5191" s="626">
        <v>12</v>
      </c>
      <c r="C5191" s="626">
        <v>256</v>
      </c>
      <c r="D5191" s="424" t="s">
        <v>9718</v>
      </c>
      <c r="E5191" s="319" t="s">
        <v>9720</v>
      </c>
      <c r="F5191" s="198">
        <v>42294</v>
      </c>
      <c r="G5191" s="198"/>
      <c r="H5191" s="199">
        <v>1</v>
      </c>
      <c r="I5191" s="791">
        <f>TIME(0,45,39)</f>
        <v>3.170138888888889E-2</v>
      </c>
      <c r="J5191" s="904" t="s">
        <v>1588</v>
      </c>
      <c r="K5191" s="200" t="s">
        <v>9727</v>
      </c>
      <c r="L5191" s="200" t="s">
        <v>9732</v>
      </c>
      <c r="M5191" s="200"/>
      <c r="N5191" s="200" t="s">
        <v>3810</v>
      </c>
      <c r="O5191" s="200" t="s">
        <v>8002</v>
      </c>
      <c r="P5191" s="197" t="s">
        <v>461</v>
      </c>
      <c r="Q5191" s="200" t="s">
        <v>3946</v>
      </c>
      <c r="R5191" s="201" t="s">
        <v>5280</v>
      </c>
      <c r="S5191" s="390" t="s">
        <v>6923</v>
      </c>
      <c r="T5191" s="197"/>
      <c r="U5191" s="197"/>
      <c r="V5191" s="197"/>
      <c r="W5191" s="319" t="s">
        <v>9720</v>
      </c>
      <c r="X5191" s="651" t="s">
        <v>15418</v>
      </c>
      <c r="Y5191" s="358" t="s">
        <v>7018</v>
      </c>
      <c r="Z5191" s="253">
        <v>99</v>
      </c>
      <c r="AA5191" s="253">
        <v>7</v>
      </c>
      <c r="AB5191" s="35">
        <f t="shared" ca="1" si="127"/>
        <v>6.3115256018469568E-2</v>
      </c>
      <c r="AC5191" s="820"/>
      <c r="AD5191" s="821"/>
      <c r="AE5191" s="967"/>
      <c r="AF5191" s="925">
        <f>IF(X5191=X5190,AF5190,0)+IF(ISNUMBER(I5191),IF(I5191&lt;1,I5191,I5191*VLOOKUP(J5191,Summary!$H$2:$I$9,2)),VLOOKUP(J5191,Summary!$J$2:$K$9,2)*IF(ISNUMBER(H5191),H5191,1))</f>
        <v>0.16932870370370368</v>
      </c>
      <c r="AG5191" s="293">
        <v>5190</v>
      </c>
      <c r="AH5191" s="94"/>
      <c r="AI5191" s="94"/>
    </row>
    <row r="5192" spans="1:35" s="142" customFormat="1" ht="12" customHeight="1" x14ac:dyDescent="0.25">
      <c r="A5192" s="629" t="s">
        <v>9706</v>
      </c>
      <c r="B5192" s="629">
        <v>12</v>
      </c>
      <c r="C5192" s="629">
        <v>168</v>
      </c>
      <c r="D5192" s="185" t="s">
        <v>9851</v>
      </c>
      <c r="E5192" s="314" t="s">
        <v>9852</v>
      </c>
      <c r="F5192" s="184">
        <v>42292</v>
      </c>
      <c r="G5192" s="184">
        <v>42320</v>
      </c>
      <c r="H5192" s="185">
        <v>2</v>
      </c>
      <c r="I5192" s="185">
        <v>26</v>
      </c>
      <c r="J5192" s="901" t="s">
        <v>1796</v>
      </c>
      <c r="K5192" s="163" t="s">
        <v>563</v>
      </c>
      <c r="L5192" s="163" t="s">
        <v>9853</v>
      </c>
      <c r="M5192" s="163" t="s">
        <v>252</v>
      </c>
      <c r="N5192" s="163" t="s">
        <v>9850</v>
      </c>
      <c r="O5192" s="163"/>
      <c r="P5192" s="182" t="s">
        <v>461</v>
      </c>
      <c r="Q5192" s="163" t="s">
        <v>4104</v>
      </c>
      <c r="R5192" s="186" t="s">
        <v>5266</v>
      </c>
      <c r="S5192" s="355" t="s">
        <v>6923</v>
      </c>
      <c r="T5192" s="182"/>
      <c r="U5192" s="182"/>
      <c r="V5192" s="182"/>
      <c r="W5192" s="314"/>
      <c r="X5192" s="646" t="s">
        <v>15418</v>
      </c>
      <c r="Y5192" s="355"/>
      <c r="Z5192" s="185"/>
      <c r="AA5192" s="185"/>
      <c r="AB5192" s="33">
        <f t="shared" ca="1" si="127"/>
        <v>0.82416879781374719</v>
      </c>
      <c r="AC5192" s="813"/>
      <c r="AD5192" s="211"/>
      <c r="AE5192" s="941"/>
      <c r="AF5192" s="922">
        <f>IF(X5192=X5191,AF5191,0)+IF(ISNUMBER(I5192),IF(I5192&lt;1,I5192,I5192*VLOOKUP(J5192,Summary!$H$2:$I$9,2)),VLOOKUP(J5192,Summary!$J$2:$K$9,2)*IF(ISNUMBER(H5192),H5192,1))</f>
        <v>0.17835648148148145</v>
      </c>
      <c r="AG5192" s="290">
        <v>5191</v>
      </c>
      <c r="AH5192" s="94"/>
      <c r="AI5192" s="94"/>
    </row>
    <row r="5193" spans="1:35" s="22" customFormat="1" ht="12" customHeight="1" x14ac:dyDescent="0.2">
      <c r="A5193" s="629" t="s">
        <v>9706</v>
      </c>
      <c r="B5193" s="629">
        <v>12</v>
      </c>
      <c r="C5193" s="629">
        <v>8</v>
      </c>
      <c r="D5193" s="185" t="s">
        <v>9906</v>
      </c>
      <c r="E5193" s="314" t="s">
        <v>9901</v>
      </c>
      <c r="F5193" s="184">
        <v>42313</v>
      </c>
      <c r="G5193" s="184"/>
      <c r="H5193" s="185">
        <v>2</v>
      </c>
      <c r="I5193" s="185">
        <v>9</v>
      </c>
      <c r="J5193" s="901" t="s">
        <v>1796</v>
      </c>
      <c r="K5193" s="163" t="s">
        <v>9909</v>
      </c>
      <c r="L5193" s="163" t="s">
        <v>9881</v>
      </c>
      <c r="M5193" s="163" t="s">
        <v>9882</v>
      </c>
      <c r="N5193" s="163"/>
      <c r="O5193" s="163"/>
      <c r="P5193" s="182" t="s">
        <v>461</v>
      </c>
      <c r="Q5193" s="163" t="s">
        <v>9883</v>
      </c>
      <c r="R5193" s="186" t="s">
        <v>9898</v>
      </c>
      <c r="S5193" s="355" t="s">
        <v>6923</v>
      </c>
      <c r="T5193" s="182"/>
      <c r="U5193" s="182"/>
      <c r="V5193" s="182"/>
      <c r="W5193" s="314"/>
      <c r="X5193" s="646" t="s">
        <v>15418</v>
      </c>
      <c r="Y5193" s="355"/>
      <c r="Z5193" s="185"/>
      <c r="AA5193" s="185"/>
      <c r="AB5193" s="33">
        <f t="shared" ca="1" si="127"/>
        <v>0.44638194229508066</v>
      </c>
      <c r="AC5193" s="813"/>
      <c r="AD5193" s="211"/>
      <c r="AE5193" s="941"/>
      <c r="AF5193" s="922">
        <f>IF(X5193=X5192,AF5192,0)+IF(ISNUMBER(I5193),IF(I5193&lt;1,I5193,I5193*VLOOKUP(J5193,Summary!$H$2:$I$9,2)),VLOOKUP(J5193,Summary!$J$2:$K$9,2)*IF(ISNUMBER(H5193),H5193,1))</f>
        <v>0.18148148148148144</v>
      </c>
      <c r="AG5193" s="290">
        <v>5192</v>
      </c>
      <c r="AH5193" s="94"/>
      <c r="AI5193" s="94"/>
    </row>
    <row r="5194" spans="1:35" s="22" customFormat="1" ht="12" customHeight="1" x14ac:dyDescent="0.2">
      <c r="A5194" s="740" t="s">
        <v>9706</v>
      </c>
      <c r="B5194" s="740">
        <v>12</v>
      </c>
      <c r="C5194" s="740">
        <v>24</v>
      </c>
      <c r="D5194" s="407" t="s">
        <v>11313</v>
      </c>
      <c r="E5194" s="315" t="s">
        <v>11303</v>
      </c>
      <c r="F5194" s="196">
        <v>42341</v>
      </c>
      <c r="G5194" s="170"/>
      <c r="H5194" s="170">
        <v>1</v>
      </c>
      <c r="I5194" s="747">
        <f>TIME(0,60,0)</f>
        <v>4.1666666666666664E-2</v>
      </c>
      <c r="J5194" s="899" t="s">
        <v>4706</v>
      </c>
      <c r="K5194" s="167" t="s">
        <v>1643</v>
      </c>
      <c r="L5194" s="167"/>
      <c r="M5194" s="167" t="s">
        <v>11314</v>
      </c>
      <c r="N5194" s="167"/>
      <c r="O5194" s="167"/>
      <c r="P5194" s="168" t="s">
        <v>11315</v>
      </c>
      <c r="Q5194" s="167" t="s">
        <v>3950</v>
      </c>
      <c r="R5194" s="172" t="s">
        <v>2240</v>
      </c>
      <c r="S5194" s="388" t="s">
        <v>6923</v>
      </c>
      <c r="T5194" s="168"/>
      <c r="U5194" s="168"/>
      <c r="V5194" s="168"/>
      <c r="W5194" s="315" t="s">
        <v>11303</v>
      </c>
      <c r="X5194" s="647" t="s">
        <v>15418</v>
      </c>
      <c r="Y5194" s="352"/>
      <c r="Z5194" s="353"/>
      <c r="AA5194" s="353"/>
      <c r="AB5194" s="31">
        <f t="shared" ca="1" si="127"/>
        <v>0.81014868886904456</v>
      </c>
      <c r="AC5194" s="810"/>
      <c r="AD5194" s="811"/>
      <c r="AE5194" s="940"/>
      <c r="AF5194" s="920">
        <f>IF(X5194=X5193,AF5193,0)+IF(ISNUMBER(I5194),IF(I5194&lt;1,I5194,I5194*VLOOKUP(J5194,Summary!$H$2:$I$9,2)),VLOOKUP(J5194,Summary!$J$2:$K$9,2)*IF(ISNUMBER(H5194),H5194,1))</f>
        <v>0.2231481481481481</v>
      </c>
      <c r="AG5194" s="287">
        <v>5193</v>
      </c>
      <c r="AH5194" s="94"/>
      <c r="AI5194" s="94"/>
    </row>
    <row r="5195" spans="1:35" s="22" customFormat="1" ht="12" customHeight="1" x14ac:dyDescent="0.25">
      <c r="A5195" s="627" t="s">
        <v>9706</v>
      </c>
      <c r="B5195" s="627">
        <v>12</v>
      </c>
      <c r="C5195" s="627">
        <v>1</v>
      </c>
      <c r="D5195" s="176" t="s">
        <v>11387</v>
      </c>
      <c r="E5195" s="313" t="s">
        <v>11388</v>
      </c>
      <c r="F5195" s="175">
        <v>42306</v>
      </c>
      <c r="G5195" s="174"/>
      <c r="H5195" s="176" t="s">
        <v>461</v>
      </c>
      <c r="I5195" s="176"/>
      <c r="J5195" s="900" t="s">
        <v>2755</v>
      </c>
      <c r="K5195" s="164" t="s">
        <v>8186</v>
      </c>
      <c r="L5195" s="164" t="s">
        <v>461</v>
      </c>
      <c r="M5195" s="164"/>
      <c r="N5195" s="164"/>
      <c r="O5195" s="164"/>
      <c r="P5195" s="173" t="s">
        <v>461</v>
      </c>
      <c r="Q5195" s="164" t="s">
        <v>11389</v>
      </c>
      <c r="R5195" s="177" t="s">
        <v>11390</v>
      </c>
      <c r="S5195" s="354"/>
      <c r="T5195" s="173"/>
      <c r="U5195" s="173"/>
      <c r="V5195" s="173"/>
      <c r="W5195" s="313" t="s">
        <v>11388</v>
      </c>
      <c r="X5195" s="645" t="s">
        <v>15418</v>
      </c>
      <c r="Y5195" s="354"/>
      <c r="Z5195" s="157"/>
      <c r="AA5195" s="176"/>
      <c r="AB5195" s="32">
        <f t="shared" ca="1" si="127"/>
        <v>0.75518684058992336</v>
      </c>
      <c r="AC5195" s="812"/>
      <c r="AD5195" s="763"/>
      <c r="AE5195" s="807"/>
      <c r="AF5195" s="921">
        <f>IF(X5195=X5194,AF5194,0)+IF(ISNUMBER(I5195),IF(I5195&lt;1,I5195,I5195*VLOOKUP(J5195,Summary!$H$2:$I$9,2)),VLOOKUP(J5195,Summary!$J$2:$K$9,2)*IF(ISNUMBER(H5195),H5195,1))</f>
        <v>0.2405092592592592</v>
      </c>
      <c r="AG5195" s="289">
        <v>5194</v>
      </c>
      <c r="AH5195" s="94"/>
      <c r="AI5195" s="94"/>
    </row>
    <row r="5196" spans="1:35" s="58" customFormat="1" ht="12" customHeight="1" x14ac:dyDescent="0.2">
      <c r="A5196" s="629" t="s">
        <v>9706</v>
      </c>
      <c r="B5196" s="629">
        <v>12</v>
      </c>
      <c r="C5196" s="629">
        <v>9</v>
      </c>
      <c r="D5196" s="185" t="s">
        <v>9907</v>
      </c>
      <c r="E5196" s="314" t="s">
        <v>9902</v>
      </c>
      <c r="F5196" s="184">
        <v>42341</v>
      </c>
      <c r="G5196" s="184"/>
      <c r="H5196" s="185">
        <v>2</v>
      </c>
      <c r="I5196" s="185">
        <v>9</v>
      </c>
      <c r="J5196" s="901" t="s">
        <v>1796</v>
      </c>
      <c r="K5196" s="163" t="s">
        <v>8311</v>
      </c>
      <c r="L5196" s="875" t="s">
        <v>9881</v>
      </c>
      <c r="M5196" s="163" t="s">
        <v>9882</v>
      </c>
      <c r="N5196" s="163"/>
      <c r="O5196" s="163"/>
      <c r="P5196" s="182" t="s">
        <v>461</v>
      </c>
      <c r="Q5196" s="163" t="s">
        <v>9883</v>
      </c>
      <c r="R5196" s="186" t="s">
        <v>9898</v>
      </c>
      <c r="S5196" s="355" t="s">
        <v>6923</v>
      </c>
      <c r="T5196" s="182"/>
      <c r="U5196" s="182"/>
      <c r="V5196" s="182"/>
      <c r="W5196" s="314"/>
      <c r="X5196" s="646" t="s">
        <v>15418</v>
      </c>
      <c r="Y5196" s="355"/>
      <c r="Z5196" s="185"/>
      <c r="AA5196" s="185"/>
      <c r="AB5196" s="33">
        <f t="shared" ca="1" si="127"/>
        <v>0.98771310442826332</v>
      </c>
      <c r="AC5196" s="813"/>
      <c r="AD5196" s="211"/>
      <c r="AE5196" s="941"/>
      <c r="AF5196" s="922">
        <f>IF(X5196=X5195,AF5195,0)+IF(ISNUMBER(I5196),IF(I5196&lt;1,I5196,I5196*VLOOKUP(J5196,Summary!$H$2:$I$9,2)),VLOOKUP(J5196,Summary!$J$2:$K$9,2)*IF(ISNUMBER(H5196),H5196,1))</f>
        <v>0.24363425925925919</v>
      </c>
      <c r="AG5196" s="290">
        <v>5195</v>
      </c>
      <c r="AH5196" s="94"/>
      <c r="AI5196" s="94"/>
    </row>
    <row r="5197" spans="1:35" s="22" customFormat="1" ht="12" customHeight="1" x14ac:dyDescent="0.2">
      <c r="A5197" s="629" t="s">
        <v>9706</v>
      </c>
      <c r="B5197" s="629">
        <v>12</v>
      </c>
      <c r="C5197" s="629">
        <v>10</v>
      </c>
      <c r="D5197" s="185" t="s">
        <v>9908</v>
      </c>
      <c r="E5197" s="314" t="s">
        <v>9903</v>
      </c>
      <c r="F5197" s="184">
        <v>42376</v>
      </c>
      <c r="G5197" s="184"/>
      <c r="H5197" s="185">
        <v>2</v>
      </c>
      <c r="I5197" s="185">
        <v>9</v>
      </c>
      <c r="J5197" s="901" t="s">
        <v>1796</v>
      </c>
      <c r="K5197" s="163" t="s">
        <v>9479</v>
      </c>
      <c r="L5197" s="163" t="s">
        <v>9881</v>
      </c>
      <c r="M5197" s="163" t="s">
        <v>9882</v>
      </c>
      <c r="N5197" s="163"/>
      <c r="O5197" s="163"/>
      <c r="P5197" s="182" t="s">
        <v>461</v>
      </c>
      <c r="Q5197" s="163" t="s">
        <v>9883</v>
      </c>
      <c r="R5197" s="186" t="s">
        <v>9898</v>
      </c>
      <c r="S5197" s="355" t="s">
        <v>6923</v>
      </c>
      <c r="T5197" s="182"/>
      <c r="U5197" s="182"/>
      <c r="V5197" s="182"/>
      <c r="W5197" s="314"/>
      <c r="X5197" s="646" t="s">
        <v>15418</v>
      </c>
      <c r="Y5197" s="355"/>
      <c r="Z5197" s="185"/>
      <c r="AA5197" s="185"/>
      <c r="AB5197" s="33">
        <f t="shared" ca="1" si="127"/>
        <v>0.42266599788289727</v>
      </c>
      <c r="AC5197" s="813"/>
      <c r="AD5197" s="211"/>
      <c r="AE5197" s="941"/>
      <c r="AF5197" s="922">
        <f>IF(X5197=X5196,AF5196,0)+IF(ISNUMBER(I5197),IF(I5197&lt;1,I5197,I5197*VLOOKUP(J5197,Summary!$H$2:$I$9,2)),VLOOKUP(J5197,Summary!$J$2:$K$9,2)*IF(ISNUMBER(H5197),H5197,1))</f>
        <v>0.24675925925925918</v>
      </c>
      <c r="AG5197" s="290">
        <v>5196</v>
      </c>
      <c r="AH5197" s="94"/>
      <c r="AI5197" s="94"/>
    </row>
    <row r="5198" spans="1:35" s="22" customFormat="1" ht="12" customHeight="1" x14ac:dyDescent="0.25">
      <c r="A5198" s="409" t="s">
        <v>9706</v>
      </c>
      <c r="B5198" s="410" t="s">
        <v>2650</v>
      </c>
      <c r="C5198" s="409">
        <v>1</v>
      </c>
      <c r="D5198" s="176" t="s">
        <v>13320</v>
      </c>
      <c r="E5198" s="313" t="s">
        <v>13324</v>
      </c>
      <c r="F5198" s="175">
        <v>42348</v>
      </c>
      <c r="G5198" s="174"/>
      <c r="H5198" s="176">
        <v>1</v>
      </c>
      <c r="I5198" s="176"/>
      <c r="J5198" s="900" t="s">
        <v>2755</v>
      </c>
      <c r="K5198" s="164" t="s">
        <v>1643</v>
      </c>
      <c r="L5198" s="164"/>
      <c r="M5198" s="164"/>
      <c r="N5198" s="164"/>
      <c r="O5198" s="164"/>
      <c r="P5198" s="173" t="s">
        <v>13318</v>
      </c>
      <c r="Q5198" s="164" t="s">
        <v>3953</v>
      </c>
      <c r="R5198" s="179" t="s">
        <v>13319</v>
      </c>
      <c r="S5198" s="354"/>
      <c r="T5198" s="173"/>
      <c r="U5198" s="173"/>
      <c r="V5198" s="173"/>
      <c r="W5198" s="313"/>
      <c r="X5198" s="645" t="s">
        <v>15418</v>
      </c>
      <c r="Y5198" s="354"/>
      <c r="Z5198" s="176"/>
      <c r="AA5198" s="176"/>
      <c r="AB5198" s="32">
        <f t="shared" ca="1" si="127"/>
        <v>0.29769009824022352</v>
      </c>
      <c r="AC5198" s="812"/>
      <c r="AD5198" s="763"/>
      <c r="AE5198" s="807"/>
      <c r="AF5198" s="921">
        <f>IF(X5198=X5197,AF5197,0)+IF(ISNUMBER(I5198),IF(I5198&lt;1,I5198,I5198*VLOOKUP(J5198,Summary!$H$2:$I$9,2)),VLOOKUP(J5198,Summary!$J$2:$K$9,2)*IF(ISNUMBER(H5198),H5198,1))</f>
        <v>0.26412037037037028</v>
      </c>
      <c r="AG5198" s="288">
        <v>5197</v>
      </c>
      <c r="AH5198" s="94"/>
      <c r="AI5198" s="94"/>
    </row>
    <row r="5199" spans="1:35" s="22" customFormat="1" ht="12" customHeight="1" x14ac:dyDescent="0.25">
      <c r="A5199" s="409" t="s">
        <v>9706</v>
      </c>
      <c r="B5199" s="410" t="s">
        <v>2650</v>
      </c>
      <c r="C5199" s="409">
        <v>2</v>
      </c>
      <c r="D5199" s="176" t="s">
        <v>13321</v>
      </c>
      <c r="E5199" s="313" t="s">
        <v>13325</v>
      </c>
      <c r="F5199" s="175">
        <v>42348</v>
      </c>
      <c r="G5199" s="174"/>
      <c r="H5199" s="176">
        <v>1</v>
      </c>
      <c r="I5199" s="176"/>
      <c r="J5199" s="900" t="s">
        <v>2755</v>
      </c>
      <c r="K5199" s="164" t="s">
        <v>13328</v>
      </c>
      <c r="L5199" s="164"/>
      <c r="M5199" s="164"/>
      <c r="N5199" s="164"/>
      <c r="O5199" s="164"/>
      <c r="P5199" s="173" t="s">
        <v>13318</v>
      </c>
      <c r="Q5199" s="164" t="s">
        <v>3953</v>
      </c>
      <c r="R5199" s="179" t="s">
        <v>13319</v>
      </c>
      <c r="S5199" s="354"/>
      <c r="T5199" s="173"/>
      <c r="U5199" s="173"/>
      <c r="V5199" s="173"/>
      <c r="W5199" s="313"/>
      <c r="X5199" s="645" t="s">
        <v>15418</v>
      </c>
      <c r="Y5199" s="354"/>
      <c r="Z5199" s="176"/>
      <c r="AA5199" s="176"/>
      <c r="AB5199" s="32">
        <f t="shared" ca="1" si="127"/>
        <v>0.10161356705779256</v>
      </c>
      <c r="AC5199" s="812"/>
      <c r="AD5199" s="763"/>
      <c r="AE5199" s="807"/>
      <c r="AF5199" s="921">
        <f>IF(X5199=X5198,AF5198,0)+IF(ISNUMBER(I5199),IF(I5199&lt;1,I5199,I5199*VLOOKUP(J5199,Summary!$H$2:$I$9,2)),VLOOKUP(J5199,Summary!$J$2:$K$9,2)*IF(ISNUMBER(H5199),H5199,1))</f>
        <v>0.28148148148148139</v>
      </c>
      <c r="AG5199" s="288">
        <v>5198</v>
      </c>
      <c r="AH5199" s="94"/>
      <c r="AI5199" s="94"/>
    </row>
    <row r="5200" spans="1:35" s="22" customFormat="1" ht="12" customHeight="1" x14ac:dyDescent="0.25">
      <c r="A5200" s="409" t="s">
        <v>9706</v>
      </c>
      <c r="B5200" s="410" t="s">
        <v>2650</v>
      </c>
      <c r="C5200" s="409">
        <v>3</v>
      </c>
      <c r="D5200" s="176" t="s">
        <v>13322</v>
      </c>
      <c r="E5200" s="313" t="s">
        <v>13326</v>
      </c>
      <c r="F5200" s="175">
        <v>42348</v>
      </c>
      <c r="G5200" s="174"/>
      <c r="H5200" s="176">
        <v>1</v>
      </c>
      <c r="I5200" s="176"/>
      <c r="J5200" s="900" t="s">
        <v>2755</v>
      </c>
      <c r="K5200" s="164" t="s">
        <v>10100</v>
      </c>
      <c r="L5200" s="164"/>
      <c r="M5200" s="164"/>
      <c r="N5200" s="164"/>
      <c r="O5200" s="164"/>
      <c r="P5200" s="173" t="s">
        <v>13318</v>
      </c>
      <c r="Q5200" s="164" t="s">
        <v>3953</v>
      </c>
      <c r="R5200" s="179" t="s">
        <v>13319</v>
      </c>
      <c r="S5200" s="354"/>
      <c r="T5200" s="173"/>
      <c r="U5200" s="173"/>
      <c r="V5200" s="173"/>
      <c r="W5200" s="313"/>
      <c r="X5200" s="645" t="s">
        <v>15418</v>
      </c>
      <c r="Y5200" s="354"/>
      <c r="Z5200" s="176"/>
      <c r="AA5200" s="176"/>
      <c r="AB5200" s="32">
        <f t="shared" ca="1" si="127"/>
        <v>0.73006670504581883</v>
      </c>
      <c r="AC5200" s="812"/>
      <c r="AD5200" s="763"/>
      <c r="AE5200" s="807"/>
      <c r="AF5200" s="921">
        <f>IF(X5200=X5199,AF5199,0)+IF(ISNUMBER(I5200),IF(I5200&lt;1,I5200,I5200*VLOOKUP(J5200,Summary!$H$2:$I$9,2)),VLOOKUP(J5200,Summary!$J$2:$K$9,2)*IF(ISNUMBER(H5200),H5200,1))</f>
        <v>0.29884259259259249</v>
      </c>
      <c r="AG5200" s="288">
        <v>5199</v>
      </c>
      <c r="AH5200" s="94"/>
      <c r="AI5200" s="94"/>
    </row>
    <row r="5201" spans="1:35" s="22" customFormat="1" ht="12" customHeight="1" x14ac:dyDescent="0.25">
      <c r="A5201" s="409" t="s">
        <v>9706</v>
      </c>
      <c r="B5201" s="410" t="s">
        <v>2650</v>
      </c>
      <c r="C5201" s="409">
        <v>4</v>
      </c>
      <c r="D5201" s="176" t="s">
        <v>13323</v>
      </c>
      <c r="E5201" s="313" t="s">
        <v>13327</v>
      </c>
      <c r="F5201" s="175">
        <v>42348</v>
      </c>
      <c r="G5201" s="174"/>
      <c r="H5201" s="176">
        <v>1</v>
      </c>
      <c r="I5201" s="176"/>
      <c r="J5201" s="900" t="s">
        <v>2755</v>
      </c>
      <c r="K5201" s="164" t="s">
        <v>543</v>
      </c>
      <c r="L5201" s="164"/>
      <c r="M5201" s="164"/>
      <c r="N5201" s="164"/>
      <c r="O5201" s="164"/>
      <c r="P5201" s="173" t="s">
        <v>13318</v>
      </c>
      <c r="Q5201" s="164" t="s">
        <v>3953</v>
      </c>
      <c r="R5201" s="179" t="s">
        <v>13319</v>
      </c>
      <c r="S5201" s="354"/>
      <c r="T5201" s="173"/>
      <c r="U5201" s="173"/>
      <c r="V5201" s="173"/>
      <c r="W5201" s="313"/>
      <c r="X5201" s="645" t="s">
        <v>15418</v>
      </c>
      <c r="Y5201" s="354"/>
      <c r="Z5201" s="176"/>
      <c r="AA5201" s="176"/>
      <c r="AB5201" s="32">
        <f t="shared" ca="1" si="127"/>
        <v>0.41220286246052795</v>
      </c>
      <c r="AC5201" s="812"/>
      <c r="AD5201" s="763"/>
      <c r="AE5201" s="807"/>
      <c r="AF5201" s="921">
        <f>IF(X5201=X5200,AF5200,0)+IF(ISNUMBER(I5201),IF(I5201&lt;1,I5201,I5201*VLOOKUP(J5201,Summary!$H$2:$I$9,2)),VLOOKUP(J5201,Summary!$J$2:$K$9,2)*IF(ISNUMBER(H5201),H5201,1))</f>
        <v>0.3162037037037036</v>
      </c>
      <c r="AG5201" s="288">
        <v>5200</v>
      </c>
      <c r="AH5201" s="94"/>
      <c r="AI5201" s="94"/>
    </row>
    <row r="5202" spans="1:35" s="22" customFormat="1" ht="12" customHeight="1" x14ac:dyDescent="0.25">
      <c r="A5202" s="626" t="s">
        <v>9706</v>
      </c>
      <c r="B5202" s="626">
        <v>12</v>
      </c>
      <c r="C5202" s="626">
        <v>257</v>
      </c>
      <c r="D5202" s="424" t="s">
        <v>9717</v>
      </c>
      <c r="E5202" s="319" t="s">
        <v>9733</v>
      </c>
      <c r="F5202" s="198">
        <v>42301</v>
      </c>
      <c r="G5202" s="198"/>
      <c r="H5202" s="199">
        <v>1</v>
      </c>
      <c r="I5202" s="791">
        <f>TIME(0,45,33)</f>
        <v>3.1631944444444442E-2</v>
      </c>
      <c r="J5202" s="904" t="s">
        <v>1588</v>
      </c>
      <c r="K5202" s="200" t="s">
        <v>4068</v>
      </c>
      <c r="L5202" s="200" t="s">
        <v>9732</v>
      </c>
      <c r="M5202" s="200"/>
      <c r="N5202" s="200" t="s">
        <v>3810</v>
      </c>
      <c r="O5202" s="200" t="s">
        <v>8002</v>
      </c>
      <c r="P5202" s="197" t="s">
        <v>461</v>
      </c>
      <c r="Q5202" s="200" t="s">
        <v>3946</v>
      </c>
      <c r="R5202" s="201" t="s">
        <v>5280</v>
      </c>
      <c r="S5202" s="390" t="s">
        <v>6923</v>
      </c>
      <c r="T5202" s="197"/>
      <c r="U5202" s="197"/>
      <c r="V5202" s="197"/>
      <c r="W5202" s="319" t="s">
        <v>9733</v>
      </c>
      <c r="X5202" s="651" t="s">
        <v>15418</v>
      </c>
      <c r="Y5202" s="358" t="s">
        <v>7018</v>
      </c>
      <c r="Z5202" s="253">
        <v>168</v>
      </c>
      <c r="AA5202" s="253">
        <v>5</v>
      </c>
      <c r="AB5202" s="35">
        <f t="shared" ca="1" si="127"/>
        <v>0.18503180286565102</v>
      </c>
      <c r="AC5202" s="820"/>
      <c r="AD5202" s="821"/>
      <c r="AE5202" s="967"/>
      <c r="AF5202" s="925">
        <f>IF(X5202=X5201,AF5201,0)+IF(ISNUMBER(I5202),IF(I5202&lt;1,I5202,I5202*VLOOKUP(J5202,Summary!$H$2:$I$9,2)),VLOOKUP(J5202,Summary!$J$2:$K$9,2)*IF(ISNUMBER(H5202),H5202,1))</f>
        <v>0.34783564814814805</v>
      </c>
      <c r="AG5202" s="293">
        <v>5201</v>
      </c>
      <c r="AH5202" s="94"/>
      <c r="AI5202" s="94"/>
    </row>
    <row r="5203" spans="1:35" s="22" customFormat="1" ht="12" customHeight="1" x14ac:dyDescent="0.2">
      <c r="A5203" s="629" t="s">
        <v>9706</v>
      </c>
      <c r="B5203" s="629">
        <v>12</v>
      </c>
      <c r="C5203" s="629">
        <v>169</v>
      </c>
      <c r="D5203" s="185" t="s">
        <v>9854</v>
      </c>
      <c r="E5203" s="314" t="s">
        <v>9855</v>
      </c>
      <c r="F5203" s="184">
        <v>42348</v>
      </c>
      <c r="G5203" s="184">
        <v>42376</v>
      </c>
      <c r="H5203" s="185">
        <v>2</v>
      </c>
      <c r="I5203" s="185">
        <v>24</v>
      </c>
      <c r="J5203" s="901" t="s">
        <v>1796</v>
      </c>
      <c r="K5203" s="163" t="s">
        <v>176</v>
      </c>
      <c r="L5203" s="163" t="s">
        <v>3551</v>
      </c>
      <c r="M5203" s="163" t="s">
        <v>3551</v>
      </c>
      <c r="N5203" s="163" t="s">
        <v>9850</v>
      </c>
      <c r="O5203" s="163"/>
      <c r="P5203" s="182" t="s">
        <v>461</v>
      </c>
      <c r="Q5203" s="163" t="s">
        <v>4104</v>
      </c>
      <c r="R5203" s="186" t="s">
        <v>5266</v>
      </c>
      <c r="S5203" s="355" t="s">
        <v>6923</v>
      </c>
      <c r="T5203" s="182"/>
      <c r="U5203" s="182"/>
      <c r="V5203" s="182"/>
      <c r="W5203" s="314"/>
      <c r="X5203" s="646" t="s">
        <v>15418</v>
      </c>
      <c r="Y5203" s="355"/>
      <c r="Z5203" s="185"/>
      <c r="AA5203" s="185"/>
      <c r="AB5203" s="33">
        <f t="shared" ca="1" si="127"/>
        <v>1.1713155843480094E-2</v>
      </c>
      <c r="AC5203" s="813"/>
      <c r="AD5203" s="211"/>
      <c r="AE5203" s="941"/>
      <c r="AF5203" s="922">
        <f>IF(X5203=X5202,AF5202,0)+IF(ISNUMBER(I5203),IF(I5203&lt;1,I5203,I5203*VLOOKUP(J5203,Summary!$H$2:$I$9,2)),VLOOKUP(J5203,Summary!$J$2:$K$9,2)*IF(ISNUMBER(H5203),H5203,1))</f>
        <v>0.35616898148148141</v>
      </c>
      <c r="AG5203" s="290">
        <v>5202</v>
      </c>
      <c r="AH5203" s="94"/>
      <c r="AI5203" s="94"/>
    </row>
    <row r="5204" spans="1:35" s="22" customFormat="1" ht="12" customHeight="1" x14ac:dyDescent="0.25">
      <c r="A5204" s="631" t="s">
        <v>9706</v>
      </c>
      <c r="B5204" s="631">
        <v>12</v>
      </c>
      <c r="C5204" s="631">
        <v>12</v>
      </c>
      <c r="D5204" s="463" t="s">
        <v>13265</v>
      </c>
      <c r="E5204" s="330" t="s">
        <v>13266</v>
      </c>
      <c r="F5204" s="209">
        <v>42649</v>
      </c>
      <c r="G5204" s="209"/>
      <c r="H5204" s="192" t="s">
        <v>461</v>
      </c>
      <c r="I5204" s="192"/>
      <c r="J5204" s="903" t="s">
        <v>2755</v>
      </c>
      <c r="K5204" s="159" t="s">
        <v>6355</v>
      </c>
      <c r="L5204" s="159" t="s">
        <v>13267</v>
      </c>
      <c r="M5204" s="159" t="s">
        <v>13268</v>
      </c>
      <c r="N5204" s="159"/>
      <c r="O5204" s="159"/>
      <c r="P5204" s="190" t="s">
        <v>461</v>
      </c>
      <c r="Q5204" s="159" t="s">
        <v>3953</v>
      </c>
      <c r="R5204" s="221" t="s">
        <v>13260</v>
      </c>
      <c r="S5204" s="357"/>
      <c r="T5204" s="190"/>
      <c r="U5204" s="190"/>
      <c r="V5204" s="190"/>
      <c r="W5204" s="330" t="s">
        <v>13266</v>
      </c>
      <c r="X5204" s="649" t="s">
        <v>15418</v>
      </c>
      <c r="Y5204" s="378"/>
      <c r="Z5204" s="367"/>
      <c r="AA5204" s="367"/>
      <c r="AB5204" s="37">
        <f t="shared" ca="1" si="127"/>
        <v>0.71396295074911398</v>
      </c>
      <c r="AC5204" s="816"/>
      <c r="AD5204" s="817"/>
      <c r="AE5204" s="955"/>
      <c r="AF5204" s="924">
        <f>IF(X5204=X5203,AF5203,0)+IF(ISNUMBER(I5204),IF(I5204&lt;1,I5204,I5204*VLOOKUP(J5204,Summary!$H$2:$I$9,2)),VLOOKUP(J5204,Summary!$J$2:$K$9,2)*IF(ISNUMBER(H5204),H5204,1))</f>
        <v>0.37353009259259251</v>
      </c>
      <c r="AG5204" s="298">
        <v>5203</v>
      </c>
      <c r="AH5204" s="94"/>
      <c r="AI5204" s="94"/>
    </row>
    <row r="5205" spans="1:35" s="57" customFormat="1" ht="12" customHeight="1" x14ac:dyDescent="0.25">
      <c r="A5205" s="635" t="s">
        <v>9706</v>
      </c>
      <c r="B5205" s="635">
        <v>12</v>
      </c>
      <c r="C5205" s="635">
        <v>1</v>
      </c>
      <c r="D5205" s="619" t="s">
        <v>15594</v>
      </c>
      <c r="E5205" s="345" t="s">
        <v>15595</v>
      </c>
      <c r="F5205" s="219">
        <v>42487</v>
      </c>
      <c r="G5205" s="219"/>
      <c r="H5205" s="210" t="s">
        <v>461</v>
      </c>
      <c r="I5205" s="210">
        <v>256</v>
      </c>
      <c r="J5205" s="908" t="s">
        <v>15556</v>
      </c>
      <c r="K5205" s="166" t="s">
        <v>2190</v>
      </c>
      <c r="L5205" s="166"/>
      <c r="M5205" s="166"/>
      <c r="N5205" s="166"/>
      <c r="O5205" s="166"/>
      <c r="P5205" s="267" t="s">
        <v>15596</v>
      </c>
      <c r="Q5205" s="166" t="s">
        <v>3954</v>
      </c>
      <c r="R5205" s="268" t="s">
        <v>15597</v>
      </c>
      <c r="S5205" s="386"/>
      <c r="T5205" s="267"/>
      <c r="U5205" s="267"/>
      <c r="V5205" s="267"/>
      <c r="W5205" s="345" t="s">
        <v>15595</v>
      </c>
      <c r="X5205" s="680" t="s">
        <v>15418</v>
      </c>
      <c r="Y5205" s="384"/>
      <c r="Z5205" s="385"/>
      <c r="AA5205" s="385"/>
      <c r="AB5205" s="41">
        <f t="shared" ca="1" si="127"/>
        <v>0.20330824891207677</v>
      </c>
      <c r="AC5205" s="832"/>
      <c r="AD5205" s="833"/>
      <c r="AE5205" s="956"/>
      <c r="AF5205" s="929">
        <f>IF(X5205=X5204,AF5204,0)+IF(ISNUMBER(I5205),IF(I5205&lt;1,I5205,I5205*VLOOKUP(J5205,Summary!$H$2:$I$9,2)),VLOOKUP(J5205,Summary!$J$2:$K$9,2)*IF(ISNUMBER(H5205),H5205,1))</f>
        <v>0.46241898148148142</v>
      </c>
      <c r="AG5205" s="307">
        <v>5204</v>
      </c>
      <c r="AH5205" s="94"/>
      <c r="AI5205" s="94"/>
    </row>
    <row r="5206" spans="1:35" s="57" customFormat="1" ht="12" customHeight="1" x14ac:dyDescent="0.25">
      <c r="A5206" s="631" t="s">
        <v>9706</v>
      </c>
      <c r="B5206" s="631">
        <v>12</v>
      </c>
      <c r="C5206" s="631">
        <v>12</v>
      </c>
      <c r="D5206" s="192" t="s">
        <v>12656</v>
      </c>
      <c r="E5206" s="317" t="s">
        <v>12657</v>
      </c>
      <c r="F5206" s="209">
        <v>42985</v>
      </c>
      <c r="G5206" s="192"/>
      <c r="H5206" s="192" t="s">
        <v>461</v>
      </c>
      <c r="I5206" s="192"/>
      <c r="J5206" s="903" t="s">
        <v>2755</v>
      </c>
      <c r="K5206" s="194" t="s">
        <v>4672</v>
      </c>
      <c r="L5206" s="194" t="s">
        <v>12629</v>
      </c>
      <c r="M5206" s="194" t="s">
        <v>12640</v>
      </c>
      <c r="N5206" s="194"/>
      <c r="O5206" s="194"/>
      <c r="P5206" s="190" t="s">
        <v>12632</v>
      </c>
      <c r="Q5206" s="194" t="s">
        <v>3954</v>
      </c>
      <c r="R5206" s="193" t="s">
        <v>12631</v>
      </c>
      <c r="S5206" s="357"/>
      <c r="T5206" s="190"/>
      <c r="U5206" s="190"/>
      <c r="V5206" s="190"/>
      <c r="W5206" s="317" t="s">
        <v>12657</v>
      </c>
      <c r="X5206" s="649" t="s">
        <v>15418</v>
      </c>
      <c r="Y5206" s="357"/>
      <c r="Z5206" s="192"/>
      <c r="AA5206" s="192"/>
      <c r="AB5206" s="37">
        <f t="shared" ca="1" si="127"/>
        <v>0.4125486448687834</v>
      </c>
      <c r="AC5206" s="816"/>
      <c r="AD5206" s="817"/>
      <c r="AE5206" s="943"/>
      <c r="AF5206" s="924">
        <f>IF(X5206=X5205,AF5205,0)+IF(ISNUMBER(I5206),IF(I5206&lt;1,I5206,I5206*VLOOKUP(J5206,Summary!$H$2:$I$9,2)),VLOOKUP(J5206,Summary!$J$2:$K$9,2)*IF(ISNUMBER(H5206),H5206,1))</f>
        <v>0.47978009259259252</v>
      </c>
      <c r="AG5206" s="292">
        <v>5205</v>
      </c>
      <c r="AH5206" s="94"/>
      <c r="AI5206" s="94"/>
    </row>
    <row r="5207" spans="1:35" s="57" customFormat="1" ht="12" customHeight="1" x14ac:dyDescent="0.25">
      <c r="A5207" s="626" t="s">
        <v>9706</v>
      </c>
      <c r="B5207" s="626">
        <v>12</v>
      </c>
      <c r="C5207" s="626">
        <v>258</v>
      </c>
      <c r="D5207" s="424" t="s">
        <v>9711</v>
      </c>
      <c r="E5207" s="319" t="s">
        <v>9721</v>
      </c>
      <c r="F5207" s="198">
        <v>42308</v>
      </c>
      <c r="G5207" s="198">
        <v>42315</v>
      </c>
      <c r="H5207" s="199">
        <v>2</v>
      </c>
      <c r="I5207" s="791">
        <f>TIME(0,45,24)+TIME(0,46,13)</f>
        <v>6.3622685185185185E-2</v>
      </c>
      <c r="J5207" s="904" t="s">
        <v>1588</v>
      </c>
      <c r="K5207" s="200" t="s">
        <v>9728</v>
      </c>
      <c r="L5207" s="200" t="s">
        <v>4114</v>
      </c>
      <c r="M5207" s="200"/>
      <c r="N5207" s="200" t="s">
        <v>3810</v>
      </c>
      <c r="O5207" s="200" t="s">
        <v>8002</v>
      </c>
      <c r="P5207" s="197" t="s">
        <v>461</v>
      </c>
      <c r="Q5207" s="200" t="s">
        <v>3946</v>
      </c>
      <c r="R5207" s="201" t="s">
        <v>5280</v>
      </c>
      <c r="S5207" s="390" t="s">
        <v>6923</v>
      </c>
      <c r="T5207" s="197"/>
      <c r="U5207" s="197" t="s">
        <v>10902</v>
      </c>
      <c r="V5207" s="197" t="s">
        <v>10903</v>
      </c>
      <c r="W5207" s="319" t="s">
        <v>9736</v>
      </c>
      <c r="X5207" s="651" t="s">
        <v>15418</v>
      </c>
      <c r="Y5207" s="358" t="s">
        <v>7018</v>
      </c>
      <c r="Z5207" s="253">
        <v>60</v>
      </c>
      <c r="AA5207" s="253">
        <v>8</v>
      </c>
      <c r="AB5207" s="35">
        <f t="shared" ca="1" si="127"/>
        <v>0.16813973076300448</v>
      </c>
      <c r="AC5207" s="820"/>
      <c r="AD5207" s="821"/>
      <c r="AE5207" s="967"/>
      <c r="AF5207" s="925">
        <f>IF(X5207=X5206,AF5206,0)+IF(ISNUMBER(I5207),IF(I5207&lt;1,I5207,I5207*VLOOKUP(J5207,Summary!$H$2:$I$9,2)),VLOOKUP(J5207,Summary!$J$2:$K$9,2)*IF(ISNUMBER(H5207),H5207,1))</f>
        <v>0.54340277777777768</v>
      </c>
      <c r="AG5207" s="293">
        <v>5206</v>
      </c>
      <c r="AH5207" s="94"/>
      <c r="AI5207" s="94"/>
    </row>
    <row r="5208" spans="1:35" s="57" customFormat="1" ht="12" customHeight="1" x14ac:dyDescent="0.25">
      <c r="A5208" s="626" t="s">
        <v>9706</v>
      </c>
      <c r="B5208" s="626">
        <v>12</v>
      </c>
      <c r="C5208" s="626">
        <v>259</v>
      </c>
      <c r="D5208" s="424" t="s">
        <v>9712</v>
      </c>
      <c r="E5208" s="319" t="s">
        <v>9722</v>
      </c>
      <c r="F5208" s="198">
        <v>42322</v>
      </c>
      <c r="G5208" s="198"/>
      <c r="H5208" s="199">
        <v>1</v>
      </c>
      <c r="I5208" s="791">
        <f>TIME(0,45, 2)</f>
        <v>3.1273148148148147E-2</v>
      </c>
      <c r="J5208" s="904" t="s">
        <v>1588</v>
      </c>
      <c r="K5208" s="200" t="s">
        <v>4964</v>
      </c>
      <c r="L5208" s="200" t="s">
        <v>9734</v>
      </c>
      <c r="M5208" s="200"/>
      <c r="N5208" s="200" t="s">
        <v>3810</v>
      </c>
      <c r="O5208" s="200" t="s">
        <v>8002</v>
      </c>
      <c r="P5208" s="197" t="s">
        <v>461</v>
      </c>
      <c r="Q5208" s="200" t="s">
        <v>3946</v>
      </c>
      <c r="R5208" s="201" t="s">
        <v>5280</v>
      </c>
      <c r="S5208" s="390" t="s">
        <v>6923</v>
      </c>
      <c r="T5208" s="197"/>
      <c r="U5208" s="197"/>
      <c r="V5208" s="197"/>
      <c r="W5208" s="319" t="s">
        <v>9722</v>
      </c>
      <c r="X5208" s="651" t="s">
        <v>15418</v>
      </c>
      <c r="Y5208" s="358" t="s">
        <v>7018</v>
      </c>
      <c r="Z5208" s="253">
        <v>205</v>
      </c>
      <c r="AA5208" s="253">
        <v>4.5</v>
      </c>
      <c r="AB5208" s="35">
        <f t="shared" ca="1" si="127"/>
        <v>0.57971127891426921</v>
      </c>
      <c r="AC5208" s="820"/>
      <c r="AD5208" s="821"/>
      <c r="AE5208" s="967"/>
      <c r="AF5208" s="925">
        <f>IF(X5208=X5207,AF5207,0)+IF(ISNUMBER(I5208),IF(I5208&lt;1,I5208,I5208*VLOOKUP(J5208,Summary!$H$2:$I$9,2)),VLOOKUP(J5208,Summary!$J$2:$K$9,2)*IF(ISNUMBER(H5208),H5208,1))</f>
        <v>0.57467592592592587</v>
      </c>
      <c r="AG5208" s="293">
        <v>5207</v>
      </c>
      <c r="AH5208" s="94"/>
      <c r="AI5208" s="94"/>
    </row>
    <row r="5209" spans="1:35" s="22" customFormat="1" ht="12" customHeight="1" x14ac:dyDescent="0.2">
      <c r="A5209" s="629" t="s">
        <v>9706</v>
      </c>
      <c r="B5209" s="629">
        <v>12</v>
      </c>
      <c r="C5209" s="629">
        <v>1.7</v>
      </c>
      <c r="D5209" s="185" t="s">
        <v>10935</v>
      </c>
      <c r="E5209" s="314" t="s">
        <v>1846</v>
      </c>
      <c r="F5209" s="184">
        <v>42347</v>
      </c>
      <c r="G5209" s="184"/>
      <c r="H5209" s="185">
        <v>1</v>
      </c>
      <c r="I5209" s="185">
        <v>27</v>
      </c>
      <c r="J5209" s="901" t="s">
        <v>1796</v>
      </c>
      <c r="K5209" s="163" t="s">
        <v>10889</v>
      </c>
      <c r="L5209" s="163" t="s">
        <v>10915</v>
      </c>
      <c r="M5209" s="163" t="s">
        <v>10936</v>
      </c>
      <c r="N5209" s="163" t="s">
        <v>10882</v>
      </c>
      <c r="O5209" s="163"/>
      <c r="P5209" s="182" t="s">
        <v>461</v>
      </c>
      <c r="Q5209" s="163" t="s">
        <v>7076</v>
      </c>
      <c r="R5209" s="186" t="s">
        <v>10879</v>
      </c>
      <c r="S5209" s="355" t="s">
        <v>6923</v>
      </c>
      <c r="T5209" s="182" t="s">
        <v>2123</v>
      </c>
      <c r="U5209" s="182"/>
      <c r="V5209" s="182"/>
      <c r="W5209" s="314" t="s">
        <v>1846</v>
      </c>
      <c r="X5209" s="646" t="s">
        <v>15418</v>
      </c>
      <c r="Y5209" s="355" t="s">
        <v>6000</v>
      </c>
      <c r="Z5209" s="185"/>
      <c r="AA5209" s="185"/>
      <c r="AB5209" s="33">
        <f t="shared" ca="1" si="127"/>
        <v>0.68057033810850709</v>
      </c>
      <c r="AC5209" s="813"/>
      <c r="AD5209" s="211"/>
      <c r="AE5209" s="941"/>
      <c r="AF5209" s="922">
        <f>IF(X5209=X5208,AF5208,0)+IF(ISNUMBER(I5209),IF(I5209&lt;1,I5209,I5209*VLOOKUP(J5209,Summary!$H$2:$I$9,2)),VLOOKUP(J5209,Summary!$J$2:$K$9,2)*IF(ISNUMBER(H5209),H5209,1))</f>
        <v>0.58405092592592589</v>
      </c>
      <c r="AG5209" s="290">
        <v>5208</v>
      </c>
      <c r="AH5209" s="94"/>
      <c r="AI5209" s="94"/>
    </row>
    <row r="5210" spans="1:35" s="57" customFormat="1" ht="12" customHeight="1" x14ac:dyDescent="0.25">
      <c r="A5210" s="769" t="s">
        <v>9706</v>
      </c>
      <c r="B5210" s="769">
        <v>12</v>
      </c>
      <c r="C5210" s="769">
        <v>2.1</v>
      </c>
      <c r="D5210" s="226" t="s">
        <v>10937</v>
      </c>
      <c r="E5210" s="331" t="s">
        <v>10938</v>
      </c>
      <c r="F5210" s="233">
        <v>42375</v>
      </c>
      <c r="G5210" s="233">
        <v>42466</v>
      </c>
      <c r="H5210" s="226">
        <v>4</v>
      </c>
      <c r="I5210" s="226">
        <v>88</v>
      </c>
      <c r="J5210" s="907" t="s">
        <v>1796</v>
      </c>
      <c r="K5210" s="228" t="s">
        <v>10900</v>
      </c>
      <c r="L5210" s="228" t="s">
        <v>10912</v>
      </c>
      <c r="M5210" s="228" t="s">
        <v>10908</v>
      </c>
      <c r="N5210" s="228" t="s">
        <v>10882</v>
      </c>
      <c r="O5210" s="228"/>
      <c r="P5210" s="225" t="s">
        <v>461</v>
      </c>
      <c r="Q5210" s="228" t="s">
        <v>7076</v>
      </c>
      <c r="R5210" s="227" t="s">
        <v>10879</v>
      </c>
      <c r="S5210" s="369" t="s">
        <v>6923</v>
      </c>
      <c r="T5210" s="225"/>
      <c r="U5210" s="225"/>
      <c r="V5210" s="225"/>
      <c r="W5210" s="331"/>
      <c r="X5210" s="663" t="s">
        <v>15418</v>
      </c>
      <c r="Y5210" s="369" t="s">
        <v>6000</v>
      </c>
      <c r="Z5210" s="226"/>
      <c r="AA5210" s="226"/>
      <c r="AB5210" s="38">
        <f t="shared" ca="1" si="127"/>
        <v>0.79536778909049577</v>
      </c>
      <c r="AC5210" s="830"/>
      <c r="AD5210" s="831"/>
      <c r="AE5210" s="963"/>
      <c r="AF5210" s="928">
        <f>IF(X5210=X5209,AF5209,0)+IF(ISNUMBER(I5210),IF(I5210&lt;1,I5210,I5210*VLOOKUP(J5210,Summary!$H$2:$I$9,2)),VLOOKUP(J5210,Summary!$J$2:$K$9,2)*IF(ISNUMBER(H5210),H5210,1))</f>
        <v>0.61460648148148145</v>
      </c>
      <c r="AG5210" s="304">
        <v>5209</v>
      </c>
      <c r="AH5210" s="94"/>
      <c r="AI5210" s="94"/>
    </row>
    <row r="5211" spans="1:35" s="57" customFormat="1" ht="12" customHeight="1" x14ac:dyDescent="0.25">
      <c r="A5211" s="629" t="s">
        <v>9706</v>
      </c>
      <c r="B5211" s="629">
        <v>12</v>
      </c>
      <c r="C5211" s="629">
        <v>2.2000000000000002</v>
      </c>
      <c r="D5211" s="185" t="s">
        <v>10939</v>
      </c>
      <c r="E5211" s="314" t="s">
        <v>6516</v>
      </c>
      <c r="F5211" s="184">
        <v>42501</v>
      </c>
      <c r="G5211" s="184"/>
      <c r="H5211" s="185">
        <v>1</v>
      </c>
      <c r="I5211" s="185">
        <v>22</v>
      </c>
      <c r="J5211" s="901" t="s">
        <v>1796</v>
      </c>
      <c r="K5211" s="163" t="s">
        <v>10900</v>
      </c>
      <c r="L5211" s="163" t="s">
        <v>10912</v>
      </c>
      <c r="M5211" s="163" t="s">
        <v>10940</v>
      </c>
      <c r="N5211" s="163" t="s">
        <v>10882</v>
      </c>
      <c r="O5211" s="163"/>
      <c r="P5211" s="182" t="s">
        <v>461</v>
      </c>
      <c r="Q5211" s="163" t="s">
        <v>7076</v>
      </c>
      <c r="R5211" s="186" t="s">
        <v>10879</v>
      </c>
      <c r="S5211" s="355" t="s">
        <v>6923</v>
      </c>
      <c r="T5211" s="182"/>
      <c r="U5211" s="182"/>
      <c r="V5211" s="182"/>
      <c r="W5211" s="314" t="s">
        <v>6516</v>
      </c>
      <c r="X5211" s="646" t="s">
        <v>15418</v>
      </c>
      <c r="Y5211" s="355"/>
      <c r="Z5211" s="185"/>
      <c r="AA5211" s="185"/>
      <c r="AB5211" s="33">
        <f t="shared" ca="1" si="127"/>
        <v>0.58289936084618121</v>
      </c>
      <c r="AC5211" s="813"/>
      <c r="AD5211" s="211"/>
      <c r="AE5211" s="941"/>
      <c r="AF5211" s="922">
        <f>IF(X5211=X5210,AF5210,0)+IF(ISNUMBER(I5211),IF(I5211&lt;1,I5211,I5211*VLOOKUP(J5211,Summary!$H$2:$I$9,2)),VLOOKUP(J5211,Summary!$J$2:$K$9,2)*IF(ISNUMBER(H5211),H5211,1))</f>
        <v>0.62224537037037031</v>
      </c>
      <c r="AG5211" s="290">
        <v>5210</v>
      </c>
      <c r="AH5211" s="94"/>
      <c r="AI5211" s="94"/>
    </row>
    <row r="5212" spans="1:35" s="1" customFormat="1" ht="12" customHeight="1" x14ac:dyDescent="0.25">
      <c r="A5212" s="629" t="s">
        <v>9706</v>
      </c>
      <c r="B5212" s="629">
        <v>12</v>
      </c>
      <c r="C5212" s="629">
        <v>170</v>
      </c>
      <c r="D5212" s="185" t="s">
        <v>10841</v>
      </c>
      <c r="E5212" s="314" t="s">
        <v>10842</v>
      </c>
      <c r="F5212" s="183">
        <v>42430</v>
      </c>
      <c r="G5212" s="184"/>
      <c r="H5212" s="185">
        <v>1</v>
      </c>
      <c r="I5212" s="185">
        <v>12</v>
      </c>
      <c r="J5212" s="901" t="s">
        <v>1796</v>
      </c>
      <c r="K5212" s="163" t="s">
        <v>3365</v>
      </c>
      <c r="L5212" s="163" t="s">
        <v>251</v>
      </c>
      <c r="M5212" s="163" t="s">
        <v>252</v>
      </c>
      <c r="N5212" s="163" t="s">
        <v>9850</v>
      </c>
      <c r="O5212" s="163"/>
      <c r="P5212" s="182" t="s">
        <v>461</v>
      </c>
      <c r="Q5212" s="163" t="s">
        <v>4104</v>
      </c>
      <c r="R5212" s="186" t="s">
        <v>5266</v>
      </c>
      <c r="S5212" s="355" t="s">
        <v>6923</v>
      </c>
      <c r="T5212" s="182"/>
      <c r="U5212" s="182"/>
      <c r="V5212" s="182"/>
      <c r="W5212" s="314" t="s">
        <v>10842</v>
      </c>
      <c r="X5212" s="646" t="s">
        <v>15418</v>
      </c>
      <c r="Y5212" s="355"/>
      <c r="Z5212" s="185"/>
      <c r="AA5212" s="185"/>
      <c r="AB5212" s="33">
        <f t="shared" ca="1" si="127"/>
        <v>0.90538240069268072</v>
      </c>
      <c r="AC5212" s="813"/>
      <c r="AD5212" s="211"/>
      <c r="AE5212" s="941"/>
      <c r="AF5212" s="922">
        <f>IF(X5212=X5211,AF5211,0)+IF(ISNUMBER(I5212),IF(I5212&lt;1,I5212,I5212*VLOOKUP(J5212,Summary!$H$2:$I$9,2)),VLOOKUP(J5212,Summary!$J$2:$K$9,2)*IF(ISNUMBER(H5212),H5212,1))</f>
        <v>0.62641203703703696</v>
      </c>
      <c r="AG5212" s="290">
        <v>5211</v>
      </c>
      <c r="AH5212" s="94"/>
      <c r="AI5212" s="94"/>
    </row>
    <row r="5213" spans="1:35" s="57" customFormat="1" ht="12" customHeight="1" x14ac:dyDescent="0.25">
      <c r="A5213" s="740" t="s">
        <v>9706</v>
      </c>
      <c r="B5213" s="740">
        <v>12</v>
      </c>
      <c r="C5213" s="740">
        <v>25</v>
      </c>
      <c r="D5213" s="407" t="s">
        <v>11317</v>
      </c>
      <c r="E5213" s="315" t="s">
        <v>11304</v>
      </c>
      <c r="F5213" s="196">
        <v>42467</v>
      </c>
      <c r="G5213" s="170"/>
      <c r="H5213" s="170">
        <v>1</v>
      </c>
      <c r="I5213" s="747">
        <f>TIME(0,60,0)</f>
        <v>4.1666666666666664E-2</v>
      </c>
      <c r="J5213" s="899" t="s">
        <v>4706</v>
      </c>
      <c r="K5213" s="167" t="s">
        <v>2310</v>
      </c>
      <c r="L5213" s="167"/>
      <c r="M5213" s="167" t="s">
        <v>11318</v>
      </c>
      <c r="N5213" s="167"/>
      <c r="O5213" s="167"/>
      <c r="P5213" s="168" t="s">
        <v>11316</v>
      </c>
      <c r="Q5213" s="167" t="s">
        <v>3950</v>
      </c>
      <c r="R5213" s="172" t="s">
        <v>2240</v>
      </c>
      <c r="S5213" s="388" t="s">
        <v>6923</v>
      </c>
      <c r="T5213" s="168"/>
      <c r="U5213" s="168"/>
      <c r="V5213" s="168"/>
      <c r="W5213" s="315" t="s">
        <v>11304</v>
      </c>
      <c r="X5213" s="647" t="s">
        <v>15418</v>
      </c>
      <c r="Y5213" s="352"/>
      <c r="Z5213" s="353"/>
      <c r="AA5213" s="353"/>
      <c r="AB5213" s="31">
        <f t="shared" ca="1" si="127"/>
        <v>0.285639504335368</v>
      </c>
      <c r="AC5213" s="810"/>
      <c r="AD5213" s="811"/>
      <c r="AE5213" s="940"/>
      <c r="AF5213" s="920">
        <f>IF(X5213=X5212,AF5212,0)+IF(ISNUMBER(I5213),IF(I5213&lt;1,I5213,I5213*VLOOKUP(J5213,Summary!$H$2:$I$9,2)),VLOOKUP(J5213,Summary!$J$2:$K$9,2)*IF(ISNUMBER(H5213),H5213,1))</f>
        <v>0.66807870370370359</v>
      </c>
      <c r="AG5213" s="287">
        <v>5212</v>
      </c>
      <c r="AH5213" s="94"/>
      <c r="AI5213" s="94"/>
    </row>
    <row r="5214" spans="1:35" s="57" customFormat="1" ht="12" customHeight="1" x14ac:dyDescent="0.25">
      <c r="A5214" s="629" t="s">
        <v>9706</v>
      </c>
      <c r="B5214" s="629">
        <v>12</v>
      </c>
      <c r="C5214" s="629">
        <v>171</v>
      </c>
      <c r="D5214" s="185" t="s">
        <v>10843</v>
      </c>
      <c r="E5214" s="314" t="s">
        <v>10844</v>
      </c>
      <c r="F5214" s="183">
        <v>42461</v>
      </c>
      <c r="G5214" s="183">
        <v>42522</v>
      </c>
      <c r="H5214" s="185">
        <v>3</v>
      </c>
      <c r="I5214" s="185">
        <v>36</v>
      </c>
      <c r="J5214" s="901" t="s">
        <v>1796</v>
      </c>
      <c r="K5214" s="163" t="s">
        <v>4552</v>
      </c>
      <c r="L5214" s="163" t="s">
        <v>251</v>
      </c>
      <c r="M5214" s="163" t="s">
        <v>252</v>
      </c>
      <c r="N5214" s="163" t="s">
        <v>9850</v>
      </c>
      <c r="O5214" s="163"/>
      <c r="P5214" s="182" t="s">
        <v>461</v>
      </c>
      <c r="Q5214" s="163" t="s">
        <v>4104</v>
      </c>
      <c r="R5214" s="186" t="s">
        <v>5266</v>
      </c>
      <c r="S5214" s="355" t="s">
        <v>6923</v>
      </c>
      <c r="T5214" s="182"/>
      <c r="U5214" s="182"/>
      <c r="V5214" s="182"/>
      <c r="W5214" s="314"/>
      <c r="X5214" s="646" t="s">
        <v>15418</v>
      </c>
      <c r="Y5214" s="355"/>
      <c r="Z5214" s="185"/>
      <c r="AA5214" s="185"/>
      <c r="AB5214" s="33">
        <f t="shared" ca="1" si="127"/>
        <v>0.23362543944198289</v>
      </c>
      <c r="AC5214" s="813"/>
      <c r="AD5214" s="211"/>
      <c r="AE5214" s="941"/>
      <c r="AF5214" s="922">
        <f>IF(X5214=X5213,AF5213,0)+IF(ISNUMBER(I5214),IF(I5214&lt;1,I5214,I5214*VLOOKUP(J5214,Summary!$H$2:$I$9,2)),VLOOKUP(J5214,Summary!$J$2:$K$9,2)*IF(ISNUMBER(H5214),H5214,1))</f>
        <v>0.68057870370370355</v>
      </c>
      <c r="AG5214" s="290">
        <v>5213</v>
      </c>
      <c r="AH5214" s="94"/>
      <c r="AI5214" s="94"/>
    </row>
    <row r="5215" spans="1:35" s="57" customFormat="1" ht="12" customHeight="1" x14ac:dyDescent="0.25">
      <c r="A5215" s="626" t="s">
        <v>9706</v>
      </c>
      <c r="B5215" s="626">
        <v>12</v>
      </c>
      <c r="C5215" s="626">
        <v>260</v>
      </c>
      <c r="D5215" s="424" t="s">
        <v>9713</v>
      </c>
      <c r="E5215" s="319" t="s">
        <v>9723</v>
      </c>
      <c r="F5215" s="198">
        <v>42329</v>
      </c>
      <c r="G5215" s="198"/>
      <c r="H5215" s="199">
        <v>1</v>
      </c>
      <c r="I5215" s="791">
        <f>TIME(0,46,49)</f>
        <v>3.2511574074074075E-2</v>
      </c>
      <c r="J5215" s="904" t="s">
        <v>1588</v>
      </c>
      <c r="K5215" s="200" t="s">
        <v>9729</v>
      </c>
      <c r="L5215" s="200" t="s">
        <v>9734</v>
      </c>
      <c r="M5215" s="200"/>
      <c r="N5215" s="200" t="s">
        <v>3810</v>
      </c>
      <c r="O5215" s="200" t="s">
        <v>8002</v>
      </c>
      <c r="P5215" s="197" t="s">
        <v>461</v>
      </c>
      <c r="Q5215" s="200" t="s">
        <v>3946</v>
      </c>
      <c r="R5215" s="201" t="s">
        <v>5280</v>
      </c>
      <c r="S5215" s="390" t="s">
        <v>6923</v>
      </c>
      <c r="T5215" s="197"/>
      <c r="U5215" s="197"/>
      <c r="V5215" s="197"/>
      <c r="W5215" s="319" t="s">
        <v>9723</v>
      </c>
      <c r="X5215" s="651" t="s">
        <v>15418</v>
      </c>
      <c r="Y5215" s="358" t="s">
        <v>7018</v>
      </c>
      <c r="Z5215" s="360">
        <v>101</v>
      </c>
      <c r="AA5215" s="253">
        <v>7</v>
      </c>
      <c r="AB5215" s="35">
        <f t="shared" ca="1" si="127"/>
        <v>0.55084480528637791</v>
      </c>
      <c r="AC5215" s="820"/>
      <c r="AD5215" s="821"/>
      <c r="AE5215" s="967"/>
      <c r="AF5215" s="925">
        <f>IF(X5215=X5214,AF5214,0)+IF(ISNUMBER(I5215),IF(I5215&lt;1,I5215,I5215*VLOOKUP(J5215,Summary!$H$2:$I$9,2)),VLOOKUP(J5215,Summary!$J$2:$K$9,2)*IF(ISNUMBER(H5215),H5215,1))</f>
        <v>0.71309027777777767</v>
      </c>
      <c r="AG5215" s="293">
        <v>5214</v>
      </c>
      <c r="AH5215" s="94"/>
      <c r="AI5215" s="94"/>
    </row>
    <row r="5216" spans="1:35" s="57" customFormat="1" ht="12" customHeight="1" x14ac:dyDescent="0.25">
      <c r="A5216" s="626" t="s">
        <v>9706</v>
      </c>
      <c r="B5216" s="626">
        <v>12</v>
      </c>
      <c r="C5216" s="626">
        <v>261</v>
      </c>
      <c r="D5216" s="424" t="s">
        <v>9714</v>
      </c>
      <c r="E5216" s="319" t="s">
        <v>9724</v>
      </c>
      <c r="F5216" s="198">
        <v>42336</v>
      </c>
      <c r="G5216" s="198"/>
      <c r="H5216" s="199">
        <v>1</v>
      </c>
      <c r="I5216" s="791">
        <f>TIME(0,53,59)</f>
        <v>3.7488425925925925E-2</v>
      </c>
      <c r="J5216" s="904" t="s">
        <v>1588</v>
      </c>
      <c r="K5216" s="200" t="s">
        <v>3810</v>
      </c>
      <c r="L5216" s="200" t="s">
        <v>8193</v>
      </c>
      <c r="M5216" s="200"/>
      <c r="N5216" s="200" t="s">
        <v>3810</v>
      </c>
      <c r="O5216" s="200" t="s">
        <v>8002</v>
      </c>
      <c r="P5216" s="197" t="s">
        <v>461</v>
      </c>
      <c r="Q5216" s="200" t="s">
        <v>3946</v>
      </c>
      <c r="R5216" s="201" t="s">
        <v>5280</v>
      </c>
      <c r="S5216" s="390"/>
      <c r="T5216" s="197"/>
      <c r="U5216" s="197"/>
      <c r="V5216" s="197"/>
      <c r="W5216" s="319" t="s">
        <v>9724</v>
      </c>
      <c r="X5216" s="651" t="s">
        <v>15418</v>
      </c>
      <c r="Y5216" s="358" t="s">
        <v>7018</v>
      </c>
      <c r="Z5216" s="253">
        <v>5</v>
      </c>
      <c r="AA5216" s="253">
        <v>10</v>
      </c>
      <c r="AB5216" s="35">
        <f t="shared" ca="1" si="127"/>
        <v>0.32925673566104297</v>
      </c>
      <c r="AC5216" s="820"/>
      <c r="AD5216" s="821"/>
      <c r="AE5216" s="967"/>
      <c r="AF5216" s="925">
        <f>IF(X5216=X5215,AF5215,0)+IF(ISNUMBER(I5216),IF(I5216&lt;1,I5216,I5216*VLOOKUP(J5216,Summary!$H$2:$I$9,2)),VLOOKUP(J5216,Summary!$J$2:$K$9,2)*IF(ISNUMBER(H5216),H5216,1))</f>
        <v>0.75057870370370361</v>
      </c>
      <c r="AG5216" s="293">
        <v>5215</v>
      </c>
      <c r="AH5216" s="94"/>
      <c r="AI5216" s="94"/>
    </row>
    <row r="5217" spans="1:36" s="57" customFormat="1" ht="12" customHeight="1" x14ac:dyDescent="0.25">
      <c r="A5217" s="626" t="s">
        <v>9706</v>
      </c>
      <c r="B5217" s="626">
        <v>12</v>
      </c>
      <c r="C5217" s="626">
        <v>262</v>
      </c>
      <c r="D5217" s="424" t="s">
        <v>9715</v>
      </c>
      <c r="E5217" s="319" t="s">
        <v>9725</v>
      </c>
      <c r="F5217" s="198">
        <v>42343</v>
      </c>
      <c r="G5217" s="198"/>
      <c r="H5217" s="199">
        <v>1</v>
      </c>
      <c r="I5217" s="791">
        <f>TIME(0,60,26)</f>
        <v>4.1967592592592591E-2</v>
      </c>
      <c r="J5217" s="904" t="s">
        <v>1588</v>
      </c>
      <c r="K5217" s="200" t="s">
        <v>3810</v>
      </c>
      <c r="L5217" s="200" t="s">
        <v>8193</v>
      </c>
      <c r="M5217" s="200"/>
      <c r="N5217" s="200" t="s">
        <v>3810</v>
      </c>
      <c r="O5217" s="200" t="s">
        <v>8002</v>
      </c>
      <c r="P5217" s="197" t="s">
        <v>461</v>
      </c>
      <c r="Q5217" s="200" t="s">
        <v>3946</v>
      </c>
      <c r="R5217" s="201" t="s">
        <v>5280</v>
      </c>
      <c r="S5217" s="390" t="s">
        <v>6923</v>
      </c>
      <c r="T5217" s="197"/>
      <c r="U5217" s="197"/>
      <c r="V5217" s="197"/>
      <c r="W5217" s="319" t="s">
        <v>9725</v>
      </c>
      <c r="X5217" s="651" t="s">
        <v>15418</v>
      </c>
      <c r="Y5217" s="358" t="s">
        <v>7018</v>
      </c>
      <c r="Z5217" s="253">
        <v>85</v>
      </c>
      <c r="AA5217" s="253">
        <v>7</v>
      </c>
      <c r="AB5217" s="35">
        <f t="shared" ca="1" si="127"/>
        <v>0.39694231107957911</v>
      </c>
      <c r="AC5217" s="820"/>
      <c r="AD5217" s="821"/>
      <c r="AE5217" s="967"/>
      <c r="AF5217" s="925">
        <f>IF(X5217=X5216,AF5216,0)+IF(ISNUMBER(I5217),IF(I5217&lt;1,I5217,I5217*VLOOKUP(J5217,Summary!$H$2:$I$9,2)),VLOOKUP(J5217,Summary!$J$2:$K$9,2)*IF(ISNUMBER(H5217),H5217,1))</f>
        <v>0.79254629629629625</v>
      </c>
      <c r="AG5217" s="293">
        <v>5216</v>
      </c>
      <c r="AH5217" s="94"/>
      <c r="AI5217" s="94"/>
    </row>
    <row r="5218" spans="1:36" s="27" customFormat="1" ht="12" customHeight="1" x14ac:dyDescent="0.25">
      <c r="A5218" s="627" t="s">
        <v>11360</v>
      </c>
      <c r="B5218" s="627">
        <v>12</v>
      </c>
      <c r="C5218" s="627"/>
      <c r="D5218" s="176" t="s">
        <v>3112</v>
      </c>
      <c r="E5218" s="313" t="s">
        <v>11392</v>
      </c>
      <c r="F5218" s="175">
        <v>42359</v>
      </c>
      <c r="G5218" s="175">
        <v>42362</v>
      </c>
      <c r="H5218" s="176">
        <v>3</v>
      </c>
      <c r="I5218" s="176">
        <v>18</v>
      </c>
      <c r="J5218" s="900" t="s">
        <v>2755</v>
      </c>
      <c r="K5218" s="164" t="s">
        <v>4425</v>
      </c>
      <c r="L5218" s="164" t="s">
        <v>461</v>
      </c>
      <c r="M5218" s="164"/>
      <c r="N5218" s="164"/>
      <c r="O5218" s="164"/>
      <c r="P5218" s="173" t="s">
        <v>461</v>
      </c>
      <c r="Q5218" s="164" t="s">
        <v>3946</v>
      </c>
      <c r="R5218" s="177" t="s">
        <v>7896</v>
      </c>
      <c r="S5218" s="354"/>
      <c r="T5218" s="173"/>
      <c r="U5218" s="173"/>
      <c r="V5218" s="173"/>
      <c r="W5218" s="313" t="s">
        <v>11392</v>
      </c>
      <c r="X5218" s="645" t="s">
        <v>12420</v>
      </c>
      <c r="Y5218" s="354" t="s">
        <v>6000</v>
      </c>
      <c r="Z5218" s="176"/>
      <c r="AA5218" s="176"/>
      <c r="AB5218" s="32">
        <f t="shared" ca="1" si="127"/>
        <v>0.31284148823685642</v>
      </c>
      <c r="AC5218" s="812"/>
      <c r="AD5218" s="763"/>
      <c r="AE5218" s="807"/>
      <c r="AF5218" s="921">
        <f>IF(X5218=X5217,AF5217,0)+IF(ISNUMBER(I5218),IF(I5218&lt;1,I5218,I5218*VLOOKUP(J5218,Summary!$H$2:$I$9,2)),VLOOKUP(J5218,Summary!$J$2:$K$9,2)*IF(ISNUMBER(H5218),H5218,1))</f>
        <v>1.2500000000000001E-2</v>
      </c>
      <c r="AG5218" s="289">
        <v>5217</v>
      </c>
      <c r="AH5218" s="119"/>
      <c r="AI5218" s="119"/>
    </row>
    <row r="5219" spans="1:36" s="57" customFormat="1" ht="12" customHeight="1" x14ac:dyDescent="0.25">
      <c r="A5219" s="627" t="s">
        <v>11360</v>
      </c>
      <c r="B5219" s="627">
        <v>12</v>
      </c>
      <c r="C5219" s="627">
        <v>27</v>
      </c>
      <c r="D5219" s="176" t="s">
        <v>10845</v>
      </c>
      <c r="E5219" s="313" t="s">
        <v>12840</v>
      </c>
      <c r="F5219" s="175">
        <v>42516</v>
      </c>
      <c r="G5219" s="174"/>
      <c r="H5219" s="176">
        <v>1</v>
      </c>
      <c r="I5219" s="176"/>
      <c r="J5219" s="900" t="s">
        <v>2755</v>
      </c>
      <c r="K5219" s="164" t="s">
        <v>3365</v>
      </c>
      <c r="L5219" s="164" t="s">
        <v>3365</v>
      </c>
      <c r="M5219" s="164"/>
      <c r="N5219" s="164" t="s">
        <v>12841</v>
      </c>
      <c r="O5219" s="164"/>
      <c r="P5219" s="173" t="s">
        <v>461</v>
      </c>
      <c r="Q5219" s="164" t="s">
        <v>4062</v>
      </c>
      <c r="R5219" s="177" t="s">
        <v>10250</v>
      </c>
      <c r="S5219" s="354"/>
      <c r="T5219" s="173"/>
      <c r="U5219" s="173"/>
      <c r="V5219" s="173"/>
      <c r="W5219" s="313" t="s">
        <v>12840</v>
      </c>
      <c r="X5219" s="645" t="s">
        <v>12420</v>
      </c>
      <c r="Y5219" s="354"/>
      <c r="Z5219" s="176">
        <v>999</v>
      </c>
      <c r="AA5219" s="176"/>
      <c r="AB5219" s="32">
        <f t="shared" ca="1" si="127"/>
        <v>0.16218466390241704</v>
      </c>
      <c r="AC5219" s="812"/>
      <c r="AD5219" s="763"/>
      <c r="AE5219" s="807"/>
      <c r="AF5219" s="921">
        <f>IF(X5219=X5218,AF5218,0)+IF(ISNUMBER(I5219),IF(I5219&lt;1,I5219,I5219*VLOOKUP(J5219,Summary!$H$2:$I$9,2)),VLOOKUP(J5219,Summary!$J$2:$K$9,2)*IF(ISNUMBER(H5219),H5219,1))</f>
        <v>2.9861111111111113E-2</v>
      </c>
      <c r="AG5219" s="289">
        <v>5218</v>
      </c>
      <c r="AH5219" s="94"/>
      <c r="AI5219" s="94"/>
    </row>
    <row r="5220" spans="1:36" s="22" customFormat="1" ht="12" customHeight="1" x14ac:dyDescent="0.25">
      <c r="A5220" s="627" t="s">
        <v>11360</v>
      </c>
      <c r="B5220" s="627">
        <v>12</v>
      </c>
      <c r="C5220" s="627">
        <v>1</v>
      </c>
      <c r="D5220" s="176" t="s">
        <v>13294</v>
      </c>
      <c r="E5220" s="313" t="s">
        <v>13301</v>
      </c>
      <c r="F5220" s="175">
        <v>42649</v>
      </c>
      <c r="G5220" s="175"/>
      <c r="H5220" s="176" t="s">
        <v>461</v>
      </c>
      <c r="I5220" s="176"/>
      <c r="J5220" s="900" t="s">
        <v>2755</v>
      </c>
      <c r="K5220" s="164" t="s">
        <v>543</v>
      </c>
      <c r="L5220" s="164"/>
      <c r="M5220" s="164"/>
      <c r="N5220" s="164"/>
      <c r="O5220" s="164"/>
      <c r="P5220" s="173" t="s">
        <v>13295</v>
      </c>
      <c r="Q5220" s="164" t="s">
        <v>13296</v>
      </c>
      <c r="R5220" s="177" t="s">
        <v>11448</v>
      </c>
      <c r="S5220" s="354"/>
      <c r="T5220" s="173"/>
      <c r="U5220" s="173"/>
      <c r="V5220" s="173"/>
      <c r="W5220" s="313" t="s">
        <v>13301</v>
      </c>
      <c r="X5220" s="645" t="s">
        <v>12420</v>
      </c>
      <c r="Y5220" s="354"/>
      <c r="Z5220" s="176"/>
      <c r="AA5220" s="176"/>
      <c r="AB5220" s="32">
        <f t="shared" ca="1" si="127"/>
        <v>0.42485987916757684</v>
      </c>
      <c r="AC5220" s="812"/>
      <c r="AD5220" s="763"/>
      <c r="AE5220" s="807"/>
      <c r="AF5220" s="921">
        <f>IF(X5220=X5219,AF5219,0)+IF(ISNUMBER(I5220),IF(I5220&lt;1,I5220,I5220*VLOOKUP(J5220,Summary!$H$2:$I$9,2)),VLOOKUP(J5220,Summary!$J$2:$K$9,2)*IF(ISNUMBER(H5220),H5220,1))</f>
        <v>4.7222222222222221E-2</v>
      </c>
      <c r="AG5220" s="289">
        <v>5219</v>
      </c>
      <c r="AH5220" s="94"/>
      <c r="AI5220" s="94"/>
    </row>
    <row r="5221" spans="1:36" s="120" customFormat="1" ht="12" customHeight="1" x14ac:dyDescent="0.2">
      <c r="A5221" s="629" t="s">
        <v>11360</v>
      </c>
      <c r="B5221" s="629">
        <v>12</v>
      </c>
      <c r="C5221" s="629">
        <v>11</v>
      </c>
      <c r="D5221" s="185" t="s">
        <v>9910</v>
      </c>
      <c r="E5221" s="314" t="s">
        <v>9914</v>
      </c>
      <c r="F5221" s="184">
        <v>42404</v>
      </c>
      <c r="G5221" s="184"/>
      <c r="H5221" s="185">
        <v>2</v>
      </c>
      <c r="I5221" s="185">
        <v>9</v>
      </c>
      <c r="J5221" s="901" t="s">
        <v>1796</v>
      </c>
      <c r="K5221" s="163" t="s">
        <v>9880</v>
      </c>
      <c r="L5221" s="163" t="s">
        <v>9881</v>
      </c>
      <c r="M5221" s="163" t="s">
        <v>9882</v>
      </c>
      <c r="N5221" s="163"/>
      <c r="O5221" s="163"/>
      <c r="P5221" s="182" t="s">
        <v>461</v>
      </c>
      <c r="Q5221" s="163" t="s">
        <v>9883</v>
      </c>
      <c r="R5221" s="186" t="s">
        <v>9898</v>
      </c>
      <c r="S5221" s="355"/>
      <c r="T5221" s="182"/>
      <c r="U5221" s="182"/>
      <c r="V5221" s="182"/>
      <c r="W5221" s="314"/>
      <c r="X5221" s="646" t="s">
        <v>12420</v>
      </c>
      <c r="Y5221" s="355"/>
      <c r="Z5221" s="185"/>
      <c r="AA5221" s="185"/>
      <c r="AB5221" s="33">
        <f t="shared" ca="1" si="127"/>
        <v>0.89433623765974302</v>
      </c>
      <c r="AC5221" s="813"/>
      <c r="AD5221" s="211"/>
      <c r="AE5221" s="941"/>
      <c r="AF5221" s="922">
        <f>IF(X5221=X5220,AF5220,0)+IF(ISNUMBER(I5221),IF(I5221&lt;1,I5221,I5221*VLOOKUP(J5221,Summary!$H$2:$I$9,2)),VLOOKUP(J5221,Summary!$J$2:$K$9,2)*IF(ISNUMBER(H5221),H5221,1))</f>
        <v>5.0347222222222224E-2</v>
      </c>
      <c r="AG5221" s="290">
        <v>5220</v>
      </c>
      <c r="AH5221" s="94"/>
      <c r="AI5221" s="94"/>
    </row>
    <row r="5222" spans="1:36" s="27" customFormat="1" ht="12" customHeight="1" x14ac:dyDescent="0.25">
      <c r="A5222" s="629" t="s">
        <v>11360</v>
      </c>
      <c r="B5222" s="629">
        <v>12</v>
      </c>
      <c r="C5222" s="629">
        <v>12</v>
      </c>
      <c r="D5222" s="185" t="s">
        <v>9911</v>
      </c>
      <c r="E5222" s="314" t="s">
        <v>9915</v>
      </c>
      <c r="F5222" s="184">
        <v>42432</v>
      </c>
      <c r="G5222" s="184"/>
      <c r="H5222" s="185">
        <v>2</v>
      </c>
      <c r="I5222" s="185">
        <v>9</v>
      </c>
      <c r="J5222" s="901" t="s">
        <v>1796</v>
      </c>
      <c r="K5222" s="163" t="s">
        <v>9909</v>
      </c>
      <c r="L5222" s="163" t="s">
        <v>9881</v>
      </c>
      <c r="M5222" s="163" t="s">
        <v>9882</v>
      </c>
      <c r="N5222" s="163"/>
      <c r="O5222" s="163"/>
      <c r="P5222" s="182" t="s">
        <v>461</v>
      </c>
      <c r="Q5222" s="163" t="s">
        <v>9883</v>
      </c>
      <c r="R5222" s="186" t="s">
        <v>9898</v>
      </c>
      <c r="S5222" s="355"/>
      <c r="T5222" s="182"/>
      <c r="U5222" s="182"/>
      <c r="V5222" s="182"/>
      <c r="W5222" s="314"/>
      <c r="X5222" s="646" t="s">
        <v>12420</v>
      </c>
      <c r="Y5222" s="355"/>
      <c r="Z5222" s="185"/>
      <c r="AA5222" s="185"/>
      <c r="AB5222" s="33">
        <f t="shared" ca="1" si="127"/>
        <v>0.66664226269139648</v>
      </c>
      <c r="AC5222" s="813"/>
      <c r="AD5222" s="211"/>
      <c r="AE5222" s="941"/>
      <c r="AF5222" s="922">
        <f>IF(X5222=X5221,AF5221,0)+IF(ISNUMBER(I5222),IF(I5222&lt;1,I5222,I5222*VLOOKUP(J5222,Summary!$H$2:$I$9,2)),VLOOKUP(J5222,Summary!$J$2:$K$9,2)*IF(ISNUMBER(H5222),H5222,1))</f>
        <v>5.3472222222222227E-2</v>
      </c>
      <c r="AG5222" s="290">
        <v>5221</v>
      </c>
      <c r="AH5222" s="119"/>
      <c r="AI5222" s="119"/>
    </row>
    <row r="5223" spans="1:36" s="57" customFormat="1" ht="12" customHeight="1" x14ac:dyDescent="0.25">
      <c r="A5223" s="629" t="s">
        <v>11360</v>
      </c>
      <c r="B5223" s="629">
        <v>12</v>
      </c>
      <c r="C5223" s="629">
        <v>13</v>
      </c>
      <c r="D5223" s="185" t="s">
        <v>9912</v>
      </c>
      <c r="E5223" s="314" t="s">
        <v>9916</v>
      </c>
      <c r="F5223" s="184">
        <v>42460</v>
      </c>
      <c r="G5223" s="184"/>
      <c r="H5223" s="185">
        <v>2</v>
      </c>
      <c r="I5223" s="185">
        <v>9</v>
      </c>
      <c r="J5223" s="901" t="s">
        <v>1796</v>
      </c>
      <c r="K5223" s="163" t="s">
        <v>8311</v>
      </c>
      <c r="L5223" s="163" t="s">
        <v>9881</v>
      </c>
      <c r="M5223" s="163" t="s">
        <v>9882</v>
      </c>
      <c r="N5223" s="163"/>
      <c r="O5223" s="163"/>
      <c r="P5223" s="182" t="s">
        <v>461</v>
      </c>
      <c r="Q5223" s="163" t="s">
        <v>9883</v>
      </c>
      <c r="R5223" s="186" t="s">
        <v>9898</v>
      </c>
      <c r="S5223" s="355"/>
      <c r="T5223" s="182"/>
      <c r="U5223" s="182"/>
      <c r="V5223" s="182"/>
      <c r="W5223" s="314"/>
      <c r="X5223" s="646" t="s">
        <v>12420</v>
      </c>
      <c r="Y5223" s="355"/>
      <c r="Z5223" s="185"/>
      <c r="AA5223" s="185"/>
      <c r="AB5223" s="33">
        <f t="shared" ca="1" si="127"/>
        <v>0.90674096112593017</v>
      </c>
      <c r="AC5223" s="813"/>
      <c r="AD5223" s="211"/>
      <c r="AE5223" s="941"/>
      <c r="AF5223" s="922">
        <f>IF(X5223=X5222,AF5222,0)+IF(ISNUMBER(I5223),IF(I5223&lt;1,I5223,I5223*VLOOKUP(J5223,Summary!$H$2:$I$9,2)),VLOOKUP(J5223,Summary!$J$2:$K$9,2)*IF(ISNUMBER(H5223),H5223,1))</f>
        <v>5.6597222222222229E-2</v>
      </c>
      <c r="AG5223" s="290">
        <v>5222</v>
      </c>
      <c r="AH5223" s="94"/>
      <c r="AI5223" s="94"/>
    </row>
    <row r="5224" spans="1:36" s="29" customFormat="1" ht="12" customHeight="1" x14ac:dyDescent="0.25">
      <c r="A5224" s="629" t="s">
        <v>11360</v>
      </c>
      <c r="B5224" s="629">
        <v>12</v>
      </c>
      <c r="C5224" s="629">
        <v>14</v>
      </c>
      <c r="D5224" s="185" t="s">
        <v>9913</v>
      </c>
      <c r="E5224" s="314" t="s">
        <v>9917</v>
      </c>
      <c r="F5224" s="184">
        <v>42488</v>
      </c>
      <c r="G5224" s="184"/>
      <c r="H5224" s="185">
        <v>2</v>
      </c>
      <c r="I5224" s="185">
        <v>9</v>
      </c>
      <c r="J5224" s="901" t="s">
        <v>1796</v>
      </c>
      <c r="K5224" s="163" t="s">
        <v>9909</v>
      </c>
      <c r="L5224" s="163" t="s">
        <v>9881</v>
      </c>
      <c r="M5224" s="163" t="s">
        <v>9882</v>
      </c>
      <c r="N5224" s="163"/>
      <c r="O5224" s="163"/>
      <c r="P5224" s="182" t="s">
        <v>461</v>
      </c>
      <c r="Q5224" s="163" t="s">
        <v>9883</v>
      </c>
      <c r="R5224" s="186" t="s">
        <v>9898</v>
      </c>
      <c r="S5224" s="355"/>
      <c r="T5224" s="182"/>
      <c r="U5224" s="182"/>
      <c r="V5224" s="182"/>
      <c r="W5224" s="314"/>
      <c r="X5224" s="646" t="s">
        <v>12420</v>
      </c>
      <c r="Y5224" s="355"/>
      <c r="Z5224" s="185"/>
      <c r="AA5224" s="185"/>
      <c r="AB5224" s="33">
        <f t="shared" ca="1" si="127"/>
        <v>5.5393817270989909E-2</v>
      </c>
      <c r="AC5224" s="813"/>
      <c r="AD5224" s="211"/>
      <c r="AE5224" s="941"/>
      <c r="AF5224" s="922">
        <f>IF(X5224=X5223,AF5223,0)+IF(ISNUMBER(I5224),IF(I5224&lt;1,I5224,I5224*VLOOKUP(J5224,Summary!$H$2:$I$9,2)),VLOOKUP(J5224,Summary!$J$2:$K$9,2)*IF(ISNUMBER(H5224),H5224,1))</f>
        <v>5.9722222222222232E-2</v>
      </c>
      <c r="AG5224" s="290">
        <v>5223</v>
      </c>
      <c r="AH5224" s="94"/>
      <c r="AI5224" s="94"/>
      <c r="AJ5224" s="3"/>
    </row>
    <row r="5225" spans="1:36" s="57" customFormat="1" ht="12" customHeight="1" x14ac:dyDescent="0.25">
      <c r="A5225" s="635" t="s">
        <v>11360</v>
      </c>
      <c r="B5225" s="635">
        <v>12</v>
      </c>
      <c r="C5225" s="635">
        <v>2</v>
      </c>
      <c r="D5225" s="619" t="s">
        <v>15598</v>
      </c>
      <c r="E5225" s="345" t="s">
        <v>15599</v>
      </c>
      <c r="F5225" s="219">
        <v>42614</v>
      </c>
      <c r="G5225" s="219"/>
      <c r="H5225" s="210" t="s">
        <v>461</v>
      </c>
      <c r="I5225" s="210">
        <v>304</v>
      </c>
      <c r="J5225" s="908" t="s">
        <v>15556</v>
      </c>
      <c r="K5225" s="166" t="s">
        <v>4032</v>
      </c>
      <c r="L5225" s="166"/>
      <c r="M5225" s="166"/>
      <c r="N5225" s="166"/>
      <c r="O5225" s="166"/>
      <c r="P5225" s="267" t="s">
        <v>15600</v>
      </c>
      <c r="Q5225" s="166" t="s">
        <v>3954</v>
      </c>
      <c r="R5225" s="268" t="s">
        <v>15597</v>
      </c>
      <c r="S5225" s="386"/>
      <c r="T5225" s="267"/>
      <c r="U5225" s="267"/>
      <c r="V5225" s="267"/>
      <c r="W5225" s="345" t="s">
        <v>15599</v>
      </c>
      <c r="X5225" s="680" t="s">
        <v>12420</v>
      </c>
      <c r="Y5225" s="384"/>
      <c r="Z5225" s="385"/>
      <c r="AA5225" s="385"/>
      <c r="AB5225" s="41">
        <f t="shared" ca="1" si="127"/>
        <v>4.6377157398269753E-2</v>
      </c>
      <c r="AC5225" s="832"/>
      <c r="AD5225" s="833"/>
      <c r="AE5225" s="956"/>
      <c r="AF5225" s="929">
        <f>IF(X5225=X5224,AF5224,0)+IF(ISNUMBER(I5225),IF(I5225&lt;1,I5225,I5225*VLOOKUP(J5225,Summary!$H$2:$I$9,2)),VLOOKUP(J5225,Summary!$J$2:$K$9,2)*IF(ISNUMBER(H5225),H5225,1))</f>
        <v>0.1652777777777778</v>
      </c>
      <c r="AG5225" s="307">
        <v>5224</v>
      </c>
      <c r="AH5225" s="94"/>
      <c r="AI5225" s="94"/>
    </row>
    <row r="5226" spans="1:36" s="57" customFormat="1" ht="12" customHeight="1" x14ac:dyDescent="0.25">
      <c r="A5226" s="627" t="s">
        <v>11360</v>
      </c>
      <c r="B5226" s="627">
        <v>12</v>
      </c>
      <c r="C5226" s="627">
        <v>1</v>
      </c>
      <c r="D5226" s="176" t="s">
        <v>12589</v>
      </c>
      <c r="E5226" s="313" t="s">
        <v>12590</v>
      </c>
      <c r="F5226" s="175">
        <v>42915</v>
      </c>
      <c r="G5226" s="174"/>
      <c r="H5226" s="176" t="s">
        <v>461</v>
      </c>
      <c r="I5226" s="176"/>
      <c r="J5226" s="900" t="s">
        <v>2755</v>
      </c>
      <c r="K5226" s="164" t="s">
        <v>2675</v>
      </c>
      <c r="L5226" s="164" t="s">
        <v>3551</v>
      </c>
      <c r="M5226" s="164"/>
      <c r="N5226" s="164"/>
      <c r="O5226" s="164"/>
      <c r="P5226" s="173" t="s">
        <v>12587</v>
      </c>
      <c r="Q5226" s="164" t="s">
        <v>3953</v>
      </c>
      <c r="R5226" s="177" t="s">
        <v>12588</v>
      </c>
      <c r="S5226" s="354"/>
      <c r="T5226" s="173"/>
      <c r="U5226" s="173"/>
      <c r="V5226" s="173"/>
      <c r="W5226" s="313" t="s">
        <v>12590</v>
      </c>
      <c r="X5226" s="645" t="s">
        <v>12420</v>
      </c>
      <c r="Y5226" s="354"/>
      <c r="Z5226" s="176"/>
      <c r="AA5226" s="176"/>
      <c r="AB5226" s="32">
        <f t="shared" ca="1" si="127"/>
        <v>0.93375310241062925</v>
      </c>
      <c r="AC5226" s="812"/>
      <c r="AD5226" s="763"/>
      <c r="AE5226" s="807"/>
      <c r="AF5226" s="921">
        <f>IF(X5226=X5225,AF5225,0)+IF(ISNUMBER(I5226),IF(I5226&lt;1,I5226,I5226*VLOOKUP(J5226,Summary!$H$2:$I$9,2)),VLOOKUP(J5226,Summary!$J$2:$K$9,2)*IF(ISNUMBER(H5226),H5226,1))</f>
        <v>0.18263888888888891</v>
      </c>
      <c r="AG5226" s="289">
        <v>5225</v>
      </c>
      <c r="AH5226" s="94"/>
      <c r="AI5226" s="94"/>
    </row>
    <row r="5227" spans="1:36" s="57" customFormat="1" ht="12" customHeight="1" x14ac:dyDescent="0.25">
      <c r="A5227" s="740" t="s">
        <v>11360</v>
      </c>
      <c r="B5227" s="740">
        <v>12</v>
      </c>
      <c r="C5227" s="741">
        <v>1.01</v>
      </c>
      <c r="D5227" s="407" t="s">
        <v>15227</v>
      </c>
      <c r="E5227" s="315" t="s">
        <v>15218</v>
      </c>
      <c r="F5227" s="196">
        <v>43253</v>
      </c>
      <c r="G5227" s="170"/>
      <c r="H5227" s="170">
        <v>1</v>
      </c>
      <c r="I5227" s="746">
        <f>TIME(0,53,8)</f>
        <v>3.6898148148148145E-2</v>
      </c>
      <c r="J5227" s="899" t="s">
        <v>4706</v>
      </c>
      <c r="K5227" s="167" t="s">
        <v>15221</v>
      </c>
      <c r="L5227" s="167"/>
      <c r="M5227" s="167"/>
      <c r="N5227" s="167"/>
      <c r="O5227" s="167"/>
      <c r="P5227" s="168" t="s">
        <v>461</v>
      </c>
      <c r="Q5227" s="167" t="s">
        <v>15220</v>
      </c>
      <c r="R5227" s="171" t="s">
        <v>15252</v>
      </c>
      <c r="S5227" s="388"/>
      <c r="T5227" s="168" t="s">
        <v>15219</v>
      </c>
      <c r="U5227" s="168"/>
      <c r="V5227" s="168"/>
      <c r="W5227" s="315" t="s">
        <v>15218</v>
      </c>
      <c r="X5227" s="647" t="s">
        <v>12420</v>
      </c>
      <c r="Y5227" s="352"/>
      <c r="Z5227" s="353">
        <v>999</v>
      </c>
      <c r="AA5227" s="353"/>
      <c r="AB5227" s="31">
        <f t="shared" ca="1" si="127"/>
        <v>0.66086406611294291</v>
      </c>
      <c r="AC5227" s="810"/>
      <c r="AD5227" s="811"/>
      <c r="AE5227" s="940"/>
      <c r="AF5227" s="920">
        <f>IF(X5227=X5226,AF5226,0)+IF(ISNUMBER(I5227),IF(I5227&lt;1,I5227,I5227*VLOOKUP(J5227,Summary!$H$2:$I$9,2)),VLOOKUP(J5227,Summary!$J$2:$K$9,2)*IF(ISNUMBER(H5227),H5227,1))</f>
        <v>0.21953703703703706</v>
      </c>
      <c r="AG5227" s="287">
        <v>5226</v>
      </c>
      <c r="AH5227" s="94"/>
      <c r="AI5227" s="94"/>
    </row>
    <row r="5228" spans="1:36" s="22" customFormat="1" ht="12" customHeight="1" x14ac:dyDescent="0.2">
      <c r="A5228" s="740" t="s">
        <v>11360</v>
      </c>
      <c r="B5228" s="740">
        <v>12</v>
      </c>
      <c r="C5228" s="741">
        <v>1.02</v>
      </c>
      <c r="D5228" s="407" t="s">
        <v>15228</v>
      </c>
      <c r="E5228" s="315" t="s">
        <v>15222</v>
      </c>
      <c r="F5228" s="196">
        <v>43270</v>
      </c>
      <c r="G5228" s="170"/>
      <c r="H5228" s="170">
        <v>1</v>
      </c>
      <c r="I5228" s="746">
        <f>TIME(0,55,0)</f>
        <v>3.8194444444444441E-2</v>
      </c>
      <c r="J5228" s="899" t="s">
        <v>4706</v>
      </c>
      <c r="K5228" s="167" t="s">
        <v>15223</v>
      </c>
      <c r="L5228" s="167"/>
      <c r="M5228" s="167"/>
      <c r="N5228" s="167"/>
      <c r="O5228" s="167"/>
      <c r="P5228" s="168" t="s">
        <v>461</v>
      </c>
      <c r="Q5228" s="167" t="s">
        <v>15220</v>
      </c>
      <c r="R5228" s="171" t="s">
        <v>15252</v>
      </c>
      <c r="S5228" s="388"/>
      <c r="T5228" s="168" t="s">
        <v>15219</v>
      </c>
      <c r="U5228" s="168"/>
      <c r="V5228" s="168"/>
      <c r="W5228" s="315" t="s">
        <v>15222</v>
      </c>
      <c r="X5228" s="647" t="s">
        <v>12420</v>
      </c>
      <c r="Y5228" s="352"/>
      <c r="Z5228" s="353">
        <v>999</v>
      </c>
      <c r="AA5228" s="353"/>
      <c r="AB5228" s="31">
        <f t="shared" ca="1" si="127"/>
        <v>0.38981912541104946</v>
      </c>
      <c r="AC5228" s="810"/>
      <c r="AD5228" s="811"/>
      <c r="AE5228" s="940"/>
      <c r="AF5228" s="920">
        <f>IF(X5228=X5227,AF5227,0)+IF(ISNUMBER(I5228),IF(I5228&lt;1,I5228,I5228*VLOOKUP(J5228,Summary!$H$2:$I$9,2)),VLOOKUP(J5228,Summary!$J$2:$K$9,2)*IF(ISNUMBER(H5228),H5228,1))</f>
        <v>0.25773148148148151</v>
      </c>
      <c r="AG5228" s="287">
        <v>5227</v>
      </c>
      <c r="AH5228" s="94"/>
      <c r="AI5228" s="94"/>
    </row>
    <row r="5229" spans="1:36" s="57" customFormat="1" ht="12" customHeight="1" x14ac:dyDescent="0.25">
      <c r="A5229" s="740" t="s">
        <v>11360</v>
      </c>
      <c r="B5229" s="740">
        <v>12</v>
      </c>
      <c r="C5229" s="741">
        <v>1.03</v>
      </c>
      <c r="D5229" s="407" t="s">
        <v>15229</v>
      </c>
      <c r="E5229" s="315" t="s">
        <v>14299</v>
      </c>
      <c r="F5229" s="196">
        <v>43316</v>
      </c>
      <c r="G5229" s="170"/>
      <c r="H5229" s="170">
        <v>1</v>
      </c>
      <c r="I5229" s="746">
        <f>TIME(1,37,33)</f>
        <v>6.7743055555555556E-2</v>
      </c>
      <c r="J5229" s="899" t="s">
        <v>4706</v>
      </c>
      <c r="K5229" s="167" t="s">
        <v>15224</v>
      </c>
      <c r="L5229" s="167"/>
      <c r="M5229" s="167"/>
      <c r="N5229" s="167"/>
      <c r="O5229" s="167"/>
      <c r="P5229" s="168" t="s">
        <v>461</v>
      </c>
      <c r="Q5229" s="167" t="s">
        <v>15220</v>
      </c>
      <c r="R5229" s="171" t="s">
        <v>15252</v>
      </c>
      <c r="S5229" s="388"/>
      <c r="T5229" s="168" t="s">
        <v>15219</v>
      </c>
      <c r="U5229" s="168"/>
      <c r="V5229" s="168"/>
      <c r="W5229" s="315" t="s">
        <v>14299</v>
      </c>
      <c r="X5229" s="647" t="s">
        <v>12420</v>
      </c>
      <c r="Y5229" s="352"/>
      <c r="Z5229" s="353"/>
      <c r="AA5229" s="353"/>
      <c r="AB5229" s="31">
        <f t="shared" ca="1" si="127"/>
        <v>0.57140281313266261</v>
      </c>
      <c r="AC5229" s="810"/>
      <c r="AD5229" s="811"/>
      <c r="AE5229" s="940"/>
      <c r="AF5229" s="920">
        <f>IF(X5229=X5228,AF5228,0)+IF(ISNUMBER(I5229),IF(I5229&lt;1,I5229,I5229*VLOOKUP(J5229,Summary!$H$2:$I$9,2)),VLOOKUP(J5229,Summary!$J$2:$K$9,2)*IF(ISNUMBER(H5229),H5229,1))</f>
        <v>0.32547453703703705</v>
      </c>
      <c r="AG5229" s="287">
        <v>5228</v>
      </c>
      <c r="AH5229" s="94"/>
      <c r="AI5229" s="94"/>
    </row>
    <row r="5230" spans="1:36" s="58" customFormat="1" ht="12" customHeight="1" x14ac:dyDescent="0.2">
      <c r="A5230" s="740" t="s">
        <v>11360</v>
      </c>
      <c r="B5230" s="740">
        <v>12</v>
      </c>
      <c r="C5230" s="741">
        <v>1.04</v>
      </c>
      <c r="D5230" s="407" t="s">
        <v>15230</v>
      </c>
      <c r="E5230" s="315" t="s">
        <v>15225</v>
      </c>
      <c r="F5230" s="196">
        <v>43323</v>
      </c>
      <c r="G5230" s="170"/>
      <c r="H5230" s="170">
        <v>1</v>
      </c>
      <c r="I5230" s="746">
        <f>TIME(0,49,52)</f>
        <v>3.4629629629629628E-2</v>
      </c>
      <c r="J5230" s="899" t="s">
        <v>4706</v>
      </c>
      <c r="K5230" s="167" t="s">
        <v>15226</v>
      </c>
      <c r="L5230" s="167"/>
      <c r="M5230" s="167"/>
      <c r="N5230" s="167"/>
      <c r="O5230" s="167"/>
      <c r="P5230" s="168" t="s">
        <v>461</v>
      </c>
      <c r="Q5230" s="167" t="s">
        <v>15220</v>
      </c>
      <c r="R5230" s="171" t="s">
        <v>15252</v>
      </c>
      <c r="S5230" s="388"/>
      <c r="T5230" s="168" t="s">
        <v>15219</v>
      </c>
      <c r="U5230" s="168"/>
      <c r="V5230" s="168"/>
      <c r="W5230" s="315" t="s">
        <v>15225</v>
      </c>
      <c r="X5230" s="647" t="s">
        <v>12420</v>
      </c>
      <c r="Y5230" s="352"/>
      <c r="Z5230" s="353"/>
      <c r="AA5230" s="353"/>
      <c r="AB5230" s="31">
        <f t="shared" ca="1" si="127"/>
        <v>0.87806765859175318</v>
      </c>
      <c r="AC5230" s="810"/>
      <c r="AD5230" s="811"/>
      <c r="AE5230" s="940"/>
      <c r="AF5230" s="920">
        <f>IF(X5230=X5229,AF5229,0)+IF(ISNUMBER(I5230),IF(I5230&lt;1,I5230,I5230*VLOOKUP(J5230,Summary!$H$2:$I$9,2)),VLOOKUP(J5230,Summary!$J$2:$K$9,2)*IF(ISNUMBER(H5230),H5230,1))</f>
        <v>0.36010416666666667</v>
      </c>
      <c r="AG5230" s="287">
        <v>5229</v>
      </c>
      <c r="AH5230" s="94"/>
      <c r="AI5230" s="94"/>
    </row>
    <row r="5231" spans="1:36" s="57" customFormat="1" ht="12" customHeight="1" x14ac:dyDescent="0.25">
      <c r="A5231" s="740" t="s">
        <v>11360</v>
      </c>
      <c r="B5231" s="740">
        <v>12</v>
      </c>
      <c r="C5231" s="741">
        <v>1.05</v>
      </c>
      <c r="D5231" s="407" t="s">
        <v>15231</v>
      </c>
      <c r="E5231" s="315" t="s">
        <v>15239</v>
      </c>
      <c r="F5231" s="196">
        <v>43330</v>
      </c>
      <c r="G5231" s="170"/>
      <c r="H5231" s="170">
        <v>1</v>
      </c>
      <c r="I5231" s="746">
        <f>TIME(1,0,18)</f>
        <v>4.1874999999999996E-2</v>
      </c>
      <c r="J5231" s="899" t="s">
        <v>4706</v>
      </c>
      <c r="K5231" s="167" t="s">
        <v>15221</v>
      </c>
      <c r="L5231" s="167"/>
      <c r="M5231" s="167"/>
      <c r="N5231" s="167"/>
      <c r="O5231" s="167"/>
      <c r="P5231" s="168" t="s">
        <v>461</v>
      </c>
      <c r="Q5231" s="167" t="s">
        <v>15220</v>
      </c>
      <c r="R5231" s="171" t="s">
        <v>15252</v>
      </c>
      <c r="S5231" s="388"/>
      <c r="T5231" s="168" t="s">
        <v>15219</v>
      </c>
      <c r="U5231" s="168"/>
      <c r="V5231" s="168"/>
      <c r="W5231" s="315" t="s">
        <v>15239</v>
      </c>
      <c r="X5231" s="647" t="s">
        <v>12420</v>
      </c>
      <c r="Y5231" s="352"/>
      <c r="Z5231" s="353"/>
      <c r="AA5231" s="353"/>
      <c r="AB5231" s="31">
        <f t="shared" ca="1" si="127"/>
        <v>0.89786203913238849</v>
      </c>
      <c r="AC5231" s="810"/>
      <c r="AD5231" s="811"/>
      <c r="AE5231" s="940"/>
      <c r="AF5231" s="920">
        <f>IF(X5231=X5230,AF5230,0)+IF(ISNUMBER(I5231),IF(I5231&lt;1,I5231,I5231*VLOOKUP(J5231,Summary!$H$2:$I$9,2)),VLOOKUP(J5231,Summary!$J$2:$K$9,2)*IF(ISNUMBER(H5231),H5231,1))</f>
        <v>0.40197916666666667</v>
      </c>
      <c r="AG5231" s="287">
        <v>5230</v>
      </c>
      <c r="AH5231" s="94"/>
      <c r="AI5231" s="94"/>
    </row>
    <row r="5232" spans="1:36" s="1" customFormat="1" ht="12" customHeight="1" x14ac:dyDescent="0.25">
      <c r="A5232" s="740" t="s">
        <v>11360</v>
      </c>
      <c r="B5232" s="740">
        <v>12</v>
      </c>
      <c r="C5232" s="741">
        <v>1.06</v>
      </c>
      <c r="D5232" s="407" t="s">
        <v>15232</v>
      </c>
      <c r="E5232" s="315" t="s">
        <v>15240</v>
      </c>
      <c r="F5232" s="196">
        <v>43337</v>
      </c>
      <c r="G5232" s="170"/>
      <c r="H5232" s="170">
        <v>1</v>
      </c>
      <c r="I5232" s="747">
        <f t="shared" ref="I5232:I5238" si="128">TIME(0,60,0)</f>
        <v>4.1666666666666664E-2</v>
      </c>
      <c r="J5232" s="899" t="s">
        <v>4706</v>
      </c>
      <c r="K5232" s="167" t="s">
        <v>15241</v>
      </c>
      <c r="L5232" s="167" t="s">
        <v>15221</v>
      </c>
      <c r="M5232" s="167"/>
      <c r="N5232" s="167"/>
      <c r="O5232" s="167"/>
      <c r="P5232" s="168" t="s">
        <v>461</v>
      </c>
      <c r="Q5232" s="167" t="s">
        <v>15220</v>
      </c>
      <c r="R5232" s="171" t="s">
        <v>15252</v>
      </c>
      <c r="S5232" s="388"/>
      <c r="T5232" s="168" t="s">
        <v>15219</v>
      </c>
      <c r="U5232" s="168"/>
      <c r="V5232" s="168"/>
      <c r="W5232" s="315" t="s">
        <v>15240</v>
      </c>
      <c r="X5232" s="647" t="s">
        <v>12420</v>
      </c>
      <c r="Y5232" s="352"/>
      <c r="Z5232" s="353"/>
      <c r="AA5232" s="353"/>
      <c r="AB5232" s="31">
        <f t="shared" ca="1" si="127"/>
        <v>0.46854852070223996</v>
      </c>
      <c r="AC5232" s="810"/>
      <c r="AD5232" s="811"/>
      <c r="AE5232" s="940"/>
      <c r="AF5232" s="920">
        <f>IF(X5232=X5231,AF5231,0)+IF(ISNUMBER(I5232),IF(I5232&lt;1,I5232,I5232*VLOOKUP(J5232,Summary!$H$2:$I$9,2)),VLOOKUP(J5232,Summary!$J$2:$K$9,2)*IF(ISNUMBER(H5232),H5232,1))</f>
        <v>0.44364583333333335</v>
      </c>
      <c r="AG5232" s="287">
        <v>5231</v>
      </c>
      <c r="AH5232" s="94"/>
      <c r="AI5232" s="94"/>
    </row>
    <row r="5233" spans="1:36" s="1" customFormat="1" ht="12" customHeight="1" x14ac:dyDescent="0.25">
      <c r="A5233" s="740" t="s">
        <v>11360</v>
      </c>
      <c r="B5233" s="740">
        <v>12</v>
      </c>
      <c r="C5233" s="741">
        <v>1.07</v>
      </c>
      <c r="D5233" s="407" t="s">
        <v>15233</v>
      </c>
      <c r="E5233" s="315" t="s">
        <v>15242</v>
      </c>
      <c r="F5233" s="196" t="s">
        <v>11072</v>
      </c>
      <c r="G5233" s="170"/>
      <c r="H5233" s="170">
        <v>1</v>
      </c>
      <c r="I5233" s="747">
        <f t="shared" si="128"/>
        <v>4.1666666666666664E-2</v>
      </c>
      <c r="J5233" s="899" t="s">
        <v>4706</v>
      </c>
      <c r="K5233" s="167" t="s">
        <v>15243</v>
      </c>
      <c r="L5233" s="167"/>
      <c r="M5233" s="167"/>
      <c r="N5233" s="167"/>
      <c r="O5233" s="167"/>
      <c r="P5233" s="168" t="s">
        <v>461</v>
      </c>
      <c r="Q5233" s="167" t="s">
        <v>15220</v>
      </c>
      <c r="R5233" s="171" t="s">
        <v>15252</v>
      </c>
      <c r="S5233" s="388"/>
      <c r="T5233" s="168" t="s">
        <v>15219</v>
      </c>
      <c r="U5233" s="168"/>
      <c r="V5233" s="168"/>
      <c r="W5233" s="315" t="s">
        <v>15242</v>
      </c>
      <c r="X5233" s="647" t="s">
        <v>12420</v>
      </c>
      <c r="Y5233" s="352"/>
      <c r="Z5233" s="353"/>
      <c r="AA5233" s="353"/>
      <c r="AB5233" s="31">
        <f t="shared" ca="1" si="127"/>
        <v>0.36119256500571051</v>
      </c>
      <c r="AC5233" s="810"/>
      <c r="AD5233" s="811"/>
      <c r="AE5233" s="940"/>
      <c r="AF5233" s="920">
        <f>IF(X5233=X5232,AF5232,0)+IF(ISNUMBER(I5233),IF(I5233&lt;1,I5233,I5233*VLOOKUP(J5233,Summary!$H$2:$I$9,2)),VLOOKUP(J5233,Summary!$J$2:$K$9,2)*IF(ISNUMBER(H5233),H5233,1))</f>
        <v>0.48531250000000004</v>
      </c>
      <c r="AG5233" s="287">
        <v>5232</v>
      </c>
      <c r="AH5233" s="94"/>
      <c r="AI5233" s="94"/>
    </row>
    <row r="5234" spans="1:36" s="45" customFormat="1" ht="12" customHeight="1" x14ac:dyDescent="0.3">
      <c r="A5234" s="740" t="s">
        <v>11360</v>
      </c>
      <c r="B5234" s="740">
        <v>12</v>
      </c>
      <c r="C5234" s="741">
        <v>1.08</v>
      </c>
      <c r="D5234" s="407" t="s">
        <v>15234</v>
      </c>
      <c r="E5234" s="315" t="s">
        <v>5657</v>
      </c>
      <c r="F5234" s="196" t="s">
        <v>11072</v>
      </c>
      <c r="G5234" s="170"/>
      <c r="H5234" s="170">
        <v>1</v>
      </c>
      <c r="I5234" s="747">
        <f t="shared" si="128"/>
        <v>4.1666666666666664E-2</v>
      </c>
      <c r="J5234" s="899" t="s">
        <v>4706</v>
      </c>
      <c r="K5234" s="167" t="s">
        <v>15244</v>
      </c>
      <c r="L5234" s="167"/>
      <c r="M5234" s="167"/>
      <c r="N5234" s="167"/>
      <c r="O5234" s="167"/>
      <c r="P5234" s="168" t="s">
        <v>461</v>
      </c>
      <c r="Q5234" s="167" t="s">
        <v>15220</v>
      </c>
      <c r="R5234" s="171" t="s">
        <v>15252</v>
      </c>
      <c r="S5234" s="388"/>
      <c r="T5234" s="168" t="s">
        <v>15219</v>
      </c>
      <c r="U5234" s="168"/>
      <c r="V5234" s="168"/>
      <c r="W5234" s="315" t="s">
        <v>5657</v>
      </c>
      <c r="X5234" s="647" t="s">
        <v>12420</v>
      </c>
      <c r="Y5234" s="352"/>
      <c r="Z5234" s="353"/>
      <c r="AA5234" s="353"/>
      <c r="AB5234" s="31">
        <f t="shared" ca="1" si="127"/>
        <v>0.70889103130807674</v>
      </c>
      <c r="AC5234" s="810"/>
      <c r="AD5234" s="811"/>
      <c r="AE5234" s="940"/>
      <c r="AF5234" s="920">
        <f>IF(X5234=X5233,AF5233,0)+IF(ISNUMBER(I5234),IF(I5234&lt;1,I5234,I5234*VLOOKUP(J5234,Summary!$H$2:$I$9,2)),VLOOKUP(J5234,Summary!$J$2:$K$9,2)*IF(ISNUMBER(H5234),H5234,1))</f>
        <v>0.52697916666666667</v>
      </c>
      <c r="AG5234" s="287">
        <v>5233</v>
      </c>
      <c r="AH5234" s="94"/>
      <c r="AI5234" s="94"/>
      <c r="AJ5234" s="8"/>
    </row>
    <row r="5235" spans="1:36" s="22" customFormat="1" ht="12" customHeight="1" x14ac:dyDescent="0.2">
      <c r="A5235" s="740" t="s">
        <v>11360</v>
      </c>
      <c r="B5235" s="740">
        <v>12</v>
      </c>
      <c r="C5235" s="741">
        <v>1.0900000000000001</v>
      </c>
      <c r="D5235" s="407" t="s">
        <v>15235</v>
      </c>
      <c r="E5235" s="315" t="s">
        <v>15245</v>
      </c>
      <c r="F5235" s="196" t="s">
        <v>11072</v>
      </c>
      <c r="G5235" s="170"/>
      <c r="H5235" s="170">
        <v>1</v>
      </c>
      <c r="I5235" s="747">
        <f t="shared" si="128"/>
        <v>4.1666666666666664E-2</v>
      </c>
      <c r="J5235" s="899" t="s">
        <v>4706</v>
      </c>
      <c r="K5235" s="167" t="s">
        <v>15246</v>
      </c>
      <c r="L5235" s="167"/>
      <c r="M5235" s="167"/>
      <c r="N5235" s="167"/>
      <c r="O5235" s="167"/>
      <c r="P5235" s="168" t="s">
        <v>461</v>
      </c>
      <c r="Q5235" s="167" t="s">
        <v>15220</v>
      </c>
      <c r="R5235" s="171" t="s">
        <v>15252</v>
      </c>
      <c r="S5235" s="388"/>
      <c r="T5235" s="168" t="s">
        <v>15219</v>
      </c>
      <c r="U5235" s="168"/>
      <c r="V5235" s="168"/>
      <c r="W5235" s="315" t="s">
        <v>15245</v>
      </c>
      <c r="X5235" s="647" t="s">
        <v>12420</v>
      </c>
      <c r="Y5235" s="352"/>
      <c r="Z5235" s="353"/>
      <c r="AA5235" s="353"/>
      <c r="AB5235" s="31">
        <f t="shared" ca="1" si="127"/>
        <v>0.45456478364663822</v>
      </c>
      <c r="AC5235" s="810"/>
      <c r="AD5235" s="811"/>
      <c r="AE5235" s="940"/>
      <c r="AF5235" s="920">
        <f>IF(X5235=X5234,AF5234,0)+IF(ISNUMBER(I5235),IF(I5235&lt;1,I5235,I5235*VLOOKUP(J5235,Summary!$H$2:$I$9,2)),VLOOKUP(J5235,Summary!$J$2:$K$9,2)*IF(ISNUMBER(H5235),H5235,1))</f>
        <v>0.56864583333333329</v>
      </c>
      <c r="AG5235" s="287">
        <v>5234</v>
      </c>
      <c r="AH5235" s="94"/>
      <c r="AI5235" s="94"/>
    </row>
    <row r="5236" spans="1:36" s="22" customFormat="1" ht="12" customHeight="1" x14ac:dyDescent="0.2">
      <c r="A5236" s="740" t="s">
        <v>11360</v>
      </c>
      <c r="B5236" s="740">
        <v>12</v>
      </c>
      <c r="C5236" s="741">
        <v>1.1000000000000001</v>
      </c>
      <c r="D5236" s="407" t="s">
        <v>15236</v>
      </c>
      <c r="E5236" s="315" t="s">
        <v>15248</v>
      </c>
      <c r="F5236" s="196" t="s">
        <v>11072</v>
      </c>
      <c r="G5236" s="170"/>
      <c r="H5236" s="170">
        <v>1</v>
      </c>
      <c r="I5236" s="747">
        <f t="shared" si="128"/>
        <v>4.1666666666666664E-2</v>
      </c>
      <c r="J5236" s="899" t="s">
        <v>4706</v>
      </c>
      <c r="K5236" s="167" t="s">
        <v>15247</v>
      </c>
      <c r="L5236" s="167"/>
      <c r="M5236" s="167"/>
      <c r="N5236" s="167"/>
      <c r="O5236" s="167"/>
      <c r="P5236" s="168" t="s">
        <v>461</v>
      </c>
      <c r="Q5236" s="167" t="s">
        <v>15220</v>
      </c>
      <c r="R5236" s="167" t="s">
        <v>15252</v>
      </c>
      <c r="S5236" s="388"/>
      <c r="T5236" s="168" t="s">
        <v>15219</v>
      </c>
      <c r="U5236" s="168"/>
      <c r="V5236" s="168"/>
      <c r="W5236" s="315" t="s">
        <v>15248</v>
      </c>
      <c r="X5236" s="647" t="s">
        <v>12420</v>
      </c>
      <c r="Y5236" s="352"/>
      <c r="Z5236" s="353"/>
      <c r="AA5236" s="353"/>
      <c r="AB5236" s="31">
        <f t="shared" ca="1" si="127"/>
        <v>0.51096103487210531</v>
      </c>
      <c r="AC5236" s="810"/>
      <c r="AD5236" s="811"/>
      <c r="AE5236" s="940"/>
      <c r="AF5236" s="920">
        <f>IF(X5236=X5235,AF5235,0)+IF(ISNUMBER(I5236),IF(I5236&lt;1,I5236,I5236*VLOOKUP(J5236,Summary!$H$2:$I$9,2)),VLOOKUP(J5236,Summary!$J$2:$K$9,2)*IF(ISNUMBER(H5236),H5236,1))</f>
        <v>0.61031249999999992</v>
      </c>
      <c r="AG5236" s="287">
        <v>5235</v>
      </c>
      <c r="AH5236" s="94"/>
      <c r="AI5236" s="94"/>
    </row>
    <row r="5237" spans="1:36" s="22" customFormat="1" ht="12" customHeight="1" x14ac:dyDescent="0.2">
      <c r="A5237" s="740" t="s">
        <v>11360</v>
      </c>
      <c r="B5237" s="740">
        <v>12</v>
      </c>
      <c r="C5237" s="741">
        <v>1.1100000000000001</v>
      </c>
      <c r="D5237" s="407" t="s">
        <v>15237</v>
      </c>
      <c r="E5237" s="315" t="s">
        <v>15249</v>
      </c>
      <c r="F5237" s="196" t="s">
        <v>11072</v>
      </c>
      <c r="G5237" s="170"/>
      <c r="H5237" s="170">
        <v>1</v>
      </c>
      <c r="I5237" s="747">
        <f t="shared" si="128"/>
        <v>4.1666666666666664E-2</v>
      </c>
      <c r="J5237" s="899" t="s">
        <v>4706</v>
      </c>
      <c r="K5237" s="167" t="s">
        <v>15221</v>
      </c>
      <c r="L5237" s="167" t="s">
        <v>15250</v>
      </c>
      <c r="M5237" s="167"/>
      <c r="N5237" s="167"/>
      <c r="O5237" s="167"/>
      <c r="P5237" s="168" t="s">
        <v>461</v>
      </c>
      <c r="Q5237" s="167" t="s">
        <v>15220</v>
      </c>
      <c r="R5237" s="167" t="s">
        <v>15252</v>
      </c>
      <c r="S5237" s="388"/>
      <c r="T5237" s="168" t="s">
        <v>15219</v>
      </c>
      <c r="U5237" s="168"/>
      <c r="V5237" s="168"/>
      <c r="W5237" s="315" t="s">
        <v>15249</v>
      </c>
      <c r="X5237" s="647" t="s">
        <v>12420</v>
      </c>
      <c r="Y5237" s="352"/>
      <c r="Z5237" s="353"/>
      <c r="AA5237" s="353"/>
      <c r="AB5237" s="31">
        <f t="shared" ca="1" si="127"/>
        <v>0.95161153668396303</v>
      </c>
      <c r="AC5237" s="810"/>
      <c r="AD5237" s="811"/>
      <c r="AE5237" s="940"/>
      <c r="AF5237" s="920">
        <f>IF(X5237=X5236,AF5236,0)+IF(ISNUMBER(I5237),IF(I5237&lt;1,I5237,I5237*VLOOKUP(J5237,Summary!$H$2:$I$9,2)),VLOOKUP(J5237,Summary!$J$2:$K$9,2)*IF(ISNUMBER(H5237),H5237,1))</f>
        <v>0.65197916666666655</v>
      </c>
      <c r="AG5237" s="287">
        <v>5236</v>
      </c>
      <c r="AH5237" s="94"/>
      <c r="AI5237" s="94"/>
    </row>
    <row r="5238" spans="1:36" s="22" customFormat="1" ht="12" customHeight="1" x14ac:dyDescent="0.2">
      <c r="A5238" s="740" t="s">
        <v>11360</v>
      </c>
      <c r="B5238" s="740">
        <v>12</v>
      </c>
      <c r="C5238" s="740">
        <v>1.1200000000000001</v>
      </c>
      <c r="D5238" s="407" t="s">
        <v>15238</v>
      </c>
      <c r="E5238" s="315" t="s">
        <v>15251</v>
      </c>
      <c r="F5238" s="196" t="s">
        <v>11072</v>
      </c>
      <c r="G5238" s="170"/>
      <c r="H5238" s="170">
        <v>1</v>
      </c>
      <c r="I5238" s="747">
        <f t="shared" si="128"/>
        <v>4.1666666666666664E-2</v>
      </c>
      <c r="J5238" s="899" t="s">
        <v>4706</v>
      </c>
      <c r="K5238" s="167" t="s">
        <v>15221</v>
      </c>
      <c r="L5238" s="167" t="s">
        <v>15250</v>
      </c>
      <c r="M5238" s="167"/>
      <c r="N5238" s="167"/>
      <c r="O5238" s="167"/>
      <c r="P5238" s="168" t="s">
        <v>461</v>
      </c>
      <c r="Q5238" s="167" t="s">
        <v>15220</v>
      </c>
      <c r="R5238" s="167" t="s">
        <v>15252</v>
      </c>
      <c r="S5238" s="388"/>
      <c r="T5238" s="168" t="s">
        <v>15219</v>
      </c>
      <c r="U5238" s="168"/>
      <c r="V5238" s="168"/>
      <c r="W5238" s="315" t="s">
        <v>15251</v>
      </c>
      <c r="X5238" s="647" t="s">
        <v>12420</v>
      </c>
      <c r="Y5238" s="352"/>
      <c r="Z5238" s="353"/>
      <c r="AA5238" s="353"/>
      <c r="AB5238" s="31">
        <f t="shared" ca="1" si="127"/>
        <v>0.28157266825482818</v>
      </c>
      <c r="AC5238" s="810"/>
      <c r="AD5238" s="811"/>
      <c r="AE5238" s="940"/>
      <c r="AF5238" s="920">
        <f>IF(X5238=X5237,AF5237,0)+IF(ISNUMBER(I5238),IF(I5238&lt;1,I5238,I5238*VLOOKUP(J5238,Summary!$H$2:$I$9,2)),VLOOKUP(J5238,Summary!$J$2:$K$9,2)*IF(ISNUMBER(H5238),H5238,1))</f>
        <v>0.69364583333333318</v>
      </c>
      <c r="AG5238" s="287">
        <v>5237</v>
      </c>
      <c r="AH5238" s="94"/>
      <c r="AI5238" s="94"/>
    </row>
    <row r="5239" spans="1:36" s="22" customFormat="1" ht="12" customHeight="1" x14ac:dyDescent="0.2">
      <c r="A5239" s="629" t="s">
        <v>11360</v>
      </c>
      <c r="B5239" s="629">
        <v>12</v>
      </c>
      <c r="C5239" s="629">
        <v>7</v>
      </c>
      <c r="D5239" s="185" t="s">
        <v>10916</v>
      </c>
      <c r="E5239" s="314" t="s">
        <v>10899</v>
      </c>
      <c r="F5239" s="184">
        <v>42497</v>
      </c>
      <c r="G5239" s="184"/>
      <c r="H5239" s="185">
        <v>1</v>
      </c>
      <c r="I5239" s="185">
        <v>6</v>
      </c>
      <c r="J5239" s="901" t="s">
        <v>1796</v>
      </c>
      <c r="K5239" s="163" t="s">
        <v>10900</v>
      </c>
      <c r="L5239" s="163" t="s">
        <v>10901</v>
      </c>
      <c r="M5239" s="163" t="s">
        <v>8361</v>
      </c>
      <c r="N5239" s="163"/>
      <c r="O5239" s="163"/>
      <c r="P5239" s="182" t="s">
        <v>461</v>
      </c>
      <c r="Q5239" s="163" t="s">
        <v>7076</v>
      </c>
      <c r="R5239" s="163" t="s">
        <v>10880</v>
      </c>
      <c r="S5239" s="355"/>
      <c r="T5239" s="182"/>
      <c r="U5239" s="182"/>
      <c r="V5239" s="182" t="s">
        <v>10903</v>
      </c>
      <c r="W5239" s="314" t="s">
        <v>10899</v>
      </c>
      <c r="X5239" s="646" t="s">
        <v>12420</v>
      </c>
      <c r="Y5239" s="355" t="s">
        <v>6000</v>
      </c>
      <c r="Z5239" s="185"/>
      <c r="AA5239" s="185"/>
      <c r="AB5239" s="33">
        <f t="shared" ca="1" si="127"/>
        <v>0.22836541098386409</v>
      </c>
      <c r="AC5239" s="813"/>
      <c r="AD5239" s="211"/>
      <c r="AE5239" s="941"/>
      <c r="AF5239" s="922">
        <f>IF(X5239=X5238,AF5238,0)+IF(ISNUMBER(I5239),IF(I5239&lt;1,I5239,I5239*VLOOKUP(J5239,Summary!$H$2:$I$9,2)),VLOOKUP(J5239,Summary!$J$2:$K$9,2)*IF(ISNUMBER(H5239),H5239,1))</f>
        <v>0.69572916666666651</v>
      </c>
      <c r="AG5239" s="290">
        <v>5238</v>
      </c>
      <c r="AH5239" s="94"/>
      <c r="AI5239" s="94"/>
    </row>
    <row r="5240" spans="1:36" s="22" customFormat="1" ht="12" customHeight="1" x14ac:dyDescent="0.2">
      <c r="A5240" s="405" t="s">
        <v>11360</v>
      </c>
      <c r="B5240" s="406" t="s">
        <v>2650</v>
      </c>
      <c r="C5240" s="551">
        <v>1.4</v>
      </c>
      <c r="D5240" s="407" t="s">
        <v>16963</v>
      </c>
      <c r="E5240" s="315" t="s">
        <v>16964</v>
      </c>
      <c r="F5240" s="196">
        <v>43532</v>
      </c>
      <c r="G5240" s="170"/>
      <c r="H5240" s="170">
        <v>1</v>
      </c>
      <c r="I5240" s="747">
        <f>TIME(0,60,0)</f>
        <v>4.1666666666666664E-2</v>
      </c>
      <c r="J5240" s="899" t="s">
        <v>4706</v>
      </c>
      <c r="K5240" s="167" t="s">
        <v>16965</v>
      </c>
      <c r="L5240" s="167" t="s">
        <v>12662</v>
      </c>
      <c r="M5240" s="167"/>
      <c r="N5240" s="167" t="s">
        <v>6452</v>
      </c>
      <c r="O5240" s="167" t="s">
        <v>16961</v>
      </c>
      <c r="P5240" s="168" t="s">
        <v>16962</v>
      </c>
      <c r="Q5240" s="167" t="s">
        <v>3947</v>
      </c>
      <c r="R5240" s="988" t="s">
        <v>16960</v>
      </c>
      <c r="S5240" s="388"/>
      <c r="T5240" s="168"/>
      <c r="U5240" s="168" t="s">
        <v>10902</v>
      </c>
      <c r="V5240" s="168" t="s">
        <v>10903</v>
      </c>
      <c r="W5240" s="315" t="s">
        <v>16964</v>
      </c>
      <c r="X5240" s="647" t="s">
        <v>12420</v>
      </c>
      <c r="Y5240" s="352"/>
      <c r="Z5240" s="353"/>
      <c r="AA5240" s="353"/>
      <c r="AB5240" s="31">
        <f t="shared" ca="1" si="127"/>
        <v>0.50753562539091202</v>
      </c>
      <c r="AC5240" s="810"/>
      <c r="AD5240" s="811"/>
      <c r="AE5240" s="940"/>
      <c r="AF5240" s="920">
        <f>IF(X5240=X5239,AF5239,0)+IF(ISNUMBER(I5240),IF(I5240&lt;1,I5240,I5240*VLOOKUP(J5240,Summary!$H$2:$I$9,2)),VLOOKUP(J5240,Summary!$J$2:$K$9,2)*IF(ISNUMBER(H5240),H5240,1))</f>
        <v>0.73739583333333314</v>
      </c>
      <c r="AG5240" s="287">
        <v>5239</v>
      </c>
      <c r="AH5240" s="94"/>
      <c r="AI5240" s="94"/>
    </row>
    <row r="5241" spans="1:36" s="22" customFormat="1" ht="12" customHeight="1" x14ac:dyDescent="0.25">
      <c r="A5241" s="980" t="s">
        <v>11360</v>
      </c>
      <c r="B5241" s="980">
        <v>12</v>
      </c>
      <c r="C5241" s="980">
        <v>9.02</v>
      </c>
      <c r="D5241" s="192" t="s">
        <v>16954</v>
      </c>
      <c r="E5241" s="317" t="s">
        <v>16955</v>
      </c>
      <c r="F5241" s="209">
        <v>43524</v>
      </c>
      <c r="G5241" s="209"/>
      <c r="H5241" s="192">
        <v>1</v>
      </c>
      <c r="I5241" s="753"/>
      <c r="J5241" s="903" t="s">
        <v>2755</v>
      </c>
      <c r="K5241" s="194" t="s">
        <v>16956</v>
      </c>
      <c r="L5241" s="194" t="s">
        <v>4549</v>
      </c>
      <c r="M5241" s="194" t="s">
        <v>9753</v>
      </c>
      <c r="N5241" s="194" t="s">
        <v>15912</v>
      </c>
      <c r="O5241" s="194" t="s">
        <v>15912</v>
      </c>
      <c r="P5241" s="190" t="s">
        <v>16957</v>
      </c>
      <c r="Q5241" s="194" t="s">
        <v>3947</v>
      </c>
      <c r="R5241" s="194" t="s">
        <v>2722</v>
      </c>
      <c r="S5241" s="357"/>
      <c r="T5241" s="190"/>
      <c r="U5241" s="190"/>
      <c r="V5241" s="190"/>
      <c r="W5241" s="317" t="s">
        <v>16955</v>
      </c>
      <c r="X5241" s="649" t="s">
        <v>12420</v>
      </c>
      <c r="Y5241" s="357"/>
      <c r="Z5241" s="192"/>
      <c r="AA5241" s="192"/>
      <c r="AB5241" s="37">
        <f t="shared" ca="1" si="127"/>
        <v>0.58835451322526688</v>
      </c>
      <c r="AC5241" s="816"/>
      <c r="AD5241" s="817"/>
      <c r="AE5241" s="943"/>
      <c r="AF5241" s="924">
        <f>IF(X5241=X5240,AF5240,0)+IF(ISNUMBER(I5241),IF(I5241&lt;1,I5241,I5241*VLOOKUP(J5241,Summary!$H$2:$I$9,2)),VLOOKUP(J5241,Summary!$J$2:$K$9,2)*IF(ISNUMBER(H5241),H5241,1))</f>
        <v>0.7547569444444443</v>
      </c>
      <c r="AG5241" s="292">
        <v>5240</v>
      </c>
      <c r="AH5241" s="94"/>
      <c r="AI5241" s="94"/>
    </row>
    <row r="5242" spans="1:36" s="22" customFormat="1" ht="12" customHeight="1" x14ac:dyDescent="0.25">
      <c r="A5242" s="627" t="s">
        <v>11360</v>
      </c>
      <c r="B5242" s="627">
        <v>12</v>
      </c>
      <c r="C5242" s="627">
        <v>2</v>
      </c>
      <c r="D5242" s="176" t="s">
        <v>13297</v>
      </c>
      <c r="E5242" s="313" t="s">
        <v>13300</v>
      </c>
      <c r="F5242" s="175">
        <v>42649</v>
      </c>
      <c r="G5242" s="175"/>
      <c r="H5242" s="176" t="s">
        <v>461</v>
      </c>
      <c r="I5242" s="176"/>
      <c r="J5242" s="900" t="s">
        <v>2755</v>
      </c>
      <c r="K5242" s="164" t="s">
        <v>543</v>
      </c>
      <c r="L5242" s="164"/>
      <c r="M5242" s="164"/>
      <c r="N5242" s="164"/>
      <c r="O5242" s="164"/>
      <c r="P5242" s="173" t="s">
        <v>13295</v>
      </c>
      <c r="Q5242" s="164" t="s">
        <v>13296</v>
      </c>
      <c r="R5242" s="177" t="s">
        <v>11448</v>
      </c>
      <c r="S5242" s="354"/>
      <c r="T5242" s="173"/>
      <c r="U5242" s="173"/>
      <c r="V5242" s="173"/>
      <c r="W5242" s="313" t="s">
        <v>13300</v>
      </c>
      <c r="X5242" s="645" t="s">
        <v>12420</v>
      </c>
      <c r="Y5242" s="354"/>
      <c r="Z5242" s="176"/>
      <c r="AA5242" s="176"/>
      <c r="AB5242" s="32">
        <f t="shared" ca="1" si="127"/>
        <v>1.2624402119362554E-2</v>
      </c>
      <c r="AC5242" s="812"/>
      <c r="AD5242" s="763"/>
      <c r="AE5242" s="807"/>
      <c r="AF5242" s="921">
        <f>IF(X5242=X5241,AF5241,0)+IF(ISNUMBER(I5242),IF(I5242&lt;1,I5242,I5242*VLOOKUP(J5242,Summary!$H$2:$I$9,2)),VLOOKUP(J5242,Summary!$J$2:$K$9,2)*IF(ISNUMBER(H5242),H5242,1))</f>
        <v>0.77211805555555546</v>
      </c>
      <c r="AG5242" s="289">
        <v>5241</v>
      </c>
      <c r="AH5242" s="94"/>
      <c r="AI5242" s="94"/>
    </row>
    <row r="5243" spans="1:36" s="22" customFormat="1" ht="12" customHeight="1" x14ac:dyDescent="0.2">
      <c r="A5243" s="629" t="s">
        <v>11360</v>
      </c>
      <c r="B5243" s="629">
        <v>12</v>
      </c>
      <c r="C5243" s="629">
        <v>172</v>
      </c>
      <c r="D5243" s="185" t="s">
        <v>10845</v>
      </c>
      <c r="E5243" s="314" t="s">
        <v>10846</v>
      </c>
      <c r="F5243" s="184">
        <v>42516</v>
      </c>
      <c r="G5243" s="184"/>
      <c r="H5243" s="185">
        <v>1</v>
      </c>
      <c r="I5243" s="185">
        <v>20</v>
      </c>
      <c r="J5243" s="901" t="s">
        <v>1796</v>
      </c>
      <c r="K5243" s="163" t="s">
        <v>5251</v>
      </c>
      <c r="L5243" s="163" t="s">
        <v>10555</v>
      </c>
      <c r="M5243" s="163" t="s">
        <v>252</v>
      </c>
      <c r="N5243" s="163" t="s">
        <v>6231</v>
      </c>
      <c r="O5243" s="163"/>
      <c r="P5243" s="182" t="s">
        <v>461</v>
      </c>
      <c r="Q5243" s="163" t="s">
        <v>4104</v>
      </c>
      <c r="R5243" s="186" t="s">
        <v>5266</v>
      </c>
      <c r="S5243" s="355" t="s">
        <v>10555</v>
      </c>
      <c r="T5243" s="182"/>
      <c r="U5243" s="182"/>
      <c r="V5243" s="182"/>
      <c r="W5243" s="314" t="s">
        <v>10846</v>
      </c>
      <c r="X5243" s="646" t="s">
        <v>12420</v>
      </c>
      <c r="Y5243" s="355"/>
      <c r="Z5243" s="185"/>
      <c r="AA5243" s="185"/>
      <c r="AB5243" s="33">
        <f t="shared" ca="1" si="127"/>
        <v>0.218964056168374</v>
      </c>
      <c r="AC5243" s="813"/>
      <c r="AD5243" s="211"/>
      <c r="AE5243" s="941"/>
      <c r="AF5243" s="922">
        <f>IF(X5243=X5242,AF5242,0)+IF(ISNUMBER(I5243),IF(I5243&lt;1,I5243,I5243*VLOOKUP(J5243,Summary!$H$2:$I$9,2)),VLOOKUP(J5243,Summary!$J$2:$K$9,2)*IF(ISNUMBER(H5243),H5243,1))</f>
        <v>0.77906249999999988</v>
      </c>
      <c r="AG5243" s="290">
        <v>5242</v>
      </c>
      <c r="AH5243" s="94"/>
      <c r="AI5243" s="94"/>
    </row>
    <row r="5244" spans="1:36" s="1" customFormat="1" ht="12" customHeight="1" x14ac:dyDescent="0.25">
      <c r="A5244" s="629" t="s">
        <v>11360</v>
      </c>
      <c r="B5244" s="629">
        <v>12</v>
      </c>
      <c r="C5244" s="629">
        <v>173</v>
      </c>
      <c r="D5244" s="185" t="s">
        <v>10847</v>
      </c>
      <c r="E5244" s="314" t="s">
        <v>10851</v>
      </c>
      <c r="F5244" s="184">
        <v>42551</v>
      </c>
      <c r="G5244" s="183">
        <v>42614</v>
      </c>
      <c r="H5244" s="185">
        <v>3</v>
      </c>
      <c r="I5244" s="185">
        <v>36</v>
      </c>
      <c r="J5244" s="901" t="s">
        <v>1796</v>
      </c>
      <c r="K5244" s="163" t="s">
        <v>563</v>
      </c>
      <c r="L5244" s="163" t="s">
        <v>4138</v>
      </c>
      <c r="M5244" s="163" t="s">
        <v>6061</v>
      </c>
      <c r="N5244" s="163" t="s">
        <v>9850</v>
      </c>
      <c r="O5244" s="163"/>
      <c r="P5244" s="182" t="s">
        <v>461</v>
      </c>
      <c r="Q5244" s="163" t="s">
        <v>4104</v>
      </c>
      <c r="R5244" s="186" t="s">
        <v>5266</v>
      </c>
      <c r="S5244" s="355"/>
      <c r="T5244" s="182" t="s">
        <v>10857</v>
      </c>
      <c r="U5244" s="182"/>
      <c r="V5244" s="182"/>
      <c r="W5244" s="314"/>
      <c r="X5244" s="646" t="s">
        <v>12420</v>
      </c>
      <c r="Y5244" s="355"/>
      <c r="Z5244" s="185"/>
      <c r="AA5244" s="185"/>
      <c r="AB5244" s="33">
        <f t="shared" ca="1" si="127"/>
        <v>0.52442593614499489</v>
      </c>
      <c r="AC5244" s="813"/>
      <c r="AD5244" s="211"/>
      <c r="AE5244" s="941"/>
      <c r="AF5244" s="922">
        <f>IF(X5244=X5243,AF5243,0)+IF(ISNUMBER(I5244),IF(I5244&lt;1,I5244,I5244*VLOOKUP(J5244,Summary!$H$2:$I$9,2)),VLOOKUP(J5244,Summary!$J$2:$K$9,2)*IF(ISNUMBER(H5244),H5244,1))</f>
        <v>0.79156249999999984</v>
      </c>
      <c r="AG5244" s="290">
        <v>5243</v>
      </c>
      <c r="AH5244" s="94"/>
      <c r="AI5244" s="94"/>
    </row>
    <row r="5245" spans="1:36" s="22" customFormat="1" ht="12" customHeight="1" x14ac:dyDescent="0.2">
      <c r="A5245" s="629" t="s">
        <v>11360</v>
      </c>
      <c r="B5245" s="629">
        <v>12</v>
      </c>
      <c r="C5245" s="629">
        <v>174</v>
      </c>
      <c r="D5245" s="185" t="s">
        <v>10848</v>
      </c>
      <c r="E5245" s="314" t="s">
        <v>10852</v>
      </c>
      <c r="F5245" s="183">
        <v>42644</v>
      </c>
      <c r="G5245" s="184"/>
      <c r="H5245" s="185">
        <v>1</v>
      </c>
      <c r="I5245" s="185">
        <v>12</v>
      </c>
      <c r="J5245" s="901" t="s">
        <v>1796</v>
      </c>
      <c r="K5245" s="163" t="s">
        <v>563</v>
      </c>
      <c r="L5245" s="163" t="s">
        <v>3832</v>
      </c>
      <c r="M5245" s="163" t="s">
        <v>252</v>
      </c>
      <c r="N5245" s="163" t="s">
        <v>10856</v>
      </c>
      <c r="O5245" s="163"/>
      <c r="P5245" s="182" t="s">
        <v>461</v>
      </c>
      <c r="Q5245" s="163" t="s">
        <v>4104</v>
      </c>
      <c r="R5245" s="186" t="s">
        <v>5266</v>
      </c>
      <c r="S5245" s="355"/>
      <c r="T5245" s="182" t="s">
        <v>10857</v>
      </c>
      <c r="U5245" s="182"/>
      <c r="V5245" s="182"/>
      <c r="W5245" s="314" t="s">
        <v>10852</v>
      </c>
      <c r="X5245" s="646" t="s">
        <v>12420</v>
      </c>
      <c r="Y5245" s="355"/>
      <c r="Z5245" s="185"/>
      <c r="AA5245" s="185"/>
      <c r="AB5245" s="33">
        <f t="shared" ca="1" si="127"/>
        <v>0.90480297880222316</v>
      </c>
      <c r="AC5245" s="813"/>
      <c r="AD5245" s="211"/>
      <c r="AE5245" s="941"/>
      <c r="AF5245" s="922">
        <f>IF(X5245=X5244,AF5244,0)+IF(ISNUMBER(I5245),IF(I5245&lt;1,I5245,I5245*VLOOKUP(J5245,Summary!$H$2:$I$9,2)),VLOOKUP(J5245,Summary!$J$2:$K$9,2)*IF(ISNUMBER(H5245),H5245,1))</f>
        <v>0.79572916666666649</v>
      </c>
      <c r="AG5245" s="290">
        <v>5244</v>
      </c>
      <c r="AH5245" s="94"/>
      <c r="AI5245" s="94"/>
    </row>
    <row r="5246" spans="1:36" s="22" customFormat="1" ht="12" customHeight="1" x14ac:dyDescent="0.2">
      <c r="A5246" s="629" t="s">
        <v>11360</v>
      </c>
      <c r="B5246" s="629">
        <v>12</v>
      </c>
      <c r="C5246" s="629">
        <v>175</v>
      </c>
      <c r="D5246" s="185" t="s">
        <v>10849</v>
      </c>
      <c r="E5246" s="314" t="s">
        <v>10853</v>
      </c>
      <c r="F5246" s="183">
        <v>42675</v>
      </c>
      <c r="G5246" s="184">
        <v>42691</v>
      </c>
      <c r="H5246" s="185">
        <v>2</v>
      </c>
      <c r="I5246" s="185">
        <v>24</v>
      </c>
      <c r="J5246" s="901" t="s">
        <v>1796</v>
      </c>
      <c r="K5246" s="163" t="s">
        <v>563</v>
      </c>
      <c r="L5246" s="163" t="s">
        <v>10858</v>
      </c>
      <c r="M5246" s="163" t="s">
        <v>252</v>
      </c>
      <c r="N5246" s="163" t="s">
        <v>5251</v>
      </c>
      <c r="O5246" s="163"/>
      <c r="P5246" s="182" t="s">
        <v>461</v>
      </c>
      <c r="Q5246" s="163" t="s">
        <v>4104</v>
      </c>
      <c r="R5246" s="163" t="s">
        <v>5266</v>
      </c>
      <c r="S5246" s="355"/>
      <c r="T5246" s="182" t="s">
        <v>10857</v>
      </c>
      <c r="U5246" s="182"/>
      <c r="V5246" s="182"/>
      <c r="W5246" s="314"/>
      <c r="X5246" s="646" t="s">
        <v>12420</v>
      </c>
      <c r="Y5246" s="355"/>
      <c r="Z5246" s="185"/>
      <c r="AA5246" s="185"/>
      <c r="AB5246" s="33">
        <f t="shared" ca="1" si="127"/>
        <v>0.19540070264546916</v>
      </c>
      <c r="AC5246" s="813"/>
      <c r="AD5246" s="211"/>
      <c r="AE5246" s="941"/>
      <c r="AF5246" s="922">
        <f>IF(X5246=X5245,AF5245,0)+IF(ISNUMBER(I5246),IF(I5246&lt;1,I5246,I5246*VLOOKUP(J5246,Summary!$H$2:$I$9,2)),VLOOKUP(J5246,Summary!$J$2:$K$9,2)*IF(ISNUMBER(H5246),H5246,1))</f>
        <v>0.80406249999999979</v>
      </c>
      <c r="AG5246" s="290">
        <v>5245</v>
      </c>
      <c r="AH5246" s="94"/>
      <c r="AI5246" s="94"/>
    </row>
    <row r="5247" spans="1:36" s="22" customFormat="1" ht="12" customHeight="1" x14ac:dyDescent="0.2">
      <c r="A5247" s="629" t="s">
        <v>11360</v>
      </c>
      <c r="B5247" s="629">
        <v>12</v>
      </c>
      <c r="C5247" s="629">
        <v>176</v>
      </c>
      <c r="D5247" s="185" t="s">
        <v>10850</v>
      </c>
      <c r="E5247" s="314" t="s">
        <v>10854</v>
      </c>
      <c r="F5247" s="184">
        <v>42719</v>
      </c>
      <c r="G5247" s="183"/>
      <c r="H5247" s="185">
        <v>1</v>
      </c>
      <c r="I5247" s="185">
        <v>12</v>
      </c>
      <c r="J5247" s="901" t="s">
        <v>1796</v>
      </c>
      <c r="K5247" s="163" t="s">
        <v>563</v>
      </c>
      <c r="L5247" s="163" t="s">
        <v>4138</v>
      </c>
      <c r="M5247" s="163" t="s">
        <v>6061</v>
      </c>
      <c r="N5247" s="163" t="s">
        <v>9850</v>
      </c>
      <c r="O5247" s="163"/>
      <c r="P5247" s="182" t="s">
        <v>461</v>
      </c>
      <c r="Q5247" s="163" t="s">
        <v>4104</v>
      </c>
      <c r="R5247" s="163" t="s">
        <v>5266</v>
      </c>
      <c r="S5247" s="355"/>
      <c r="T5247" s="182" t="s">
        <v>10857</v>
      </c>
      <c r="U5247" s="182"/>
      <c r="V5247" s="182"/>
      <c r="W5247" s="314" t="s">
        <v>10854</v>
      </c>
      <c r="X5247" s="646" t="s">
        <v>12420</v>
      </c>
      <c r="Y5247" s="355"/>
      <c r="Z5247" s="185"/>
      <c r="AA5247" s="185"/>
      <c r="AB5247" s="33">
        <f t="shared" ca="1" si="127"/>
        <v>0.45034977643166829</v>
      </c>
      <c r="AC5247" s="813"/>
      <c r="AD5247" s="211"/>
      <c r="AE5247" s="941"/>
      <c r="AF5247" s="922">
        <f>IF(X5247=X5246,AF5246,0)+IF(ISNUMBER(I5247),IF(I5247&lt;1,I5247,I5247*VLOOKUP(J5247,Summary!$H$2:$I$9,2)),VLOOKUP(J5247,Summary!$J$2:$K$9,2)*IF(ISNUMBER(H5247),H5247,1))</f>
        <v>0.80822916666666644</v>
      </c>
      <c r="AG5247" s="290">
        <v>5246</v>
      </c>
      <c r="AH5247" s="94"/>
      <c r="AI5247" s="94"/>
    </row>
    <row r="5248" spans="1:36" s="22" customFormat="1" ht="12" customHeight="1" x14ac:dyDescent="0.2">
      <c r="A5248" s="629" t="s">
        <v>11360</v>
      </c>
      <c r="B5248" s="629">
        <v>12</v>
      </c>
      <c r="C5248" s="629">
        <v>177</v>
      </c>
      <c r="D5248" s="185" t="s">
        <v>11382</v>
      </c>
      <c r="E5248" s="314" t="s">
        <v>10855</v>
      </c>
      <c r="F5248" s="184">
        <v>42747</v>
      </c>
      <c r="G5248" s="184">
        <v>42831</v>
      </c>
      <c r="H5248" s="185">
        <v>4</v>
      </c>
      <c r="I5248" s="185">
        <v>48</v>
      </c>
      <c r="J5248" s="901" t="s">
        <v>1796</v>
      </c>
      <c r="K5248" s="163" t="s">
        <v>563</v>
      </c>
      <c r="L5248" s="163" t="s">
        <v>11381</v>
      </c>
      <c r="M5248" s="163" t="s">
        <v>252</v>
      </c>
      <c r="N5248" s="163" t="s">
        <v>5251</v>
      </c>
      <c r="O5248" s="163"/>
      <c r="P5248" s="182" t="s">
        <v>461</v>
      </c>
      <c r="Q5248" s="163" t="s">
        <v>4104</v>
      </c>
      <c r="R5248" s="163" t="s">
        <v>5266</v>
      </c>
      <c r="S5248" s="355"/>
      <c r="T5248" s="182" t="s">
        <v>10857</v>
      </c>
      <c r="U5248" s="182"/>
      <c r="V5248" s="182"/>
      <c r="W5248" s="314"/>
      <c r="X5248" s="646" t="s">
        <v>12420</v>
      </c>
      <c r="Y5248" s="355"/>
      <c r="Z5248" s="185"/>
      <c r="AA5248" s="185"/>
      <c r="AB5248" s="33">
        <f t="shared" ca="1" si="127"/>
        <v>0.76112906004096825</v>
      </c>
      <c r="AC5248" s="813"/>
      <c r="AD5248" s="211"/>
      <c r="AE5248" s="941"/>
      <c r="AF5248" s="922">
        <f>IF(X5248=X5247,AF5247,0)+IF(ISNUMBER(I5248),IF(I5248&lt;1,I5248,I5248*VLOOKUP(J5248,Summary!$H$2:$I$9,2)),VLOOKUP(J5248,Summary!$J$2:$K$9,2)*IF(ISNUMBER(H5248),H5248,1))</f>
        <v>0.82489583333333316</v>
      </c>
      <c r="AG5248" s="290">
        <v>5247</v>
      </c>
      <c r="AH5248" s="94"/>
      <c r="AI5248" s="94"/>
    </row>
    <row r="5249" spans="1:36" s="22" customFormat="1" ht="12" customHeight="1" x14ac:dyDescent="0.25">
      <c r="A5249" s="627" t="s">
        <v>11360</v>
      </c>
      <c r="B5249" s="627">
        <v>12</v>
      </c>
      <c r="C5249" s="627">
        <v>3</v>
      </c>
      <c r="D5249" s="176" t="s">
        <v>13298</v>
      </c>
      <c r="E5249" s="313" t="s">
        <v>13299</v>
      </c>
      <c r="F5249" s="175">
        <v>42649</v>
      </c>
      <c r="G5249" s="175"/>
      <c r="H5249" s="176" t="s">
        <v>461</v>
      </c>
      <c r="I5249" s="176"/>
      <c r="J5249" s="900" t="s">
        <v>2755</v>
      </c>
      <c r="K5249" s="164" t="s">
        <v>543</v>
      </c>
      <c r="L5249" s="164"/>
      <c r="M5249" s="164"/>
      <c r="N5249" s="164"/>
      <c r="O5249" s="164"/>
      <c r="P5249" s="173" t="s">
        <v>13295</v>
      </c>
      <c r="Q5249" s="164" t="s">
        <v>13296</v>
      </c>
      <c r="R5249" s="164" t="s">
        <v>11448</v>
      </c>
      <c r="S5249" s="354"/>
      <c r="T5249" s="173"/>
      <c r="U5249" s="173"/>
      <c r="V5249" s="173"/>
      <c r="W5249" s="313" t="s">
        <v>13299</v>
      </c>
      <c r="X5249" s="645" t="s">
        <v>12420</v>
      </c>
      <c r="Y5249" s="354"/>
      <c r="Z5249" s="176"/>
      <c r="AA5249" s="176"/>
      <c r="AB5249" s="32">
        <f t="shared" ca="1" si="127"/>
        <v>0.90964209812355212</v>
      </c>
      <c r="AC5249" s="812"/>
      <c r="AD5249" s="763"/>
      <c r="AE5249" s="807"/>
      <c r="AF5249" s="921">
        <f>IF(X5249=X5248,AF5248,0)+IF(ISNUMBER(I5249),IF(I5249&lt;1,I5249,I5249*VLOOKUP(J5249,Summary!$H$2:$I$9,2)),VLOOKUP(J5249,Summary!$J$2:$K$9,2)*IF(ISNUMBER(H5249),H5249,1))</f>
        <v>0.84225694444444432</v>
      </c>
      <c r="AG5249" s="289">
        <v>5248</v>
      </c>
      <c r="AH5249" s="94"/>
      <c r="AI5249" s="94"/>
    </row>
    <row r="5250" spans="1:36" s="22" customFormat="1" ht="12" customHeight="1" x14ac:dyDescent="0.2">
      <c r="A5250" s="629" t="s">
        <v>11360</v>
      </c>
      <c r="B5250" s="629">
        <v>12</v>
      </c>
      <c r="C5250" s="629">
        <v>15</v>
      </c>
      <c r="D5250" s="185" t="s">
        <v>10859</v>
      </c>
      <c r="E5250" s="314" t="s">
        <v>10863</v>
      </c>
      <c r="F5250" s="184">
        <v>42519</v>
      </c>
      <c r="G5250" s="184"/>
      <c r="H5250" s="185">
        <v>1</v>
      </c>
      <c r="I5250" s="185">
        <v>9</v>
      </c>
      <c r="J5250" s="901" t="s">
        <v>1796</v>
      </c>
      <c r="K5250" s="163" t="s">
        <v>8274</v>
      </c>
      <c r="L5250" s="163" t="s">
        <v>9881</v>
      </c>
      <c r="M5250" s="163" t="s">
        <v>9882</v>
      </c>
      <c r="N5250" s="163"/>
      <c r="O5250" s="163"/>
      <c r="P5250" s="182" t="s">
        <v>461</v>
      </c>
      <c r="Q5250" s="163" t="s">
        <v>9883</v>
      </c>
      <c r="R5250" s="163" t="s">
        <v>9898</v>
      </c>
      <c r="S5250" s="355"/>
      <c r="T5250" s="182"/>
      <c r="U5250" s="182"/>
      <c r="V5250" s="182"/>
      <c r="W5250" s="314" t="s">
        <v>10863</v>
      </c>
      <c r="X5250" s="646" t="s">
        <v>12420</v>
      </c>
      <c r="Y5250" s="355"/>
      <c r="Z5250" s="185"/>
      <c r="AA5250" s="185"/>
      <c r="AB5250" s="33">
        <f t="shared" ref="AB5250:AB5313" ca="1" si="129">RAND()</f>
        <v>0.44175578778464153</v>
      </c>
      <c r="AC5250" s="813"/>
      <c r="AD5250" s="211"/>
      <c r="AE5250" s="941"/>
      <c r="AF5250" s="922">
        <f>IF(X5250=X5249,AF5249,0)+IF(ISNUMBER(I5250),IF(I5250&lt;1,I5250,I5250*VLOOKUP(J5250,Summary!$H$2:$I$9,2)),VLOOKUP(J5250,Summary!$J$2:$K$9,2)*IF(ISNUMBER(H5250),H5250,1))</f>
        <v>0.84538194444444437</v>
      </c>
      <c r="AG5250" s="290">
        <v>5249</v>
      </c>
      <c r="AH5250" s="94"/>
      <c r="AI5250" s="94"/>
    </row>
    <row r="5251" spans="1:36" s="57" customFormat="1" ht="12" customHeight="1" x14ac:dyDescent="0.25">
      <c r="A5251" s="629" t="s">
        <v>11360</v>
      </c>
      <c r="B5251" s="629">
        <v>12</v>
      </c>
      <c r="C5251" s="629">
        <v>16</v>
      </c>
      <c r="D5251" s="185" t="s">
        <v>10860</v>
      </c>
      <c r="E5251" s="314" t="s">
        <v>10864</v>
      </c>
      <c r="F5251" s="184">
        <v>42546</v>
      </c>
      <c r="G5251" s="184"/>
      <c r="H5251" s="185">
        <v>1</v>
      </c>
      <c r="I5251" s="185">
        <v>9</v>
      </c>
      <c r="J5251" s="901" t="s">
        <v>1796</v>
      </c>
      <c r="K5251" s="163" t="s">
        <v>8274</v>
      </c>
      <c r="L5251" s="163" t="s">
        <v>9881</v>
      </c>
      <c r="M5251" s="163" t="s">
        <v>9882</v>
      </c>
      <c r="N5251" s="163"/>
      <c r="O5251" s="163"/>
      <c r="P5251" s="182" t="s">
        <v>461</v>
      </c>
      <c r="Q5251" s="163" t="s">
        <v>9883</v>
      </c>
      <c r="R5251" s="186" t="s">
        <v>9898</v>
      </c>
      <c r="S5251" s="355"/>
      <c r="T5251" s="182"/>
      <c r="U5251" s="182"/>
      <c r="V5251" s="182"/>
      <c r="W5251" s="314" t="s">
        <v>10864</v>
      </c>
      <c r="X5251" s="646" t="s">
        <v>12420</v>
      </c>
      <c r="Y5251" s="355"/>
      <c r="Z5251" s="185"/>
      <c r="AA5251" s="185"/>
      <c r="AB5251" s="33">
        <f t="shared" ca="1" si="129"/>
        <v>0.70693339200004091</v>
      </c>
      <c r="AC5251" s="813"/>
      <c r="AD5251" s="211"/>
      <c r="AE5251" s="941"/>
      <c r="AF5251" s="922">
        <f>IF(X5251=X5250,AF5250,0)+IF(ISNUMBER(I5251),IF(I5251&lt;1,I5251,I5251*VLOOKUP(J5251,Summary!$H$2:$I$9,2)),VLOOKUP(J5251,Summary!$J$2:$K$9,2)*IF(ISNUMBER(H5251),H5251,1))</f>
        <v>0.84850694444444441</v>
      </c>
      <c r="AG5251" s="290">
        <v>5250</v>
      </c>
      <c r="AH5251" s="94"/>
      <c r="AI5251" s="94"/>
    </row>
    <row r="5252" spans="1:36" s="2" customFormat="1" ht="12" customHeight="1" x14ac:dyDescent="0.25">
      <c r="A5252" s="629" t="s">
        <v>11360</v>
      </c>
      <c r="B5252" s="629">
        <v>12</v>
      </c>
      <c r="C5252" s="629">
        <v>17</v>
      </c>
      <c r="D5252" s="185" t="s">
        <v>10861</v>
      </c>
      <c r="E5252" s="314" t="s">
        <v>10865</v>
      </c>
      <c r="F5252" s="184">
        <v>42572</v>
      </c>
      <c r="G5252" s="184"/>
      <c r="H5252" s="185">
        <v>1</v>
      </c>
      <c r="I5252" s="185">
        <v>9</v>
      </c>
      <c r="J5252" s="901" t="s">
        <v>1796</v>
      </c>
      <c r="K5252" s="163" t="s">
        <v>9479</v>
      </c>
      <c r="L5252" s="163" t="s">
        <v>9881</v>
      </c>
      <c r="M5252" s="163" t="s">
        <v>9882</v>
      </c>
      <c r="N5252" s="163"/>
      <c r="O5252" s="163"/>
      <c r="P5252" s="182" t="s">
        <v>461</v>
      </c>
      <c r="Q5252" s="163" t="s">
        <v>9883</v>
      </c>
      <c r="R5252" s="186" t="s">
        <v>9898</v>
      </c>
      <c r="S5252" s="355"/>
      <c r="T5252" s="182"/>
      <c r="U5252" s="182"/>
      <c r="V5252" s="182"/>
      <c r="W5252" s="314" t="s">
        <v>10865</v>
      </c>
      <c r="X5252" s="646" t="s">
        <v>12420</v>
      </c>
      <c r="Y5252" s="355"/>
      <c r="Z5252" s="185"/>
      <c r="AA5252" s="185"/>
      <c r="AB5252" s="33">
        <f t="shared" ca="1" si="129"/>
        <v>0.81389095724745075</v>
      </c>
      <c r="AC5252" s="813"/>
      <c r="AD5252" s="211"/>
      <c r="AE5252" s="941"/>
      <c r="AF5252" s="922">
        <f>IF(X5252=X5251,AF5251,0)+IF(ISNUMBER(I5252),IF(I5252&lt;1,I5252,I5252*VLOOKUP(J5252,Summary!$H$2:$I$9,2)),VLOOKUP(J5252,Summary!$J$2:$K$9,2)*IF(ISNUMBER(H5252),H5252,1))</f>
        <v>0.85163194444444446</v>
      </c>
      <c r="AG5252" s="290">
        <v>5251</v>
      </c>
      <c r="AH5252" s="94"/>
      <c r="AI5252" s="94"/>
    </row>
    <row r="5253" spans="1:36" s="1" customFormat="1" ht="12" customHeight="1" x14ac:dyDescent="0.25">
      <c r="A5253" s="629" t="s">
        <v>11360</v>
      </c>
      <c r="B5253" s="629">
        <v>12</v>
      </c>
      <c r="C5253" s="629">
        <v>18</v>
      </c>
      <c r="D5253" s="185" t="s">
        <v>10862</v>
      </c>
      <c r="E5253" s="314" t="s">
        <v>10866</v>
      </c>
      <c r="F5253" s="184">
        <v>42601</v>
      </c>
      <c r="G5253" s="184"/>
      <c r="H5253" s="185">
        <v>1</v>
      </c>
      <c r="I5253" s="185">
        <v>9</v>
      </c>
      <c r="J5253" s="901" t="s">
        <v>1796</v>
      </c>
      <c r="K5253" s="163" t="s">
        <v>2939</v>
      </c>
      <c r="L5253" s="163" t="s">
        <v>9881</v>
      </c>
      <c r="M5253" s="163" t="s">
        <v>9882</v>
      </c>
      <c r="N5253" s="163"/>
      <c r="O5253" s="163"/>
      <c r="P5253" s="182" t="s">
        <v>461</v>
      </c>
      <c r="Q5253" s="163" t="s">
        <v>9883</v>
      </c>
      <c r="R5253" s="186" t="s">
        <v>9898</v>
      </c>
      <c r="S5253" s="355"/>
      <c r="T5253" s="182" t="s">
        <v>10873</v>
      </c>
      <c r="U5253" s="182"/>
      <c r="V5253" s="182"/>
      <c r="W5253" s="314" t="s">
        <v>10866</v>
      </c>
      <c r="X5253" s="646" t="s">
        <v>12420</v>
      </c>
      <c r="Y5253" s="355"/>
      <c r="Z5253" s="185"/>
      <c r="AA5253" s="185"/>
      <c r="AB5253" s="33">
        <f t="shared" ca="1" si="129"/>
        <v>0.8015267707975321</v>
      </c>
      <c r="AC5253" s="813"/>
      <c r="AD5253" s="211"/>
      <c r="AE5253" s="941"/>
      <c r="AF5253" s="922">
        <f>IF(X5253=X5252,AF5252,0)+IF(ISNUMBER(I5253),IF(I5253&lt;1,I5253,I5253*VLOOKUP(J5253,Summary!$H$2:$I$9,2)),VLOOKUP(J5253,Summary!$J$2:$K$9,2)*IF(ISNUMBER(H5253),H5253,1))</f>
        <v>0.8547569444444445</v>
      </c>
      <c r="AG5253" s="290">
        <v>5252</v>
      </c>
      <c r="AH5253" s="94"/>
      <c r="AI5253" s="94"/>
    </row>
    <row r="5254" spans="1:36" s="22" customFormat="1" ht="12" customHeight="1" x14ac:dyDescent="0.2">
      <c r="A5254" s="629" t="s">
        <v>11360</v>
      </c>
      <c r="B5254" s="629">
        <v>12</v>
      </c>
      <c r="C5254" s="629">
        <v>19</v>
      </c>
      <c r="D5254" s="185" t="s">
        <v>10867</v>
      </c>
      <c r="E5254" s="314" t="s">
        <v>10870</v>
      </c>
      <c r="F5254" s="184">
        <v>42628</v>
      </c>
      <c r="G5254" s="184"/>
      <c r="H5254" s="185">
        <v>1</v>
      </c>
      <c r="I5254" s="185">
        <v>9</v>
      </c>
      <c r="J5254" s="901" t="s">
        <v>1796</v>
      </c>
      <c r="K5254" s="163" t="s">
        <v>2939</v>
      </c>
      <c r="L5254" s="163" t="s">
        <v>9881</v>
      </c>
      <c r="M5254" s="163" t="s">
        <v>9882</v>
      </c>
      <c r="N5254" s="163"/>
      <c r="O5254" s="163"/>
      <c r="P5254" s="182" t="s">
        <v>461</v>
      </c>
      <c r="Q5254" s="163" t="s">
        <v>9883</v>
      </c>
      <c r="R5254" s="186" t="s">
        <v>9898</v>
      </c>
      <c r="S5254" s="355"/>
      <c r="T5254" s="182" t="s">
        <v>10873</v>
      </c>
      <c r="U5254" s="182"/>
      <c r="V5254" s="182"/>
      <c r="W5254" s="314" t="s">
        <v>10870</v>
      </c>
      <c r="X5254" s="646" t="s">
        <v>12420</v>
      </c>
      <c r="Y5254" s="355"/>
      <c r="Z5254" s="185"/>
      <c r="AA5254" s="185"/>
      <c r="AB5254" s="33">
        <f t="shared" ca="1" si="129"/>
        <v>0.8764370890533737</v>
      </c>
      <c r="AC5254" s="813"/>
      <c r="AD5254" s="211"/>
      <c r="AE5254" s="941"/>
      <c r="AF5254" s="922">
        <f>IF(X5254=X5253,AF5253,0)+IF(ISNUMBER(I5254),IF(I5254&lt;1,I5254,I5254*VLOOKUP(J5254,Summary!$H$2:$I$9,2)),VLOOKUP(J5254,Summary!$J$2:$K$9,2)*IF(ISNUMBER(H5254),H5254,1))</f>
        <v>0.85788194444444454</v>
      </c>
      <c r="AG5254" s="290">
        <v>5253</v>
      </c>
      <c r="AH5254" s="94"/>
      <c r="AI5254" s="94"/>
    </row>
    <row r="5255" spans="1:36" s="22" customFormat="1" ht="12" customHeight="1" x14ac:dyDescent="0.2">
      <c r="A5255" s="629" t="s">
        <v>11360</v>
      </c>
      <c r="B5255" s="629">
        <v>12</v>
      </c>
      <c r="C5255" s="629">
        <v>20</v>
      </c>
      <c r="D5255" s="185" t="s">
        <v>10868</v>
      </c>
      <c r="E5255" s="314" t="s">
        <v>10871</v>
      </c>
      <c r="F5255" s="184">
        <v>42684</v>
      </c>
      <c r="G5255" s="184"/>
      <c r="H5255" s="185">
        <v>1</v>
      </c>
      <c r="I5255" s="185">
        <v>9</v>
      </c>
      <c r="J5255" s="901" t="s">
        <v>1796</v>
      </c>
      <c r="K5255" s="163" t="s">
        <v>2939</v>
      </c>
      <c r="L5255" s="163" t="s">
        <v>9881</v>
      </c>
      <c r="M5255" s="163" t="s">
        <v>9882</v>
      </c>
      <c r="N5255" s="163"/>
      <c r="O5255" s="163"/>
      <c r="P5255" s="182" t="s">
        <v>461</v>
      </c>
      <c r="Q5255" s="163" t="s">
        <v>9883</v>
      </c>
      <c r="R5255" s="186" t="s">
        <v>9898</v>
      </c>
      <c r="S5255" s="355"/>
      <c r="T5255" s="182" t="s">
        <v>10873</v>
      </c>
      <c r="U5255" s="182"/>
      <c r="V5255" s="182"/>
      <c r="W5255" s="314" t="s">
        <v>10871</v>
      </c>
      <c r="X5255" s="646" t="s">
        <v>12420</v>
      </c>
      <c r="Y5255" s="355"/>
      <c r="Z5255" s="185"/>
      <c r="AA5255" s="185"/>
      <c r="AB5255" s="33">
        <f t="shared" ca="1" si="129"/>
        <v>0.13129772141593066</v>
      </c>
      <c r="AC5255" s="813"/>
      <c r="AD5255" s="211"/>
      <c r="AE5255" s="941"/>
      <c r="AF5255" s="922">
        <f>IF(X5255=X5254,AF5254,0)+IF(ISNUMBER(I5255),IF(I5255&lt;1,I5255,I5255*VLOOKUP(J5255,Summary!$H$2:$I$9,2)),VLOOKUP(J5255,Summary!$J$2:$K$9,2)*IF(ISNUMBER(H5255),H5255,1))</f>
        <v>0.86100694444444459</v>
      </c>
      <c r="AG5255" s="290">
        <v>5254</v>
      </c>
      <c r="AH5255" s="94"/>
      <c r="AI5255" s="94"/>
    </row>
    <row r="5256" spans="1:36" s="22" customFormat="1" ht="12" customHeight="1" x14ac:dyDescent="0.2">
      <c r="A5256" s="629" t="s">
        <v>11360</v>
      </c>
      <c r="B5256" s="629">
        <v>12</v>
      </c>
      <c r="C5256" s="629">
        <v>21</v>
      </c>
      <c r="D5256" s="185" t="s">
        <v>10869</v>
      </c>
      <c r="E5256" s="314" t="s">
        <v>10872</v>
      </c>
      <c r="F5256" s="184">
        <v>42740</v>
      </c>
      <c r="G5256" s="184"/>
      <c r="H5256" s="185">
        <v>1</v>
      </c>
      <c r="I5256" s="185">
        <v>9</v>
      </c>
      <c r="J5256" s="901" t="s">
        <v>1796</v>
      </c>
      <c r="K5256" s="163" t="s">
        <v>2939</v>
      </c>
      <c r="L5256" s="163" t="s">
        <v>9881</v>
      </c>
      <c r="M5256" s="163" t="s">
        <v>9882</v>
      </c>
      <c r="N5256" s="163"/>
      <c r="O5256" s="163"/>
      <c r="P5256" s="182" t="s">
        <v>461</v>
      </c>
      <c r="Q5256" s="163" t="s">
        <v>9883</v>
      </c>
      <c r="R5256" s="186" t="s">
        <v>9898</v>
      </c>
      <c r="S5256" s="355"/>
      <c r="T5256" s="182" t="s">
        <v>10873</v>
      </c>
      <c r="U5256" s="182"/>
      <c r="V5256" s="182"/>
      <c r="W5256" s="314" t="s">
        <v>10872</v>
      </c>
      <c r="X5256" s="646" t="s">
        <v>12420</v>
      </c>
      <c r="Y5256" s="355"/>
      <c r="Z5256" s="185"/>
      <c r="AA5256" s="185"/>
      <c r="AB5256" s="33">
        <f t="shared" ca="1" si="129"/>
        <v>0.28244332093732638</v>
      </c>
      <c r="AC5256" s="813"/>
      <c r="AD5256" s="211"/>
      <c r="AE5256" s="941"/>
      <c r="AF5256" s="922">
        <f>IF(X5256=X5255,AF5255,0)+IF(ISNUMBER(I5256),IF(I5256&lt;1,I5256,I5256*VLOOKUP(J5256,Summary!$H$2:$I$9,2)),VLOOKUP(J5256,Summary!$J$2:$K$9,2)*IF(ISNUMBER(H5256),H5256,1))</f>
        <v>0.86413194444444463</v>
      </c>
      <c r="AG5256" s="290">
        <v>5255</v>
      </c>
      <c r="AH5256" s="94"/>
      <c r="AI5256" s="94"/>
    </row>
    <row r="5257" spans="1:36" s="22" customFormat="1" ht="12" customHeight="1" x14ac:dyDescent="0.2">
      <c r="A5257" s="629" t="s">
        <v>11360</v>
      </c>
      <c r="B5257" s="629">
        <v>12</v>
      </c>
      <c r="C5257" s="629">
        <v>22</v>
      </c>
      <c r="D5257" s="185" t="s">
        <v>11383</v>
      </c>
      <c r="E5257" s="314" t="s">
        <v>11384</v>
      </c>
      <c r="F5257" s="184">
        <v>42796</v>
      </c>
      <c r="G5257" s="184"/>
      <c r="H5257" s="185">
        <v>1</v>
      </c>
      <c r="I5257" s="185">
        <v>9</v>
      </c>
      <c r="J5257" s="901" t="s">
        <v>1796</v>
      </c>
      <c r="K5257" s="163" t="s">
        <v>2939</v>
      </c>
      <c r="L5257" s="163" t="s">
        <v>9881</v>
      </c>
      <c r="M5257" s="163" t="s">
        <v>9882</v>
      </c>
      <c r="N5257" s="163"/>
      <c r="O5257" s="163"/>
      <c r="P5257" s="182" t="s">
        <v>461</v>
      </c>
      <c r="Q5257" s="163" t="s">
        <v>9883</v>
      </c>
      <c r="R5257" s="186" t="s">
        <v>9898</v>
      </c>
      <c r="S5257" s="355"/>
      <c r="T5257" s="182" t="s">
        <v>10873</v>
      </c>
      <c r="U5257" s="182"/>
      <c r="V5257" s="182"/>
      <c r="W5257" s="314" t="s">
        <v>11384</v>
      </c>
      <c r="X5257" s="646" t="s">
        <v>12420</v>
      </c>
      <c r="Y5257" s="355"/>
      <c r="Z5257" s="185"/>
      <c r="AA5257" s="185"/>
      <c r="AB5257" s="33">
        <f t="shared" ca="1" si="129"/>
        <v>0.14440289494634162</v>
      </c>
      <c r="AC5257" s="813"/>
      <c r="AD5257" s="211"/>
      <c r="AE5257" s="941"/>
      <c r="AF5257" s="922">
        <f>IF(X5257=X5256,AF5256,0)+IF(ISNUMBER(I5257),IF(I5257&lt;1,I5257,I5257*VLOOKUP(J5257,Summary!$H$2:$I$9,2)),VLOOKUP(J5257,Summary!$J$2:$K$9,2)*IF(ISNUMBER(H5257),H5257,1))</f>
        <v>0.86725694444444468</v>
      </c>
      <c r="AG5257" s="290">
        <v>5256</v>
      </c>
      <c r="AH5257" s="94"/>
      <c r="AI5257" s="94"/>
    </row>
    <row r="5258" spans="1:36" s="29" customFormat="1" ht="12" customHeight="1" x14ac:dyDescent="0.25">
      <c r="A5258" s="629" t="s">
        <v>11360</v>
      </c>
      <c r="B5258" s="629">
        <v>12</v>
      </c>
      <c r="C5258" s="629">
        <v>23</v>
      </c>
      <c r="D5258" s="185" t="s">
        <v>11385</v>
      </c>
      <c r="E5258" s="314" t="s">
        <v>11386</v>
      </c>
      <c r="F5258" s="184">
        <v>42852</v>
      </c>
      <c r="G5258" s="184"/>
      <c r="H5258" s="185">
        <v>1</v>
      </c>
      <c r="I5258" s="185">
        <v>9</v>
      </c>
      <c r="J5258" s="901" t="s">
        <v>1796</v>
      </c>
      <c r="K5258" s="163" t="s">
        <v>2939</v>
      </c>
      <c r="L5258" s="163" t="s">
        <v>9881</v>
      </c>
      <c r="M5258" s="163" t="s">
        <v>9882</v>
      </c>
      <c r="N5258" s="163"/>
      <c r="O5258" s="163"/>
      <c r="P5258" s="182" t="s">
        <v>461</v>
      </c>
      <c r="Q5258" s="163" t="s">
        <v>9883</v>
      </c>
      <c r="R5258" s="186" t="s">
        <v>9898</v>
      </c>
      <c r="S5258" s="355"/>
      <c r="T5258" s="182" t="s">
        <v>10873</v>
      </c>
      <c r="U5258" s="182"/>
      <c r="V5258" s="182"/>
      <c r="W5258" s="314" t="s">
        <v>11386</v>
      </c>
      <c r="X5258" s="646" t="s">
        <v>12420</v>
      </c>
      <c r="Y5258" s="355"/>
      <c r="Z5258" s="185"/>
      <c r="AA5258" s="185"/>
      <c r="AB5258" s="33">
        <f t="shared" ca="1" si="129"/>
        <v>0.17809458201203765</v>
      </c>
      <c r="AC5258" s="813"/>
      <c r="AD5258" s="211"/>
      <c r="AE5258" s="941"/>
      <c r="AF5258" s="922">
        <f>IF(X5258=X5257,AF5257,0)+IF(ISNUMBER(I5258),IF(I5258&lt;1,I5258,I5258*VLOOKUP(J5258,Summary!$H$2:$I$9,2)),VLOOKUP(J5258,Summary!$J$2:$K$9,2)*IF(ISNUMBER(H5258),H5258,1))</f>
        <v>0.87038194444444472</v>
      </c>
      <c r="AG5258" s="290">
        <v>5257</v>
      </c>
      <c r="AH5258" s="94"/>
      <c r="AI5258" s="94"/>
      <c r="AJ5258" s="3"/>
    </row>
    <row r="5259" spans="1:36" s="1" customFormat="1" ht="12" customHeight="1" x14ac:dyDescent="0.25">
      <c r="A5259" s="627" t="s">
        <v>11360</v>
      </c>
      <c r="B5259" s="627">
        <v>12</v>
      </c>
      <c r="C5259" s="627">
        <v>4</v>
      </c>
      <c r="D5259" s="176" t="s">
        <v>13302</v>
      </c>
      <c r="E5259" s="313" t="s">
        <v>13306</v>
      </c>
      <c r="F5259" s="175">
        <v>42649</v>
      </c>
      <c r="G5259" s="175"/>
      <c r="H5259" s="176" t="s">
        <v>461</v>
      </c>
      <c r="I5259" s="176"/>
      <c r="J5259" s="900" t="s">
        <v>2755</v>
      </c>
      <c r="K5259" s="164" t="s">
        <v>543</v>
      </c>
      <c r="L5259" s="164"/>
      <c r="M5259" s="164"/>
      <c r="N5259" s="164"/>
      <c r="O5259" s="164"/>
      <c r="P5259" s="173" t="s">
        <v>13295</v>
      </c>
      <c r="Q5259" s="164" t="s">
        <v>13296</v>
      </c>
      <c r="R5259" s="177" t="s">
        <v>11448</v>
      </c>
      <c r="S5259" s="354"/>
      <c r="T5259" s="173"/>
      <c r="U5259" s="173"/>
      <c r="V5259" s="173"/>
      <c r="W5259" s="313" t="s">
        <v>13306</v>
      </c>
      <c r="X5259" s="645" t="s">
        <v>12420</v>
      </c>
      <c r="Y5259" s="354"/>
      <c r="Z5259" s="176"/>
      <c r="AA5259" s="176"/>
      <c r="AB5259" s="32">
        <f t="shared" ca="1" si="129"/>
        <v>0.4010491872961981</v>
      </c>
      <c r="AC5259" s="812"/>
      <c r="AD5259" s="763"/>
      <c r="AE5259" s="807"/>
      <c r="AF5259" s="921">
        <f>IF(X5259=X5258,AF5258,0)+IF(ISNUMBER(I5259),IF(I5259&lt;1,I5259,I5259*VLOOKUP(J5259,Summary!$H$2:$I$9,2)),VLOOKUP(J5259,Summary!$J$2:$K$9,2)*IF(ISNUMBER(H5259),H5259,1))</f>
        <v>0.88774305555555588</v>
      </c>
      <c r="AG5259" s="289">
        <v>5258</v>
      </c>
      <c r="AH5259" s="94"/>
      <c r="AI5259" s="94"/>
    </row>
    <row r="5260" spans="1:36" s="22" customFormat="1" ht="12" customHeight="1" x14ac:dyDescent="0.2">
      <c r="A5260" s="629" t="s">
        <v>11360</v>
      </c>
      <c r="B5260" s="629">
        <v>12</v>
      </c>
      <c r="C5260" s="629">
        <v>11</v>
      </c>
      <c r="D5260" s="185" t="s">
        <v>10881</v>
      </c>
      <c r="E5260" s="314" t="s">
        <v>10874</v>
      </c>
      <c r="F5260" s="184">
        <v>42572</v>
      </c>
      <c r="G5260" s="184"/>
      <c r="H5260" s="185">
        <v>1</v>
      </c>
      <c r="I5260" s="185"/>
      <c r="J5260" s="901" t="s">
        <v>1796</v>
      </c>
      <c r="K5260" s="163" t="s">
        <v>10882</v>
      </c>
      <c r="L5260" s="163" t="s">
        <v>10883</v>
      </c>
      <c r="M5260" s="163" t="s">
        <v>10884</v>
      </c>
      <c r="N5260" s="163"/>
      <c r="O5260" s="163"/>
      <c r="P5260" s="182" t="s">
        <v>461</v>
      </c>
      <c r="Q5260" s="163" t="s">
        <v>7076</v>
      </c>
      <c r="R5260" s="186" t="s">
        <v>10880</v>
      </c>
      <c r="S5260" s="355" t="s">
        <v>10892</v>
      </c>
      <c r="T5260" s="182" t="s">
        <v>10886</v>
      </c>
      <c r="U5260" s="182" t="s">
        <v>10234</v>
      </c>
      <c r="V5260" s="182" t="s">
        <v>10885</v>
      </c>
      <c r="W5260" s="314" t="s">
        <v>10874</v>
      </c>
      <c r="X5260" s="646" t="s">
        <v>12420</v>
      </c>
      <c r="Y5260" s="355"/>
      <c r="Z5260" s="185"/>
      <c r="AA5260" s="185"/>
      <c r="AB5260" s="33">
        <f t="shared" ca="1" si="129"/>
        <v>0.81925133221518409</v>
      </c>
      <c r="AC5260" s="813"/>
      <c r="AD5260" s="211"/>
      <c r="AE5260" s="941"/>
      <c r="AF5260" s="922">
        <f>IF(X5260=X5259,AF5259,0)+IF(ISNUMBER(I5260),IF(I5260&lt;1,I5260,I5260*VLOOKUP(J5260,Summary!$H$2:$I$9,2)),VLOOKUP(J5260,Summary!$J$2:$K$9,2)*IF(ISNUMBER(H5260),H5260,1))</f>
        <v>0.89121527777777809</v>
      </c>
      <c r="AG5260" s="290">
        <v>5259</v>
      </c>
      <c r="AH5260" s="94"/>
      <c r="AI5260" s="94"/>
    </row>
    <row r="5261" spans="1:36" s="1" customFormat="1" ht="12" customHeight="1" x14ac:dyDescent="0.25">
      <c r="A5261" s="769" t="s">
        <v>11360</v>
      </c>
      <c r="B5261" s="769">
        <v>12</v>
      </c>
      <c r="C5261" s="769">
        <v>12</v>
      </c>
      <c r="D5261" s="226" t="s">
        <v>10887</v>
      </c>
      <c r="E5261" s="331" t="s">
        <v>10888</v>
      </c>
      <c r="F5261" s="233">
        <v>42557</v>
      </c>
      <c r="G5261" s="233">
        <v>42690</v>
      </c>
      <c r="H5261" s="226">
        <v>5</v>
      </c>
      <c r="I5261" s="226">
        <v>104</v>
      </c>
      <c r="J5261" s="907" t="s">
        <v>1796</v>
      </c>
      <c r="K5261" s="228" t="s">
        <v>10889</v>
      </c>
      <c r="L5261" s="228" t="s">
        <v>10890</v>
      </c>
      <c r="M5261" s="228" t="s">
        <v>10891</v>
      </c>
      <c r="N5261" s="228"/>
      <c r="O5261" s="228"/>
      <c r="P5261" s="225" t="s">
        <v>461</v>
      </c>
      <c r="Q5261" s="228" t="s">
        <v>7076</v>
      </c>
      <c r="R5261" s="227" t="s">
        <v>10880</v>
      </c>
      <c r="S5261" s="369" t="s">
        <v>10893</v>
      </c>
      <c r="T5261" s="225" t="s">
        <v>10886</v>
      </c>
      <c r="U5261" s="225" t="s">
        <v>10234</v>
      </c>
      <c r="V5261" s="225" t="s">
        <v>10885</v>
      </c>
      <c r="W5261" s="331"/>
      <c r="X5261" s="663" t="s">
        <v>12420</v>
      </c>
      <c r="Y5261" s="369" t="s">
        <v>6000</v>
      </c>
      <c r="Z5261" s="226"/>
      <c r="AA5261" s="226"/>
      <c r="AB5261" s="38">
        <f t="shared" ca="1" si="129"/>
        <v>0.39913279366033372</v>
      </c>
      <c r="AC5261" s="830"/>
      <c r="AD5261" s="831"/>
      <c r="AE5261" s="963"/>
      <c r="AF5261" s="928">
        <f>IF(X5261=X5260,AF5260,0)+IF(ISNUMBER(I5261),IF(I5261&lt;1,I5261,I5261*VLOOKUP(J5261,Summary!$H$2:$I$9,2)),VLOOKUP(J5261,Summary!$J$2:$K$9,2)*IF(ISNUMBER(H5261),H5261,1))</f>
        <v>0.92732638888888919</v>
      </c>
      <c r="AG5261" s="304">
        <v>5260</v>
      </c>
      <c r="AH5261" s="94"/>
      <c r="AI5261" s="94"/>
    </row>
    <row r="5262" spans="1:36" s="22" customFormat="1" ht="12" customHeight="1" x14ac:dyDescent="0.2">
      <c r="A5262" s="769" t="s">
        <v>11360</v>
      </c>
      <c r="B5262" s="769">
        <v>12</v>
      </c>
      <c r="C5262" s="769">
        <v>2.2999999999999998</v>
      </c>
      <c r="D5262" s="226" t="s">
        <v>10942</v>
      </c>
      <c r="E5262" s="331" t="s">
        <v>10941</v>
      </c>
      <c r="F5262" s="233">
        <v>42515</v>
      </c>
      <c r="G5262" s="233">
        <v>42592</v>
      </c>
      <c r="H5262" s="226">
        <v>3</v>
      </c>
      <c r="I5262" s="226">
        <v>62</v>
      </c>
      <c r="J5262" s="907" t="s">
        <v>1796</v>
      </c>
      <c r="K5262" s="228" t="s">
        <v>2310</v>
      </c>
      <c r="L5262" s="228" t="s">
        <v>10915</v>
      </c>
      <c r="M5262" s="228" t="s">
        <v>10936</v>
      </c>
      <c r="N5262" s="228" t="s">
        <v>10882</v>
      </c>
      <c r="O5262" s="228"/>
      <c r="P5262" s="225" t="s">
        <v>461</v>
      </c>
      <c r="Q5262" s="228" t="s">
        <v>7076</v>
      </c>
      <c r="R5262" s="227" t="s">
        <v>10879</v>
      </c>
      <c r="S5262" s="369" t="s">
        <v>10946</v>
      </c>
      <c r="T5262" s="225"/>
      <c r="U5262" s="225"/>
      <c r="V5262" s="225"/>
      <c r="W5262" s="331"/>
      <c r="X5262" s="663" t="s">
        <v>12420</v>
      </c>
      <c r="Y5262" s="369"/>
      <c r="Z5262" s="226"/>
      <c r="AA5262" s="226"/>
      <c r="AB5262" s="38">
        <f t="shared" ca="1" si="129"/>
        <v>0.11641791480918795</v>
      </c>
      <c r="AC5262" s="830"/>
      <c r="AD5262" s="831"/>
      <c r="AE5262" s="963"/>
      <c r="AF5262" s="928">
        <f>IF(X5262=X5261,AF5261,0)+IF(ISNUMBER(I5262),IF(I5262&lt;1,I5262,I5262*VLOOKUP(J5262,Summary!$H$2:$I$9,2)),VLOOKUP(J5262,Summary!$J$2:$K$9,2)*IF(ISNUMBER(H5262),H5262,1))</f>
        <v>0.948854166666667</v>
      </c>
      <c r="AG5262" s="304">
        <v>5261</v>
      </c>
      <c r="AH5262" s="94"/>
      <c r="AI5262" s="94"/>
    </row>
    <row r="5263" spans="1:36" s="22" customFormat="1" ht="12" customHeight="1" x14ac:dyDescent="0.2">
      <c r="A5263" s="629" t="s">
        <v>11360</v>
      </c>
      <c r="B5263" s="629">
        <v>12</v>
      </c>
      <c r="C5263" s="629">
        <v>2.4</v>
      </c>
      <c r="D5263" s="185" t="s">
        <v>10944</v>
      </c>
      <c r="E5263" s="314" t="s">
        <v>10943</v>
      </c>
      <c r="F5263" s="184">
        <v>42641</v>
      </c>
      <c r="G5263" s="184">
        <v>42662</v>
      </c>
      <c r="H5263" s="185">
        <v>2</v>
      </c>
      <c r="I5263" s="185">
        <v>40</v>
      </c>
      <c r="J5263" s="901" t="s">
        <v>1796</v>
      </c>
      <c r="K5263" s="163" t="s">
        <v>2310</v>
      </c>
      <c r="L5263" s="163" t="s">
        <v>10912</v>
      </c>
      <c r="M5263" s="163" t="s">
        <v>10945</v>
      </c>
      <c r="N5263" s="163" t="s">
        <v>10882</v>
      </c>
      <c r="O5263" s="163"/>
      <c r="P5263" s="182" t="s">
        <v>461</v>
      </c>
      <c r="Q5263" s="163" t="s">
        <v>7076</v>
      </c>
      <c r="R5263" s="186" t="s">
        <v>10879</v>
      </c>
      <c r="S5263" s="355" t="s">
        <v>10946</v>
      </c>
      <c r="T5263" s="182"/>
      <c r="U5263" s="182"/>
      <c r="V5263" s="182"/>
      <c r="W5263" s="314"/>
      <c r="X5263" s="646" t="s">
        <v>12420</v>
      </c>
      <c r="Y5263" s="355"/>
      <c r="Z5263" s="185"/>
      <c r="AA5263" s="185"/>
      <c r="AB5263" s="33">
        <f t="shared" ca="1" si="129"/>
        <v>0.77681824062193205</v>
      </c>
      <c r="AC5263" s="813"/>
      <c r="AD5263" s="211"/>
      <c r="AE5263" s="941"/>
      <c r="AF5263" s="922">
        <f>IF(X5263=X5262,AF5262,0)+IF(ISNUMBER(I5263),IF(I5263&lt;1,I5263,I5263*VLOOKUP(J5263,Summary!$H$2:$I$9,2)),VLOOKUP(J5263,Summary!$J$2:$K$9,2)*IF(ISNUMBER(H5263),H5263,1))</f>
        <v>0.96274305555555584</v>
      </c>
      <c r="AG5263" s="290">
        <v>5262</v>
      </c>
      <c r="AH5263" s="94"/>
      <c r="AI5263" s="94"/>
    </row>
    <row r="5264" spans="1:36" s="2" customFormat="1" ht="12" customHeight="1" x14ac:dyDescent="0.25">
      <c r="A5264" s="627" t="s">
        <v>11360</v>
      </c>
      <c r="B5264" s="627">
        <v>12</v>
      </c>
      <c r="C5264" s="627">
        <v>5</v>
      </c>
      <c r="D5264" s="176" t="s">
        <v>13303</v>
      </c>
      <c r="E5264" s="313" t="s">
        <v>13307</v>
      </c>
      <c r="F5264" s="175">
        <v>42649</v>
      </c>
      <c r="G5264" s="175"/>
      <c r="H5264" s="176" t="s">
        <v>461</v>
      </c>
      <c r="I5264" s="176"/>
      <c r="J5264" s="900" t="s">
        <v>2755</v>
      </c>
      <c r="K5264" s="164" t="s">
        <v>543</v>
      </c>
      <c r="L5264" s="164"/>
      <c r="M5264" s="164"/>
      <c r="N5264" s="164"/>
      <c r="O5264" s="164"/>
      <c r="P5264" s="173" t="s">
        <v>13295</v>
      </c>
      <c r="Q5264" s="164" t="s">
        <v>13296</v>
      </c>
      <c r="R5264" s="177" t="s">
        <v>11448</v>
      </c>
      <c r="S5264" s="354"/>
      <c r="T5264" s="173"/>
      <c r="U5264" s="173"/>
      <c r="V5264" s="173"/>
      <c r="W5264" s="313" t="s">
        <v>13307</v>
      </c>
      <c r="X5264" s="645" t="s">
        <v>12420</v>
      </c>
      <c r="Y5264" s="354"/>
      <c r="Z5264" s="176"/>
      <c r="AA5264" s="176"/>
      <c r="AB5264" s="32">
        <f t="shared" ca="1" si="129"/>
        <v>0.97588463820906834</v>
      </c>
      <c r="AC5264" s="812"/>
      <c r="AD5264" s="763"/>
      <c r="AE5264" s="807"/>
      <c r="AF5264" s="921">
        <f>IF(X5264=X5263,AF5263,0)+IF(ISNUMBER(I5264),IF(I5264&lt;1,I5264,I5264*VLOOKUP(J5264,Summary!$H$2:$I$9,2)),VLOOKUP(J5264,Summary!$J$2:$K$9,2)*IF(ISNUMBER(H5264),H5264,1))</f>
        <v>0.980104166666667</v>
      </c>
      <c r="AG5264" s="289">
        <v>5263</v>
      </c>
      <c r="AH5264" s="94"/>
      <c r="AI5264" s="94"/>
    </row>
    <row r="5265" spans="1:36" s="22" customFormat="1" ht="12" customHeight="1" x14ac:dyDescent="0.2">
      <c r="A5265" s="629" t="s">
        <v>11360</v>
      </c>
      <c r="B5265" s="629">
        <v>12</v>
      </c>
      <c r="C5265" s="629"/>
      <c r="D5265" s="185" t="s">
        <v>11354</v>
      </c>
      <c r="E5265" s="314" t="s">
        <v>11358</v>
      </c>
      <c r="F5265" s="184">
        <v>42649</v>
      </c>
      <c r="G5265" s="183"/>
      <c r="H5265" s="185">
        <v>1</v>
      </c>
      <c r="I5265" s="185">
        <v>6</v>
      </c>
      <c r="J5265" s="901" t="s">
        <v>1796</v>
      </c>
      <c r="K5265" s="163" t="s">
        <v>11355</v>
      </c>
      <c r="L5265" s="163" t="s">
        <v>3832</v>
      </c>
      <c r="M5265" s="163" t="s">
        <v>252</v>
      </c>
      <c r="N5265" s="163"/>
      <c r="O5265" s="163"/>
      <c r="P5265" s="182" t="s">
        <v>11357</v>
      </c>
      <c r="Q5265" s="163" t="s">
        <v>3947</v>
      </c>
      <c r="R5265" s="207" t="s">
        <v>4600</v>
      </c>
      <c r="S5265" s="355"/>
      <c r="T5265" s="182"/>
      <c r="U5265" s="182"/>
      <c r="V5265" s="182"/>
      <c r="W5265" s="314" t="s">
        <v>11358</v>
      </c>
      <c r="X5265" s="646" t="s">
        <v>12420</v>
      </c>
      <c r="Y5265" s="355"/>
      <c r="Z5265" s="185"/>
      <c r="AA5265" s="185"/>
      <c r="AB5265" s="33">
        <f t="shared" ca="1" si="129"/>
        <v>0.69384730930338334</v>
      </c>
      <c r="AC5265" s="813"/>
      <c r="AD5265" s="211"/>
      <c r="AE5265" s="941"/>
      <c r="AF5265" s="922">
        <f>IF(X5265=X5264,AF5264,0)+IF(ISNUMBER(I5265),IF(I5265&lt;1,I5265,I5265*VLOOKUP(J5265,Summary!$H$2:$I$9,2)),VLOOKUP(J5265,Summary!$J$2:$K$9,2)*IF(ISNUMBER(H5265),H5265,1))</f>
        <v>0.98218750000000032</v>
      </c>
      <c r="AG5265" s="295">
        <v>5264</v>
      </c>
      <c r="AH5265" s="94"/>
      <c r="AI5265" s="94"/>
    </row>
    <row r="5266" spans="1:36" s="29" customFormat="1" ht="12" customHeight="1" x14ac:dyDescent="0.25">
      <c r="A5266" s="629" t="s">
        <v>11360</v>
      </c>
      <c r="B5266" s="629">
        <v>12</v>
      </c>
      <c r="C5266" s="629"/>
      <c r="D5266" s="185" t="s">
        <v>11354</v>
      </c>
      <c r="E5266" s="314" t="s">
        <v>11359</v>
      </c>
      <c r="F5266" s="184">
        <v>42649</v>
      </c>
      <c r="G5266" s="183"/>
      <c r="H5266" s="185">
        <v>1</v>
      </c>
      <c r="I5266" s="185">
        <v>6</v>
      </c>
      <c r="J5266" s="901" t="s">
        <v>1796</v>
      </c>
      <c r="K5266" s="163" t="s">
        <v>11355</v>
      </c>
      <c r="L5266" s="163" t="s">
        <v>3832</v>
      </c>
      <c r="M5266" s="163" t="s">
        <v>252</v>
      </c>
      <c r="N5266" s="163"/>
      <c r="O5266" s="163"/>
      <c r="P5266" s="182" t="s">
        <v>11357</v>
      </c>
      <c r="Q5266" s="163" t="s">
        <v>3947</v>
      </c>
      <c r="R5266" s="207" t="s">
        <v>4600</v>
      </c>
      <c r="S5266" s="355"/>
      <c r="T5266" s="182"/>
      <c r="U5266" s="182"/>
      <c r="V5266" s="182"/>
      <c r="W5266" s="314" t="s">
        <v>11359</v>
      </c>
      <c r="X5266" s="646" t="s">
        <v>12420</v>
      </c>
      <c r="Y5266" s="355"/>
      <c r="Z5266" s="185"/>
      <c r="AA5266" s="185"/>
      <c r="AB5266" s="33">
        <f t="shared" ca="1" si="129"/>
        <v>0.15020750617407896</v>
      </c>
      <c r="AC5266" s="813"/>
      <c r="AD5266" s="211"/>
      <c r="AE5266" s="941"/>
      <c r="AF5266" s="922">
        <f>IF(X5266=X5265,AF5265,0)+IF(ISNUMBER(I5266),IF(I5266&lt;1,I5266,I5266*VLOOKUP(J5266,Summary!$H$2:$I$9,2)),VLOOKUP(J5266,Summary!$J$2:$K$9,2)*IF(ISNUMBER(H5266),H5266,1))</f>
        <v>0.98427083333333365</v>
      </c>
      <c r="AG5266" s="295">
        <v>5265</v>
      </c>
      <c r="AH5266" s="94"/>
      <c r="AI5266" s="94"/>
      <c r="AJ5266" s="3"/>
    </row>
    <row r="5267" spans="1:36" s="29" customFormat="1" ht="12" customHeight="1" x14ac:dyDescent="0.25">
      <c r="A5267" s="409" t="s">
        <v>11360</v>
      </c>
      <c r="B5267" s="410" t="s">
        <v>2650</v>
      </c>
      <c r="C5267" s="409">
        <v>3</v>
      </c>
      <c r="D5267" s="176" t="s">
        <v>13394</v>
      </c>
      <c r="E5267" s="313" t="s">
        <v>13395</v>
      </c>
      <c r="F5267" s="175">
        <v>43153</v>
      </c>
      <c r="G5267" s="174"/>
      <c r="H5267" s="176">
        <v>1</v>
      </c>
      <c r="I5267" s="176"/>
      <c r="J5267" s="900" t="s">
        <v>2755</v>
      </c>
      <c r="K5267" s="164" t="s">
        <v>5658</v>
      </c>
      <c r="L5267" s="164"/>
      <c r="M5267" s="164"/>
      <c r="N5267" s="164"/>
      <c r="O5267" s="164"/>
      <c r="P5267" s="173" t="s">
        <v>13386</v>
      </c>
      <c r="Q5267" s="164" t="s">
        <v>3953</v>
      </c>
      <c r="R5267" s="179" t="s">
        <v>13385</v>
      </c>
      <c r="S5267" s="354"/>
      <c r="T5267" s="173"/>
      <c r="U5267" s="173"/>
      <c r="V5267" s="173"/>
      <c r="W5267" s="313" t="s">
        <v>13395</v>
      </c>
      <c r="X5267" s="645" t="s">
        <v>12420</v>
      </c>
      <c r="Y5267" s="354"/>
      <c r="Z5267" s="176"/>
      <c r="AA5267" s="176"/>
      <c r="AB5267" s="32">
        <f t="shared" ca="1" si="129"/>
        <v>0.10543757939601095</v>
      </c>
      <c r="AC5267" s="812"/>
      <c r="AD5267" s="763"/>
      <c r="AE5267" s="807"/>
      <c r="AF5267" s="921">
        <f>IF(X5267=X5266,AF5266,0)+IF(ISNUMBER(I5267),IF(I5267&lt;1,I5267,I5267*VLOOKUP(J5267,Summary!$H$2:$I$9,2)),VLOOKUP(J5267,Summary!$J$2:$K$9,2)*IF(ISNUMBER(H5267),H5267,1))</f>
        <v>1.0016319444444448</v>
      </c>
      <c r="AG5267" s="288">
        <v>5266</v>
      </c>
      <c r="AH5267" s="94"/>
      <c r="AI5267" s="94"/>
      <c r="AJ5267" s="3"/>
    </row>
    <row r="5268" spans="1:36" s="1" customFormat="1" ht="12" customHeight="1" x14ac:dyDescent="0.25">
      <c r="A5268" s="626" t="s">
        <v>10320</v>
      </c>
      <c r="B5268" s="626" t="s">
        <v>10321</v>
      </c>
      <c r="C5268" s="633">
        <v>1.1000000000000001</v>
      </c>
      <c r="D5268" s="424" t="s">
        <v>10323</v>
      </c>
      <c r="E5268" s="319" t="s">
        <v>10330</v>
      </c>
      <c r="F5268" s="198">
        <v>42665</v>
      </c>
      <c r="G5268" s="199"/>
      <c r="H5268" s="199">
        <v>1</v>
      </c>
      <c r="I5268" s="791">
        <f>TIME(0,50,23)</f>
        <v>3.498842592592593E-2</v>
      </c>
      <c r="J5268" s="904" t="s">
        <v>1588</v>
      </c>
      <c r="K5268" s="200" t="s">
        <v>9249</v>
      </c>
      <c r="L5268" s="200" t="s">
        <v>9732</v>
      </c>
      <c r="M5268" s="200"/>
      <c r="N5268" s="200" t="s">
        <v>9249</v>
      </c>
      <c r="O5268" s="200" t="s">
        <v>8002</v>
      </c>
      <c r="P5268" s="197" t="s">
        <v>461</v>
      </c>
      <c r="Q5268" s="200" t="s">
        <v>3946</v>
      </c>
      <c r="R5268" s="201" t="s">
        <v>10322</v>
      </c>
      <c r="S5268" s="390">
        <v>12</v>
      </c>
      <c r="T5268" s="197"/>
      <c r="U5268" s="197"/>
      <c r="V5268" s="197"/>
      <c r="W5268" s="319" t="s">
        <v>10330</v>
      </c>
      <c r="X5268" s="651" t="s">
        <v>12353</v>
      </c>
      <c r="Y5268" s="358"/>
      <c r="Z5268" s="253">
        <v>310</v>
      </c>
      <c r="AA5268" s="253">
        <v>1</v>
      </c>
      <c r="AB5268" s="35">
        <f t="shared" ca="1" si="129"/>
        <v>0.95134499867500411</v>
      </c>
      <c r="AC5268" s="820"/>
      <c r="AD5268" s="824" t="s">
        <v>15154</v>
      </c>
      <c r="AE5268" s="944"/>
      <c r="AF5268" s="925">
        <f>IF(X5268=X5267,AF5267,0)+IF(ISNUMBER(I5268),IF(I5268&lt;1,I5268,I5268*VLOOKUP(J5268,Summary!$H$2:$I$9,2)),VLOOKUP(J5268,Summary!$J$2:$K$9,2)*IF(ISNUMBER(H5268),H5268,1))</f>
        <v>3.498842592592593E-2</v>
      </c>
      <c r="AG5268" s="293">
        <v>5267</v>
      </c>
      <c r="AH5268" s="94"/>
      <c r="AI5268" s="94"/>
    </row>
    <row r="5269" spans="1:36" s="22" customFormat="1" ht="12" customHeight="1" x14ac:dyDescent="0.25">
      <c r="A5269" s="553" t="s">
        <v>10320</v>
      </c>
      <c r="B5269" s="554" t="s">
        <v>10321</v>
      </c>
      <c r="C5269" s="555">
        <v>1.2</v>
      </c>
      <c r="D5269" s="424" t="s">
        <v>10324</v>
      </c>
      <c r="E5269" s="319" t="s">
        <v>10331</v>
      </c>
      <c r="F5269" s="198">
        <v>42665</v>
      </c>
      <c r="G5269" s="199"/>
      <c r="H5269" s="199">
        <v>1</v>
      </c>
      <c r="I5269" s="791">
        <f>TIME(0,43, 9)</f>
        <v>2.9965277777777775E-2</v>
      </c>
      <c r="J5269" s="904" t="s">
        <v>1588</v>
      </c>
      <c r="K5269" s="200" t="s">
        <v>9249</v>
      </c>
      <c r="L5269" s="200" t="s">
        <v>9732</v>
      </c>
      <c r="M5269" s="200"/>
      <c r="N5269" s="200" t="s">
        <v>9249</v>
      </c>
      <c r="O5269" s="200" t="s">
        <v>8002</v>
      </c>
      <c r="P5269" s="197" t="s">
        <v>461</v>
      </c>
      <c r="Q5269" s="200" t="s">
        <v>3946</v>
      </c>
      <c r="R5269" s="201" t="s">
        <v>10322</v>
      </c>
      <c r="S5269" s="390"/>
      <c r="T5269" s="197"/>
      <c r="U5269" s="197"/>
      <c r="V5269" s="197"/>
      <c r="W5269" s="319" t="s">
        <v>10331</v>
      </c>
      <c r="X5269" s="651" t="s">
        <v>12353</v>
      </c>
      <c r="Y5269" s="358"/>
      <c r="Z5269" s="253">
        <v>271</v>
      </c>
      <c r="AA5269" s="253">
        <v>2.5</v>
      </c>
      <c r="AB5269" s="35">
        <f t="shared" ca="1" si="129"/>
        <v>0.45729838749455498</v>
      </c>
      <c r="AC5269" s="820"/>
      <c r="AD5269" s="821" t="s">
        <v>15154</v>
      </c>
      <c r="AE5269" s="944"/>
      <c r="AF5269" s="925">
        <f>IF(X5269=X5268,AF5268,0)+IF(ISNUMBER(I5269),IF(I5269&lt;1,I5269,I5269*VLOOKUP(J5269,Summary!$H$2:$I$9,2)),VLOOKUP(J5269,Summary!$J$2:$K$9,2)*IF(ISNUMBER(H5269),H5269,1))</f>
        <v>6.4953703703703708E-2</v>
      </c>
      <c r="AG5269" s="293">
        <v>5268</v>
      </c>
      <c r="AH5269" s="94"/>
      <c r="AI5269" s="94"/>
    </row>
    <row r="5270" spans="1:36" s="1" customFormat="1" ht="12" customHeight="1" x14ac:dyDescent="0.25">
      <c r="A5270" s="474" t="s">
        <v>10320</v>
      </c>
      <c r="B5270" s="507" t="s">
        <v>10321</v>
      </c>
      <c r="C5270" s="474">
        <v>1</v>
      </c>
      <c r="D5270" s="417" t="s">
        <v>12365</v>
      </c>
      <c r="E5270" s="316" t="s">
        <v>12366</v>
      </c>
      <c r="F5270" s="195">
        <v>42670</v>
      </c>
      <c r="G5270" s="195"/>
      <c r="H5270" s="188" t="s">
        <v>461</v>
      </c>
      <c r="I5270" s="188">
        <v>272</v>
      </c>
      <c r="J5270" s="902" t="s">
        <v>6868</v>
      </c>
      <c r="K5270" s="162" t="s">
        <v>12191</v>
      </c>
      <c r="L5270" s="162" t="s">
        <v>461</v>
      </c>
      <c r="M5270" s="162"/>
      <c r="N5270" s="162"/>
      <c r="O5270" s="162"/>
      <c r="P5270" s="178" t="s">
        <v>12367</v>
      </c>
      <c r="Q5270" s="162" t="s">
        <v>3953</v>
      </c>
      <c r="R5270" s="189" t="s">
        <v>13352</v>
      </c>
      <c r="S5270" s="366"/>
      <c r="T5270" s="178"/>
      <c r="U5270" s="178"/>
      <c r="V5270" s="178"/>
      <c r="W5270" s="316" t="s">
        <v>12366</v>
      </c>
      <c r="X5270" s="648" t="s">
        <v>12353</v>
      </c>
      <c r="Y5270" s="356"/>
      <c r="Z5270" s="272"/>
      <c r="AA5270" s="272"/>
      <c r="AB5270" s="34">
        <f t="shared" ca="1" si="129"/>
        <v>0.72445214270807134</v>
      </c>
      <c r="AC5270" s="814"/>
      <c r="AD5270" s="815" t="s">
        <v>15154</v>
      </c>
      <c r="AE5270" s="942"/>
      <c r="AF5270" s="923">
        <f>IF(X5270=X5269,AF5269,0)+IF(ISNUMBER(I5270),IF(I5270&lt;1,I5270,I5270*VLOOKUP(J5270,Summary!$H$2:$I$9,2)),VLOOKUP(J5270,Summary!$J$2:$K$9,2)*IF(ISNUMBER(H5270),H5270,1))</f>
        <v>0.25384259259259256</v>
      </c>
      <c r="AG5270" s="291">
        <v>5269</v>
      </c>
      <c r="AH5270" s="94"/>
      <c r="AI5270" s="94"/>
    </row>
    <row r="5271" spans="1:36" s="22" customFormat="1" ht="12" customHeight="1" x14ac:dyDescent="0.25">
      <c r="A5271" s="553" t="s">
        <v>10320</v>
      </c>
      <c r="B5271" s="554" t="s">
        <v>10321</v>
      </c>
      <c r="C5271" s="555">
        <v>1.3</v>
      </c>
      <c r="D5271" s="424" t="s">
        <v>10325</v>
      </c>
      <c r="E5271" s="319" t="s">
        <v>10332</v>
      </c>
      <c r="F5271" s="198">
        <v>42672</v>
      </c>
      <c r="G5271" s="199"/>
      <c r="H5271" s="199">
        <v>1</v>
      </c>
      <c r="I5271" s="791">
        <f>TIME(0,43,43)</f>
        <v>3.0358796296296297E-2</v>
      </c>
      <c r="J5271" s="904" t="s">
        <v>1588</v>
      </c>
      <c r="K5271" s="200" t="s">
        <v>9249</v>
      </c>
      <c r="L5271" s="200" t="s">
        <v>9732</v>
      </c>
      <c r="M5271" s="200"/>
      <c r="N5271" s="200" t="s">
        <v>9249</v>
      </c>
      <c r="O5271" s="200" t="s">
        <v>8002</v>
      </c>
      <c r="P5271" s="197" t="s">
        <v>461</v>
      </c>
      <c r="Q5271" s="200" t="s">
        <v>3946</v>
      </c>
      <c r="R5271" s="982" t="s">
        <v>10322</v>
      </c>
      <c r="S5271" s="390"/>
      <c r="T5271" s="197"/>
      <c r="U5271" s="197"/>
      <c r="V5271" s="197"/>
      <c r="W5271" s="319" t="s">
        <v>10332</v>
      </c>
      <c r="X5271" s="651" t="s">
        <v>12353</v>
      </c>
      <c r="Y5271" s="358"/>
      <c r="Z5271" s="360">
        <v>88</v>
      </c>
      <c r="AA5271" s="253">
        <v>7</v>
      </c>
      <c r="AB5271" s="35">
        <f t="shared" ca="1" si="129"/>
        <v>0.6535164611675337</v>
      </c>
      <c r="AC5271" s="820"/>
      <c r="AD5271" s="821" t="s">
        <v>15154</v>
      </c>
      <c r="AE5271" s="944"/>
      <c r="AF5271" s="925">
        <f>IF(X5271=X5270,AF5270,0)+IF(ISNUMBER(I5271),IF(I5271&lt;1,I5271,I5271*VLOOKUP(J5271,Summary!$H$2:$I$9,2)),VLOOKUP(J5271,Summary!$J$2:$K$9,2)*IF(ISNUMBER(H5271),H5271,1))</f>
        <v>0.28420138888888885</v>
      </c>
      <c r="AG5271" s="293">
        <v>5270</v>
      </c>
      <c r="AH5271" s="94"/>
      <c r="AI5271" s="94"/>
    </row>
    <row r="5272" spans="1:36" s="22" customFormat="1" ht="12" customHeight="1" x14ac:dyDescent="0.25">
      <c r="A5272" s="474" t="s">
        <v>10320</v>
      </c>
      <c r="B5272" s="507" t="s">
        <v>10321</v>
      </c>
      <c r="C5272" s="474">
        <v>3</v>
      </c>
      <c r="D5272" s="417" t="s">
        <v>12369</v>
      </c>
      <c r="E5272" s="316" t="s">
        <v>12371</v>
      </c>
      <c r="F5272" s="195">
        <v>42670</v>
      </c>
      <c r="G5272" s="195"/>
      <c r="H5272" s="188" t="s">
        <v>461</v>
      </c>
      <c r="I5272" s="188">
        <v>352</v>
      </c>
      <c r="J5272" s="902" t="s">
        <v>6868</v>
      </c>
      <c r="K5272" s="162" t="s">
        <v>1643</v>
      </c>
      <c r="L5272" s="162" t="s">
        <v>461</v>
      </c>
      <c r="M5272" s="162"/>
      <c r="N5272" s="162"/>
      <c r="O5272" s="162"/>
      <c r="P5272" s="178" t="s">
        <v>12374</v>
      </c>
      <c r="Q5272" s="162" t="s">
        <v>3953</v>
      </c>
      <c r="R5272" s="189" t="s">
        <v>13352</v>
      </c>
      <c r="S5272" s="366"/>
      <c r="T5272" s="178"/>
      <c r="U5272" s="178"/>
      <c r="V5272" s="178"/>
      <c r="W5272" s="316" t="s">
        <v>12371</v>
      </c>
      <c r="X5272" s="648" t="s">
        <v>12353</v>
      </c>
      <c r="Y5272" s="356"/>
      <c r="Z5272" s="272"/>
      <c r="AA5272" s="272"/>
      <c r="AB5272" s="34">
        <f t="shared" ca="1" si="129"/>
        <v>0.55716869750609466</v>
      </c>
      <c r="AC5272" s="814"/>
      <c r="AD5272" s="815" t="s">
        <v>15154</v>
      </c>
      <c r="AE5272" s="942"/>
      <c r="AF5272" s="923">
        <f>IF(X5272=X5271,AF5271,0)+IF(ISNUMBER(I5272),IF(I5272&lt;1,I5272,I5272*VLOOKUP(J5272,Summary!$H$2:$I$9,2)),VLOOKUP(J5272,Summary!$J$2:$K$9,2)*IF(ISNUMBER(H5272),H5272,1))</f>
        <v>0.52864583333333326</v>
      </c>
      <c r="AG5272" s="291">
        <v>5271</v>
      </c>
      <c r="AH5272" s="94"/>
      <c r="AI5272" s="94"/>
    </row>
    <row r="5273" spans="1:36" s="1" customFormat="1" ht="12" customHeight="1" x14ac:dyDescent="0.25">
      <c r="A5273" s="405" t="s">
        <v>10320</v>
      </c>
      <c r="B5273" s="406" t="s">
        <v>10321</v>
      </c>
      <c r="C5273" s="565">
        <v>2.0099999999999998</v>
      </c>
      <c r="D5273" s="407" t="s">
        <v>15155</v>
      </c>
      <c r="E5273" s="315" t="s">
        <v>15158</v>
      </c>
      <c r="F5273" s="196">
        <v>43333</v>
      </c>
      <c r="G5273" s="170"/>
      <c r="H5273" s="170">
        <v>1</v>
      </c>
      <c r="I5273" s="747">
        <f>TIME(0,60,0)</f>
        <v>4.1666666666666664E-2</v>
      </c>
      <c r="J5273" s="899" t="s">
        <v>4706</v>
      </c>
      <c r="K5273" s="167" t="s">
        <v>12857</v>
      </c>
      <c r="L5273" s="167" t="s">
        <v>179</v>
      </c>
      <c r="M5273" s="167"/>
      <c r="N5273" s="167" t="s">
        <v>179</v>
      </c>
      <c r="O5273" s="167" t="s">
        <v>179</v>
      </c>
      <c r="P5273" s="168" t="s">
        <v>15161</v>
      </c>
      <c r="Q5273" s="167" t="s">
        <v>3947</v>
      </c>
      <c r="R5273" s="172" t="s">
        <v>15148</v>
      </c>
      <c r="S5273" s="388"/>
      <c r="T5273" s="168"/>
      <c r="U5273" s="168"/>
      <c r="V5273" s="168"/>
      <c r="W5273" s="315" t="s">
        <v>15158</v>
      </c>
      <c r="X5273" s="647" t="s">
        <v>12353</v>
      </c>
      <c r="Y5273" s="352"/>
      <c r="Z5273" s="353"/>
      <c r="AA5273" s="353"/>
      <c r="AB5273" s="31">
        <f t="shared" ca="1" si="129"/>
        <v>0.41560370158059534</v>
      </c>
      <c r="AC5273" s="810"/>
      <c r="AD5273" s="825" t="s">
        <v>15154</v>
      </c>
      <c r="AE5273" s="940"/>
      <c r="AF5273" s="920">
        <f>IF(X5273=X5272,AF5272,0)+IF(ISNUMBER(I5273),IF(I5273&lt;1,I5273,I5273*VLOOKUP(J5273,Summary!$H$2:$I$9,2)),VLOOKUP(J5273,Summary!$J$2:$K$9,2)*IF(ISNUMBER(H5273),H5273,1))</f>
        <v>0.57031249999999989</v>
      </c>
      <c r="AG5273" s="287">
        <v>5272</v>
      </c>
      <c r="AH5273" s="94"/>
      <c r="AI5273" s="94"/>
    </row>
    <row r="5274" spans="1:36" s="57" customFormat="1" ht="12" customHeight="1" x14ac:dyDescent="0.25">
      <c r="A5274" s="474" t="s">
        <v>10320</v>
      </c>
      <c r="B5274" s="507" t="s">
        <v>10321</v>
      </c>
      <c r="C5274" s="474">
        <v>2</v>
      </c>
      <c r="D5274" s="417" t="s">
        <v>12368</v>
      </c>
      <c r="E5274" s="316" t="s">
        <v>12370</v>
      </c>
      <c r="F5274" s="195">
        <v>42670</v>
      </c>
      <c r="G5274" s="195"/>
      <c r="H5274" s="188" t="s">
        <v>461</v>
      </c>
      <c r="I5274" s="188">
        <v>304</v>
      </c>
      <c r="J5274" s="902" t="s">
        <v>6868</v>
      </c>
      <c r="K5274" s="162" t="s">
        <v>12372</v>
      </c>
      <c r="L5274" s="162" t="s">
        <v>461</v>
      </c>
      <c r="M5274" s="162"/>
      <c r="N5274" s="162"/>
      <c r="O5274" s="162"/>
      <c r="P5274" s="178" t="s">
        <v>12373</v>
      </c>
      <c r="Q5274" s="162" t="s">
        <v>3953</v>
      </c>
      <c r="R5274" s="189" t="s">
        <v>13352</v>
      </c>
      <c r="S5274" s="366"/>
      <c r="T5274" s="178"/>
      <c r="U5274" s="178"/>
      <c r="V5274" s="178"/>
      <c r="W5274" s="316" t="s">
        <v>12370</v>
      </c>
      <c r="X5274" s="648" t="s">
        <v>12353</v>
      </c>
      <c r="Y5274" s="356"/>
      <c r="Z5274" s="272"/>
      <c r="AA5274" s="272"/>
      <c r="AB5274" s="34">
        <f t="shared" ca="1" si="129"/>
        <v>0.49062927484417829</v>
      </c>
      <c r="AC5274" s="814"/>
      <c r="AD5274" s="815" t="s">
        <v>15154</v>
      </c>
      <c r="AE5274" s="942"/>
      <c r="AF5274" s="923">
        <f>IF(X5274=X5273,AF5273,0)+IF(ISNUMBER(I5274),IF(I5274&lt;1,I5274,I5274*VLOOKUP(J5274,Summary!$H$2:$I$9,2)),VLOOKUP(J5274,Summary!$J$2:$K$9,2)*IF(ISNUMBER(H5274),H5274,1))</f>
        <v>0.78142361111111103</v>
      </c>
      <c r="AG5274" s="291">
        <v>5273</v>
      </c>
      <c r="AH5274" s="94"/>
      <c r="AI5274" s="94"/>
    </row>
    <row r="5275" spans="1:36" s="57" customFormat="1" ht="12" customHeight="1" x14ac:dyDescent="0.25">
      <c r="A5275" s="553" t="s">
        <v>10320</v>
      </c>
      <c r="B5275" s="554" t="s">
        <v>10321</v>
      </c>
      <c r="C5275" s="555">
        <v>1.4</v>
      </c>
      <c r="D5275" s="424" t="s">
        <v>10326</v>
      </c>
      <c r="E5275" s="319" t="s">
        <v>10333</v>
      </c>
      <c r="F5275" s="198">
        <v>42679</v>
      </c>
      <c r="G5275" s="198">
        <v>42686</v>
      </c>
      <c r="H5275" s="199">
        <v>2</v>
      </c>
      <c r="I5275" s="791">
        <f>TIME(0,43,10)+TIME(0,45,12)</f>
        <v>6.1365740740740742E-2</v>
      </c>
      <c r="J5275" s="904" t="s">
        <v>1588</v>
      </c>
      <c r="K5275" s="200" t="s">
        <v>9249</v>
      </c>
      <c r="L5275" s="200" t="s">
        <v>10336</v>
      </c>
      <c r="M5275" s="200"/>
      <c r="N5275" s="200" t="s">
        <v>9249</v>
      </c>
      <c r="O5275" s="200" t="s">
        <v>8002</v>
      </c>
      <c r="P5275" s="197" t="s">
        <v>461</v>
      </c>
      <c r="Q5275" s="200" t="s">
        <v>3946</v>
      </c>
      <c r="R5275" s="201" t="s">
        <v>10322</v>
      </c>
      <c r="S5275" s="390"/>
      <c r="T5275" s="197"/>
      <c r="U5275" s="197"/>
      <c r="V5275" s="197"/>
      <c r="W5275" s="319" t="s">
        <v>10339</v>
      </c>
      <c r="X5275" s="651" t="s">
        <v>12353</v>
      </c>
      <c r="Y5275" s="358"/>
      <c r="Z5275" s="253">
        <v>298</v>
      </c>
      <c r="AA5275" s="253">
        <v>1.5</v>
      </c>
      <c r="AB5275" s="35">
        <f t="shared" ca="1" si="129"/>
        <v>0.66129522590649248</v>
      </c>
      <c r="AC5275" s="820"/>
      <c r="AD5275" s="821" t="s">
        <v>15154</v>
      </c>
      <c r="AE5275" s="944"/>
      <c r="AF5275" s="925">
        <f>IF(X5275=X5274,AF5274,0)+IF(ISNUMBER(I5275),IF(I5275&lt;1,I5275,I5275*VLOOKUP(J5275,Summary!$H$2:$I$9,2)),VLOOKUP(J5275,Summary!$J$2:$K$9,2)*IF(ISNUMBER(H5275),H5275,1))</f>
        <v>0.84278935185185178</v>
      </c>
      <c r="AG5275" s="293">
        <v>5274</v>
      </c>
      <c r="AH5275" s="94"/>
      <c r="AI5275" s="94"/>
    </row>
    <row r="5276" spans="1:36" s="1" customFormat="1" ht="12" customHeight="1" x14ac:dyDescent="0.25">
      <c r="A5276" s="405" t="s">
        <v>10320</v>
      </c>
      <c r="B5276" s="406" t="s">
        <v>10321</v>
      </c>
      <c r="C5276" s="565">
        <v>1.01</v>
      </c>
      <c r="D5276" s="407" t="s">
        <v>15147</v>
      </c>
      <c r="E5276" s="315" t="s">
        <v>15146</v>
      </c>
      <c r="F5276" s="196">
        <v>43333</v>
      </c>
      <c r="G5276" s="170"/>
      <c r="H5276" s="170">
        <v>1</v>
      </c>
      <c r="I5276" s="747">
        <f>TIME(0,60,0)</f>
        <v>4.1666666666666664E-2</v>
      </c>
      <c r="J5276" s="899" t="s">
        <v>4706</v>
      </c>
      <c r="K5276" s="167" t="s">
        <v>12205</v>
      </c>
      <c r="L5276" s="167" t="s">
        <v>179</v>
      </c>
      <c r="M5276" s="167"/>
      <c r="N5276" s="167" t="s">
        <v>15149</v>
      </c>
      <c r="O5276" s="167" t="s">
        <v>179</v>
      </c>
      <c r="P5276" s="168" t="s">
        <v>15150</v>
      </c>
      <c r="Q5276" s="167" t="s">
        <v>3947</v>
      </c>
      <c r="R5276" s="172" t="s">
        <v>15148</v>
      </c>
      <c r="S5276" s="388"/>
      <c r="T5276" s="168"/>
      <c r="U5276" s="168"/>
      <c r="V5276" s="168"/>
      <c r="W5276" s="315" t="s">
        <v>15146</v>
      </c>
      <c r="X5276" s="647" t="s">
        <v>12353</v>
      </c>
      <c r="Y5276" s="352"/>
      <c r="Z5276" s="353"/>
      <c r="AA5276" s="353"/>
      <c r="AB5276" s="31">
        <f t="shared" ca="1" si="129"/>
        <v>0.16803673926315021</v>
      </c>
      <c r="AC5276" s="810"/>
      <c r="AD5276" s="825" t="s">
        <v>15154</v>
      </c>
      <c r="AE5276" s="940"/>
      <c r="AF5276" s="920">
        <f>IF(X5276=X5275,AF5275,0)+IF(ISNUMBER(I5276),IF(I5276&lt;1,I5276,I5276*VLOOKUP(J5276,Summary!$H$2:$I$9,2)),VLOOKUP(J5276,Summary!$J$2:$K$9,2)*IF(ISNUMBER(H5276),H5276,1))</f>
        <v>0.88445601851851841</v>
      </c>
      <c r="AG5276" s="287">
        <v>5275</v>
      </c>
      <c r="AH5276" s="94"/>
      <c r="AI5276" s="94"/>
    </row>
    <row r="5277" spans="1:36" s="57" customFormat="1" ht="12" customHeight="1" x14ac:dyDescent="0.25">
      <c r="A5277" s="405" t="s">
        <v>10320</v>
      </c>
      <c r="B5277" s="406" t="s">
        <v>10321</v>
      </c>
      <c r="C5277" s="565">
        <v>1.02</v>
      </c>
      <c r="D5277" s="407" t="s">
        <v>15151</v>
      </c>
      <c r="E5277" s="315" t="s">
        <v>15153</v>
      </c>
      <c r="F5277" s="196">
        <v>43333</v>
      </c>
      <c r="G5277" s="170"/>
      <c r="H5277" s="170">
        <v>1</v>
      </c>
      <c r="I5277" s="747">
        <f>TIME(0,60,0)</f>
        <v>4.1666666666666664E-2</v>
      </c>
      <c r="J5277" s="899" t="s">
        <v>4706</v>
      </c>
      <c r="K5277" s="167" t="s">
        <v>10100</v>
      </c>
      <c r="L5277" s="167" t="s">
        <v>179</v>
      </c>
      <c r="M5277" s="167"/>
      <c r="N5277" s="167" t="s">
        <v>15149</v>
      </c>
      <c r="O5277" s="167" t="s">
        <v>179</v>
      </c>
      <c r="P5277" s="168" t="s">
        <v>15150</v>
      </c>
      <c r="Q5277" s="167" t="s">
        <v>3947</v>
      </c>
      <c r="R5277" s="172" t="s">
        <v>15148</v>
      </c>
      <c r="S5277" s="388"/>
      <c r="T5277" s="168"/>
      <c r="U5277" s="168"/>
      <c r="V5277" s="168"/>
      <c r="W5277" s="315" t="s">
        <v>15153</v>
      </c>
      <c r="X5277" s="647" t="s">
        <v>12353</v>
      </c>
      <c r="Y5277" s="352"/>
      <c r="Z5277" s="353"/>
      <c r="AA5277" s="353"/>
      <c r="AB5277" s="31">
        <f t="shared" ca="1" si="129"/>
        <v>0.39269212001914688</v>
      </c>
      <c r="AC5277" s="810"/>
      <c r="AD5277" s="825" t="s">
        <v>15154</v>
      </c>
      <c r="AE5277" s="940"/>
      <c r="AF5277" s="920">
        <f>IF(X5277=X5276,AF5276,0)+IF(ISNUMBER(I5277),IF(I5277&lt;1,I5277,I5277*VLOOKUP(J5277,Summary!$H$2:$I$9,2)),VLOOKUP(J5277,Summary!$J$2:$K$9,2)*IF(ISNUMBER(H5277),H5277,1))</f>
        <v>0.92612268518518504</v>
      </c>
      <c r="AG5277" s="287">
        <v>5276</v>
      </c>
      <c r="AH5277" s="94"/>
      <c r="AI5277" s="94"/>
    </row>
    <row r="5278" spans="1:36" s="58" customFormat="1" ht="12" customHeight="1" x14ac:dyDescent="0.2">
      <c r="A5278" s="405" t="s">
        <v>10320</v>
      </c>
      <c r="B5278" s="406" t="s">
        <v>10321</v>
      </c>
      <c r="C5278" s="565">
        <v>1.03</v>
      </c>
      <c r="D5278" s="407" t="s">
        <v>15152</v>
      </c>
      <c r="E5278" s="315" t="s">
        <v>3327</v>
      </c>
      <c r="F5278" s="196">
        <v>43333</v>
      </c>
      <c r="G5278" s="170"/>
      <c r="H5278" s="170">
        <v>1</v>
      </c>
      <c r="I5278" s="747">
        <f>TIME(0,60,0)</f>
        <v>4.1666666666666664E-2</v>
      </c>
      <c r="J5278" s="899" t="s">
        <v>4706</v>
      </c>
      <c r="K5278" s="167" t="s">
        <v>179</v>
      </c>
      <c r="L5278" s="876" t="s">
        <v>179</v>
      </c>
      <c r="M5278" s="167"/>
      <c r="N5278" s="167" t="s">
        <v>15149</v>
      </c>
      <c r="O5278" s="167" t="s">
        <v>179</v>
      </c>
      <c r="P5278" s="168" t="s">
        <v>15150</v>
      </c>
      <c r="Q5278" s="167" t="s">
        <v>3947</v>
      </c>
      <c r="R5278" s="172" t="s">
        <v>15148</v>
      </c>
      <c r="S5278" s="388"/>
      <c r="T5278" s="168"/>
      <c r="U5278" s="168"/>
      <c r="V5278" s="168"/>
      <c r="W5278" s="315" t="s">
        <v>3327</v>
      </c>
      <c r="X5278" s="647" t="s">
        <v>12353</v>
      </c>
      <c r="Y5278" s="352"/>
      <c r="Z5278" s="353"/>
      <c r="AA5278" s="353"/>
      <c r="AB5278" s="31">
        <f t="shared" ca="1" si="129"/>
        <v>0.66085012604195192</v>
      </c>
      <c r="AC5278" s="810"/>
      <c r="AD5278" s="825" t="s">
        <v>15154</v>
      </c>
      <c r="AE5278" s="940"/>
      <c r="AF5278" s="920">
        <f>IF(X5278=X5277,AF5277,0)+IF(ISNUMBER(I5278),IF(I5278&lt;1,I5278,I5278*VLOOKUP(J5278,Summary!$H$2:$I$9,2)),VLOOKUP(J5278,Summary!$J$2:$K$9,2)*IF(ISNUMBER(H5278),H5278,1))</f>
        <v>0.96778935185185166</v>
      </c>
      <c r="AG5278" s="287">
        <v>5277</v>
      </c>
      <c r="AH5278" s="94"/>
      <c r="AI5278" s="94"/>
    </row>
    <row r="5279" spans="1:36" s="22" customFormat="1" ht="12" customHeight="1" x14ac:dyDescent="0.2">
      <c r="A5279" s="405" t="s">
        <v>10320</v>
      </c>
      <c r="B5279" s="406" t="s">
        <v>10321</v>
      </c>
      <c r="C5279" s="565">
        <v>2.02</v>
      </c>
      <c r="D5279" s="407" t="s">
        <v>15156</v>
      </c>
      <c r="E5279" s="315" t="s">
        <v>15159</v>
      </c>
      <c r="F5279" s="196">
        <v>43333</v>
      </c>
      <c r="G5279" s="170"/>
      <c r="H5279" s="170">
        <v>1</v>
      </c>
      <c r="I5279" s="747">
        <f>TIME(0,60,0)</f>
        <v>4.1666666666666664E-2</v>
      </c>
      <c r="J5279" s="899" t="s">
        <v>4706</v>
      </c>
      <c r="K5279" s="167" t="s">
        <v>12271</v>
      </c>
      <c r="L5279" s="167" t="s">
        <v>179</v>
      </c>
      <c r="M5279" s="167"/>
      <c r="N5279" s="167" t="s">
        <v>179</v>
      </c>
      <c r="O5279" s="167" t="s">
        <v>179</v>
      </c>
      <c r="P5279" s="168" t="s">
        <v>15161</v>
      </c>
      <c r="Q5279" s="167" t="s">
        <v>3947</v>
      </c>
      <c r="R5279" s="172" t="s">
        <v>15148</v>
      </c>
      <c r="S5279" s="388"/>
      <c r="T5279" s="168"/>
      <c r="U5279" s="168"/>
      <c r="V5279" s="168"/>
      <c r="W5279" s="315" t="s">
        <v>15159</v>
      </c>
      <c r="X5279" s="647" t="s">
        <v>12353</v>
      </c>
      <c r="Y5279" s="352"/>
      <c r="Z5279" s="353"/>
      <c r="AA5279" s="353"/>
      <c r="AB5279" s="31">
        <f t="shared" ca="1" si="129"/>
        <v>0.58003796954731401</v>
      </c>
      <c r="AC5279" s="810"/>
      <c r="AD5279" s="825" t="s">
        <v>15154</v>
      </c>
      <c r="AE5279" s="940"/>
      <c r="AF5279" s="920">
        <f>IF(X5279=X5278,AF5278,0)+IF(ISNUMBER(I5279),IF(I5279&lt;1,I5279,I5279*VLOOKUP(J5279,Summary!$H$2:$I$9,2)),VLOOKUP(J5279,Summary!$J$2:$K$9,2)*IF(ISNUMBER(H5279),H5279,1))</f>
        <v>1.0094560185185184</v>
      </c>
      <c r="AG5279" s="287">
        <v>5278</v>
      </c>
      <c r="AH5279" s="94"/>
      <c r="AI5279" s="94"/>
    </row>
    <row r="5280" spans="1:36" s="57" customFormat="1" ht="12" customHeight="1" x14ac:dyDescent="0.25">
      <c r="A5280" s="405" t="s">
        <v>10320</v>
      </c>
      <c r="B5280" s="406" t="s">
        <v>10321</v>
      </c>
      <c r="C5280" s="565">
        <v>2.0299999999999998</v>
      </c>
      <c r="D5280" s="407" t="s">
        <v>15157</v>
      </c>
      <c r="E5280" s="315" t="s">
        <v>15160</v>
      </c>
      <c r="F5280" s="196">
        <v>43333</v>
      </c>
      <c r="G5280" s="170"/>
      <c r="H5280" s="170">
        <v>1</v>
      </c>
      <c r="I5280" s="747">
        <f>TIME(0,60,0)</f>
        <v>4.1666666666666664E-2</v>
      </c>
      <c r="J5280" s="899" t="s">
        <v>4706</v>
      </c>
      <c r="K5280" s="167" t="s">
        <v>1826</v>
      </c>
      <c r="L5280" s="167" t="s">
        <v>179</v>
      </c>
      <c r="M5280" s="167"/>
      <c r="N5280" s="167" t="s">
        <v>179</v>
      </c>
      <c r="O5280" s="167" t="s">
        <v>179</v>
      </c>
      <c r="P5280" s="168" t="s">
        <v>15161</v>
      </c>
      <c r="Q5280" s="167" t="s">
        <v>3947</v>
      </c>
      <c r="R5280" s="172" t="s">
        <v>15148</v>
      </c>
      <c r="S5280" s="388" t="s">
        <v>2542</v>
      </c>
      <c r="T5280" s="168"/>
      <c r="U5280" s="168"/>
      <c r="V5280" s="168"/>
      <c r="W5280" s="315" t="s">
        <v>15160</v>
      </c>
      <c r="X5280" s="647" t="s">
        <v>12353</v>
      </c>
      <c r="Y5280" s="352"/>
      <c r="Z5280" s="353"/>
      <c r="AA5280" s="353"/>
      <c r="AB5280" s="31">
        <f t="shared" ca="1" si="129"/>
        <v>0.70216815737699667</v>
      </c>
      <c r="AC5280" s="810"/>
      <c r="AD5280" s="825" t="s">
        <v>15154</v>
      </c>
      <c r="AE5280" s="940"/>
      <c r="AF5280" s="920">
        <f>IF(X5280=X5279,AF5279,0)+IF(ISNUMBER(I5280),IF(I5280&lt;1,I5280,I5280*VLOOKUP(J5280,Summary!$H$2:$I$9,2)),VLOOKUP(J5280,Summary!$J$2:$K$9,2)*IF(ISNUMBER(H5280),H5280,1))</f>
        <v>1.0511226851851851</v>
      </c>
      <c r="AG5280" s="287">
        <v>5279</v>
      </c>
      <c r="AH5280" s="94"/>
      <c r="AI5280" s="94"/>
    </row>
    <row r="5281" spans="1:35" s="22" customFormat="1" ht="12" customHeight="1" x14ac:dyDescent="0.25">
      <c r="A5281" s="553" t="s">
        <v>10320</v>
      </c>
      <c r="B5281" s="554" t="s">
        <v>10321</v>
      </c>
      <c r="C5281" s="555">
        <v>1.6</v>
      </c>
      <c r="D5281" s="424" t="s">
        <v>10327</v>
      </c>
      <c r="E5281" s="319" t="s">
        <v>10334</v>
      </c>
      <c r="F5281" s="198">
        <v>42693</v>
      </c>
      <c r="G5281" s="199"/>
      <c r="H5281" s="199">
        <v>1</v>
      </c>
      <c r="I5281" s="791">
        <f>TIME(0,42,14)</f>
        <v>2.9328703703703704E-2</v>
      </c>
      <c r="J5281" s="904" t="s">
        <v>1588</v>
      </c>
      <c r="K5281" s="200" t="s">
        <v>9249</v>
      </c>
      <c r="L5281" s="200" t="s">
        <v>10337</v>
      </c>
      <c r="M5281" s="200"/>
      <c r="N5281" s="200" t="s">
        <v>9249</v>
      </c>
      <c r="O5281" s="200" t="s">
        <v>8002</v>
      </c>
      <c r="P5281" s="197" t="s">
        <v>461</v>
      </c>
      <c r="Q5281" s="200" t="s">
        <v>3946</v>
      </c>
      <c r="R5281" s="201" t="s">
        <v>10322</v>
      </c>
      <c r="S5281" s="390"/>
      <c r="T5281" s="197"/>
      <c r="U5281" s="197"/>
      <c r="V5281" s="197"/>
      <c r="W5281" s="319" t="s">
        <v>10334</v>
      </c>
      <c r="X5281" s="651" t="s">
        <v>12353</v>
      </c>
      <c r="Y5281" s="358"/>
      <c r="Z5281" s="253">
        <v>35</v>
      </c>
      <c r="AA5281" s="360">
        <v>8.5</v>
      </c>
      <c r="AB5281" s="35">
        <f t="shared" ca="1" si="129"/>
        <v>0.64891791787870157</v>
      </c>
      <c r="AC5281" s="820"/>
      <c r="AD5281" s="845" t="s">
        <v>15154</v>
      </c>
      <c r="AE5281" s="944"/>
      <c r="AF5281" s="925">
        <f>IF(X5281=X5280,AF5280,0)+IF(ISNUMBER(I5281),IF(I5281&lt;1,I5281,I5281*VLOOKUP(J5281,Summary!$H$2:$I$9,2)),VLOOKUP(J5281,Summary!$J$2:$K$9,2)*IF(ISNUMBER(H5281),H5281,1))</f>
        <v>1.0804513888888889</v>
      </c>
      <c r="AG5281" s="293">
        <v>5280</v>
      </c>
      <c r="AH5281" s="94"/>
      <c r="AI5281" s="94"/>
    </row>
    <row r="5282" spans="1:35" s="1" customFormat="1" ht="12" customHeight="1" x14ac:dyDescent="0.25">
      <c r="A5282" s="553" t="s">
        <v>10320</v>
      </c>
      <c r="B5282" s="554" t="s">
        <v>10321</v>
      </c>
      <c r="C5282" s="555">
        <v>1.7</v>
      </c>
      <c r="D5282" s="424" t="s">
        <v>10328</v>
      </c>
      <c r="E5282" s="319" t="s">
        <v>10335</v>
      </c>
      <c r="F5282" s="198">
        <v>42700</v>
      </c>
      <c r="G5282" s="199"/>
      <c r="H5282" s="199">
        <v>1</v>
      </c>
      <c r="I5282" s="791">
        <f>TIME(0,44,34)</f>
        <v>3.0949074074074077E-2</v>
      </c>
      <c r="J5282" s="904" t="s">
        <v>1588</v>
      </c>
      <c r="K5282" s="200" t="s">
        <v>9249</v>
      </c>
      <c r="L5282" s="200" t="s">
        <v>10337</v>
      </c>
      <c r="M5282" s="200"/>
      <c r="N5282" s="200" t="s">
        <v>9249</v>
      </c>
      <c r="O5282" s="200" t="s">
        <v>8002</v>
      </c>
      <c r="P5282" s="197" t="s">
        <v>461</v>
      </c>
      <c r="Q5282" s="200" t="s">
        <v>3946</v>
      </c>
      <c r="R5282" s="201" t="s">
        <v>10322</v>
      </c>
      <c r="S5282" s="390"/>
      <c r="T5282" s="197"/>
      <c r="U5282" s="197"/>
      <c r="V5282" s="197"/>
      <c r="W5282" s="319" t="s">
        <v>10335</v>
      </c>
      <c r="X5282" s="651" t="s">
        <v>12353</v>
      </c>
      <c r="Y5282" s="358"/>
      <c r="Z5282" s="253">
        <v>122</v>
      </c>
      <c r="AA5282" s="253">
        <v>6.5</v>
      </c>
      <c r="AB5282" s="35">
        <f t="shared" ca="1" si="129"/>
        <v>0.21025376866659573</v>
      </c>
      <c r="AC5282" s="820"/>
      <c r="AD5282" s="821" t="s">
        <v>15154</v>
      </c>
      <c r="AE5282" s="944"/>
      <c r="AF5282" s="925">
        <f>IF(X5282=X5281,AF5281,0)+IF(ISNUMBER(I5282),IF(I5282&lt;1,I5282,I5282*VLOOKUP(J5282,Summary!$H$2:$I$9,2)),VLOOKUP(J5282,Summary!$J$2:$K$9,2)*IF(ISNUMBER(H5282),H5282,1))</f>
        <v>1.111400462962963</v>
      </c>
      <c r="AG5282" s="293">
        <v>5281</v>
      </c>
      <c r="AH5282" s="94"/>
      <c r="AI5282" s="94"/>
    </row>
    <row r="5283" spans="1:35" s="57" customFormat="1" ht="12" customHeight="1" x14ac:dyDescent="0.25">
      <c r="A5283" s="553" t="s">
        <v>10320</v>
      </c>
      <c r="B5283" s="554" t="s">
        <v>10321</v>
      </c>
      <c r="C5283" s="555">
        <v>1.8</v>
      </c>
      <c r="D5283" s="424" t="s">
        <v>10329</v>
      </c>
      <c r="E5283" s="319" t="s">
        <v>1947</v>
      </c>
      <c r="F5283" s="198">
        <v>42707</v>
      </c>
      <c r="G5283" s="199"/>
      <c r="H5283" s="199">
        <v>1</v>
      </c>
      <c r="I5283" s="791">
        <f>TIME(0,45,40)</f>
        <v>3.1712962962962964E-2</v>
      </c>
      <c r="J5283" s="904" t="s">
        <v>1588</v>
      </c>
      <c r="K5283" s="200" t="s">
        <v>9249</v>
      </c>
      <c r="L5283" s="200" t="s">
        <v>10338</v>
      </c>
      <c r="M5283" s="200"/>
      <c r="N5283" s="200" t="s">
        <v>9249</v>
      </c>
      <c r="O5283" s="200" t="s">
        <v>8002</v>
      </c>
      <c r="P5283" s="197" t="s">
        <v>461</v>
      </c>
      <c r="Q5283" s="200" t="s">
        <v>3946</v>
      </c>
      <c r="R5283" s="201" t="s">
        <v>10322</v>
      </c>
      <c r="S5283" s="390"/>
      <c r="T5283" s="197"/>
      <c r="U5283" s="197"/>
      <c r="V5283" s="197"/>
      <c r="W5283" s="319" t="s">
        <v>1947</v>
      </c>
      <c r="X5283" s="651" t="s">
        <v>12353</v>
      </c>
      <c r="Y5283" s="358"/>
      <c r="Z5283" s="253">
        <v>200</v>
      </c>
      <c r="AA5283" s="253">
        <v>4.5</v>
      </c>
      <c r="AB5283" s="35">
        <f t="shared" ca="1" si="129"/>
        <v>0.74148908825267001</v>
      </c>
      <c r="AC5283" s="820"/>
      <c r="AD5283" s="821" t="s">
        <v>15154</v>
      </c>
      <c r="AE5283" s="944"/>
      <c r="AF5283" s="925">
        <f>IF(X5283=X5282,AF5282,0)+IF(ISNUMBER(I5283),IF(I5283&lt;1,I5283,I5283*VLOOKUP(J5283,Summary!$H$2:$I$9,2)),VLOOKUP(J5283,Summary!$J$2:$K$9,2)*IF(ISNUMBER(H5283),H5283,1))</f>
        <v>1.1431134259259259</v>
      </c>
      <c r="AG5283" s="293">
        <v>5282</v>
      </c>
      <c r="AH5283" s="94"/>
      <c r="AI5283" s="94"/>
    </row>
    <row r="5284" spans="1:35" s="57" customFormat="1" ht="12" customHeight="1" x14ac:dyDescent="0.25">
      <c r="A5284" s="769" t="s">
        <v>15675</v>
      </c>
      <c r="B5284" s="769">
        <v>12</v>
      </c>
      <c r="C5284" s="769">
        <v>2.5</v>
      </c>
      <c r="D5284" s="226" t="s">
        <v>10947</v>
      </c>
      <c r="E5284" s="331" t="s">
        <v>10948</v>
      </c>
      <c r="F5284" s="233">
        <v>42690</v>
      </c>
      <c r="G5284" s="233">
        <v>42746</v>
      </c>
      <c r="H5284" s="226">
        <v>2</v>
      </c>
      <c r="I5284" s="226">
        <v>66</v>
      </c>
      <c r="J5284" s="907" t="s">
        <v>1796</v>
      </c>
      <c r="K5284" s="228" t="s">
        <v>10900</v>
      </c>
      <c r="L5284" s="228" t="s">
        <v>10915</v>
      </c>
      <c r="M5284" s="228" t="s">
        <v>10936</v>
      </c>
      <c r="N5284" s="228" t="s">
        <v>10882</v>
      </c>
      <c r="O5284" s="228"/>
      <c r="P5284" s="225" t="s">
        <v>461</v>
      </c>
      <c r="Q5284" s="228" t="s">
        <v>7076</v>
      </c>
      <c r="R5284" s="227" t="s">
        <v>10879</v>
      </c>
      <c r="S5284" s="369" t="s">
        <v>10950</v>
      </c>
      <c r="T5284" s="225"/>
      <c r="U5284" s="225"/>
      <c r="V5284" s="225"/>
      <c r="W5284" s="331"/>
      <c r="X5284" s="663" t="s">
        <v>12351</v>
      </c>
      <c r="Y5284" s="369"/>
      <c r="Z5284" s="226"/>
      <c r="AA5284" s="226"/>
      <c r="AB5284" s="38">
        <f t="shared" ca="1" si="129"/>
        <v>0.39439328856036404</v>
      </c>
      <c r="AC5284" s="830"/>
      <c r="AD5284" s="831"/>
      <c r="AE5284" s="963"/>
      <c r="AF5284" s="928">
        <f>IF(X5284=X5283,AF5283,0)+IF(ISNUMBER(I5284),IF(I5284&lt;1,I5284,I5284*VLOOKUP(J5284,Summary!$H$2:$I$9,2)),VLOOKUP(J5284,Summary!$J$2:$K$9,2)*IF(ISNUMBER(H5284),H5284,1))</f>
        <v>2.2916666666666669E-2</v>
      </c>
      <c r="AG5284" s="304">
        <v>5283</v>
      </c>
      <c r="AH5284" s="94"/>
      <c r="AI5284" s="94"/>
    </row>
    <row r="5285" spans="1:35" s="58" customFormat="1" ht="12" customHeight="1" x14ac:dyDescent="0.2">
      <c r="A5285" s="629" t="s">
        <v>15675</v>
      </c>
      <c r="B5285" s="629">
        <v>12</v>
      </c>
      <c r="C5285" s="629">
        <v>2.6</v>
      </c>
      <c r="D5285" s="185" t="s">
        <v>11370</v>
      </c>
      <c r="E5285" s="314" t="s">
        <v>10949</v>
      </c>
      <c r="F5285" s="184">
        <v>42767</v>
      </c>
      <c r="G5285" s="184">
        <v>42816</v>
      </c>
      <c r="H5285" s="185">
        <v>2</v>
      </c>
      <c r="I5285" s="185">
        <v>44</v>
      </c>
      <c r="J5285" s="901" t="s">
        <v>1796</v>
      </c>
      <c r="K5285" s="163" t="s">
        <v>10900</v>
      </c>
      <c r="L5285" s="875" t="s">
        <v>10912</v>
      </c>
      <c r="M5285" s="163" t="s">
        <v>10951</v>
      </c>
      <c r="N5285" s="163" t="s">
        <v>10882</v>
      </c>
      <c r="O5285" s="163"/>
      <c r="P5285" s="182" t="s">
        <v>461</v>
      </c>
      <c r="Q5285" s="163" t="s">
        <v>7076</v>
      </c>
      <c r="R5285" s="186" t="s">
        <v>10879</v>
      </c>
      <c r="S5285" s="355"/>
      <c r="T5285" s="182"/>
      <c r="U5285" s="182"/>
      <c r="V5285" s="182"/>
      <c r="W5285" s="314"/>
      <c r="X5285" s="646" t="s">
        <v>12351</v>
      </c>
      <c r="Y5285" s="355"/>
      <c r="Z5285" s="185"/>
      <c r="AA5285" s="185"/>
      <c r="AB5285" s="33">
        <f t="shared" ca="1" si="129"/>
        <v>0.83903087312385938</v>
      </c>
      <c r="AC5285" s="813"/>
      <c r="AD5285" s="211"/>
      <c r="AE5285" s="941"/>
      <c r="AF5285" s="922">
        <f>IF(X5285=X5284,AF5284,0)+IF(ISNUMBER(I5285),IF(I5285&lt;1,I5285,I5285*VLOOKUP(J5285,Summary!$H$2:$I$9,2)),VLOOKUP(J5285,Summary!$J$2:$K$9,2)*IF(ISNUMBER(H5285),H5285,1))</f>
        <v>3.8194444444444448E-2</v>
      </c>
      <c r="AG5285" s="290">
        <v>5284</v>
      </c>
      <c r="AH5285" s="94"/>
      <c r="AI5285" s="94"/>
    </row>
    <row r="5286" spans="1:35" s="22" customFormat="1" ht="12" customHeight="1" x14ac:dyDescent="0.25">
      <c r="A5286" s="627" t="s">
        <v>15675</v>
      </c>
      <c r="B5286" s="627">
        <v>12</v>
      </c>
      <c r="C5286" s="627">
        <v>6</v>
      </c>
      <c r="D5286" s="176" t="s">
        <v>13304</v>
      </c>
      <c r="E5286" s="313" t="s">
        <v>13305</v>
      </c>
      <c r="F5286" s="175">
        <v>42649</v>
      </c>
      <c r="G5286" s="175"/>
      <c r="H5286" s="176" t="s">
        <v>461</v>
      </c>
      <c r="I5286" s="176"/>
      <c r="J5286" s="900" t="s">
        <v>2755</v>
      </c>
      <c r="K5286" s="164" t="s">
        <v>543</v>
      </c>
      <c r="L5286" s="164"/>
      <c r="M5286" s="164"/>
      <c r="N5286" s="164"/>
      <c r="O5286" s="164"/>
      <c r="P5286" s="173" t="s">
        <v>13295</v>
      </c>
      <c r="Q5286" s="164" t="s">
        <v>13296</v>
      </c>
      <c r="R5286" s="177" t="s">
        <v>11448</v>
      </c>
      <c r="S5286" s="354"/>
      <c r="T5286" s="173"/>
      <c r="U5286" s="173"/>
      <c r="V5286" s="173"/>
      <c r="W5286" s="313" t="s">
        <v>13305</v>
      </c>
      <c r="X5286" s="645" t="s">
        <v>12351</v>
      </c>
      <c r="Y5286" s="354"/>
      <c r="Z5286" s="176"/>
      <c r="AA5286" s="176"/>
      <c r="AB5286" s="32">
        <f t="shared" ca="1" si="129"/>
        <v>0.19179050108832496</v>
      </c>
      <c r="AC5286" s="812"/>
      <c r="AD5286" s="837"/>
      <c r="AE5286" s="807"/>
      <c r="AF5286" s="921">
        <f>IF(X5286=X5285,AF5285,0)+IF(ISNUMBER(I5286),IF(I5286&lt;1,I5286,I5286*VLOOKUP(J5286,Summary!$H$2:$I$9,2)),VLOOKUP(J5286,Summary!$J$2:$K$9,2)*IF(ISNUMBER(H5286),H5286,1))</f>
        <v>5.5555555555555559E-2</v>
      </c>
      <c r="AG5286" s="289">
        <v>5285</v>
      </c>
      <c r="AH5286" s="94"/>
      <c r="AI5286" s="94"/>
    </row>
    <row r="5287" spans="1:35" s="22" customFormat="1" ht="12" customHeight="1" x14ac:dyDescent="0.2">
      <c r="A5287" s="629" t="s">
        <v>15675</v>
      </c>
      <c r="B5287" s="629">
        <v>12</v>
      </c>
      <c r="C5287" s="629">
        <v>3.2</v>
      </c>
      <c r="D5287" s="185" t="s">
        <v>11372</v>
      </c>
      <c r="E5287" s="314" t="s">
        <v>11373</v>
      </c>
      <c r="F5287" s="184">
        <v>42851</v>
      </c>
      <c r="G5287" s="184"/>
      <c r="H5287" s="185">
        <v>1</v>
      </c>
      <c r="I5287" s="185">
        <v>22</v>
      </c>
      <c r="J5287" s="901" t="s">
        <v>1796</v>
      </c>
      <c r="K5287" s="163" t="s">
        <v>9479</v>
      </c>
      <c r="L5287" s="163" t="s">
        <v>11000</v>
      </c>
      <c r="M5287" s="163" t="s">
        <v>10920</v>
      </c>
      <c r="N5287" s="163"/>
      <c r="O5287" s="163"/>
      <c r="P5287" s="182" t="s">
        <v>461</v>
      </c>
      <c r="Q5287" s="163" t="s">
        <v>7076</v>
      </c>
      <c r="R5287" s="186" t="s">
        <v>10879</v>
      </c>
      <c r="S5287" s="355"/>
      <c r="T5287" s="182"/>
      <c r="U5287" s="182"/>
      <c r="V5287" s="182"/>
      <c r="W5287" s="314"/>
      <c r="X5287" s="646" t="s">
        <v>12351</v>
      </c>
      <c r="Y5287" s="355"/>
      <c r="Z5287" s="185"/>
      <c r="AA5287" s="185"/>
      <c r="AB5287" s="33">
        <f t="shared" ca="1" si="129"/>
        <v>0.43352172864052763</v>
      </c>
      <c r="AC5287" s="813"/>
      <c r="AD5287" s="211"/>
      <c r="AE5287" s="941"/>
      <c r="AF5287" s="922">
        <f>IF(X5287=X5286,AF5286,0)+IF(ISNUMBER(I5287),IF(I5287&lt;1,I5287,I5287*VLOOKUP(J5287,Summary!$H$2:$I$9,2)),VLOOKUP(J5287,Summary!$J$2:$K$9,2)*IF(ISNUMBER(H5287),H5287,1))</f>
        <v>6.3194444444444442E-2</v>
      </c>
      <c r="AG5287" s="290">
        <v>5286</v>
      </c>
      <c r="AH5287" s="94"/>
      <c r="AI5287" s="94"/>
    </row>
    <row r="5288" spans="1:35" s="57" customFormat="1" ht="12" customHeight="1" x14ac:dyDescent="0.25">
      <c r="A5288" s="740" t="s">
        <v>15675</v>
      </c>
      <c r="B5288" s="740">
        <v>12</v>
      </c>
      <c r="C5288" s="740">
        <v>26</v>
      </c>
      <c r="D5288" s="407" t="s">
        <v>11319</v>
      </c>
      <c r="E5288" s="315" t="s">
        <v>11322</v>
      </c>
      <c r="F5288" s="196">
        <v>42739</v>
      </c>
      <c r="G5288" s="170"/>
      <c r="H5288" s="170">
        <v>1</v>
      </c>
      <c r="I5288" s="746">
        <f>TIME(1,11,0)</f>
        <v>4.9305555555555554E-2</v>
      </c>
      <c r="J5288" s="899" t="s">
        <v>4706</v>
      </c>
      <c r="K5288" s="167" t="s">
        <v>10889</v>
      </c>
      <c r="L5288" s="167"/>
      <c r="M5288" s="167" t="s">
        <v>11325</v>
      </c>
      <c r="N5288" s="167"/>
      <c r="O5288" s="167"/>
      <c r="P5288" s="168" t="s">
        <v>11326</v>
      </c>
      <c r="Q5288" s="167" t="s">
        <v>3950</v>
      </c>
      <c r="R5288" s="172" t="s">
        <v>2240</v>
      </c>
      <c r="S5288" s="388"/>
      <c r="T5288" s="168" t="s">
        <v>3065</v>
      </c>
      <c r="U5288" s="168" t="s">
        <v>11328</v>
      </c>
      <c r="V5288" s="168"/>
      <c r="W5288" s="315" t="s">
        <v>11322</v>
      </c>
      <c r="X5288" s="647" t="s">
        <v>12351</v>
      </c>
      <c r="Y5288" s="352"/>
      <c r="Z5288" s="353"/>
      <c r="AA5288" s="353"/>
      <c r="AB5288" s="31">
        <f t="shared" ca="1" si="129"/>
        <v>0.33859179251441218</v>
      </c>
      <c r="AC5288" s="810"/>
      <c r="AD5288" s="811"/>
      <c r="AE5288" s="940"/>
      <c r="AF5288" s="920">
        <f>IF(X5288=X5287,AF5287,0)+IF(ISNUMBER(I5288),IF(I5288&lt;1,I5288,I5288*VLOOKUP(J5288,Summary!$H$2:$I$9,2)),VLOOKUP(J5288,Summary!$J$2:$K$9,2)*IF(ISNUMBER(H5288),H5288,1))</f>
        <v>0.11249999999999999</v>
      </c>
      <c r="AG5288" s="287">
        <v>5287</v>
      </c>
      <c r="AH5288" s="94"/>
      <c r="AI5288" s="94"/>
    </row>
    <row r="5289" spans="1:35" s="22" customFormat="1" ht="12" customHeight="1" x14ac:dyDescent="0.2">
      <c r="A5289" s="740" t="s">
        <v>15675</v>
      </c>
      <c r="B5289" s="740">
        <v>12</v>
      </c>
      <c r="C5289" s="740">
        <v>27</v>
      </c>
      <c r="D5289" s="407" t="s">
        <v>11320</v>
      </c>
      <c r="E5289" s="315" t="s">
        <v>11323</v>
      </c>
      <c r="F5289" s="196">
        <v>42796</v>
      </c>
      <c r="G5289" s="170"/>
      <c r="H5289" s="170">
        <v>1</v>
      </c>
      <c r="I5289" s="746">
        <f>TIME(1,11,0)</f>
        <v>4.9305555555555554E-2</v>
      </c>
      <c r="J5289" s="899" t="s">
        <v>4706</v>
      </c>
      <c r="K5289" s="167" t="s">
        <v>2310</v>
      </c>
      <c r="L5289" s="167"/>
      <c r="M5289" s="167" t="s">
        <v>5460</v>
      </c>
      <c r="N5289" s="167"/>
      <c r="O5289" s="167"/>
      <c r="P5289" s="168" t="s">
        <v>11327</v>
      </c>
      <c r="Q5289" s="167" t="s">
        <v>3950</v>
      </c>
      <c r="R5289" s="172" t="s">
        <v>2240</v>
      </c>
      <c r="S5289" s="388"/>
      <c r="T5289" s="168" t="s">
        <v>3065</v>
      </c>
      <c r="U5289" s="168" t="s">
        <v>11328</v>
      </c>
      <c r="V5289" s="168"/>
      <c r="W5289" s="315" t="s">
        <v>11323</v>
      </c>
      <c r="X5289" s="647" t="s">
        <v>12351</v>
      </c>
      <c r="Y5289" s="352"/>
      <c r="Z5289" s="353"/>
      <c r="AA5289" s="353"/>
      <c r="AB5289" s="31">
        <f t="shared" ca="1" si="129"/>
        <v>0.17891288517193127</v>
      </c>
      <c r="AC5289" s="810"/>
      <c r="AD5289" s="811"/>
      <c r="AE5289" s="940"/>
      <c r="AF5289" s="920">
        <f>IF(X5289=X5288,AF5288,0)+IF(ISNUMBER(I5289),IF(I5289&lt;1,I5289,I5289*VLOOKUP(J5289,Summary!$H$2:$I$9,2)),VLOOKUP(J5289,Summary!$J$2:$K$9,2)*IF(ISNUMBER(H5289),H5289,1))</f>
        <v>0.16180555555555554</v>
      </c>
      <c r="AG5289" s="287">
        <v>5288</v>
      </c>
      <c r="AH5289" s="94"/>
      <c r="AI5289" s="94"/>
    </row>
    <row r="5290" spans="1:35" s="22" customFormat="1" ht="12" customHeight="1" x14ac:dyDescent="0.2">
      <c r="A5290" s="740" t="s">
        <v>15675</v>
      </c>
      <c r="B5290" s="740">
        <v>12</v>
      </c>
      <c r="C5290" s="740">
        <v>28</v>
      </c>
      <c r="D5290" s="407" t="s">
        <v>11321</v>
      </c>
      <c r="E5290" s="315" t="s">
        <v>11324</v>
      </c>
      <c r="F5290" s="196">
        <v>42858</v>
      </c>
      <c r="G5290" s="170"/>
      <c r="H5290" s="170">
        <v>1</v>
      </c>
      <c r="I5290" s="746">
        <f>TIME(1,5,0)</f>
        <v>4.5138888888888888E-2</v>
      </c>
      <c r="J5290" s="899" t="s">
        <v>4706</v>
      </c>
      <c r="K5290" s="167" t="s">
        <v>2479</v>
      </c>
      <c r="L5290" s="167"/>
      <c r="M5290" s="167" t="s">
        <v>9748</v>
      </c>
      <c r="N5290" s="167"/>
      <c r="O5290" s="167"/>
      <c r="P5290" s="168" t="s">
        <v>11329</v>
      </c>
      <c r="Q5290" s="167" t="s">
        <v>3950</v>
      </c>
      <c r="R5290" s="172" t="s">
        <v>2240</v>
      </c>
      <c r="S5290" s="388"/>
      <c r="T5290" s="168" t="s">
        <v>3065</v>
      </c>
      <c r="U5290" s="168" t="s">
        <v>11328</v>
      </c>
      <c r="V5290" s="168"/>
      <c r="W5290" s="315" t="s">
        <v>11324</v>
      </c>
      <c r="X5290" s="647" t="s">
        <v>12351</v>
      </c>
      <c r="Y5290" s="352"/>
      <c r="Z5290" s="353"/>
      <c r="AA5290" s="353"/>
      <c r="AB5290" s="31">
        <f t="shared" ca="1" si="129"/>
        <v>0.28036965717992335</v>
      </c>
      <c r="AC5290" s="810"/>
      <c r="AD5290" s="811"/>
      <c r="AE5290" s="940"/>
      <c r="AF5290" s="920">
        <f>IF(X5290=X5289,AF5289,0)+IF(ISNUMBER(I5290),IF(I5290&lt;1,I5290,I5290*VLOOKUP(J5290,Summary!$H$2:$I$9,2)),VLOOKUP(J5290,Summary!$J$2:$K$9,2)*IF(ISNUMBER(H5290),H5290,1))</f>
        <v>0.20694444444444443</v>
      </c>
      <c r="AG5290" s="287">
        <v>5289</v>
      </c>
      <c r="AH5290" s="94"/>
      <c r="AI5290" s="94"/>
    </row>
    <row r="5291" spans="1:35" s="22" customFormat="1" ht="12" customHeight="1" x14ac:dyDescent="0.2">
      <c r="A5291" s="740" t="s">
        <v>15675</v>
      </c>
      <c r="B5291" s="740">
        <v>12</v>
      </c>
      <c r="C5291" s="740">
        <v>29</v>
      </c>
      <c r="D5291" s="407" t="s">
        <v>12397</v>
      </c>
      <c r="E5291" s="315" t="s">
        <v>12396</v>
      </c>
      <c r="F5291" s="196">
        <v>42922</v>
      </c>
      <c r="G5291" s="170"/>
      <c r="H5291" s="170">
        <v>1</v>
      </c>
      <c r="I5291" s="746">
        <f>TIME(1,5,0)</f>
        <v>4.5138888888888888E-2</v>
      </c>
      <c r="J5291" s="899" t="s">
        <v>4706</v>
      </c>
      <c r="K5291" s="167" t="s">
        <v>10889</v>
      </c>
      <c r="L5291" s="167"/>
      <c r="M5291" s="167" t="s">
        <v>11307</v>
      </c>
      <c r="N5291" s="167"/>
      <c r="O5291" s="167"/>
      <c r="P5291" s="168" t="s">
        <v>12398</v>
      </c>
      <c r="Q5291" s="167" t="s">
        <v>3950</v>
      </c>
      <c r="R5291" s="172" t="s">
        <v>2240</v>
      </c>
      <c r="S5291" s="388"/>
      <c r="T5291" s="168" t="s">
        <v>3065</v>
      </c>
      <c r="U5291" s="168" t="s">
        <v>11328</v>
      </c>
      <c r="V5291" s="168"/>
      <c r="W5291" s="315" t="s">
        <v>12396</v>
      </c>
      <c r="X5291" s="647" t="s">
        <v>12351</v>
      </c>
      <c r="Y5291" s="352"/>
      <c r="Z5291" s="353"/>
      <c r="AA5291" s="353"/>
      <c r="AB5291" s="31">
        <f t="shared" ca="1" si="129"/>
        <v>0.57552921555756553</v>
      </c>
      <c r="AC5291" s="810"/>
      <c r="AD5291" s="811"/>
      <c r="AE5291" s="940"/>
      <c r="AF5291" s="920">
        <f>IF(X5291=X5290,AF5290,0)+IF(ISNUMBER(I5291),IF(I5291&lt;1,I5291,I5291*VLOOKUP(J5291,Summary!$H$2:$I$9,2)),VLOOKUP(J5291,Summary!$J$2:$K$9,2)*IF(ISNUMBER(H5291),H5291,1))</f>
        <v>0.25208333333333333</v>
      </c>
      <c r="AG5291" s="287">
        <v>5290</v>
      </c>
      <c r="AH5291" s="94"/>
      <c r="AI5291" s="94"/>
    </row>
    <row r="5292" spans="1:35" s="22" customFormat="1" ht="12" customHeight="1" x14ac:dyDescent="0.2">
      <c r="A5292" s="769" t="s">
        <v>15675</v>
      </c>
      <c r="B5292" s="769">
        <v>12</v>
      </c>
      <c r="C5292" s="769">
        <v>3.1</v>
      </c>
      <c r="D5292" s="226" t="s">
        <v>12375</v>
      </c>
      <c r="E5292" s="331" t="s">
        <v>11371</v>
      </c>
      <c r="F5292" s="233">
        <v>42837</v>
      </c>
      <c r="G5292" s="233">
        <v>42893</v>
      </c>
      <c r="H5292" s="226">
        <v>3</v>
      </c>
      <c r="I5292" s="226">
        <v>65</v>
      </c>
      <c r="J5292" s="907" t="s">
        <v>1796</v>
      </c>
      <c r="K5292" s="228" t="s">
        <v>2310</v>
      </c>
      <c r="L5292" s="228" t="s">
        <v>10915</v>
      </c>
      <c r="M5292" s="228" t="s">
        <v>10936</v>
      </c>
      <c r="N5292" s="228" t="s">
        <v>10882</v>
      </c>
      <c r="O5292" s="228"/>
      <c r="P5292" s="225" t="s">
        <v>461</v>
      </c>
      <c r="Q5292" s="228" t="s">
        <v>7076</v>
      </c>
      <c r="R5292" s="227" t="s">
        <v>10879</v>
      </c>
      <c r="S5292" s="369" t="s">
        <v>10946</v>
      </c>
      <c r="T5292" s="225"/>
      <c r="U5292" s="225"/>
      <c r="V5292" s="225"/>
      <c r="W5292" s="331"/>
      <c r="X5292" s="663" t="s">
        <v>12351</v>
      </c>
      <c r="Y5292" s="369"/>
      <c r="Z5292" s="226"/>
      <c r="AA5292" s="226"/>
      <c r="AB5292" s="38">
        <f t="shared" ca="1" si="129"/>
        <v>0.96912508712382539</v>
      </c>
      <c r="AC5292" s="830"/>
      <c r="AD5292" s="831"/>
      <c r="AE5292" s="963"/>
      <c r="AF5292" s="928">
        <f>IF(X5292=X5291,AF5291,0)+IF(ISNUMBER(I5292),IF(I5292&lt;1,I5292,I5292*VLOOKUP(J5292,Summary!$H$2:$I$9,2)),VLOOKUP(J5292,Summary!$J$2:$K$9,2)*IF(ISNUMBER(H5292),H5292,1))</f>
        <v>0.27465277777777775</v>
      </c>
      <c r="AG5292" s="304">
        <v>5291</v>
      </c>
      <c r="AH5292" s="94"/>
      <c r="AI5292" s="94"/>
    </row>
    <row r="5293" spans="1:35" s="22" customFormat="1" ht="12" customHeight="1" x14ac:dyDescent="0.25">
      <c r="A5293" s="627" t="s">
        <v>15675</v>
      </c>
      <c r="B5293" s="627">
        <v>12</v>
      </c>
      <c r="C5293" s="627">
        <v>2</v>
      </c>
      <c r="D5293" s="176" t="s">
        <v>15518</v>
      </c>
      <c r="E5293" s="313" t="s">
        <v>15519</v>
      </c>
      <c r="F5293" s="175">
        <v>43384</v>
      </c>
      <c r="G5293" s="174"/>
      <c r="H5293" s="176">
        <v>1</v>
      </c>
      <c r="I5293" s="176"/>
      <c r="J5293" s="900" t="s">
        <v>2755</v>
      </c>
      <c r="K5293" s="164" t="s">
        <v>15498</v>
      </c>
      <c r="L5293" s="164" t="s">
        <v>461</v>
      </c>
      <c r="M5293" s="164"/>
      <c r="N5293" s="164"/>
      <c r="O5293" s="164"/>
      <c r="P5293" s="173" t="s">
        <v>15499</v>
      </c>
      <c r="Q5293" s="164" t="s">
        <v>3953</v>
      </c>
      <c r="R5293" s="179" t="s">
        <v>15500</v>
      </c>
      <c r="S5293" s="354"/>
      <c r="T5293" s="173"/>
      <c r="U5293" s="173"/>
      <c r="V5293" s="173"/>
      <c r="W5293" s="313" t="s">
        <v>15519</v>
      </c>
      <c r="X5293" s="645" t="s">
        <v>12351</v>
      </c>
      <c r="Y5293" s="354"/>
      <c r="Z5293" s="176"/>
      <c r="AA5293" s="176"/>
      <c r="AB5293" s="32">
        <f t="shared" ca="1" si="129"/>
        <v>0.39317224451180777</v>
      </c>
      <c r="AC5293" s="812"/>
      <c r="AD5293" s="763"/>
      <c r="AE5293" s="807"/>
      <c r="AF5293" s="921">
        <f>IF(X5293=X5292,AF5292,0)+IF(ISNUMBER(I5293),IF(I5293&lt;1,I5293,I5293*VLOOKUP(J5293,Summary!$H$2:$I$9,2)),VLOOKUP(J5293,Summary!$J$2:$K$9,2)*IF(ISNUMBER(H5293),H5293,1))</f>
        <v>0.29201388888888885</v>
      </c>
      <c r="AG5293" s="288">
        <v>5292</v>
      </c>
      <c r="AH5293" s="94"/>
      <c r="AI5293" s="94"/>
    </row>
    <row r="5294" spans="1:35" s="27" customFormat="1" ht="12" customHeight="1" x14ac:dyDescent="0.25">
      <c r="A5294" s="634" t="s">
        <v>15675</v>
      </c>
      <c r="B5294" s="634">
        <v>12</v>
      </c>
      <c r="C5294" s="634">
        <v>30</v>
      </c>
      <c r="D5294" s="407" t="s">
        <v>13237</v>
      </c>
      <c r="E5294" s="315" t="s">
        <v>13238</v>
      </c>
      <c r="F5294" s="196">
        <v>42985</v>
      </c>
      <c r="G5294" s="170"/>
      <c r="H5294" s="170">
        <v>1</v>
      </c>
      <c r="I5294" s="746">
        <f>TIME(1,10,0)</f>
        <v>4.8611111111111112E-2</v>
      </c>
      <c r="J5294" s="899" t="s">
        <v>4706</v>
      </c>
      <c r="K5294" s="167" t="s">
        <v>176</v>
      </c>
      <c r="L5294" s="167"/>
      <c r="M5294" s="167" t="s">
        <v>5460</v>
      </c>
      <c r="N5294" s="167"/>
      <c r="O5294" s="167"/>
      <c r="P5294" s="168" t="s">
        <v>13239</v>
      </c>
      <c r="Q5294" s="167" t="s">
        <v>3950</v>
      </c>
      <c r="R5294" s="172" t="s">
        <v>2240</v>
      </c>
      <c r="S5294" s="388"/>
      <c r="T5294" s="168"/>
      <c r="U5294" s="168"/>
      <c r="V5294" s="168"/>
      <c r="W5294" s="315" t="s">
        <v>13238</v>
      </c>
      <c r="X5294" s="647" t="s">
        <v>12351</v>
      </c>
      <c r="Y5294" s="352"/>
      <c r="Z5294" s="353"/>
      <c r="AA5294" s="353"/>
      <c r="AB5294" s="31">
        <f t="shared" ca="1" si="129"/>
        <v>0.85936745990179331</v>
      </c>
      <c r="AC5294" s="810"/>
      <c r="AD5294" s="811"/>
      <c r="AE5294" s="940"/>
      <c r="AF5294" s="920">
        <f>IF(X5294=X5293,AF5293,0)+IF(ISNUMBER(I5294),IF(I5294&lt;1,I5294,I5294*VLOOKUP(J5294,Summary!$H$2:$I$9,2)),VLOOKUP(J5294,Summary!$J$2:$K$9,2)*IF(ISNUMBER(H5294),H5294,1))</f>
        <v>0.34062499999999996</v>
      </c>
      <c r="AG5294" s="287">
        <v>5293</v>
      </c>
      <c r="AH5294" s="124"/>
      <c r="AI5294" s="124"/>
    </row>
    <row r="5295" spans="1:35" s="22" customFormat="1" ht="12" customHeight="1" x14ac:dyDescent="0.2">
      <c r="A5295" s="629" t="s">
        <v>15675</v>
      </c>
      <c r="B5295" s="629">
        <v>12</v>
      </c>
      <c r="C5295" s="629">
        <v>24</v>
      </c>
      <c r="D5295" s="185" t="s">
        <v>14174</v>
      </c>
      <c r="E5295" s="314" t="s">
        <v>14175</v>
      </c>
      <c r="F5295" s="184">
        <v>42908</v>
      </c>
      <c r="G5295" s="184"/>
      <c r="H5295" s="185">
        <v>1</v>
      </c>
      <c r="I5295" s="185">
        <v>9</v>
      </c>
      <c r="J5295" s="901" t="s">
        <v>1796</v>
      </c>
      <c r="K5295" s="163" t="s">
        <v>8238</v>
      </c>
      <c r="L5295" s="163" t="s">
        <v>9881</v>
      </c>
      <c r="M5295" s="163" t="s">
        <v>9882</v>
      </c>
      <c r="N5295" s="163"/>
      <c r="O5295" s="163"/>
      <c r="P5295" s="182" t="s">
        <v>461</v>
      </c>
      <c r="Q5295" s="163" t="s">
        <v>9883</v>
      </c>
      <c r="R5295" s="186" t="s">
        <v>9898</v>
      </c>
      <c r="S5295" s="355"/>
      <c r="T5295" s="182"/>
      <c r="U5295" s="182"/>
      <c r="V5295" s="182"/>
      <c r="W5295" s="314" t="s">
        <v>14175</v>
      </c>
      <c r="X5295" s="646" t="s">
        <v>12351</v>
      </c>
      <c r="Y5295" s="355"/>
      <c r="Z5295" s="185"/>
      <c r="AA5295" s="185"/>
      <c r="AB5295" s="33">
        <f t="shared" ca="1" si="129"/>
        <v>0.96412528082831372</v>
      </c>
      <c r="AC5295" s="813"/>
      <c r="AD5295" s="836"/>
      <c r="AE5295" s="941"/>
      <c r="AF5295" s="922">
        <f>IF(X5295=X5294,AF5294,0)+IF(ISNUMBER(I5295),IF(I5295&lt;1,I5295,I5295*VLOOKUP(J5295,Summary!$H$2:$I$9,2)),VLOOKUP(J5295,Summary!$J$2:$K$9,2)*IF(ISNUMBER(H5295),H5295,1))</f>
        <v>0.34374999999999994</v>
      </c>
      <c r="AG5295" s="290">
        <v>5294</v>
      </c>
      <c r="AH5295" s="94"/>
      <c r="AI5295" s="94"/>
    </row>
    <row r="5296" spans="1:35" s="22" customFormat="1" ht="12" customHeight="1" x14ac:dyDescent="0.2">
      <c r="A5296" s="629" t="s">
        <v>15675</v>
      </c>
      <c r="B5296" s="629">
        <v>12</v>
      </c>
      <c r="C5296" s="629"/>
      <c r="D5296" s="185" t="s">
        <v>14469</v>
      </c>
      <c r="E5296" s="314" t="s">
        <v>14470</v>
      </c>
      <c r="F5296" s="184">
        <v>43225</v>
      </c>
      <c r="G5296" s="184"/>
      <c r="H5296" s="185">
        <v>1</v>
      </c>
      <c r="I5296" s="185">
        <v>5</v>
      </c>
      <c r="J5296" s="901" t="s">
        <v>1796</v>
      </c>
      <c r="K5296" s="163" t="s">
        <v>3365</v>
      </c>
      <c r="L5296" s="163" t="s">
        <v>3365</v>
      </c>
      <c r="M5296" s="163" t="s">
        <v>3365</v>
      </c>
      <c r="N5296" s="163"/>
      <c r="O5296" s="163"/>
      <c r="P5296" s="182" t="s">
        <v>461</v>
      </c>
      <c r="Q5296" s="163" t="s">
        <v>7076</v>
      </c>
      <c r="R5296" s="186" t="s">
        <v>10879</v>
      </c>
      <c r="S5296" s="355"/>
      <c r="T5296" s="182" t="s">
        <v>10886</v>
      </c>
      <c r="U5296" s="182">
        <v>10</v>
      </c>
      <c r="V5296" s="182"/>
      <c r="W5296" s="314" t="s">
        <v>14470</v>
      </c>
      <c r="X5296" s="646" t="s">
        <v>12351</v>
      </c>
      <c r="Y5296" s="355"/>
      <c r="Z5296" s="185"/>
      <c r="AA5296" s="185"/>
      <c r="AB5296" s="33">
        <f t="shared" ca="1" si="129"/>
        <v>0.26841603802145009</v>
      </c>
      <c r="AC5296" s="813"/>
      <c r="AD5296" s="211"/>
      <c r="AE5296" s="941"/>
      <c r="AF5296" s="922">
        <f>IF(X5296=X5295,AF5295,0)+IF(ISNUMBER(I5296),IF(I5296&lt;1,I5296,I5296*VLOOKUP(J5296,Summary!$H$2:$I$9,2)),VLOOKUP(J5296,Summary!$J$2:$K$9,2)*IF(ISNUMBER(H5296),H5296,1))</f>
        <v>0.34548611111111105</v>
      </c>
      <c r="AG5296" s="290">
        <v>5295</v>
      </c>
      <c r="AH5296" s="94"/>
      <c r="AI5296" s="94"/>
    </row>
    <row r="5297" spans="1:35" s="22" customFormat="1" ht="12" customHeight="1" x14ac:dyDescent="0.2">
      <c r="A5297" s="740" t="s">
        <v>15675</v>
      </c>
      <c r="B5297" s="740">
        <v>12</v>
      </c>
      <c r="C5297" s="740">
        <v>31</v>
      </c>
      <c r="D5297" s="407" t="s">
        <v>13242</v>
      </c>
      <c r="E5297" s="315" t="s">
        <v>13240</v>
      </c>
      <c r="F5297" s="196">
        <v>43041</v>
      </c>
      <c r="G5297" s="170"/>
      <c r="H5297" s="170">
        <v>1</v>
      </c>
      <c r="I5297" s="746">
        <f>TIME(1,10,0)</f>
        <v>4.8611111111111112E-2</v>
      </c>
      <c r="J5297" s="899" t="s">
        <v>4706</v>
      </c>
      <c r="K5297" s="167" t="s">
        <v>7289</v>
      </c>
      <c r="L5297" s="167"/>
      <c r="M5297" s="167" t="s">
        <v>9748</v>
      </c>
      <c r="N5297" s="167"/>
      <c r="O5297" s="167"/>
      <c r="P5297" s="168" t="s">
        <v>13241</v>
      </c>
      <c r="Q5297" s="167" t="s">
        <v>3950</v>
      </c>
      <c r="R5297" s="172" t="s">
        <v>2240</v>
      </c>
      <c r="S5297" s="388"/>
      <c r="T5297" s="168"/>
      <c r="U5297" s="168"/>
      <c r="V5297" s="168"/>
      <c r="W5297" s="315" t="s">
        <v>13240</v>
      </c>
      <c r="X5297" s="647" t="s">
        <v>12351</v>
      </c>
      <c r="Y5297" s="352"/>
      <c r="Z5297" s="353"/>
      <c r="AA5297" s="353"/>
      <c r="AB5297" s="31">
        <f t="shared" ca="1" si="129"/>
        <v>0.42399858907723009</v>
      </c>
      <c r="AC5297" s="810"/>
      <c r="AD5297" s="846"/>
      <c r="AE5297" s="940"/>
      <c r="AF5297" s="920">
        <f>IF(X5297=X5296,AF5296,0)+IF(ISNUMBER(I5297),IF(I5297&lt;1,I5297,I5297*VLOOKUP(J5297,Summary!$H$2:$I$9,2)),VLOOKUP(J5297,Summary!$J$2:$K$9,2)*IF(ISNUMBER(H5297),H5297,1))</f>
        <v>0.39409722222222215</v>
      </c>
      <c r="AG5297" s="287">
        <v>5296</v>
      </c>
      <c r="AH5297" s="94"/>
      <c r="AI5297" s="94"/>
    </row>
    <row r="5298" spans="1:35" s="22" customFormat="1" ht="12" customHeight="1" x14ac:dyDescent="0.25">
      <c r="A5298" s="626" t="s">
        <v>15675</v>
      </c>
      <c r="B5298" s="626">
        <v>12</v>
      </c>
      <c r="C5298" s="626">
        <v>263</v>
      </c>
      <c r="D5298" s="424" t="s">
        <v>9716</v>
      </c>
      <c r="E5298" s="319" t="s">
        <v>9726</v>
      </c>
      <c r="F5298" s="198">
        <v>42363</v>
      </c>
      <c r="G5298" s="198"/>
      <c r="H5298" s="199">
        <v>1</v>
      </c>
      <c r="I5298" s="791">
        <f>TIME(0,56, 6)</f>
        <v>3.8958333333333338E-2</v>
      </c>
      <c r="J5298" s="904" t="s">
        <v>1588</v>
      </c>
      <c r="K5298" s="200" t="s">
        <v>3810</v>
      </c>
      <c r="L5298" s="200" t="s">
        <v>1594</v>
      </c>
      <c r="M5298" s="200"/>
      <c r="N5298" s="200" t="s">
        <v>3810</v>
      </c>
      <c r="O5298" s="200" t="s">
        <v>8002</v>
      </c>
      <c r="P5298" s="197" t="s">
        <v>461</v>
      </c>
      <c r="Q5298" s="200" t="s">
        <v>3946</v>
      </c>
      <c r="R5298" s="201" t="s">
        <v>5280</v>
      </c>
      <c r="S5298" s="390"/>
      <c r="T5298" s="197" t="s">
        <v>11336</v>
      </c>
      <c r="U5298" s="197" t="s">
        <v>7344</v>
      </c>
      <c r="V5298" s="197"/>
      <c r="W5298" s="319" t="s">
        <v>9726</v>
      </c>
      <c r="X5298" s="651" t="s">
        <v>12351</v>
      </c>
      <c r="Y5298" s="358" t="s">
        <v>7018</v>
      </c>
      <c r="Z5298" s="253">
        <v>241</v>
      </c>
      <c r="AA5298" s="253">
        <v>3.5</v>
      </c>
      <c r="AB5298" s="35">
        <f t="shared" ca="1" si="129"/>
        <v>0.42281839282009426</v>
      </c>
      <c r="AC5298" s="820"/>
      <c r="AD5298" s="845"/>
      <c r="AE5298" s="941"/>
      <c r="AF5298" s="925">
        <f>IF(X5298=X5297,AF5297,0)+IF(ISNUMBER(I5298),IF(I5298&lt;1,I5298,I5298*VLOOKUP(J5298,Summary!$H$2:$I$9,2)),VLOOKUP(J5298,Summary!$J$2:$K$9,2)*IF(ISNUMBER(H5298),H5298,1))</f>
        <v>0.43305555555555547</v>
      </c>
      <c r="AG5298" s="293">
        <v>5297</v>
      </c>
      <c r="AH5298" s="94"/>
      <c r="AI5298" s="94"/>
    </row>
    <row r="5299" spans="1:35" s="22" customFormat="1" ht="12" customHeight="1" x14ac:dyDescent="0.25">
      <c r="A5299" s="626" t="s">
        <v>15675</v>
      </c>
      <c r="B5299" s="626">
        <v>12</v>
      </c>
      <c r="C5299" s="626">
        <v>264</v>
      </c>
      <c r="D5299" s="424" t="s">
        <v>10895</v>
      </c>
      <c r="E5299" s="319" t="s">
        <v>10361</v>
      </c>
      <c r="F5299" s="198">
        <v>42729</v>
      </c>
      <c r="G5299" s="198"/>
      <c r="H5299" s="199">
        <v>1</v>
      </c>
      <c r="I5299" s="791">
        <f>TIME(0,60,22)</f>
        <v>4.1921296296296297E-2</v>
      </c>
      <c r="J5299" s="904" t="s">
        <v>1588</v>
      </c>
      <c r="K5299" s="200" t="s">
        <v>3810</v>
      </c>
      <c r="L5299" s="200" t="s">
        <v>9732</v>
      </c>
      <c r="M5299" s="200"/>
      <c r="N5299" s="200" t="s">
        <v>3810</v>
      </c>
      <c r="O5299" s="200" t="s">
        <v>8002</v>
      </c>
      <c r="P5299" s="197" t="s">
        <v>461</v>
      </c>
      <c r="Q5299" s="200" t="s">
        <v>3946</v>
      </c>
      <c r="R5299" s="201" t="s">
        <v>5280</v>
      </c>
      <c r="S5299" s="390"/>
      <c r="T5299" s="197" t="s">
        <v>11336</v>
      </c>
      <c r="U5299" s="197"/>
      <c r="V5299" s="197"/>
      <c r="W5299" s="319" t="s">
        <v>10361</v>
      </c>
      <c r="X5299" s="651" t="s">
        <v>12351</v>
      </c>
      <c r="Y5299" s="358" t="s">
        <v>7018</v>
      </c>
      <c r="Z5299" s="253">
        <v>167</v>
      </c>
      <c r="AA5299" s="253">
        <v>5</v>
      </c>
      <c r="AB5299" s="35">
        <f t="shared" ca="1" si="129"/>
        <v>0.71993522287047884</v>
      </c>
      <c r="AC5299" s="820"/>
      <c r="AD5299" s="821"/>
      <c r="AE5299" s="941"/>
      <c r="AF5299" s="925">
        <f>IF(X5299=X5298,AF5298,0)+IF(ISNUMBER(I5299),IF(I5299&lt;1,I5299,I5299*VLOOKUP(J5299,Summary!$H$2:$I$9,2)),VLOOKUP(J5299,Summary!$J$2:$K$9,2)*IF(ISNUMBER(H5299),H5299,1))</f>
        <v>0.47497685185185179</v>
      </c>
      <c r="AG5299" s="293">
        <v>5298</v>
      </c>
      <c r="AH5299" s="94"/>
      <c r="AI5299" s="94"/>
    </row>
    <row r="5300" spans="1:35" s="1" customFormat="1" ht="12" customHeight="1" x14ac:dyDescent="0.25">
      <c r="A5300" s="627" t="s">
        <v>15675</v>
      </c>
      <c r="B5300" s="627">
        <v>12</v>
      </c>
      <c r="C5300" s="627">
        <v>5</v>
      </c>
      <c r="D5300" s="176" t="s">
        <v>13389</v>
      </c>
      <c r="E5300" s="313" t="s">
        <v>13390</v>
      </c>
      <c r="F5300" s="175">
        <v>43153</v>
      </c>
      <c r="G5300" s="174"/>
      <c r="H5300" s="176">
        <v>1</v>
      </c>
      <c r="I5300" s="176"/>
      <c r="J5300" s="900" t="s">
        <v>2755</v>
      </c>
      <c r="K5300" s="164" t="s">
        <v>4552</v>
      </c>
      <c r="L5300" s="164"/>
      <c r="M5300" s="164"/>
      <c r="N5300" s="164"/>
      <c r="O5300" s="164"/>
      <c r="P5300" s="173" t="s">
        <v>13386</v>
      </c>
      <c r="Q5300" s="164" t="s">
        <v>3953</v>
      </c>
      <c r="R5300" s="179" t="s">
        <v>13385</v>
      </c>
      <c r="S5300" s="354"/>
      <c r="T5300" s="173" t="s">
        <v>11336</v>
      </c>
      <c r="U5300" s="173"/>
      <c r="V5300" s="173"/>
      <c r="W5300" s="313" t="s">
        <v>13390</v>
      </c>
      <c r="X5300" s="645" t="s">
        <v>12351</v>
      </c>
      <c r="Y5300" s="354"/>
      <c r="Z5300" s="176"/>
      <c r="AA5300" s="176"/>
      <c r="AB5300" s="32">
        <f t="shared" ca="1" si="129"/>
        <v>2.0248315971293063E-2</v>
      </c>
      <c r="AC5300" s="812"/>
      <c r="AD5300" s="763"/>
      <c r="AE5300" s="807"/>
      <c r="AF5300" s="921">
        <f>IF(X5300=X5299,AF5299,0)+IF(ISNUMBER(I5300),IF(I5300&lt;1,I5300,I5300*VLOOKUP(J5300,Summary!$H$2:$I$9,2)),VLOOKUP(J5300,Summary!$J$2:$K$9,2)*IF(ISNUMBER(H5300),H5300,1))</f>
        <v>0.49233796296296289</v>
      </c>
      <c r="AG5300" s="288">
        <v>5299</v>
      </c>
      <c r="AH5300" s="94"/>
      <c r="AI5300" s="94"/>
    </row>
    <row r="5301" spans="1:35" s="58" customFormat="1" ht="12" customHeight="1" x14ac:dyDescent="0.2">
      <c r="A5301" s="629" t="s">
        <v>15675</v>
      </c>
      <c r="B5301" s="629">
        <v>12</v>
      </c>
      <c r="C5301" s="629"/>
      <c r="D5301" s="185" t="s">
        <v>12389</v>
      </c>
      <c r="E5301" s="314" t="s">
        <v>12395</v>
      </c>
      <c r="F5301" s="184">
        <v>42999</v>
      </c>
      <c r="G5301" s="184"/>
      <c r="H5301" s="185">
        <v>1</v>
      </c>
      <c r="I5301" s="185">
        <v>6</v>
      </c>
      <c r="J5301" s="901" t="s">
        <v>1796</v>
      </c>
      <c r="K5301" s="163"/>
      <c r="L5301" s="875"/>
      <c r="M5301" s="163"/>
      <c r="N5301" s="163"/>
      <c r="O5301" s="163"/>
      <c r="P5301" s="182" t="s">
        <v>461</v>
      </c>
      <c r="Q5301" s="164" t="s">
        <v>8285</v>
      </c>
      <c r="R5301" s="207" t="s">
        <v>4600</v>
      </c>
      <c r="S5301" s="355"/>
      <c r="T5301" s="182"/>
      <c r="U5301" s="182"/>
      <c r="V5301" s="182"/>
      <c r="W5301" s="314" t="s">
        <v>12395</v>
      </c>
      <c r="X5301" s="646" t="s">
        <v>12351</v>
      </c>
      <c r="Y5301" s="355"/>
      <c r="Z5301" s="185"/>
      <c r="AA5301" s="185"/>
      <c r="AB5301" s="33">
        <f t="shared" ca="1" si="129"/>
        <v>0.93065130519486139</v>
      </c>
      <c r="AC5301" s="813"/>
      <c r="AD5301" s="211"/>
      <c r="AE5301" s="941"/>
      <c r="AF5301" s="922">
        <f>IF(X5301=X5300,AF5300,0)+IF(ISNUMBER(I5301),IF(I5301&lt;1,I5301,I5301*VLOOKUP(J5301,Summary!$H$2:$I$9,2)),VLOOKUP(J5301,Summary!$J$2:$K$9,2)*IF(ISNUMBER(H5301),H5301,1))</f>
        <v>0.49442129629629622</v>
      </c>
      <c r="AG5301" s="290">
        <v>5300</v>
      </c>
      <c r="AH5301" s="94"/>
      <c r="AI5301" s="94"/>
    </row>
    <row r="5302" spans="1:35" s="22" customFormat="1" ht="12" customHeight="1" x14ac:dyDescent="0.2">
      <c r="A5302" s="769" t="s">
        <v>15675</v>
      </c>
      <c r="B5302" s="769">
        <v>12</v>
      </c>
      <c r="C5302" s="769">
        <v>13</v>
      </c>
      <c r="D5302" s="226" t="s">
        <v>11374</v>
      </c>
      <c r="E5302" s="331" t="s">
        <v>10896</v>
      </c>
      <c r="F5302" s="233">
        <v>42730</v>
      </c>
      <c r="G5302" s="233">
        <v>42877</v>
      </c>
      <c r="H5302" s="226">
        <v>8</v>
      </c>
      <c r="I5302" s="226">
        <v>88</v>
      </c>
      <c r="J5302" s="907" t="s">
        <v>1796</v>
      </c>
      <c r="K5302" s="228" t="s">
        <v>2310</v>
      </c>
      <c r="L5302" s="228" t="s">
        <v>10897</v>
      </c>
      <c r="M5302" s="228" t="s">
        <v>10898</v>
      </c>
      <c r="N5302" s="228"/>
      <c r="O5302" s="228"/>
      <c r="P5302" s="225" t="s">
        <v>461</v>
      </c>
      <c r="Q5302" s="228" t="s">
        <v>7076</v>
      </c>
      <c r="R5302" s="227" t="s">
        <v>10880</v>
      </c>
      <c r="S5302" s="369"/>
      <c r="T5302" s="225"/>
      <c r="U5302" s="225"/>
      <c r="V5302" s="225"/>
      <c r="W5302" s="331"/>
      <c r="X5302" s="663" t="s">
        <v>12351</v>
      </c>
      <c r="Y5302" s="369"/>
      <c r="Z5302" s="226"/>
      <c r="AA5302" s="226"/>
      <c r="AB5302" s="38">
        <f t="shared" ca="1" si="129"/>
        <v>0.99512273784814453</v>
      </c>
      <c r="AC5302" s="830"/>
      <c r="AD5302" s="831"/>
      <c r="AE5302" s="963"/>
      <c r="AF5302" s="928">
        <f>IF(X5302=X5301,AF5301,0)+IF(ISNUMBER(I5302),IF(I5302&lt;1,I5302,I5302*VLOOKUP(J5302,Summary!$H$2:$I$9,2)),VLOOKUP(J5302,Summary!$J$2:$K$9,2)*IF(ISNUMBER(H5302),H5302,1))</f>
        <v>0.52497685185185183</v>
      </c>
      <c r="AG5302" s="304">
        <v>5301</v>
      </c>
      <c r="AH5302" s="94"/>
      <c r="AI5302" s="94"/>
    </row>
    <row r="5303" spans="1:35" s="27" customFormat="1" ht="12" customHeight="1" x14ac:dyDescent="0.25">
      <c r="A5303" s="405" t="s">
        <v>15675</v>
      </c>
      <c r="B5303" s="596" t="s">
        <v>2650</v>
      </c>
      <c r="C5303" s="533">
        <v>1.01</v>
      </c>
      <c r="D5303" s="407"/>
      <c r="E5303" s="315" t="s">
        <v>15959</v>
      </c>
      <c r="F5303" s="196">
        <v>43501</v>
      </c>
      <c r="G5303" s="196"/>
      <c r="H5303" s="170">
        <v>1</v>
      </c>
      <c r="I5303" s="747">
        <f t="shared" ref="I5303:I5313" si="130">TIME(0,60,0)</f>
        <v>4.1666666666666664E-2</v>
      </c>
      <c r="J5303" s="899" t="s">
        <v>4706</v>
      </c>
      <c r="K5303" s="167" t="s">
        <v>12205</v>
      </c>
      <c r="L5303" s="167" t="s">
        <v>2313</v>
      </c>
      <c r="M5303" s="167"/>
      <c r="N5303" s="167" t="s">
        <v>6452</v>
      </c>
      <c r="O5303" s="167" t="s">
        <v>3295</v>
      </c>
      <c r="P5303" s="168" t="s">
        <v>15964</v>
      </c>
      <c r="Q5303" s="167" t="s">
        <v>3947</v>
      </c>
      <c r="R5303" s="172" t="s">
        <v>15958</v>
      </c>
      <c r="S5303" s="388"/>
      <c r="T5303" s="168"/>
      <c r="U5303" s="168"/>
      <c r="V5303" s="168"/>
      <c r="W5303" s="315" t="s">
        <v>15959</v>
      </c>
      <c r="X5303" s="647" t="s">
        <v>12351</v>
      </c>
      <c r="Y5303" s="352"/>
      <c r="Z5303" s="353"/>
      <c r="AA5303" s="353"/>
      <c r="AB5303" s="31">
        <f t="shared" ca="1" si="129"/>
        <v>0.74153308837404519</v>
      </c>
      <c r="AC5303" s="810"/>
      <c r="AD5303" s="811"/>
      <c r="AE5303" s="940"/>
      <c r="AF5303" s="920">
        <f>IF(X5303=X5302,AF5302,0)+IF(ISNUMBER(I5303),IF(I5303&lt;1,I5303,I5303*VLOOKUP(J5303,Summary!$H$2:$I$9,2)),VLOOKUP(J5303,Summary!$J$2:$K$9,2)*IF(ISNUMBER(H5303),H5303,1))</f>
        <v>0.56664351851851846</v>
      </c>
      <c r="AG5303" s="287">
        <v>5302</v>
      </c>
      <c r="AH5303" s="124"/>
      <c r="AI5303" s="124"/>
    </row>
    <row r="5304" spans="1:35" s="27" customFormat="1" ht="12" customHeight="1" x14ac:dyDescent="0.25">
      <c r="A5304" s="405" t="s">
        <v>15675</v>
      </c>
      <c r="B5304" s="596" t="s">
        <v>2650</v>
      </c>
      <c r="C5304" s="533">
        <v>1.02</v>
      </c>
      <c r="D5304" s="407"/>
      <c r="E5304" s="315" t="s">
        <v>15960</v>
      </c>
      <c r="F5304" s="196">
        <v>43501</v>
      </c>
      <c r="G5304" s="196"/>
      <c r="H5304" s="170">
        <v>1</v>
      </c>
      <c r="I5304" s="747">
        <f t="shared" si="130"/>
        <v>4.1666666666666664E-2</v>
      </c>
      <c r="J5304" s="899" t="s">
        <v>4706</v>
      </c>
      <c r="K5304" s="167" t="s">
        <v>5666</v>
      </c>
      <c r="L5304" s="167" t="s">
        <v>2313</v>
      </c>
      <c r="M5304" s="167"/>
      <c r="N5304" s="167" t="s">
        <v>6452</v>
      </c>
      <c r="O5304" s="167" t="s">
        <v>3295</v>
      </c>
      <c r="P5304" s="168" t="s">
        <v>15964</v>
      </c>
      <c r="Q5304" s="167" t="s">
        <v>3947</v>
      </c>
      <c r="R5304" s="172" t="s">
        <v>15958</v>
      </c>
      <c r="S5304" s="388"/>
      <c r="T5304" s="168"/>
      <c r="U5304" s="168"/>
      <c r="V5304" s="168"/>
      <c r="W5304" s="315" t="s">
        <v>15960</v>
      </c>
      <c r="X5304" s="647" t="s">
        <v>12351</v>
      </c>
      <c r="Y5304" s="352"/>
      <c r="Z5304" s="353"/>
      <c r="AA5304" s="353"/>
      <c r="AB5304" s="31">
        <f t="shared" ca="1" si="129"/>
        <v>0.21289203691042846</v>
      </c>
      <c r="AC5304" s="810"/>
      <c r="AD5304" s="811"/>
      <c r="AE5304" s="940"/>
      <c r="AF5304" s="920">
        <f>IF(X5304=X5303,AF5303,0)+IF(ISNUMBER(I5304),IF(I5304&lt;1,I5304,I5304*VLOOKUP(J5304,Summary!$H$2:$I$9,2)),VLOOKUP(J5304,Summary!$J$2:$K$9,2)*IF(ISNUMBER(H5304),H5304,1))</f>
        <v>0.60831018518518509</v>
      </c>
      <c r="AG5304" s="287">
        <v>5303</v>
      </c>
      <c r="AH5304" s="124"/>
      <c r="AI5304" s="124"/>
    </row>
    <row r="5305" spans="1:35" s="27" customFormat="1" ht="12" customHeight="1" x14ac:dyDescent="0.25">
      <c r="A5305" s="405" t="s">
        <v>15675</v>
      </c>
      <c r="B5305" s="596" t="s">
        <v>2650</v>
      </c>
      <c r="C5305" s="533">
        <v>1.03</v>
      </c>
      <c r="D5305" s="407"/>
      <c r="E5305" s="315" t="s">
        <v>15961</v>
      </c>
      <c r="F5305" s="196">
        <v>43501</v>
      </c>
      <c r="G5305" s="196"/>
      <c r="H5305" s="170">
        <v>1</v>
      </c>
      <c r="I5305" s="747">
        <f t="shared" si="130"/>
        <v>4.1666666666666664E-2</v>
      </c>
      <c r="J5305" s="899" t="s">
        <v>4706</v>
      </c>
      <c r="K5305" s="167" t="s">
        <v>3284</v>
      </c>
      <c r="L5305" s="167" t="s">
        <v>2313</v>
      </c>
      <c r="M5305" s="167"/>
      <c r="N5305" s="167" t="s">
        <v>6452</v>
      </c>
      <c r="O5305" s="167" t="s">
        <v>3295</v>
      </c>
      <c r="P5305" s="168" t="s">
        <v>15964</v>
      </c>
      <c r="Q5305" s="167" t="s">
        <v>3947</v>
      </c>
      <c r="R5305" s="172" t="s">
        <v>15958</v>
      </c>
      <c r="S5305" s="388"/>
      <c r="T5305" s="168"/>
      <c r="U5305" s="168"/>
      <c r="V5305" s="168"/>
      <c r="W5305" s="315" t="s">
        <v>15961</v>
      </c>
      <c r="X5305" s="647" t="s">
        <v>12351</v>
      </c>
      <c r="Y5305" s="352"/>
      <c r="Z5305" s="353"/>
      <c r="AA5305" s="353"/>
      <c r="AB5305" s="31">
        <f t="shared" ca="1" si="129"/>
        <v>0.40504171172754955</v>
      </c>
      <c r="AC5305" s="810"/>
      <c r="AD5305" s="811"/>
      <c r="AE5305" s="940"/>
      <c r="AF5305" s="920">
        <f>IF(X5305=X5304,AF5304,0)+IF(ISNUMBER(I5305),IF(I5305&lt;1,I5305,I5305*VLOOKUP(J5305,Summary!$H$2:$I$9,2)),VLOOKUP(J5305,Summary!$J$2:$K$9,2)*IF(ISNUMBER(H5305),H5305,1))</f>
        <v>0.64997685185185172</v>
      </c>
      <c r="AG5305" s="287">
        <v>5304</v>
      </c>
      <c r="AH5305" s="124"/>
      <c r="AI5305" s="124"/>
    </row>
    <row r="5306" spans="1:35" s="27" customFormat="1" ht="12" customHeight="1" x14ac:dyDescent="0.25">
      <c r="A5306" s="405" t="s">
        <v>15675</v>
      </c>
      <c r="B5306" s="596" t="s">
        <v>2650</v>
      </c>
      <c r="C5306" s="533">
        <v>1.04</v>
      </c>
      <c r="D5306" s="407"/>
      <c r="E5306" s="315" t="s">
        <v>15962</v>
      </c>
      <c r="F5306" s="196">
        <v>43501</v>
      </c>
      <c r="G5306" s="196"/>
      <c r="H5306" s="170">
        <v>1</v>
      </c>
      <c r="I5306" s="747">
        <f t="shared" si="130"/>
        <v>4.1666666666666664E-2</v>
      </c>
      <c r="J5306" s="899" t="s">
        <v>4706</v>
      </c>
      <c r="K5306" s="167" t="s">
        <v>177</v>
      </c>
      <c r="L5306" s="167" t="s">
        <v>2313</v>
      </c>
      <c r="M5306" s="167"/>
      <c r="N5306" s="167" t="s">
        <v>6452</v>
      </c>
      <c r="O5306" s="167" t="s">
        <v>3295</v>
      </c>
      <c r="P5306" s="168" t="s">
        <v>15964</v>
      </c>
      <c r="Q5306" s="167" t="s">
        <v>3947</v>
      </c>
      <c r="R5306" s="172" t="s">
        <v>15958</v>
      </c>
      <c r="S5306" s="388"/>
      <c r="T5306" s="168"/>
      <c r="U5306" s="168"/>
      <c r="V5306" s="168"/>
      <c r="W5306" s="315" t="s">
        <v>15962</v>
      </c>
      <c r="X5306" s="647" t="s">
        <v>12351</v>
      </c>
      <c r="Y5306" s="352"/>
      <c r="Z5306" s="353"/>
      <c r="AA5306" s="353"/>
      <c r="AB5306" s="31">
        <f t="shared" ca="1" si="129"/>
        <v>0.73597287942613931</v>
      </c>
      <c r="AC5306" s="810"/>
      <c r="AD5306" s="811"/>
      <c r="AE5306" s="940"/>
      <c r="AF5306" s="920">
        <f>IF(X5306=X5305,AF5305,0)+IF(ISNUMBER(I5306),IF(I5306&lt;1,I5306,I5306*VLOOKUP(J5306,Summary!$H$2:$I$9,2)),VLOOKUP(J5306,Summary!$J$2:$K$9,2)*IF(ISNUMBER(H5306),H5306,1))</f>
        <v>0.69164351851851835</v>
      </c>
      <c r="AG5306" s="287">
        <v>5305</v>
      </c>
      <c r="AH5306" s="124"/>
      <c r="AI5306" s="124"/>
    </row>
    <row r="5307" spans="1:35" s="27" customFormat="1" ht="12" customHeight="1" x14ac:dyDescent="0.25">
      <c r="A5307" s="405" t="s">
        <v>14561</v>
      </c>
      <c r="B5307" s="596" t="s">
        <v>3227</v>
      </c>
      <c r="C5307" s="533">
        <v>4.01</v>
      </c>
      <c r="D5307" s="407" t="s">
        <v>14323</v>
      </c>
      <c r="E5307" s="315" t="s">
        <v>14324</v>
      </c>
      <c r="F5307" s="196">
        <v>43187</v>
      </c>
      <c r="G5307" s="196"/>
      <c r="H5307" s="170">
        <v>1</v>
      </c>
      <c r="I5307" s="747">
        <f t="shared" si="130"/>
        <v>4.1666666666666664E-2</v>
      </c>
      <c r="J5307" s="899" t="s">
        <v>4706</v>
      </c>
      <c r="K5307" s="167" t="s">
        <v>4146</v>
      </c>
      <c r="L5307" s="167" t="s">
        <v>179</v>
      </c>
      <c r="M5307" s="167"/>
      <c r="N5307" s="167"/>
      <c r="O5307" s="167" t="s">
        <v>1643</v>
      </c>
      <c r="P5307" s="168" t="s">
        <v>14325</v>
      </c>
      <c r="Q5307" s="167" t="s">
        <v>3947</v>
      </c>
      <c r="R5307" s="172" t="s">
        <v>10605</v>
      </c>
      <c r="S5307" s="388"/>
      <c r="T5307" s="168" t="s">
        <v>3068</v>
      </c>
      <c r="U5307" s="168"/>
      <c r="V5307" s="168"/>
      <c r="W5307" s="315" t="s">
        <v>14324</v>
      </c>
      <c r="X5307" s="647" t="s">
        <v>15004</v>
      </c>
      <c r="Y5307" s="352"/>
      <c r="Z5307" s="353"/>
      <c r="AA5307" s="353"/>
      <c r="AB5307" s="31">
        <f t="shared" ca="1" si="129"/>
        <v>0.93718470129743514</v>
      </c>
      <c r="AC5307" s="810"/>
      <c r="AD5307" s="811" t="s">
        <v>15191</v>
      </c>
      <c r="AE5307" s="940"/>
      <c r="AF5307" s="920">
        <f>IF(X5307=X5306,AF5306,0)+IF(ISNUMBER(I5307),IF(I5307&lt;1,I5307,I5307*VLOOKUP(J5307,Summary!$H$2:$I$9,2)),VLOOKUP(J5307,Summary!$J$2:$K$9,2)*IF(ISNUMBER(H5307),H5307,1))</f>
        <v>4.1666666666666664E-2</v>
      </c>
      <c r="AG5307" s="287">
        <v>5306</v>
      </c>
      <c r="AH5307" s="124"/>
      <c r="AI5307" s="124"/>
    </row>
    <row r="5308" spans="1:35" s="22" customFormat="1" ht="12" customHeight="1" x14ac:dyDescent="0.2">
      <c r="A5308" s="405" t="s">
        <v>14561</v>
      </c>
      <c r="B5308" s="596" t="s">
        <v>3227</v>
      </c>
      <c r="C5308" s="533">
        <v>1.03</v>
      </c>
      <c r="D5308" s="407" t="s">
        <v>10622</v>
      </c>
      <c r="E5308" s="315" t="s">
        <v>10624</v>
      </c>
      <c r="F5308" s="196">
        <v>42313</v>
      </c>
      <c r="G5308" s="196"/>
      <c r="H5308" s="170">
        <v>1</v>
      </c>
      <c r="I5308" s="747">
        <f t="shared" si="130"/>
        <v>4.1666666666666664E-2</v>
      </c>
      <c r="J5308" s="899" t="s">
        <v>4706</v>
      </c>
      <c r="K5308" s="167" t="s">
        <v>10580</v>
      </c>
      <c r="L5308" s="167" t="s">
        <v>179</v>
      </c>
      <c r="M5308" s="167"/>
      <c r="N5308" s="167"/>
      <c r="O5308" s="167"/>
      <c r="P5308" s="168" t="s">
        <v>10629</v>
      </c>
      <c r="Q5308" s="167" t="s">
        <v>3947</v>
      </c>
      <c r="R5308" s="172" t="s">
        <v>10605</v>
      </c>
      <c r="S5308" s="388"/>
      <c r="T5308" s="168"/>
      <c r="U5308" s="168"/>
      <c r="V5308" s="168"/>
      <c r="W5308" s="315" t="s">
        <v>10624</v>
      </c>
      <c r="X5308" s="647" t="s">
        <v>15004</v>
      </c>
      <c r="Y5308" s="352" t="s">
        <v>5643</v>
      </c>
      <c r="Z5308" s="353">
        <v>403</v>
      </c>
      <c r="AA5308" s="353">
        <v>4.5</v>
      </c>
      <c r="AB5308" s="31">
        <f t="shared" ca="1" si="129"/>
        <v>1.8114953447865623E-2</v>
      </c>
      <c r="AC5308" s="810"/>
      <c r="AD5308" s="811" t="s">
        <v>15154</v>
      </c>
      <c r="AE5308" s="940"/>
      <c r="AF5308" s="920">
        <f>IF(X5308=X5307,AF5307,0)+IF(ISNUMBER(I5308),IF(I5308&lt;1,I5308,I5308*VLOOKUP(J5308,Summary!$H$2:$I$9,2)),VLOOKUP(J5308,Summary!$J$2:$K$9,2)*IF(ISNUMBER(H5308),H5308,1))</f>
        <v>8.3333333333333329E-2</v>
      </c>
      <c r="AG5308" s="287">
        <v>5307</v>
      </c>
      <c r="AH5308" s="94"/>
      <c r="AI5308" s="94"/>
    </row>
    <row r="5309" spans="1:35" s="22" customFormat="1" ht="12" customHeight="1" x14ac:dyDescent="0.2">
      <c r="A5309" s="405" t="s">
        <v>14561</v>
      </c>
      <c r="B5309" s="596" t="s">
        <v>3227</v>
      </c>
      <c r="C5309" s="533">
        <v>2.0599999999999987</v>
      </c>
      <c r="D5309" s="407" t="s">
        <v>10640</v>
      </c>
      <c r="E5309" s="315" t="s">
        <v>10627</v>
      </c>
      <c r="F5309" s="196">
        <v>42584</v>
      </c>
      <c r="G5309" s="196"/>
      <c r="H5309" s="170">
        <v>1</v>
      </c>
      <c r="I5309" s="747">
        <f t="shared" si="130"/>
        <v>4.1666666666666664E-2</v>
      </c>
      <c r="J5309" s="899" t="s">
        <v>4706</v>
      </c>
      <c r="K5309" s="167" t="s">
        <v>1826</v>
      </c>
      <c r="L5309" s="167" t="s">
        <v>179</v>
      </c>
      <c r="M5309" s="167"/>
      <c r="N5309" s="167"/>
      <c r="O5309" s="167"/>
      <c r="P5309" s="168" t="s">
        <v>10646</v>
      </c>
      <c r="Q5309" s="167" t="s">
        <v>3947</v>
      </c>
      <c r="R5309" s="172" t="s">
        <v>10605</v>
      </c>
      <c r="S5309" s="388"/>
      <c r="T5309" s="168"/>
      <c r="U5309" s="168"/>
      <c r="V5309" s="168"/>
      <c r="W5309" s="315" t="s">
        <v>10627</v>
      </c>
      <c r="X5309" s="647" t="s">
        <v>15004</v>
      </c>
      <c r="Y5309" s="352"/>
      <c r="Z5309" s="353"/>
      <c r="AA5309" s="353"/>
      <c r="AB5309" s="31">
        <f t="shared" ca="1" si="129"/>
        <v>0.17989960427212681</v>
      </c>
      <c r="AC5309" s="810"/>
      <c r="AD5309" s="811" t="s">
        <v>15154</v>
      </c>
      <c r="AE5309" s="940"/>
      <c r="AF5309" s="920">
        <f>IF(X5309=X5308,AF5308,0)+IF(ISNUMBER(I5309),IF(I5309&lt;1,I5309,I5309*VLOOKUP(J5309,Summary!$H$2:$I$9,2)),VLOOKUP(J5309,Summary!$J$2:$K$9,2)*IF(ISNUMBER(H5309),H5309,1))</f>
        <v>0.125</v>
      </c>
      <c r="AG5309" s="287">
        <v>5308</v>
      </c>
      <c r="AH5309" s="94"/>
      <c r="AI5309" s="94"/>
    </row>
    <row r="5310" spans="1:35" s="22" customFormat="1" ht="12" customHeight="1" x14ac:dyDescent="0.2">
      <c r="A5310" s="405" t="s">
        <v>14561</v>
      </c>
      <c r="B5310" s="596" t="s">
        <v>3227</v>
      </c>
      <c r="C5310" s="533">
        <v>4.03</v>
      </c>
      <c r="D5310" s="407" t="s">
        <v>14378</v>
      </c>
      <c r="E5310" s="315" t="s">
        <v>14379</v>
      </c>
      <c r="F5310" s="196">
        <v>43242</v>
      </c>
      <c r="G5310" s="196"/>
      <c r="H5310" s="170">
        <v>1</v>
      </c>
      <c r="I5310" s="747">
        <f t="shared" si="130"/>
        <v>4.1666666666666664E-2</v>
      </c>
      <c r="J5310" s="899" t="s">
        <v>4706</v>
      </c>
      <c r="K5310" s="167" t="s">
        <v>1826</v>
      </c>
      <c r="L5310" s="167" t="s">
        <v>179</v>
      </c>
      <c r="M5310" s="167"/>
      <c r="N5310" s="167"/>
      <c r="O5310" s="167" t="s">
        <v>1643</v>
      </c>
      <c r="P5310" s="168" t="s">
        <v>14538</v>
      </c>
      <c r="Q5310" s="167" t="s">
        <v>3947</v>
      </c>
      <c r="R5310" s="172" t="s">
        <v>10605</v>
      </c>
      <c r="S5310" s="388"/>
      <c r="T5310" s="168"/>
      <c r="U5310" s="168"/>
      <c r="V5310" s="168"/>
      <c r="W5310" s="315" t="s">
        <v>14379</v>
      </c>
      <c r="X5310" s="647" t="s">
        <v>15004</v>
      </c>
      <c r="Y5310" s="352"/>
      <c r="Z5310" s="353"/>
      <c r="AA5310" s="353"/>
      <c r="AB5310" s="31">
        <f t="shared" ca="1" si="129"/>
        <v>0.39053429921458283</v>
      </c>
      <c r="AC5310" s="810"/>
      <c r="AD5310" s="811" t="s">
        <v>15154</v>
      </c>
      <c r="AE5310" s="940"/>
      <c r="AF5310" s="920">
        <f>IF(X5310=X5309,AF5309,0)+IF(ISNUMBER(I5310),IF(I5310&lt;1,I5310,I5310*VLOOKUP(J5310,Summary!$H$2:$I$9,2)),VLOOKUP(J5310,Summary!$J$2:$K$9,2)*IF(ISNUMBER(H5310),H5310,1))</f>
        <v>0.16666666666666666</v>
      </c>
      <c r="AG5310" s="287">
        <v>5309</v>
      </c>
      <c r="AH5310" s="94"/>
      <c r="AI5310" s="94"/>
    </row>
    <row r="5311" spans="1:35" s="22" customFormat="1" ht="12" customHeight="1" x14ac:dyDescent="0.2">
      <c r="A5311" s="405" t="s">
        <v>14561</v>
      </c>
      <c r="B5311" s="596" t="s">
        <v>3227</v>
      </c>
      <c r="C5311" s="533">
        <v>1.06</v>
      </c>
      <c r="D5311" s="407" t="s">
        <v>10623</v>
      </c>
      <c r="E5311" s="315" t="s">
        <v>10625</v>
      </c>
      <c r="F5311" s="196">
        <v>42410</v>
      </c>
      <c r="G5311" s="196"/>
      <c r="H5311" s="170">
        <v>1</v>
      </c>
      <c r="I5311" s="747">
        <f t="shared" si="130"/>
        <v>4.1666666666666664E-2</v>
      </c>
      <c r="J5311" s="899" t="s">
        <v>4706</v>
      </c>
      <c r="K5311" s="167" t="s">
        <v>1826</v>
      </c>
      <c r="L5311" s="167" t="s">
        <v>179</v>
      </c>
      <c r="M5311" s="167"/>
      <c r="N5311" s="167"/>
      <c r="O5311" s="167"/>
      <c r="P5311" s="168" t="s">
        <v>10630</v>
      </c>
      <c r="Q5311" s="167" t="s">
        <v>3947</v>
      </c>
      <c r="R5311" s="172" t="s">
        <v>10605</v>
      </c>
      <c r="S5311" s="388"/>
      <c r="T5311" s="168"/>
      <c r="U5311" s="168"/>
      <c r="V5311" s="168"/>
      <c r="W5311" s="315" t="s">
        <v>10625</v>
      </c>
      <c r="X5311" s="647" t="s">
        <v>15004</v>
      </c>
      <c r="Y5311" s="352" t="s">
        <v>5643</v>
      </c>
      <c r="Z5311" s="353">
        <v>349</v>
      </c>
      <c r="AA5311" s="353">
        <v>5</v>
      </c>
      <c r="AB5311" s="31">
        <f t="shared" ca="1" si="129"/>
        <v>0.63123012385008614</v>
      </c>
      <c r="AC5311" s="810"/>
      <c r="AD5311" s="811" t="s">
        <v>15903</v>
      </c>
      <c r="AE5311" s="940"/>
      <c r="AF5311" s="920">
        <f>IF(X5311=X5310,AF5310,0)+IF(ISNUMBER(I5311),IF(I5311&lt;1,I5311,I5311*VLOOKUP(J5311,Summary!$H$2:$I$9,2)),VLOOKUP(J5311,Summary!$J$2:$K$9,2)*IF(ISNUMBER(H5311),H5311,1))</f>
        <v>0.20833333333333331</v>
      </c>
      <c r="AG5311" s="287">
        <v>5310</v>
      </c>
      <c r="AH5311" s="94"/>
      <c r="AI5311" s="94"/>
    </row>
    <row r="5312" spans="1:35" s="22" customFormat="1" ht="12" customHeight="1" x14ac:dyDescent="0.2">
      <c r="A5312" s="405" t="s">
        <v>14561</v>
      </c>
      <c r="B5312" s="596" t="s">
        <v>3227</v>
      </c>
      <c r="C5312" s="533">
        <v>2.0299999999999994</v>
      </c>
      <c r="D5312" s="407" t="s">
        <v>10639</v>
      </c>
      <c r="E5312" s="315" t="s">
        <v>10626</v>
      </c>
      <c r="F5312" s="196">
        <v>42493</v>
      </c>
      <c r="G5312" s="196"/>
      <c r="H5312" s="170">
        <v>1</v>
      </c>
      <c r="I5312" s="747">
        <f t="shared" si="130"/>
        <v>4.1666666666666664E-2</v>
      </c>
      <c r="J5312" s="899" t="s">
        <v>4706</v>
      </c>
      <c r="K5312" s="167" t="s">
        <v>10642</v>
      </c>
      <c r="L5312" s="167" t="s">
        <v>179</v>
      </c>
      <c r="M5312" s="167"/>
      <c r="N5312" s="167"/>
      <c r="O5312" s="167"/>
      <c r="P5312" s="168" t="s">
        <v>10638</v>
      </c>
      <c r="Q5312" s="167" t="s">
        <v>3947</v>
      </c>
      <c r="R5312" s="172" t="s">
        <v>10605</v>
      </c>
      <c r="S5312" s="388"/>
      <c r="T5312" s="168"/>
      <c r="U5312" s="168"/>
      <c r="V5312" s="168"/>
      <c r="W5312" s="315" t="s">
        <v>10626</v>
      </c>
      <c r="X5312" s="647" t="s">
        <v>15004</v>
      </c>
      <c r="Y5312" s="352"/>
      <c r="Z5312" s="353"/>
      <c r="AA5312" s="353"/>
      <c r="AB5312" s="31">
        <f t="shared" ca="1" si="129"/>
        <v>5.3601333146185204E-2</v>
      </c>
      <c r="AC5312" s="810"/>
      <c r="AD5312" s="811" t="s">
        <v>15903</v>
      </c>
      <c r="AE5312" s="940"/>
      <c r="AF5312" s="920">
        <f>IF(X5312=X5311,AF5311,0)+IF(ISNUMBER(I5312),IF(I5312&lt;1,I5312,I5312*VLOOKUP(J5312,Summary!$H$2:$I$9,2)),VLOOKUP(J5312,Summary!$J$2:$K$9,2)*IF(ISNUMBER(H5312),H5312,1))</f>
        <v>0.24999999999999997</v>
      </c>
      <c r="AG5312" s="287">
        <v>5311</v>
      </c>
      <c r="AH5312" s="94"/>
      <c r="AI5312" s="94"/>
    </row>
    <row r="5313" spans="1:35" s="27" customFormat="1" ht="12" customHeight="1" x14ac:dyDescent="0.25">
      <c r="A5313" s="405" t="s">
        <v>14561</v>
      </c>
      <c r="B5313" s="596" t="s">
        <v>3227</v>
      </c>
      <c r="C5313" s="533">
        <v>4.04</v>
      </c>
      <c r="D5313" s="407" t="s">
        <v>14535</v>
      </c>
      <c r="E5313" s="315" t="s">
        <v>14536</v>
      </c>
      <c r="F5313" s="196">
        <v>43278</v>
      </c>
      <c r="G5313" s="196"/>
      <c r="H5313" s="170">
        <v>1</v>
      </c>
      <c r="I5313" s="747">
        <f t="shared" si="130"/>
        <v>4.1666666666666664E-2</v>
      </c>
      <c r="J5313" s="899" t="s">
        <v>4706</v>
      </c>
      <c r="K5313" s="167" t="s">
        <v>1643</v>
      </c>
      <c r="L5313" s="167" t="s">
        <v>179</v>
      </c>
      <c r="M5313" s="167"/>
      <c r="N5313" s="167"/>
      <c r="O5313" s="167" t="s">
        <v>1643</v>
      </c>
      <c r="P5313" s="168" t="s">
        <v>14537</v>
      </c>
      <c r="Q5313" s="167" t="s">
        <v>3947</v>
      </c>
      <c r="R5313" s="172" t="s">
        <v>10605</v>
      </c>
      <c r="S5313" s="388"/>
      <c r="T5313" s="168"/>
      <c r="U5313" s="168"/>
      <c r="V5313" s="168"/>
      <c r="W5313" s="315" t="s">
        <v>14536</v>
      </c>
      <c r="X5313" s="647" t="s">
        <v>15004</v>
      </c>
      <c r="Y5313" s="352"/>
      <c r="Z5313" s="353"/>
      <c r="AA5313" s="353"/>
      <c r="AB5313" s="31">
        <f t="shared" ca="1" si="129"/>
        <v>0.33463416691552006</v>
      </c>
      <c r="AC5313" s="810"/>
      <c r="AD5313" s="811" t="s">
        <v>14587</v>
      </c>
      <c r="AE5313" s="940"/>
      <c r="AF5313" s="920">
        <f>IF(X5313=X5312,AF5312,0)+IF(ISNUMBER(I5313),IF(I5313&lt;1,I5313,I5313*VLOOKUP(J5313,Summary!$H$2:$I$9,2)),VLOOKUP(J5313,Summary!$J$2:$K$9,2)*IF(ISNUMBER(H5313),H5313,1))</f>
        <v>0.29166666666666663</v>
      </c>
      <c r="AG5313" s="287">
        <v>5312</v>
      </c>
      <c r="AH5313" s="119"/>
      <c r="AI5313" s="119"/>
    </row>
    <row r="5314" spans="1:35" s="22" customFormat="1" ht="12" customHeight="1" x14ac:dyDescent="0.2">
      <c r="A5314" s="635" t="s">
        <v>10894</v>
      </c>
      <c r="B5314" s="635">
        <v>12</v>
      </c>
      <c r="C5314" s="635"/>
      <c r="D5314" s="619"/>
      <c r="E5314" s="345" t="s">
        <v>11291</v>
      </c>
      <c r="F5314" s="219">
        <v>42858</v>
      </c>
      <c r="G5314" s="219"/>
      <c r="H5314" s="210">
        <v>6</v>
      </c>
      <c r="I5314" s="210"/>
      <c r="J5314" s="908" t="s">
        <v>3346</v>
      </c>
      <c r="K5314" s="166" t="s">
        <v>2475</v>
      </c>
      <c r="L5314" s="166"/>
      <c r="M5314" s="166"/>
      <c r="N5314" s="166"/>
      <c r="O5314" s="166"/>
      <c r="P5314" s="267" t="s">
        <v>461</v>
      </c>
      <c r="Q5314" s="166" t="s">
        <v>3946</v>
      </c>
      <c r="R5314" s="268" t="s">
        <v>11292</v>
      </c>
      <c r="S5314" s="386"/>
      <c r="T5314" s="267"/>
      <c r="U5314" s="267"/>
      <c r="V5314" s="267"/>
      <c r="W5314" s="345"/>
      <c r="X5314" s="680" t="s">
        <v>12352</v>
      </c>
      <c r="Y5314" s="384"/>
      <c r="Z5314" s="385"/>
      <c r="AA5314" s="385"/>
      <c r="AB5314" s="134">
        <f t="shared" ref="AB5314:AB5377" ca="1" si="131">RAND()</f>
        <v>0.33402265926510033</v>
      </c>
      <c r="AC5314" s="832"/>
      <c r="AD5314" s="833"/>
      <c r="AE5314" s="807"/>
      <c r="AF5314" s="929">
        <f>IF(X5314=X5313,AF5313,0)+IF(ISNUMBER(I5314),IF(I5314&lt;1,I5314,I5314*VLOOKUP(J5314,Summary!$H$2:$I$9,2)),VLOOKUP(J5314,Summary!$J$2:$K$9,2)*IF(ISNUMBER(H5314),H5314,1))</f>
        <v>0.25</v>
      </c>
      <c r="AG5314" s="307">
        <v>5313</v>
      </c>
      <c r="AH5314" s="94"/>
      <c r="AI5314" s="94"/>
    </row>
    <row r="5315" spans="1:35" s="27" customFormat="1" ht="12" customHeight="1" x14ac:dyDescent="0.25">
      <c r="A5315" s="626" t="s">
        <v>10894</v>
      </c>
      <c r="B5315" s="626">
        <v>12</v>
      </c>
      <c r="C5315" s="626">
        <v>265</v>
      </c>
      <c r="D5315" s="424" t="s">
        <v>11211</v>
      </c>
      <c r="E5315" s="319" t="s">
        <v>11212</v>
      </c>
      <c r="F5315" s="198">
        <v>42840</v>
      </c>
      <c r="G5315" s="198"/>
      <c r="H5315" s="199">
        <v>1</v>
      </c>
      <c r="I5315" s="791">
        <f>TIME(0,49,40)</f>
        <v>3.4490740740740738E-2</v>
      </c>
      <c r="J5315" s="904" t="s">
        <v>1588</v>
      </c>
      <c r="K5315" s="200" t="s">
        <v>3810</v>
      </c>
      <c r="L5315" s="200" t="s">
        <v>11213</v>
      </c>
      <c r="M5315" s="200"/>
      <c r="N5315" s="200" t="s">
        <v>3810</v>
      </c>
      <c r="O5315" s="200" t="s">
        <v>8002</v>
      </c>
      <c r="P5315" s="197" t="s">
        <v>461</v>
      </c>
      <c r="Q5315" s="200" t="s">
        <v>3946</v>
      </c>
      <c r="R5315" s="201" t="s">
        <v>5280</v>
      </c>
      <c r="S5315" s="390" t="s">
        <v>11214</v>
      </c>
      <c r="T5315" s="197" t="s">
        <v>11336</v>
      </c>
      <c r="U5315" s="197"/>
      <c r="V5315" s="197"/>
      <c r="W5315" s="319" t="s">
        <v>11212</v>
      </c>
      <c r="X5315" s="651" t="s">
        <v>12352</v>
      </c>
      <c r="Y5315" s="358" t="s">
        <v>7018</v>
      </c>
      <c r="Z5315" s="253">
        <v>139</v>
      </c>
      <c r="AA5315" s="253">
        <v>6</v>
      </c>
      <c r="AB5315" s="35">
        <f t="shared" ca="1" si="131"/>
        <v>0.69532123006288149</v>
      </c>
      <c r="AC5315" s="820"/>
      <c r="AD5315" s="821"/>
      <c r="AE5315" s="967"/>
      <c r="AF5315" s="925">
        <f>IF(X5315=X5314,AF5314,0)+IF(ISNUMBER(I5315),IF(I5315&lt;1,I5315,I5315*VLOOKUP(J5315,Summary!$H$2:$I$9,2)),VLOOKUP(J5315,Summary!$J$2:$K$9,2)*IF(ISNUMBER(H5315),H5315,1))</f>
        <v>0.28449074074074077</v>
      </c>
      <c r="AG5315" s="293">
        <v>5314</v>
      </c>
      <c r="AH5315" s="119"/>
      <c r="AI5315" s="119"/>
    </row>
    <row r="5316" spans="1:35" s="22" customFormat="1" ht="12" customHeight="1" x14ac:dyDescent="0.25">
      <c r="A5316" s="626" t="s">
        <v>10894</v>
      </c>
      <c r="B5316" s="626">
        <v>12</v>
      </c>
      <c r="C5316" s="626">
        <v>266</v>
      </c>
      <c r="D5316" s="424" t="s">
        <v>11217</v>
      </c>
      <c r="E5316" s="319" t="s">
        <v>11215</v>
      </c>
      <c r="F5316" s="198">
        <v>42847</v>
      </c>
      <c r="G5316" s="198"/>
      <c r="H5316" s="199">
        <v>1</v>
      </c>
      <c r="I5316" s="791">
        <f>TIME(0,45,34)</f>
        <v>3.1643518518518522E-2</v>
      </c>
      <c r="J5316" s="904" t="s">
        <v>1588</v>
      </c>
      <c r="K5316" s="200" t="s">
        <v>8185</v>
      </c>
      <c r="L5316" s="200" t="s">
        <v>11213</v>
      </c>
      <c r="M5316" s="200"/>
      <c r="N5316" s="200" t="s">
        <v>3810</v>
      </c>
      <c r="O5316" s="200" t="s">
        <v>8002</v>
      </c>
      <c r="P5316" s="197" t="s">
        <v>461</v>
      </c>
      <c r="Q5316" s="200" t="s">
        <v>3946</v>
      </c>
      <c r="R5316" s="201" t="s">
        <v>5280</v>
      </c>
      <c r="S5316" s="390" t="s">
        <v>11214</v>
      </c>
      <c r="T5316" s="197" t="s">
        <v>11336</v>
      </c>
      <c r="U5316" s="197"/>
      <c r="V5316" s="197"/>
      <c r="W5316" s="319" t="s">
        <v>11215</v>
      </c>
      <c r="X5316" s="651" t="s">
        <v>12352</v>
      </c>
      <c r="Y5316" s="358" t="s">
        <v>7018</v>
      </c>
      <c r="Z5316" s="253">
        <v>215</v>
      </c>
      <c r="AA5316" s="253">
        <v>4.5</v>
      </c>
      <c r="AB5316" s="35">
        <f t="shared" ca="1" si="131"/>
        <v>0.3186352391149635</v>
      </c>
      <c r="AC5316" s="820"/>
      <c r="AD5316" s="821"/>
      <c r="AE5316" s="967"/>
      <c r="AF5316" s="925">
        <f>IF(X5316=X5315,AF5315,0)+IF(ISNUMBER(I5316),IF(I5316&lt;1,I5316,I5316*VLOOKUP(J5316,Summary!$H$2:$I$9,2)),VLOOKUP(J5316,Summary!$J$2:$K$9,2)*IF(ISNUMBER(H5316),H5316,1))</f>
        <v>0.31613425925925931</v>
      </c>
      <c r="AG5316" s="293">
        <v>5315</v>
      </c>
      <c r="AH5316" s="94"/>
      <c r="AI5316" s="94"/>
    </row>
    <row r="5317" spans="1:35" s="58" customFormat="1" ht="12" customHeight="1" x14ac:dyDescent="0.25">
      <c r="A5317" s="626" t="s">
        <v>10894</v>
      </c>
      <c r="B5317" s="626">
        <v>12</v>
      </c>
      <c r="C5317" s="626">
        <v>267</v>
      </c>
      <c r="D5317" s="424" t="s">
        <v>11218</v>
      </c>
      <c r="E5317" s="319" t="s">
        <v>5559</v>
      </c>
      <c r="F5317" s="198">
        <v>42854</v>
      </c>
      <c r="G5317" s="198"/>
      <c r="H5317" s="199">
        <v>1</v>
      </c>
      <c r="I5317" s="791">
        <f>TIME(0,44, 9)</f>
        <v>3.0659722222222224E-2</v>
      </c>
      <c r="J5317" s="904" t="s">
        <v>1588</v>
      </c>
      <c r="K5317" s="200" t="s">
        <v>9729</v>
      </c>
      <c r="L5317" s="232" t="s">
        <v>11216</v>
      </c>
      <c r="M5317" s="200"/>
      <c r="N5317" s="200" t="s">
        <v>3810</v>
      </c>
      <c r="O5317" s="200" t="s">
        <v>8002</v>
      </c>
      <c r="P5317" s="197" t="s">
        <v>461</v>
      </c>
      <c r="Q5317" s="200" t="s">
        <v>3946</v>
      </c>
      <c r="R5317" s="201" t="s">
        <v>5280</v>
      </c>
      <c r="S5317" s="390" t="s">
        <v>11214</v>
      </c>
      <c r="T5317" s="197" t="s">
        <v>11336</v>
      </c>
      <c r="U5317" s="197"/>
      <c r="V5317" s="197"/>
      <c r="W5317" s="319" t="s">
        <v>5559</v>
      </c>
      <c r="X5317" s="651" t="s">
        <v>12352</v>
      </c>
      <c r="Y5317" s="358" t="s">
        <v>7018</v>
      </c>
      <c r="Z5317" s="253">
        <v>81</v>
      </c>
      <c r="AA5317" s="253">
        <v>7.5</v>
      </c>
      <c r="AB5317" s="35">
        <f t="shared" ca="1" si="131"/>
        <v>0.61742359977515349</v>
      </c>
      <c r="AC5317" s="820"/>
      <c r="AD5317" s="821"/>
      <c r="AE5317" s="967"/>
      <c r="AF5317" s="925">
        <f>IF(X5317=X5316,AF5316,0)+IF(ISNUMBER(I5317),IF(I5317&lt;1,I5317,I5317*VLOOKUP(J5317,Summary!$H$2:$I$9,2)),VLOOKUP(J5317,Summary!$J$2:$K$9,2)*IF(ISNUMBER(H5317),H5317,1))</f>
        <v>0.34679398148148155</v>
      </c>
      <c r="AG5317" s="293">
        <v>5316</v>
      </c>
      <c r="AH5317" s="94"/>
      <c r="AI5317" s="94"/>
    </row>
    <row r="5318" spans="1:35" s="58" customFormat="1" ht="12" customHeight="1" x14ac:dyDescent="0.2">
      <c r="A5318" s="629" t="s">
        <v>10894</v>
      </c>
      <c r="B5318" s="629">
        <v>12</v>
      </c>
      <c r="C5318" s="629">
        <v>178</v>
      </c>
      <c r="D5318" s="185" t="s">
        <v>12378</v>
      </c>
      <c r="E5318" s="314" t="s">
        <v>11379</v>
      </c>
      <c r="F5318" s="184">
        <v>42859</v>
      </c>
      <c r="G5318" s="184">
        <v>42915</v>
      </c>
      <c r="H5318" s="185">
        <v>3</v>
      </c>
      <c r="I5318" s="185">
        <v>36</v>
      </c>
      <c r="J5318" s="901" t="s">
        <v>1796</v>
      </c>
      <c r="K5318" s="163" t="s">
        <v>5251</v>
      </c>
      <c r="L5318" s="875" t="s">
        <v>3835</v>
      </c>
      <c r="M5318" s="163" t="s">
        <v>6061</v>
      </c>
      <c r="N5318" s="163" t="s">
        <v>5742</v>
      </c>
      <c r="O5318" s="163"/>
      <c r="P5318" s="182" t="s">
        <v>461</v>
      </c>
      <c r="Q5318" s="163" t="s">
        <v>4104</v>
      </c>
      <c r="R5318" s="186" t="s">
        <v>5266</v>
      </c>
      <c r="S5318" s="355" t="s">
        <v>11214</v>
      </c>
      <c r="T5318" s="182"/>
      <c r="U5318" s="182"/>
      <c r="V5318" s="182"/>
      <c r="W5318" s="314"/>
      <c r="X5318" s="646" t="s">
        <v>12352</v>
      </c>
      <c r="Y5318" s="355"/>
      <c r="Z5318" s="185"/>
      <c r="AA5318" s="185"/>
      <c r="AB5318" s="33">
        <f t="shared" ca="1" si="131"/>
        <v>0.24953737205515925</v>
      </c>
      <c r="AC5318" s="813"/>
      <c r="AD5318" s="211"/>
      <c r="AE5318" s="941"/>
      <c r="AF5318" s="922">
        <f>IF(X5318=X5317,AF5317,0)+IF(ISNUMBER(I5318),IF(I5318&lt;1,I5318,I5318*VLOOKUP(J5318,Summary!$H$2:$I$9,2)),VLOOKUP(J5318,Summary!$J$2:$K$9,2)*IF(ISNUMBER(H5318),H5318,1))</f>
        <v>0.35929398148148156</v>
      </c>
      <c r="AG5318" s="290">
        <v>5317</v>
      </c>
      <c r="AH5318" s="94"/>
      <c r="AI5318" s="94"/>
    </row>
    <row r="5319" spans="1:35" s="22" customFormat="1" ht="12" customHeight="1" x14ac:dyDescent="0.25">
      <c r="A5319" s="630" t="s">
        <v>10894</v>
      </c>
      <c r="B5319" s="630">
        <v>12</v>
      </c>
      <c r="C5319" s="630">
        <v>61</v>
      </c>
      <c r="D5319" s="417" t="s">
        <v>11364</v>
      </c>
      <c r="E5319" s="316" t="s">
        <v>11365</v>
      </c>
      <c r="F5319" s="195">
        <v>42845</v>
      </c>
      <c r="G5319" s="195"/>
      <c r="H5319" s="188" t="str">
        <f>IF(J5319="Book","n/a","")</f>
        <v>n/a</v>
      </c>
      <c r="I5319" s="188">
        <v>256</v>
      </c>
      <c r="J5319" s="902" t="s">
        <v>6868</v>
      </c>
      <c r="K5319" s="162" t="s">
        <v>1935</v>
      </c>
      <c r="L5319" s="264" t="s">
        <v>461</v>
      </c>
      <c r="M5319" s="162"/>
      <c r="N5319" s="162"/>
      <c r="O5319" s="162"/>
      <c r="P5319" s="178" t="s">
        <v>11366</v>
      </c>
      <c r="Q5319" s="162" t="s">
        <v>3953</v>
      </c>
      <c r="R5319" s="189" t="s">
        <v>2711</v>
      </c>
      <c r="S5319" s="366" t="s">
        <v>11214</v>
      </c>
      <c r="T5319" s="178"/>
      <c r="U5319" s="178"/>
      <c r="V5319" s="178"/>
      <c r="W5319" s="316" t="s">
        <v>11365</v>
      </c>
      <c r="X5319" s="648" t="s">
        <v>12352</v>
      </c>
      <c r="Y5319" s="356"/>
      <c r="Z5319" s="272"/>
      <c r="AA5319" s="272"/>
      <c r="AB5319" s="34">
        <f t="shared" ca="1" si="131"/>
        <v>0.21604717511658034</v>
      </c>
      <c r="AC5319" s="814"/>
      <c r="AD5319" s="815"/>
      <c r="AE5319" s="942"/>
      <c r="AF5319" s="923">
        <f>IF(X5319=X5318,AF5318,0)+IF(ISNUMBER(I5319),IF(I5319&lt;1,I5319,I5319*VLOOKUP(J5319,Summary!$H$2:$I$9,2)),VLOOKUP(J5319,Summary!$J$2:$K$9,2)*IF(ISNUMBER(H5319),H5319,1))</f>
        <v>0.53707175925925932</v>
      </c>
      <c r="AG5319" s="291">
        <v>5318</v>
      </c>
      <c r="AH5319" s="94"/>
      <c r="AI5319" s="94"/>
    </row>
    <row r="5320" spans="1:35" s="22" customFormat="1" ht="12" customHeight="1" x14ac:dyDescent="0.25">
      <c r="A5320" s="630" t="s">
        <v>10894</v>
      </c>
      <c r="B5320" s="630">
        <v>12</v>
      </c>
      <c r="C5320" s="630">
        <v>60</v>
      </c>
      <c r="D5320" s="417" t="s">
        <v>11361</v>
      </c>
      <c r="E5320" s="316" t="s">
        <v>11362</v>
      </c>
      <c r="F5320" s="195">
        <v>42845</v>
      </c>
      <c r="G5320" s="195"/>
      <c r="H5320" s="188" t="str">
        <f>IF(J5320="Book","n/a","")</f>
        <v>n/a</v>
      </c>
      <c r="I5320" s="188">
        <v>256</v>
      </c>
      <c r="J5320" s="902" t="s">
        <v>6868</v>
      </c>
      <c r="K5320" s="162" t="s">
        <v>2479</v>
      </c>
      <c r="L5320" s="264" t="s">
        <v>461</v>
      </c>
      <c r="M5320" s="162"/>
      <c r="N5320" s="162"/>
      <c r="O5320" s="162"/>
      <c r="P5320" s="178" t="s">
        <v>11363</v>
      </c>
      <c r="Q5320" s="162" t="s">
        <v>3953</v>
      </c>
      <c r="R5320" s="189" t="s">
        <v>2711</v>
      </c>
      <c r="S5320" s="366" t="s">
        <v>11214</v>
      </c>
      <c r="T5320" s="178"/>
      <c r="U5320" s="178"/>
      <c r="V5320" s="178"/>
      <c r="W5320" s="316" t="s">
        <v>11362</v>
      </c>
      <c r="X5320" s="648" t="s">
        <v>12352</v>
      </c>
      <c r="Y5320" s="356"/>
      <c r="Z5320" s="272"/>
      <c r="AA5320" s="272"/>
      <c r="AB5320" s="34">
        <f t="shared" ca="1" si="131"/>
        <v>0.2314138101742037</v>
      </c>
      <c r="AC5320" s="814"/>
      <c r="AD5320" s="815"/>
      <c r="AE5320" s="942"/>
      <c r="AF5320" s="923">
        <f>IF(X5320=X5319,AF5319,0)+IF(ISNUMBER(I5320),IF(I5320&lt;1,I5320,I5320*VLOOKUP(J5320,Summary!$H$2:$I$9,2)),VLOOKUP(J5320,Summary!$J$2:$K$9,2)*IF(ISNUMBER(H5320),H5320,1))</f>
        <v>0.71484953703703713</v>
      </c>
      <c r="AG5320" s="291">
        <v>5319</v>
      </c>
      <c r="AH5320" s="94"/>
      <c r="AI5320" s="94"/>
    </row>
    <row r="5321" spans="1:35" s="22" customFormat="1" ht="12" customHeight="1" x14ac:dyDescent="0.2">
      <c r="A5321" s="629" t="s">
        <v>10894</v>
      </c>
      <c r="B5321" s="629">
        <v>12</v>
      </c>
      <c r="C5321" s="629"/>
      <c r="D5321" s="185" t="s">
        <v>11375</v>
      </c>
      <c r="E5321" s="314" t="s">
        <v>11359</v>
      </c>
      <c r="F5321" s="184">
        <v>42861</v>
      </c>
      <c r="G5321" s="183"/>
      <c r="H5321" s="185">
        <v>1</v>
      </c>
      <c r="I5321" s="185">
        <v>16</v>
      </c>
      <c r="J5321" s="901" t="s">
        <v>1796</v>
      </c>
      <c r="K5321" s="163" t="s">
        <v>11376</v>
      </c>
      <c r="L5321" s="163" t="s">
        <v>11377</v>
      </c>
      <c r="M5321" s="163" t="s">
        <v>11378</v>
      </c>
      <c r="N5321" s="163"/>
      <c r="O5321" s="163"/>
      <c r="P5321" s="182" t="s">
        <v>461</v>
      </c>
      <c r="Q5321" s="163" t="s">
        <v>3947</v>
      </c>
      <c r="R5321" s="186" t="s">
        <v>10880</v>
      </c>
      <c r="S5321" s="355" t="s">
        <v>11214</v>
      </c>
      <c r="T5321" s="182" t="s">
        <v>10886</v>
      </c>
      <c r="U5321" s="182" t="s">
        <v>10234</v>
      </c>
      <c r="V5321" s="182" t="s">
        <v>11380</v>
      </c>
      <c r="W5321" s="314" t="s">
        <v>11359</v>
      </c>
      <c r="X5321" s="646" t="s">
        <v>12352</v>
      </c>
      <c r="Y5321" s="355"/>
      <c r="Z5321" s="185"/>
      <c r="AA5321" s="185"/>
      <c r="AB5321" s="33">
        <f t="shared" ca="1" si="131"/>
        <v>0.60464287866073152</v>
      </c>
      <c r="AC5321" s="813"/>
      <c r="AD5321" s="211"/>
      <c r="AE5321" s="941"/>
      <c r="AF5321" s="922">
        <f>IF(X5321=X5320,AF5320,0)+IF(ISNUMBER(I5321),IF(I5321&lt;1,I5321,I5321*VLOOKUP(J5321,Summary!$H$2:$I$9,2)),VLOOKUP(J5321,Summary!$J$2:$K$9,2)*IF(ISNUMBER(H5321),H5321,1))</f>
        <v>0.72040509259259267</v>
      </c>
      <c r="AG5321" s="295">
        <v>5320</v>
      </c>
      <c r="AH5321" s="94"/>
      <c r="AI5321" s="94"/>
    </row>
    <row r="5322" spans="1:35" s="22" customFormat="1" ht="12" customHeight="1" x14ac:dyDescent="0.25">
      <c r="A5322" s="626" t="s">
        <v>10894</v>
      </c>
      <c r="B5322" s="626">
        <v>12</v>
      </c>
      <c r="C5322" s="626">
        <v>268</v>
      </c>
      <c r="D5322" s="424" t="s">
        <v>11219</v>
      </c>
      <c r="E5322" s="319" t="s">
        <v>11220</v>
      </c>
      <c r="F5322" s="198">
        <v>42861</v>
      </c>
      <c r="G5322" s="198"/>
      <c r="H5322" s="199">
        <v>1</v>
      </c>
      <c r="I5322" s="791">
        <f>TIME(0,44,28)</f>
        <v>3.0879629629629632E-2</v>
      </c>
      <c r="J5322" s="904" t="s">
        <v>1588</v>
      </c>
      <c r="K5322" s="200" t="s">
        <v>11221</v>
      </c>
      <c r="L5322" s="200" t="s">
        <v>11216</v>
      </c>
      <c r="M5322" s="200"/>
      <c r="N5322" s="200" t="s">
        <v>3810</v>
      </c>
      <c r="O5322" s="200" t="s">
        <v>8002</v>
      </c>
      <c r="P5322" s="197" t="s">
        <v>461</v>
      </c>
      <c r="Q5322" s="200" t="s">
        <v>3946</v>
      </c>
      <c r="R5322" s="201" t="s">
        <v>5280</v>
      </c>
      <c r="S5322" s="390" t="s">
        <v>11214</v>
      </c>
      <c r="T5322" s="197" t="s">
        <v>11336</v>
      </c>
      <c r="U5322" s="197"/>
      <c r="V5322" s="197"/>
      <c r="W5322" s="319" t="s">
        <v>11220</v>
      </c>
      <c r="X5322" s="651" t="s">
        <v>12352</v>
      </c>
      <c r="Y5322" s="358"/>
      <c r="Z5322" s="253">
        <v>238</v>
      </c>
      <c r="AA5322" s="253">
        <v>3.5</v>
      </c>
      <c r="AB5322" s="35">
        <f t="shared" ca="1" si="131"/>
        <v>0.16718714108421462</v>
      </c>
      <c r="AC5322" s="820"/>
      <c r="AD5322" s="821"/>
      <c r="AE5322" s="967"/>
      <c r="AF5322" s="925">
        <f>IF(X5322=X5321,AF5321,0)+IF(ISNUMBER(I5322),IF(I5322&lt;1,I5322,I5322*VLOOKUP(J5322,Summary!$H$2:$I$9,2)),VLOOKUP(J5322,Summary!$J$2:$K$9,2)*IF(ISNUMBER(H5322),H5322,1))</f>
        <v>0.75128472222222231</v>
      </c>
      <c r="AG5322" s="293">
        <v>5321</v>
      </c>
      <c r="AH5322" s="94"/>
      <c r="AI5322" s="94"/>
    </row>
    <row r="5323" spans="1:35" s="22" customFormat="1" ht="12" customHeight="1" x14ac:dyDescent="0.2">
      <c r="A5323" s="629" t="s">
        <v>10894</v>
      </c>
      <c r="B5323" s="629">
        <v>12</v>
      </c>
      <c r="C5323" s="629"/>
      <c r="D5323" s="185" t="s">
        <v>12389</v>
      </c>
      <c r="E5323" s="314" t="s">
        <v>12385</v>
      </c>
      <c r="F5323" s="184">
        <v>42999</v>
      </c>
      <c r="G5323" s="184"/>
      <c r="H5323" s="185">
        <v>1</v>
      </c>
      <c r="I5323" s="185">
        <v>6</v>
      </c>
      <c r="J5323" s="901" t="s">
        <v>1796</v>
      </c>
      <c r="K5323" s="163"/>
      <c r="L5323" s="163"/>
      <c r="M5323" s="163"/>
      <c r="N5323" s="163"/>
      <c r="O5323" s="163"/>
      <c r="P5323" s="182" t="s">
        <v>461</v>
      </c>
      <c r="Q5323" s="164" t="s">
        <v>8285</v>
      </c>
      <c r="R5323" s="207" t="s">
        <v>4600</v>
      </c>
      <c r="S5323" s="355" t="s">
        <v>11214</v>
      </c>
      <c r="T5323" s="182"/>
      <c r="U5323" s="182"/>
      <c r="V5323" s="182"/>
      <c r="W5323" s="314" t="s">
        <v>12385</v>
      </c>
      <c r="X5323" s="646" t="s">
        <v>12352</v>
      </c>
      <c r="Y5323" s="355"/>
      <c r="Z5323" s="185"/>
      <c r="AA5323" s="185"/>
      <c r="AB5323" s="33">
        <f t="shared" ca="1" si="131"/>
        <v>0.52695548802729641</v>
      </c>
      <c r="AC5323" s="813"/>
      <c r="AD5323" s="211"/>
      <c r="AE5323" s="941"/>
      <c r="AF5323" s="922">
        <f>IF(X5323=X5322,AF5322,0)+IF(ISNUMBER(I5323),IF(I5323&lt;1,I5323,I5323*VLOOKUP(J5323,Summary!$H$2:$I$9,2)),VLOOKUP(J5323,Summary!$J$2:$K$9,2)*IF(ISNUMBER(H5323),H5323,1))</f>
        <v>0.75336805555555564</v>
      </c>
      <c r="AG5323" s="290">
        <v>5322</v>
      </c>
      <c r="AH5323" s="94"/>
      <c r="AI5323" s="94"/>
    </row>
    <row r="5324" spans="1:35" s="1" customFormat="1" ht="12" customHeight="1" x14ac:dyDescent="0.25">
      <c r="A5324" s="629" t="s">
        <v>10894</v>
      </c>
      <c r="B5324" s="629">
        <v>12</v>
      </c>
      <c r="C5324" s="629">
        <v>14</v>
      </c>
      <c r="D5324" s="185" t="s">
        <v>15435</v>
      </c>
      <c r="E5324" s="314" t="s">
        <v>12388</v>
      </c>
      <c r="F5324" s="184">
        <v>42938</v>
      </c>
      <c r="G5324" s="184"/>
      <c r="H5324" s="185">
        <v>1</v>
      </c>
      <c r="I5324" s="185"/>
      <c r="J5324" s="901" t="s">
        <v>1796</v>
      </c>
      <c r="K5324" s="163" t="s">
        <v>2675</v>
      </c>
      <c r="L5324" s="163" t="s">
        <v>10915</v>
      </c>
      <c r="M5324" s="163" t="s">
        <v>10936</v>
      </c>
      <c r="N5324" s="163"/>
      <c r="O5324" s="163"/>
      <c r="P5324" s="182" t="s">
        <v>461</v>
      </c>
      <c r="Q5324" s="163" t="s">
        <v>7076</v>
      </c>
      <c r="R5324" s="186" t="s">
        <v>10880</v>
      </c>
      <c r="S5324" s="355" t="s">
        <v>11214</v>
      </c>
      <c r="T5324" s="182"/>
      <c r="U5324" s="182"/>
      <c r="V5324" s="182"/>
      <c r="W5324" s="314" t="s">
        <v>12388</v>
      </c>
      <c r="X5324" s="646" t="s">
        <v>12352</v>
      </c>
      <c r="Y5324" s="355"/>
      <c r="Z5324" s="185"/>
      <c r="AA5324" s="185"/>
      <c r="AB5324" s="33">
        <f t="shared" ca="1" si="131"/>
        <v>0.95935112527116384</v>
      </c>
      <c r="AC5324" s="813"/>
      <c r="AD5324" s="211"/>
      <c r="AE5324" s="941"/>
      <c r="AF5324" s="922">
        <f>IF(X5324=X5323,AF5323,0)+IF(ISNUMBER(I5324),IF(I5324&lt;1,I5324,I5324*VLOOKUP(J5324,Summary!$H$2:$I$9,2)),VLOOKUP(J5324,Summary!$J$2:$K$9,2)*IF(ISNUMBER(H5324),H5324,1))</f>
        <v>0.75684027777777785</v>
      </c>
      <c r="AG5324" s="290">
        <v>5323</v>
      </c>
      <c r="AH5324" s="94"/>
      <c r="AI5324" s="94"/>
    </row>
    <row r="5325" spans="1:35" s="1" customFormat="1" ht="12" customHeight="1" x14ac:dyDescent="0.25">
      <c r="A5325" s="627" t="s">
        <v>10894</v>
      </c>
      <c r="B5325" s="627">
        <v>12</v>
      </c>
      <c r="C5325" s="627"/>
      <c r="D5325" s="176" t="s">
        <v>12389</v>
      </c>
      <c r="E5325" s="313" t="s">
        <v>12386</v>
      </c>
      <c r="F5325" s="175">
        <v>42999</v>
      </c>
      <c r="G5325" s="175"/>
      <c r="H5325" s="176">
        <v>1</v>
      </c>
      <c r="I5325" s="176"/>
      <c r="J5325" s="900" t="s">
        <v>2755</v>
      </c>
      <c r="K5325" s="164"/>
      <c r="L5325" s="164"/>
      <c r="M5325" s="164"/>
      <c r="N5325" s="164"/>
      <c r="O5325" s="164"/>
      <c r="P5325" s="173" t="s">
        <v>461</v>
      </c>
      <c r="Q5325" s="164" t="s">
        <v>8285</v>
      </c>
      <c r="R5325" s="179" t="s">
        <v>4600</v>
      </c>
      <c r="S5325" s="354" t="s">
        <v>11214</v>
      </c>
      <c r="T5325" s="173"/>
      <c r="U5325" s="173"/>
      <c r="V5325" s="173"/>
      <c r="W5325" s="313" t="s">
        <v>12386</v>
      </c>
      <c r="X5325" s="645" t="s">
        <v>12352</v>
      </c>
      <c r="Y5325" s="354"/>
      <c r="Z5325" s="176"/>
      <c r="AA5325" s="176"/>
      <c r="AB5325" s="32">
        <f t="shared" ca="1" si="131"/>
        <v>0.95363361825090143</v>
      </c>
      <c r="AC5325" s="812"/>
      <c r="AD5325" s="763"/>
      <c r="AE5325" s="807"/>
      <c r="AF5325" s="921">
        <f>IF(X5325=X5324,AF5324,0)+IF(ISNUMBER(I5325),IF(I5325&lt;1,I5325,I5325*VLOOKUP(J5325,Summary!$H$2:$I$9,2)),VLOOKUP(J5325,Summary!$J$2:$K$9,2)*IF(ISNUMBER(H5325),H5325,1))</f>
        <v>0.77420138888888901</v>
      </c>
      <c r="AG5325" s="289">
        <v>5324</v>
      </c>
      <c r="AH5325" s="94"/>
      <c r="AI5325" s="94"/>
    </row>
    <row r="5326" spans="1:35" s="57" customFormat="1" ht="12" customHeight="1" x14ac:dyDescent="0.25">
      <c r="A5326" s="626" t="s">
        <v>10894</v>
      </c>
      <c r="B5326" s="626">
        <v>12</v>
      </c>
      <c r="C5326" s="626">
        <v>269</v>
      </c>
      <c r="D5326" s="424" t="s">
        <v>11293</v>
      </c>
      <c r="E5326" s="319" t="s">
        <v>11294</v>
      </c>
      <c r="F5326" s="198">
        <v>42868</v>
      </c>
      <c r="G5326" s="198"/>
      <c r="H5326" s="199">
        <v>1</v>
      </c>
      <c r="I5326" s="791">
        <f>TIME(0,44,48)</f>
        <v>3.1111111111111107E-2</v>
      </c>
      <c r="J5326" s="904" t="s">
        <v>1588</v>
      </c>
      <c r="K5326" s="200" t="s">
        <v>8186</v>
      </c>
      <c r="L5326" s="200" t="s">
        <v>2972</v>
      </c>
      <c r="M5326" s="200"/>
      <c r="N5326" s="200" t="s">
        <v>3810</v>
      </c>
      <c r="O5326" s="200" t="s">
        <v>8002</v>
      </c>
      <c r="P5326" s="197" t="s">
        <v>461</v>
      </c>
      <c r="Q5326" s="200" t="s">
        <v>3946</v>
      </c>
      <c r="R5326" s="201" t="s">
        <v>5280</v>
      </c>
      <c r="S5326" s="390" t="s">
        <v>11214</v>
      </c>
      <c r="T5326" s="197" t="s">
        <v>11336</v>
      </c>
      <c r="U5326" s="197"/>
      <c r="V5326" s="197"/>
      <c r="W5326" s="319" t="s">
        <v>11294</v>
      </c>
      <c r="X5326" s="651" t="s">
        <v>12352</v>
      </c>
      <c r="Y5326" s="358"/>
      <c r="Z5326" s="253">
        <v>82</v>
      </c>
      <c r="AA5326" s="253">
        <v>7.5</v>
      </c>
      <c r="AB5326" s="35">
        <f t="shared" ca="1" si="131"/>
        <v>0.17447287075373907</v>
      </c>
      <c r="AC5326" s="820"/>
      <c r="AD5326" s="821"/>
      <c r="AE5326" s="967"/>
      <c r="AF5326" s="925">
        <f>IF(X5326=X5325,AF5325,0)+IF(ISNUMBER(I5326),IF(I5326&lt;1,I5326,I5326*VLOOKUP(J5326,Summary!$H$2:$I$9,2)),VLOOKUP(J5326,Summary!$J$2:$K$9,2)*IF(ISNUMBER(H5326),H5326,1))</f>
        <v>0.8053125000000001</v>
      </c>
      <c r="AG5326" s="293">
        <v>5325</v>
      </c>
      <c r="AH5326" s="94"/>
      <c r="AI5326" s="94"/>
    </row>
    <row r="5327" spans="1:35" s="1" customFormat="1" ht="12" customHeight="1" x14ac:dyDescent="0.25">
      <c r="A5327" s="626" t="s">
        <v>10894</v>
      </c>
      <c r="B5327" s="626">
        <v>12</v>
      </c>
      <c r="C5327" s="626">
        <v>270</v>
      </c>
      <c r="D5327" s="424" t="s">
        <v>11334</v>
      </c>
      <c r="E5327" s="319" t="s">
        <v>11335</v>
      </c>
      <c r="F5327" s="198">
        <v>42875</v>
      </c>
      <c r="G5327" s="198"/>
      <c r="H5327" s="199">
        <v>1</v>
      </c>
      <c r="I5327" s="791">
        <f>TIME(0,48,43)</f>
        <v>3.3831018518518517E-2</v>
      </c>
      <c r="J5327" s="904" t="s">
        <v>1588</v>
      </c>
      <c r="K5327" s="200" t="s">
        <v>3810</v>
      </c>
      <c r="L5327" s="200" t="s">
        <v>4114</v>
      </c>
      <c r="M5327" s="200"/>
      <c r="N5327" s="200" t="s">
        <v>3810</v>
      </c>
      <c r="O5327" s="200" t="s">
        <v>8002</v>
      </c>
      <c r="P5327" s="197" t="s">
        <v>461</v>
      </c>
      <c r="Q5327" s="200" t="s">
        <v>3946</v>
      </c>
      <c r="R5327" s="201" t="s">
        <v>5280</v>
      </c>
      <c r="S5327" s="390" t="s">
        <v>11214</v>
      </c>
      <c r="T5327" s="197" t="s">
        <v>11336</v>
      </c>
      <c r="U5327" s="197"/>
      <c r="V5327" s="197"/>
      <c r="W5327" s="319" t="s">
        <v>11335</v>
      </c>
      <c r="X5327" s="651" t="s">
        <v>12352</v>
      </c>
      <c r="Y5327" s="358" t="s">
        <v>7018</v>
      </c>
      <c r="Z5327" s="253">
        <v>107</v>
      </c>
      <c r="AA5327" s="253">
        <v>6.5</v>
      </c>
      <c r="AB5327" s="35">
        <f t="shared" ca="1" si="131"/>
        <v>0.30745294718660798</v>
      </c>
      <c r="AC5327" s="820"/>
      <c r="AD5327" s="821"/>
      <c r="AE5327" s="967"/>
      <c r="AF5327" s="925">
        <f>IF(X5327=X5326,AF5326,0)+IF(ISNUMBER(I5327),IF(I5327&lt;1,I5327,I5327*VLOOKUP(J5327,Summary!$H$2:$I$9,2)),VLOOKUP(J5327,Summary!$J$2:$K$9,2)*IF(ISNUMBER(H5327),H5327,1))</f>
        <v>0.83914351851851865</v>
      </c>
      <c r="AG5327" s="293">
        <v>5326</v>
      </c>
      <c r="AH5327" s="94"/>
      <c r="AI5327" s="94"/>
    </row>
    <row r="5328" spans="1:35" s="57" customFormat="1" ht="12" customHeight="1" x14ac:dyDescent="0.25">
      <c r="A5328" s="626" t="s">
        <v>10894</v>
      </c>
      <c r="B5328" s="626">
        <v>12</v>
      </c>
      <c r="C5328" s="626">
        <v>271</v>
      </c>
      <c r="D5328" s="424" t="s">
        <v>11418</v>
      </c>
      <c r="E5328" s="319" t="s">
        <v>11419</v>
      </c>
      <c r="F5328" s="198">
        <v>42882</v>
      </c>
      <c r="G5328" s="198"/>
      <c r="H5328" s="199">
        <v>1</v>
      </c>
      <c r="I5328" s="791">
        <f>TIME(0,46, 0)</f>
        <v>3.1944444444444449E-2</v>
      </c>
      <c r="J5328" s="904" t="s">
        <v>1588</v>
      </c>
      <c r="K5328" s="200" t="s">
        <v>9728</v>
      </c>
      <c r="L5328" s="200" t="s">
        <v>4114</v>
      </c>
      <c r="M5328" s="200"/>
      <c r="N5328" s="200" t="s">
        <v>3810</v>
      </c>
      <c r="O5328" s="200" t="s">
        <v>8002</v>
      </c>
      <c r="P5328" s="197" t="s">
        <v>461</v>
      </c>
      <c r="Q5328" s="200" t="s">
        <v>3946</v>
      </c>
      <c r="R5328" s="201" t="s">
        <v>5280</v>
      </c>
      <c r="S5328" s="390" t="s">
        <v>11214</v>
      </c>
      <c r="T5328" s="197" t="s">
        <v>11336</v>
      </c>
      <c r="U5328" s="197"/>
      <c r="V5328" s="197"/>
      <c r="W5328" s="319" t="s">
        <v>11419</v>
      </c>
      <c r="X5328" s="651" t="s">
        <v>12352</v>
      </c>
      <c r="Y5328" s="358" t="s">
        <v>7018</v>
      </c>
      <c r="Z5328" s="253">
        <v>92</v>
      </c>
      <c r="AA5328" s="253">
        <v>7</v>
      </c>
      <c r="AB5328" s="35">
        <f t="shared" ca="1" si="131"/>
        <v>0.62670972887969201</v>
      </c>
      <c r="AC5328" s="820"/>
      <c r="AD5328" s="821"/>
      <c r="AE5328" s="967"/>
      <c r="AF5328" s="925">
        <f>IF(X5328=X5327,AF5327,0)+IF(ISNUMBER(I5328),IF(I5328&lt;1,I5328,I5328*VLOOKUP(J5328,Summary!$H$2:$I$9,2)),VLOOKUP(J5328,Summary!$J$2:$K$9,2)*IF(ISNUMBER(H5328),H5328,1))</f>
        <v>0.87108796296296309</v>
      </c>
      <c r="AG5328" s="293">
        <v>5327</v>
      </c>
      <c r="AH5328" s="94"/>
      <c r="AI5328" s="94"/>
    </row>
    <row r="5329" spans="1:42" s="22" customFormat="1" ht="12" customHeight="1" x14ac:dyDescent="0.25">
      <c r="A5329" s="626" t="s">
        <v>10894</v>
      </c>
      <c r="B5329" s="626">
        <v>12</v>
      </c>
      <c r="C5329" s="626">
        <v>272</v>
      </c>
      <c r="D5329" s="424" t="s">
        <v>11444</v>
      </c>
      <c r="E5329" s="319" t="s">
        <v>11445</v>
      </c>
      <c r="F5329" s="198">
        <v>42889</v>
      </c>
      <c r="G5329" s="198"/>
      <c r="H5329" s="199">
        <v>1</v>
      </c>
      <c r="I5329" s="791">
        <f>TIME(0,44,38)</f>
        <v>3.0995370370370371E-2</v>
      </c>
      <c r="J5329" s="904" t="s">
        <v>1588</v>
      </c>
      <c r="K5329" s="200" t="s">
        <v>5297</v>
      </c>
      <c r="L5329" s="200" t="s">
        <v>10337</v>
      </c>
      <c r="M5329" s="200"/>
      <c r="N5329" s="200" t="s">
        <v>3810</v>
      </c>
      <c r="O5329" s="200" t="s">
        <v>8002</v>
      </c>
      <c r="P5329" s="197" t="s">
        <v>461</v>
      </c>
      <c r="Q5329" s="200" t="s">
        <v>3946</v>
      </c>
      <c r="R5329" s="201" t="s">
        <v>5280</v>
      </c>
      <c r="S5329" s="390" t="s">
        <v>11214</v>
      </c>
      <c r="T5329" s="197" t="s">
        <v>11336</v>
      </c>
      <c r="U5329" s="197"/>
      <c r="V5329" s="197"/>
      <c r="W5329" s="319" t="s">
        <v>11445</v>
      </c>
      <c r="X5329" s="651" t="s">
        <v>12352</v>
      </c>
      <c r="Y5329" s="358" t="s">
        <v>7018</v>
      </c>
      <c r="Z5329" s="253">
        <v>299</v>
      </c>
      <c r="AA5329" s="253">
        <v>1.5</v>
      </c>
      <c r="AB5329" s="35">
        <f t="shared" ca="1" si="131"/>
        <v>4.3764713826514257E-2</v>
      </c>
      <c r="AC5329" s="820"/>
      <c r="AD5329" s="821"/>
      <c r="AE5329" s="967"/>
      <c r="AF5329" s="925">
        <f>IF(X5329=X5328,AF5328,0)+IF(ISNUMBER(I5329),IF(I5329&lt;1,I5329,I5329*VLOOKUP(J5329,Summary!$H$2:$I$9,2)),VLOOKUP(J5329,Summary!$J$2:$K$9,2)*IF(ISNUMBER(H5329),H5329,1))</f>
        <v>0.90208333333333346</v>
      </c>
      <c r="AG5329" s="293">
        <v>5328</v>
      </c>
      <c r="AH5329" s="94"/>
      <c r="AI5329" s="94"/>
      <c r="AP5329" s="795">
        <f>IF(X5334=X5333,AF5333,0)+IF(ISNUMBER(I5334),IF(I5334&lt;1,I5334,I5334*VLOOKUP(J5334,Summary!$H$2:$I$9,2)),VLOOKUP(J5334,Summary!$J$2:$K$9,2)*IF(ISNUMBER(H5334),H5334,1))</f>
        <v>0.97013888888888899</v>
      </c>
    </row>
    <row r="5330" spans="1:42" s="22" customFormat="1" ht="12" customHeight="1" x14ac:dyDescent="0.25">
      <c r="A5330" s="631" t="s">
        <v>10894</v>
      </c>
      <c r="B5330" s="631">
        <v>12</v>
      </c>
      <c r="C5330" s="631">
        <v>4</v>
      </c>
      <c r="D5330" s="192" t="s">
        <v>14482</v>
      </c>
      <c r="E5330" s="317" t="s">
        <v>14483</v>
      </c>
      <c r="F5330" s="209">
        <v>43167</v>
      </c>
      <c r="G5330" s="191"/>
      <c r="H5330" s="192">
        <v>1</v>
      </c>
      <c r="I5330" s="192"/>
      <c r="J5330" s="903" t="s">
        <v>2755</v>
      </c>
      <c r="K5330" s="194" t="s">
        <v>1985</v>
      </c>
      <c r="L5330" s="194" t="s">
        <v>14484</v>
      </c>
      <c r="M5330" s="194" t="s">
        <v>13400</v>
      </c>
      <c r="N5330" s="194"/>
      <c r="O5330" s="194"/>
      <c r="P5330" s="190" t="s">
        <v>14485</v>
      </c>
      <c r="Q5330" s="194" t="s">
        <v>3953</v>
      </c>
      <c r="R5330" s="221" t="s">
        <v>14486</v>
      </c>
      <c r="S5330" s="357" t="s">
        <v>11214</v>
      </c>
      <c r="T5330" s="190"/>
      <c r="U5330" s="190"/>
      <c r="V5330" s="190"/>
      <c r="W5330" s="317" t="s">
        <v>14483</v>
      </c>
      <c r="X5330" s="649" t="s">
        <v>12352</v>
      </c>
      <c r="Y5330" s="357"/>
      <c r="Z5330" s="192"/>
      <c r="AA5330" s="192"/>
      <c r="AB5330" s="37">
        <f t="shared" ca="1" si="131"/>
        <v>0.4933251170084858</v>
      </c>
      <c r="AC5330" s="816"/>
      <c r="AD5330" s="817"/>
      <c r="AE5330" s="943"/>
      <c r="AF5330" s="924">
        <f>IF(X5330=X5329,AF5329,0)+IF(ISNUMBER(I5330),IF(I5330&lt;1,I5330,I5330*VLOOKUP(J5330,Summary!$H$2:$I$9,2)),VLOOKUP(J5330,Summary!$J$2:$K$9,2)*IF(ISNUMBER(H5330),H5330,1))</f>
        <v>0.91944444444444462</v>
      </c>
      <c r="AG5330" s="298">
        <v>5329</v>
      </c>
      <c r="AH5330" s="94"/>
      <c r="AI5330" s="94"/>
    </row>
    <row r="5331" spans="1:42" s="22" customFormat="1" ht="12" customHeight="1" x14ac:dyDescent="0.2">
      <c r="A5331" s="629" t="s">
        <v>10894</v>
      </c>
      <c r="B5331" s="629">
        <v>12</v>
      </c>
      <c r="C5331" s="629">
        <v>179</v>
      </c>
      <c r="D5331" s="185" t="s">
        <v>12379</v>
      </c>
      <c r="E5331" s="314" t="s">
        <v>12380</v>
      </c>
      <c r="F5331" s="184">
        <v>42943</v>
      </c>
      <c r="G5331" s="184">
        <v>42999</v>
      </c>
      <c r="H5331" s="185">
        <v>3</v>
      </c>
      <c r="I5331" s="185">
        <v>36</v>
      </c>
      <c r="J5331" s="901" t="s">
        <v>1796</v>
      </c>
      <c r="K5331" s="163" t="s">
        <v>5251</v>
      </c>
      <c r="L5331" s="163" t="s">
        <v>12381</v>
      </c>
      <c r="M5331" s="163" t="s">
        <v>252</v>
      </c>
      <c r="N5331" s="163" t="s">
        <v>5742</v>
      </c>
      <c r="O5331" s="163"/>
      <c r="P5331" s="182" t="s">
        <v>461</v>
      </c>
      <c r="Q5331" s="163" t="s">
        <v>4104</v>
      </c>
      <c r="R5331" s="186" t="s">
        <v>5266</v>
      </c>
      <c r="S5331" s="355" t="s">
        <v>11214</v>
      </c>
      <c r="T5331" s="182"/>
      <c r="U5331" s="182"/>
      <c r="V5331" s="182"/>
      <c r="W5331" s="314"/>
      <c r="X5331" s="646" t="s">
        <v>12352</v>
      </c>
      <c r="Y5331" s="355"/>
      <c r="Z5331" s="185"/>
      <c r="AA5331" s="185"/>
      <c r="AB5331" s="33">
        <f t="shared" ca="1" si="131"/>
        <v>0.21550730670032447</v>
      </c>
      <c r="AC5331" s="813"/>
      <c r="AD5331" s="211"/>
      <c r="AE5331" s="941"/>
      <c r="AF5331" s="922">
        <f>IF(X5331=X5330,AF5330,0)+IF(ISNUMBER(I5331),IF(I5331&lt;1,I5331,I5331*VLOOKUP(J5331,Summary!$H$2:$I$9,2)),VLOOKUP(J5331,Summary!$J$2:$K$9,2)*IF(ISNUMBER(H5331),H5331,1))</f>
        <v>0.93194444444444458</v>
      </c>
      <c r="AG5331" s="290">
        <v>5330</v>
      </c>
      <c r="AH5331" s="94"/>
      <c r="AI5331" s="94"/>
    </row>
    <row r="5332" spans="1:42" s="22" customFormat="1" ht="12" customHeight="1" x14ac:dyDescent="0.2">
      <c r="A5332" s="629" t="s">
        <v>10894</v>
      </c>
      <c r="B5332" s="629">
        <v>12</v>
      </c>
      <c r="C5332" s="629">
        <v>180</v>
      </c>
      <c r="D5332" s="185" t="s">
        <v>12382</v>
      </c>
      <c r="E5332" s="314" t="s">
        <v>12383</v>
      </c>
      <c r="F5332" s="184">
        <v>43027</v>
      </c>
      <c r="G5332" s="184"/>
      <c r="H5332" s="185">
        <v>1</v>
      </c>
      <c r="I5332" s="185">
        <v>12</v>
      </c>
      <c r="J5332" s="901" t="s">
        <v>1796</v>
      </c>
      <c r="K5332" s="163" t="s">
        <v>5251</v>
      </c>
      <c r="L5332" s="163" t="s">
        <v>5251</v>
      </c>
      <c r="M5332" s="163" t="s">
        <v>252</v>
      </c>
      <c r="N5332" s="163" t="s">
        <v>12384</v>
      </c>
      <c r="O5332" s="163"/>
      <c r="P5332" s="182" t="s">
        <v>461</v>
      </c>
      <c r="Q5332" s="163" t="s">
        <v>4104</v>
      </c>
      <c r="R5332" s="186" t="s">
        <v>5266</v>
      </c>
      <c r="S5332" s="355" t="s">
        <v>11214</v>
      </c>
      <c r="T5332" s="182"/>
      <c r="U5332" s="182"/>
      <c r="V5332" s="182"/>
      <c r="W5332" s="314" t="s">
        <v>12383</v>
      </c>
      <c r="X5332" s="646" t="s">
        <v>12352</v>
      </c>
      <c r="Y5332" s="355"/>
      <c r="Z5332" s="185"/>
      <c r="AA5332" s="185"/>
      <c r="AB5332" s="33">
        <f t="shared" ca="1" si="131"/>
        <v>0.62575841423194978</v>
      </c>
      <c r="AC5332" s="813"/>
      <c r="AD5332" s="211"/>
      <c r="AE5332" s="941"/>
      <c r="AF5332" s="922">
        <f>IF(X5332=X5331,AF5331,0)+IF(ISNUMBER(I5332),IF(I5332&lt;1,I5332,I5332*VLOOKUP(J5332,Summary!$H$2:$I$9,2)),VLOOKUP(J5332,Summary!$J$2:$K$9,2)*IF(ISNUMBER(H5332),H5332,1))</f>
        <v>0.93611111111111123</v>
      </c>
      <c r="AG5332" s="290">
        <v>5331</v>
      </c>
      <c r="AH5332" s="94"/>
      <c r="AI5332" s="94"/>
    </row>
    <row r="5333" spans="1:42" s="22" customFormat="1" ht="12" customHeight="1" x14ac:dyDescent="0.2">
      <c r="A5333" s="629" t="s">
        <v>10894</v>
      </c>
      <c r="B5333" s="629">
        <v>12</v>
      </c>
      <c r="C5333" s="629">
        <v>181</v>
      </c>
      <c r="D5333" s="185" t="s">
        <v>13244</v>
      </c>
      <c r="E5333" s="314" t="s">
        <v>13245</v>
      </c>
      <c r="F5333" s="184">
        <v>43055</v>
      </c>
      <c r="G5333" s="184">
        <v>43167</v>
      </c>
      <c r="H5333" s="185">
        <v>5</v>
      </c>
      <c r="I5333" s="185">
        <v>40</v>
      </c>
      <c r="J5333" s="901" t="s">
        <v>1796</v>
      </c>
      <c r="K5333" s="163" t="s">
        <v>5251</v>
      </c>
      <c r="L5333" s="163" t="s">
        <v>6057</v>
      </c>
      <c r="M5333" s="163" t="s">
        <v>252</v>
      </c>
      <c r="N5333" s="163" t="s">
        <v>13246</v>
      </c>
      <c r="O5333" s="163"/>
      <c r="P5333" s="182" t="s">
        <v>461</v>
      </c>
      <c r="Q5333" s="163" t="s">
        <v>4104</v>
      </c>
      <c r="R5333" s="186" t="s">
        <v>5266</v>
      </c>
      <c r="S5333" s="355" t="s">
        <v>11214</v>
      </c>
      <c r="T5333" s="182"/>
      <c r="U5333" s="182"/>
      <c r="V5333" s="182"/>
      <c r="W5333" s="314"/>
      <c r="X5333" s="646" t="s">
        <v>12352</v>
      </c>
      <c r="Y5333" s="355"/>
      <c r="Z5333" s="185"/>
      <c r="AA5333" s="185"/>
      <c r="AB5333" s="33">
        <f t="shared" ca="1" si="131"/>
        <v>0.75495313692176091</v>
      </c>
      <c r="AC5333" s="813"/>
      <c r="AD5333" s="836"/>
      <c r="AE5333" s="941"/>
      <c r="AF5333" s="922">
        <f>IF(X5333=X5332,AF5332,0)+IF(ISNUMBER(I5333),IF(I5333&lt;1,I5333,I5333*VLOOKUP(J5333,Summary!$H$2:$I$9,2)),VLOOKUP(J5333,Summary!$J$2:$K$9,2)*IF(ISNUMBER(H5333),H5333,1))</f>
        <v>0.95000000000000007</v>
      </c>
      <c r="AG5333" s="290">
        <v>5332</v>
      </c>
      <c r="AH5333" s="94"/>
      <c r="AI5333" s="94"/>
    </row>
    <row r="5334" spans="1:42" s="22" customFormat="1" ht="12" customHeight="1" x14ac:dyDescent="0.2">
      <c r="A5334" s="779" t="s">
        <v>10894</v>
      </c>
      <c r="B5334" s="779">
        <v>12</v>
      </c>
      <c r="C5334" s="779">
        <v>182</v>
      </c>
      <c r="D5334" s="282" t="s">
        <v>15354</v>
      </c>
      <c r="E5334" s="349" t="s">
        <v>14480</v>
      </c>
      <c r="F5334" s="777">
        <v>43195</v>
      </c>
      <c r="G5334" s="777">
        <v>43363</v>
      </c>
      <c r="H5334" s="282">
        <v>7</v>
      </c>
      <c r="I5334" s="282">
        <v>58</v>
      </c>
      <c r="J5334" s="915" t="s">
        <v>1796</v>
      </c>
      <c r="K5334" s="284" t="s">
        <v>5251</v>
      </c>
      <c r="L5334" s="284" t="s">
        <v>3832</v>
      </c>
      <c r="M5334" s="284" t="s">
        <v>252</v>
      </c>
      <c r="N5334" s="284" t="s">
        <v>14481</v>
      </c>
      <c r="O5334" s="284"/>
      <c r="P5334" s="280" t="s">
        <v>461</v>
      </c>
      <c r="Q5334" s="284" t="s">
        <v>4104</v>
      </c>
      <c r="R5334" s="283" t="s">
        <v>5266</v>
      </c>
      <c r="S5334" s="389" t="s">
        <v>11214</v>
      </c>
      <c r="T5334" s="280"/>
      <c r="U5334" s="280"/>
      <c r="V5334" s="280"/>
      <c r="W5334" s="349"/>
      <c r="X5334" s="684" t="s">
        <v>12352</v>
      </c>
      <c r="Y5334" s="389"/>
      <c r="Z5334" s="282"/>
      <c r="AA5334" s="282"/>
      <c r="AB5334" s="121">
        <f t="shared" ca="1" si="131"/>
        <v>6.509871743523965E-2</v>
      </c>
      <c r="AC5334" s="851"/>
      <c r="AD5334" s="819"/>
      <c r="AE5334" s="972"/>
      <c r="AF5334" s="979">
        <f>IF(X5334=X5333,AF5333,0)+IF(ISNUMBER(I5334),IF(I5334&lt;1,I5334,I5334*VLOOKUP(J5334,Summary!$H$2:$I$9,2)),VLOOKUP(J5334,Summary!$J$2:$K$9,2)*IF(ISNUMBER(H5334),H5334,1))</f>
        <v>0.97013888888888899</v>
      </c>
      <c r="AG5334" s="308">
        <v>5333</v>
      </c>
      <c r="AH5334" s="94"/>
      <c r="AI5334" s="94"/>
    </row>
    <row r="5335" spans="1:42" s="22" customFormat="1" ht="12" customHeight="1" x14ac:dyDescent="0.25">
      <c r="A5335" s="630" t="s">
        <v>10894</v>
      </c>
      <c r="B5335" s="630">
        <v>12</v>
      </c>
      <c r="C5335" s="630">
        <v>62</v>
      </c>
      <c r="D5335" s="417" t="s">
        <v>11369</v>
      </c>
      <c r="E5335" s="316" t="s">
        <v>11368</v>
      </c>
      <c r="F5335" s="195">
        <v>42845</v>
      </c>
      <c r="G5335" s="195"/>
      <c r="H5335" s="188" t="str">
        <f>IF(J5335="Book","n/a","")</f>
        <v>n/a</v>
      </c>
      <c r="I5335" s="188">
        <v>256</v>
      </c>
      <c r="J5335" s="902" t="s">
        <v>6868</v>
      </c>
      <c r="K5335" s="162" t="s">
        <v>177</v>
      </c>
      <c r="L5335" s="264"/>
      <c r="M5335" s="162"/>
      <c r="N5335" s="162"/>
      <c r="O5335" s="162"/>
      <c r="P5335" s="178" t="s">
        <v>11367</v>
      </c>
      <c r="Q5335" s="162" t="s">
        <v>3953</v>
      </c>
      <c r="R5335" s="189" t="s">
        <v>2711</v>
      </c>
      <c r="S5335" s="366" t="s">
        <v>11214</v>
      </c>
      <c r="T5335" s="178" t="s">
        <v>11336</v>
      </c>
      <c r="U5335" s="178"/>
      <c r="V5335" s="178"/>
      <c r="W5335" s="316" t="s">
        <v>11368</v>
      </c>
      <c r="X5335" s="648" t="s">
        <v>12352</v>
      </c>
      <c r="Y5335" s="356"/>
      <c r="Z5335" s="272"/>
      <c r="AA5335" s="272"/>
      <c r="AB5335" s="34">
        <f t="shared" ca="1" si="131"/>
        <v>0.56705257663128061</v>
      </c>
      <c r="AC5335" s="814"/>
      <c r="AD5335" s="815"/>
      <c r="AE5335" s="942"/>
      <c r="AF5335" s="923">
        <f>IF(X5335=X5334,AF5334,0)+IF(ISNUMBER(I5335),IF(I5335&lt;1,I5335,I5335*VLOOKUP(J5335,Summary!$H$2:$I$9,2)),VLOOKUP(J5335,Summary!$J$2:$K$9,2)*IF(ISNUMBER(H5335),H5335,1))</f>
        <v>1.1479166666666667</v>
      </c>
      <c r="AG5335" s="291">
        <v>5334</v>
      </c>
      <c r="AH5335" s="94"/>
      <c r="AI5335" s="94"/>
    </row>
    <row r="5336" spans="1:42" s="22" customFormat="1" ht="12" customHeight="1" x14ac:dyDescent="0.25">
      <c r="A5336" s="626" t="s">
        <v>10894</v>
      </c>
      <c r="B5336" s="626">
        <v>12</v>
      </c>
      <c r="C5336" s="626">
        <v>273</v>
      </c>
      <c r="D5336" s="424" t="s">
        <v>11454</v>
      </c>
      <c r="E5336" s="319" t="s">
        <v>11455</v>
      </c>
      <c r="F5336" s="198">
        <v>42896</v>
      </c>
      <c r="G5336" s="198"/>
      <c r="H5336" s="199">
        <v>1</v>
      </c>
      <c r="I5336" s="791">
        <f>TIME(0,43,42)</f>
        <v>3.0347222222222223E-2</v>
      </c>
      <c r="J5336" s="904" t="s">
        <v>1588</v>
      </c>
      <c r="K5336" s="200" t="s">
        <v>4964</v>
      </c>
      <c r="L5336" s="200" t="s">
        <v>10337</v>
      </c>
      <c r="M5336" s="200"/>
      <c r="N5336" s="200" t="s">
        <v>3810</v>
      </c>
      <c r="O5336" s="200" t="s">
        <v>8002</v>
      </c>
      <c r="P5336" s="197" t="s">
        <v>461</v>
      </c>
      <c r="Q5336" s="200" t="s">
        <v>3946</v>
      </c>
      <c r="R5336" s="201" t="s">
        <v>5280</v>
      </c>
      <c r="S5336" s="390" t="s">
        <v>11214</v>
      </c>
      <c r="T5336" s="197" t="s">
        <v>11336</v>
      </c>
      <c r="U5336" s="197"/>
      <c r="V5336" s="197"/>
      <c r="W5336" s="319" t="s">
        <v>11455</v>
      </c>
      <c r="X5336" s="651" t="s">
        <v>12352</v>
      </c>
      <c r="Y5336" s="358"/>
      <c r="Z5336" s="253">
        <v>106</v>
      </c>
      <c r="AA5336" s="253">
        <v>6.5</v>
      </c>
      <c r="AB5336" s="35">
        <f t="shared" ca="1" si="131"/>
        <v>0.66661795259122236</v>
      </c>
      <c r="AC5336" s="820"/>
      <c r="AD5336" s="845"/>
      <c r="AE5336" s="967"/>
      <c r="AF5336" s="925">
        <f>IF(X5336=X5335,AF5335,0)+IF(ISNUMBER(I5336),IF(I5336&lt;1,I5336,I5336*VLOOKUP(J5336,Summary!$H$2:$I$9,2)),VLOOKUP(J5336,Summary!$J$2:$K$9,2)*IF(ISNUMBER(H5336),H5336,1))</f>
        <v>1.178263888888889</v>
      </c>
      <c r="AG5336" s="293">
        <v>5335</v>
      </c>
      <c r="AH5336" s="94"/>
      <c r="AI5336" s="94"/>
    </row>
    <row r="5337" spans="1:42" s="22" customFormat="1" ht="12" customHeight="1" x14ac:dyDescent="0.25">
      <c r="A5337" s="626" t="s">
        <v>10894</v>
      </c>
      <c r="B5337" s="626">
        <v>12</v>
      </c>
      <c r="C5337" s="626">
        <v>274</v>
      </c>
      <c r="D5337" s="424" t="s">
        <v>11467</v>
      </c>
      <c r="E5337" s="319" t="s">
        <v>11468</v>
      </c>
      <c r="F5337" s="198">
        <v>42903</v>
      </c>
      <c r="G5337" s="198"/>
      <c r="H5337" s="199">
        <v>1</v>
      </c>
      <c r="I5337" s="791">
        <f>TIME(0,42,20)</f>
        <v>2.9398148148148149E-2</v>
      </c>
      <c r="J5337" s="904" t="s">
        <v>1588</v>
      </c>
      <c r="K5337" s="200" t="s">
        <v>6458</v>
      </c>
      <c r="L5337" s="200" t="s">
        <v>2972</v>
      </c>
      <c r="M5337" s="200"/>
      <c r="N5337" s="200" t="s">
        <v>3810</v>
      </c>
      <c r="O5337" s="200" t="s">
        <v>8002</v>
      </c>
      <c r="P5337" s="197" t="s">
        <v>461</v>
      </c>
      <c r="Q5337" s="200" t="s">
        <v>3946</v>
      </c>
      <c r="R5337" s="201" t="s">
        <v>5280</v>
      </c>
      <c r="S5337" s="390" t="s">
        <v>11214</v>
      </c>
      <c r="T5337" s="197" t="s">
        <v>11336</v>
      </c>
      <c r="U5337" s="197"/>
      <c r="V5337" s="197"/>
      <c r="W5337" s="319" t="s">
        <v>11468</v>
      </c>
      <c r="X5337" s="651" t="s">
        <v>12352</v>
      </c>
      <c r="Y5337" s="358"/>
      <c r="Z5337" s="253">
        <v>91</v>
      </c>
      <c r="AA5337" s="253">
        <v>7</v>
      </c>
      <c r="AB5337" s="35">
        <f t="shared" ca="1" si="131"/>
        <v>6.4240601158247035E-2</v>
      </c>
      <c r="AC5337" s="820"/>
      <c r="AD5337" s="821"/>
      <c r="AE5337" s="967"/>
      <c r="AF5337" s="925">
        <f>IF(X5337=X5336,AF5336,0)+IF(ISNUMBER(I5337),IF(I5337&lt;1,I5337,I5337*VLOOKUP(J5337,Summary!$H$2:$I$9,2)),VLOOKUP(J5337,Summary!$J$2:$K$9,2)*IF(ISNUMBER(H5337),H5337,1))</f>
        <v>1.2076620370370372</v>
      </c>
      <c r="AG5337" s="293">
        <v>5336</v>
      </c>
      <c r="AH5337" s="94"/>
      <c r="AI5337" s="94"/>
    </row>
    <row r="5338" spans="1:42" s="57" customFormat="1" ht="12" customHeight="1" x14ac:dyDescent="0.25">
      <c r="A5338" s="635" t="s">
        <v>10894</v>
      </c>
      <c r="B5338" s="635">
        <v>12</v>
      </c>
      <c r="C5338" s="635">
        <v>1</v>
      </c>
      <c r="D5338" s="619" t="s">
        <v>15179</v>
      </c>
      <c r="E5338" s="345" t="s">
        <v>15180</v>
      </c>
      <c r="F5338" s="219">
        <v>43320</v>
      </c>
      <c r="G5338" s="219"/>
      <c r="H5338" s="210" t="s">
        <v>461</v>
      </c>
      <c r="I5338" s="210"/>
      <c r="J5338" s="908" t="s">
        <v>3346</v>
      </c>
      <c r="K5338" s="166" t="s">
        <v>2310</v>
      </c>
      <c r="L5338" s="166" t="s">
        <v>4138</v>
      </c>
      <c r="M5338" s="166" t="s">
        <v>6576</v>
      </c>
      <c r="N5338" s="166"/>
      <c r="O5338" s="166"/>
      <c r="P5338" s="267" t="s">
        <v>461</v>
      </c>
      <c r="Q5338" s="166" t="s">
        <v>15182</v>
      </c>
      <c r="R5338" s="268" t="s">
        <v>15181</v>
      </c>
      <c r="S5338" s="386" t="s">
        <v>11214</v>
      </c>
      <c r="T5338" s="267" t="s">
        <v>11336</v>
      </c>
      <c r="U5338" s="267"/>
      <c r="V5338" s="267"/>
      <c r="W5338" s="345" t="s">
        <v>15180</v>
      </c>
      <c r="X5338" s="680" t="s">
        <v>12352</v>
      </c>
      <c r="Y5338" s="384"/>
      <c r="Z5338" s="385"/>
      <c r="AA5338" s="385"/>
      <c r="AB5338" s="41">
        <f t="shared" ca="1" si="131"/>
        <v>0.13315429735063733</v>
      </c>
      <c r="AC5338" s="832"/>
      <c r="AD5338" s="833"/>
      <c r="AE5338" s="956"/>
      <c r="AF5338" s="929">
        <f>IF(X5338=X5337,AF5337,0)+IF(ISNUMBER(I5338),IF(I5338&lt;1,I5338,I5338*VLOOKUP(J5338,Summary!$H$2:$I$9,2)),VLOOKUP(J5338,Summary!$J$2:$K$9,2)*IF(ISNUMBER(H5338),H5338,1))</f>
        <v>1.249328703703704</v>
      </c>
      <c r="AG5338" s="307">
        <v>5337</v>
      </c>
      <c r="AH5338" s="94"/>
      <c r="AI5338" s="94"/>
    </row>
    <row r="5339" spans="1:42" s="57" customFormat="1" ht="12" customHeight="1" x14ac:dyDescent="0.25">
      <c r="A5339" s="769" t="s">
        <v>10894</v>
      </c>
      <c r="B5339" s="769">
        <v>12</v>
      </c>
      <c r="C5339" s="769">
        <v>3.3</v>
      </c>
      <c r="D5339" s="226" t="s">
        <v>12376</v>
      </c>
      <c r="E5339" s="331" t="s">
        <v>12377</v>
      </c>
      <c r="F5339" s="233">
        <v>42921</v>
      </c>
      <c r="G5339" s="233">
        <v>43005</v>
      </c>
      <c r="H5339" s="226">
        <v>3</v>
      </c>
      <c r="I5339" s="226">
        <v>72</v>
      </c>
      <c r="J5339" s="907" t="s">
        <v>1796</v>
      </c>
      <c r="K5339" s="228" t="s">
        <v>2675</v>
      </c>
      <c r="L5339" s="228" t="s">
        <v>3543</v>
      </c>
      <c r="M5339" s="228" t="s">
        <v>10920</v>
      </c>
      <c r="N5339" s="228" t="s">
        <v>10882</v>
      </c>
      <c r="O5339" s="228"/>
      <c r="P5339" s="225" t="s">
        <v>461</v>
      </c>
      <c r="Q5339" s="228" t="s">
        <v>7076</v>
      </c>
      <c r="R5339" s="227" t="s">
        <v>10879</v>
      </c>
      <c r="S5339" s="369" t="s">
        <v>11214</v>
      </c>
      <c r="T5339" s="225"/>
      <c r="U5339" s="225"/>
      <c r="V5339" s="225"/>
      <c r="W5339" s="331"/>
      <c r="X5339" s="663" t="s">
        <v>12352</v>
      </c>
      <c r="Y5339" s="369"/>
      <c r="Z5339" s="226"/>
      <c r="AA5339" s="226"/>
      <c r="AB5339" s="38">
        <f t="shared" ca="1" si="131"/>
        <v>0.7159616220647782</v>
      </c>
      <c r="AC5339" s="830"/>
      <c r="AD5339" s="831"/>
      <c r="AE5339" s="963"/>
      <c r="AF5339" s="928">
        <f>IF(X5339=X5338,AF5338,0)+IF(ISNUMBER(I5339),IF(I5339&lt;1,I5339,I5339*VLOOKUP(J5339,Summary!$H$2:$I$9,2)),VLOOKUP(J5339,Summary!$J$2:$K$9,2)*IF(ISNUMBER(H5339),H5339,1))</f>
        <v>1.2743287037037039</v>
      </c>
      <c r="AG5339" s="304">
        <v>5338</v>
      </c>
      <c r="AH5339" s="94"/>
      <c r="AI5339" s="94"/>
    </row>
    <row r="5340" spans="1:42" s="22" customFormat="1" ht="12" customHeight="1" x14ac:dyDescent="0.2">
      <c r="A5340" s="769" t="s">
        <v>10894</v>
      </c>
      <c r="B5340" s="769">
        <v>12</v>
      </c>
      <c r="C5340" s="769"/>
      <c r="D5340" s="226" t="s">
        <v>12392</v>
      </c>
      <c r="E5340" s="331" t="s">
        <v>12387</v>
      </c>
      <c r="F5340" s="233">
        <v>42977</v>
      </c>
      <c r="G5340" s="233">
        <v>43040</v>
      </c>
      <c r="H5340" s="226">
        <v>8</v>
      </c>
      <c r="I5340" s="226">
        <v>182</v>
      </c>
      <c r="J5340" s="907" t="s">
        <v>1796</v>
      </c>
      <c r="K5340" s="228" t="s">
        <v>10889</v>
      </c>
      <c r="L5340" s="228" t="s">
        <v>12393</v>
      </c>
      <c r="M5340" s="228" t="s">
        <v>10951</v>
      </c>
      <c r="N5340" s="228" t="s">
        <v>12394</v>
      </c>
      <c r="O5340" s="228"/>
      <c r="P5340" s="225" t="s">
        <v>461</v>
      </c>
      <c r="Q5340" s="228" t="s">
        <v>7076</v>
      </c>
      <c r="R5340" s="227" t="s">
        <v>10880</v>
      </c>
      <c r="S5340" s="369" t="s">
        <v>11214</v>
      </c>
      <c r="T5340" s="225" t="s">
        <v>11336</v>
      </c>
      <c r="U5340" s="771" t="s">
        <v>12390</v>
      </c>
      <c r="V5340" s="225" t="s">
        <v>12391</v>
      </c>
      <c r="W5340" s="331"/>
      <c r="X5340" s="663" t="s">
        <v>12352</v>
      </c>
      <c r="Y5340" s="369"/>
      <c r="Z5340" s="226"/>
      <c r="AA5340" s="226"/>
      <c r="AB5340" s="38">
        <f t="shared" ca="1" si="131"/>
        <v>0.53118252666794885</v>
      </c>
      <c r="AC5340" s="830"/>
      <c r="AD5340" s="831"/>
      <c r="AE5340" s="963"/>
      <c r="AF5340" s="928">
        <f>IF(X5340=X5339,AF5339,0)+IF(ISNUMBER(I5340),IF(I5340&lt;1,I5340,I5340*VLOOKUP(J5340,Summary!$H$2:$I$9,2)),VLOOKUP(J5340,Summary!$J$2:$K$9,2)*IF(ISNUMBER(H5340),H5340,1))</f>
        <v>1.3375231481481484</v>
      </c>
      <c r="AG5340" s="304">
        <v>5339</v>
      </c>
      <c r="AH5340" s="94"/>
      <c r="AI5340" s="94"/>
    </row>
    <row r="5341" spans="1:42" s="22" customFormat="1" ht="12" customHeight="1" x14ac:dyDescent="0.2">
      <c r="A5341" s="629" t="s">
        <v>10894</v>
      </c>
      <c r="B5341" s="629">
        <v>12</v>
      </c>
      <c r="C5341" s="629">
        <v>3.4</v>
      </c>
      <c r="D5341" s="185" t="s">
        <v>13500</v>
      </c>
      <c r="E5341" s="314" t="s">
        <v>13501</v>
      </c>
      <c r="F5341" s="184">
        <v>43054</v>
      </c>
      <c r="G5341" s="184"/>
      <c r="H5341" s="185">
        <v>1</v>
      </c>
      <c r="I5341" s="185">
        <v>24</v>
      </c>
      <c r="J5341" s="901" t="s">
        <v>1796</v>
      </c>
      <c r="K5341" s="163" t="s">
        <v>2675</v>
      </c>
      <c r="L5341" s="163" t="s">
        <v>13502</v>
      </c>
      <c r="M5341" s="163" t="s">
        <v>10920</v>
      </c>
      <c r="N5341" s="163" t="s">
        <v>10882</v>
      </c>
      <c r="O5341" s="163"/>
      <c r="P5341" s="182" t="s">
        <v>461</v>
      </c>
      <c r="Q5341" s="163" t="s">
        <v>7076</v>
      </c>
      <c r="R5341" s="186" t="s">
        <v>10879</v>
      </c>
      <c r="S5341" s="355" t="s">
        <v>11214</v>
      </c>
      <c r="T5341" s="182" t="s">
        <v>11336</v>
      </c>
      <c r="U5341" s="182"/>
      <c r="V5341" s="182"/>
      <c r="W5341" s="314" t="s">
        <v>13501</v>
      </c>
      <c r="X5341" s="646" t="s">
        <v>12352</v>
      </c>
      <c r="Y5341" s="355"/>
      <c r="Z5341" s="185"/>
      <c r="AA5341" s="185"/>
      <c r="AB5341" s="33">
        <f t="shared" ca="1" si="131"/>
        <v>0.11212206827400117</v>
      </c>
      <c r="AC5341" s="813"/>
      <c r="AD5341" s="211"/>
      <c r="AE5341" s="941"/>
      <c r="AF5341" s="922">
        <f>IF(X5341=X5340,AF5340,0)+IF(ISNUMBER(I5341),IF(I5341&lt;1,I5341,I5341*VLOOKUP(J5341,Summary!$H$2:$I$9,2)),VLOOKUP(J5341,Summary!$J$2:$K$9,2)*IF(ISNUMBER(H5341),H5341,1))</f>
        <v>1.3458564814814817</v>
      </c>
      <c r="AG5341" s="290">
        <v>5340</v>
      </c>
      <c r="AH5341" s="94"/>
      <c r="AI5341" s="94"/>
    </row>
    <row r="5342" spans="1:42" s="57" customFormat="1" ht="12" customHeight="1" x14ac:dyDescent="0.25">
      <c r="A5342" s="769" t="s">
        <v>10894</v>
      </c>
      <c r="B5342" s="769">
        <v>12</v>
      </c>
      <c r="C5342" s="769">
        <v>3.5</v>
      </c>
      <c r="D5342" s="226" t="s">
        <v>13504</v>
      </c>
      <c r="E5342" s="331" t="s">
        <v>13503</v>
      </c>
      <c r="F5342" s="233">
        <v>43075</v>
      </c>
      <c r="G5342" s="233">
        <v>43173</v>
      </c>
      <c r="H5342" s="226">
        <v>4</v>
      </c>
      <c r="I5342" s="226">
        <v>88</v>
      </c>
      <c r="J5342" s="907" t="s">
        <v>1796</v>
      </c>
      <c r="K5342" s="228" t="s">
        <v>2675</v>
      </c>
      <c r="L5342" s="228" t="s">
        <v>13505</v>
      </c>
      <c r="M5342" s="228" t="s">
        <v>10920</v>
      </c>
      <c r="N5342" s="228" t="s">
        <v>10882</v>
      </c>
      <c r="O5342" s="228"/>
      <c r="P5342" s="225" t="s">
        <v>461</v>
      </c>
      <c r="Q5342" s="228" t="s">
        <v>7076</v>
      </c>
      <c r="R5342" s="227" t="s">
        <v>10879</v>
      </c>
      <c r="S5342" s="369" t="s">
        <v>11214</v>
      </c>
      <c r="T5342" s="225" t="s">
        <v>11336</v>
      </c>
      <c r="U5342" s="225"/>
      <c r="V5342" s="225"/>
      <c r="W5342" s="331"/>
      <c r="X5342" s="663" t="s">
        <v>12352</v>
      </c>
      <c r="Y5342" s="369"/>
      <c r="Z5342" s="226"/>
      <c r="AA5342" s="226"/>
      <c r="AB5342" s="38">
        <f t="shared" ca="1" si="131"/>
        <v>0.96539719530824342</v>
      </c>
      <c r="AC5342" s="830"/>
      <c r="AD5342" s="831"/>
      <c r="AE5342" s="963"/>
      <c r="AF5342" s="928">
        <f>IF(X5342=X5341,AF5341,0)+IF(ISNUMBER(I5342),IF(I5342&lt;1,I5342,I5342*VLOOKUP(J5342,Summary!$H$2:$I$9,2)),VLOOKUP(J5342,Summary!$J$2:$K$9,2)*IF(ISNUMBER(H5342),H5342,1))</f>
        <v>1.3764120370370372</v>
      </c>
      <c r="AG5342" s="304">
        <v>5341</v>
      </c>
      <c r="AH5342" s="94"/>
      <c r="AI5342" s="94"/>
    </row>
    <row r="5343" spans="1:42" s="26" customFormat="1" ht="12" customHeight="1" x14ac:dyDescent="0.2">
      <c r="A5343" s="629" t="s">
        <v>10894</v>
      </c>
      <c r="B5343" s="629">
        <v>12</v>
      </c>
      <c r="C5343" s="629">
        <v>3</v>
      </c>
      <c r="D5343" s="185" t="s">
        <v>15415</v>
      </c>
      <c r="E5343" s="314" t="s">
        <v>15416</v>
      </c>
      <c r="F5343" s="184">
        <v>43320</v>
      </c>
      <c r="G5343" s="184"/>
      <c r="H5343" s="185">
        <v>1</v>
      </c>
      <c r="I5343" s="185">
        <v>22</v>
      </c>
      <c r="J5343" s="901" t="s">
        <v>1796</v>
      </c>
      <c r="K5343" s="163" t="s">
        <v>9479</v>
      </c>
      <c r="L5343" s="163" t="s">
        <v>15417</v>
      </c>
      <c r="M5343" s="163" t="s">
        <v>10898</v>
      </c>
      <c r="N5343" s="163" t="s">
        <v>13496</v>
      </c>
      <c r="O5343" s="163"/>
      <c r="P5343" s="182" t="s">
        <v>461</v>
      </c>
      <c r="Q5343" s="163" t="s">
        <v>7076</v>
      </c>
      <c r="R5343" s="186" t="s">
        <v>10879</v>
      </c>
      <c r="S5343" s="355" t="s">
        <v>11214</v>
      </c>
      <c r="T5343" s="182"/>
      <c r="U5343" s="182" t="s">
        <v>10902</v>
      </c>
      <c r="V5343" s="182"/>
      <c r="W5343" s="314" t="s">
        <v>15416</v>
      </c>
      <c r="X5343" s="646" t="s">
        <v>12352</v>
      </c>
      <c r="Y5343" s="355" t="s">
        <v>6000</v>
      </c>
      <c r="Z5343" s="185"/>
      <c r="AA5343" s="185"/>
      <c r="AB5343" s="33">
        <f t="shared" ca="1" si="131"/>
        <v>7.9252376901456811E-2</v>
      </c>
      <c r="AC5343" s="813"/>
      <c r="AD5343" s="211"/>
      <c r="AE5343" s="941"/>
      <c r="AF5343" s="922">
        <f>IF(X5343=X5342,AF5342,0)+IF(ISNUMBER(I5343),IF(I5343&lt;1,I5343,I5343*VLOOKUP(J5343,Summary!$H$2:$I$9,2)),VLOOKUP(J5343,Summary!$J$2:$K$9,2)*IF(ISNUMBER(H5343),H5343,1))</f>
        <v>1.3840509259259262</v>
      </c>
      <c r="AG5343" s="290">
        <v>5342</v>
      </c>
      <c r="AH5343" s="94"/>
      <c r="AI5343" s="94"/>
    </row>
    <row r="5344" spans="1:42" s="22" customFormat="1" ht="12" customHeight="1" x14ac:dyDescent="0.2">
      <c r="A5344" s="629" t="s">
        <v>10894</v>
      </c>
      <c r="B5344" s="629">
        <v>12</v>
      </c>
      <c r="C5344" s="629">
        <v>0.12</v>
      </c>
      <c r="D5344" s="185" t="s">
        <v>15401</v>
      </c>
      <c r="E5344" s="314" t="s">
        <v>15402</v>
      </c>
      <c r="F5344" s="184">
        <v>43369</v>
      </c>
      <c r="G5344" s="184"/>
      <c r="H5344" s="185">
        <v>1</v>
      </c>
      <c r="I5344" s="185">
        <v>6</v>
      </c>
      <c r="J5344" s="901" t="s">
        <v>1796</v>
      </c>
      <c r="K5344" s="163" t="s">
        <v>2675</v>
      </c>
      <c r="L5344" s="163" t="s">
        <v>3365</v>
      </c>
      <c r="M5344" s="163" t="s">
        <v>3365</v>
      </c>
      <c r="N5344" s="163"/>
      <c r="O5344" s="163"/>
      <c r="P5344" s="182" t="s">
        <v>461</v>
      </c>
      <c r="Q5344" s="163" t="s">
        <v>7076</v>
      </c>
      <c r="R5344" s="186" t="s">
        <v>10879</v>
      </c>
      <c r="S5344" s="355" t="s">
        <v>11214</v>
      </c>
      <c r="T5344" s="182"/>
      <c r="U5344" s="182"/>
      <c r="V5344" s="182"/>
      <c r="W5344" s="314" t="s">
        <v>15402</v>
      </c>
      <c r="X5344" s="646" t="s">
        <v>12352</v>
      </c>
      <c r="Y5344" s="355"/>
      <c r="Z5344" s="185"/>
      <c r="AA5344" s="185"/>
      <c r="AB5344" s="33">
        <f t="shared" ca="1" si="131"/>
        <v>0.31384612338259754</v>
      </c>
      <c r="AC5344" s="813"/>
      <c r="AD5344" s="819"/>
      <c r="AE5344" s="875"/>
      <c r="AF5344" s="922">
        <f>IF(X5344=X5343,AF5343,0)+IF(ISNUMBER(I5344),IF(I5344&lt;1,I5344,I5344*VLOOKUP(J5344,Summary!$H$2:$I$9,2)),VLOOKUP(J5344,Summary!$J$2:$K$9,2)*IF(ISNUMBER(H5344),H5344,1))</f>
        <v>1.3861342592592596</v>
      </c>
      <c r="AG5344" s="290">
        <v>5343</v>
      </c>
      <c r="AH5344" s="94"/>
      <c r="AI5344" s="94"/>
    </row>
    <row r="5345" spans="1:36" s="22" customFormat="1" ht="12" customHeight="1" x14ac:dyDescent="0.25">
      <c r="A5345" s="626" t="s">
        <v>10894</v>
      </c>
      <c r="B5345" s="626">
        <v>12</v>
      </c>
      <c r="C5345" s="626">
        <v>275</v>
      </c>
      <c r="D5345" s="424" t="s">
        <v>11496</v>
      </c>
      <c r="E5345" s="319" t="s">
        <v>12763</v>
      </c>
      <c r="F5345" s="198">
        <v>42910</v>
      </c>
      <c r="G5345" s="198">
        <v>42917</v>
      </c>
      <c r="H5345" s="199">
        <v>2</v>
      </c>
      <c r="I5345" s="791">
        <f>TIME(0,45,33)+TIME(0,60,26)</f>
        <v>7.3599537037037033E-2</v>
      </c>
      <c r="J5345" s="904" t="s">
        <v>1588</v>
      </c>
      <c r="K5345" s="200" t="s">
        <v>3810</v>
      </c>
      <c r="L5345" s="200" t="s">
        <v>8193</v>
      </c>
      <c r="M5345" s="200"/>
      <c r="N5345" s="200" t="s">
        <v>3810</v>
      </c>
      <c r="O5345" s="200" t="s">
        <v>8002</v>
      </c>
      <c r="P5345" s="197" t="s">
        <v>461</v>
      </c>
      <c r="Q5345" s="200" t="s">
        <v>3946</v>
      </c>
      <c r="R5345" s="201" t="s">
        <v>5280</v>
      </c>
      <c r="S5345" s="390" t="s">
        <v>11214</v>
      </c>
      <c r="T5345" s="197" t="s">
        <v>11336</v>
      </c>
      <c r="U5345" s="197"/>
      <c r="V5345" s="197"/>
      <c r="W5345" s="319" t="s">
        <v>15254</v>
      </c>
      <c r="X5345" s="651" t="s">
        <v>12352</v>
      </c>
      <c r="Y5345" s="358"/>
      <c r="Z5345" s="253">
        <v>21</v>
      </c>
      <c r="AA5345" s="253">
        <v>9.5</v>
      </c>
      <c r="AB5345" s="35">
        <f t="shared" ca="1" si="131"/>
        <v>0.39323427958984869</v>
      </c>
      <c r="AC5345" s="820"/>
      <c r="AD5345" s="821"/>
      <c r="AE5345" s="967"/>
      <c r="AF5345" s="925">
        <f>IF(X5345=X5344,AF5344,0)+IF(ISNUMBER(I5345),IF(I5345&lt;1,I5345,I5345*VLOOKUP(J5345,Summary!$H$2:$I$9,2)),VLOOKUP(J5345,Summary!$J$2:$K$9,2)*IF(ISNUMBER(H5345),H5345,1))</f>
        <v>1.4597337962962966</v>
      </c>
      <c r="AG5345" s="293">
        <v>5344</v>
      </c>
      <c r="AH5345" s="94"/>
      <c r="AI5345" s="94"/>
    </row>
    <row r="5346" spans="1:36" s="22" customFormat="1" ht="12" customHeight="1" x14ac:dyDescent="0.25">
      <c r="A5346" s="409" t="s">
        <v>10894</v>
      </c>
      <c r="B5346" s="410" t="s">
        <v>2650</v>
      </c>
      <c r="C5346" s="409">
        <v>6</v>
      </c>
      <c r="D5346" s="176" t="s">
        <v>13387</v>
      </c>
      <c r="E5346" s="313" t="s">
        <v>13388</v>
      </c>
      <c r="F5346" s="175">
        <v>43153</v>
      </c>
      <c r="G5346" s="174"/>
      <c r="H5346" s="176">
        <v>1</v>
      </c>
      <c r="I5346" s="176"/>
      <c r="J5346" s="900" t="s">
        <v>2755</v>
      </c>
      <c r="K5346" s="164" t="s">
        <v>2675</v>
      </c>
      <c r="L5346" s="164"/>
      <c r="M5346" s="164"/>
      <c r="N5346" s="164"/>
      <c r="O5346" s="164"/>
      <c r="P5346" s="173" t="s">
        <v>13386</v>
      </c>
      <c r="Q5346" s="164" t="s">
        <v>3953</v>
      </c>
      <c r="R5346" s="179" t="s">
        <v>13385</v>
      </c>
      <c r="S5346" s="354"/>
      <c r="T5346" s="173"/>
      <c r="U5346" s="173"/>
      <c r="V5346" s="173"/>
      <c r="W5346" s="313" t="s">
        <v>13388</v>
      </c>
      <c r="X5346" s="645" t="s">
        <v>12352</v>
      </c>
      <c r="Y5346" s="354"/>
      <c r="Z5346" s="176"/>
      <c r="AA5346" s="176"/>
      <c r="AB5346" s="32">
        <f t="shared" ca="1" si="131"/>
        <v>0.31158025239479048</v>
      </c>
      <c r="AC5346" s="812"/>
      <c r="AD5346" s="763"/>
      <c r="AE5346" s="807"/>
      <c r="AF5346" s="921">
        <f>IF(X5346=X5345,AF5345,0)+IF(ISNUMBER(I5346),IF(I5346&lt;1,I5346,I5346*VLOOKUP(J5346,Summary!$H$2:$I$9,2)),VLOOKUP(J5346,Summary!$J$2:$K$9,2)*IF(ISNUMBER(H5346),H5346,1))</f>
        <v>1.4770949074074078</v>
      </c>
      <c r="AG5346" s="288">
        <v>5345</v>
      </c>
      <c r="AH5346" s="94"/>
      <c r="AI5346" s="94"/>
    </row>
    <row r="5347" spans="1:36" s="22" customFormat="1" ht="12" customHeight="1" x14ac:dyDescent="0.25">
      <c r="A5347" s="626" t="s">
        <v>10894</v>
      </c>
      <c r="B5347" s="626">
        <v>12</v>
      </c>
      <c r="C5347" s="626">
        <v>276</v>
      </c>
      <c r="D5347" s="424" t="s">
        <v>13380</v>
      </c>
      <c r="E5347" s="319" t="s">
        <v>13381</v>
      </c>
      <c r="F5347" s="198">
        <v>43094</v>
      </c>
      <c r="G5347" s="198"/>
      <c r="H5347" s="199">
        <v>1</v>
      </c>
      <c r="I5347" s="791">
        <f>TIME(0,59,49)</f>
        <v>4.1539351851851855E-2</v>
      </c>
      <c r="J5347" s="904" t="s">
        <v>1588</v>
      </c>
      <c r="K5347" s="200" t="s">
        <v>3810</v>
      </c>
      <c r="L5347" s="200" t="s">
        <v>8193</v>
      </c>
      <c r="M5347" s="200"/>
      <c r="N5347" s="200" t="s">
        <v>3810</v>
      </c>
      <c r="O5347" s="200" t="s">
        <v>8002</v>
      </c>
      <c r="P5347" s="197" t="s">
        <v>461</v>
      </c>
      <c r="Q5347" s="200" t="s">
        <v>3946</v>
      </c>
      <c r="R5347" s="201" t="s">
        <v>5280</v>
      </c>
      <c r="S5347" s="390" t="s">
        <v>11214</v>
      </c>
      <c r="T5347" s="197">
        <v>1</v>
      </c>
      <c r="U5347" s="197"/>
      <c r="V5347" s="197"/>
      <c r="W5347" s="319" t="s">
        <v>13381</v>
      </c>
      <c r="X5347" s="651" t="s">
        <v>12352</v>
      </c>
      <c r="Y5347" s="358"/>
      <c r="Z5347" s="253">
        <v>190</v>
      </c>
      <c r="AA5347" s="253">
        <v>5</v>
      </c>
      <c r="AB5347" s="35">
        <f t="shared" ca="1" si="131"/>
        <v>0.80662442430769399</v>
      </c>
      <c r="AC5347" s="820"/>
      <c r="AD5347" s="821"/>
      <c r="AE5347" s="967"/>
      <c r="AF5347" s="925">
        <f>IF(X5347=X5346,AF5346,0)+IF(ISNUMBER(I5347),IF(I5347&lt;1,I5347,I5347*VLOOKUP(J5347,Summary!$H$2:$I$9,2)),VLOOKUP(J5347,Summary!$J$2:$K$9,2)*IF(ISNUMBER(H5347),H5347,1))</f>
        <v>1.5186342592592597</v>
      </c>
      <c r="AG5347" s="293">
        <v>5346</v>
      </c>
      <c r="AH5347" s="94"/>
      <c r="AI5347" s="94"/>
    </row>
    <row r="5348" spans="1:36" s="22" customFormat="1" ht="12" customHeight="1" x14ac:dyDescent="0.25">
      <c r="A5348" s="410" t="s">
        <v>10894</v>
      </c>
      <c r="B5348" s="410" t="s">
        <v>2650</v>
      </c>
      <c r="C5348" s="410"/>
      <c r="D5348" s="176"/>
      <c r="E5348" s="313" t="s">
        <v>13747</v>
      </c>
      <c r="F5348" s="175">
        <v>43098</v>
      </c>
      <c r="G5348" s="181"/>
      <c r="H5348" s="176" t="s">
        <v>461</v>
      </c>
      <c r="I5348" s="176">
        <v>9</v>
      </c>
      <c r="J5348" s="900" t="s">
        <v>2755</v>
      </c>
      <c r="K5348" s="164" t="s">
        <v>6234</v>
      </c>
      <c r="L5348" s="164" t="s">
        <v>461</v>
      </c>
      <c r="M5348" s="164"/>
      <c r="N5348" s="164"/>
      <c r="O5348" s="164"/>
      <c r="P5348" s="173"/>
      <c r="Q5348" s="164" t="s">
        <v>13674</v>
      </c>
      <c r="R5348" s="177" t="s">
        <v>13703</v>
      </c>
      <c r="S5348" s="354"/>
      <c r="T5348" s="173"/>
      <c r="U5348" s="173" t="s">
        <v>2597</v>
      </c>
      <c r="V5348" s="173"/>
      <c r="W5348" s="313" t="s">
        <v>13747</v>
      </c>
      <c r="X5348" s="645" t="s">
        <v>12352</v>
      </c>
      <c r="Y5348" s="354" t="s">
        <v>6000</v>
      </c>
      <c r="Z5348" s="157"/>
      <c r="AA5348" s="176"/>
      <c r="AB5348" s="32">
        <f t="shared" ca="1" si="131"/>
        <v>0.90351495826508865</v>
      </c>
      <c r="AC5348" s="812"/>
      <c r="AD5348" s="763"/>
      <c r="AE5348" s="807"/>
      <c r="AF5348" s="921">
        <f>IF(X5348=X5347,AF5347,0)+IF(ISNUMBER(I5348),IF(I5348&lt;1,I5348,I5348*VLOOKUP(J5348,Summary!$H$2:$I$9,2)),VLOOKUP(J5348,Summary!$J$2:$K$9,2)*IF(ISNUMBER(H5348),H5348,1))</f>
        <v>1.5248842592592597</v>
      </c>
      <c r="AG5348" s="289">
        <v>5347</v>
      </c>
      <c r="AH5348" s="94"/>
      <c r="AI5348" s="94"/>
    </row>
    <row r="5349" spans="1:36" s="29" customFormat="1" ht="12" customHeight="1" x14ac:dyDescent="0.25">
      <c r="A5349" s="410" t="s">
        <v>10894</v>
      </c>
      <c r="B5349" s="410" t="s">
        <v>2650</v>
      </c>
      <c r="C5349" s="410"/>
      <c r="D5349" s="176"/>
      <c r="E5349" s="313" t="s">
        <v>13744</v>
      </c>
      <c r="F5349" s="175">
        <v>42940</v>
      </c>
      <c r="G5349" s="181"/>
      <c r="H5349" s="176" t="s">
        <v>461</v>
      </c>
      <c r="I5349" s="176"/>
      <c r="J5349" s="900" t="s">
        <v>2755</v>
      </c>
      <c r="K5349" s="164" t="s">
        <v>13688</v>
      </c>
      <c r="L5349" s="164" t="s">
        <v>461</v>
      </c>
      <c r="M5349" s="164"/>
      <c r="N5349" s="164"/>
      <c r="O5349" s="164"/>
      <c r="P5349" s="173"/>
      <c r="Q5349" s="164" t="s">
        <v>13674</v>
      </c>
      <c r="R5349" s="177" t="s">
        <v>13703</v>
      </c>
      <c r="S5349" s="354"/>
      <c r="T5349" s="173"/>
      <c r="U5349" s="173" t="s">
        <v>2597</v>
      </c>
      <c r="V5349" s="173"/>
      <c r="W5349" s="313" t="s">
        <v>13744</v>
      </c>
      <c r="X5349" s="645" t="s">
        <v>12352</v>
      </c>
      <c r="Y5349" s="354"/>
      <c r="Z5349" s="157"/>
      <c r="AA5349" s="176"/>
      <c r="AB5349" s="32">
        <f t="shared" ca="1" si="131"/>
        <v>0.5740966392116108</v>
      </c>
      <c r="AC5349" s="812"/>
      <c r="AD5349" s="763"/>
      <c r="AE5349" s="807"/>
      <c r="AF5349" s="921">
        <f>IF(X5349=X5348,AF5348,0)+IF(ISNUMBER(I5349),IF(I5349&lt;1,I5349,I5349*VLOOKUP(J5349,Summary!$H$2:$I$9,2)),VLOOKUP(J5349,Summary!$J$2:$K$9,2)*IF(ISNUMBER(H5349),H5349,1))</f>
        <v>1.5422453703703709</v>
      </c>
      <c r="AG5349" s="289">
        <v>5348</v>
      </c>
      <c r="AH5349" s="94"/>
      <c r="AI5349" s="94"/>
    </row>
    <row r="5350" spans="1:36" s="22" customFormat="1" ht="12" customHeight="1" x14ac:dyDescent="0.2">
      <c r="A5350" s="405" t="s">
        <v>12357</v>
      </c>
      <c r="B5350" s="596" t="s">
        <v>3227</v>
      </c>
      <c r="C5350" s="533">
        <v>3.07</v>
      </c>
      <c r="D5350" s="407" t="s">
        <v>13188</v>
      </c>
      <c r="E5350" s="315" t="s">
        <v>13187</v>
      </c>
      <c r="F5350" s="196">
        <v>42957</v>
      </c>
      <c r="G5350" s="196"/>
      <c r="H5350" s="170">
        <v>1</v>
      </c>
      <c r="I5350" s="747">
        <f t="shared" ref="I5350:I5362" si="132">TIME(0,60,0)</f>
        <v>4.1666666666666664E-2</v>
      </c>
      <c r="J5350" s="899" t="s">
        <v>4706</v>
      </c>
      <c r="K5350" s="167" t="s">
        <v>1643</v>
      </c>
      <c r="L5350" s="167" t="s">
        <v>179</v>
      </c>
      <c r="M5350" s="167"/>
      <c r="N5350" s="167" t="s">
        <v>179</v>
      </c>
      <c r="O5350" s="167" t="s">
        <v>1643</v>
      </c>
      <c r="P5350" s="168" t="s">
        <v>14539</v>
      </c>
      <c r="Q5350" s="167" t="s">
        <v>3947</v>
      </c>
      <c r="R5350" s="172" t="s">
        <v>10605</v>
      </c>
      <c r="S5350" s="388"/>
      <c r="T5350" s="168" t="s">
        <v>3068</v>
      </c>
      <c r="U5350" s="168"/>
      <c r="V5350" s="168"/>
      <c r="W5350" s="315" t="s">
        <v>13187</v>
      </c>
      <c r="X5350" s="647" t="s">
        <v>12356</v>
      </c>
      <c r="Y5350" s="352"/>
      <c r="Z5350" s="353"/>
      <c r="AA5350" s="353"/>
      <c r="AB5350" s="31">
        <f t="shared" ca="1" si="131"/>
        <v>0.74347855993131995</v>
      </c>
      <c r="AC5350" s="810"/>
      <c r="AD5350" s="811" t="s">
        <v>15903</v>
      </c>
      <c r="AE5350" s="940"/>
      <c r="AF5350" s="920">
        <f>IF(X5350=X5349,AF5349,0)+IF(ISNUMBER(I5350),IF(I5350&lt;1,I5350,I5350*VLOOKUP(J5350,Summary!$H$2:$I$9,2)),VLOOKUP(J5350,Summary!$J$2:$K$9,2)*IF(ISNUMBER(H5350),H5350,1))</f>
        <v>4.1666666666666664E-2</v>
      </c>
      <c r="AG5350" s="287">
        <v>5349</v>
      </c>
      <c r="AH5350" s="94"/>
      <c r="AI5350" s="94"/>
    </row>
    <row r="5351" spans="1:36" s="22" customFormat="1" ht="12" customHeight="1" x14ac:dyDescent="0.2">
      <c r="A5351" s="405" t="s">
        <v>12357</v>
      </c>
      <c r="B5351" s="596" t="s">
        <v>3227</v>
      </c>
      <c r="C5351" s="533">
        <v>3.0799999999999996</v>
      </c>
      <c r="D5351" s="407" t="s">
        <v>13189</v>
      </c>
      <c r="E5351" s="315" t="s">
        <v>13200</v>
      </c>
      <c r="F5351" s="196">
        <v>42957</v>
      </c>
      <c r="G5351" s="196"/>
      <c r="H5351" s="170">
        <v>1</v>
      </c>
      <c r="I5351" s="747">
        <f t="shared" si="132"/>
        <v>4.1666666666666664E-2</v>
      </c>
      <c r="J5351" s="899" t="s">
        <v>4706</v>
      </c>
      <c r="K5351" s="167" t="s">
        <v>1643</v>
      </c>
      <c r="L5351" s="167" t="s">
        <v>179</v>
      </c>
      <c r="M5351" s="167"/>
      <c r="N5351" s="167" t="s">
        <v>179</v>
      </c>
      <c r="O5351" s="167" t="s">
        <v>1643</v>
      </c>
      <c r="P5351" s="168" t="s">
        <v>14539</v>
      </c>
      <c r="Q5351" s="167" t="s">
        <v>3947</v>
      </c>
      <c r="R5351" s="172" t="s">
        <v>10605</v>
      </c>
      <c r="S5351" s="388"/>
      <c r="T5351" s="168" t="s">
        <v>3068</v>
      </c>
      <c r="U5351" s="168"/>
      <c r="V5351" s="168"/>
      <c r="W5351" s="315" t="s">
        <v>13200</v>
      </c>
      <c r="X5351" s="647" t="s">
        <v>12356</v>
      </c>
      <c r="Y5351" s="352"/>
      <c r="Z5351" s="353"/>
      <c r="AA5351" s="353"/>
      <c r="AB5351" s="31">
        <f t="shared" ca="1" si="131"/>
        <v>0.10292218796426611</v>
      </c>
      <c r="AC5351" s="810"/>
      <c r="AD5351" s="811" t="s">
        <v>15903</v>
      </c>
      <c r="AE5351" s="940"/>
      <c r="AF5351" s="920">
        <f>IF(X5351=X5350,AF5350,0)+IF(ISNUMBER(I5351),IF(I5351&lt;1,I5351,I5351*VLOOKUP(J5351,Summary!$H$2:$I$9,2)),VLOOKUP(J5351,Summary!$J$2:$K$9,2)*IF(ISNUMBER(H5351),H5351,1))</f>
        <v>8.3333333333333329E-2</v>
      </c>
      <c r="AG5351" s="287">
        <v>5350</v>
      </c>
      <c r="AH5351" s="94"/>
      <c r="AI5351" s="94"/>
    </row>
    <row r="5352" spans="1:36" s="2" customFormat="1" ht="12" customHeight="1" x14ac:dyDescent="0.25">
      <c r="A5352" s="405" t="s">
        <v>12357</v>
      </c>
      <c r="B5352" s="596" t="s">
        <v>3227</v>
      </c>
      <c r="C5352" s="533">
        <v>3.0899999999999994</v>
      </c>
      <c r="D5352" s="407" t="s">
        <v>13190</v>
      </c>
      <c r="E5352" s="315" t="s">
        <v>13201</v>
      </c>
      <c r="F5352" s="196">
        <v>42957</v>
      </c>
      <c r="G5352" s="196"/>
      <c r="H5352" s="170">
        <v>1</v>
      </c>
      <c r="I5352" s="747">
        <f t="shared" si="132"/>
        <v>4.1666666666666664E-2</v>
      </c>
      <c r="J5352" s="899" t="s">
        <v>4706</v>
      </c>
      <c r="K5352" s="167" t="s">
        <v>13181</v>
      </c>
      <c r="L5352" s="167" t="s">
        <v>179</v>
      </c>
      <c r="M5352" s="167"/>
      <c r="N5352" s="167" t="s">
        <v>179</v>
      </c>
      <c r="O5352" s="167" t="s">
        <v>1643</v>
      </c>
      <c r="P5352" s="168" t="s">
        <v>14539</v>
      </c>
      <c r="Q5352" s="167" t="s">
        <v>3947</v>
      </c>
      <c r="R5352" s="172" t="s">
        <v>10605</v>
      </c>
      <c r="S5352" s="388"/>
      <c r="T5352" s="168" t="s">
        <v>3068</v>
      </c>
      <c r="U5352" s="168"/>
      <c r="V5352" s="168"/>
      <c r="W5352" s="315" t="s">
        <v>13201</v>
      </c>
      <c r="X5352" s="647" t="s">
        <v>12356</v>
      </c>
      <c r="Y5352" s="352"/>
      <c r="Z5352" s="353"/>
      <c r="AA5352" s="353"/>
      <c r="AB5352" s="31">
        <f t="shared" ca="1" si="131"/>
        <v>1.7170382565814268E-2</v>
      </c>
      <c r="AC5352" s="810"/>
      <c r="AD5352" s="811" t="s">
        <v>15903</v>
      </c>
      <c r="AE5352" s="940"/>
      <c r="AF5352" s="920">
        <f>IF(X5352=X5351,AF5351,0)+IF(ISNUMBER(I5352),IF(I5352&lt;1,I5352,I5352*VLOOKUP(J5352,Summary!$H$2:$I$9,2)),VLOOKUP(J5352,Summary!$J$2:$K$9,2)*IF(ISNUMBER(H5352),H5352,1))</f>
        <v>0.125</v>
      </c>
      <c r="AG5352" s="287">
        <v>5351</v>
      </c>
      <c r="AH5352" s="94"/>
      <c r="AI5352" s="94"/>
    </row>
    <row r="5353" spans="1:36" s="3" customFormat="1" ht="12" customHeight="1" x14ac:dyDescent="0.25">
      <c r="A5353" s="405" t="s">
        <v>12357</v>
      </c>
      <c r="B5353" s="596" t="s">
        <v>3227</v>
      </c>
      <c r="C5353" s="533">
        <v>3.0999999999999992</v>
      </c>
      <c r="D5353" s="407" t="s">
        <v>13191</v>
      </c>
      <c r="E5353" s="315" t="s">
        <v>13202</v>
      </c>
      <c r="F5353" s="196">
        <v>42957</v>
      </c>
      <c r="G5353" s="196"/>
      <c r="H5353" s="170">
        <v>1</v>
      </c>
      <c r="I5353" s="747">
        <f t="shared" si="132"/>
        <v>4.1666666666666664E-2</v>
      </c>
      <c r="J5353" s="899" t="s">
        <v>4706</v>
      </c>
      <c r="K5353" s="167" t="s">
        <v>10631</v>
      </c>
      <c r="L5353" s="167" t="s">
        <v>179</v>
      </c>
      <c r="M5353" s="167"/>
      <c r="N5353" s="167" t="s">
        <v>179</v>
      </c>
      <c r="O5353" s="167" t="s">
        <v>1643</v>
      </c>
      <c r="P5353" s="168" t="s">
        <v>14539</v>
      </c>
      <c r="Q5353" s="167" t="s">
        <v>3947</v>
      </c>
      <c r="R5353" s="172" t="s">
        <v>10605</v>
      </c>
      <c r="S5353" s="388"/>
      <c r="T5353" s="168" t="s">
        <v>3068</v>
      </c>
      <c r="U5353" s="168"/>
      <c r="V5353" s="168"/>
      <c r="W5353" s="315" t="s">
        <v>13202</v>
      </c>
      <c r="X5353" s="647" t="s">
        <v>12356</v>
      </c>
      <c r="Y5353" s="352"/>
      <c r="Z5353" s="353"/>
      <c r="AA5353" s="353"/>
      <c r="AB5353" s="31">
        <f t="shared" ca="1" si="131"/>
        <v>0.96695490428021535</v>
      </c>
      <c r="AC5353" s="810"/>
      <c r="AD5353" s="811" t="s">
        <v>15903</v>
      </c>
      <c r="AE5353" s="940"/>
      <c r="AF5353" s="920">
        <f>IF(X5353=X5352,AF5352,0)+IF(ISNUMBER(I5353),IF(I5353&lt;1,I5353,I5353*VLOOKUP(J5353,Summary!$H$2:$I$9,2)),VLOOKUP(J5353,Summary!$J$2:$K$9,2)*IF(ISNUMBER(H5353),H5353,1))</f>
        <v>0.16666666666666666</v>
      </c>
      <c r="AG5353" s="287">
        <v>5352</v>
      </c>
      <c r="AH5353" s="94"/>
      <c r="AI5353" s="94"/>
      <c r="AJ5353" s="43"/>
    </row>
    <row r="5354" spans="1:36" s="22" customFormat="1" ht="12" customHeight="1" x14ac:dyDescent="0.2">
      <c r="A5354" s="405" t="s">
        <v>12357</v>
      </c>
      <c r="B5354" s="596" t="s">
        <v>3227</v>
      </c>
      <c r="C5354" s="533">
        <v>3.01</v>
      </c>
      <c r="D5354" s="407" t="s">
        <v>13162</v>
      </c>
      <c r="E5354" s="315" t="s">
        <v>569</v>
      </c>
      <c r="F5354" s="196">
        <v>42808</v>
      </c>
      <c r="G5354" s="196"/>
      <c r="H5354" s="170">
        <v>1</v>
      </c>
      <c r="I5354" s="747">
        <f t="shared" si="132"/>
        <v>4.1666666666666664E-2</v>
      </c>
      <c r="J5354" s="899" t="s">
        <v>4706</v>
      </c>
      <c r="K5354" s="167" t="s">
        <v>4146</v>
      </c>
      <c r="L5354" s="167" t="s">
        <v>179</v>
      </c>
      <c r="M5354" s="167"/>
      <c r="N5354" s="167"/>
      <c r="O5354" s="167" t="s">
        <v>1643</v>
      </c>
      <c r="P5354" s="168" t="s">
        <v>13180</v>
      </c>
      <c r="Q5354" s="167" t="s">
        <v>3947</v>
      </c>
      <c r="R5354" s="172" t="s">
        <v>10605</v>
      </c>
      <c r="S5354" s="388"/>
      <c r="T5354" s="168"/>
      <c r="U5354" s="168"/>
      <c r="V5354" s="168"/>
      <c r="W5354" s="315" t="s">
        <v>569</v>
      </c>
      <c r="X5354" s="647" t="s">
        <v>12356</v>
      </c>
      <c r="Y5354" s="352"/>
      <c r="Z5354" s="353"/>
      <c r="AA5354" s="353"/>
      <c r="AB5354" s="31">
        <f t="shared" ca="1" si="131"/>
        <v>0.44767632158988846</v>
      </c>
      <c r="AC5354" s="810"/>
      <c r="AD5354" s="811" t="s">
        <v>15903</v>
      </c>
      <c r="AE5354" s="940"/>
      <c r="AF5354" s="920">
        <f>IF(X5354=X5353,AF5353,0)+IF(ISNUMBER(I5354),IF(I5354&lt;1,I5354,I5354*VLOOKUP(J5354,Summary!$H$2:$I$9,2)),VLOOKUP(J5354,Summary!$J$2:$K$9,2)*IF(ISNUMBER(H5354),H5354,1))</f>
        <v>0.20833333333333331</v>
      </c>
      <c r="AG5354" s="287">
        <v>5353</v>
      </c>
      <c r="AH5354" s="94"/>
      <c r="AI5354" s="94"/>
    </row>
    <row r="5355" spans="1:36" s="58" customFormat="1" ht="12" customHeight="1" x14ac:dyDescent="0.2">
      <c r="A5355" s="405" t="s">
        <v>12357</v>
      </c>
      <c r="B5355" s="596" t="s">
        <v>3227</v>
      </c>
      <c r="C5355" s="533">
        <v>3.109999999999999</v>
      </c>
      <c r="D5355" s="407" t="s">
        <v>13192</v>
      </c>
      <c r="E5355" s="315" t="s">
        <v>13203</v>
      </c>
      <c r="F5355" s="196">
        <v>43027</v>
      </c>
      <c r="G5355" s="196"/>
      <c r="H5355" s="170">
        <v>1</v>
      </c>
      <c r="I5355" s="747">
        <f t="shared" si="132"/>
        <v>4.1666666666666664E-2</v>
      </c>
      <c r="J5355" s="899" t="s">
        <v>4706</v>
      </c>
      <c r="K5355" s="167" t="s">
        <v>4147</v>
      </c>
      <c r="L5355" s="876" t="s">
        <v>179</v>
      </c>
      <c r="M5355" s="167"/>
      <c r="N5355" s="167" t="s">
        <v>179</v>
      </c>
      <c r="O5355" s="167" t="s">
        <v>1643</v>
      </c>
      <c r="P5355" s="168" t="s">
        <v>13209</v>
      </c>
      <c r="Q5355" s="167" t="s">
        <v>3947</v>
      </c>
      <c r="R5355" s="172" t="s">
        <v>10605</v>
      </c>
      <c r="S5355" s="388"/>
      <c r="T5355" s="168" t="s">
        <v>3068</v>
      </c>
      <c r="U5355" s="168"/>
      <c r="V5355" s="168"/>
      <c r="W5355" s="315" t="s">
        <v>13203</v>
      </c>
      <c r="X5355" s="647" t="s">
        <v>12356</v>
      </c>
      <c r="Y5355" s="352"/>
      <c r="Z5355" s="353"/>
      <c r="AA5355" s="353"/>
      <c r="AB5355" s="31">
        <f t="shared" ca="1" si="131"/>
        <v>0.79858060424155808</v>
      </c>
      <c r="AC5355" s="810"/>
      <c r="AD5355" s="811" t="s">
        <v>15903</v>
      </c>
      <c r="AE5355" s="940"/>
      <c r="AF5355" s="920">
        <f>IF(X5355=X5354,AF5354,0)+IF(ISNUMBER(I5355),IF(I5355&lt;1,I5355,I5355*VLOOKUP(J5355,Summary!$H$2:$I$9,2)),VLOOKUP(J5355,Summary!$J$2:$K$9,2)*IF(ISNUMBER(H5355),H5355,1))</f>
        <v>0.24999999999999997</v>
      </c>
      <c r="AG5355" s="287">
        <v>5354</v>
      </c>
      <c r="AH5355" s="94"/>
      <c r="AI5355" s="94"/>
    </row>
    <row r="5356" spans="1:36" s="26" customFormat="1" ht="12" customHeight="1" x14ac:dyDescent="0.2">
      <c r="A5356" s="405" t="s">
        <v>12357</v>
      </c>
      <c r="B5356" s="596" t="s">
        <v>3227</v>
      </c>
      <c r="C5356" s="533">
        <v>3.1199999999999988</v>
      </c>
      <c r="D5356" s="407" t="s">
        <v>13193</v>
      </c>
      <c r="E5356" s="315" t="s">
        <v>13204</v>
      </c>
      <c r="F5356" s="196">
        <v>43027</v>
      </c>
      <c r="G5356" s="196"/>
      <c r="H5356" s="170">
        <v>1</v>
      </c>
      <c r="I5356" s="747">
        <f t="shared" si="132"/>
        <v>4.1666666666666664E-2</v>
      </c>
      <c r="J5356" s="899" t="s">
        <v>4706</v>
      </c>
      <c r="K5356" s="167" t="s">
        <v>13208</v>
      </c>
      <c r="L5356" s="167" t="s">
        <v>179</v>
      </c>
      <c r="M5356" s="167"/>
      <c r="N5356" s="167" t="s">
        <v>179</v>
      </c>
      <c r="O5356" s="167" t="s">
        <v>1643</v>
      </c>
      <c r="P5356" s="168" t="s">
        <v>13209</v>
      </c>
      <c r="Q5356" s="167" t="s">
        <v>3947</v>
      </c>
      <c r="R5356" s="172" t="s">
        <v>10605</v>
      </c>
      <c r="S5356" s="388"/>
      <c r="T5356" s="168" t="s">
        <v>3068</v>
      </c>
      <c r="U5356" s="168"/>
      <c r="V5356" s="168"/>
      <c r="W5356" s="315" t="s">
        <v>13204</v>
      </c>
      <c r="X5356" s="647" t="s">
        <v>12356</v>
      </c>
      <c r="Y5356" s="352"/>
      <c r="Z5356" s="353"/>
      <c r="AA5356" s="353"/>
      <c r="AB5356" s="31">
        <f t="shared" ca="1" si="131"/>
        <v>0.19064069525074923</v>
      </c>
      <c r="AC5356" s="810"/>
      <c r="AD5356" s="811" t="s">
        <v>15903</v>
      </c>
      <c r="AE5356" s="940"/>
      <c r="AF5356" s="920">
        <f>IF(X5356=X5355,AF5355,0)+IF(ISNUMBER(I5356),IF(I5356&lt;1,I5356,I5356*VLOOKUP(J5356,Summary!$H$2:$I$9,2)),VLOOKUP(J5356,Summary!$J$2:$K$9,2)*IF(ISNUMBER(H5356),H5356,1))</f>
        <v>0.29166666666666663</v>
      </c>
      <c r="AG5356" s="287">
        <v>5355</v>
      </c>
      <c r="AH5356" s="94"/>
      <c r="AI5356" s="94"/>
    </row>
    <row r="5357" spans="1:36" s="22" customFormat="1" ht="12" customHeight="1" x14ac:dyDescent="0.2">
      <c r="A5357" s="405" t="s">
        <v>12357</v>
      </c>
      <c r="B5357" s="596" t="s">
        <v>3227</v>
      </c>
      <c r="C5357" s="533">
        <v>3.1299999999999986</v>
      </c>
      <c r="D5357" s="407" t="s">
        <v>13194</v>
      </c>
      <c r="E5357" s="315" t="s">
        <v>13205</v>
      </c>
      <c r="F5357" s="196">
        <v>43027</v>
      </c>
      <c r="G5357" s="196"/>
      <c r="H5357" s="170">
        <v>1</v>
      </c>
      <c r="I5357" s="747">
        <f t="shared" si="132"/>
        <v>4.1666666666666664E-2</v>
      </c>
      <c r="J5357" s="899" t="s">
        <v>4706</v>
      </c>
      <c r="K5357" s="167" t="s">
        <v>13207</v>
      </c>
      <c r="L5357" s="167" t="s">
        <v>179</v>
      </c>
      <c r="M5357" s="167"/>
      <c r="N5357" s="167" t="s">
        <v>179</v>
      </c>
      <c r="O5357" s="167" t="s">
        <v>1643</v>
      </c>
      <c r="P5357" s="168" t="s">
        <v>13209</v>
      </c>
      <c r="Q5357" s="167" t="s">
        <v>3947</v>
      </c>
      <c r="R5357" s="172" t="s">
        <v>10605</v>
      </c>
      <c r="S5357" s="388"/>
      <c r="T5357" s="168" t="s">
        <v>3068</v>
      </c>
      <c r="U5357" s="168"/>
      <c r="V5357" s="168"/>
      <c r="W5357" s="315" t="s">
        <v>13205</v>
      </c>
      <c r="X5357" s="647" t="s">
        <v>12356</v>
      </c>
      <c r="Y5357" s="352"/>
      <c r="Z5357" s="353"/>
      <c r="AA5357" s="353"/>
      <c r="AB5357" s="31">
        <f t="shared" ca="1" si="131"/>
        <v>0.90370148249268234</v>
      </c>
      <c r="AC5357" s="810"/>
      <c r="AD5357" s="811" t="s">
        <v>15903</v>
      </c>
      <c r="AE5357" s="940"/>
      <c r="AF5357" s="920">
        <f>IF(X5357=X5356,AF5356,0)+IF(ISNUMBER(I5357),IF(I5357&lt;1,I5357,I5357*VLOOKUP(J5357,Summary!$H$2:$I$9,2)),VLOOKUP(J5357,Summary!$J$2:$K$9,2)*IF(ISNUMBER(H5357),H5357,1))</f>
        <v>0.33333333333333331</v>
      </c>
      <c r="AG5357" s="287">
        <v>5356</v>
      </c>
      <c r="AH5357" s="94"/>
      <c r="AI5357" s="94"/>
    </row>
    <row r="5358" spans="1:36" s="57" customFormat="1" ht="12" customHeight="1" x14ac:dyDescent="0.25">
      <c r="A5358" s="405" t="s">
        <v>12357</v>
      </c>
      <c r="B5358" s="596" t="s">
        <v>3227</v>
      </c>
      <c r="C5358" s="533">
        <v>3.1399999999999983</v>
      </c>
      <c r="D5358" s="407" t="s">
        <v>13195</v>
      </c>
      <c r="E5358" s="315" t="s">
        <v>13206</v>
      </c>
      <c r="F5358" s="196">
        <v>43027</v>
      </c>
      <c r="G5358" s="196"/>
      <c r="H5358" s="170">
        <v>1</v>
      </c>
      <c r="I5358" s="747">
        <f t="shared" si="132"/>
        <v>4.1666666666666664E-2</v>
      </c>
      <c r="J5358" s="899" t="s">
        <v>4706</v>
      </c>
      <c r="K5358" s="167" t="s">
        <v>12857</v>
      </c>
      <c r="L5358" s="167" t="s">
        <v>179</v>
      </c>
      <c r="M5358" s="167"/>
      <c r="N5358" s="167" t="s">
        <v>179</v>
      </c>
      <c r="O5358" s="167" t="s">
        <v>1643</v>
      </c>
      <c r="P5358" s="168" t="s">
        <v>13209</v>
      </c>
      <c r="Q5358" s="167" t="s">
        <v>3947</v>
      </c>
      <c r="R5358" s="172" t="s">
        <v>10605</v>
      </c>
      <c r="S5358" s="388"/>
      <c r="T5358" s="168" t="s">
        <v>3068</v>
      </c>
      <c r="U5358" s="168"/>
      <c r="V5358" s="168"/>
      <c r="W5358" s="315" t="s">
        <v>13206</v>
      </c>
      <c r="X5358" s="647" t="s">
        <v>12356</v>
      </c>
      <c r="Y5358" s="352"/>
      <c r="Z5358" s="353"/>
      <c r="AA5358" s="353"/>
      <c r="AB5358" s="31">
        <f t="shared" ca="1" si="131"/>
        <v>0.90503594908560114</v>
      </c>
      <c r="AC5358" s="810"/>
      <c r="AD5358" s="811" t="s">
        <v>15903</v>
      </c>
      <c r="AE5358" s="940"/>
      <c r="AF5358" s="920">
        <f>IF(X5358=X5357,AF5357,0)+IF(ISNUMBER(I5358),IF(I5358&lt;1,I5358,I5358*VLOOKUP(J5358,Summary!$H$2:$I$9,2)),VLOOKUP(J5358,Summary!$J$2:$K$9,2)*IF(ISNUMBER(H5358),H5358,1))</f>
        <v>0.375</v>
      </c>
      <c r="AG5358" s="287">
        <v>5357</v>
      </c>
      <c r="AH5358" s="94"/>
      <c r="AI5358" s="94"/>
    </row>
    <row r="5359" spans="1:36" s="27" customFormat="1" ht="12" customHeight="1" x14ac:dyDescent="0.25">
      <c r="A5359" s="405" t="s">
        <v>12357</v>
      </c>
      <c r="B5359" s="596" t="s">
        <v>3227</v>
      </c>
      <c r="C5359" s="533">
        <v>3.1499999999999981</v>
      </c>
      <c r="D5359" s="407" t="s">
        <v>13196</v>
      </c>
      <c r="E5359" s="315" t="s">
        <v>13210</v>
      </c>
      <c r="F5359" s="196">
        <v>43137</v>
      </c>
      <c r="G5359" s="196"/>
      <c r="H5359" s="170">
        <v>1</v>
      </c>
      <c r="I5359" s="747">
        <f t="shared" si="132"/>
        <v>4.1666666666666664E-2</v>
      </c>
      <c r="J5359" s="899" t="s">
        <v>4706</v>
      </c>
      <c r="K5359" s="167" t="s">
        <v>12857</v>
      </c>
      <c r="L5359" s="167" t="s">
        <v>179</v>
      </c>
      <c r="M5359" s="167"/>
      <c r="N5359" s="167" t="s">
        <v>179</v>
      </c>
      <c r="O5359" s="167" t="s">
        <v>1643</v>
      </c>
      <c r="P5359" s="168" t="s">
        <v>13214</v>
      </c>
      <c r="Q5359" s="167" t="s">
        <v>3947</v>
      </c>
      <c r="R5359" s="172" t="s">
        <v>10605</v>
      </c>
      <c r="S5359" s="388"/>
      <c r="T5359" s="168" t="s">
        <v>3068</v>
      </c>
      <c r="U5359" s="168"/>
      <c r="V5359" s="168"/>
      <c r="W5359" s="315" t="s">
        <v>13210</v>
      </c>
      <c r="X5359" s="647" t="s">
        <v>12356</v>
      </c>
      <c r="Y5359" s="352"/>
      <c r="Z5359" s="353"/>
      <c r="AA5359" s="353"/>
      <c r="AB5359" s="31">
        <f t="shared" ca="1" si="131"/>
        <v>0.84250653711422707</v>
      </c>
      <c r="AC5359" s="810"/>
      <c r="AD5359" s="811" t="s">
        <v>15903</v>
      </c>
      <c r="AE5359" s="940"/>
      <c r="AF5359" s="920">
        <f>IF(X5359=X5358,AF5358,0)+IF(ISNUMBER(I5359),IF(I5359&lt;1,I5359,I5359*VLOOKUP(J5359,Summary!$H$2:$I$9,2)),VLOOKUP(J5359,Summary!$J$2:$K$9,2)*IF(ISNUMBER(H5359),H5359,1))</f>
        <v>0.41666666666666669</v>
      </c>
      <c r="AG5359" s="287">
        <v>5358</v>
      </c>
      <c r="AH5359" s="124"/>
      <c r="AI5359" s="124"/>
    </row>
    <row r="5360" spans="1:36" s="58" customFormat="1" ht="12" customHeight="1" x14ac:dyDescent="0.2">
      <c r="A5360" s="405" t="s">
        <v>12357</v>
      </c>
      <c r="B5360" s="596" t="s">
        <v>3227</v>
      </c>
      <c r="C5360" s="533">
        <v>3.1599999999999979</v>
      </c>
      <c r="D5360" s="407" t="s">
        <v>13197</v>
      </c>
      <c r="E5360" s="315" t="s">
        <v>13211</v>
      </c>
      <c r="F5360" s="196">
        <v>43137</v>
      </c>
      <c r="G5360" s="196"/>
      <c r="H5360" s="170">
        <v>1</v>
      </c>
      <c r="I5360" s="747">
        <f t="shared" si="132"/>
        <v>4.1666666666666664E-2</v>
      </c>
      <c r="J5360" s="899" t="s">
        <v>4706</v>
      </c>
      <c r="K5360" s="167" t="s">
        <v>4425</v>
      </c>
      <c r="L5360" s="876" t="s">
        <v>179</v>
      </c>
      <c r="M5360" s="167"/>
      <c r="N5360" s="167" t="s">
        <v>179</v>
      </c>
      <c r="O5360" s="167" t="s">
        <v>1643</v>
      </c>
      <c r="P5360" s="168" t="s">
        <v>13214</v>
      </c>
      <c r="Q5360" s="167" t="s">
        <v>3947</v>
      </c>
      <c r="R5360" s="172" t="s">
        <v>10605</v>
      </c>
      <c r="S5360" s="388"/>
      <c r="T5360" s="168" t="s">
        <v>3068</v>
      </c>
      <c r="U5360" s="168"/>
      <c r="V5360" s="168"/>
      <c r="W5360" s="315" t="s">
        <v>13211</v>
      </c>
      <c r="X5360" s="647" t="s">
        <v>12356</v>
      </c>
      <c r="Y5360" s="352"/>
      <c r="Z5360" s="353"/>
      <c r="AA5360" s="353"/>
      <c r="AB5360" s="31">
        <f t="shared" ca="1" si="131"/>
        <v>0.1637355165505211</v>
      </c>
      <c r="AC5360" s="810"/>
      <c r="AD5360" s="811" t="s">
        <v>15903</v>
      </c>
      <c r="AE5360" s="940"/>
      <c r="AF5360" s="920">
        <f>IF(X5360=X5359,AF5359,0)+IF(ISNUMBER(I5360),IF(I5360&lt;1,I5360,I5360*VLOOKUP(J5360,Summary!$H$2:$I$9,2)),VLOOKUP(J5360,Summary!$J$2:$K$9,2)*IF(ISNUMBER(H5360),H5360,1))</f>
        <v>0.45833333333333337</v>
      </c>
      <c r="AG5360" s="287">
        <v>5359</v>
      </c>
      <c r="AH5360" s="94"/>
      <c r="AI5360" s="94"/>
    </row>
    <row r="5361" spans="1:35" s="58" customFormat="1" ht="12" customHeight="1" x14ac:dyDescent="0.2">
      <c r="A5361" s="405" t="s">
        <v>12357</v>
      </c>
      <c r="B5361" s="596" t="s">
        <v>3227</v>
      </c>
      <c r="C5361" s="533">
        <v>3.1699999999999977</v>
      </c>
      <c r="D5361" s="407" t="s">
        <v>13198</v>
      </c>
      <c r="E5361" s="315" t="s">
        <v>13212</v>
      </c>
      <c r="F5361" s="196">
        <v>43137</v>
      </c>
      <c r="G5361" s="196"/>
      <c r="H5361" s="170">
        <v>1</v>
      </c>
      <c r="I5361" s="747">
        <f t="shared" si="132"/>
        <v>4.1666666666666664E-2</v>
      </c>
      <c r="J5361" s="899" t="s">
        <v>4706</v>
      </c>
      <c r="K5361" s="167" t="s">
        <v>12662</v>
      </c>
      <c r="L5361" s="167" t="s">
        <v>179</v>
      </c>
      <c r="M5361" s="167"/>
      <c r="N5361" s="167" t="s">
        <v>179</v>
      </c>
      <c r="O5361" s="167" t="s">
        <v>1643</v>
      </c>
      <c r="P5361" s="168" t="s">
        <v>13214</v>
      </c>
      <c r="Q5361" s="167" t="s">
        <v>3947</v>
      </c>
      <c r="R5361" s="172" t="s">
        <v>10605</v>
      </c>
      <c r="S5361" s="388"/>
      <c r="T5361" s="168" t="s">
        <v>3068</v>
      </c>
      <c r="U5361" s="168"/>
      <c r="V5361" s="168"/>
      <c r="W5361" s="315" t="s">
        <v>13212</v>
      </c>
      <c r="X5361" s="647" t="s">
        <v>12356</v>
      </c>
      <c r="Y5361" s="352"/>
      <c r="Z5361" s="353"/>
      <c r="AA5361" s="353"/>
      <c r="AB5361" s="31">
        <f t="shared" ca="1" si="131"/>
        <v>0.68096014998753795</v>
      </c>
      <c r="AC5361" s="810"/>
      <c r="AD5361" s="811" t="s">
        <v>15903</v>
      </c>
      <c r="AE5361" s="940"/>
      <c r="AF5361" s="920">
        <f>IF(X5361=X5360,AF5360,0)+IF(ISNUMBER(I5361),IF(I5361&lt;1,I5361,I5361*VLOOKUP(J5361,Summary!$H$2:$I$9,2)),VLOOKUP(J5361,Summary!$J$2:$K$9,2)*IF(ISNUMBER(H5361),H5361,1))</f>
        <v>0.5</v>
      </c>
      <c r="AG5361" s="287">
        <v>5360</v>
      </c>
      <c r="AH5361" s="94"/>
      <c r="AI5361" s="94"/>
    </row>
    <row r="5362" spans="1:35" s="22" customFormat="1" ht="12" customHeight="1" x14ac:dyDescent="0.2">
      <c r="A5362" s="405" t="s">
        <v>12357</v>
      </c>
      <c r="B5362" s="596" t="s">
        <v>3227</v>
      </c>
      <c r="C5362" s="533">
        <v>3.1799999999999975</v>
      </c>
      <c r="D5362" s="407" t="s">
        <v>13199</v>
      </c>
      <c r="E5362" s="315" t="s">
        <v>13213</v>
      </c>
      <c r="F5362" s="196">
        <v>43137</v>
      </c>
      <c r="G5362" s="196"/>
      <c r="H5362" s="170">
        <v>1</v>
      </c>
      <c r="I5362" s="747">
        <f t="shared" si="132"/>
        <v>4.1666666666666664E-2</v>
      </c>
      <c r="J5362" s="899" t="s">
        <v>4706</v>
      </c>
      <c r="K5362" s="167" t="s">
        <v>1643</v>
      </c>
      <c r="L5362" s="167" t="s">
        <v>179</v>
      </c>
      <c r="M5362" s="167"/>
      <c r="N5362" s="167" t="s">
        <v>179</v>
      </c>
      <c r="O5362" s="167" t="s">
        <v>1643</v>
      </c>
      <c r="P5362" s="168" t="s">
        <v>13214</v>
      </c>
      <c r="Q5362" s="167" t="s">
        <v>3947</v>
      </c>
      <c r="R5362" s="172" t="s">
        <v>10605</v>
      </c>
      <c r="S5362" s="388"/>
      <c r="T5362" s="168" t="s">
        <v>3068</v>
      </c>
      <c r="U5362" s="168"/>
      <c r="V5362" s="168"/>
      <c r="W5362" s="315" t="s">
        <v>13213</v>
      </c>
      <c r="X5362" s="647" t="s">
        <v>12356</v>
      </c>
      <c r="Y5362" s="352"/>
      <c r="Z5362" s="353"/>
      <c r="AA5362" s="353"/>
      <c r="AB5362" s="31">
        <f t="shared" ca="1" si="131"/>
        <v>0.58216735643493012</v>
      </c>
      <c r="AC5362" s="810"/>
      <c r="AD5362" s="811" t="s">
        <v>15903</v>
      </c>
      <c r="AE5362" s="940"/>
      <c r="AF5362" s="920">
        <f>IF(X5362=X5361,AF5361,0)+IF(ISNUMBER(I5362),IF(I5362&lt;1,I5362,I5362*VLOOKUP(J5362,Summary!$H$2:$I$9,2)),VLOOKUP(J5362,Summary!$J$2:$K$9,2)*IF(ISNUMBER(H5362),H5362,1))</f>
        <v>0.54166666666666663</v>
      </c>
      <c r="AG5362" s="287">
        <v>5361</v>
      </c>
      <c r="AH5362" s="94"/>
      <c r="AI5362" s="94"/>
    </row>
    <row r="5363" spans="1:35" s="22" customFormat="1" ht="12" customHeight="1" x14ac:dyDescent="0.2">
      <c r="A5363" s="639" t="s">
        <v>13391</v>
      </c>
      <c r="B5363" s="639">
        <v>13</v>
      </c>
      <c r="C5363" s="639"/>
      <c r="D5363" s="185" t="s">
        <v>14476</v>
      </c>
      <c r="E5363" s="314" t="s">
        <v>14477</v>
      </c>
      <c r="F5363" s="184">
        <v>43225</v>
      </c>
      <c r="G5363" s="184"/>
      <c r="H5363" s="185">
        <v>1</v>
      </c>
      <c r="I5363" s="185"/>
      <c r="J5363" s="901" t="s">
        <v>1796</v>
      </c>
      <c r="K5363" s="163" t="s">
        <v>14478</v>
      </c>
      <c r="L5363" s="163" t="s">
        <v>10912</v>
      </c>
      <c r="M5363" s="163"/>
      <c r="N5363" s="163"/>
      <c r="O5363" s="163"/>
      <c r="P5363" s="182" t="s">
        <v>461</v>
      </c>
      <c r="Q5363" s="163" t="s">
        <v>7076</v>
      </c>
      <c r="R5363" s="186" t="s">
        <v>14479</v>
      </c>
      <c r="S5363" s="355"/>
      <c r="T5363" s="182"/>
      <c r="U5363" s="182"/>
      <c r="V5363" s="182"/>
      <c r="W5363" s="314" t="s">
        <v>14477</v>
      </c>
      <c r="X5363" s="646" t="s">
        <v>15773</v>
      </c>
      <c r="Y5363" s="355"/>
      <c r="Z5363" s="185"/>
      <c r="AA5363" s="185"/>
      <c r="AB5363" s="33">
        <f t="shared" ca="1" si="131"/>
        <v>0.8636208836852256</v>
      </c>
      <c r="AC5363" s="813"/>
      <c r="AD5363" s="211"/>
      <c r="AE5363" s="941"/>
      <c r="AF5363" s="922">
        <f>IF(X5363=X5362,AF5362,0)+IF(ISNUMBER(I5363),IF(I5363&lt;1,I5363,I5363*VLOOKUP(J5363,Summary!$H$2:$I$9,2)),VLOOKUP(J5363,Summary!$J$2:$K$9,2)*IF(ISNUMBER(H5363),H5363,1))</f>
        <v>3.472222222222222E-3</v>
      </c>
      <c r="AG5363" s="290">
        <v>5362</v>
      </c>
      <c r="AH5363" s="94"/>
      <c r="AI5363" s="94"/>
    </row>
    <row r="5364" spans="1:35" s="58" customFormat="1" ht="12" customHeight="1" x14ac:dyDescent="0.2">
      <c r="A5364" s="639" t="s">
        <v>13391</v>
      </c>
      <c r="B5364" s="639">
        <v>13</v>
      </c>
      <c r="C5364" s="639">
        <v>0.13</v>
      </c>
      <c r="D5364" s="185" t="s">
        <v>15403</v>
      </c>
      <c r="E5364" s="314" t="s">
        <v>15404</v>
      </c>
      <c r="F5364" s="184">
        <v>43369</v>
      </c>
      <c r="G5364" s="184"/>
      <c r="H5364" s="185">
        <v>1</v>
      </c>
      <c r="I5364" s="185">
        <v>6</v>
      </c>
      <c r="J5364" s="901" t="s">
        <v>1796</v>
      </c>
      <c r="K5364" s="163" t="s">
        <v>2675</v>
      </c>
      <c r="L5364" s="163" t="s">
        <v>3365</v>
      </c>
      <c r="M5364" s="163" t="s">
        <v>3365</v>
      </c>
      <c r="N5364" s="163"/>
      <c r="O5364" s="163"/>
      <c r="P5364" s="182" t="s">
        <v>461</v>
      </c>
      <c r="Q5364" s="163" t="s">
        <v>7076</v>
      </c>
      <c r="R5364" s="186" t="s">
        <v>14479</v>
      </c>
      <c r="S5364" s="355"/>
      <c r="T5364" s="182"/>
      <c r="U5364" s="182"/>
      <c r="V5364" s="182">
        <v>12</v>
      </c>
      <c r="W5364" s="314" t="s">
        <v>15404</v>
      </c>
      <c r="X5364" s="646" t="s">
        <v>15773</v>
      </c>
      <c r="Y5364" s="355"/>
      <c r="Z5364" s="185"/>
      <c r="AA5364" s="185"/>
      <c r="AB5364" s="33">
        <f t="shared" ca="1" si="131"/>
        <v>0.3637451733156537</v>
      </c>
      <c r="AC5364" s="813"/>
      <c r="AD5364" s="819"/>
      <c r="AE5364" s="875"/>
      <c r="AF5364" s="922">
        <f>IF(X5364=X5363,AF5363,0)+IF(ISNUMBER(I5364),IF(I5364&lt;1,I5364,I5364*VLOOKUP(J5364,Summary!$H$2:$I$9,2)),VLOOKUP(J5364,Summary!$J$2:$K$9,2)*IF(ISNUMBER(H5364),H5364,1))</f>
        <v>5.5555555555555549E-3</v>
      </c>
      <c r="AG5364" s="290">
        <v>5363</v>
      </c>
      <c r="AH5364" s="94"/>
      <c r="AI5364" s="94"/>
    </row>
    <row r="5365" spans="1:35" s="22" customFormat="1" ht="12" customHeight="1" x14ac:dyDescent="0.25">
      <c r="A5365" s="730" t="s">
        <v>13391</v>
      </c>
      <c r="B5365" s="730">
        <v>13</v>
      </c>
      <c r="C5365" s="730">
        <v>277</v>
      </c>
      <c r="D5365" s="736">
        <v>37.01</v>
      </c>
      <c r="E5365" s="731" t="s">
        <v>15317</v>
      </c>
      <c r="F5365" s="198">
        <v>43380</v>
      </c>
      <c r="G5365" s="198"/>
      <c r="H5365" s="199">
        <v>1</v>
      </c>
      <c r="I5365" s="791">
        <f>TIME(0,63, 1)</f>
        <v>4.3761574074074078E-2</v>
      </c>
      <c r="J5365" s="904" t="s">
        <v>1588</v>
      </c>
      <c r="K5365" s="733" t="s">
        <v>7377</v>
      </c>
      <c r="L5365" s="733" t="s">
        <v>15323</v>
      </c>
      <c r="M5365" s="733"/>
      <c r="N5365" s="733" t="s">
        <v>7377</v>
      </c>
      <c r="O5365" s="733" t="s">
        <v>15316</v>
      </c>
      <c r="P5365" s="197" t="s">
        <v>461</v>
      </c>
      <c r="Q5365" s="200" t="s">
        <v>3946</v>
      </c>
      <c r="R5365" s="201" t="s">
        <v>5280</v>
      </c>
      <c r="S5365" s="390" t="s">
        <v>15314</v>
      </c>
      <c r="T5365" s="197" t="s">
        <v>15315</v>
      </c>
      <c r="U5365" s="197" t="s">
        <v>15330</v>
      </c>
      <c r="V5365" s="197"/>
      <c r="W5365" s="731" t="s">
        <v>15317</v>
      </c>
      <c r="X5365" s="734" t="s">
        <v>15773</v>
      </c>
      <c r="Y5365" s="390"/>
      <c r="Z5365" s="253">
        <v>66</v>
      </c>
      <c r="AA5365" s="199">
        <v>8</v>
      </c>
      <c r="AB5365" s="35">
        <f t="shared" ca="1" si="131"/>
        <v>0.20591681468400469</v>
      </c>
      <c r="AC5365" s="820"/>
      <c r="AD5365" s="821"/>
      <c r="AE5365" s="232"/>
      <c r="AF5365" s="925">
        <f>IF(X5365=X5364,AF5364,0)+IF(ISNUMBER(I5365),IF(I5365&lt;1,I5365,I5365*VLOOKUP(J5365,Summary!$H$2:$I$9,2)),VLOOKUP(J5365,Summary!$J$2:$K$9,2)*IF(ISNUMBER(H5365),H5365,1))</f>
        <v>4.9317129629629634E-2</v>
      </c>
      <c r="AG5365" s="735">
        <v>5364</v>
      </c>
      <c r="AH5365" s="94"/>
      <c r="AI5365" s="94"/>
    </row>
    <row r="5366" spans="1:35" s="1" customFormat="1" ht="12" customHeight="1" x14ac:dyDescent="0.25">
      <c r="A5366" s="730" t="s">
        <v>13391</v>
      </c>
      <c r="B5366" s="730">
        <v>13</v>
      </c>
      <c r="C5366" s="730">
        <v>278</v>
      </c>
      <c r="D5366" s="736">
        <v>37.019999999999996</v>
      </c>
      <c r="E5366" s="731" t="s">
        <v>15318</v>
      </c>
      <c r="F5366" s="198">
        <v>43387</v>
      </c>
      <c r="G5366" s="198"/>
      <c r="H5366" s="199">
        <v>1</v>
      </c>
      <c r="I5366" s="791">
        <f>TIME(0,48,47)</f>
        <v>3.3877314814814811E-2</v>
      </c>
      <c r="J5366" s="904" t="s">
        <v>1588</v>
      </c>
      <c r="K5366" s="733" t="s">
        <v>7377</v>
      </c>
      <c r="L5366" s="733" t="s">
        <v>15324</v>
      </c>
      <c r="M5366" s="733"/>
      <c r="N5366" s="733" t="s">
        <v>7377</v>
      </c>
      <c r="O5366" s="733" t="s">
        <v>15316</v>
      </c>
      <c r="P5366" s="197" t="s">
        <v>461</v>
      </c>
      <c r="Q5366" s="200" t="s">
        <v>3946</v>
      </c>
      <c r="R5366" s="201" t="s">
        <v>5280</v>
      </c>
      <c r="S5366" s="390" t="s">
        <v>15314</v>
      </c>
      <c r="T5366" s="197" t="s">
        <v>15315</v>
      </c>
      <c r="U5366" s="197" t="s">
        <v>15330</v>
      </c>
      <c r="V5366" s="197"/>
      <c r="W5366" s="731" t="s">
        <v>15318</v>
      </c>
      <c r="X5366" s="734" t="s">
        <v>15773</v>
      </c>
      <c r="Y5366" s="390"/>
      <c r="Z5366" s="199">
        <v>258</v>
      </c>
      <c r="AA5366" s="199">
        <v>3</v>
      </c>
      <c r="AB5366" s="35">
        <f t="shared" ca="1" si="131"/>
        <v>0.47473388488047252</v>
      </c>
      <c r="AC5366" s="820"/>
      <c r="AD5366" s="821"/>
      <c r="AE5366" s="232"/>
      <c r="AF5366" s="925">
        <f>IF(X5366=X5365,AF5365,0)+IF(ISNUMBER(I5366),IF(I5366&lt;1,I5366,I5366*VLOOKUP(J5366,Summary!$H$2:$I$9,2)),VLOOKUP(J5366,Summary!$J$2:$K$9,2)*IF(ISNUMBER(H5366),H5366,1))</f>
        <v>8.3194444444444446E-2</v>
      </c>
      <c r="AG5366" s="735">
        <v>5365</v>
      </c>
      <c r="AH5366" s="94"/>
      <c r="AI5366" s="94"/>
    </row>
    <row r="5367" spans="1:35" s="1" customFormat="1" ht="12" customHeight="1" x14ac:dyDescent="0.25">
      <c r="A5367" s="639" t="s">
        <v>13391</v>
      </c>
      <c r="B5367" s="639">
        <v>13</v>
      </c>
      <c r="C5367" s="639">
        <v>1.01</v>
      </c>
      <c r="D5367" s="185" t="s">
        <v>15501</v>
      </c>
      <c r="E5367" s="314" t="s">
        <v>15502</v>
      </c>
      <c r="F5367" s="184">
        <v>43390</v>
      </c>
      <c r="G5367" s="184"/>
      <c r="H5367" s="185"/>
      <c r="I5367" s="185"/>
      <c r="J5367" s="901" t="s">
        <v>1796</v>
      </c>
      <c r="K5367" s="163" t="s">
        <v>14478</v>
      </c>
      <c r="L5367" s="163" t="s">
        <v>10912</v>
      </c>
      <c r="M5367" s="163" t="s">
        <v>15503</v>
      </c>
      <c r="N5367" s="163" t="s">
        <v>13483</v>
      </c>
      <c r="O5367" s="163"/>
      <c r="P5367" s="182" t="s">
        <v>461</v>
      </c>
      <c r="Q5367" s="163" t="s">
        <v>7076</v>
      </c>
      <c r="R5367" s="186" t="s">
        <v>14479</v>
      </c>
      <c r="S5367" s="389" t="s">
        <v>15314</v>
      </c>
      <c r="T5367" s="280" t="s">
        <v>15315</v>
      </c>
      <c r="U5367" s="280" t="s">
        <v>15330</v>
      </c>
      <c r="V5367" s="182"/>
      <c r="W5367" s="314"/>
      <c r="X5367" s="646" t="s">
        <v>15773</v>
      </c>
      <c r="Y5367" s="355"/>
      <c r="Z5367" s="185"/>
      <c r="AA5367" s="185"/>
      <c r="AB5367" s="33">
        <f t="shared" ca="1" si="131"/>
        <v>0.85829876746271161</v>
      </c>
      <c r="AC5367" s="813"/>
      <c r="AD5367" s="819"/>
      <c r="AE5367" s="875"/>
      <c r="AF5367" s="922">
        <f>IF(X5367=X5366,AF5366,0)+IF(ISNUMBER(I5367),IF(I5367&lt;1,I5367,I5367*VLOOKUP(J5367,Summary!$H$2:$I$9,2)),VLOOKUP(J5367,Summary!$J$2:$K$9,2)*IF(ISNUMBER(H5367),H5367,1))</f>
        <v>8.666666666666667E-2</v>
      </c>
      <c r="AG5367" s="290">
        <v>5366</v>
      </c>
      <c r="AH5367" s="94"/>
      <c r="AI5367" s="94"/>
    </row>
    <row r="5368" spans="1:35" s="117" customFormat="1" ht="12" customHeight="1" x14ac:dyDescent="0.25">
      <c r="A5368" s="730" t="s">
        <v>13391</v>
      </c>
      <c r="B5368" s="730">
        <v>13</v>
      </c>
      <c r="C5368" s="730">
        <v>279</v>
      </c>
      <c r="D5368" s="736">
        <v>37.029999999999994</v>
      </c>
      <c r="E5368" s="731" t="s">
        <v>15319</v>
      </c>
      <c r="F5368" s="198">
        <v>43394</v>
      </c>
      <c r="G5368" s="198"/>
      <c r="H5368" s="199">
        <v>1</v>
      </c>
      <c r="I5368" s="791">
        <f>TIME(0,49,36)</f>
        <v>3.4444444444444444E-2</v>
      </c>
      <c r="J5368" s="904" t="s">
        <v>1588</v>
      </c>
      <c r="K5368" s="733" t="s">
        <v>15328</v>
      </c>
      <c r="L5368" s="733" t="s">
        <v>15324</v>
      </c>
      <c r="M5368" s="733"/>
      <c r="N5368" s="733" t="s">
        <v>7377</v>
      </c>
      <c r="O5368" s="733" t="s">
        <v>15316</v>
      </c>
      <c r="P5368" s="197" t="s">
        <v>461</v>
      </c>
      <c r="Q5368" s="200" t="s">
        <v>3946</v>
      </c>
      <c r="R5368" s="201" t="s">
        <v>5280</v>
      </c>
      <c r="S5368" s="390" t="s">
        <v>15314</v>
      </c>
      <c r="T5368" s="197" t="s">
        <v>15315</v>
      </c>
      <c r="U5368" s="197" t="s">
        <v>15330</v>
      </c>
      <c r="V5368" s="197"/>
      <c r="W5368" s="731" t="s">
        <v>15319</v>
      </c>
      <c r="X5368" s="734" t="s">
        <v>15773</v>
      </c>
      <c r="Y5368" s="390"/>
      <c r="Z5368" s="199">
        <v>7</v>
      </c>
      <c r="AA5368" s="199">
        <v>10</v>
      </c>
      <c r="AB5368" s="35">
        <f t="shared" ca="1" si="131"/>
        <v>0.42186894157015198</v>
      </c>
      <c r="AC5368" s="820"/>
      <c r="AD5368" s="821"/>
      <c r="AE5368" s="232"/>
      <c r="AF5368" s="925">
        <f>IF(X5368=X5367,AF5367,0)+IF(ISNUMBER(I5368),IF(I5368&lt;1,I5368,I5368*VLOOKUP(J5368,Summary!$H$2:$I$9,2)),VLOOKUP(J5368,Summary!$J$2:$K$9,2)*IF(ISNUMBER(H5368),H5368,1))</f>
        <v>0.12111111111111111</v>
      </c>
      <c r="AG5368" s="735">
        <v>5367</v>
      </c>
      <c r="AH5368" s="94"/>
      <c r="AI5368" s="94"/>
    </row>
    <row r="5369" spans="1:35" s="22" customFormat="1" ht="12" customHeight="1" x14ac:dyDescent="0.2">
      <c r="A5369" s="639" t="s">
        <v>13391</v>
      </c>
      <c r="B5369" s="639">
        <v>13</v>
      </c>
      <c r="C5369" s="639">
        <v>183</v>
      </c>
      <c r="D5369" s="282" t="s">
        <v>15494</v>
      </c>
      <c r="E5369" s="349" t="s">
        <v>15495</v>
      </c>
      <c r="F5369" s="777">
        <v>43391</v>
      </c>
      <c r="G5369" s="777" t="s">
        <v>11072</v>
      </c>
      <c r="H5369" s="282"/>
      <c r="I5369" s="282"/>
      <c r="J5369" s="915" t="s">
        <v>1796</v>
      </c>
      <c r="K5369" s="284" t="s">
        <v>5251</v>
      </c>
      <c r="L5369" s="284" t="s">
        <v>3832</v>
      </c>
      <c r="M5369" s="284" t="s">
        <v>252</v>
      </c>
      <c r="N5369" s="284" t="s">
        <v>14481</v>
      </c>
      <c r="O5369" s="284"/>
      <c r="P5369" s="280" t="s">
        <v>461</v>
      </c>
      <c r="Q5369" s="284" t="s">
        <v>4104</v>
      </c>
      <c r="R5369" s="283" t="s">
        <v>5266</v>
      </c>
      <c r="S5369" s="389" t="s">
        <v>15314</v>
      </c>
      <c r="T5369" s="280" t="s">
        <v>15315</v>
      </c>
      <c r="U5369" s="280" t="s">
        <v>15330</v>
      </c>
      <c r="V5369" s="280"/>
      <c r="W5369" s="349"/>
      <c r="X5369" s="684" t="s">
        <v>15773</v>
      </c>
      <c r="Y5369" s="389"/>
      <c r="Z5369" s="282"/>
      <c r="AA5369" s="282"/>
      <c r="AB5369" s="121">
        <f t="shared" ca="1" si="131"/>
        <v>0.27008294927710741</v>
      </c>
      <c r="AC5369" s="851"/>
      <c r="AD5369" s="819"/>
      <c r="AE5369" s="972"/>
      <c r="AF5369" s="936">
        <f>IF(X5369=X5368,AF5368,0)+IF(ISNUMBER(I5369),IF(I5369&lt;1,I5369,I5369*VLOOKUP(J5369,Summary!$H$2:$I$9,2)),VLOOKUP(J5369,Summary!$J$2:$K$9,2)*IF(ISNUMBER(H5369),H5369,1))</f>
        <v>0.12458333333333334</v>
      </c>
      <c r="AG5369" s="308">
        <v>5368</v>
      </c>
      <c r="AH5369" s="94"/>
      <c r="AI5369" s="94"/>
    </row>
    <row r="5370" spans="1:35" s="117" customFormat="1" ht="12" customHeight="1" x14ac:dyDescent="0.25">
      <c r="A5370" s="730" t="s">
        <v>13391</v>
      </c>
      <c r="B5370" s="730">
        <v>13</v>
      </c>
      <c r="C5370" s="730">
        <v>280</v>
      </c>
      <c r="D5370" s="736">
        <v>37.039999999999992</v>
      </c>
      <c r="E5370" s="731" t="s">
        <v>15320</v>
      </c>
      <c r="F5370" s="198">
        <v>43401</v>
      </c>
      <c r="G5370" s="198"/>
      <c r="H5370" s="199">
        <v>1</v>
      </c>
      <c r="I5370" s="791">
        <f>TIME(0,49,24)</f>
        <v>3.4305555555555554E-2</v>
      </c>
      <c r="J5370" s="904" t="s">
        <v>1588</v>
      </c>
      <c r="K5370" s="733" t="s">
        <v>7377</v>
      </c>
      <c r="L5370" s="733" t="s">
        <v>15325</v>
      </c>
      <c r="M5370" s="733"/>
      <c r="N5370" s="733" t="s">
        <v>7377</v>
      </c>
      <c r="O5370" s="733" t="s">
        <v>15316</v>
      </c>
      <c r="P5370" s="197" t="s">
        <v>461</v>
      </c>
      <c r="Q5370" s="200" t="s">
        <v>3946</v>
      </c>
      <c r="R5370" s="201" t="s">
        <v>5280</v>
      </c>
      <c r="S5370" s="390" t="s">
        <v>15314</v>
      </c>
      <c r="T5370" s="197" t="s">
        <v>15315</v>
      </c>
      <c r="U5370" s="197" t="s">
        <v>15330</v>
      </c>
      <c r="V5370" s="197"/>
      <c r="W5370" s="731" t="s">
        <v>15320</v>
      </c>
      <c r="X5370" s="734" t="s">
        <v>15773</v>
      </c>
      <c r="Y5370" s="390"/>
      <c r="Z5370" s="199">
        <v>273</v>
      </c>
      <c r="AA5370" s="199">
        <v>2.5</v>
      </c>
      <c r="AB5370" s="35">
        <f t="shared" ca="1" si="131"/>
        <v>0.92441329718105647</v>
      </c>
      <c r="AC5370" s="820"/>
      <c r="AD5370" s="821"/>
      <c r="AE5370" s="232"/>
      <c r="AF5370" s="925">
        <f>IF(X5370=X5369,AF5369,0)+IF(ISNUMBER(I5370),IF(I5370&lt;1,I5370,I5370*VLOOKUP(J5370,Summary!$H$2:$I$9,2)),VLOOKUP(J5370,Summary!$J$2:$K$9,2)*IF(ISNUMBER(H5370),H5370,1))</f>
        <v>0.15888888888888889</v>
      </c>
      <c r="AG5370" s="735">
        <v>5369</v>
      </c>
      <c r="AH5370" s="94"/>
      <c r="AI5370" s="94"/>
    </row>
    <row r="5371" spans="1:35" s="22" customFormat="1" ht="12" customHeight="1" x14ac:dyDescent="0.2">
      <c r="A5371" s="639" t="s">
        <v>13391</v>
      </c>
      <c r="B5371" s="639">
        <v>13</v>
      </c>
      <c r="C5371" s="639"/>
      <c r="D5371" s="185" t="s">
        <v>15727</v>
      </c>
      <c r="E5371" s="314" t="s">
        <v>15726</v>
      </c>
      <c r="F5371" s="184">
        <v>43405</v>
      </c>
      <c r="G5371" s="184"/>
      <c r="H5371" s="185"/>
      <c r="I5371" s="185"/>
      <c r="J5371" s="901" t="s">
        <v>1796</v>
      </c>
      <c r="K5371" s="163" t="s">
        <v>3832</v>
      </c>
      <c r="L5371" s="163" t="s">
        <v>3365</v>
      </c>
      <c r="M5371" s="163" t="s">
        <v>3365</v>
      </c>
      <c r="N5371" s="163"/>
      <c r="O5371" s="163"/>
      <c r="P5371" s="182" t="s">
        <v>461</v>
      </c>
      <c r="Q5371" s="163" t="s">
        <v>8285</v>
      </c>
      <c r="R5371" s="186" t="s">
        <v>4600</v>
      </c>
      <c r="S5371" s="389" t="s">
        <v>15314</v>
      </c>
      <c r="T5371" s="280" t="s">
        <v>15315</v>
      </c>
      <c r="U5371" s="280" t="s">
        <v>15330</v>
      </c>
      <c r="V5371" s="182"/>
      <c r="W5371" s="314"/>
      <c r="X5371" s="646" t="s">
        <v>15773</v>
      </c>
      <c r="Y5371" s="355"/>
      <c r="Z5371" s="185"/>
      <c r="AA5371" s="185"/>
      <c r="AB5371" s="33">
        <f t="shared" ca="1" si="131"/>
        <v>0.55068962286716483</v>
      </c>
      <c r="AC5371" s="813"/>
      <c r="AD5371" s="894"/>
      <c r="AE5371" s="875"/>
      <c r="AF5371" s="922">
        <f>IF(X5371=X5370,AF5370,0)+IF(ISNUMBER(I5371),IF(I5371&lt;1,I5371,I5371*VLOOKUP(J5371,Summary!$H$2:$I$9,2)),VLOOKUP(J5371,Summary!$J$2:$K$9,2)*IF(ISNUMBER(H5371),H5371,1))</f>
        <v>0.16236111111111109</v>
      </c>
      <c r="AG5371" s="290">
        <v>5370</v>
      </c>
      <c r="AH5371" s="94"/>
      <c r="AI5371" s="94"/>
    </row>
    <row r="5372" spans="1:35" s="57" customFormat="1" ht="12" customHeight="1" x14ac:dyDescent="0.25">
      <c r="A5372" s="730" t="s">
        <v>13391</v>
      </c>
      <c r="B5372" s="730">
        <v>13</v>
      </c>
      <c r="C5372" s="730">
        <v>281</v>
      </c>
      <c r="D5372" s="736">
        <v>37.04999999999999</v>
      </c>
      <c r="E5372" s="731" t="s">
        <v>15321</v>
      </c>
      <c r="F5372" s="198">
        <v>43408</v>
      </c>
      <c r="G5372" s="198"/>
      <c r="H5372" s="199">
        <v>1</v>
      </c>
      <c r="I5372" s="791">
        <f>TIME(0,50,41)</f>
        <v>3.5196759259259254E-2</v>
      </c>
      <c r="J5372" s="904" t="s">
        <v>1588</v>
      </c>
      <c r="K5372" s="733" t="s">
        <v>7377</v>
      </c>
      <c r="L5372" s="733" t="s">
        <v>15326</v>
      </c>
      <c r="M5372" s="733"/>
      <c r="N5372" s="733" t="s">
        <v>7377</v>
      </c>
      <c r="O5372" s="733" t="s">
        <v>15316</v>
      </c>
      <c r="P5372" s="197" t="s">
        <v>461</v>
      </c>
      <c r="Q5372" s="200" t="s">
        <v>3946</v>
      </c>
      <c r="R5372" s="201" t="s">
        <v>5280</v>
      </c>
      <c r="S5372" s="390" t="s">
        <v>15314</v>
      </c>
      <c r="T5372" s="197" t="s">
        <v>15315</v>
      </c>
      <c r="U5372" s="197" t="s">
        <v>15330</v>
      </c>
      <c r="V5372" s="197"/>
      <c r="W5372" s="731" t="s">
        <v>15321</v>
      </c>
      <c r="X5372" s="734" t="s">
        <v>15773</v>
      </c>
      <c r="Y5372" s="390"/>
      <c r="Z5372" s="199">
        <v>123</v>
      </c>
      <c r="AA5372" s="199">
        <v>6.5</v>
      </c>
      <c r="AB5372" s="35">
        <f t="shared" ca="1" si="131"/>
        <v>0.46602042430798607</v>
      </c>
      <c r="AC5372" s="820"/>
      <c r="AD5372" s="821"/>
      <c r="AE5372" s="232"/>
      <c r="AF5372" s="925">
        <f>IF(X5372=X5371,AF5371,0)+IF(ISNUMBER(I5372),IF(I5372&lt;1,I5372,I5372*VLOOKUP(J5372,Summary!$H$2:$I$9,2)),VLOOKUP(J5372,Summary!$J$2:$K$9,2)*IF(ISNUMBER(H5372),H5372,1))</f>
        <v>0.19755787037037034</v>
      </c>
      <c r="AG5372" s="735">
        <v>5371</v>
      </c>
      <c r="AH5372" s="94"/>
      <c r="AI5372" s="94"/>
    </row>
    <row r="5373" spans="1:35" s="22" customFormat="1" ht="12" customHeight="1" x14ac:dyDescent="0.25">
      <c r="A5373" s="798" t="s">
        <v>13391</v>
      </c>
      <c r="B5373" s="798">
        <v>13</v>
      </c>
      <c r="C5373" s="798">
        <v>63</v>
      </c>
      <c r="D5373" s="417" t="s">
        <v>11369</v>
      </c>
      <c r="E5373" s="316" t="s">
        <v>15505</v>
      </c>
      <c r="F5373" s="195">
        <v>43398</v>
      </c>
      <c r="G5373" s="195"/>
      <c r="H5373" s="188" t="str">
        <f>IF(J5373="Book","n/a","")</f>
        <v>n/a</v>
      </c>
      <c r="I5373" s="188">
        <v>240</v>
      </c>
      <c r="J5373" s="902" t="s">
        <v>6868</v>
      </c>
      <c r="K5373" s="162" t="s">
        <v>13181</v>
      </c>
      <c r="L5373" s="264"/>
      <c r="M5373" s="162" t="s">
        <v>12126</v>
      </c>
      <c r="N5373" s="162"/>
      <c r="O5373" s="162"/>
      <c r="P5373" s="178" t="s">
        <v>15506</v>
      </c>
      <c r="Q5373" s="162" t="s">
        <v>3953</v>
      </c>
      <c r="R5373" s="189" t="s">
        <v>2711</v>
      </c>
      <c r="S5373" s="366" t="s">
        <v>15314</v>
      </c>
      <c r="T5373" s="178" t="s">
        <v>15315</v>
      </c>
      <c r="U5373" s="178" t="s">
        <v>15330</v>
      </c>
      <c r="V5373" s="178"/>
      <c r="W5373" s="316" t="s">
        <v>15505</v>
      </c>
      <c r="X5373" s="648" t="s">
        <v>15773</v>
      </c>
      <c r="Y5373" s="356"/>
      <c r="Z5373" s="272"/>
      <c r="AA5373" s="272"/>
      <c r="AB5373" s="34">
        <f t="shared" ca="1" si="131"/>
        <v>0.6711046609013831</v>
      </c>
      <c r="AC5373" s="814"/>
      <c r="AD5373" s="815"/>
      <c r="AE5373" s="942"/>
      <c r="AF5373" s="923">
        <f>IF(X5373=X5372,AF5372,0)+IF(ISNUMBER(I5373),IF(I5373&lt;1,I5373,I5373*VLOOKUP(J5373,Summary!$H$2:$I$9,2)),VLOOKUP(J5373,Summary!$J$2:$K$9,2)*IF(ISNUMBER(H5373),H5373,1))</f>
        <v>0.36422453703703705</v>
      </c>
      <c r="AG5373" s="291">
        <v>5372</v>
      </c>
      <c r="AH5373" s="94"/>
      <c r="AI5373" s="94"/>
    </row>
    <row r="5374" spans="1:35" s="22" customFormat="1" ht="12" customHeight="1" x14ac:dyDescent="0.25">
      <c r="A5374" s="636" t="s">
        <v>13391</v>
      </c>
      <c r="B5374" s="636">
        <v>13</v>
      </c>
      <c r="C5374" s="636">
        <v>12</v>
      </c>
      <c r="D5374" s="176" t="s">
        <v>15496</v>
      </c>
      <c r="E5374" s="313" t="s">
        <v>15497</v>
      </c>
      <c r="F5374" s="175">
        <v>43384</v>
      </c>
      <c r="G5374" s="174"/>
      <c r="H5374" s="176">
        <v>1</v>
      </c>
      <c r="I5374" s="176"/>
      <c r="J5374" s="900" t="s">
        <v>2755</v>
      </c>
      <c r="K5374" s="164" t="s">
        <v>15498</v>
      </c>
      <c r="L5374" s="164" t="s">
        <v>461</v>
      </c>
      <c r="M5374" s="164"/>
      <c r="N5374" s="164"/>
      <c r="O5374" s="164"/>
      <c r="P5374" s="173" t="s">
        <v>15499</v>
      </c>
      <c r="Q5374" s="164" t="s">
        <v>3953</v>
      </c>
      <c r="R5374" s="179" t="s">
        <v>15500</v>
      </c>
      <c r="S5374" s="354"/>
      <c r="T5374" s="173"/>
      <c r="U5374" s="173"/>
      <c r="V5374" s="173"/>
      <c r="W5374" s="313" t="s">
        <v>15497</v>
      </c>
      <c r="X5374" s="645" t="s">
        <v>15773</v>
      </c>
      <c r="Y5374" s="354"/>
      <c r="Z5374" s="176"/>
      <c r="AA5374" s="176"/>
      <c r="AB5374" s="32">
        <f t="shared" ca="1" si="131"/>
        <v>0.60268050694206243</v>
      </c>
      <c r="AC5374" s="812"/>
      <c r="AD5374" s="837"/>
      <c r="AE5374" s="807"/>
      <c r="AF5374" s="921">
        <f>IF(X5374=X5373,AF5373,0)+IF(ISNUMBER(I5374),IF(I5374&lt;1,I5374,I5374*VLOOKUP(J5374,Summary!$H$2:$I$9,2)),VLOOKUP(J5374,Summary!$J$2:$K$9,2)*IF(ISNUMBER(H5374),H5374,1))</f>
        <v>0.38158564814814816</v>
      </c>
      <c r="AG5374" s="288">
        <v>5373</v>
      </c>
      <c r="AH5374" s="94"/>
      <c r="AI5374" s="94"/>
    </row>
    <row r="5375" spans="1:35" s="22" customFormat="1" ht="12" customHeight="1" x14ac:dyDescent="0.25">
      <c r="A5375" s="730" t="s">
        <v>13391</v>
      </c>
      <c r="B5375" s="730">
        <v>13</v>
      </c>
      <c r="C5375" s="730">
        <v>282</v>
      </c>
      <c r="D5375" s="736">
        <v>37.059999999999988</v>
      </c>
      <c r="E5375" s="731" t="s">
        <v>15322</v>
      </c>
      <c r="F5375" s="198">
        <v>43415</v>
      </c>
      <c r="G5375" s="198"/>
      <c r="H5375" s="199">
        <v>1</v>
      </c>
      <c r="I5375" s="791">
        <f>TIME(0,25,18)+TIME(0,24,47)</f>
        <v>3.4780092592592599E-2</v>
      </c>
      <c r="J5375" s="904" t="s">
        <v>1588</v>
      </c>
      <c r="K5375" s="733" t="s">
        <v>15329</v>
      </c>
      <c r="L5375" s="733" t="s">
        <v>15323</v>
      </c>
      <c r="M5375" s="733"/>
      <c r="N5375" s="733" t="s">
        <v>7377</v>
      </c>
      <c r="O5375" s="733" t="s">
        <v>15316</v>
      </c>
      <c r="P5375" s="197" t="s">
        <v>461</v>
      </c>
      <c r="Q5375" s="200" t="s">
        <v>3946</v>
      </c>
      <c r="R5375" s="201" t="s">
        <v>5280</v>
      </c>
      <c r="S5375" s="390" t="s">
        <v>15314</v>
      </c>
      <c r="T5375" s="197" t="s">
        <v>15315</v>
      </c>
      <c r="U5375" s="197" t="s">
        <v>15330</v>
      </c>
      <c r="V5375" s="197"/>
      <c r="W5375" s="731" t="s">
        <v>15322</v>
      </c>
      <c r="X5375" s="734" t="s">
        <v>15773</v>
      </c>
      <c r="Y5375" s="390"/>
      <c r="Z5375" s="253">
        <v>47</v>
      </c>
      <c r="AA5375" s="199">
        <v>8.5</v>
      </c>
      <c r="AB5375" s="35">
        <f t="shared" ca="1" si="131"/>
        <v>0.1953994632969186</v>
      </c>
      <c r="AC5375" s="820"/>
      <c r="AD5375" s="821"/>
      <c r="AE5375" s="232"/>
      <c r="AF5375" s="925">
        <f>IF(X5375=X5374,AF5374,0)+IF(ISNUMBER(I5375),IF(I5375&lt;1,I5375,I5375*VLOOKUP(J5375,Summary!$H$2:$I$9,2)),VLOOKUP(J5375,Summary!$J$2:$K$9,2)*IF(ISNUMBER(H5375),H5375,1))</f>
        <v>0.41636574074074073</v>
      </c>
      <c r="AG5375" s="735">
        <v>5374</v>
      </c>
      <c r="AH5375" s="94"/>
      <c r="AI5375" s="94"/>
    </row>
    <row r="5376" spans="1:35" s="22" customFormat="1" ht="12" customHeight="1" x14ac:dyDescent="0.25">
      <c r="A5376" s="730" t="s">
        <v>13391</v>
      </c>
      <c r="B5376" s="730">
        <v>13</v>
      </c>
      <c r="C5376" s="730">
        <v>283</v>
      </c>
      <c r="D5376" s="736">
        <v>37.069999999999986</v>
      </c>
      <c r="E5376" s="731" t="s">
        <v>15476</v>
      </c>
      <c r="F5376" s="198">
        <v>43422</v>
      </c>
      <c r="G5376" s="198"/>
      <c r="H5376" s="199">
        <v>1</v>
      </c>
      <c r="I5376" s="791">
        <f>TIME(0,48,50)</f>
        <v>3.3912037037037039E-2</v>
      </c>
      <c r="J5376" s="904" t="s">
        <v>1588</v>
      </c>
      <c r="K5376" s="733" t="s">
        <v>15479</v>
      </c>
      <c r="L5376" s="733" t="s">
        <v>15326</v>
      </c>
      <c r="M5376" s="733"/>
      <c r="N5376" s="733" t="s">
        <v>7377</v>
      </c>
      <c r="O5376" s="733" t="s">
        <v>15316</v>
      </c>
      <c r="P5376" s="197" t="s">
        <v>461</v>
      </c>
      <c r="Q5376" s="200" t="s">
        <v>3946</v>
      </c>
      <c r="R5376" s="201" t="s">
        <v>5280</v>
      </c>
      <c r="S5376" s="390" t="s">
        <v>15314</v>
      </c>
      <c r="T5376" s="197" t="s">
        <v>15315</v>
      </c>
      <c r="U5376" s="197" t="s">
        <v>15330</v>
      </c>
      <c r="V5376" s="197"/>
      <c r="W5376" s="731" t="s">
        <v>15476</v>
      </c>
      <c r="X5376" s="734" t="s">
        <v>15773</v>
      </c>
      <c r="Y5376" s="390"/>
      <c r="Z5376" s="199">
        <v>318</v>
      </c>
      <c r="AA5376" s="253">
        <v>0.5</v>
      </c>
      <c r="AB5376" s="35">
        <f t="shared" ca="1" si="131"/>
        <v>0.18311625404645193</v>
      </c>
      <c r="AC5376" s="820"/>
      <c r="AD5376" s="821"/>
      <c r="AE5376" s="232"/>
      <c r="AF5376" s="925">
        <f>IF(X5376=X5375,AF5375,0)+IF(ISNUMBER(I5376),IF(I5376&lt;1,I5376,I5376*VLOOKUP(J5376,Summary!$H$2:$I$9,2)),VLOOKUP(J5376,Summary!$J$2:$K$9,2)*IF(ISNUMBER(H5376),H5376,1))</f>
        <v>0.45027777777777778</v>
      </c>
      <c r="AG5376" s="735">
        <v>5375</v>
      </c>
      <c r="AH5376" s="94"/>
      <c r="AI5376" s="94"/>
    </row>
    <row r="5377" spans="1:35" s="22" customFormat="1" ht="12" customHeight="1" x14ac:dyDescent="0.2">
      <c r="A5377" s="639" t="s">
        <v>13391</v>
      </c>
      <c r="B5377" s="639">
        <v>13</v>
      </c>
      <c r="C5377" s="639"/>
      <c r="D5377" s="282" t="s">
        <v>15980</v>
      </c>
      <c r="E5377" s="349" t="s">
        <v>15981</v>
      </c>
      <c r="F5377" s="777">
        <v>43475</v>
      </c>
      <c r="G5377" s="777"/>
      <c r="H5377" s="282">
        <v>1</v>
      </c>
      <c r="I5377" s="282"/>
      <c r="J5377" s="915" t="s">
        <v>1796</v>
      </c>
      <c r="K5377" s="284" t="s">
        <v>9880</v>
      </c>
      <c r="L5377" s="284" t="s">
        <v>9881</v>
      </c>
      <c r="M5377" s="284"/>
      <c r="N5377" s="284"/>
      <c r="O5377" s="284"/>
      <c r="P5377" s="280" t="s">
        <v>461</v>
      </c>
      <c r="Q5377" s="284" t="s">
        <v>4104</v>
      </c>
      <c r="R5377" s="283" t="s">
        <v>9898</v>
      </c>
      <c r="S5377" s="389" t="s">
        <v>15314</v>
      </c>
      <c r="T5377" s="280" t="s">
        <v>15315</v>
      </c>
      <c r="U5377" s="280" t="s">
        <v>15330</v>
      </c>
      <c r="V5377" s="280"/>
      <c r="W5377" s="349" t="s">
        <v>15981</v>
      </c>
      <c r="X5377" s="684" t="s">
        <v>15773</v>
      </c>
      <c r="Y5377" s="389"/>
      <c r="Z5377" s="282"/>
      <c r="AA5377" s="282"/>
      <c r="AB5377" s="121">
        <f t="shared" ca="1" si="131"/>
        <v>0.72853509654740789</v>
      </c>
      <c r="AC5377" s="851"/>
      <c r="AD5377" s="819"/>
      <c r="AE5377" s="972"/>
      <c r="AF5377" s="936">
        <f>IF(X5377=X5376,AF5376,0)+IF(ISNUMBER(I5377),IF(I5377&lt;1,I5377,I5377*VLOOKUP(J5377,Summary!$H$2:$I$9,2)),VLOOKUP(J5377,Summary!$J$2:$K$9,2)*IF(ISNUMBER(H5377),H5377,1))</f>
        <v>0.45374999999999999</v>
      </c>
      <c r="AG5377" s="308">
        <v>5376</v>
      </c>
      <c r="AH5377" s="94"/>
      <c r="AI5377" s="94"/>
    </row>
    <row r="5378" spans="1:35" s="1" customFormat="1" ht="12" customHeight="1" x14ac:dyDescent="0.25">
      <c r="A5378" s="730" t="s">
        <v>13391</v>
      </c>
      <c r="B5378" s="730">
        <v>13</v>
      </c>
      <c r="C5378" s="730">
        <v>284</v>
      </c>
      <c r="D5378" s="736">
        <v>37.079999999999984</v>
      </c>
      <c r="E5378" s="731" t="s">
        <v>15477</v>
      </c>
      <c r="F5378" s="198">
        <v>43429</v>
      </c>
      <c r="G5378" s="198"/>
      <c r="H5378" s="199">
        <v>1</v>
      </c>
      <c r="I5378" s="791">
        <f>TIME(0,46,31)</f>
        <v>3.2303240740740737E-2</v>
      </c>
      <c r="J5378" s="904" t="s">
        <v>1588</v>
      </c>
      <c r="K5378" s="733" t="s">
        <v>15478</v>
      </c>
      <c r="L5378" s="733" t="s">
        <v>15325</v>
      </c>
      <c r="M5378" s="733"/>
      <c r="N5378" s="733" t="s">
        <v>7377</v>
      </c>
      <c r="O5378" s="733" t="s">
        <v>15316</v>
      </c>
      <c r="P5378" s="197" t="s">
        <v>461</v>
      </c>
      <c r="Q5378" s="200" t="s">
        <v>3946</v>
      </c>
      <c r="R5378" s="201" t="s">
        <v>5280</v>
      </c>
      <c r="S5378" s="390" t="s">
        <v>15314</v>
      </c>
      <c r="T5378" s="197" t="s">
        <v>15315</v>
      </c>
      <c r="U5378" s="197" t="s">
        <v>15330</v>
      </c>
      <c r="V5378" s="197"/>
      <c r="W5378" s="731" t="s">
        <v>15477</v>
      </c>
      <c r="X5378" s="734" t="s">
        <v>15773</v>
      </c>
      <c r="Y5378" s="390"/>
      <c r="Z5378" s="199">
        <v>90</v>
      </c>
      <c r="AA5378" s="199">
        <v>7</v>
      </c>
      <c r="AB5378" s="35">
        <f t="shared" ref="AB5378:AB5399" ca="1" si="133">RAND()</f>
        <v>0.29247431173703076</v>
      </c>
      <c r="AC5378" s="820"/>
      <c r="AD5378" s="821"/>
      <c r="AE5378" s="232"/>
      <c r="AF5378" s="925">
        <f>IF(X5378=X5377,AF5377,0)+IF(ISNUMBER(I5378),IF(I5378&lt;1,I5378,I5378*VLOOKUP(J5378,Summary!$H$2:$I$9,2)),VLOOKUP(J5378,Summary!$J$2:$K$9,2)*IF(ISNUMBER(H5378),H5378,1))</f>
        <v>0.48605324074074074</v>
      </c>
      <c r="AG5378" s="735">
        <v>5377</v>
      </c>
      <c r="AH5378" s="94"/>
      <c r="AI5378" s="94"/>
    </row>
    <row r="5379" spans="1:35" s="22" customFormat="1" ht="12" customHeight="1" x14ac:dyDescent="0.25">
      <c r="A5379" s="798" t="s">
        <v>13391</v>
      </c>
      <c r="B5379" s="798">
        <v>13</v>
      </c>
      <c r="C5379" s="798">
        <v>64</v>
      </c>
      <c r="D5379" s="417" t="s">
        <v>15504</v>
      </c>
      <c r="E5379" s="316" t="s">
        <v>15507</v>
      </c>
      <c r="F5379" s="195">
        <v>43412</v>
      </c>
      <c r="G5379" s="195"/>
      <c r="H5379" s="188" t="str">
        <f>IF(J5379="Book","n/a","")</f>
        <v>n/a</v>
      </c>
      <c r="I5379" s="188">
        <v>208</v>
      </c>
      <c r="J5379" s="902" t="s">
        <v>6868</v>
      </c>
      <c r="K5379" s="162" t="s">
        <v>7797</v>
      </c>
      <c r="L5379" s="264"/>
      <c r="M5379" s="162" t="s">
        <v>9748</v>
      </c>
      <c r="N5379" s="162"/>
      <c r="O5379" s="162"/>
      <c r="P5379" s="178" t="s">
        <v>15508</v>
      </c>
      <c r="Q5379" s="162" t="s">
        <v>3953</v>
      </c>
      <c r="R5379" s="189" t="s">
        <v>2711</v>
      </c>
      <c r="S5379" s="366" t="s">
        <v>15314</v>
      </c>
      <c r="T5379" s="178" t="s">
        <v>15315</v>
      </c>
      <c r="U5379" s="178" t="s">
        <v>15330</v>
      </c>
      <c r="V5379" s="178"/>
      <c r="W5379" s="316" t="s">
        <v>15507</v>
      </c>
      <c r="X5379" s="648" t="s">
        <v>15773</v>
      </c>
      <c r="Y5379" s="356"/>
      <c r="Z5379" s="272"/>
      <c r="AA5379" s="272"/>
      <c r="AB5379" s="34">
        <f t="shared" ca="1" si="133"/>
        <v>0.21602875236776109</v>
      </c>
      <c r="AC5379" s="814"/>
      <c r="AD5379" s="815"/>
      <c r="AE5379" s="942"/>
      <c r="AF5379" s="923">
        <f>IF(X5379=X5378,AF5378,0)+IF(ISNUMBER(I5379),IF(I5379&lt;1,I5379,I5379*VLOOKUP(J5379,Summary!$H$2:$I$9,2)),VLOOKUP(J5379,Summary!$J$2:$K$9,2)*IF(ISNUMBER(H5379),H5379,1))</f>
        <v>0.63049768518518523</v>
      </c>
      <c r="AG5379" s="291">
        <v>5378</v>
      </c>
      <c r="AH5379" s="94"/>
      <c r="AI5379" s="94"/>
    </row>
    <row r="5380" spans="1:35" s="57" customFormat="1" ht="12" customHeight="1" x14ac:dyDescent="0.25">
      <c r="A5380" s="730" t="s">
        <v>13391</v>
      </c>
      <c r="B5380" s="730">
        <v>13</v>
      </c>
      <c r="C5380" s="730">
        <v>285</v>
      </c>
      <c r="D5380" s="736">
        <v>37.089999999999982</v>
      </c>
      <c r="E5380" s="731" t="s">
        <v>15681</v>
      </c>
      <c r="F5380" s="198">
        <v>43436</v>
      </c>
      <c r="G5380" s="198"/>
      <c r="H5380" s="199">
        <v>1</v>
      </c>
      <c r="I5380" s="791">
        <f>TIME(0,49,11)</f>
        <v>3.4155092592592591E-2</v>
      </c>
      <c r="J5380" s="904" t="s">
        <v>1588</v>
      </c>
      <c r="K5380" s="733" t="s">
        <v>15480</v>
      </c>
      <c r="L5380" s="733" t="s">
        <v>15323</v>
      </c>
      <c r="M5380" s="733"/>
      <c r="N5380" s="733" t="s">
        <v>7377</v>
      </c>
      <c r="O5380" s="733" t="s">
        <v>15316</v>
      </c>
      <c r="P5380" s="197" t="s">
        <v>461</v>
      </c>
      <c r="Q5380" s="200" t="s">
        <v>3946</v>
      </c>
      <c r="R5380" s="201" t="s">
        <v>5280</v>
      </c>
      <c r="S5380" s="390" t="s">
        <v>15314</v>
      </c>
      <c r="T5380" s="197" t="s">
        <v>15315</v>
      </c>
      <c r="U5380" s="197" t="s">
        <v>15330</v>
      </c>
      <c r="V5380" s="197"/>
      <c r="W5380" s="731" t="s">
        <v>15681</v>
      </c>
      <c r="X5380" s="734" t="s">
        <v>15773</v>
      </c>
      <c r="Y5380" s="390"/>
      <c r="Z5380" s="199">
        <v>63</v>
      </c>
      <c r="AA5380" s="199">
        <v>8</v>
      </c>
      <c r="AB5380" s="35">
        <f t="shared" ca="1" si="133"/>
        <v>0.31884123867009617</v>
      </c>
      <c r="AC5380" s="820"/>
      <c r="AD5380" s="821"/>
      <c r="AE5380" s="232"/>
      <c r="AF5380" s="925">
        <f>IF(X5380=X5379,AF5379,0)+IF(ISNUMBER(I5380),IF(I5380&lt;1,I5380,I5380*VLOOKUP(J5380,Summary!$H$2:$I$9,2)),VLOOKUP(J5380,Summary!$J$2:$K$9,2)*IF(ISNUMBER(H5380),H5380,1))</f>
        <v>0.66465277777777787</v>
      </c>
      <c r="AG5380" s="735">
        <v>5379</v>
      </c>
      <c r="AH5380" s="136"/>
      <c r="AI5380" s="136"/>
    </row>
    <row r="5381" spans="1:35" s="1" customFormat="1" ht="12" customHeight="1" x14ac:dyDescent="0.25">
      <c r="A5381" s="798" t="s">
        <v>13391</v>
      </c>
      <c r="B5381" s="798">
        <v>13</v>
      </c>
      <c r="C5381" s="798">
        <v>65</v>
      </c>
      <c r="D5381" s="417" t="s">
        <v>15509</v>
      </c>
      <c r="E5381" s="316" t="s">
        <v>15510</v>
      </c>
      <c r="F5381" s="195">
        <v>43426</v>
      </c>
      <c r="G5381" s="195"/>
      <c r="H5381" s="188" t="str">
        <f>IF(J5381="Book","n/a","")</f>
        <v>n/a</v>
      </c>
      <c r="I5381" s="188">
        <v>272</v>
      </c>
      <c r="J5381" s="902" t="s">
        <v>6868</v>
      </c>
      <c r="K5381" s="162" t="s">
        <v>4797</v>
      </c>
      <c r="L5381" s="264"/>
      <c r="M5381" s="162" t="s">
        <v>15511</v>
      </c>
      <c r="N5381" s="162"/>
      <c r="O5381" s="162"/>
      <c r="P5381" s="178" t="s">
        <v>15512</v>
      </c>
      <c r="Q5381" s="162" t="s">
        <v>3953</v>
      </c>
      <c r="R5381" s="189" t="s">
        <v>2711</v>
      </c>
      <c r="S5381" s="366" t="s">
        <v>15314</v>
      </c>
      <c r="T5381" s="178" t="s">
        <v>15315</v>
      </c>
      <c r="U5381" s="178" t="s">
        <v>15330</v>
      </c>
      <c r="V5381" s="178"/>
      <c r="W5381" s="316" t="s">
        <v>15510</v>
      </c>
      <c r="X5381" s="648" t="s">
        <v>15773</v>
      </c>
      <c r="Y5381" s="356"/>
      <c r="Z5381" s="272"/>
      <c r="AA5381" s="272"/>
      <c r="AB5381" s="34">
        <f t="shared" ca="1" si="133"/>
        <v>0.46440102998419164</v>
      </c>
      <c r="AC5381" s="814"/>
      <c r="AD5381" s="815"/>
      <c r="AE5381" s="942"/>
      <c r="AF5381" s="923">
        <f>IF(X5381=X5380,AF5380,0)+IF(ISNUMBER(I5381),IF(I5381&lt;1,I5381,I5381*VLOOKUP(J5381,Summary!$H$2:$I$9,2)),VLOOKUP(J5381,Summary!$J$2:$K$9,2)*IF(ISNUMBER(H5381),H5381,1))</f>
        <v>0.85354166666666675</v>
      </c>
      <c r="AG5381" s="291">
        <v>5380</v>
      </c>
      <c r="AH5381" s="94"/>
      <c r="AI5381" s="94"/>
    </row>
    <row r="5382" spans="1:35" s="22" customFormat="1" ht="12" customHeight="1" x14ac:dyDescent="0.25">
      <c r="A5382" s="730" t="s">
        <v>13391</v>
      </c>
      <c r="B5382" s="730">
        <v>13</v>
      </c>
      <c r="C5382" s="730">
        <v>286</v>
      </c>
      <c r="D5382" s="736">
        <v>37.09999999999998</v>
      </c>
      <c r="E5382" s="731" t="s">
        <v>15682</v>
      </c>
      <c r="F5382" s="198">
        <v>43443</v>
      </c>
      <c r="G5382" s="198"/>
      <c r="H5382" s="199">
        <v>1</v>
      </c>
      <c r="I5382" s="791">
        <f>TIME(0,49,40)</f>
        <v>3.4490740740740738E-2</v>
      </c>
      <c r="J5382" s="904" t="s">
        <v>1588</v>
      </c>
      <c r="K5382" s="733" t="s">
        <v>7377</v>
      </c>
      <c r="L5382" s="732" t="s">
        <v>15323</v>
      </c>
      <c r="M5382" s="733"/>
      <c r="N5382" s="733" t="s">
        <v>7377</v>
      </c>
      <c r="O5382" s="733" t="s">
        <v>15316</v>
      </c>
      <c r="P5382" s="197" t="s">
        <v>461</v>
      </c>
      <c r="Q5382" s="200" t="s">
        <v>3946</v>
      </c>
      <c r="R5382" s="201" t="s">
        <v>5280</v>
      </c>
      <c r="S5382" s="390" t="s">
        <v>15314</v>
      </c>
      <c r="T5382" s="197" t="s">
        <v>15315</v>
      </c>
      <c r="U5382" s="197" t="s">
        <v>15330</v>
      </c>
      <c r="V5382" s="197"/>
      <c r="W5382" s="731" t="s">
        <v>15682</v>
      </c>
      <c r="X5382" s="734" t="s">
        <v>15773</v>
      </c>
      <c r="Y5382" s="390"/>
      <c r="Z5382" s="199">
        <v>237</v>
      </c>
      <c r="AA5382" s="199">
        <v>4</v>
      </c>
      <c r="AB5382" s="35">
        <f t="shared" ca="1" si="133"/>
        <v>0.85263459830797106</v>
      </c>
      <c r="AC5382" s="820"/>
      <c r="AD5382" s="821"/>
      <c r="AE5382" s="232"/>
      <c r="AF5382" s="925">
        <f>IF(X5382=X5381,AF5381,0)+IF(ISNUMBER(I5382),IF(I5382&lt;1,I5382,I5382*VLOOKUP(J5382,Summary!$H$2:$I$9,2)),VLOOKUP(J5382,Summary!$J$2:$K$9,2)*IF(ISNUMBER(H5382),H5382,1))</f>
        <v>0.88803240740740752</v>
      </c>
      <c r="AG5382" s="735">
        <v>5381</v>
      </c>
      <c r="AH5382" s="94"/>
      <c r="AI5382" s="94"/>
    </row>
    <row r="5383" spans="1:35" s="57" customFormat="1" ht="12" customHeight="1" x14ac:dyDescent="0.25">
      <c r="A5383" s="730" t="s">
        <v>13391</v>
      </c>
      <c r="B5383" s="730">
        <v>13</v>
      </c>
      <c r="C5383" s="730">
        <v>287</v>
      </c>
      <c r="D5383" s="736">
        <v>37.11</v>
      </c>
      <c r="E5383" s="731" t="s">
        <v>15772</v>
      </c>
      <c r="F5383" s="198">
        <v>43466</v>
      </c>
      <c r="G5383" s="198"/>
      <c r="H5383" s="199">
        <v>1</v>
      </c>
      <c r="I5383" s="791">
        <f>TIME(0,59,59)</f>
        <v>4.1655092592592598E-2</v>
      </c>
      <c r="J5383" s="904" t="s">
        <v>1588</v>
      </c>
      <c r="K5383" s="733" t="s">
        <v>7377</v>
      </c>
      <c r="L5383" s="733" t="s">
        <v>15327</v>
      </c>
      <c r="M5383" s="733"/>
      <c r="N5383" s="733" t="s">
        <v>7377</v>
      </c>
      <c r="O5383" s="733" t="s">
        <v>15316</v>
      </c>
      <c r="P5383" s="197" t="s">
        <v>461</v>
      </c>
      <c r="Q5383" s="200" t="s">
        <v>3946</v>
      </c>
      <c r="R5383" s="201" t="s">
        <v>5280</v>
      </c>
      <c r="S5383" s="390" t="s">
        <v>15314</v>
      </c>
      <c r="T5383" s="197" t="s">
        <v>15315</v>
      </c>
      <c r="U5383" s="197" t="s">
        <v>15330</v>
      </c>
      <c r="V5383" s="197"/>
      <c r="W5383" s="731" t="s">
        <v>15772</v>
      </c>
      <c r="X5383" s="734" t="s">
        <v>15773</v>
      </c>
      <c r="Y5383" s="390"/>
      <c r="Z5383" s="199">
        <v>62</v>
      </c>
      <c r="AA5383" s="199">
        <v>8</v>
      </c>
      <c r="AB5383" s="35">
        <f t="shared" ca="1" si="133"/>
        <v>0.9642774675168545</v>
      </c>
      <c r="AC5383" s="820"/>
      <c r="AD5383" s="821"/>
      <c r="AE5383" s="232"/>
      <c r="AF5383" s="925">
        <f>IF(X5383=X5382,AF5382,0)+IF(ISNUMBER(I5383),IF(I5383&lt;1,I5383,I5383*VLOOKUP(J5383,Summary!$H$2:$I$9,2)),VLOOKUP(J5383,Summary!$J$2:$K$9,2)*IF(ISNUMBER(H5383),H5383,1))</f>
        <v>0.92968750000000011</v>
      </c>
      <c r="AG5383" s="735">
        <v>5382</v>
      </c>
      <c r="AH5383" s="136"/>
      <c r="AI5383" s="136"/>
    </row>
    <row r="5384" spans="1:35" s="22" customFormat="1" ht="12" customHeight="1" x14ac:dyDescent="0.25">
      <c r="A5384" s="636" t="s">
        <v>13391</v>
      </c>
      <c r="B5384" s="636">
        <v>13</v>
      </c>
      <c r="C5384" s="636">
        <v>4</v>
      </c>
      <c r="D5384" s="176" t="s">
        <v>13392</v>
      </c>
      <c r="E5384" s="313" t="s">
        <v>13393</v>
      </c>
      <c r="F5384" s="175">
        <v>43153</v>
      </c>
      <c r="G5384" s="174"/>
      <c r="H5384" s="176">
        <v>1</v>
      </c>
      <c r="I5384" s="176"/>
      <c r="J5384" s="900" t="s">
        <v>2755</v>
      </c>
      <c r="K5384" s="164" t="s">
        <v>4551</v>
      </c>
      <c r="L5384" s="164" t="s">
        <v>461</v>
      </c>
      <c r="M5384" s="164"/>
      <c r="N5384" s="164"/>
      <c r="O5384" s="164"/>
      <c r="P5384" s="173" t="s">
        <v>13386</v>
      </c>
      <c r="Q5384" s="164" t="s">
        <v>3953</v>
      </c>
      <c r="R5384" s="179" t="s">
        <v>13385</v>
      </c>
      <c r="S5384" s="354"/>
      <c r="T5384" s="173"/>
      <c r="U5384" s="173"/>
      <c r="V5384" s="173"/>
      <c r="W5384" s="313" t="s">
        <v>13393</v>
      </c>
      <c r="X5384" s="645" t="s">
        <v>15773</v>
      </c>
      <c r="Y5384" s="354"/>
      <c r="Z5384" s="176"/>
      <c r="AA5384" s="176"/>
      <c r="AB5384" s="32">
        <f t="shared" ca="1" si="133"/>
        <v>0.37331681443797349</v>
      </c>
      <c r="AC5384" s="812"/>
      <c r="AD5384" s="763"/>
      <c r="AE5384" s="807"/>
      <c r="AF5384" s="921">
        <f>IF(X5384=X5383,AF5383,0)+IF(ISNUMBER(I5384),IF(I5384&lt;1,I5384,I5384*VLOOKUP(J5384,Summary!$H$2:$I$9,2)),VLOOKUP(J5384,Summary!$J$2:$K$9,2)*IF(ISNUMBER(H5384),H5384,1))</f>
        <v>0.94704861111111127</v>
      </c>
      <c r="AG5384" s="288">
        <v>5383</v>
      </c>
      <c r="AH5384" s="94"/>
      <c r="AI5384" s="94"/>
    </row>
    <row r="5385" spans="1:35" s="57" customFormat="1" ht="12" customHeight="1" x14ac:dyDescent="0.25">
      <c r="A5385" s="798" t="s">
        <v>13391</v>
      </c>
      <c r="B5385" s="798">
        <v>13</v>
      </c>
      <c r="C5385" s="798"/>
      <c r="D5385" s="417"/>
      <c r="E5385" s="316" t="s">
        <v>15513</v>
      </c>
      <c r="F5385" s="195">
        <v>43405</v>
      </c>
      <c r="G5385" s="195"/>
      <c r="H5385" s="188" t="str">
        <f>IF(J5385="Book","n/a","")</f>
        <v>n/a</v>
      </c>
      <c r="I5385" s="188">
        <v>304</v>
      </c>
      <c r="J5385" s="902" t="s">
        <v>6868</v>
      </c>
      <c r="K5385" s="162" t="s">
        <v>15515</v>
      </c>
      <c r="L5385" s="162" t="s">
        <v>15514</v>
      </c>
      <c r="M5385" s="162" t="s">
        <v>498</v>
      </c>
      <c r="N5385" s="162"/>
      <c r="O5385" s="162"/>
      <c r="P5385" s="178" t="s">
        <v>15516</v>
      </c>
      <c r="Q5385" s="162" t="s">
        <v>3954</v>
      </c>
      <c r="R5385" s="189" t="s">
        <v>15517</v>
      </c>
      <c r="S5385" s="366" t="s">
        <v>15314</v>
      </c>
      <c r="T5385" s="178" t="s">
        <v>15315</v>
      </c>
      <c r="U5385" s="178" t="s">
        <v>15330</v>
      </c>
      <c r="V5385" s="178"/>
      <c r="W5385" s="316" t="s">
        <v>15513</v>
      </c>
      <c r="X5385" s="648" t="s">
        <v>15773</v>
      </c>
      <c r="Y5385" s="356"/>
      <c r="Z5385" s="272"/>
      <c r="AA5385" s="272"/>
      <c r="AB5385" s="34">
        <f t="shared" ca="1" si="133"/>
        <v>0.50576981023749545</v>
      </c>
      <c r="AC5385" s="814"/>
      <c r="AD5385" s="815"/>
      <c r="AE5385" s="942"/>
      <c r="AF5385" s="923">
        <f>IF(X5385=X5384,AF5384,0)+IF(ISNUMBER(I5385),IF(I5385&lt;1,I5385,I5385*VLOOKUP(J5385,Summary!$H$2:$I$9,2)),VLOOKUP(J5385,Summary!$J$2:$K$9,2)*IF(ISNUMBER(H5385),H5385,1))</f>
        <v>1.1581597222222224</v>
      </c>
      <c r="AG5385" s="291">
        <v>5384</v>
      </c>
      <c r="AH5385" s="136"/>
      <c r="AI5385" s="136"/>
    </row>
    <row r="5386" spans="1:35" s="866" customFormat="1" ht="12" customHeight="1" x14ac:dyDescent="0.25">
      <c r="A5386" s="859" t="s">
        <v>13391</v>
      </c>
      <c r="B5386" s="859">
        <v>13</v>
      </c>
      <c r="C5386" s="859"/>
      <c r="D5386" s="860"/>
      <c r="E5386" s="867" t="s">
        <v>15920</v>
      </c>
      <c r="F5386" s="249">
        <v>43452</v>
      </c>
      <c r="G5386" s="249"/>
      <c r="H5386" s="250">
        <v>1</v>
      </c>
      <c r="I5386" s="861">
        <f>TIME(0,1,3)</f>
        <v>7.291666666666667E-4</v>
      </c>
      <c r="J5386" s="913" t="s">
        <v>1588</v>
      </c>
      <c r="K5386" s="862" t="s">
        <v>3365</v>
      </c>
      <c r="L5386" s="862" t="s">
        <v>3365</v>
      </c>
      <c r="M5386" s="862" t="s">
        <v>15921</v>
      </c>
      <c r="N5386" s="862"/>
      <c r="O5386" s="862"/>
      <c r="P5386" s="248" t="s">
        <v>461</v>
      </c>
      <c r="Q5386" s="251" t="s">
        <v>3946</v>
      </c>
      <c r="R5386" s="252" t="s">
        <v>7896</v>
      </c>
      <c r="S5386" s="398"/>
      <c r="T5386" s="248"/>
      <c r="U5386" s="248"/>
      <c r="V5386" s="248"/>
      <c r="W5386" s="867" t="s">
        <v>15920</v>
      </c>
      <c r="X5386" s="863" t="s">
        <v>15773</v>
      </c>
      <c r="Y5386" s="398"/>
      <c r="Z5386" s="250"/>
      <c r="AA5386" s="250"/>
      <c r="AB5386" s="125">
        <f t="shared" ca="1" si="133"/>
        <v>8.1534174689567585E-2</v>
      </c>
      <c r="AC5386" s="843"/>
      <c r="AD5386" s="844"/>
      <c r="AE5386" s="976"/>
      <c r="AF5386" s="934">
        <f>IF(X5386=X5385,AF5385,0)+IF(ISNUMBER(I5386),IF(I5386&lt;1,I5386,I5386*VLOOKUP(J5386,Summary!$H$2:$I$9,2)),VLOOKUP(J5386,Summary!$J$2:$K$9,2)*IF(ISNUMBER(H5386),H5386,1))</f>
        <v>1.1588888888888891</v>
      </c>
      <c r="AG5386" s="864">
        <v>5385</v>
      </c>
      <c r="AH5386" s="865"/>
      <c r="AI5386" s="865"/>
    </row>
    <row r="5387" spans="1:35" s="1" customFormat="1" ht="12" customHeight="1" x14ac:dyDescent="0.25">
      <c r="A5387" s="405" t="s">
        <v>15125</v>
      </c>
      <c r="B5387" s="596" t="s">
        <v>3227</v>
      </c>
      <c r="C5387" s="533">
        <v>4.07</v>
      </c>
      <c r="D5387" s="407" t="s">
        <v>15126</v>
      </c>
      <c r="E5387" s="315" t="s">
        <v>15141</v>
      </c>
      <c r="F5387" s="196">
        <v>43396</v>
      </c>
      <c r="G5387" s="196"/>
      <c r="H5387" s="170">
        <v>1</v>
      </c>
      <c r="I5387" s="747">
        <f t="shared" ref="I5387:I5399" si="134">TIME(0,60,0)</f>
        <v>4.1666666666666664E-2</v>
      </c>
      <c r="J5387" s="899" t="s">
        <v>4706</v>
      </c>
      <c r="K5387" s="167" t="s">
        <v>1643</v>
      </c>
      <c r="L5387" s="167" t="s">
        <v>179</v>
      </c>
      <c r="M5387" s="167"/>
      <c r="N5387" s="167" t="s">
        <v>179</v>
      </c>
      <c r="O5387" s="167" t="s">
        <v>1643</v>
      </c>
      <c r="P5387" s="168" t="s">
        <v>15145</v>
      </c>
      <c r="Q5387" s="167" t="s">
        <v>3947</v>
      </c>
      <c r="R5387" s="172" t="s">
        <v>10605</v>
      </c>
      <c r="S5387" s="388"/>
      <c r="T5387" s="168" t="s">
        <v>3068</v>
      </c>
      <c r="U5387" s="168"/>
      <c r="V5387" s="168"/>
      <c r="W5387" s="315" t="s">
        <v>15141</v>
      </c>
      <c r="X5387" s="647" t="s">
        <v>15138</v>
      </c>
      <c r="Y5387" s="352"/>
      <c r="Z5387" s="353"/>
      <c r="AA5387" s="353"/>
      <c r="AB5387" s="31">
        <f t="shared" ca="1" si="133"/>
        <v>0.18858471158883239</v>
      </c>
      <c r="AC5387" s="810"/>
      <c r="AD5387" s="811"/>
      <c r="AE5387" s="940"/>
      <c r="AF5387" s="920">
        <f>IF(X5387=X5386,AF5386,0)+IF(ISNUMBER(I5387),IF(I5387&lt;1,I5387,I5387*VLOOKUP(J5387,Summary!$H$2:$I$9,2)),VLOOKUP(J5387,Summary!$J$2:$K$9,2)*IF(ISNUMBER(H5387),H5387,1))</f>
        <v>4.1666666666666664E-2</v>
      </c>
      <c r="AG5387" s="287">
        <v>5386</v>
      </c>
      <c r="AH5387" s="94"/>
      <c r="AI5387" s="94"/>
    </row>
    <row r="5388" spans="1:35" s="57" customFormat="1" ht="12" customHeight="1" x14ac:dyDescent="0.25">
      <c r="A5388" s="405" t="s">
        <v>15125</v>
      </c>
      <c r="B5388" s="596" t="s">
        <v>3227</v>
      </c>
      <c r="C5388" s="533">
        <v>4.08</v>
      </c>
      <c r="D5388" s="407" t="s">
        <v>15127</v>
      </c>
      <c r="E5388" s="315" t="s">
        <v>15142</v>
      </c>
      <c r="F5388" s="196">
        <v>43396</v>
      </c>
      <c r="G5388" s="196"/>
      <c r="H5388" s="170">
        <v>1</v>
      </c>
      <c r="I5388" s="747">
        <f t="shared" si="134"/>
        <v>4.1666666666666664E-2</v>
      </c>
      <c r="J5388" s="899" t="s">
        <v>4706</v>
      </c>
      <c r="K5388" s="167" t="s">
        <v>1826</v>
      </c>
      <c r="L5388" s="167" t="s">
        <v>179</v>
      </c>
      <c r="M5388" s="167"/>
      <c r="N5388" s="167" t="s">
        <v>179</v>
      </c>
      <c r="O5388" s="167" t="s">
        <v>1643</v>
      </c>
      <c r="P5388" s="168" t="s">
        <v>15145</v>
      </c>
      <c r="Q5388" s="167" t="s">
        <v>3947</v>
      </c>
      <c r="R5388" s="172" t="s">
        <v>10605</v>
      </c>
      <c r="S5388" s="388"/>
      <c r="T5388" s="168" t="s">
        <v>3068</v>
      </c>
      <c r="U5388" s="168"/>
      <c r="V5388" s="168"/>
      <c r="W5388" s="315" t="s">
        <v>15142</v>
      </c>
      <c r="X5388" s="647" t="s">
        <v>15138</v>
      </c>
      <c r="Y5388" s="352"/>
      <c r="Z5388" s="353"/>
      <c r="AA5388" s="353"/>
      <c r="AB5388" s="31">
        <f t="shared" ca="1" si="133"/>
        <v>0.57450324161306388</v>
      </c>
      <c r="AC5388" s="810"/>
      <c r="AD5388" s="811"/>
      <c r="AE5388" s="940"/>
      <c r="AF5388" s="920">
        <f>IF(X5388=X5387,AF5387,0)+IF(ISNUMBER(I5388),IF(I5388&lt;1,I5388,I5388*VLOOKUP(J5388,Summary!$H$2:$I$9,2)),VLOOKUP(J5388,Summary!$J$2:$K$9,2)*IF(ISNUMBER(H5388),H5388,1))</f>
        <v>8.3333333333333329E-2</v>
      </c>
      <c r="AG5388" s="287">
        <v>5387</v>
      </c>
      <c r="AH5388" s="136"/>
      <c r="AI5388" s="136"/>
    </row>
    <row r="5389" spans="1:35" s="1" customFormat="1" ht="12" customHeight="1" x14ac:dyDescent="0.25">
      <c r="A5389" s="405" t="s">
        <v>15125</v>
      </c>
      <c r="B5389" s="596" t="s">
        <v>3227</v>
      </c>
      <c r="C5389" s="533">
        <v>4.09</v>
      </c>
      <c r="D5389" s="407" t="s">
        <v>15128</v>
      </c>
      <c r="E5389" s="315" t="s">
        <v>15143</v>
      </c>
      <c r="F5389" s="196">
        <v>43396</v>
      </c>
      <c r="G5389" s="196"/>
      <c r="H5389" s="170">
        <v>1</v>
      </c>
      <c r="I5389" s="747">
        <f t="shared" si="134"/>
        <v>4.1666666666666664E-2</v>
      </c>
      <c r="J5389" s="899" t="s">
        <v>4706</v>
      </c>
      <c r="K5389" s="167" t="s">
        <v>5666</v>
      </c>
      <c r="L5389" s="167" t="s">
        <v>179</v>
      </c>
      <c r="M5389" s="167"/>
      <c r="N5389" s="167" t="s">
        <v>179</v>
      </c>
      <c r="O5389" s="167" t="s">
        <v>1643</v>
      </c>
      <c r="P5389" s="168" t="s">
        <v>15145</v>
      </c>
      <c r="Q5389" s="167" t="s">
        <v>3947</v>
      </c>
      <c r="R5389" s="172" t="s">
        <v>10605</v>
      </c>
      <c r="S5389" s="388"/>
      <c r="T5389" s="168" t="s">
        <v>3068</v>
      </c>
      <c r="U5389" s="168"/>
      <c r="V5389" s="168"/>
      <c r="W5389" s="315" t="s">
        <v>15143</v>
      </c>
      <c r="X5389" s="647" t="s">
        <v>15138</v>
      </c>
      <c r="Y5389" s="352"/>
      <c r="Z5389" s="353"/>
      <c r="AA5389" s="353"/>
      <c r="AB5389" s="31">
        <f t="shared" ca="1" si="133"/>
        <v>4.4658035399370855E-2</v>
      </c>
      <c r="AC5389" s="810"/>
      <c r="AD5389" s="811"/>
      <c r="AE5389" s="940"/>
      <c r="AF5389" s="920">
        <f>IF(X5389=X5388,AF5388,0)+IF(ISNUMBER(I5389),IF(I5389&lt;1,I5389,I5389*VLOOKUP(J5389,Summary!$H$2:$I$9,2)),VLOOKUP(J5389,Summary!$J$2:$K$9,2)*IF(ISNUMBER(H5389),H5389,1))</f>
        <v>0.125</v>
      </c>
      <c r="AG5389" s="287">
        <v>5388</v>
      </c>
      <c r="AH5389" s="94"/>
      <c r="AI5389" s="94"/>
    </row>
    <row r="5390" spans="1:35" s="1" customFormat="1" ht="12" customHeight="1" x14ac:dyDescent="0.25">
      <c r="A5390" s="405" t="s">
        <v>15125</v>
      </c>
      <c r="B5390" s="596" t="s">
        <v>3227</v>
      </c>
      <c r="C5390" s="533">
        <v>4.0999999999999996</v>
      </c>
      <c r="D5390" s="407" t="s">
        <v>15129</v>
      </c>
      <c r="E5390" s="315" t="s">
        <v>15144</v>
      </c>
      <c r="F5390" s="196">
        <v>43396</v>
      </c>
      <c r="G5390" s="196"/>
      <c r="H5390" s="170">
        <v>1</v>
      </c>
      <c r="I5390" s="747">
        <f t="shared" si="134"/>
        <v>4.1666666666666664E-2</v>
      </c>
      <c r="J5390" s="899" t="s">
        <v>4706</v>
      </c>
      <c r="K5390" s="167" t="s">
        <v>12857</v>
      </c>
      <c r="L5390" s="167" t="s">
        <v>179</v>
      </c>
      <c r="M5390" s="167"/>
      <c r="N5390" s="167" t="s">
        <v>179</v>
      </c>
      <c r="O5390" s="167" t="s">
        <v>1643</v>
      </c>
      <c r="P5390" s="168" t="s">
        <v>15145</v>
      </c>
      <c r="Q5390" s="167" t="s">
        <v>3947</v>
      </c>
      <c r="R5390" s="172" t="s">
        <v>10605</v>
      </c>
      <c r="S5390" s="388"/>
      <c r="T5390" s="168" t="s">
        <v>3068</v>
      </c>
      <c r="U5390" s="168"/>
      <c r="V5390" s="168"/>
      <c r="W5390" s="315" t="s">
        <v>15144</v>
      </c>
      <c r="X5390" s="647" t="s">
        <v>15138</v>
      </c>
      <c r="Y5390" s="352"/>
      <c r="Z5390" s="353"/>
      <c r="AA5390" s="353"/>
      <c r="AB5390" s="31">
        <f t="shared" ca="1" si="133"/>
        <v>0.20857620025441193</v>
      </c>
      <c r="AC5390" s="810"/>
      <c r="AD5390" s="811"/>
      <c r="AE5390" s="940"/>
      <c r="AF5390" s="920">
        <f>IF(X5390=X5389,AF5389,0)+IF(ISNUMBER(I5390),IF(I5390&lt;1,I5390,I5390*VLOOKUP(J5390,Summary!$H$2:$I$9,2)),VLOOKUP(J5390,Summary!$J$2:$K$9,2)*IF(ISNUMBER(H5390),H5390,1))</f>
        <v>0.16666666666666666</v>
      </c>
      <c r="AG5390" s="287">
        <v>5389</v>
      </c>
      <c r="AH5390" s="94"/>
      <c r="AI5390" s="94"/>
    </row>
    <row r="5391" spans="1:35" s="1" customFormat="1" ht="12" customHeight="1" x14ac:dyDescent="0.25">
      <c r="A5391" s="405" t="s">
        <v>15125</v>
      </c>
      <c r="B5391" s="596" t="s">
        <v>3227</v>
      </c>
      <c r="C5391" s="533">
        <v>4.1099999999999994</v>
      </c>
      <c r="D5391" s="407" t="s">
        <v>15130</v>
      </c>
      <c r="E5391" s="348" t="s">
        <v>15922</v>
      </c>
      <c r="F5391" s="196">
        <v>43516</v>
      </c>
      <c r="G5391" s="196"/>
      <c r="H5391" s="170">
        <v>1</v>
      </c>
      <c r="I5391" s="747">
        <f t="shared" si="134"/>
        <v>4.1666666666666664E-2</v>
      </c>
      <c r="J5391" s="899" t="s">
        <v>4706</v>
      </c>
      <c r="K5391" s="167" t="s">
        <v>15925</v>
      </c>
      <c r="L5391" s="167" t="s">
        <v>179</v>
      </c>
      <c r="M5391" s="167"/>
      <c r="N5391" s="167" t="s">
        <v>179</v>
      </c>
      <c r="O5391" s="167" t="s">
        <v>1643</v>
      </c>
      <c r="P5391" s="168" t="s">
        <v>15927</v>
      </c>
      <c r="Q5391" s="167" t="s">
        <v>3947</v>
      </c>
      <c r="R5391" s="172" t="s">
        <v>10605</v>
      </c>
      <c r="S5391" s="388"/>
      <c r="T5391" s="168" t="s">
        <v>3068</v>
      </c>
      <c r="U5391" s="168"/>
      <c r="V5391" s="168"/>
      <c r="W5391" s="348" t="s">
        <v>15922</v>
      </c>
      <c r="X5391" s="647" t="s">
        <v>15138</v>
      </c>
      <c r="Y5391" s="352"/>
      <c r="Z5391" s="353"/>
      <c r="AA5391" s="353"/>
      <c r="AB5391" s="31">
        <f t="shared" ca="1" si="133"/>
        <v>0.11179119858678999</v>
      </c>
      <c r="AC5391" s="810"/>
      <c r="AD5391" s="811"/>
      <c r="AE5391" s="940"/>
      <c r="AF5391" s="920">
        <f>IF(X5391=X5390,AF5390,0)+IF(ISNUMBER(I5391),IF(I5391&lt;1,I5391,I5391*VLOOKUP(J5391,Summary!$H$2:$I$9,2)),VLOOKUP(J5391,Summary!$J$2:$K$9,2)*IF(ISNUMBER(H5391),H5391,1))</f>
        <v>0.20833333333333331</v>
      </c>
      <c r="AG5391" s="287">
        <v>5390</v>
      </c>
      <c r="AH5391" s="94"/>
      <c r="AI5391" s="94"/>
    </row>
    <row r="5392" spans="1:35" s="1" customFormat="1" ht="12" customHeight="1" x14ac:dyDescent="0.25">
      <c r="A5392" s="405" t="s">
        <v>15125</v>
      </c>
      <c r="B5392" s="596" t="s">
        <v>3227</v>
      </c>
      <c r="C5392" s="533">
        <v>4.1199999999999992</v>
      </c>
      <c r="D5392" s="407" t="s">
        <v>15131</v>
      </c>
      <c r="E5392" s="348" t="s">
        <v>15923</v>
      </c>
      <c r="F5392" s="196">
        <v>43516</v>
      </c>
      <c r="G5392" s="196"/>
      <c r="H5392" s="170">
        <v>1</v>
      </c>
      <c r="I5392" s="747">
        <f t="shared" si="134"/>
        <v>4.1666666666666664E-2</v>
      </c>
      <c r="J5392" s="899" t="s">
        <v>4706</v>
      </c>
      <c r="K5392" s="167" t="s">
        <v>15926</v>
      </c>
      <c r="L5392" s="167" t="s">
        <v>179</v>
      </c>
      <c r="M5392" s="167"/>
      <c r="N5392" s="167" t="s">
        <v>179</v>
      </c>
      <c r="O5392" s="167" t="s">
        <v>1643</v>
      </c>
      <c r="P5392" s="168" t="s">
        <v>15927</v>
      </c>
      <c r="Q5392" s="167" t="s">
        <v>3947</v>
      </c>
      <c r="R5392" s="172" t="s">
        <v>10605</v>
      </c>
      <c r="S5392" s="388"/>
      <c r="T5392" s="168" t="s">
        <v>3068</v>
      </c>
      <c r="U5392" s="168"/>
      <c r="V5392" s="168"/>
      <c r="W5392" s="348" t="s">
        <v>15923</v>
      </c>
      <c r="X5392" s="647" t="s">
        <v>15138</v>
      </c>
      <c r="Y5392" s="352"/>
      <c r="Z5392" s="353"/>
      <c r="AA5392" s="353"/>
      <c r="AB5392" s="31">
        <f t="shared" ca="1" si="133"/>
        <v>0.15179643766538253</v>
      </c>
      <c r="AC5392" s="810"/>
      <c r="AD5392" s="811"/>
      <c r="AE5392" s="940"/>
      <c r="AF5392" s="920">
        <f>IF(X5392=X5391,AF5391,0)+IF(ISNUMBER(I5392),IF(I5392&lt;1,I5392,I5392*VLOOKUP(J5392,Summary!$H$2:$I$9,2)),VLOOKUP(J5392,Summary!$J$2:$K$9,2)*IF(ISNUMBER(H5392),H5392,1))</f>
        <v>0.24999999999999997</v>
      </c>
      <c r="AG5392" s="287">
        <v>5391</v>
      </c>
      <c r="AH5392" s="94"/>
      <c r="AI5392" s="94"/>
    </row>
    <row r="5393" spans="1:35" s="1" customFormat="1" ht="12" customHeight="1" x14ac:dyDescent="0.25">
      <c r="A5393" s="405" t="s">
        <v>15125</v>
      </c>
      <c r="B5393" s="596" t="s">
        <v>3227</v>
      </c>
      <c r="C5393" s="533">
        <v>4.129999999999999</v>
      </c>
      <c r="D5393" s="407" t="s">
        <v>15132</v>
      </c>
      <c r="E5393" s="348" t="s">
        <v>15924</v>
      </c>
      <c r="F5393" s="196">
        <v>43516</v>
      </c>
      <c r="G5393" s="196"/>
      <c r="H5393" s="170">
        <v>1</v>
      </c>
      <c r="I5393" s="747">
        <f t="shared" si="134"/>
        <v>4.1666666666666664E-2</v>
      </c>
      <c r="J5393" s="899" t="s">
        <v>4706</v>
      </c>
      <c r="K5393" s="167" t="s">
        <v>12857</v>
      </c>
      <c r="L5393" s="167" t="s">
        <v>179</v>
      </c>
      <c r="M5393" s="167"/>
      <c r="N5393" s="167" t="s">
        <v>179</v>
      </c>
      <c r="O5393" s="167" t="s">
        <v>1643</v>
      </c>
      <c r="P5393" s="168" t="s">
        <v>15927</v>
      </c>
      <c r="Q5393" s="167" t="s">
        <v>3947</v>
      </c>
      <c r="R5393" s="172" t="s">
        <v>10605</v>
      </c>
      <c r="S5393" s="388"/>
      <c r="T5393" s="168" t="s">
        <v>3068</v>
      </c>
      <c r="U5393" s="168"/>
      <c r="V5393" s="168"/>
      <c r="W5393" s="348" t="s">
        <v>15924</v>
      </c>
      <c r="X5393" s="647" t="s">
        <v>15138</v>
      </c>
      <c r="Y5393" s="352"/>
      <c r="Z5393" s="353"/>
      <c r="AA5393" s="353"/>
      <c r="AB5393" s="31">
        <f t="shared" ca="1" si="133"/>
        <v>0.97936433169319648</v>
      </c>
      <c r="AC5393" s="810"/>
      <c r="AD5393" s="811"/>
      <c r="AE5393" s="940"/>
      <c r="AF5393" s="920">
        <f>IF(X5393=X5392,AF5392,0)+IF(ISNUMBER(I5393),IF(I5393&lt;1,I5393,I5393*VLOOKUP(J5393,Summary!$H$2:$I$9,2)),VLOOKUP(J5393,Summary!$J$2:$K$9,2)*IF(ISNUMBER(H5393),H5393,1))</f>
        <v>0.29166666666666663</v>
      </c>
      <c r="AG5393" s="287">
        <v>5392</v>
      </c>
      <c r="AH5393" s="94"/>
      <c r="AI5393" s="94"/>
    </row>
    <row r="5394" spans="1:35" s="1" customFormat="1" ht="12" customHeight="1" x14ac:dyDescent="0.25">
      <c r="A5394" s="405" t="s">
        <v>15125</v>
      </c>
      <c r="B5394" s="596" t="s">
        <v>3227</v>
      </c>
      <c r="C5394" s="533">
        <v>4.1399999999999988</v>
      </c>
      <c r="D5394" s="407" t="s">
        <v>15133</v>
      </c>
      <c r="E5394" s="348" t="s">
        <v>8279</v>
      </c>
      <c r="F5394" s="196">
        <v>43516</v>
      </c>
      <c r="G5394" s="196"/>
      <c r="H5394" s="170">
        <v>1</v>
      </c>
      <c r="I5394" s="747">
        <f t="shared" si="134"/>
        <v>4.1666666666666664E-2</v>
      </c>
      <c r="J5394" s="899" t="s">
        <v>4706</v>
      </c>
      <c r="K5394" s="167" t="s">
        <v>4146</v>
      </c>
      <c r="L5394" s="167" t="s">
        <v>179</v>
      </c>
      <c r="M5394" s="167"/>
      <c r="N5394" s="167" t="s">
        <v>179</v>
      </c>
      <c r="O5394" s="167" t="s">
        <v>1643</v>
      </c>
      <c r="P5394" s="168" t="s">
        <v>15927</v>
      </c>
      <c r="Q5394" s="167" t="s">
        <v>3947</v>
      </c>
      <c r="R5394" s="172" t="s">
        <v>10605</v>
      </c>
      <c r="S5394" s="388"/>
      <c r="T5394" s="168" t="s">
        <v>3068</v>
      </c>
      <c r="U5394" s="168"/>
      <c r="V5394" s="168"/>
      <c r="W5394" s="348" t="s">
        <v>8279</v>
      </c>
      <c r="X5394" s="647" t="s">
        <v>15138</v>
      </c>
      <c r="Y5394" s="352"/>
      <c r="Z5394" s="353"/>
      <c r="AA5394" s="353"/>
      <c r="AB5394" s="31">
        <f t="shared" ca="1" si="133"/>
        <v>0.3154569671299392</v>
      </c>
      <c r="AC5394" s="810"/>
      <c r="AD5394" s="811"/>
      <c r="AE5394" s="940"/>
      <c r="AF5394" s="920">
        <f>IF(X5394=X5393,AF5393,0)+IF(ISNUMBER(I5394),IF(I5394&lt;1,I5394,I5394*VLOOKUP(J5394,Summary!$H$2:$I$9,2)),VLOOKUP(J5394,Summary!$J$2:$K$9,2)*IF(ISNUMBER(H5394),H5394,1))</f>
        <v>0.33333333333333331</v>
      </c>
      <c r="AG5394" s="287">
        <v>5393</v>
      </c>
      <c r="AH5394" s="94"/>
      <c r="AI5394" s="94"/>
    </row>
    <row r="5395" spans="1:35" s="1" customFormat="1" ht="12" customHeight="1" x14ac:dyDescent="0.25">
      <c r="A5395" s="405" t="s">
        <v>15125</v>
      </c>
      <c r="B5395" s="596" t="s">
        <v>3227</v>
      </c>
      <c r="C5395" s="533">
        <v>4.1499999999999986</v>
      </c>
      <c r="D5395" s="407" t="s">
        <v>15134</v>
      </c>
      <c r="E5395" s="348" t="s">
        <v>11072</v>
      </c>
      <c r="F5395" s="196" t="s">
        <v>11072</v>
      </c>
      <c r="G5395" s="196"/>
      <c r="H5395" s="170">
        <v>1</v>
      </c>
      <c r="I5395" s="747">
        <f t="shared" si="134"/>
        <v>4.1666666666666664E-2</v>
      </c>
      <c r="J5395" s="899" t="s">
        <v>4706</v>
      </c>
      <c r="K5395" s="167"/>
      <c r="L5395" s="167" t="s">
        <v>179</v>
      </c>
      <c r="M5395" s="167"/>
      <c r="N5395" s="167" t="s">
        <v>179</v>
      </c>
      <c r="O5395" s="167" t="s">
        <v>1643</v>
      </c>
      <c r="P5395" s="168" t="s">
        <v>15983</v>
      </c>
      <c r="Q5395" s="167" t="s">
        <v>3947</v>
      </c>
      <c r="R5395" s="172" t="s">
        <v>10605</v>
      </c>
      <c r="S5395" s="388"/>
      <c r="T5395" s="168" t="s">
        <v>3068</v>
      </c>
      <c r="U5395" s="168"/>
      <c r="V5395" s="168"/>
      <c r="W5395" s="348" t="s">
        <v>11072</v>
      </c>
      <c r="X5395" s="647" t="s">
        <v>15138</v>
      </c>
      <c r="Y5395" s="352"/>
      <c r="Z5395" s="353"/>
      <c r="AA5395" s="353"/>
      <c r="AB5395" s="31">
        <f t="shared" ca="1" si="133"/>
        <v>0.43721182237685774</v>
      </c>
      <c r="AC5395" s="810"/>
      <c r="AD5395" s="811"/>
      <c r="AE5395" s="940"/>
      <c r="AF5395" s="920">
        <f>IF(X5395=X5394,AF5394,0)+IF(ISNUMBER(I5395),IF(I5395&lt;1,I5395,I5395*VLOOKUP(J5395,Summary!$H$2:$I$9,2)),VLOOKUP(J5395,Summary!$J$2:$K$9,2)*IF(ISNUMBER(H5395),H5395,1))</f>
        <v>0.375</v>
      </c>
      <c r="AG5395" s="287">
        <v>5394</v>
      </c>
      <c r="AH5395" s="94"/>
      <c r="AI5395" s="94"/>
    </row>
    <row r="5396" spans="1:35" s="1" customFormat="1" ht="12" customHeight="1" x14ac:dyDescent="0.25">
      <c r="A5396" s="405" t="s">
        <v>15125</v>
      </c>
      <c r="B5396" s="596" t="s">
        <v>3227</v>
      </c>
      <c r="C5396" s="533">
        <v>4.1599999999999984</v>
      </c>
      <c r="D5396" s="407" t="s">
        <v>15135</v>
      </c>
      <c r="E5396" s="348" t="s">
        <v>11072</v>
      </c>
      <c r="F5396" s="196" t="s">
        <v>11072</v>
      </c>
      <c r="G5396" s="196"/>
      <c r="H5396" s="170">
        <v>1</v>
      </c>
      <c r="I5396" s="747">
        <f t="shared" si="134"/>
        <v>4.1666666666666664E-2</v>
      </c>
      <c r="J5396" s="899" t="s">
        <v>4706</v>
      </c>
      <c r="K5396" s="167"/>
      <c r="L5396" s="167" t="s">
        <v>179</v>
      </c>
      <c r="M5396" s="167"/>
      <c r="N5396" s="167" t="s">
        <v>179</v>
      </c>
      <c r="O5396" s="167" t="s">
        <v>1643</v>
      </c>
      <c r="P5396" s="168" t="s">
        <v>15983</v>
      </c>
      <c r="Q5396" s="167" t="s">
        <v>3947</v>
      </c>
      <c r="R5396" s="172" t="s">
        <v>10605</v>
      </c>
      <c r="S5396" s="388"/>
      <c r="T5396" s="168" t="s">
        <v>3068</v>
      </c>
      <c r="U5396" s="168"/>
      <c r="V5396" s="168"/>
      <c r="W5396" s="348" t="s">
        <v>11072</v>
      </c>
      <c r="X5396" s="647" t="s">
        <v>15138</v>
      </c>
      <c r="Y5396" s="352"/>
      <c r="Z5396" s="353"/>
      <c r="AA5396" s="353"/>
      <c r="AB5396" s="31">
        <f t="shared" ca="1" si="133"/>
        <v>0.13269854508872359</v>
      </c>
      <c r="AC5396" s="810"/>
      <c r="AD5396" s="811"/>
      <c r="AE5396" s="940"/>
      <c r="AF5396" s="920">
        <f>IF(X5396=X5395,AF5395,0)+IF(ISNUMBER(I5396),IF(I5396&lt;1,I5396,I5396*VLOOKUP(J5396,Summary!$H$2:$I$9,2)),VLOOKUP(J5396,Summary!$J$2:$K$9,2)*IF(ISNUMBER(H5396),H5396,1))</f>
        <v>0.41666666666666669</v>
      </c>
      <c r="AG5396" s="287">
        <v>5395</v>
      </c>
      <c r="AH5396" s="94"/>
      <c r="AI5396" s="94"/>
    </row>
    <row r="5397" spans="1:35" s="1" customFormat="1" ht="12" customHeight="1" x14ac:dyDescent="0.25">
      <c r="A5397" s="405" t="s">
        <v>15125</v>
      </c>
      <c r="B5397" s="596" t="s">
        <v>3227</v>
      </c>
      <c r="C5397" s="533">
        <v>4.1699999999999982</v>
      </c>
      <c r="D5397" s="407" t="s">
        <v>15136</v>
      </c>
      <c r="E5397" s="348" t="s">
        <v>11072</v>
      </c>
      <c r="F5397" s="196" t="s">
        <v>11072</v>
      </c>
      <c r="G5397" s="196"/>
      <c r="H5397" s="170">
        <v>1</v>
      </c>
      <c r="I5397" s="747">
        <f t="shared" si="134"/>
        <v>4.1666666666666664E-2</v>
      </c>
      <c r="J5397" s="899" t="s">
        <v>4706</v>
      </c>
      <c r="K5397" s="167"/>
      <c r="L5397" s="167" t="s">
        <v>179</v>
      </c>
      <c r="M5397" s="167"/>
      <c r="N5397" s="167" t="s">
        <v>179</v>
      </c>
      <c r="O5397" s="167" t="s">
        <v>1643</v>
      </c>
      <c r="P5397" s="168" t="s">
        <v>15983</v>
      </c>
      <c r="Q5397" s="167" t="s">
        <v>3947</v>
      </c>
      <c r="R5397" s="172" t="s">
        <v>10605</v>
      </c>
      <c r="S5397" s="388"/>
      <c r="T5397" s="168" t="s">
        <v>3068</v>
      </c>
      <c r="U5397" s="168"/>
      <c r="V5397" s="168"/>
      <c r="W5397" s="348" t="s">
        <v>11072</v>
      </c>
      <c r="X5397" s="647" t="s">
        <v>15138</v>
      </c>
      <c r="Y5397" s="352"/>
      <c r="Z5397" s="353"/>
      <c r="AA5397" s="353"/>
      <c r="AB5397" s="31">
        <f t="shared" ca="1" si="133"/>
        <v>0.31015917900730439</v>
      </c>
      <c r="AC5397" s="810"/>
      <c r="AD5397" s="811"/>
      <c r="AE5397" s="940"/>
      <c r="AF5397" s="920">
        <f>IF(X5397=X5396,AF5396,0)+IF(ISNUMBER(I5397),IF(I5397&lt;1,I5397,I5397*VLOOKUP(J5397,Summary!$H$2:$I$9,2)),VLOOKUP(J5397,Summary!$J$2:$K$9,2)*IF(ISNUMBER(H5397),H5397,1))</f>
        <v>0.45833333333333337</v>
      </c>
      <c r="AG5397" s="287">
        <v>5396</v>
      </c>
      <c r="AH5397" s="94"/>
      <c r="AI5397" s="94"/>
    </row>
    <row r="5398" spans="1:35" s="22" customFormat="1" ht="12" customHeight="1" x14ac:dyDescent="0.2">
      <c r="A5398" s="405" t="s">
        <v>15125</v>
      </c>
      <c r="B5398" s="596" t="s">
        <v>3227</v>
      </c>
      <c r="C5398" s="533">
        <v>4.1799999999999979</v>
      </c>
      <c r="D5398" s="407" t="s">
        <v>15137</v>
      </c>
      <c r="E5398" s="348" t="s">
        <v>11072</v>
      </c>
      <c r="F5398" s="196" t="s">
        <v>11072</v>
      </c>
      <c r="G5398" s="196"/>
      <c r="H5398" s="170">
        <v>1</v>
      </c>
      <c r="I5398" s="747">
        <f t="shared" si="134"/>
        <v>4.1666666666666664E-2</v>
      </c>
      <c r="J5398" s="899" t="s">
        <v>4706</v>
      </c>
      <c r="K5398" s="167"/>
      <c r="L5398" s="167" t="s">
        <v>179</v>
      </c>
      <c r="M5398" s="167"/>
      <c r="N5398" s="167" t="s">
        <v>179</v>
      </c>
      <c r="O5398" s="167" t="s">
        <v>1643</v>
      </c>
      <c r="P5398" s="168" t="s">
        <v>15983</v>
      </c>
      <c r="Q5398" s="167" t="s">
        <v>3947</v>
      </c>
      <c r="R5398" s="172" t="s">
        <v>10605</v>
      </c>
      <c r="S5398" s="388"/>
      <c r="T5398" s="168" t="s">
        <v>3068</v>
      </c>
      <c r="U5398" s="168"/>
      <c r="V5398" s="168"/>
      <c r="W5398" s="348" t="s">
        <v>11072</v>
      </c>
      <c r="X5398" s="647" t="s">
        <v>15138</v>
      </c>
      <c r="Y5398" s="352"/>
      <c r="Z5398" s="353"/>
      <c r="AA5398" s="353"/>
      <c r="AB5398" s="31">
        <f t="shared" ca="1" si="133"/>
        <v>0.20246506654719931</v>
      </c>
      <c r="AC5398" s="810"/>
      <c r="AD5398" s="811"/>
      <c r="AE5398" s="940"/>
      <c r="AF5398" s="920">
        <f>IF(X5398=X5397,AF5397,0)+IF(ISNUMBER(I5398),IF(I5398&lt;1,I5398,I5398*VLOOKUP(J5398,Summary!$H$2:$I$9,2)),VLOOKUP(J5398,Summary!$J$2:$K$9,2)*IF(ISNUMBER(H5398),H5398,1))</f>
        <v>0.5</v>
      </c>
      <c r="AG5398" s="287">
        <v>5397</v>
      </c>
      <c r="AH5398" s="94"/>
      <c r="AI5398" s="94"/>
    </row>
    <row r="5399" spans="1:35" s="22" customFormat="1" ht="12" customHeight="1" x14ac:dyDescent="0.2">
      <c r="A5399" s="405" t="s">
        <v>15140</v>
      </c>
      <c r="B5399" s="596" t="s">
        <v>3227</v>
      </c>
      <c r="C5399" s="533">
        <v>2.0699999999999985</v>
      </c>
      <c r="D5399" s="407" t="s">
        <v>10641</v>
      </c>
      <c r="E5399" s="315" t="s">
        <v>10628</v>
      </c>
      <c r="F5399" s="196">
        <v>42664</v>
      </c>
      <c r="G5399" s="196"/>
      <c r="H5399" s="170">
        <v>2</v>
      </c>
      <c r="I5399" s="747">
        <f t="shared" si="134"/>
        <v>4.1666666666666664E-2</v>
      </c>
      <c r="J5399" s="899" t="s">
        <v>4706</v>
      </c>
      <c r="K5399" s="167" t="s">
        <v>10642</v>
      </c>
      <c r="L5399" s="167" t="s">
        <v>179</v>
      </c>
      <c r="M5399" s="167"/>
      <c r="N5399" s="167"/>
      <c r="O5399" s="167"/>
      <c r="P5399" s="168" t="s">
        <v>10647</v>
      </c>
      <c r="Q5399" s="167" t="s">
        <v>3947</v>
      </c>
      <c r="R5399" s="172" t="s">
        <v>10605</v>
      </c>
      <c r="S5399" s="388"/>
      <c r="T5399" s="168" t="s">
        <v>3068</v>
      </c>
      <c r="U5399" s="168"/>
      <c r="V5399" s="168"/>
      <c r="W5399" s="315" t="s">
        <v>15286</v>
      </c>
      <c r="X5399" s="647" t="s">
        <v>15139</v>
      </c>
      <c r="Y5399" s="352" t="s">
        <v>5643</v>
      </c>
      <c r="Z5399" s="353">
        <v>448</v>
      </c>
      <c r="AA5399" s="353">
        <v>4.5</v>
      </c>
      <c r="AB5399" s="31">
        <f t="shared" ca="1" si="133"/>
        <v>0.92310674473442578</v>
      </c>
      <c r="AC5399" s="810"/>
      <c r="AD5399" s="811" t="s">
        <v>15904</v>
      </c>
      <c r="AE5399" s="940"/>
      <c r="AF5399" s="920">
        <f>IF(X5399=X5398,AF5398,0)+IF(ISNUMBER(I5399),IF(I5399&lt;1,I5399,I5399*VLOOKUP(J5399,Summary!$H$2:$I$9,2)),VLOOKUP(J5399,Summary!$J$2:$K$9,2)*IF(ISNUMBER(H5399),H5399,1))</f>
        <v>4.1666666666666664E-2</v>
      </c>
      <c r="AG5399" s="287">
        <v>5398</v>
      </c>
      <c r="AH5399" s="94"/>
      <c r="AI5399" s="94"/>
    </row>
  </sheetData>
  <sortState ref="A2:AG5399">
    <sortCondition ref="AG2:AG5399"/>
    <sortCondition ref="Z2:Z5399"/>
    <sortCondition ref="R2:R5399"/>
    <sortCondition ref="C2:C5399"/>
  </sortState>
  <phoneticPr fontId="4" type="noConversion"/>
  <conditionalFormatting sqref="AA4090 AA5077 AA5184:AA5185 AA5075 AA5204 AA2524:AA2526 AA5291 AA2605 AA1312 AA1797 AA2829 AA2470:AA2471 AA5309 AA5311 AA2293 AA4957:AA4958 AA17:AA20 AA5129 AA5069 AA1835 AA2636:AA2644 AA2413:AA2417 AA5337 AA3890 AA2404 AA5319 AA1030:AA1031 AA949 AA1537:AA1541 AA1530:AA1535 AA1622 AA2475:AA2485 AA1084 AA787:AA792 AA3034:AA3035 AA1795 AA2690 AA4031 AA3986 AA4182 AA4658:AA4660 AA4667:AA4675 AA4705:AA4716 AA1841:AA1842 AA665:AA666 AA4236:AA4237 AA2119 AA2221:AA2230 AA2249 AA2237:AA2238 AA2247 AA2232:AA2234 AA2030:AA2046 AA2182:AA2184 AA1933:AA1934 AA2171 AA2176:AA2177 AA5316 AA4778:AA4780 AA3957 AA3961 AA3967:AA3968 AA3970:AA3971 AA65 AA1401:AA1407 AA1223:AA1225 AA3214:AA3215 AA3229:AA3231 AA2251:AA2253 AA1173:AA1175 AA5131 AA5121 AA4960 AA5119 AA5178 AA5080 AA5037 AA5039:AA5041 AA4872:AA4873 AA4895 AA4962 AA4964:AA4969 AA1451 AA928:AA929 AA2406:AA2408 AA2490:AA2491 AA3204:AA3205 AA2280:AA2281 AA2295:AA2296 AA3037:AA3038 AA1288:AA1291 AA4839 AA2341 AA4859 AA4842:AA4856 AA2003 AA5125 AA1544:AA1547 AA1559:AA1561 AA3081 AA3092:AA3095 AA3090 AA3083 AA3097 AA4703 AA3085:AA3088 AA842:AA844 AA856:AA857 AA888:AA901 AA916:AA918 AA931:AA932 AA926 AA1016:AA1023 AA1042:AA1044 AA1059 AA794:AA797 AA1228:AA1229 AA1220 AA1236 AA1283 AA1323:AA1324 AA1316:AA1318 AA1612 AA1625:AA1626 AA1636:AA1640 AA880:AA885 AA1326 AA1712 AA1331 AA4593:AA4595 AA211:AA213 AA590 AA1231:AA1234 AA3905 AA3493:AA3500 AA1216:AA1217 AA1146:AA1148 AA1570:AA1575 AA3160 AA3274:AA3280 AA3324 AA673:AA674 AA1492 AA3302:AA3308 AA3285:AA3292 AA834:AA837 AA846:AA847 AA1418:AA1419 AA237:AA238 AA1274:AA1275 AA741 AA812:AA818 AA614:AA616 AA635 AA262:AA267 AA1414:AA1415 AA1265:AA1272 AA24:AA31 AA33:AA42 AA44:AA45 AA567:AA568 AA575 AA215:AA218 AA223:AA227 AA247:AA248 AA184:AA204 AA85:AA87 AA1421:AA1429 AA220 AA1343:AA1344 AA1745:AA1755 AA1240:AA1252 AA182 AA1987 AA7:AA9 AA13:AA15 AA1066:AA1077 AA275 AA371:AA372 AA2134:AA2135 AA5015:AA5020 AA462:AA464 AA572:AA573 AA592 AA633 AA607:AA610 AA1006:AA1012 AA1061:AA1064 AA754:AA760 AA1346:AA1349 AA1471:AA1474 AA1698:AA1700 AA1757:AA1758 AA1715:AA1719 AA1799:AA1803 AA1808:AA1809 AA1773:AA1780 AA1817:AA1818 AA1811:AA1815 AA1847 AA1902 AA1891:AA1900 AA1957:AA1966 AA1979:AA1982 AA2057:AA2059 AA2014:AA2018 AA2090 AA2111:AA2115 AA2095:AA2105 AA2117 AA2132 AA2121 AA2125 AA2137:AA2138 AA2158:AA2159 AA2179:AA2180 AA2211:AA2217 AA2202:AA2209 AA2298 AA2387:AA2393 AA2397:AA2402 AA2410:AA2411 AA2460 AA3103:AA3105 AA2556:AA2558 AA2560:AA2562 AA2510:AA2514 AA2055 AA1550 AA3931:AA3934 AA1170 AA3233 AA3219:AA3220 AA2262:AA2264 AA5144 AA3857 AA3862:AA3866 AA2633:AA2634 AA2676:AA2677 AA2646 AA2497:AA2508 AA2493:AA2495 AA2517 AA2545:AA2547 AA2576:AA2577 AA2549:AA2554 AA2579:AA2587 AA2571:AA2574 AA2595:AA2600 AA2520:AA2522 AA2420:AA2436 AA2610:AA2612 AA2692 AA2703:AA2704 AA2741 AA2812:AA2814 AA2626:AA2630 AA3364:AA3378 AA3334:AA3338 AA3340:AA3341 AA2539 AA3761:AA3763 AA3715:AA3734 AA3736 AA3455:AA3457 AA3738:AA3749 AA3753:AA3758 AA3765:AA3766 AA3853 AA3855 AA3551:AA3557 AA3944:AA3945 AA3988:AA3991 AA4005:AA4010 AA3975:AA3984 AA4014:AA4018 AA4033:AA4034 AA3994 AA4036:AA4037 AA4045 AA4049 AA4070:AA4075 AA4111:AA4116 AA4100:AA4101 AA4094:AA4098 AA4157:AA4158 AA4130 AA4163:AA4169 AA4105 AA4207 AA4292 AA4200 AA4187 AA4203:AA4205 AA4272:AA4273 AA4312:AA4314 AA4388:AA4390 AA4382:AA4386 AA4399:AA4401 AA4492:AA4494 AA4665 AA4239:AA4242 AA4304:AA4306 AA4502:AA4539 AA4475:AA4490 AA1936:AA1940 AA1191:AA1201 AA4906:AA4908 AA4810:AA4816 AA5365:AA5366 AA4553:AA4560 AA4195:AA4197 AA4189:AA4193 AA4220:AA4224 AA4687:AA4688 AA4740:AA4742 AA4690:AA4699 AA4863 AA4918:AA4924 AA4926:AA4927 AA4875:AA4881 AA4080:AA4081 AA4103 AA4120:AA4128 AA4132:AA4135 AA4142:AA4144 AA4160:AA4161 AA2283:AA2287 AA4935:AA4941 AA4943:AA4945 AA3404:AA3405 AA3189:AA3190 AA5043:AA5050 AA4984:AA4986 AA4153:AA4155 AA4118 AA998:AA1004 AA4146:AA4147 AA804 AA4897:AA4900 AA4932:AA4933 AA5033:AA5035 AA4820:AA4835 AA4756 AA4762:AA4768 AA4316:AA4325 AA987:AA988 AA1942:AA1955 AA1886:AA1889 AA1869 AA1872:AA1873 AA556 AA3560 AA3519:AA3530 AA3539:AA3545 AA3599:AA3600 AA3590 AA3630:AA3642 AA3693:AA3700 AA2666:AA2669 AA2695:AA2697 AA2699:AA2700 AA2706:AA2713 AA2719 AA2721:AA2722 AA2724:AA2726 AA2728 AA2730 AA2732 AA2734 AA2743:AA2746 AA2748 AA2750:AA2751 AA2753:AA2759 AA2761 AA2763:AA2764 AA612 AA2766:AA2767 AA2769:AA2772 AA2774 AA2776 AA2785:AA2787 AA2448:AA2452 AA3592:AA3597 AA5171:AA5173 AA3547:AA3549 AA2109 AA47:AA49 AA1480:AA1488 AA303 AA300:AA301 AA700 AA697:AA698 AA682 AA74:AA75 AA656:AA659 AA679:AA680 AA637:AA640 AA642:AA651 AA691:AA695 AA661:AA662 AA762:AA785 AA1137:AA1141 AA548:AA549 AA412:AA413 AA1150:AA1156 AA668:AA671 AA903:AA913 AA112:AA119 AA865:AA868 AA870:AA878 AA851:AA854 AA859:AA861 AA839 AA821:AA832 AA3789:AA3795 AA1767:AA1771 AA1577:AA1582 AA4541:AA4551 AA4058:AA4059 AA4261:AA4270 AA4209:AA4218 AA3830 AA3834 AA2061:AA2069 AA2240:AA2245 AA493 AA487 AA498:AA499 AA530 AA508:AA510 AA519 AA437:AA442 AA449 AA1079:AA1081 AA374 AA2267 AA4425:AA4432 AA2289:AA2291 AA501:AA505 AA514:AA516 AA2590:AA2593 AA1501:AA1507 AA1495:AA1496 AA1782:AA1790 AA5022:AA5025 AA4947:AA4955 AA4247:AA4259 AA444:AA447 AA594:AA605 AA1805:AA1806 AA2454:AA2456 AA3922:AA3924 AA3914:AA3917 AA3941 AA4020:AA4029 AA4039 AA4171:AA4180 AA4184 AA271:AA273 AA3825:AA3828 AA702 AA451 AA1792:AA1793 AA1279:AA1281 AA920:AA922 AA379:AA389 AA229:AA234 AA993:AA996 AA367:AA369 AA687 AA618:AA631 AA1254:AA1263 AA475:AA485 AA2346 AA2351:AA2352 AA1203:AA1208 AA1211 AA3951:AA3954 AA2255:AA2258 AA2650:AA2664 AA4682:AA4685 AA4656 AA4995:AA5002 AA2187:AA2190 AA4041:AA4043 AA2778:AA2783 AA1820:AA1833 AA1178 AA4436:AA4471 AA3996:AA4003 AA2271 AA4988:AA4993 AA3115 AA3705:AA3707 AA4866 AA3165:AA3166 AA3145:AA3147 AA3162:AA3163 AA3168:AA3170 AA4745:AA4753 AA5329 AA5345 AA150:AA154 AA417 AA653:AA654 AA527 AA489:AA491 AA1025:AA1028 AA351:AA365 AA1033:AA1036 AA467:AA470 AA289:AA294 AA1334:AA1341 AA207:AA208 AA495:AA496 AA83 AA296:AA297 AA953:AA973 AA553 AA3771:AA3775 AA2854:AA2864 AA2679:AA2682 AA2867 AA245 AA729:AA731 AA2081 AA60:AA62 AA391:AA393 AA1702:AA1710 AA1973:AA1977 AA2564:AA2569 AA3777 AA3836:AA3849 AA2127 AA733:AA739 AA806:AA810 AA1905:AA1931 AA2083:AA2088 AA3407:AA3415 AA3417:AA3418 AA3420:AA3424 AA3479:AA3491 AA3797:AA3799 AA3465:AA3477 AA4227:AA4232 AA4328:AA4347 AA4598:AA4620 AA4576:AA4590 AA4911:AA4912 AA4883 AA5071 AA5028 AA5031 AA5052:AA5064 AA1584:AA1595 AA4353:AA4379 AA4413:AA4423 AA1565:AA1567 AA3175:AA3177 AA4701 AA4662 AA4782:AA4789 AA4914:AA4915 AA22 AA1760:AA1765 AA2010:AA2012 AA240:AA243 AA2048:AA2050 AA2020:AA2022 AA1968:AA1971 AA2052:AA2053 AA2074:AA2079 AA1984:AA1985 AA4562:AA4563 AA4565:AA4574 AA4677:AA4680 AA4622:AA4629 AA4051:AA4055 AA4061:AA4065 AA4077:AA4078 AA4083:AA4086 AA4137:AA4139 AA4107:AA4109 AA4149:AA4151 AA4887:AA4888 AA2071:AA2072 AA2789:AA2802 AA2807:AA2810 AA1648:AA1650 AA1616 AA4278:AA4290 AA3322 AA3398:AA3400 AA3814 AA3807:AA3809 AA3816:AA3819 AA3805 AA51:AA58 AA1214 AA1563 AA2140:AA2147 AA1597:AA1600 AA78:AA81 AA96:AA104 AA157:AA161 AA178 AA564:AA565 AA2684:AA2686 AA2831:AA2852 AA2614:AA2624 AA2024:AA2028 AA1695:AA1696 AA4890:AA4893 AA3179:AA3184 AA3186:AA3187 AA3192:AA3201 AA4885 AA4397 AA4405:AA4410 AA4635:AA4654 AA4791:AA4808 AA1602:AA1608 AA1511:AA1528 AA2395 AA1476:AA1478 AA1642:AA1646 AA1453:AA1457 AA3430:AA3450 AA1431:AA1435 AA285:AA287 AA1989:AA1995 AA1087 AA800:AA802 AA745:AA750 AA2150:AA2156 AA1125:AA1129 AA1383:AA1399 AA5400:AA67548 AA2370:AA2380 AA1438:AA1449 AA3380:AA3394 AA3326:AA3329 AA3461:AA3463 AA3669:AA3670 AA94 AA1628:AA1634 AA1498:AA1499 AA277:AA283 AA428:AA433 AA106:AA110 AA1158:AA1165 AA1038:AA1039 AA3295:AA3297 AA2869:AA2943 AA2981:AA3001 AA2945:AA2979 AA3040:AA3066 AA3068:AA3070 AA3072:AA3079 AA3314:AA3319 AA3312 AA2:AA5 AA934:AA946 AA4295:AA4302 AA419:AA425 AA121:AA128 AA1730:AA1737 AA1724:AA1725 AA3172 AA3779:AA3784 AA5005:AA5013 AA4971:AA4982 AA5157 AA5136 AA5146 AA5151 AA453:AA458 AA130:AA148 AA577:AA588 AA395:AA410 AA305:AA349 AA719:AA727 AA164:AA175 AA250:AA260 AA714:AA717 AA558:AA562 AA1654:AA1693 AA1459:AA1468">
    <cfRule type="cellIs" dxfId="6209" priority="15206" stopIfTrue="1" operator="lessThanOrEqual">
      <formula>3.5</formula>
    </cfRule>
    <cfRule type="cellIs" dxfId="6208" priority="15207" stopIfTrue="1" operator="greaterThanOrEqual">
      <formula>7.5</formula>
    </cfRule>
    <cfRule type="cellIs" dxfId="6207" priority="15208" stopIfTrue="1" operator="between">
      <formula>3.51</formula>
      <formula>7.49</formula>
    </cfRule>
  </conditionalFormatting>
  <conditionalFormatting sqref="AA23">
    <cfRule type="cellIs" dxfId="6206" priority="15203" stopIfTrue="1" operator="lessThanOrEqual">
      <formula>3.5</formula>
    </cfRule>
    <cfRule type="cellIs" dxfId="6205" priority="15204" stopIfTrue="1" operator="greaterThanOrEqual">
      <formula>7.5</formula>
    </cfRule>
    <cfRule type="cellIs" dxfId="6204" priority="15205" stopIfTrue="1" operator="between">
      <formula>3.51</formula>
      <formula>7.49</formula>
    </cfRule>
  </conditionalFormatting>
  <conditionalFormatting sqref="AA5038">
    <cfRule type="cellIs" dxfId="6203" priority="15200" stopIfTrue="1" operator="lessThanOrEqual">
      <formula>3.5</formula>
    </cfRule>
    <cfRule type="cellIs" dxfId="6202" priority="15201" stopIfTrue="1" operator="greaterThanOrEqual">
      <formula>7.5</formula>
    </cfRule>
    <cfRule type="cellIs" dxfId="6201" priority="15202" stopIfTrue="1" operator="between">
      <formula>3.51</formula>
      <formula>7.49</formula>
    </cfRule>
  </conditionalFormatting>
  <conditionalFormatting sqref="AA5191">
    <cfRule type="cellIs" dxfId="6200" priority="15197" stopIfTrue="1" operator="lessThanOrEqual">
      <formula>3.5</formula>
    </cfRule>
    <cfRule type="cellIs" dxfId="6199" priority="15198" stopIfTrue="1" operator="greaterThanOrEqual">
      <formula>7.5</formula>
    </cfRule>
    <cfRule type="cellIs" dxfId="6198" priority="15199" stopIfTrue="1" operator="between">
      <formula>3.51</formula>
      <formula>7.49</formula>
    </cfRule>
  </conditionalFormatting>
  <conditionalFormatting sqref="AA4989">
    <cfRule type="cellIs" dxfId="6197" priority="15191" stopIfTrue="1" operator="lessThanOrEqual">
      <formula>3.5</formula>
    </cfRule>
    <cfRule type="cellIs" dxfId="6196" priority="15192" stopIfTrue="1" operator="greaterThanOrEqual">
      <formula>7.5</formula>
    </cfRule>
    <cfRule type="cellIs" dxfId="6195" priority="15193" stopIfTrue="1" operator="between">
      <formula>3.51</formula>
      <formula>7.49</formula>
    </cfRule>
  </conditionalFormatting>
  <conditionalFormatting sqref="AA5106">
    <cfRule type="cellIs" dxfId="6194" priority="15188" stopIfTrue="1" operator="lessThanOrEqual">
      <formula>3.5</formula>
    </cfRule>
    <cfRule type="cellIs" dxfId="6193" priority="15189" stopIfTrue="1" operator="greaterThanOrEqual">
      <formula>7.5</formula>
    </cfRule>
    <cfRule type="cellIs" dxfId="6192" priority="15190" stopIfTrue="1" operator="between">
      <formula>3.51</formula>
      <formula>7.49</formula>
    </cfRule>
  </conditionalFormatting>
  <conditionalFormatting sqref="AA4901">
    <cfRule type="cellIs" dxfId="6191" priority="15185" stopIfTrue="1" operator="lessThanOrEqual">
      <formula>3.5</formula>
    </cfRule>
    <cfRule type="cellIs" dxfId="6190" priority="15186" stopIfTrue="1" operator="greaterThanOrEqual">
      <formula>7.5</formula>
    </cfRule>
    <cfRule type="cellIs" dxfId="6189" priority="15187" stopIfTrue="1" operator="between">
      <formula>3.51</formula>
      <formula>7.49</formula>
    </cfRule>
  </conditionalFormatting>
  <conditionalFormatting sqref="AA4867">
    <cfRule type="cellIs" dxfId="6188" priority="15182" stopIfTrue="1" operator="lessThanOrEqual">
      <formula>3.5</formula>
    </cfRule>
    <cfRule type="cellIs" dxfId="6187" priority="15183" stopIfTrue="1" operator="greaterThanOrEqual">
      <formula>7.5</formula>
    </cfRule>
    <cfRule type="cellIs" dxfId="6186" priority="15184" stopIfTrue="1" operator="between">
      <formula>3.51</formula>
      <formula>7.49</formula>
    </cfRule>
  </conditionalFormatting>
  <conditionalFormatting sqref="AA4865">
    <cfRule type="cellIs" dxfId="6185" priority="15179" stopIfTrue="1" operator="lessThanOrEqual">
      <formula>3.5</formula>
    </cfRule>
    <cfRule type="cellIs" dxfId="6184" priority="15180" stopIfTrue="1" operator="greaterThanOrEqual">
      <formula>7.5</formula>
    </cfRule>
    <cfRule type="cellIs" dxfId="6183" priority="15181" stopIfTrue="1" operator="between">
      <formula>3.51</formula>
      <formula>7.49</formula>
    </cfRule>
  </conditionalFormatting>
  <conditionalFormatting sqref="AA4857">
    <cfRule type="cellIs" dxfId="6182" priority="15176" stopIfTrue="1" operator="lessThanOrEqual">
      <formula>3.5</formula>
    </cfRule>
    <cfRule type="cellIs" dxfId="6181" priority="15177" stopIfTrue="1" operator="greaterThanOrEqual">
      <formula>7.5</formula>
    </cfRule>
    <cfRule type="cellIs" dxfId="6180" priority="15178" stopIfTrue="1" operator="between">
      <formula>3.51</formula>
      <formula>7.49</formula>
    </cfRule>
  </conditionalFormatting>
  <conditionalFormatting sqref="AA4019">
    <cfRule type="cellIs" dxfId="6179" priority="15173" stopIfTrue="1" operator="lessThanOrEqual">
      <formula>3.5</formula>
    </cfRule>
    <cfRule type="cellIs" dxfId="6178" priority="15174" stopIfTrue="1" operator="greaterThanOrEqual">
      <formula>7.5</formula>
    </cfRule>
    <cfRule type="cellIs" dxfId="6177" priority="15175" stopIfTrue="1" operator="between">
      <formula>3.51</formula>
      <formula>7.49</formula>
    </cfRule>
  </conditionalFormatting>
  <conditionalFormatting sqref="AA4004">
    <cfRule type="cellIs" dxfId="6176" priority="15170" stopIfTrue="1" operator="lessThanOrEqual">
      <formula>3.5</formula>
    </cfRule>
    <cfRule type="cellIs" dxfId="6175" priority="15171" stopIfTrue="1" operator="greaterThanOrEqual">
      <formula>7.5</formula>
    </cfRule>
    <cfRule type="cellIs" dxfId="6174" priority="15172" stopIfTrue="1" operator="between">
      <formula>3.51</formula>
      <formula>7.49</formula>
    </cfRule>
  </conditionalFormatting>
  <conditionalFormatting sqref="AA4030">
    <cfRule type="cellIs" dxfId="6173" priority="15167" stopIfTrue="1" operator="lessThanOrEqual">
      <formula>3.5</formula>
    </cfRule>
    <cfRule type="cellIs" dxfId="6172" priority="15168" stopIfTrue="1" operator="greaterThanOrEqual">
      <formula>7.5</formula>
    </cfRule>
    <cfRule type="cellIs" dxfId="6171" priority="15169" stopIfTrue="1" operator="between">
      <formula>3.51</formula>
      <formula>7.49</formula>
    </cfRule>
  </conditionalFormatting>
  <conditionalFormatting sqref="AA4035">
    <cfRule type="cellIs" dxfId="6170" priority="15164" stopIfTrue="1" operator="lessThanOrEqual">
      <formula>3.5</formula>
    </cfRule>
    <cfRule type="cellIs" dxfId="6169" priority="15165" stopIfTrue="1" operator="greaterThanOrEqual">
      <formula>7.5</formula>
    </cfRule>
    <cfRule type="cellIs" dxfId="6168" priority="15166" stopIfTrue="1" operator="between">
      <formula>3.51</formula>
      <formula>7.49</formula>
    </cfRule>
  </conditionalFormatting>
  <conditionalFormatting sqref="AA4047">
    <cfRule type="cellIs" dxfId="6167" priority="15161" stopIfTrue="1" operator="lessThanOrEqual">
      <formula>3.5</formula>
    </cfRule>
    <cfRule type="cellIs" dxfId="6166" priority="15162" stopIfTrue="1" operator="greaterThanOrEqual">
      <formula>7.5</formula>
    </cfRule>
    <cfRule type="cellIs" dxfId="6165" priority="15163" stopIfTrue="1" operator="between">
      <formula>3.51</formula>
      <formula>7.49</formula>
    </cfRule>
  </conditionalFormatting>
  <conditionalFormatting sqref="AA4048">
    <cfRule type="cellIs" dxfId="6164" priority="15158" stopIfTrue="1" operator="lessThanOrEqual">
      <formula>3.5</formula>
    </cfRule>
    <cfRule type="cellIs" dxfId="6163" priority="15159" stopIfTrue="1" operator="greaterThanOrEqual">
      <formula>7.5</formula>
    </cfRule>
    <cfRule type="cellIs" dxfId="6162" priority="15160" stopIfTrue="1" operator="between">
      <formula>3.51</formula>
      <formula>7.49</formula>
    </cfRule>
  </conditionalFormatting>
  <conditionalFormatting sqref="AA4046">
    <cfRule type="cellIs" dxfId="6161" priority="15155" stopIfTrue="1" operator="lessThanOrEqual">
      <formula>3.5</formula>
    </cfRule>
    <cfRule type="cellIs" dxfId="6160" priority="15156" stopIfTrue="1" operator="greaterThanOrEqual">
      <formula>7.5</formula>
    </cfRule>
    <cfRule type="cellIs" dxfId="6159" priority="15157" stopIfTrue="1" operator="between">
      <formula>3.51</formula>
      <formula>7.49</formula>
    </cfRule>
  </conditionalFormatting>
  <conditionalFormatting sqref="AA4067">
    <cfRule type="cellIs" dxfId="6158" priority="15152" stopIfTrue="1" operator="lessThanOrEqual">
      <formula>3.5</formula>
    </cfRule>
    <cfRule type="cellIs" dxfId="6157" priority="15153" stopIfTrue="1" operator="greaterThanOrEqual">
      <formula>7.5</formula>
    </cfRule>
    <cfRule type="cellIs" dxfId="6156" priority="15154" stopIfTrue="1" operator="between">
      <formula>3.51</formula>
      <formula>7.49</formula>
    </cfRule>
  </conditionalFormatting>
  <conditionalFormatting sqref="AA4066">
    <cfRule type="cellIs" dxfId="6155" priority="15149" stopIfTrue="1" operator="lessThanOrEqual">
      <formula>3.5</formula>
    </cfRule>
    <cfRule type="cellIs" dxfId="6154" priority="15150" stopIfTrue="1" operator="greaterThanOrEqual">
      <formula>7.5</formula>
    </cfRule>
    <cfRule type="cellIs" dxfId="6153" priority="15151" stopIfTrue="1" operator="between">
      <formula>3.51</formula>
      <formula>7.49</formula>
    </cfRule>
  </conditionalFormatting>
  <conditionalFormatting sqref="AA3985">
    <cfRule type="cellIs" dxfId="6152" priority="15146" stopIfTrue="1" operator="lessThanOrEqual">
      <formula>3.5</formula>
    </cfRule>
    <cfRule type="cellIs" dxfId="6151" priority="15147" stopIfTrue="1" operator="greaterThanOrEqual">
      <formula>7.5</formula>
    </cfRule>
    <cfRule type="cellIs" dxfId="6150" priority="15148" stopIfTrue="1" operator="between">
      <formula>3.51</formula>
      <formula>7.49</formula>
    </cfRule>
  </conditionalFormatting>
  <conditionalFormatting sqref="AA4089">
    <cfRule type="cellIs" dxfId="6149" priority="15143" stopIfTrue="1" operator="lessThanOrEqual">
      <formula>3.5</formula>
    </cfRule>
    <cfRule type="cellIs" dxfId="6148" priority="15144" stopIfTrue="1" operator="greaterThanOrEqual">
      <formula>7.5</formula>
    </cfRule>
    <cfRule type="cellIs" dxfId="6147" priority="15145" stopIfTrue="1" operator="between">
      <formula>3.51</formula>
      <formula>7.49</formula>
    </cfRule>
  </conditionalFormatting>
  <conditionalFormatting sqref="AA4092">
    <cfRule type="cellIs" dxfId="6146" priority="15140" stopIfTrue="1" operator="lessThanOrEqual">
      <formula>3.5</formula>
    </cfRule>
    <cfRule type="cellIs" dxfId="6145" priority="15141" stopIfTrue="1" operator="greaterThanOrEqual">
      <formula>7.5</formula>
    </cfRule>
    <cfRule type="cellIs" dxfId="6144" priority="15142" stopIfTrue="1" operator="between">
      <formula>3.51</formula>
      <formula>7.49</formula>
    </cfRule>
  </conditionalFormatting>
  <conditionalFormatting sqref="AA4091">
    <cfRule type="cellIs" dxfId="6143" priority="15137" stopIfTrue="1" operator="lessThanOrEqual">
      <formula>3.5</formula>
    </cfRule>
    <cfRule type="cellIs" dxfId="6142" priority="15138" stopIfTrue="1" operator="greaterThanOrEqual">
      <formula>7.5</formula>
    </cfRule>
    <cfRule type="cellIs" dxfId="6141" priority="15139" stopIfTrue="1" operator="between">
      <formula>3.51</formula>
      <formula>7.49</formula>
    </cfRule>
  </conditionalFormatting>
  <conditionalFormatting sqref="AA3217">
    <cfRule type="cellIs" dxfId="6140" priority="15134" stopIfTrue="1" operator="lessThanOrEqual">
      <formula>3.5</formula>
    </cfRule>
    <cfRule type="cellIs" dxfId="6139" priority="15135" stopIfTrue="1" operator="greaterThanOrEqual">
      <formula>7.5</formula>
    </cfRule>
    <cfRule type="cellIs" dxfId="6138" priority="15136" stopIfTrue="1" operator="between">
      <formula>3.51</formula>
      <formula>7.49</formula>
    </cfRule>
  </conditionalFormatting>
  <conditionalFormatting sqref="AA3946">
    <cfRule type="cellIs" dxfId="6137" priority="15131" stopIfTrue="1" operator="lessThanOrEqual">
      <formula>3.5</formula>
    </cfRule>
    <cfRule type="cellIs" dxfId="6136" priority="15132" stopIfTrue="1" operator="greaterThanOrEqual">
      <formula>7.5</formula>
    </cfRule>
    <cfRule type="cellIs" dxfId="6135" priority="15133" stopIfTrue="1" operator="between">
      <formula>3.51</formula>
      <formula>7.49</formula>
    </cfRule>
  </conditionalFormatting>
  <conditionalFormatting sqref="AA5235">
    <cfRule type="cellIs" dxfId="6134" priority="15128" stopIfTrue="1" operator="lessThanOrEqual">
      <formula>3.5</formula>
    </cfRule>
    <cfRule type="cellIs" dxfId="6133" priority="15129" stopIfTrue="1" operator="greaterThanOrEqual">
      <formula>7.5</formula>
    </cfRule>
    <cfRule type="cellIs" dxfId="6132" priority="15130" stopIfTrue="1" operator="between">
      <formula>3.51</formula>
      <formula>7.49</formula>
    </cfRule>
  </conditionalFormatting>
  <conditionalFormatting sqref="AA5036">
    <cfRule type="cellIs" dxfId="6131" priority="15125" stopIfTrue="1" operator="lessThanOrEqual">
      <formula>3.5</formula>
    </cfRule>
    <cfRule type="cellIs" dxfId="6130" priority="15126" stopIfTrue="1" operator="greaterThanOrEqual">
      <formula>7.5</formula>
    </cfRule>
    <cfRule type="cellIs" dxfId="6129" priority="15127" stopIfTrue="1" operator="between">
      <formula>3.51</formula>
      <formula>7.49</formula>
    </cfRule>
  </conditionalFormatting>
  <conditionalFormatting sqref="AA5230">
    <cfRule type="cellIs" dxfId="6128" priority="15122" stopIfTrue="1" operator="lessThanOrEqual">
      <formula>3.5</formula>
    </cfRule>
    <cfRule type="cellIs" dxfId="6127" priority="15123" stopIfTrue="1" operator="greaterThanOrEqual">
      <formula>7.5</formula>
    </cfRule>
    <cfRule type="cellIs" dxfId="6126" priority="15124" stopIfTrue="1" operator="between">
      <formula>3.51</formula>
      <formula>7.49</formula>
    </cfRule>
  </conditionalFormatting>
  <conditionalFormatting sqref="AA5367">
    <cfRule type="cellIs" dxfId="6125" priority="15119" stopIfTrue="1" operator="lessThanOrEqual">
      <formula>3.5</formula>
    </cfRule>
    <cfRule type="cellIs" dxfId="6124" priority="15120" stopIfTrue="1" operator="greaterThanOrEqual">
      <formula>7.5</formula>
    </cfRule>
    <cfRule type="cellIs" dxfId="6123" priority="15121" stopIfTrue="1" operator="between">
      <formula>3.51</formula>
      <formula>7.49</formula>
    </cfRule>
  </conditionalFormatting>
  <conditionalFormatting sqref="AA5141">
    <cfRule type="cellIs" dxfId="6122" priority="15116" stopIfTrue="1" operator="lessThanOrEqual">
      <formula>3.5</formula>
    </cfRule>
    <cfRule type="cellIs" dxfId="6121" priority="15117" stopIfTrue="1" operator="greaterThanOrEqual">
      <formula>7.5</formula>
    </cfRule>
    <cfRule type="cellIs" dxfId="6120" priority="15118" stopIfTrue="1" operator="between">
      <formula>3.51</formula>
      <formula>7.49</formula>
    </cfRule>
  </conditionalFormatting>
  <conditionalFormatting sqref="AA5182">
    <cfRule type="cellIs" dxfId="6119" priority="15113" stopIfTrue="1" operator="lessThanOrEqual">
      <formula>3.5</formula>
    </cfRule>
    <cfRule type="cellIs" dxfId="6118" priority="15114" stopIfTrue="1" operator="greaterThanOrEqual">
      <formula>7.5</formula>
    </cfRule>
    <cfRule type="cellIs" dxfId="6117" priority="15115" stopIfTrue="1" operator="between">
      <formula>3.51</formula>
      <formula>7.49</formula>
    </cfRule>
  </conditionalFormatting>
  <conditionalFormatting sqref="AA4978">
    <cfRule type="cellIs" dxfId="6116" priority="15110" stopIfTrue="1" operator="lessThanOrEqual">
      <formula>3.5</formula>
    </cfRule>
    <cfRule type="cellIs" dxfId="6115" priority="15111" stopIfTrue="1" operator="greaterThanOrEqual">
      <formula>7.5</formula>
    </cfRule>
    <cfRule type="cellIs" dxfId="6114" priority="15112" stopIfTrue="1" operator="between">
      <formula>3.51</formula>
      <formula>7.49</formula>
    </cfRule>
  </conditionalFormatting>
  <conditionalFormatting sqref="AA5256">
    <cfRule type="cellIs" dxfId="6113" priority="15107" stopIfTrue="1" operator="lessThanOrEqual">
      <formula>3.5</formula>
    </cfRule>
    <cfRule type="cellIs" dxfId="6112" priority="15108" stopIfTrue="1" operator="greaterThanOrEqual">
      <formula>7.5</formula>
    </cfRule>
    <cfRule type="cellIs" dxfId="6111" priority="15109" stopIfTrue="1" operator="between">
      <formula>3.51</formula>
      <formula>7.49</formula>
    </cfRule>
  </conditionalFormatting>
  <conditionalFormatting sqref="AA4870">
    <cfRule type="cellIs" dxfId="6110" priority="15104" stopIfTrue="1" operator="lessThanOrEqual">
      <formula>3.5</formula>
    </cfRule>
    <cfRule type="cellIs" dxfId="6109" priority="15105" stopIfTrue="1" operator="greaterThanOrEqual">
      <formula>7.5</formula>
    </cfRule>
    <cfRule type="cellIs" dxfId="6108" priority="15106" stopIfTrue="1" operator="between">
      <formula>3.51</formula>
      <formula>7.49</formula>
    </cfRule>
  </conditionalFormatting>
  <conditionalFormatting sqref="AA261">
    <cfRule type="cellIs" dxfId="6107" priority="15098" stopIfTrue="1" operator="lessThanOrEqual">
      <formula>3.5</formula>
    </cfRule>
    <cfRule type="cellIs" dxfId="6106" priority="15099" stopIfTrue="1" operator="greaterThanOrEqual">
      <formula>7.5</formula>
    </cfRule>
    <cfRule type="cellIs" dxfId="6105" priority="15100" stopIfTrue="1" operator="between">
      <formula>3.51</formula>
      <formula>7.49</formula>
    </cfRule>
  </conditionalFormatting>
  <conditionalFormatting sqref="AA143">
    <cfRule type="cellIs" dxfId="6104" priority="15095" stopIfTrue="1" operator="lessThanOrEqual">
      <formula>3.5</formula>
    </cfRule>
    <cfRule type="cellIs" dxfId="6103" priority="15096" stopIfTrue="1" operator="greaterThanOrEqual">
      <formula>7.5</formula>
    </cfRule>
    <cfRule type="cellIs" dxfId="6102" priority="15097" stopIfTrue="1" operator="between">
      <formula>3.51</formula>
      <formula>7.49</formula>
    </cfRule>
  </conditionalFormatting>
  <conditionalFormatting sqref="AA3301">
    <cfRule type="cellIs" dxfId="6101" priority="15092" stopIfTrue="1" operator="lessThanOrEqual">
      <formula>3.5</formula>
    </cfRule>
    <cfRule type="cellIs" dxfId="6100" priority="15093" stopIfTrue="1" operator="greaterThanOrEqual">
      <formula>7.5</formula>
    </cfRule>
    <cfRule type="cellIs" dxfId="6099" priority="15094" stopIfTrue="1" operator="between">
      <formula>3.51</formula>
      <formula>7.49</formula>
    </cfRule>
  </conditionalFormatting>
  <conditionalFormatting sqref="AA1568">
    <cfRule type="cellIs" dxfId="6098" priority="15089" stopIfTrue="1" operator="lessThanOrEqual">
      <formula>3.5</formula>
    </cfRule>
    <cfRule type="cellIs" dxfId="6097" priority="15090" stopIfTrue="1" operator="greaterThanOrEqual">
      <formula>7.5</formula>
    </cfRule>
    <cfRule type="cellIs" dxfId="6096" priority="15091" stopIfTrue="1" operator="between">
      <formula>3.51</formula>
      <formula>7.49</formula>
    </cfRule>
  </conditionalFormatting>
  <conditionalFormatting sqref="AA59">
    <cfRule type="cellIs" dxfId="6095" priority="15086" stopIfTrue="1" operator="lessThanOrEqual">
      <formula>3.5</formula>
    </cfRule>
    <cfRule type="cellIs" dxfId="6094" priority="15087" stopIfTrue="1" operator="greaterThanOrEqual">
      <formula>7.5</formula>
    </cfRule>
    <cfRule type="cellIs" dxfId="6093" priority="15088" stopIfTrue="1" operator="between">
      <formula>3.51</formula>
      <formula>7.49</formula>
    </cfRule>
  </conditionalFormatting>
  <conditionalFormatting sqref="AA236">
    <cfRule type="cellIs" dxfId="6092" priority="15083" stopIfTrue="1" operator="lessThanOrEqual">
      <formula>3.5</formula>
    </cfRule>
    <cfRule type="cellIs" dxfId="6091" priority="15084" stopIfTrue="1" operator="greaterThanOrEqual">
      <formula>7.5</formula>
    </cfRule>
    <cfRule type="cellIs" dxfId="6090" priority="15085" stopIfTrue="1" operator="between">
      <formula>3.51</formula>
      <formula>7.49</formula>
    </cfRule>
  </conditionalFormatting>
  <conditionalFormatting sqref="AA1083">
    <cfRule type="cellIs" dxfId="6089" priority="15077" stopIfTrue="1" operator="lessThanOrEqual">
      <formula>3.5</formula>
    </cfRule>
    <cfRule type="cellIs" dxfId="6088" priority="15078" stopIfTrue="1" operator="greaterThanOrEqual">
      <formula>7.5</formula>
    </cfRule>
    <cfRule type="cellIs" dxfId="6087" priority="15079" stopIfTrue="1" operator="between">
      <formula>3.51</formula>
      <formula>7.49</formula>
    </cfRule>
  </conditionalFormatting>
  <conditionalFormatting sqref="AA1493">
    <cfRule type="cellIs" dxfId="6086" priority="15074" stopIfTrue="1" operator="lessThanOrEqual">
      <formula>3.5</formula>
    </cfRule>
    <cfRule type="cellIs" dxfId="6085" priority="15075" stopIfTrue="1" operator="greaterThanOrEqual">
      <formula>7.5</formula>
    </cfRule>
    <cfRule type="cellIs" dxfId="6084" priority="15076" stopIfTrue="1" operator="between">
      <formula>3.51</formula>
      <formula>7.49</formula>
    </cfRule>
  </conditionalFormatting>
  <conditionalFormatting sqref="AA3202">
    <cfRule type="cellIs" dxfId="6083" priority="15071" stopIfTrue="1" operator="lessThanOrEqual">
      <formula>3.5</formula>
    </cfRule>
    <cfRule type="cellIs" dxfId="6082" priority="15072" stopIfTrue="1" operator="greaterThanOrEqual">
      <formula>7.5</formula>
    </cfRule>
    <cfRule type="cellIs" dxfId="6081" priority="15073" stopIfTrue="1" operator="between">
      <formula>3.51</formula>
      <formula>7.49</formula>
    </cfRule>
  </conditionalFormatting>
  <conditionalFormatting sqref="AA1490">
    <cfRule type="cellIs" dxfId="6080" priority="15068" stopIfTrue="1" operator="lessThanOrEqual">
      <formula>3.5</formula>
    </cfRule>
    <cfRule type="cellIs" dxfId="6079" priority="15069" stopIfTrue="1" operator="greaterThanOrEqual">
      <formula>7.5</formula>
    </cfRule>
    <cfRule type="cellIs" dxfId="6078" priority="15070" stopIfTrue="1" operator="between">
      <formula>3.51</formula>
      <formula>7.49</formula>
    </cfRule>
  </conditionalFormatting>
  <conditionalFormatting sqref="AA1489">
    <cfRule type="cellIs" dxfId="6077" priority="15065" stopIfTrue="1" operator="lessThanOrEqual">
      <formula>3.5</formula>
    </cfRule>
    <cfRule type="cellIs" dxfId="6076" priority="15066" stopIfTrue="1" operator="greaterThanOrEqual">
      <formula>7.5</formula>
    </cfRule>
    <cfRule type="cellIs" dxfId="6075" priority="15067" stopIfTrue="1" operator="between">
      <formula>3.51</formula>
      <formula>7.49</formula>
    </cfRule>
  </conditionalFormatting>
  <conditionalFormatting sqref="AA1300">
    <cfRule type="cellIs" dxfId="6074" priority="15062" stopIfTrue="1" operator="lessThanOrEqual">
      <formula>3.5</formula>
    </cfRule>
    <cfRule type="cellIs" dxfId="6073" priority="15063" stopIfTrue="1" operator="greaterThanOrEqual">
      <formula>7.5</formula>
    </cfRule>
    <cfRule type="cellIs" dxfId="6072" priority="15064" stopIfTrue="1" operator="between">
      <formula>3.51</formula>
      <formula>7.49</formula>
    </cfRule>
  </conditionalFormatting>
  <conditionalFormatting sqref="AA845">
    <cfRule type="cellIs" dxfId="6071" priority="15059" stopIfTrue="1" operator="lessThanOrEqual">
      <formula>3.5</formula>
    </cfRule>
    <cfRule type="cellIs" dxfId="6070" priority="15060" stopIfTrue="1" operator="greaterThanOrEqual">
      <formula>7.5</formula>
    </cfRule>
    <cfRule type="cellIs" dxfId="6069" priority="15061" stopIfTrue="1" operator="between">
      <formula>3.51</formula>
      <formula>7.49</formula>
    </cfRule>
  </conditionalFormatting>
  <conditionalFormatting sqref="AA1315">
    <cfRule type="cellIs" dxfId="6068" priority="15056" stopIfTrue="1" operator="lessThanOrEqual">
      <formula>3.5</formula>
    </cfRule>
    <cfRule type="cellIs" dxfId="6067" priority="15057" stopIfTrue="1" operator="greaterThanOrEqual">
      <formula>7.5</formula>
    </cfRule>
    <cfRule type="cellIs" dxfId="6066" priority="15058" stopIfTrue="1" operator="between">
      <formula>3.51</formula>
      <formula>7.49</formula>
    </cfRule>
  </conditionalFormatting>
  <conditionalFormatting sqref="AA1282">
    <cfRule type="cellIs" dxfId="6065" priority="15053" stopIfTrue="1" operator="lessThanOrEqual">
      <formula>3.5</formula>
    </cfRule>
    <cfRule type="cellIs" dxfId="6064" priority="15054" stopIfTrue="1" operator="greaterThanOrEqual">
      <formula>7.5</formula>
    </cfRule>
    <cfRule type="cellIs" dxfId="6063" priority="15055" stopIfTrue="1" operator="between">
      <formula>3.51</formula>
      <formula>7.49</formula>
    </cfRule>
  </conditionalFormatting>
  <conditionalFormatting sqref="AA1278">
    <cfRule type="cellIs" dxfId="6062" priority="15050" stopIfTrue="1" operator="lessThanOrEqual">
      <formula>3.5</formula>
    </cfRule>
    <cfRule type="cellIs" dxfId="6061" priority="15051" stopIfTrue="1" operator="greaterThanOrEqual">
      <formula>7.5</formula>
    </cfRule>
    <cfRule type="cellIs" dxfId="6060" priority="15052" stopIfTrue="1" operator="between">
      <formula>3.51</formula>
      <formula>7.49</formula>
    </cfRule>
  </conditionalFormatting>
  <conditionalFormatting sqref="AA1284">
    <cfRule type="cellIs" dxfId="6059" priority="15047" stopIfTrue="1" operator="lessThanOrEqual">
      <formula>3.5</formula>
    </cfRule>
    <cfRule type="cellIs" dxfId="6058" priority="15048" stopIfTrue="1" operator="greaterThanOrEqual">
      <formula>7.5</formula>
    </cfRule>
    <cfRule type="cellIs" dxfId="6057" priority="15049" stopIfTrue="1" operator="between">
      <formula>3.51</formula>
      <formula>7.49</formula>
    </cfRule>
  </conditionalFormatting>
  <conditionalFormatting sqref="AA1276">
    <cfRule type="cellIs" dxfId="6056" priority="15044" stopIfTrue="1" operator="lessThanOrEqual">
      <formula>3.5</formula>
    </cfRule>
    <cfRule type="cellIs" dxfId="6055" priority="15045" stopIfTrue="1" operator="greaterThanOrEqual">
      <formula>7.5</formula>
    </cfRule>
    <cfRule type="cellIs" dxfId="6054" priority="15046" stopIfTrue="1" operator="between">
      <formula>3.51</formula>
      <formula>7.49</formula>
    </cfRule>
  </conditionalFormatting>
  <conditionalFormatting sqref="AA1901 AA1904 AA1941">
    <cfRule type="cellIs" dxfId="6053" priority="15041" stopIfTrue="1" operator="lessThanOrEqual">
      <formula>3.5</formula>
    </cfRule>
    <cfRule type="cellIs" dxfId="6052" priority="15042" stopIfTrue="1" operator="greaterThanOrEqual">
      <formula>7.5</formula>
    </cfRule>
    <cfRule type="cellIs" dxfId="6051" priority="15043" stopIfTrue="1" operator="between">
      <formula>3.51</formula>
      <formula>7.49</formula>
    </cfRule>
  </conditionalFormatting>
  <conditionalFormatting sqref="AA1230">
    <cfRule type="cellIs" dxfId="6050" priority="15038" stopIfTrue="1" operator="lessThanOrEqual">
      <formula>3.5</formula>
    </cfRule>
    <cfRule type="cellIs" dxfId="6049" priority="15039" stopIfTrue="1" operator="greaterThanOrEqual">
      <formula>7.5</formula>
    </cfRule>
    <cfRule type="cellIs" dxfId="6048" priority="15040" stopIfTrue="1" operator="between">
      <formula>3.51</formula>
      <formula>7.49</formula>
    </cfRule>
  </conditionalFormatting>
  <conditionalFormatting sqref="AA1741">
    <cfRule type="cellIs" dxfId="6047" priority="15035" stopIfTrue="1" operator="lessThanOrEqual">
      <formula>3.5</formula>
    </cfRule>
    <cfRule type="cellIs" dxfId="6046" priority="15036" stopIfTrue="1" operator="greaterThanOrEqual">
      <formula>7.5</formula>
    </cfRule>
    <cfRule type="cellIs" dxfId="6045" priority="15037" stopIfTrue="1" operator="between">
      <formula>3.51</formula>
      <formula>7.49</formula>
    </cfRule>
  </conditionalFormatting>
  <conditionalFormatting sqref="AA1738">
    <cfRule type="cellIs" dxfId="6044" priority="15032" stopIfTrue="1" operator="lessThanOrEqual">
      <formula>3.5</formula>
    </cfRule>
    <cfRule type="cellIs" dxfId="6043" priority="15033" stopIfTrue="1" operator="greaterThanOrEqual">
      <formula>7.5</formula>
    </cfRule>
    <cfRule type="cellIs" dxfId="6042" priority="15034" stopIfTrue="1" operator="between">
      <formula>3.51</formula>
      <formula>7.49</formula>
    </cfRule>
  </conditionalFormatting>
  <conditionalFormatting sqref="AA2606">
    <cfRule type="cellIs" dxfId="6041" priority="15029" stopIfTrue="1" operator="lessThanOrEqual">
      <formula>3.5</formula>
    </cfRule>
    <cfRule type="cellIs" dxfId="6040" priority="15030" stopIfTrue="1" operator="greaterThanOrEqual">
      <formula>7.5</formula>
    </cfRule>
    <cfRule type="cellIs" dxfId="6039" priority="15031" stopIfTrue="1" operator="between">
      <formula>3.51</formula>
      <formula>7.49</formula>
    </cfRule>
  </conditionalFormatting>
  <conditionalFormatting sqref="AA2609">
    <cfRule type="cellIs" dxfId="6038" priority="15026" stopIfTrue="1" operator="lessThanOrEqual">
      <formula>3.5</formula>
    </cfRule>
    <cfRule type="cellIs" dxfId="6037" priority="15027" stopIfTrue="1" operator="greaterThanOrEqual">
      <formula>7.5</formula>
    </cfRule>
    <cfRule type="cellIs" dxfId="6036" priority="15028" stopIfTrue="1" operator="between">
      <formula>3.51</formula>
      <formula>7.49</formula>
    </cfRule>
  </conditionalFormatting>
  <conditionalFormatting sqref="AA2608">
    <cfRule type="cellIs" dxfId="6035" priority="15023" stopIfTrue="1" operator="lessThanOrEqual">
      <formula>3.5</formula>
    </cfRule>
    <cfRule type="cellIs" dxfId="6034" priority="15024" stopIfTrue="1" operator="greaterThanOrEqual">
      <formula>7.5</formula>
    </cfRule>
    <cfRule type="cellIs" dxfId="6033" priority="15025" stopIfTrue="1" operator="between">
      <formula>3.51</formula>
      <formula>7.49</formula>
    </cfRule>
  </conditionalFormatting>
  <conditionalFormatting sqref="AA2570">
    <cfRule type="cellIs" dxfId="6032" priority="15020" stopIfTrue="1" operator="lessThanOrEqual">
      <formula>3.5</formula>
    </cfRule>
    <cfRule type="cellIs" dxfId="6031" priority="15021" stopIfTrue="1" operator="greaterThanOrEqual">
      <formula>7.5</formula>
    </cfRule>
    <cfRule type="cellIs" dxfId="6030" priority="15022" stopIfTrue="1" operator="between">
      <formula>3.51</formula>
      <formula>7.49</formula>
    </cfRule>
  </conditionalFormatting>
  <conditionalFormatting sqref="AA1798">
    <cfRule type="cellIs" dxfId="6029" priority="15017" stopIfTrue="1" operator="lessThanOrEqual">
      <formula>3.5</formula>
    </cfRule>
    <cfRule type="cellIs" dxfId="6028" priority="15018" stopIfTrue="1" operator="greaterThanOrEqual">
      <formula>7.5</formula>
    </cfRule>
    <cfRule type="cellIs" dxfId="6027" priority="15019" stopIfTrue="1" operator="between">
      <formula>3.51</formula>
      <formula>7.49</formula>
    </cfRule>
  </conditionalFormatting>
  <conditionalFormatting sqref="AA2469">
    <cfRule type="cellIs" dxfId="6026" priority="15014" stopIfTrue="1" operator="lessThanOrEqual">
      <formula>3.5</formula>
    </cfRule>
    <cfRule type="cellIs" dxfId="6025" priority="15015" stopIfTrue="1" operator="greaterThanOrEqual">
      <formula>7.5</formula>
    </cfRule>
    <cfRule type="cellIs" dxfId="6024" priority="15016" stopIfTrue="1" operator="between">
      <formula>3.51</formula>
      <formula>7.49</formula>
    </cfRule>
  </conditionalFormatting>
  <conditionalFormatting sqref="AA2830">
    <cfRule type="cellIs" dxfId="6023" priority="15011" stopIfTrue="1" operator="lessThanOrEqual">
      <formula>3.5</formula>
    </cfRule>
    <cfRule type="cellIs" dxfId="6022" priority="15012" stopIfTrue="1" operator="greaterThanOrEqual">
      <formula>7.5</formula>
    </cfRule>
    <cfRule type="cellIs" dxfId="6021" priority="15013" stopIfTrue="1" operator="between">
      <formula>3.51</formula>
      <formula>7.49</formula>
    </cfRule>
  </conditionalFormatting>
  <conditionalFormatting sqref="AA2236">
    <cfRule type="cellIs" dxfId="6020" priority="15008" stopIfTrue="1" operator="lessThanOrEqual">
      <formula>3.5</formula>
    </cfRule>
    <cfRule type="cellIs" dxfId="6019" priority="15009" stopIfTrue="1" operator="greaterThanOrEqual">
      <formula>7.5</formula>
    </cfRule>
    <cfRule type="cellIs" dxfId="6018" priority="15010" stopIfTrue="1" operator="between">
      <formula>3.51</formula>
      <formula>7.49</formula>
    </cfRule>
  </conditionalFormatting>
  <conditionalFormatting sqref="AA2248">
    <cfRule type="cellIs" dxfId="6017" priority="15005" stopIfTrue="1" operator="lessThanOrEqual">
      <formula>3.5</formula>
    </cfRule>
    <cfRule type="cellIs" dxfId="6016" priority="15006" stopIfTrue="1" operator="greaterThanOrEqual">
      <formula>7.5</formula>
    </cfRule>
    <cfRule type="cellIs" dxfId="6015" priority="15007" stopIfTrue="1" operator="between">
      <formula>3.51</formula>
      <formula>7.49</formula>
    </cfRule>
  </conditionalFormatting>
  <conditionalFormatting sqref="AA2231">
    <cfRule type="cellIs" dxfId="6014" priority="15002" stopIfTrue="1" operator="lessThanOrEqual">
      <formula>3.5</formula>
    </cfRule>
    <cfRule type="cellIs" dxfId="6013" priority="15003" stopIfTrue="1" operator="greaterThanOrEqual">
      <formula>7.5</formula>
    </cfRule>
    <cfRule type="cellIs" dxfId="6012" priority="15004" stopIfTrue="1" operator="between">
      <formula>3.51</formula>
      <formula>7.49</formula>
    </cfRule>
  </conditionalFormatting>
  <conditionalFormatting sqref="AA5290">
    <cfRule type="cellIs" dxfId="6011" priority="14999" stopIfTrue="1" operator="lessThanOrEqual">
      <formula>3.5</formula>
    </cfRule>
    <cfRule type="cellIs" dxfId="6010" priority="15000" stopIfTrue="1" operator="greaterThanOrEqual">
      <formula>7.5</formula>
    </cfRule>
    <cfRule type="cellIs" dxfId="6009" priority="15001" stopIfTrue="1" operator="between">
      <formula>3.51</formula>
      <formula>7.49</formula>
    </cfRule>
  </conditionalFormatting>
  <conditionalFormatting sqref="AA5334">
    <cfRule type="cellIs" dxfId="6008" priority="14993" stopIfTrue="1" operator="lessThanOrEqual">
      <formula>3.5</formula>
    </cfRule>
    <cfRule type="cellIs" dxfId="6007" priority="14994" stopIfTrue="1" operator="greaterThanOrEqual">
      <formula>7.5</formula>
    </cfRule>
    <cfRule type="cellIs" dxfId="6006" priority="14995" stopIfTrue="1" operator="between">
      <formula>3.51</formula>
      <formula>7.49</formula>
    </cfRule>
  </conditionalFormatting>
  <conditionalFormatting sqref="AA5122">
    <cfRule type="cellIs" dxfId="6005" priority="14984" stopIfTrue="1" operator="lessThanOrEqual">
      <formula>3.5</formula>
    </cfRule>
    <cfRule type="cellIs" dxfId="6004" priority="14985" stopIfTrue="1" operator="greaterThanOrEqual">
      <formula>7.5</formula>
    </cfRule>
    <cfRule type="cellIs" dxfId="6003" priority="14986" stopIfTrue="1" operator="between">
      <formula>3.51</formula>
      <formula>7.49</formula>
    </cfRule>
  </conditionalFormatting>
  <conditionalFormatting sqref="AA5140">
    <cfRule type="cellIs" dxfId="6002" priority="14981" stopIfTrue="1" operator="lessThanOrEqual">
      <formula>3.5</formula>
    </cfRule>
    <cfRule type="cellIs" dxfId="6001" priority="14982" stopIfTrue="1" operator="greaterThanOrEqual">
      <formula>7.5</formula>
    </cfRule>
    <cfRule type="cellIs" dxfId="6000" priority="14983" stopIfTrue="1" operator="between">
      <formula>3.51</formula>
      <formula>7.49</formula>
    </cfRule>
  </conditionalFormatting>
  <conditionalFormatting sqref="AA5117">
    <cfRule type="cellIs" dxfId="5999" priority="14975" stopIfTrue="1" operator="lessThanOrEqual">
      <formula>3.5</formula>
    </cfRule>
    <cfRule type="cellIs" dxfId="5998" priority="14976" stopIfTrue="1" operator="greaterThanOrEqual">
      <formula>7.5</formula>
    </cfRule>
    <cfRule type="cellIs" dxfId="5997" priority="14977" stopIfTrue="1" operator="between">
      <formula>3.51</formula>
      <formula>7.49</formula>
    </cfRule>
  </conditionalFormatting>
  <conditionalFormatting sqref="AA5118">
    <cfRule type="cellIs" dxfId="5996" priority="14978" stopIfTrue="1" operator="lessThanOrEqual">
      <formula>3.5</formula>
    </cfRule>
    <cfRule type="cellIs" dxfId="5995" priority="14979" stopIfTrue="1" operator="greaterThanOrEqual">
      <formula>7.5</formula>
    </cfRule>
    <cfRule type="cellIs" dxfId="5994" priority="14980" stopIfTrue="1" operator="between">
      <formula>3.51</formula>
      <formula>7.49</formula>
    </cfRule>
  </conditionalFormatting>
  <conditionalFormatting sqref="AA5112">
    <cfRule type="cellIs" dxfId="5993" priority="14963" stopIfTrue="1" operator="lessThanOrEqual">
      <formula>3.5</formula>
    </cfRule>
    <cfRule type="cellIs" dxfId="5992" priority="14964" stopIfTrue="1" operator="greaterThanOrEqual">
      <formula>7.5</formula>
    </cfRule>
    <cfRule type="cellIs" dxfId="5991" priority="14965" stopIfTrue="1" operator="between">
      <formula>3.51</formula>
      <formula>7.49</formula>
    </cfRule>
  </conditionalFormatting>
  <conditionalFormatting sqref="AA5116">
    <cfRule type="cellIs" dxfId="5990" priority="14972" stopIfTrue="1" operator="lessThanOrEqual">
      <formula>3.5</formula>
    </cfRule>
    <cfRule type="cellIs" dxfId="5989" priority="14973" stopIfTrue="1" operator="greaterThanOrEqual">
      <formula>7.5</formula>
    </cfRule>
    <cfRule type="cellIs" dxfId="5988" priority="14974" stopIfTrue="1" operator="between">
      <formula>3.51</formula>
      <formula>7.49</formula>
    </cfRule>
  </conditionalFormatting>
  <conditionalFormatting sqref="AA5114">
    <cfRule type="cellIs" dxfId="5987" priority="14969" stopIfTrue="1" operator="lessThanOrEqual">
      <formula>3.5</formula>
    </cfRule>
    <cfRule type="cellIs" dxfId="5986" priority="14970" stopIfTrue="1" operator="greaterThanOrEqual">
      <formula>7.5</formula>
    </cfRule>
    <cfRule type="cellIs" dxfId="5985" priority="14971" stopIfTrue="1" operator="between">
      <formula>3.51</formula>
      <formula>7.49</formula>
    </cfRule>
  </conditionalFormatting>
  <conditionalFormatting sqref="AA5105">
    <cfRule type="cellIs" dxfId="5984" priority="14951" stopIfTrue="1" operator="lessThanOrEqual">
      <formula>3.5</formula>
    </cfRule>
    <cfRule type="cellIs" dxfId="5983" priority="14952" stopIfTrue="1" operator="greaterThanOrEqual">
      <formula>7.5</formula>
    </cfRule>
    <cfRule type="cellIs" dxfId="5982" priority="14953" stopIfTrue="1" operator="between">
      <formula>3.51</formula>
      <formula>7.49</formula>
    </cfRule>
  </conditionalFormatting>
  <conditionalFormatting sqref="AA5113">
    <cfRule type="cellIs" dxfId="5981" priority="14966" stopIfTrue="1" operator="lessThanOrEqual">
      <formula>3.5</formula>
    </cfRule>
    <cfRule type="cellIs" dxfId="5980" priority="14967" stopIfTrue="1" operator="greaterThanOrEqual">
      <formula>7.5</formula>
    </cfRule>
    <cfRule type="cellIs" dxfId="5979" priority="14968" stopIfTrue="1" operator="between">
      <formula>3.51</formula>
      <formula>7.49</formula>
    </cfRule>
  </conditionalFormatting>
  <conditionalFormatting sqref="AA5081">
    <cfRule type="cellIs" dxfId="5978" priority="14939" stopIfTrue="1" operator="lessThanOrEqual">
      <formula>3.5</formula>
    </cfRule>
    <cfRule type="cellIs" dxfId="5977" priority="14940" stopIfTrue="1" operator="greaterThanOrEqual">
      <formula>7.5</formula>
    </cfRule>
    <cfRule type="cellIs" dxfId="5976" priority="14941" stopIfTrue="1" operator="between">
      <formula>3.51</formula>
      <formula>7.49</formula>
    </cfRule>
  </conditionalFormatting>
  <conditionalFormatting sqref="AA5109">
    <cfRule type="cellIs" dxfId="5975" priority="14960" stopIfTrue="1" operator="lessThanOrEqual">
      <formula>3.5</formula>
    </cfRule>
    <cfRule type="cellIs" dxfId="5974" priority="14961" stopIfTrue="1" operator="greaterThanOrEqual">
      <formula>7.5</formula>
    </cfRule>
    <cfRule type="cellIs" dxfId="5973" priority="14962" stopIfTrue="1" operator="between">
      <formula>3.51</formula>
      <formula>7.49</formula>
    </cfRule>
  </conditionalFormatting>
  <conditionalFormatting sqref="AA5107">
    <cfRule type="cellIs" dxfId="5972" priority="14957" stopIfTrue="1" operator="lessThanOrEqual">
      <formula>3.5</formula>
    </cfRule>
    <cfRule type="cellIs" dxfId="5971" priority="14958" stopIfTrue="1" operator="greaterThanOrEqual">
      <formula>7.5</formula>
    </cfRule>
    <cfRule type="cellIs" dxfId="5970" priority="14959" stopIfTrue="1" operator="between">
      <formula>3.51</formula>
      <formula>7.49</formula>
    </cfRule>
  </conditionalFormatting>
  <conditionalFormatting sqref="AA5170">
    <cfRule type="cellIs" dxfId="5969" priority="14954" stopIfTrue="1" operator="lessThanOrEqual">
      <formula>3.5</formula>
    </cfRule>
    <cfRule type="cellIs" dxfId="5968" priority="14955" stopIfTrue="1" operator="greaterThanOrEqual">
      <formula>7.5</formula>
    </cfRule>
    <cfRule type="cellIs" dxfId="5967" priority="14956" stopIfTrue="1" operator="between">
      <formula>3.51</formula>
      <formula>7.49</formula>
    </cfRule>
  </conditionalFormatting>
  <conditionalFormatting sqref="AA5076">
    <cfRule type="cellIs" dxfId="5966" priority="14927" stopIfTrue="1" operator="lessThanOrEqual">
      <formula>3.5</formula>
    </cfRule>
    <cfRule type="cellIs" dxfId="5965" priority="14928" stopIfTrue="1" operator="greaterThanOrEqual">
      <formula>7.5</formula>
    </cfRule>
    <cfRule type="cellIs" dxfId="5964" priority="14929" stopIfTrue="1" operator="between">
      <formula>3.51</formula>
      <formula>7.49</formula>
    </cfRule>
  </conditionalFormatting>
  <conditionalFormatting sqref="AA5079">
    <cfRule type="cellIs" dxfId="5963" priority="14948" stopIfTrue="1" operator="lessThanOrEqual">
      <formula>3.5</formula>
    </cfRule>
    <cfRule type="cellIs" dxfId="5962" priority="14949" stopIfTrue="1" operator="greaterThanOrEqual">
      <formula>7.5</formula>
    </cfRule>
    <cfRule type="cellIs" dxfId="5961" priority="14950" stopIfTrue="1" operator="between">
      <formula>3.51</formula>
      <formula>7.49</formula>
    </cfRule>
  </conditionalFormatting>
  <conditionalFormatting sqref="AA5103">
    <cfRule type="cellIs" dxfId="5960" priority="14945" stopIfTrue="1" operator="lessThanOrEqual">
      <formula>3.5</formula>
    </cfRule>
    <cfRule type="cellIs" dxfId="5959" priority="14946" stopIfTrue="1" operator="greaterThanOrEqual">
      <formula>7.5</formula>
    </cfRule>
    <cfRule type="cellIs" dxfId="5958" priority="14947" stopIfTrue="1" operator="between">
      <formula>3.51</formula>
      <formula>7.49</formula>
    </cfRule>
  </conditionalFormatting>
  <conditionalFormatting sqref="AA5110">
    <cfRule type="cellIs" dxfId="5957" priority="14942" stopIfTrue="1" operator="lessThanOrEqual">
      <formula>3.5</formula>
    </cfRule>
    <cfRule type="cellIs" dxfId="5956" priority="14943" stopIfTrue="1" operator="greaterThanOrEqual">
      <formula>7.5</formula>
    </cfRule>
    <cfRule type="cellIs" dxfId="5955" priority="14944" stopIfTrue="1" operator="between">
      <formula>3.51</formula>
      <formula>7.49</formula>
    </cfRule>
  </conditionalFormatting>
  <conditionalFormatting sqref="AA5126">
    <cfRule type="cellIs" dxfId="5954" priority="14924" stopIfTrue="1" operator="lessThanOrEqual">
      <formula>3.5</formula>
    </cfRule>
    <cfRule type="cellIs" dxfId="5953" priority="14925" stopIfTrue="1" operator="greaterThanOrEqual">
      <formula>7.5</formula>
    </cfRule>
    <cfRule type="cellIs" dxfId="5952" priority="14926" stopIfTrue="1" operator="between">
      <formula>3.51</formula>
      <formula>7.49</formula>
    </cfRule>
  </conditionalFormatting>
  <conditionalFormatting sqref="AA4592">
    <cfRule type="cellIs" dxfId="5951" priority="14933" stopIfTrue="1" operator="lessThanOrEqual">
      <formula>3.5</formula>
    </cfRule>
    <cfRule type="cellIs" dxfId="5950" priority="14934" stopIfTrue="1" operator="greaterThanOrEqual">
      <formula>7.5</formula>
    </cfRule>
    <cfRule type="cellIs" dxfId="5949" priority="14935" stopIfTrue="1" operator="between">
      <formula>3.51</formula>
      <formula>7.49</formula>
    </cfRule>
  </conditionalFormatting>
  <conditionalFormatting sqref="AA4591">
    <cfRule type="cellIs" dxfId="5948" priority="14930" stopIfTrue="1" operator="lessThanOrEqual">
      <formula>3.5</formula>
    </cfRule>
    <cfRule type="cellIs" dxfId="5947" priority="14931" stopIfTrue="1" operator="greaterThanOrEqual">
      <formula>7.5</formula>
    </cfRule>
    <cfRule type="cellIs" dxfId="5946" priority="14932" stopIfTrue="1" operator="between">
      <formula>3.51</formula>
      <formula>7.49</formula>
    </cfRule>
  </conditionalFormatting>
  <conditionalFormatting sqref="AA4994">
    <cfRule type="cellIs" dxfId="5945" priority="14921" stopIfTrue="1" operator="lessThanOrEqual">
      <formula>3.5</formula>
    </cfRule>
    <cfRule type="cellIs" dxfId="5944" priority="14922" stopIfTrue="1" operator="greaterThanOrEqual">
      <formula>7.5</formula>
    </cfRule>
    <cfRule type="cellIs" dxfId="5943" priority="14923" stopIfTrue="1" operator="between">
      <formula>3.51</formula>
      <formula>7.49</formula>
    </cfRule>
  </conditionalFormatting>
  <conditionalFormatting sqref="AA5133">
    <cfRule type="cellIs" dxfId="5942" priority="14918" stopIfTrue="1" operator="lessThanOrEqual">
      <formula>3.5</formula>
    </cfRule>
    <cfRule type="cellIs" dxfId="5941" priority="14919" stopIfTrue="1" operator="greaterThanOrEqual">
      <formula>7.5</formula>
    </cfRule>
    <cfRule type="cellIs" dxfId="5940" priority="14920" stopIfTrue="1" operator="between">
      <formula>3.51</formula>
      <formula>7.49</formula>
    </cfRule>
  </conditionalFormatting>
  <conditionalFormatting sqref="AA5159">
    <cfRule type="cellIs" dxfId="5939" priority="14915" stopIfTrue="1" operator="lessThanOrEqual">
      <formula>3.5</formula>
    </cfRule>
    <cfRule type="cellIs" dxfId="5938" priority="14916" stopIfTrue="1" operator="greaterThanOrEqual">
      <formula>7.5</formula>
    </cfRule>
    <cfRule type="cellIs" dxfId="5937" priority="14917" stopIfTrue="1" operator="between">
      <formula>3.51</formula>
      <formula>7.49</formula>
    </cfRule>
  </conditionalFormatting>
  <conditionalFormatting sqref="AA5130">
    <cfRule type="cellIs" dxfId="5936" priority="14912" stopIfTrue="1" operator="lessThanOrEqual">
      <formula>3.5</formula>
    </cfRule>
    <cfRule type="cellIs" dxfId="5935" priority="14913" stopIfTrue="1" operator="greaterThanOrEqual">
      <formula>7.5</formula>
    </cfRule>
    <cfRule type="cellIs" dxfId="5934" priority="14914" stopIfTrue="1" operator="between">
      <formula>3.51</formula>
      <formula>7.49</formula>
    </cfRule>
  </conditionalFormatting>
  <conditionalFormatting sqref="AA4869">
    <cfRule type="cellIs" dxfId="5933" priority="14909" stopIfTrue="1" operator="lessThanOrEqual">
      <formula>3.5</formula>
    </cfRule>
    <cfRule type="cellIs" dxfId="5932" priority="14910" stopIfTrue="1" operator="greaterThanOrEqual">
      <formula>7.5</formula>
    </cfRule>
    <cfRule type="cellIs" dxfId="5931" priority="14911" stopIfTrue="1" operator="between">
      <formula>3.51</formula>
      <formula>7.49</formula>
    </cfRule>
  </conditionalFormatting>
  <conditionalFormatting sqref="AA5100">
    <cfRule type="cellIs" dxfId="5930" priority="14903" stopIfTrue="1" operator="lessThanOrEqual">
      <formula>3.5</formula>
    </cfRule>
    <cfRule type="cellIs" dxfId="5929" priority="14904" stopIfTrue="1" operator="greaterThanOrEqual">
      <formula>7.5</formula>
    </cfRule>
    <cfRule type="cellIs" dxfId="5928" priority="14905" stopIfTrue="1" operator="between">
      <formula>3.51</formula>
      <formula>7.49</formula>
    </cfRule>
  </conditionalFormatting>
  <conditionalFormatting sqref="AA4860">
    <cfRule type="cellIs" dxfId="5927" priority="14906" stopIfTrue="1" operator="lessThanOrEqual">
      <formula>3.5</formula>
    </cfRule>
    <cfRule type="cellIs" dxfId="5926" priority="14907" stopIfTrue="1" operator="greaterThanOrEqual">
      <formula>7.5</formula>
    </cfRule>
    <cfRule type="cellIs" dxfId="5925" priority="14908" stopIfTrue="1" operator="between">
      <formula>3.51</formula>
      <formula>7.49</formula>
    </cfRule>
  </conditionalFormatting>
  <conditionalFormatting sqref="AA5174">
    <cfRule type="cellIs" dxfId="5924" priority="14897" stopIfTrue="1" operator="lessThanOrEqual">
      <formula>3.5</formula>
    </cfRule>
    <cfRule type="cellIs" dxfId="5923" priority="14898" stopIfTrue="1" operator="greaterThanOrEqual">
      <formula>7.5</formula>
    </cfRule>
    <cfRule type="cellIs" dxfId="5922" priority="14899" stopIfTrue="1" operator="between">
      <formula>3.51</formula>
      <formula>7.49</formula>
    </cfRule>
  </conditionalFormatting>
  <conditionalFormatting sqref="AA5176">
    <cfRule type="cellIs" dxfId="5921" priority="14885" stopIfTrue="1" operator="lessThanOrEqual">
      <formula>3.5</formula>
    </cfRule>
    <cfRule type="cellIs" dxfId="5920" priority="14886" stopIfTrue="1" operator="greaterThanOrEqual">
      <formula>7.5</formula>
    </cfRule>
    <cfRule type="cellIs" dxfId="5919" priority="14887" stopIfTrue="1" operator="between">
      <formula>3.51</formula>
      <formula>7.49</formula>
    </cfRule>
  </conditionalFormatting>
  <conditionalFormatting sqref="AA5175">
    <cfRule type="cellIs" dxfId="5918" priority="14900" stopIfTrue="1" operator="lessThanOrEqual">
      <formula>3.5</formula>
    </cfRule>
    <cfRule type="cellIs" dxfId="5917" priority="14901" stopIfTrue="1" operator="greaterThanOrEqual">
      <formula>7.5</formula>
    </cfRule>
    <cfRule type="cellIs" dxfId="5916" priority="14902" stopIfTrue="1" operator="between">
      <formula>3.51</formula>
      <formula>7.49</formula>
    </cfRule>
  </conditionalFormatting>
  <conditionalFormatting sqref="AA5180">
    <cfRule type="cellIs" dxfId="5915" priority="14891" stopIfTrue="1" operator="lessThanOrEqual">
      <formula>3.5</formula>
    </cfRule>
    <cfRule type="cellIs" dxfId="5914" priority="14892" stopIfTrue="1" operator="greaterThanOrEqual">
      <formula>7.5</formula>
    </cfRule>
    <cfRule type="cellIs" dxfId="5913" priority="14893" stopIfTrue="1" operator="between">
      <formula>3.51</formula>
      <formula>7.49</formula>
    </cfRule>
  </conditionalFormatting>
  <conditionalFormatting sqref="AA5124">
    <cfRule type="cellIs" dxfId="5912" priority="14894" stopIfTrue="1" operator="lessThanOrEqual">
      <formula>3.5</formula>
    </cfRule>
    <cfRule type="cellIs" dxfId="5911" priority="14895" stopIfTrue="1" operator="greaterThanOrEqual">
      <formula>7.5</formula>
    </cfRule>
    <cfRule type="cellIs" dxfId="5910" priority="14896" stopIfTrue="1" operator="between">
      <formula>3.51</formula>
      <formula>7.49</formula>
    </cfRule>
  </conditionalFormatting>
  <conditionalFormatting sqref="AA4963">
    <cfRule type="cellIs" dxfId="5909" priority="14873" stopIfTrue="1" operator="lessThanOrEqual">
      <formula>3.5</formula>
    </cfRule>
    <cfRule type="cellIs" dxfId="5908" priority="14874" stopIfTrue="1" operator="greaterThanOrEqual">
      <formula>7.5</formula>
    </cfRule>
    <cfRule type="cellIs" dxfId="5907" priority="14875" stopIfTrue="1" operator="between">
      <formula>3.51</formula>
      <formula>7.49</formula>
    </cfRule>
  </conditionalFormatting>
  <conditionalFormatting sqref="AA5177">
    <cfRule type="cellIs" dxfId="5906" priority="14888" stopIfTrue="1" operator="lessThanOrEqual">
      <formula>3.5</formula>
    </cfRule>
    <cfRule type="cellIs" dxfId="5905" priority="14889" stopIfTrue="1" operator="greaterThanOrEqual">
      <formula>7.5</formula>
    </cfRule>
    <cfRule type="cellIs" dxfId="5904" priority="14890" stopIfTrue="1" operator="between">
      <formula>3.51</formula>
      <formula>7.49</formula>
    </cfRule>
  </conditionalFormatting>
  <conditionalFormatting sqref="AA5143">
    <cfRule type="cellIs" dxfId="5903" priority="14870" stopIfTrue="1" operator="lessThanOrEqual">
      <formula>3.5</formula>
    </cfRule>
    <cfRule type="cellIs" dxfId="5902" priority="14871" stopIfTrue="1" operator="greaterThanOrEqual">
      <formula>7.5</formula>
    </cfRule>
    <cfRule type="cellIs" dxfId="5901" priority="14872" stopIfTrue="1" operator="between">
      <formula>3.51</formula>
      <formula>7.49</formula>
    </cfRule>
  </conditionalFormatting>
  <conditionalFormatting sqref="AA5051">
    <cfRule type="cellIs" dxfId="5900" priority="14879" stopIfTrue="1" operator="lessThanOrEqual">
      <formula>3.5</formula>
    </cfRule>
    <cfRule type="cellIs" dxfId="5899" priority="14880" stopIfTrue="1" operator="greaterThanOrEqual">
      <formula>7.5</formula>
    </cfRule>
    <cfRule type="cellIs" dxfId="5898" priority="14881" stopIfTrue="1" operator="between">
      <formula>3.51</formula>
      <formula>7.49</formula>
    </cfRule>
  </conditionalFormatting>
  <conditionalFormatting sqref="AA5035">
    <cfRule type="cellIs" dxfId="5897" priority="14876" stopIfTrue="1" operator="lessThanOrEqual">
      <formula>3.5</formula>
    </cfRule>
    <cfRule type="cellIs" dxfId="5896" priority="14877" stopIfTrue="1" operator="greaterThanOrEqual">
      <formula>7.5</formula>
    </cfRule>
    <cfRule type="cellIs" dxfId="5895" priority="14878" stopIfTrue="1" operator="between">
      <formula>3.51</formula>
      <formula>7.49</formula>
    </cfRule>
  </conditionalFormatting>
  <conditionalFormatting sqref="AA4947">
    <cfRule type="cellIs" dxfId="5894" priority="14867" stopIfTrue="1" operator="lessThanOrEqual">
      <formula>3.5</formula>
    </cfRule>
    <cfRule type="cellIs" dxfId="5893" priority="14868" stopIfTrue="1" operator="greaterThanOrEqual">
      <formula>7.5</formula>
    </cfRule>
    <cfRule type="cellIs" dxfId="5892" priority="14869" stopIfTrue="1" operator="between">
      <formula>3.51</formula>
      <formula>7.49</formula>
    </cfRule>
  </conditionalFormatting>
  <conditionalFormatting sqref="AA5186">
    <cfRule type="cellIs" dxfId="5891" priority="14840" stopIfTrue="1" operator="lessThanOrEqual">
      <formula>3.5</formula>
    </cfRule>
    <cfRule type="cellIs" dxfId="5890" priority="14841" stopIfTrue="1" operator="greaterThanOrEqual">
      <formula>7.5</formula>
    </cfRule>
    <cfRule type="cellIs" dxfId="5889" priority="14842" stopIfTrue="1" operator="between">
      <formula>3.51</formula>
      <formula>7.49</formula>
    </cfRule>
  </conditionalFormatting>
  <conditionalFormatting sqref="AA5181">
    <cfRule type="cellIs" dxfId="5888" priority="14837" stopIfTrue="1" operator="lessThanOrEqual">
      <formula>3.5</formula>
    </cfRule>
    <cfRule type="cellIs" dxfId="5887" priority="14838" stopIfTrue="1" operator="greaterThanOrEqual">
      <formula>7.5</formula>
    </cfRule>
    <cfRule type="cellIs" dxfId="5886" priority="14839" stopIfTrue="1" operator="between">
      <formula>3.51</formula>
      <formula>7.49</formula>
    </cfRule>
  </conditionalFormatting>
  <conditionalFormatting sqref="AA5187">
    <cfRule type="cellIs" dxfId="5885" priority="14822" stopIfTrue="1" operator="lessThanOrEqual">
      <formula>3.5</formula>
    </cfRule>
    <cfRule type="cellIs" dxfId="5884" priority="14823" stopIfTrue="1" operator="greaterThanOrEqual">
      <formula>7.5</formula>
    </cfRule>
    <cfRule type="cellIs" dxfId="5883" priority="14824" stopIfTrue="1" operator="between">
      <formula>3.51</formula>
      <formula>7.49</formula>
    </cfRule>
  </conditionalFormatting>
  <conditionalFormatting sqref="AA5255">
    <cfRule type="cellIs" dxfId="5882" priority="14816" stopIfTrue="1" operator="lessThanOrEqual">
      <formula>3.5</formula>
    </cfRule>
    <cfRule type="cellIs" dxfId="5881" priority="14817" stopIfTrue="1" operator="greaterThanOrEqual">
      <formula>7.5</formula>
    </cfRule>
    <cfRule type="cellIs" dxfId="5880" priority="14818" stopIfTrue="1" operator="between">
      <formula>3.51</formula>
      <formula>7.49</formula>
    </cfRule>
  </conditionalFormatting>
  <conditionalFormatting sqref="AA5228">
    <cfRule type="cellIs" dxfId="5879" priority="14819" stopIfTrue="1" operator="lessThanOrEqual">
      <formula>3.5</formula>
    </cfRule>
    <cfRule type="cellIs" dxfId="5878" priority="14820" stopIfTrue="1" operator="greaterThanOrEqual">
      <formula>7.5</formula>
    </cfRule>
    <cfRule type="cellIs" dxfId="5877" priority="14821" stopIfTrue="1" operator="between">
      <formula>3.51</formula>
      <formula>7.49</formula>
    </cfRule>
  </conditionalFormatting>
  <conditionalFormatting sqref="AA5142">
    <cfRule type="cellIs" dxfId="5876" priority="14825" stopIfTrue="1" operator="lessThanOrEqual">
      <formula>3.5</formula>
    </cfRule>
    <cfRule type="cellIs" dxfId="5875" priority="14826" stopIfTrue="1" operator="greaterThanOrEqual">
      <formula>7.5</formula>
    </cfRule>
    <cfRule type="cellIs" dxfId="5874" priority="14827" stopIfTrue="1" operator="between">
      <formula>3.51</formula>
      <formula>7.49</formula>
    </cfRule>
  </conditionalFormatting>
  <conditionalFormatting sqref="AA5254">
    <cfRule type="cellIs" dxfId="5873" priority="14813" stopIfTrue="1" operator="lessThanOrEqual">
      <formula>3.5</formula>
    </cfRule>
    <cfRule type="cellIs" dxfId="5872" priority="14814" stopIfTrue="1" operator="greaterThanOrEqual">
      <formula>7.5</formula>
    </cfRule>
    <cfRule type="cellIs" dxfId="5871" priority="14815" stopIfTrue="1" operator="between">
      <formula>3.51</formula>
      <formula>7.49</formula>
    </cfRule>
  </conditionalFormatting>
  <conditionalFormatting sqref="AA5073">
    <cfRule type="cellIs" dxfId="5870" priority="14810" stopIfTrue="1" operator="lessThanOrEqual">
      <formula>3.5</formula>
    </cfRule>
    <cfRule type="cellIs" dxfId="5869" priority="14811" stopIfTrue="1" operator="greaterThanOrEqual">
      <formula>7.5</formula>
    </cfRule>
    <cfRule type="cellIs" dxfId="5868" priority="14812" stopIfTrue="1" operator="between">
      <formula>3.51</formula>
      <formula>7.49</formula>
    </cfRule>
  </conditionalFormatting>
  <conditionalFormatting sqref="AA5078">
    <cfRule type="cellIs" dxfId="5867" priority="14804" stopIfTrue="1" operator="lessThanOrEqual">
      <formula>3.5</formula>
    </cfRule>
    <cfRule type="cellIs" dxfId="5866" priority="14805" stopIfTrue="1" operator="greaterThanOrEqual">
      <formula>7.5</formula>
    </cfRule>
    <cfRule type="cellIs" dxfId="5865" priority="14806" stopIfTrue="1" operator="between">
      <formula>3.51</formula>
      <formula>7.49</formula>
    </cfRule>
  </conditionalFormatting>
  <conditionalFormatting sqref="AA2474">
    <cfRule type="cellIs" dxfId="5864" priority="14801" stopIfTrue="1" operator="lessThanOrEqual">
      <formula>3.5</formula>
    </cfRule>
    <cfRule type="cellIs" dxfId="5863" priority="14802" stopIfTrue="1" operator="greaterThanOrEqual">
      <formula>7.5</formula>
    </cfRule>
    <cfRule type="cellIs" dxfId="5862" priority="14803" stopIfTrue="1" operator="between">
      <formula>3.51</formula>
      <formula>7.49</formula>
    </cfRule>
  </conditionalFormatting>
  <conditionalFormatting sqref="AA3492">
    <cfRule type="cellIs" dxfId="5861" priority="14798" stopIfTrue="1" operator="lessThanOrEqual">
      <formula>3.5</formula>
    </cfRule>
    <cfRule type="cellIs" dxfId="5860" priority="14799" stopIfTrue="1" operator="greaterThanOrEqual">
      <formula>7.5</formula>
    </cfRule>
    <cfRule type="cellIs" dxfId="5859" priority="14800" stopIfTrue="1" operator="between">
      <formula>3.51</formula>
      <formula>7.49</formula>
    </cfRule>
  </conditionalFormatting>
  <conditionalFormatting sqref="AA5120">
    <cfRule type="cellIs" dxfId="5858" priority="14807" stopIfTrue="1" operator="lessThanOrEqual">
      <formula>3.5</formula>
    </cfRule>
    <cfRule type="cellIs" dxfId="5857" priority="14808" stopIfTrue="1" operator="greaterThanOrEqual">
      <formula>7.5</formula>
    </cfRule>
    <cfRule type="cellIs" dxfId="5856" priority="14809" stopIfTrue="1" operator="between">
      <formula>3.51</formula>
      <formula>7.49</formula>
    </cfRule>
  </conditionalFormatting>
  <conditionalFormatting sqref="AA3992">
    <cfRule type="cellIs" dxfId="5855" priority="14795" stopIfTrue="1" operator="lessThanOrEqual">
      <formula>3.5</formula>
    </cfRule>
    <cfRule type="cellIs" dxfId="5854" priority="14796" stopIfTrue="1" operator="greaterThanOrEqual">
      <formula>7.5</formula>
    </cfRule>
    <cfRule type="cellIs" dxfId="5853" priority="14797" stopIfTrue="1" operator="between">
      <formula>3.51</formula>
      <formula>7.49</formula>
    </cfRule>
  </conditionalFormatting>
  <conditionalFormatting sqref="AA4412">
    <cfRule type="cellIs" dxfId="5852" priority="14792" stopIfTrue="1" operator="lessThanOrEqual">
      <formula>3.5</formula>
    </cfRule>
    <cfRule type="cellIs" dxfId="5851" priority="14793" stopIfTrue="1" operator="greaterThanOrEqual">
      <formula>7.5</formula>
    </cfRule>
    <cfRule type="cellIs" dxfId="5850" priority="14794" stopIfTrue="1" operator="between">
      <formula>3.51</formula>
      <formula>7.49</formula>
    </cfRule>
  </conditionalFormatting>
  <conditionalFormatting sqref="AA5072">
    <cfRule type="cellIs" dxfId="5849" priority="14786" stopIfTrue="1" operator="lessThanOrEqual">
      <formula>3.5</formula>
    </cfRule>
    <cfRule type="cellIs" dxfId="5848" priority="14787" stopIfTrue="1" operator="greaterThanOrEqual">
      <formula>7.5</formula>
    </cfRule>
    <cfRule type="cellIs" dxfId="5847" priority="14788" stopIfTrue="1" operator="between">
      <formula>3.51</formula>
      <formula>7.49</formula>
    </cfRule>
  </conditionalFormatting>
  <conditionalFormatting sqref="AA5137">
    <cfRule type="cellIs" dxfId="5846" priority="14783" stopIfTrue="1" operator="lessThanOrEqual">
      <formula>3.5</formula>
    </cfRule>
    <cfRule type="cellIs" dxfId="5845" priority="14784" stopIfTrue="1" operator="greaterThanOrEqual">
      <formula>7.5</formula>
    </cfRule>
    <cfRule type="cellIs" dxfId="5844" priority="14785" stopIfTrue="1" operator="between">
      <formula>3.51</formula>
      <formula>7.49</formula>
    </cfRule>
  </conditionalFormatting>
  <conditionalFormatting sqref="AA4104">
    <cfRule type="cellIs" dxfId="5843" priority="14780" stopIfTrue="1" operator="lessThanOrEqual">
      <formula>3.5</formula>
    </cfRule>
    <cfRule type="cellIs" dxfId="5842" priority="14781" stopIfTrue="1" operator="greaterThanOrEqual">
      <formula>7.5</formula>
    </cfRule>
    <cfRule type="cellIs" dxfId="5841" priority="14782" stopIfTrue="1" operator="between">
      <formula>3.51</formula>
      <formula>7.49</formula>
    </cfRule>
  </conditionalFormatting>
  <conditionalFormatting sqref="AA3550">
    <cfRule type="cellIs" dxfId="5840" priority="14777" stopIfTrue="1" operator="lessThanOrEqual">
      <formula>3.5</formula>
    </cfRule>
    <cfRule type="cellIs" dxfId="5839" priority="14778" stopIfTrue="1" operator="greaterThanOrEqual">
      <formula>7.5</formula>
    </cfRule>
    <cfRule type="cellIs" dxfId="5838" priority="14779" stopIfTrue="1" operator="between">
      <formula>3.51</formula>
      <formula>7.49</formula>
    </cfRule>
  </conditionalFormatting>
  <conditionalFormatting sqref="AA3379">
    <cfRule type="cellIs" dxfId="5837" priority="14774" stopIfTrue="1" operator="lessThanOrEqual">
      <formula>3.5</formula>
    </cfRule>
    <cfRule type="cellIs" dxfId="5836" priority="14775" stopIfTrue="1" operator="greaterThanOrEqual">
      <formula>7.5</formula>
    </cfRule>
    <cfRule type="cellIs" dxfId="5835" priority="14776" stopIfTrue="1" operator="between">
      <formula>3.51</formula>
      <formula>7.49</formula>
    </cfRule>
  </conditionalFormatting>
  <conditionalFormatting sqref="AA2523">
    <cfRule type="cellIs" dxfId="5834" priority="14771" stopIfTrue="1" operator="lessThanOrEqual">
      <formula>3.5</formula>
    </cfRule>
    <cfRule type="cellIs" dxfId="5833" priority="14772" stopIfTrue="1" operator="greaterThanOrEqual">
      <formula>7.5</formula>
    </cfRule>
    <cfRule type="cellIs" dxfId="5832" priority="14773" stopIfTrue="1" operator="between">
      <formula>3.51</formula>
      <formula>7.49</formula>
    </cfRule>
  </conditionalFormatting>
  <conditionalFormatting sqref="AA2029">
    <cfRule type="cellIs" dxfId="5831" priority="14768" stopIfTrue="1" operator="lessThanOrEqual">
      <formula>3.5</formula>
    </cfRule>
    <cfRule type="cellIs" dxfId="5830" priority="14769" stopIfTrue="1" operator="greaterThanOrEqual">
      <formula>7.5</formula>
    </cfRule>
    <cfRule type="cellIs" dxfId="5829" priority="14770" stopIfTrue="1" operator="between">
      <formula>3.51</formula>
      <formula>7.49</formula>
    </cfRule>
  </conditionalFormatting>
  <conditionalFormatting sqref="AA1149">
    <cfRule type="cellIs" dxfId="5828" priority="14765" stopIfTrue="1" operator="lessThanOrEqual">
      <formula>3.5</formula>
    </cfRule>
    <cfRule type="cellIs" dxfId="5827" priority="14766" stopIfTrue="1" operator="greaterThanOrEqual">
      <formula>7.5</formula>
    </cfRule>
    <cfRule type="cellIs" dxfId="5826" priority="14767" stopIfTrue="1" operator="between">
      <formula>3.51</formula>
      <formula>7.49</formula>
    </cfRule>
  </conditionalFormatting>
  <conditionalFormatting sqref="AA1420">
    <cfRule type="cellIs" dxfId="5825" priority="14762" stopIfTrue="1" operator="lessThanOrEqual">
      <formula>3.5</formula>
    </cfRule>
    <cfRule type="cellIs" dxfId="5824" priority="14763" stopIfTrue="1" operator="greaterThanOrEqual">
      <formula>7.5</formula>
    </cfRule>
    <cfRule type="cellIs" dxfId="5823" priority="14764" stopIfTrue="1" operator="between">
      <formula>3.51</formula>
      <formula>7.49</formula>
    </cfRule>
  </conditionalFormatting>
  <conditionalFormatting sqref="AA214">
    <cfRule type="cellIs" dxfId="5822" priority="14759" stopIfTrue="1" operator="lessThanOrEqual">
      <formula>3.5</formula>
    </cfRule>
    <cfRule type="cellIs" dxfId="5821" priority="14760" stopIfTrue="1" operator="greaterThanOrEqual">
      <formula>7.5</formula>
    </cfRule>
    <cfRule type="cellIs" dxfId="5820" priority="14761" stopIfTrue="1" operator="between">
      <formula>3.51</formula>
      <formula>7.49</formula>
    </cfRule>
  </conditionalFormatting>
  <conditionalFormatting sqref="AA5273">
    <cfRule type="cellIs" dxfId="5819" priority="14732" stopIfTrue="1" operator="lessThanOrEqual">
      <formula>3.5</formula>
    </cfRule>
    <cfRule type="cellIs" dxfId="5818" priority="14733" stopIfTrue="1" operator="greaterThanOrEqual">
      <formula>7.5</formula>
    </cfRule>
    <cfRule type="cellIs" dxfId="5817" priority="14734" stopIfTrue="1" operator="between">
      <formula>3.51</formula>
      <formula>7.49</formula>
    </cfRule>
  </conditionalFormatting>
  <conditionalFormatting sqref="AA1015">
    <cfRule type="cellIs" dxfId="5816" priority="14750" stopIfTrue="1" operator="lessThanOrEqual">
      <formula>3.5</formula>
    </cfRule>
    <cfRule type="cellIs" dxfId="5815" priority="14751" stopIfTrue="1" operator="greaterThanOrEqual">
      <formula>7.5</formula>
    </cfRule>
    <cfRule type="cellIs" dxfId="5814" priority="14752" stopIfTrue="1" operator="between">
      <formula>3.51</formula>
      <formula>7.49</formula>
    </cfRule>
  </conditionalFormatting>
  <conditionalFormatting sqref="AA3921">
    <cfRule type="cellIs" dxfId="5813" priority="14744" stopIfTrue="1" operator="lessThanOrEqual">
      <formula>3.5</formula>
    </cfRule>
    <cfRule type="cellIs" dxfId="5812" priority="14745" stopIfTrue="1" operator="greaterThanOrEqual">
      <formula>7.5</formula>
    </cfRule>
    <cfRule type="cellIs" dxfId="5811" priority="14746" stopIfTrue="1" operator="between">
      <formula>3.51</formula>
      <formula>7.49</formula>
    </cfRule>
  </conditionalFormatting>
  <conditionalFormatting sqref="AA840">
    <cfRule type="cellIs" dxfId="5810" priority="14741" stopIfTrue="1" operator="lessThanOrEqual">
      <formula>3.5</formula>
    </cfRule>
    <cfRule type="cellIs" dxfId="5809" priority="14742" stopIfTrue="1" operator="greaterThanOrEqual">
      <formula>7.5</formula>
    </cfRule>
    <cfRule type="cellIs" dxfId="5808" priority="14743" stopIfTrue="1" operator="between">
      <formula>3.51</formula>
      <formula>7.49</formula>
    </cfRule>
  </conditionalFormatting>
  <conditionalFormatting sqref="AA5259">
    <cfRule type="cellIs" dxfId="5807" priority="14735" stopIfTrue="1" operator="lessThanOrEqual">
      <formula>3.5</formula>
    </cfRule>
    <cfRule type="cellIs" dxfId="5806" priority="14736" stopIfTrue="1" operator="greaterThanOrEqual">
      <formula>7.5</formula>
    </cfRule>
    <cfRule type="cellIs" dxfId="5805" priority="14737" stopIfTrue="1" operator="between">
      <formula>3.51</formula>
      <formula>7.49</formula>
    </cfRule>
  </conditionalFormatting>
  <conditionalFormatting sqref="AA5233">
    <cfRule type="cellIs" dxfId="5804" priority="14726" stopIfTrue="1" operator="lessThanOrEqual">
      <formula>3.5</formula>
    </cfRule>
    <cfRule type="cellIs" dxfId="5803" priority="14727" stopIfTrue="1" operator="greaterThanOrEqual">
      <formula>7.5</formula>
    </cfRule>
    <cfRule type="cellIs" dxfId="5802" priority="14728" stopIfTrue="1" operator="between">
      <formula>3.51</formula>
      <formula>7.49</formula>
    </cfRule>
  </conditionalFormatting>
  <conditionalFormatting sqref="AA316">
    <cfRule type="cellIs" dxfId="5801" priority="14723" stopIfTrue="1" operator="lessThanOrEqual">
      <formula>3.5</formula>
    </cfRule>
    <cfRule type="cellIs" dxfId="5800" priority="14724" stopIfTrue="1" operator="greaterThanOrEqual">
      <formula>7.5</formula>
    </cfRule>
    <cfRule type="cellIs" dxfId="5799" priority="14725" stopIfTrue="1" operator="between">
      <formula>3.51</formula>
      <formula>7.49</formula>
    </cfRule>
  </conditionalFormatting>
  <conditionalFormatting sqref="AA5270">
    <cfRule type="cellIs" dxfId="5798" priority="14729" stopIfTrue="1" operator="lessThanOrEqual">
      <formula>3.5</formula>
    </cfRule>
    <cfRule type="cellIs" dxfId="5797" priority="14730" stopIfTrue="1" operator="greaterThanOrEqual">
      <formula>7.5</formula>
    </cfRule>
    <cfRule type="cellIs" dxfId="5796" priority="14731" stopIfTrue="1" operator="between">
      <formula>3.51</formula>
      <formula>7.49</formula>
    </cfRule>
  </conditionalFormatting>
  <conditionalFormatting sqref="AA373">
    <cfRule type="cellIs" dxfId="5795" priority="14720" stopIfTrue="1" operator="lessThanOrEqual">
      <formula>3.5</formula>
    </cfRule>
    <cfRule type="cellIs" dxfId="5794" priority="14721" stopIfTrue="1" operator="greaterThanOrEqual">
      <formula>7.5</formula>
    </cfRule>
    <cfRule type="cellIs" dxfId="5793" priority="14722" stopIfTrue="1" operator="between">
      <formula>3.51</formula>
      <formula>7.49</formula>
    </cfRule>
  </conditionalFormatting>
  <conditionalFormatting sqref="AA566">
    <cfRule type="cellIs" dxfId="5792" priority="14717" stopIfTrue="1" operator="lessThanOrEqual">
      <formula>3.5</formula>
    </cfRule>
    <cfRule type="cellIs" dxfId="5791" priority="14718" stopIfTrue="1" operator="greaterThanOrEqual">
      <formula>7.5</formula>
    </cfRule>
    <cfRule type="cellIs" dxfId="5790" priority="14719" stopIfTrue="1" operator="between">
      <formula>3.51</formula>
      <formula>7.49</formula>
    </cfRule>
  </conditionalFormatting>
  <conditionalFormatting sqref="AA858">
    <cfRule type="cellIs" dxfId="5789" priority="14714" stopIfTrue="1" operator="lessThanOrEqual">
      <formula>3.5</formula>
    </cfRule>
    <cfRule type="cellIs" dxfId="5788" priority="14715" stopIfTrue="1" operator="greaterThanOrEqual">
      <formula>7.5</formula>
    </cfRule>
    <cfRule type="cellIs" dxfId="5787" priority="14716" stopIfTrue="1" operator="between">
      <formula>3.51</formula>
      <formula>7.49</formula>
    </cfRule>
  </conditionalFormatting>
  <conditionalFormatting sqref="AA4858">
    <cfRule type="cellIs" dxfId="5786" priority="14708" stopIfTrue="1" operator="lessThanOrEqual">
      <formula>3.5</formula>
    </cfRule>
    <cfRule type="cellIs" dxfId="5785" priority="14709" stopIfTrue="1" operator="greaterThanOrEqual">
      <formula>7.5</formula>
    </cfRule>
    <cfRule type="cellIs" dxfId="5784" priority="14710" stopIfTrue="1" operator="between">
      <formula>3.51</formula>
      <formula>7.49</formula>
    </cfRule>
  </conditionalFormatting>
  <conditionalFormatting sqref="AA4836">
    <cfRule type="cellIs" dxfId="5783" priority="14705" stopIfTrue="1" operator="lessThanOrEqual">
      <formula>3.5</formula>
    </cfRule>
    <cfRule type="cellIs" dxfId="5782" priority="14706" stopIfTrue="1" operator="greaterThanOrEqual">
      <formula>7.5</formula>
    </cfRule>
    <cfRule type="cellIs" dxfId="5781" priority="14707" stopIfTrue="1" operator="between">
      <formula>3.51</formula>
      <formula>7.49</formula>
    </cfRule>
  </conditionalFormatting>
  <conditionalFormatting sqref="AA4809">
    <cfRule type="cellIs" dxfId="5780" priority="14702" stopIfTrue="1" operator="lessThanOrEqual">
      <formula>3.5</formula>
    </cfRule>
    <cfRule type="cellIs" dxfId="5779" priority="14703" stopIfTrue="1" operator="greaterThanOrEqual">
      <formula>7.5</formula>
    </cfRule>
    <cfRule type="cellIs" dxfId="5778" priority="14704" stopIfTrue="1" operator="between">
      <formula>3.51</formula>
      <formula>7.49</formula>
    </cfRule>
  </conditionalFormatting>
  <conditionalFormatting sqref="AA4704">
    <cfRule type="cellIs" dxfId="5777" priority="14699" stopIfTrue="1" operator="lessThanOrEqual">
      <formula>3.5</formula>
    </cfRule>
    <cfRule type="cellIs" dxfId="5776" priority="14700" stopIfTrue="1" operator="greaterThanOrEqual">
      <formula>7.5</formula>
    </cfRule>
    <cfRule type="cellIs" dxfId="5775" priority="14701" stopIfTrue="1" operator="between">
      <formula>3.51</formula>
      <formula>7.49</formula>
    </cfRule>
  </conditionalFormatting>
  <conditionalFormatting sqref="AA4657">
    <cfRule type="cellIs" dxfId="5774" priority="14696" stopIfTrue="1" operator="lessThanOrEqual">
      <formula>3.5</formula>
    </cfRule>
    <cfRule type="cellIs" dxfId="5773" priority="14697" stopIfTrue="1" operator="greaterThanOrEqual">
      <formula>7.5</formula>
    </cfRule>
    <cfRule type="cellIs" dxfId="5772" priority="14698" stopIfTrue="1" operator="between">
      <formula>3.51</formula>
      <formula>7.49</formula>
    </cfRule>
  </conditionalFormatting>
  <conditionalFormatting sqref="AA3873:AA3874">
    <cfRule type="cellIs" dxfId="5771" priority="14693" stopIfTrue="1" operator="lessThanOrEqual">
      <formula>3.5</formula>
    </cfRule>
    <cfRule type="cellIs" dxfId="5770" priority="14694" stopIfTrue="1" operator="greaterThanOrEqual">
      <formula>7.5</formula>
    </cfRule>
    <cfRule type="cellIs" dxfId="5769" priority="14695" stopIfTrue="1" operator="between">
      <formula>3.51</formula>
      <formula>7.49</formula>
    </cfRule>
  </conditionalFormatting>
  <conditionalFormatting sqref="AA1627">
    <cfRule type="cellIs" dxfId="5768" priority="14690" stopIfTrue="1" operator="lessThanOrEqual">
      <formula>3.5</formula>
    </cfRule>
    <cfRule type="cellIs" dxfId="5767" priority="14691" stopIfTrue="1" operator="greaterThanOrEqual">
      <formula>7.5</formula>
    </cfRule>
    <cfRule type="cellIs" dxfId="5766" priority="14692" stopIfTrue="1" operator="between">
      <formula>3.51</formula>
      <formula>7.49</formula>
    </cfRule>
  </conditionalFormatting>
  <conditionalFormatting sqref="AA1342">
    <cfRule type="cellIs" dxfId="5765" priority="14687" stopIfTrue="1" operator="lessThanOrEqual">
      <formula>3.5</formula>
    </cfRule>
    <cfRule type="cellIs" dxfId="5764" priority="14688" stopIfTrue="1" operator="greaterThanOrEqual">
      <formula>7.5</formula>
    </cfRule>
    <cfRule type="cellIs" dxfId="5763" priority="14689" stopIfTrue="1" operator="between">
      <formula>3.51</formula>
      <formula>7.49</formula>
    </cfRule>
  </conditionalFormatting>
  <conditionalFormatting sqref="AA2082">
    <cfRule type="cellIs" dxfId="5762" priority="14684" stopIfTrue="1" operator="lessThanOrEqual">
      <formula>3.5</formula>
    </cfRule>
    <cfRule type="cellIs" dxfId="5761" priority="14685" stopIfTrue="1" operator="greaterThanOrEqual">
      <formula>7.5</formula>
    </cfRule>
    <cfRule type="cellIs" dxfId="5760" priority="14686" stopIfTrue="1" operator="between">
      <formula>3.51</formula>
      <formula>7.49</formula>
    </cfRule>
  </conditionalFormatting>
  <conditionalFormatting sqref="AA2689">
    <cfRule type="cellIs" dxfId="5759" priority="14681" stopIfTrue="1" operator="lessThanOrEqual">
      <formula>3.5</formula>
    </cfRule>
    <cfRule type="cellIs" dxfId="5758" priority="14682" stopIfTrue="1" operator="greaterThanOrEqual">
      <formula>7.5</formula>
    </cfRule>
    <cfRule type="cellIs" dxfId="5757" priority="14683" stopIfTrue="1" operator="between">
      <formula>3.51</formula>
      <formula>7.49</formula>
    </cfRule>
  </conditionalFormatting>
  <conditionalFormatting sqref="AA3464">
    <cfRule type="cellIs" dxfId="5756" priority="14678" stopIfTrue="1" operator="lessThanOrEqual">
      <formula>3.5</formula>
    </cfRule>
    <cfRule type="cellIs" dxfId="5755" priority="14679" stopIfTrue="1" operator="greaterThanOrEqual">
      <formula>7.5</formula>
    </cfRule>
    <cfRule type="cellIs" dxfId="5754" priority="14680" stopIfTrue="1" operator="between">
      <formula>3.51</formula>
      <formula>7.49</formula>
    </cfRule>
  </conditionalFormatting>
  <conditionalFormatting sqref="AA2604">
    <cfRule type="cellIs" dxfId="5753" priority="14675" stopIfTrue="1" operator="lessThanOrEqual">
      <formula>3.5</formula>
    </cfRule>
    <cfRule type="cellIs" dxfId="5752" priority="14676" stopIfTrue="1" operator="greaterThanOrEqual">
      <formula>7.5</formula>
    </cfRule>
    <cfRule type="cellIs" dxfId="5751" priority="14677" stopIfTrue="1" operator="between">
      <formula>3.51</formula>
      <formula>7.49</formula>
    </cfRule>
  </conditionalFormatting>
  <conditionalFormatting sqref="AA2603">
    <cfRule type="cellIs" dxfId="5750" priority="14672" stopIfTrue="1" operator="lessThanOrEqual">
      <formula>3.5</formula>
    </cfRule>
    <cfRule type="cellIs" dxfId="5749" priority="14673" stopIfTrue="1" operator="greaterThanOrEqual">
      <formula>7.5</formula>
    </cfRule>
    <cfRule type="cellIs" dxfId="5748" priority="14674" stopIfTrue="1" operator="between">
      <formula>3.51</formula>
      <formula>7.49</formula>
    </cfRule>
  </conditionalFormatting>
  <conditionalFormatting sqref="AA2602">
    <cfRule type="cellIs" dxfId="5747" priority="14669" stopIfTrue="1" operator="lessThanOrEqual">
      <formula>3.5</formula>
    </cfRule>
    <cfRule type="cellIs" dxfId="5746" priority="14670" stopIfTrue="1" operator="greaterThanOrEqual">
      <formula>7.5</formula>
    </cfRule>
    <cfRule type="cellIs" dxfId="5745" priority="14671" stopIfTrue="1" operator="between">
      <formula>3.51</formula>
      <formula>7.49</formula>
    </cfRule>
  </conditionalFormatting>
  <conditionalFormatting sqref="AA1303">
    <cfRule type="cellIs" dxfId="5744" priority="14666" stopIfTrue="1" operator="lessThanOrEqual">
      <formula>3.5</formula>
    </cfRule>
    <cfRule type="cellIs" dxfId="5743" priority="14667" stopIfTrue="1" operator="greaterThanOrEqual">
      <formula>7.5</formula>
    </cfRule>
    <cfRule type="cellIs" dxfId="5742" priority="14668" stopIfTrue="1" operator="between">
      <formula>3.51</formula>
      <formula>7.49</formula>
    </cfRule>
  </conditionalFormatting>
  <conditionalFormatting sqref="AA1301">
    <cfRule type="cellIs" dxfId="5741" priority="14663" stopIfTrue="1" operator="lessThanOrEqual">
      <formula>3.5</formula>
    </cfRule>
    <cfRule type="cellIs" dxfId="5740" priority="14664" stopIfTrue="1" operator="greaterThanOrEqual">
      <formula>7.5</formula>
    </cfRule>
    <cfRule type="cellIs" dxfId="5739" priority="14665" stopIfTrue="1" operator="between">
      <formula>3.51</formula>
      <formula>7.49</formula>
    </cfRule>
  </conditionalFormatting>
  <conditionalFormatting sqref="AA1287">
    <cfRule type="cellIs" dxfId="5738" priority="14660" stopIfTrue="1" operator="lessThanOrEqual">
      <formula>3.5</formula>
    </cfRule>
    <cfRule type="cellIs" dxfId="5737" priority="14661" stopIfTrue="1" operator="greaterThanOrEqual">
      <formula>7.5</formula>
    </cfRule>
    <cfRule type="cellIs" dxfId="5736" priority="14662" stopIfTrue="1" operator="between">
      <formula>3.51</formula>
      <formula>7.49</formula>
    </cfRule>
  </conditionalFormatting>
  <conditionalFormatting sqref="AA1328">
    <cfRule type="cellIs" dxfId="5735" priority="14657" stopIfTrue="1" operator="lessThanOrEqual">
      <formula>3.5</formula>
    </cfRule>
    <cfRule type="cellIs" dxfId="5734" priority="14658" stopIfTrue="1" operator="greaterThanOrEqual">
      <formula>7.5</formula>
    </cfRule>
    <cfRule type="cellIs" dxfId="5733" priority="14659" stopIfTrue="1" operator="between">
      <formula>3.51</formula>
      <formula>7.49</formula>
    </cfRule>
  </conditionalFormatting>
  <conditionalFormatting sqref="AA1332">
    <cfRule type="cellIs" dxfId="5732" priority="14654" stopIfTrue="1" operator="lessThanOrEqual">
      <formula>3.5</formula>
    </cfRule>
    <cfRule type="cellIs" dxfId="5731" priority="14655" stopIfTrue="1" operator="greaterThanOrEqual">
      <formula>7.5</formula>
    </cfRule>
    <cfRule type="cellIs" dxfId="5730" priority="14656" stopIfTrue="1" operator="between">
      <formula>3.51</formula>
      <formula>7.49</formula>
    </cfRule>
  </conditionalFormatting>
  <conditionalFormatting sqref="AA2250">
    <cfRule type="cellIs" dxfId="5729" priority="14651" stopIfTrue="1" operator="lessThanOrEqual">
      <formula>3.5</formula>
    </cfRule>
    <cfRule type="cellIs" dxfId="5728" priority="14652" stopIfTrue="1" operator="greaterThanOrEqual">
      <formula>7.5</formula>
    </cfRule>
    <cfRule type="cellIs" dxfId="5727" priority="14653" stopIfTrue="1" operator="between">
      <formula>3.51</formula>
      <formula>7.49</formula>
    </cfRule>
  </conditionalFormatting>
  <conditionalFormatting sqref="AA2457">
    <cfRule type="cellIs" dxfId="5726" priority="14648" stopIfTrue="1" operator="lessThanOrEqual">
      <formula>3.5</formula>
    </cfRule>
    <cfRule type="cellIs" dxfId="5725" priority="14649" stopIfTrue="1" operator="greaterThanOrEqual">
      <formula>7.5</formula>
    </cfRule>
    <cfRule type="cellIs" dxfId="5724" priority="14650" stopIfTrue="1" operator="between">
      <formula>3.51</formula>
      <formula>7.49</formula>
    </cfRule>
  </conditionalFormatting>
  <conditionalFormatting sqref="AA1978">
    <cfRule type="cellIs" dxfId="5723" priority="14645" stopIfTrue="1" operator="lessThanOrEqual">
      <formula>3.5</formula>
    </cfRule>
    <cfRule type="cellIs" dxfId="5722" priority="14646" stopIfTrue="1" operator="greaterThanOrEqual">
      <formula>7.5</formula>
    </cfRule>
    <cfRule type="cellIs" dxfId="5721" priority="14647" stopIfTrue="1" operator="between">
      <formula>3.51</formula>
      <formula>7.49</formula>
    </cfRule>
  </conditionalFormatting>
  <conditionalFormatting sqref="AA2056">
    <cfRule type="cellIs" dxfId="5720" priority="14642" stopIfTrue="1" operator="lessThanOrEqual">
      <formula>3.5</formula>
    </cfRule>
    <cfRule type="cellIs" dxfId="5719" priority="14643" stopIfTrue="1" operator="greaterThanOrEqual">
      <formula>7.5</formula>
    </cfRule>
    <cfRule type="cellIs" dxfId="5718" priority="14644" stopIfTrue="1" operator="between">
      <formula>3.51</formula>
      <formula>7.49</formula>
    </cfRule>
  </conditionalFormatting>
  <conditionalFormatting sqref="AA2461:AA2463 AA2419">
    <cfRule type="cellIs" dxfId="5717" priority="14639" stopIfTrue="1" operator="lessThanOrEqual">
      <formula>3.5</formula>
    </cfRule>
    <cfRule type="cellIs" dxfId="5716" priority="14640" stopIfTrue="1" operator="greaterThanOrEqual">
      <formula>7.5</formula>
    </cfRule>
    <cfRule type="cellIs" dxfId="5715" priority="14641" stopIfTrue="1" operator="between">
      <formula>3.51</formula>
      <formula>7.49</formula>
    </cfRule>
  </conditionalFormatting>
  <conditionalFormatting sqref="AA2458:AA2459">
    <cfRule type="cellIs" dxfId="5714" priority="14636" stopIfTrue="1" operator="lessThanOrEqual">
      <formula>3.5</formula>
    </cfRule>
    <cfRule type="cellIs" dxfId="5713" priority="14637" stopIfTrue="1" operator="greaterThanOrEqual">
      <formula>7.5</formula>
    </cfRule>
    <cfRule type="cellIs" dxfId="5712" priority="14638" stopIfTrue="1" operator="between">
      <formula>3.51</formula>
      <formula>7.49</formula>
    </cfRule>
  </conditionalFormatting>
  <conditionalFormatting sqref="AA155">
    <cfRule type="cellIs" dxfId="5711" priority="14633" stopIfTrue="1" operator="lessThanOrEqual">
      <formula>3.5</formula>
    </cfRule>
    <cfRule type="cellIs" dxfId="5710" priority="14634" stopIfTrue="1" operator="greaterThanOrEqual">
      <formula>7.5</formula>
    </cfRule>
    <cfRule type="cellIs" dxfId="5709" priority="14635" stopIfTrue="1" operator="between">
      <formula>3.51</formula>
      <formula>7.49</formula>
    </cfRule>
  </conditionalFormatting>
  <conditionalFormatting sqref="AA239:AA240 AA245:AA247">
    <cfRule type="cellIs" dxfId="5708" priority="14630" stopIfTrue="1" operator="lessThanOrEqual">
      <formula>3.5</formula>
    </cfRule>
    <cfRule type="cellIs" dxfId="5707" priority="14631" stopIfTrue="1" operator="greaterThanOrEqual">
      <formula>7.5</formula>
    </cfRule>
    <cfRule type="cellIs" dxfId="5706" priority="14632" stopIfTrue="1" operator="between">
      <formula>3.51</formula>
      <formula>7.49</formula>
    </cfRule>
  </conditionalFormatting>
  <conditionalFormatting sqref="AA43">
    <cfRule type="cellIs" dxfId="5705" priority="14611" stopIfTrue="1" operator="lessThanOrEqual">
      <formula>3.5</formula>
    </cfRule>
    <cfRule type="cellIs" dxfId="5704" priority="14612" stopIfTrue="1" operator="greaterThanOrEqual">
      <formula>7.5</formula>
    </cfRule>
    <cfRule type="cellIs" dxfId="5703" priority="14613" stopIfTrue="1" operator="between">
      <formula>3.51</formula>
      <formula>7.49</formula>
    </cfRule>
  </conditionalFormatting>
  <conditionalFormatting sqref="AA606">
    <cfRule type="cellIs" dxfId="5702" priority="14605" stopIfTrue="1" operator="lessThanOrEqual">
      <formula>3.5</formula>
    </cfRule>
    <cfRule type="cellIs" dxfId="5701" priority="14606" stopIfTrue="1" operator="greaterThanOrEqual">
      <formula>7.5</formula>
    </cfRule>
    <cfRule type="cellIs" dxfId="5700" priority="14607" stopIfTrue="1" operator="between">
      <formula>3.51</formula>
      <formula>7.49</formula>
    </cfRule>
  </conditionalFormatting>
  <conditionalFormatting sqref="AA924">
    <cfRule type="cellIs" dxfId="5699" priority="14599" stopIfTrue="1" operator="lessThanOrEqual">
      <formula>3.5</formula>
    </cfRule>
    <cfRule type="cellIs" dxfId="5698" priority="14600" stopIfTrue="1" operator="greaterThanOrEqual">
      <formula>7.5</formula>
    </cfRule>
    <cfRule type="cellIs" dxfId="5697" priority="14601" stopIfTrue="1" operator="between">
      <formula>3.51</formula>
      <formula>7.49</formula>
    </cfRule>
  </conditionalFormatting>
  <conditionalFormatting sqref="AA1416">
    <cfRule type="cellIs" dxfId="5696" priority="14593" stopIfTrue="1" operator="lessThanOrEqual">
      <formula>3.5</formula>
    </cfRule>
    <cfRule type="cellIs" dxfId="5695" priority="14594" stopIfTrue="1" operator="greaterThanOrEqual">
      <formula>7.5</formula>
    </cfRule>
    <cfRule type="cellIs" dxfId="5694" priority="14595" stopIfTrue="1" operator="between">
      <formula>3.51</formula>
      <formula>7.49</formula>
    </cfRule>
  </conditionalFormatting>
  <conditionalFormatting sqref="AA1536">
    <cfRule type="cellIs" dxfId="5693" priority="14587" stopIfTrue="1" operator="lessThanOrEqual">
      <formula>3.5</formula>
    </cfRule>
    <cfRule type="cellIs" dxfId="5692" priority="14588" stopIfTrue="1" operator="greaterThanOrEqual">
      <formula>7.5</formula>
    </cfRule>
    <cfRule type="cellIs" dxfId="5691" priority="14589" stopIfTrue="1" operator="between">
      <formula>3.51</formula>
      <formula>7.49</formula>
    </cfRule>
  </conditionalFormatting>
  <conditionalFormatting sqref="AA1935">
    <cfRule type="cellIs" dxfId="5690" priority="14581" stopIfTrue="1" operator="lessThanOrEqual">
      <formula>3.5</formula>
    </cfRule>
    <cfRule type="cellIs" dxfId="5689" priority="14582" stopIfTrue="1" operator="greaterThanOrEqual">
      <formula>7.5</formula>
    </cfRule>
    <cfRule type="cellIs" dxfId="5688" priority="14583" stopIfTrue="1" operator="between">
      <formula>3.51</formula>
      <formula>7.49</formula>
    </cfRule>
  </conditionalFormatting>
  <conditionalFormatting sqref="AA2472">
    <cfRule type="cellIs" dxfId="5687" priority="14575" stopIfTrue="1" operator="lessThanOrEqual">
      <formula>3.5</formula>
    </cfRule>
    <cfRule type="cellIs" dxfId="5686" priority="14576" stopIfTrue="1" operator="greaterThanOrEqual">
      <formula>7.5</formula>
    </cfRule>
    <cfRule type="cellIs" dxfId="5685" priority="14577" stopIfTrue="1" operator="between">
      <formula>3.51</formula>
      <formula>7.49</formula>
    </cfRule>
  </conditionalFormatting>
  <conditionalFormatting sqref="AA3598">
    <cfRule type="cellIs" dxfId="5684" priority="14568" stopIfTrue="1" operator="lessThanOrEqual">
      <formula>3.5</formula>
    </cfRule>
    <cfRule type="cellIs" dxfId="5683" priority="14569" stopIfTrue="1" operator="greaterThanOrEqual">
      <formula>7.5</formula>
    </cfRule>
    <cfRule type="cellIs" dxfId="5682" priority="14570" stopIfTrue="1" operator="between">
      <formula>3.51</formula>
      <formula>7.49</formula>
    </cfRule>
  </conditionalFormatting>
  <conditionalFormatting sqref="AA4181">
    <cfRule type="cellIs" dxfId="5681" priority="14555" stopIfTrue="1" operator="lessThanOrEqual">
      <formula>3.5</formula>
    </cfRule>
    <cfRule type="cellIs" dxfId="5680" priority="14556" stopIfTrue="1" operator="greaterThanOrEqual">
      <formula>7.5</formula>
    </cfRule>
    <cfRule type="cellIs" dxfId="5679" priority="14557" stopIfTrue="1" operator="between">
      <formula>3.51</formula>
      <formula>7.49</formula>
    </cfRule>
  </conditionalFormatting>
  <conditionalFormatting sqref="AA4666">
    <cfRule type="cellIs" dxfId="5678" priority="14549" stopIfTrue="1" operator="lessThanOrEqual">
      <formula>3.5</formula>
    </cfRule>
    <cfRule type="cellIs" dxfId="5677" priority="14550" stopIfTrue="1" operator="greaterThanOrEqual">
      <formula>7.5</formula>
    </cfRule>
    <cfRule type="cellIs" dxfId="5676" priority="14551" stopIfTrue="1" operator="between">
      <formula>3.51</formula>
      <formula>7.49</formula>
    </cfRule>
  </conditionalFormatting>
  <conditionalFormatting sqref="AA156">
    <cfRule type="cellIs" dxfId="5675" priority="14536" stopIfTrue="1" operator="lessThanOrEqual">
      <formula>3.5</formula>
    </cfRule>
    <cfRule type="cellIs" dxfId="5674" priority="14537" stopIfTrue="1" operator="greaterThanOrEqual">
      <formula>7.5</formula>
    </cfRule>
    <cfRule type="cellIs" dxfId="5673" priority="14538" stopIfTrue="1" operator="between">
      <formula>3.51</formula>
      <formula>7.49</formula>
    </cfRule>
  </conditionalFormatting>
  <conditionalFormatting sqref="AA249">
    <cfRule type="cellIs" dxfId="5672" priority="14526" stopIfTrue="1" operator="lessThanOrEqual">
      <formula>3.5</formula>
    </cfRule>
    <cfRule type="cellIs" dxfId="5671" priority="14527" stopIfTrue="1" operator="greaterThanOrEqual">
      <formula>7.5</formula>
    </cfRule>
    <cfRule type="cellIs" dxfId="5670" priority="14528" stopIfTrue="1" operator="between">
      <formula>3.51</formula>
      <formula>7.49</formula>
    </cfRule>
  </conditionalFormatting>
  <conditionalFormatting sqref="AA466">
    <cfRule type="cellIs" dxfId="5669" priority="14520" stopIfTrue="1" operator="lessThanOrEqual">
      <formula>3.5</formula>
    </cfRule>
    <cfRule type="cellIs" dxfId="5668" priority="14521" stopIfTrue="1" operator="greaterThanOrEqual">
      <formula>7.5</formula>
    </cfRule>
    <cfRule type="cellIs" dxfId="5667" priority="14522" stopIfTrue="1" operator="between">
      <formula>3.51</formula>
      <formula>7.49</formula>
    </cfRule>
  </conditionalFormatting>
  <conditionalFormatting sqref="AA613">
    <cfRule type="cellIs" dxfId="5666" priority="14514" stopIfTrue="1" operator="lessThanOrEqual">
      <formula>3.5</formula>
    </cfRule>
    <cfRule type="cellIs" dxfId="5665" priority="14515" stopIfTrue="1" operator="greaterThanOrEqual">
      <formula>7.5</formula>
    </cfRule>
    <cfRule type="cellIs" dxfId="5664" priority="14516" stopIfTrue="1" operator="between">
      <formula>3.51</formula>
      <formula>7.49</formula>
    </cfRule>
  </conditionalFormatting>
  <conditionalFormatting sqref="AA210">
    <cfRule type="cellIs" dxfId="5663" priority="14507" stopIfTrue="1" operator="lessThanOrEqual">
      <formula>3.5</formula>
    </cfRule>
    <cfRule type="cellIs" dxfId="5662" priority="14508" stopIfTrue="1" operator="greaterThanOrEqual">
      <formula>7.5</formula>
    </cfRule>
    <cfRule type="cellIs" dxfId="5661" priority="14509" stopIfTrue="1" operator="between">
      <formula>3.51</formula>
      <formula>7.49</formula>
    </cfRule>
  </conditionalFormatting>
  <conditionalFormatting sqref="AA811">
    <cfRule type="cellIs" dxfId="5660" priority="14494" stopIfTrue="1" operator="lessThanOrEqual">
      <formula>3.5</formula>
    </cfRule>
    <cfRule type="cellIs" dxfId="5659" priority="14495" stopIfTrue="1" operator="greaterThanOrEqual">
      <formula>7.5</formula>
    </cfRule>
    <cfRule type="cellIs" dxfId="5658" priority="14496" stopIfTrue="1" operator="between">
      <formula>3.51</formula>
      <formula>7.49</formula>
    </cfRule>
  </conditionalFormatting>
  <conditionalFormatting sqref="AA1024">
    <cfRule type="cellIs" dxfId="5657" priority="14487" stopIfTrue="1" operator="lessThanOrEqual">
      <formula>3.5</formula>
    </cfRule>
    <cfRule type="cellIs" dxfId="5656" priority="14488" stopIfTrue="1" operator="greaterThanOrEqual">
      <formula>7.5</formula>
    </cfRule>
    <cfRule type="cellIs" dxfId="5655" priority="14489" stopIfTrue="1" operator="between">
      <formula>3.51</formula>
      <formula>7.49</formula>
    </cfRule>
  </conditionalFormatting>
  <conditionalFormatting sqref="AA63">
    <cfRule type="cellIs" dxfId="5654" priority="14470" stopIfTrue="1" operator="lessThanOrEqual">
      <formula>3.5</formula>
    </cfRule>
    <cfRule type="cellIs" dxfId="5653" priority="14471" stopIfTrue="1" operator="greaterThanOrEqual">
      <formula>7.5</formula>
    </cfRule>
    <cfRule type="cellIs" dxfId="5652" priority="14472" stopIfTrue="1" operator="between">
      <formula>3.51</formula>
      <formula>7.49</formula>
    </cfRule>
  </conditionalFormatting>
  <conditionalFormatting sqref="AA1796">
    <cfRule type="cellIs" dxfId="5651" priority="14457" stopIfTrue="1" operator="lessThanOrEqual">
      <formula>3.5</formula>
    </cfRule>
    <cfRule type="cellIs" dxfId="5650" priority="14458" stopIfTrue="1" operator="greaterThanOrEqual">
      <formula>7.5</formula>
    </cfRule>
    <cfRule type="cellIs" dxfId="5649" priority="14459" stopIfTrue="1" operator="between">
      <formula>3.51</formula>
      <formula>7.49</formula>
    </cfRule>
  </conditionalFormatting>
  <conditionalFormatting sqref="AA1583">
    <cfRule type="cellIs" dxfId="5648" priority="14452" stopIfTrue="1" operator="lessThanOrEqual">
      <formula>3.5</formula>
    </cfRule>
    <cfRule type="cellIs" dxfId="5647" priority="14453" stopIfTrue="1" operator="greaterThanOrEqual">
      <formula>7.5</formula>
    </cfRule>
    <cfRule type="cellIs" dxfId="5646" priority="14454" stopIfTrue="1" operator="between">
      <formula>3.51</formula>
      <formula>7.49</formula>
    </cfRule>
  </conditionalFormatting>
  <conditionalFormatting sqref="AA1794">
    <cfRule type="cellIs" dxfId="5645" priority="14447" stopIfTrue="1" operator="lessThanOrEqual">
      <formula>3.5</formula>
    </cfRule>
    <cfRule type="cellIs" dxfId="5644" priority="14448" stopIfTrue="1" operator="greaterThanOrEqual">
      <formula>7.5</formula>
    </cfRule>
    <cfRule type="cellIs" dxfId="5643" priority="14449" stopIfTrue="1" operator="between">
      <formula>3.51</formula>
      <formula>7.49</formula>
    </cfRule>
  </conditionalFormatting>
  <conditionalFormatting sqref="AA2827">
    <cfRule type="cellIs" dxfId="5642" priority="14437" stopIfTrue="1" operator="lessThanOrEqual">
      <formula>3.5</formula>
    </cfRule>
    <cfRule type="cellIs" dxfId="5641" priority="14438" stopIfTrue="1" operator="greaterThanOrEqual">
      <formula>7.5</formula>
    </cfRule>
    <cfRule type="cellIs" dxfId="5640" priority="14439" stopIfTrue="1" operator="between">
      <formula>3.51</formula>
      <formula>7.49</formula>
    </cfRule>
  </conditionalFormatting>
  <conditionalFormatting sqref="AA2811">
    <cfRule type="cellIs" dxfId="5639" priority="14432" stopIfTrue="1" operator="lessThanOrEqual">
      <formula>3.5</formula>
    </cfRule>
    <cfRule type="cellIs" dxfId="5638" priority="14433" stopIfTrue="1" operator="greaterThanOrEqual">
      <formula>7.5</formula>
    </cfRule>
    <cfRule type="cellIs" dxfId="5637" priority="14434" stopIfTrue="1" operator="between">
      <formula>3.51</formula>
      <formula>7.49</formula>
    </cfRule>
  </conditionalFormatting>
  <conditionalFormatting sqref="AA2826">
    <cfRule type="cellIs" dxfId="5636" priority="14427" stopIfTrue="1" operator="lessThanOrEqual">
      <formula>3.5</formula>
    </cfRule>
    <cfRule type="cellIs" dxfId="5635" priority="14428" stopIfTrue="1" operator="greaterThanOrEqual">
      <formula>7.5</formula>
    </cfRule>
    <cfRule type="cellIs" dxfId="5634" priority="14429" stopIfTrue="1" operator="between">
      <formula>3.51</formula>
      <formula>7.49</formula>
    </cfRule>
  </conditionalFormatting>
  <conditionalFormatting sqref="AA2235">
    <cfRule type="cellIs" dxfId="5633" priority="14419" stopIfTrue="1" operator="lessThanOrEqual">
      <formula>3.5</formula>
    </cfRule>
    <cfRule type="cellIs" dxfId="5632" priority="14420" stopIfTrue="1" operator="greaterThanOrEqual">
      <formula>7.5</formula>
    </cfRule>
    <cfRule type="cellIs" dxfId="5631" priority="14421" stopIfTrue="1" operator="between">
      <formula>3.51</formula>
      <formula>7.49</formula>
    </cfRule>
  </conditionalFormatting>
  <conditionalFormatting sqref="AA1739">
    <cfRule type="cellIs" dxfId="5630" priority="14411" stopIfTrue="1" operator="lessThanOrEqual">
      <formula>3.5</formula>
    </cfRule>
    <cfRule type="cellIs" dxfId="5629" priority="14412" stopIfTrue="1" operator="greaterThanOrEqual">
      <formula>7.5</formula>
    </cfRule>
    <cfRule type="cellIs" dxfId="5628" priority="14413" stopIfTrue="1" operator="between">
      <formula>3.51</formula>
      <formula>7.49</formula>
    </cfRule>
  </conditionalFormatting>
  <conditionalFormatting sqref="AA1740">
    <cfRule type="cellIs" dxfId="5627" priority="14408" stopIfTrue="1" operator="lessThanOrEqual">
      <formula>3.5</formula>
    </cfRule>
    <cfRule type="cellIs" dxfId="5626" priority="14409" stopIfTrue="1" operator="greaterThanOrEqual">
      <formula>7.5</formula>
    </cfRule>
    <cfRule type="cellIs" dxfId="5625" priority="14410" stopIfTrue="1" operator="between">
      <formula>3.51</formula>
      <formula>7.49</formula>
    </cfRule>
  </conditionalFormatting>
  <conditionalFormatting sqref="AA2468">
    <cfRule type="cellIs" dxfId="5624" priority="14403" stopIfTrue="1" operator="lessThanOrEqual">
      <formula>3.5</formula>
    </cfRule>
    <cfRule type="cellIs" dxfId="5623" priority="14404" stopIfTrue="1" operator="greaterThanOrEqual">
      <formula>7.5</formula>
    </cfRule>
    <cfRule type="cellIs" dxfId="5622" priority="14405" stopIfTrue="1" operator="between">
      <formula>3.51</formula>
      <formula>7.49</formula>
    </cfRule>
  </conditionalFormatting>
  <conditionalFormatting sqref="AA2139">
    <cfRule type="cellIs" dxfId="5621" priority="14398" stopIfTrue="1" operator="lessThanOrEqual">
      <formula>3.5</formula>
    </cfRule>
    <cfRule type="cellIs" dxfId="5620" priority="14399" stopIfTrue="1" operator="greaterThanOrEqual">
      <formula>7.5</formula>
    </cfRule>
    <cfRule type="cellIs" dxfId="5619" priority="14400" stopIfTrue="1" operator="between">
      <formula>3.51</formula>
      <formula>7.49</formula>
    </cfRule>
  </conditionalFormatting>
  <conditionalFormatting sqref="AA1834">
    <cfRule type="cellIs" dxfId="5618" priority="14393" stopIfTrue="1" operator="lessThanOrEqual">
      <formula>3.5</formula>
    </cfRule>
    <cfRule type="cellIs" dxfId="5617" priority="14394" stopIfTrue="1" operator="greaterThanOrEqual">
      <formula>7.5</formula>
    </cfRule>
    <cfRule type="cellIs" dxfId="5616" priority="14395" stopIfTrue="1" operator="between">
      <formula>3.51</formula>
      <formula>7.49</formula>
    </cfRule>
  </conditionalFormatting>
  <conditionalFormatting sqref="AA32">
    <cfRule type="cellIs" dxfId="5615" priority="14388" stopIfTrue="1" operator="lessThanOrEqual">
      <formula>3.5</formula>
    </cfRule>
    <cfRule type="cellIs" dxfId="5614" priority="14389" stopIfTrue="1" operator="greaterThanOrEqual">
      <formula>7.5</formula>
    </cfRule>
    <cfRule type="cellIs" dxfId="5613" priority="14390" stopIfTrue="1" operator="between">
      <formula>3.51</formula>
      <formula>7.49</formula>
    </cfRule>
  </conditionalFormatting>
  <conditionalFormatting sqref="AA235">
    <cfRule type="cellIs" dxfId="5612" priority="14382" stopIfTrue="1" operator="lessThanOrEqual">
      <formula>3.5</formula>
    </cfRule>
    <cfRule type="cellIs" dxfId="5611" priority="14383" stopIfTrue="1" operator="greaterThanOrEqual">
      <formula>7.5</formula>
    </cfRule>
    <cfRule type="cellIs" dxfId="5610" priority="14384" stopIfTrue="1" operator="between">
      <formula>3.51</formula>
      <formula>7.49</formula>
    </cfRule>
  </conditionalFormatting>
  <conditionalFormatting sqref="AA246">
    <cfRule type="cellIs" dxfId="5609" priority="14376" stopIfTrue="1" operator="lessThanOrEqual">
      <formula>3.5</formula>
    </cfRule>
    <cfRule type="cellIs" dxfId="5608" priority="14377" stopIfTrue="1" operator="greaterThanOrEqual">
      <formula>7.5</formula>
    </cfRule>
    <cfRule type="cellIs" dxfId="5607" priority="14378" stopIfTrue="1" operator="between">
      <formula>3.51</formula>
      <formula>7.49</formula>
    </cfRule>
  </conditionalFormatting>
  <conditionalFormatting sqref="AA664">
    <cfRule type="cellIs" dxfId="5606" priority="14370" stopIfTrue="1" operator="lessThanOrEqual">
      <formula>3.5</formula>
    </cfRule>
    <cfRule type="cellIs" dxfId="5605" priority="14371" stopIfTrue="1" operator="greaterThanOrEqual">
      <formula>7.5</formula>
    </cfRule>
    <cfRule type="cellIs" dxfId="5604" priority="14372" stopIfTrue="1" operator="between">
      <formula>3.51</formula>
      <formula>7.49</formula>
    </cfRule>
  </conditionalFormatting>
  <conditionalFormatting sqref="AA2465">
    <cfRule type="cellIs" dxfId="5603" priority="14364" stopIfTrue="1" operator="lessThanOrEqual">
      <formula>3.5</formula>
    </cfRule>
    <cfRule type="cellIs" dxfId="5602" priority="14365" stopIfTrue="1" operator="greaterThanOrEqual">
      <formula>7.5</formula>
    </cfRule>
    <cfRule type="cellIs" dxfId="5601" priority="14366" stopIfTrue="1" operator="between">
      <formula>3.51</formula>
      <formula>7.49</formula>
    </cfRule>
  </conditionalFormatting>
  <conditionalFormatting sqref="AA2464">
    <cfRule type="cellIs" dxfId="5600" priority="14359" stopIfTrue="1" operator="lessThanOrEqual">
      <formula>3.5</formula>
    </cfRule>
    <cfRule type="cellIs" dxfId="5599" priority="14360" stopIfTrue="1" operator="greaterThanOrEqual">
      <formula>7.5</formula>
    </cfRule>
    <cfRule type="cellIs" dxfId="5598" priority="14361" stopIfTrue="1" operator="between">
      <formula>3.51</formula>
      <formula>7.49</formula>
    </cfRule>
  </conditionalFormatting>
  <conditionalFormatting sqref="AA2467">
    <cfRule type="cellIs" dxfId="5597" priority="14354" stopIfTrue="1" operator="lessThanOrEqual">
      <formula>3.5</formula>
    </cfRule>
    <cfRule type="cellIs" dxfId="5596" priority="14355" stopIfTrue="1" operator="greaterThanOrEqual">
      <formula>7.5</formula>
    </cfRule>
    <cfRule type="cellIs" dxfId="5595" priority="14356" stopIfTrue="1" operator="between">
      <formula>3.51</formula>
      <formula>7.49</formula>
    </cfRule>
  </conditionalFormatting>
  <conditionalFormatting sqref="AA2466">
    <cfRule type="cellIs" dxfId="5594" priority="14349" stopIfTrue="1" operator="lessThanOrEqual">
      <formula>3.5</formula>
    </cfRule>
    <cfRule type="cellIs" dxfId="5593" priority="14350" stopIfTrue="1" operator="greaterThanOrEqual">
      <formula>7.5</formula>
    </cfRule>
    <cfRule type="cellIs" dxfId="5592" priority="14351" stopIfTrue="1" operator="between">
      <formula>3.51</formula>
      <formula>7.49</formula>
    </cfRule>
  </conditionalFormatting>
  <conditionalFormatting sqref="AA1697">
    <cfRule type="cellIs" dxfId="5591" priority="14337" stopIfTrue="1" operator="lessThanOrEqual">
      <formula>3.5</formula>
    </cfRule>
    <cfRule type="cellIs" dxfId="5590" priority="14338" stopIfTrue="1" operator="greaterThanOrEqual">
      <formula>7.5</formula>
    </cfRule>
    <cfRule type="cellIs" dxfId="5589" priority="14339" stopIfTrue="1" operator="between">
      <formula>3.51</formula>
      <formula>7.49</formula>
    </cfRule>
  </conditionalFormatting>
  <conditionalFormatting sqref="AA715">
    <cfRule type="cellIs" dxfId="5588" priority="14332" stopIfTrue="1" operator="lessThanOrEqual">
      <formula>3.5</formula>
    </cfRule>
    <cfRule type="cellIs" dxfId="5587" priority="14333" stopIfTrue="1" operator="greaterThanOrEqual">
      <formula>7.5</formula>
    </cfRule>
    <cfRule type="cellIs" dxfId="5586" priority="14334" stopIfTrue="1" operator="between">
      <formula>3.51</formula>
      <formula>7.49</formula>
    </cfRule>
  </conditionalFormatting>
  <conditionalFormatting sqref="AA925">
    <cfRule type="cellIs" dxfId="5585" priority="14327" stopIfTrue="1" operator="lessThanOrEqual">
      <formula>3.5</formula>
    </cfRule>
    <cfRule type="cellIs" dxfId="5584" priority="14328" stopIfTrue="1" operator="greaterThanOrEqual">
      <formula>7.5</formula>
    </cfRule>
    <cfRule type="cellIs" dxfId="5583" priority="14329" stopIfTrue="1" operator="between">
      <formula>3.51</formula>
      <formula>7.49</formula>
    </cfRule>
  </conditionalFormatting>
  <conditionalFormatting sqref="AA1997">
    <cfRule type="cellIs" dxfId="5582" priority="14322" stopIfTrue="1" operator="lessThanOrEqual">
      <formula>3.5</formula>
    </cfRule>
    <cfRule type="cellIs" dxfId="5581" priority="14323" stopIfTrue="1" operator="greaterThanOrEqual">
      <formula>7.5</formula>
    </cfRule>
    <cfRule type="cellIs" dxfId="5580" priority="14324" stopIfTrue="1" operator="between">
      <formula>3.51</formula>
      <formula>7.49</formula>
    </cfRule>
  </conditionalFormatting>
  <conditionalFormatting sqref="AA2013">
    <cfRule type="cellIs" dxfId="5579" priority="14317" stopIfTrue="1" operator="lessThanOrEqual">
      <formula>3.5</formula>
    </cfRule>
    <cfRule type="cellIs" dxfId="5578" priority="14318" stopIfTrue="1" operator="greaterThanOrEqual">
      <formula>7.5</formula>
    </cfRule>
    <cfRule type="cellIs" dxfId="5577" priority="14319" stopIfTrue="1" operator="between">
      <formula>3.51</formula>
      <formula>7.49</formula>
    </cfRule>
  </conditionalFormatting>
  <conditionalFormatting sqref="AA4916">
    <cfRule type="cellIs" dxfId="5576" priority="14312" stopIfTrue="1" operator="lessThanOrEqual">
      <formula>3.5</formula>
    </cfRule>
    <cfRule type="cellIs" dxfId="5575" priority="14313" stopIfTrue="1" operator="greaterThanOrEqual">
      <formula>7.5</formula>
    </cfRule>
    <cfRule type="cellIs" dxfId="5574" priority="14314" stopIfTrue="1" operator="between">
      <formula>3.51</formula>
      <formula>7.49</formula>
    </cfRule>
  </conditionalFormatting>
  <conditionalFormatting sqref="AA5211">
    <cfRule type="cellIs" dxfId="5573" priority="14306" stopIfTrue="1" operator="lessThanOrEqual">
      <formula>3.5</formula>
    </cfRule>
    <cfRule type="cellIs" dxfId="5572" priority="14307" stopIfTrue="1" operator="greaterThanOrEqual">
      <formula>7.5</formula>
    </cfRule>
    <cfRule type="cellIs" dxfId="5571" priority="14308" stopIfTrue="1" operator="between">
      <formula>3.51</formula>
      <formula>7.49</formula>
    </cfRule>
  </conditionalFormatting>
  <conditionalFormatting sqref="AA5214">
    <cfRule type="cellIs" dxfId="5570" priority="14301" stopIfTrue="1" operator="lessThanOrEqual">
      <formula>3.5</formula>
    </cfRule>
    <cfRule type="cellIs" dxfId="5569" priority="14302" stopIfTrue="1" operator="greaterThanOrEqual">
      <formula>7.5</formula>
    </cfRule>
    <cfRule type="cellIs" dxfId="5568" priority="14303" stopIfTrue="1" operator="between">
      <formula>3.51</formula>
      <formula>7.49</formula>
    </cfRule>
  </conditionalFormatting>
  <conditionalFormatting sqref="AA5223">
    <cfRule type="cellIs" dxfId="5567" priority="14296" stopIfTrue="1" operator="lessThanOrEqual">
      <formula>3.5</formula>
    </cfRule>
    <cfRule type="cellIs" dxfId="5566" priority="14297" stopIfTrue="1" operator="greaterThanOrEqual">
      <formula>7.5</formula>
    </cfRule>
    <cfRule type="cellIs" dxfId="5565" priority="14298" stopIfTrue="1" operator="between">
      <formula>3.51</formula>
      <formula>7.49</formula>
    </cfRule>
  </conditionalFormatting>
  <conditionalFormatting sqref="AA5213">
    <cfRule type="cellIs" dxfId="5564" priority="14291" stopIfTrue="1" operator="lessThanOrEqual">
      <formula>3.5</formula>
    </cfRule>
    <cfRule type="cellIs" dxfId="5563" priority="14292" stopIfTrue="1" operator="greaterThanOrEqual">
      <formula>7.5</formula>
    </cfRule>
    <cfRule type="cellIs" dxfId="5562" priority="14293" stopIfTrue="1" operator="between">
      <formula>3.51</formula>
      <formula>7.49</formula>
    </cfRule>
  </conditionalFormatting>
  <conditionalFormatting sqref="AA5206">
    <cfRule type="cellIs" dxfId="5561" priority="14286" stopIfTrue="1" operator="lessThanOrEqual">
      <formula>3.5</formula>
    </cfRule>
    <cfRule type="cellIs" dxfId="5560" priority="14287" stopIfTrue="1" operator="greaterThanOrEqual">
      <formula>7.5</formula>
    </cfRule>
    <cfRule type="cellIs" dxfId="5559" priority="14288" stopIfTrue="1" operator="between">
      <formula>3.51</formula>
      <formula>7.49</formula>
    </cfRule>
  </conditionalFormatting>
  <conditionalFormatting sqref="AA5208">
    <cfRule type="cellIs" dxfId="5558" priority="14281" stopIfTrue="1" operator="lessThanOrEqual">
      <formula>3.5</formula>
    </cfRule>
    <cfRule type="cellIs" dxfId="5557" priority="14282" stopIfTrue="1" operator="greaterThanOrEqual">
      <formula>7.5</formula>
    </cfRule>
    <cfRule type="cellIs" dxfId="5556" priority="14283" stopIfTrue="1" operator="between">
      <formula>3.51</formula>
      <formula>7.49</formula>
    </cfRule>
  </conditionalFormatting>
  <conditionalFormatting sqref="AA5179">
    <cfRule type="cellIs" dxfId="5555" priority="14276" stopIfTrue="1" operator="lessThanOrEqual">
      <formula>3.5</formula>
    </cfRule>
    <cfRule type="cellIs" dxfId="5554" priority="14277" stopIfTrue="1" operator="greaterThanOrEqual">
      <formula>7.5</formula>
    </cfRule>
    <cfRule type="cellIs" dxfId="5553" priority="14278" stopIfTrue="1" operator="between">
      <formula>3.51</formula>
      <formula>7.49</formula>
    </cfRule>
  </conditionalFormatting>
  <conditionalFormatting sqref="AA5207">
    <cfRule type="cellIs" dxfId="5552" priority="14271" stopIfTrue="1" operator="lessThanOrEqual">
      <formula>3.5</formula>
    </cfRule>
    <cfRule type="cellIs" dxfId="5551" priority="14272" stopIfTrue="1" operator="greaterThanOrEqual">
      <formula>7.5</formula>
    </cfRule>
    <cfRule type="cellIs" dxfId="5550" priority="14273" stopIfTrue="1" operator="between">
      <formula>3.51</formula>
      <formula>7.49</formula>
    </cfRule>
  </conditionalFormatting>
  <conditionalFormatting sqref="AA5188">
    <cfRule type="cellIs" dxfId="5549" priority="14266" stopIfTrue="1" operator="lessThanOrEqual">
      <formula>3.5</formula>
    </cfRule>
    <cfRule type="cellIs" dxfId="5548" priority="14267" stopIfTrue="1" operator="greaterThanOrEqual">
      <formula>7.5</formula>
    </cfRule>
    <cfRule type="cellIs" dxfId="5547" priority="14268" stopIfTrue="1" operator="between">
      <formula>3.51</formula>
      <formula>7.49</formula>
    </cfRule>
  </conditionalFormatting>
  <conditionalFormatting sqref="AA5205">
    <cfRule type="cellIs" dxfId="5546" priority="14261" stopIfTrue="1" operator="lessThanOrEqual">
      <formula>3.5</formula>
    </cfRule>
    <cfRule type="cellIs" dxfId="5545" priority="14262" stopIfTrue="1" operator="greaterThanOrEqual">
      <formula>7.5</formula>
    </cfRule>
    <cfRule type="cellIs" dxfId="5544" priority="14263" stopIfTrue="1" operator="between">
      <formula>3.51</formula>
      <formula>7.49</formula>
    </cfRule>
  </conditionalFormatting>
  <conditionalFormatting sqref="AA5190">
    <cfRule type="cellIs" dxfId="5543" priority="14256" stopIfTrue="1" operator="lessThanOrEqual">
      <formula>3.5</formula>
    </cfRule>
    <cfRule type="cellIs" dxfId="5542" priority="14257" stopIfTrue="1" operator="greaterThanOrEqual">
      <formula>7.5</formula>
    </cfRule>
    <cfRule type="cellIs" dxfId="5541" priority="14258" stopIfTrue="1" operator="between">
      <formula>3.51</formula>
      <formula>7.49</formula>
    </cfRule>
  </conditionalFormatting>
  <conditionalFormatting sqref="AA5189">
    <cfRule type="cellIs" dxfId="5540" priority="14251" stopIfTrue="1" operator="lessThanOrEqual">
      <formula>3.5</formula>
    </cfRule>
    <cfRule type="cellIs" dxfId="5539" priority="14252" stopIfTrue="1" operator="greaterThanOrEqual">
      <formula>7.5</formula>
    </cfRule>
    <cfRule type="cellIs" dxfId="5538" priority="14253" stopIfTrue="1" operator="between">
      <formula>3.51</formula>
      <formula>7.49</formula>
    </cfRule>
  </conditionalFormatting>
  <conditionalFormatting sqref="AA5219">
    <cfRule type="cellIs" dxfId="5537" priority="14246" stopIfTrue="1" operator="lessThanOrEqual">
      <formula>3.5</formula>
    </cfRule>
    <cfRule type="cellIs" dxfId="5536" priority="14247" stopIfTrue="1" operator="greaterThanOrEqual">
      <formula>7.5</formula>
    </cfRule>
    <cfRule type="cellIs" dxfId="5535" priority="14248" stopIfTrue="1" operator="between">
      <formula>3.51</formula>
      <formula>7.49</formula>
    </cfRule>
  </conditionalFormatting>
  <conditionalFormatting sqref="AA5217">
    <cfRule type="cellIs" dxfId="5534" priority="14241" stopIfTrue="1" operator="lessThanOrEqual">
      <formula>3.5</formula>
    </cfRule>
    <cfRule type="cellIs" dxfId="5533" priority="14242" stopIfTrue="1" operator="greaterThanOrEqual">
      <formula>7.5</formula>
    </cfRule>
    <cfRule type="cellIs" dxfId="5532" priority="14243" stopIfTrue="1" operator="between">
      <formula>3.51</formula>
      <formula>7.49</formula>
    </cfRule>
  </conditionalFormatting>
  <conditionalFormatting sqref="AA5216">
    <cfRule type="cellIs" dxfId="5531" priority="14236" stopIfTrue="1" operator="lessThanOrEqual">
      <formula>3.5</formula>
    </cfRule>
    <cfRule type="cellIs" dxfId="5530" priority="14237" stopIfTrue="1" operator="greaterThanOrEqual">
      <formula>7.5</formula>
    </cfRule>
    <cfRule type="cellIs" dxfId="5529" priority="14238" stopIfTrue="1" operator="between">
      <formula>3.51</formula>
      <formula>7.49</formula>
    </cfRule>
  </conditionalFormatting>
  <conditionalFormatting sqref="AA5215">
    <cfRule type="cellIs" dxfId="5528" priority="14231" stopIfTrue="1" operator="lessThanOrEqual">
      <formula>3.5</formula>
    </cfRule>
    <cfRule type="cellIs" dxfId="5527" priority="14232" stopIfTrue="1" operator="greaterThanOrEqual">
      <formula>7.5</formula>
    </cfRule>
    <cfRule type="cellIs" dxfId="5526" priority="14233" stopIfTrue="1" operator="between">
      <formula>3.51</formula>
      <formula>7.49</formula>
    </cfRule>
  </conditionalFormatting>
  <conditionalFormatting sqref="AA5251">
    <cfRule type="cellIs" dxfId="5525" priority="14226" stopIfTrue="1" operator="lessThanOrEqual">
      <formula>3.5</formula>
    </cfRule>
    <cfRule type="cellIs" dxfId="5524" priority="14227" stopIfTrue="1" operator="greaterThanOrEqual">
      <formula>7.5</formula>
    </cfRule>
    <cfRule type="cellIs" dxfId="5523" priority="14228" stopIfTrue="1" operator="between">
      <formula>3.51</formula>
      <formula>7.49</formula>
    </cfRule>
  </conditionalFormatting>
  <conditionalFormatting sqref="AA5210">
    <cfRule type="cellIs" dxfId="5522" priority="14221" stopIfTrue="1" operator="lessThanOrEqual">
      <formula>3.5</formula>
    </cfRule>
    <cfRule type="cellIs" dxfId="5521" priority="14222" stopIfTrue="1" operator="greaterThanOrEqual">
      <formula>7.5</formula>
    </cfRule>
    <cfRule type="cellIs" dxfId="5520" priority="14223" stopIfTrue="1" operator="between">
      <formula>3.51</formula>
      <formula>7.49</formula>
    </cfRule>
  </conditionalFormatting>
  <conditionalFormatting sqref="AA5127">
    <cfRule type="cellIs" dxfId="5519" priority="14216" stopIfTrue="1" operator="lessThanOrEqual">
      <formula>3.5</formula>
    </cfRule>
    <cfRule type="cellIs" dxfId="5518" priority="14217" stopIfTrue="1" operator="greaterThanOrEqual">
      <formula>7.5</formula>
    </cfRule>
    <cfRule type="cellIs" dxfId="5517" priority="14218" stopIfTrue="1" operator="between">
      <formula>3.51</formula>
      <formula>7.49</formula>
    </cfRule>
  </conditionalFormatting>
  <conditionalFormatting sqref="AA3710">
    <cfRule type="cellIs" dxfId="5516" priority="14211" stopIfTrue="1" operator="lessThanOrEqual">
      <formula>3.5</formula>
    </cfRule>
    <cfRule type="cellIs" dxfId="5515" priority="14212" stopIfTrue="1" operator="greaterThanOrEqual">
      <formula>7.5</formula>
    </cfRule>
    <cfRule type="cellIs" dxfId="5514" priority="14213" stopIfTrue="1" operator="between">
      <formula>3.51</formula>
      <formula>7.49</formula>
    </cfRule>
  </conditionalFormatting>
  <conditionalFormatting sqref="AA3708">
    <cfRule type="cellIs" dxfId="5513" priority="14206" stopIfTrue="1" operator="lessThanOrEqual">
      <formula>3.5</formula>
    </cfRule>
    <cfRule type="cellIs" dxfId="5512" priority="14207" stopIfTrue="1" operator="greaterThanOrEqual">
      <formula>7.5</formula>
    </cfRule>
    <cfRule type="cellIs" dxfId="5511" priority="14208" stopIfTrue="1" operator="between">
      <formula>3.51</formula>
      <formula>7.49</formula>
    </cfRule>
  </conditionalFormatting>
  <conditionalFormatting sqref="AA3709">
    <cfRule type="cellIs" dxfId="5510" priority="14201" stopIfTrue="1" operator="lessThanOrEqual">
      <formula>3.5</formula>
    </cfRule>
    <cfRule type="cellIs" dxfId="5509" priority="14202" stopIfTrue="1" operator="greaterThanOrEqual">
      <formula>7.5</formula>
    </cfRule>
    <cfRule type="cellIs" dxfId="5508" priority="14203" stopIfTrue="1" operator="between">
      <formula>3.51</formula>
      <formula>7.49</formula>
    </cfRule>
  </conditionalFormatting>
  <conditionalFormatting sqref="AA3711">
    <cfRule type="cellIs" dxfId="5507" priority="14196" stopIfTrue="1" operator="lessThanOrEqual">
      <formula>3.5</formula>
    </cfRule>
    <cfRule type="cellIs" dxfId="5506" priority="14197" stopIfTrue="1" operator="greaterThanOrEqual">
      <formula>7.5</formula>
    </cfRule>
    <cfRule type="cellIs" dxfId="5505" priority="14198" stopIfTrue="1" operator="between">
      <formula>3.51</formula>
      <formula>7.49</formula>
    </cfRule>
  </conditionalFormatting>
  <conditionalFormatting sqref="AA3714">
    <cfRule type="cellIs" dxfId="5504" priority="14191" stopIfTrue="1" operator="lessThanOrEqual">
      <formula>3.5</formula>
    </cfRule>
    <cfRule type="cellIs" dxfId="5503" priority="14192" stopIfTrue="1" operator="greaterThanOrEqual">
      <formula>7.5</formula>
    </cfRule>
    <cfRule type="cellIs" dxfId="5502" priority="14193" stopIfTrue="1" operator="between">
      <formula>3.51</formula>
      <formula>7.49</formula>
    </cfRule>
  </conditionalFormatting>
  <conditionalFormatting sqref="AA3712">
    <cfRule type="cellIs" dxfId="5501" priority="14186" stopIfTrue="1" operator="lessThanOrEqual">
      <formula>3.5</formula>
    </cfRule>
    <cfRule type="cellIs" dxfId="5500" priority="14187" stopIfTrue="1" operator="greaterThanOrEqual">
      <formula>7.5</formula>
    </cfRule>
    <cfRule type="cellIs" dxfId="5499" priority="14188" stopIfTrue="1" operator="between">
      <formula>3.51</formula>
      <formula>7.49</formula>
    </cfRule>
  </conditionalFormatting>
  <conditionalFormatting sqref="AA3713">
    <cfRule type="cellIs" dxfId="5498" priority="14181" stopIfTrue="1" operator="lessThanOrEqual">
      <formula>3.5</formula>
    </cfRule>
    <cfRule type="cellIs" dxfId="5497" priority="14182" stopIfTrue="1" operator="greaterThanOrEqual">
      <formula>7.5</formula>
    </cfRule>
    <cfRule type="cellIs" dxfId="5496" priority="14183" stopIfTrue="1" operator="between">
      <formula>3.51</formula>
      <formula>7.49</formula>
    </cfRule>
  </conditionalFormatting>
  <conditionalFormatting sqref="AA3878">
    <cfRule type="cellIs" dxfId="5495" priority="14176" stopIfTrue="1" operator="lessThanOrEqual">
      <formula>3.5</formula>
    </cfRule>
    <cfRule type="cellIs" dxfId="5494" priority="14177" stopIfTrue="1" operator="greaterThanOrEqual">
      <formula>7.5</formula>
    </cfRule>
    <cfRule type="cellIs" dxfId="5493" priority="14178" stopIfTrue="1" operator="between">
      <formula>3.51</formula>
      <formula>7.49</formula>
    </cfRule>
  </conditionalFormatting>
  <conditionalFormatting sqref="AA3877">
    <cfRule type="cellIs" dxfId="5492" priority="14171" stopIfTrue="1" operator="lessThanOrEqual">
      <formula>3.5</formula>
    </cfRule>
    <cfRule type="cellIs" dxfId="5491" priority="14172" stopIfTrue="1" operator="greaterThanOrEqual">
      <formula>7.5</formula>
    </cfRule>
    <cfRule type="cellIs" dxfId="5490" priority="14173" stopIfTrue="1" operator="between">
      <formula>3.51</formula>
      <formula>7.49</formula>
    </cfRule>
  </conditionalFormatting>
  <conditionalFormatting sqref="AA3876">
    <cfRule type="cellIs" dxfId="5489" priority="14166" stopIfTrue="1" operator="lessThanOrEqual">
      <formula>3.5</formula>
    </cfRule>
    <cfRule type="cellIs" dxfId="5488" priority="14167" stopIfTrue="1" operator="greaterThanOrEqual">
      <formula>7.5</formula>
    </cfRule>
    <cfRule type="cellIs" dxfId="5487" priority="14168" stopIfTrue="1" operator="between">
      <formula>3.51</formula>
      <formula>7.49</formula>
    </cfRule>
  </conditionalFormatting>
  <conditionalFormatting sqref="AA3875">
    <cfRule type="cellIs" dxfId="5486" priority="14161" stopIfTrue="1" operator="lessThanOrEqual">
      <formula>3.5</formula>
    </cfRule>
    <cfRule type="cellIs" dxfId="5485" priority="14162" stopIfTrue="1" operator="greaterThanOrEqual">
      <formula>7.5</formula>
    </cfRule>
    <cfRule type="cellIs" dxfId="5484" priority="14163" stopIfTrue="1" operator="between">
      <formula>3.51</formula>
      <formula>7.49</formula>
    </cfRule>
  </conditionalFormatting>
  <conditionalFormatting sqref="AA3879">
    <cfRule type="cellIs" dxfId="5483" priority="14156" stopIfTrue="1" operator="lessThanOrEqual">
      <formula>3.5</formula>
    </cfRule>
    <cfRule type="cellIs" dxfId="5482" priority="14157" stopIfTrue="1" operator="greaterThanOrEqual">
      <formula>7.5</formula>
    </cfRule>
    <cfRule type="cellIs" dxfId="5481" priority="14158" stopIfTrue="1" operator="between">
      <formula>3.51</formula>
      <formula>7.49</formula>
    </cfRule>
  </conditionalFormatting>
  <conditionalFormatting sqref="AA3883">
    <cfRule type="cellIs" dxfId="5480" priority="14151" stopIfTrue="1" operator="lessThanOrEqual">
      <formula>3.5</formula>
    </cfRule>
    <cfRule type="cellIs" dxfId="5479" priority="14152" stopIfTrue="1" operator="greaterThanOrEqual">
      <formula>7.5</formula>
    </cfRule>
    <cfRule type="cellIs" dxfId="5478" priority="14153" stopIfTrue="1" operator="between">
      <formula>3.51</formula>
      <formula>7.49</formula>
    </cfRule>
  </conditionalFormatting>
  <conditionalFormatting sqref="AA3882">
    <cfRule type="cellIs" dxfId="5477" priority="14146" stopIfTrue="1" operator="lessThanOrEqual">
      <formula>3.5</formula>
    </cfRule>
    <cfRule type="cellIs" dxfId="5476" priority="14147" stopIfTrue="1" operator="greaterThanOrEqual">
      <formula>7.5</formula>
    </cfRule>
    <cfRule type="cellIs" dxfId="5475" priority="14148" stopIfTrue="1" operator="between">
      <formula>3.51</formula>
      <formula>7.49</formula>
    </cfRule>
  </conditionalFormatting>
  <conditionalFormatting sqref="AA3880">
    <cfRule type="cellIs" dxfId="5474" priority="14141" stopIfTrue="1" operator="lessThanOrEqual">
      <formula>3.5</formula>
    </cfRule>
    <cfRule type="cellIs" dxfId="5473" priority="14142" stopIfTrue="1" operator="greaterThanOrEqual">
      <formula>7.5</formula>
    </cfRule>
    <cfRule type="cellIs" dxfId="5472" priority="14143" stopIfTrue="1" operator="between">
      <formula>3.51</formula>
      <formula>7.49</formula>
    </cfRule>
  </conditionalFormatting>
  <conditionalFormatting sqref="AA805">
    <cfRule type="cellIs" dxfId="5471" priority="14130" stopIfTrue="1" operator="lessThanOrEqual">
      <formula>3.5</formula>
    </cfRule>
    <cfRule type="cellIs" dxfId="5470" priority="14131" stopIfTrue="1" operator="greaterThanOrEqual">
      <formula>7.5</formula>
    </cfRule>
    <cfRule type="cellIs" dxfId="5469" priority="14132" stopIfTrue="1" operator="between">
      <formula>3.51</formula>
      <formula>7.49</formula>
    </cfRule>
  </conditionalFormatting>
  <conditionalFormatting sqref="AA732">
    <cfRule type="cellIs" dxfId="5468" priority="14124" stopIfTrue="1" operator="lessThanOrEqual">
      <formula>3.5</formula>
    </cfRule>
    <cfRule type="cellIs" dxfId="5467" priority="14125" stopIfTrue="1" operator="greaterThanOrEqual">
      <formula>7.5</formula>
    </cfRule>
    <cfRule type="cellIs" dxfId="5466" priority="14126" stopIfTrue="1" operator="between">
      <formula>3.51</formula>
      <formula>7.49</formula>
    </cfRule>
  </conditionalFormatting>
  <conditionalFormatting sqref="AA2702">
    <cfRule type="cellIs" dxfId="5465" priority="14055" stopIfTrue="1" operator="lessThanOrEqual">
      <formula>3.5</formula>
    </cfRule>
    <cfRule type="cellIs" dxfId="5464" priority="14056" stopIfTrue="1" operator="greaterThanOrEqual">
      <formula>7.5</formula>
    </cfRule>
    <cfRule type="cellIs" dxfId="5463" priority="14057" stopIfTrue="1" operator="between">
      <formula>3.51</formula>
      <formula>7.49</formula>
    </cfRule>
  </conditionalFormatting>
  <conditionalFormatting sqref="AA1500 AA1502">
    <cfRule type="cellIs" dxfId="5462" priority="14050" stopIfTrue="1" operator="lessThanOrEqual">
      <formula>3.5</formula>
    </cfRule>
    <cfRule type="cellIs" dxfId="5461" priority="14051" stopIfTrue="1" operator="greaterThanOrEqual">
      <formula>7.5</formula>
    </cfRule>
    <cfRule type="cellIs" dxfId="5460" priority="14052" stopIfTrue="1" operator="between">
      <formula>3.51</formula>
      <formula>7.49</formula>
    </cfRule>
  </conditionalFormatting>
  <conditionalFormatting sqref="AA1450">
    <cfRule type="cellIs" dxfId="5459" priority="14045" stopIfTrue="1" operator="lessThanOrEqual">
      <formula>3.5</formula>
    </cfRule>
    <cfRule type="cellIs" dxfId="5458" priority="14046" stopIfTrue="1" operator="greaterThanOrEqual">
      <formula>7.5</formula>
    </cfRule>
    <cfRule type="cellIs" dxfId="5457" priority="14047" stopIfTrue="1" operator="between">
      <formula>3.51</formula>
      <formula>7.49</formula>
    </cfRule>
  </conditionalFormatting>
  <conditionalFormatting sqref="AA1529">
    <cfRule type="cellIs" dxfId="5456" priority="14040" stopIfTrue="1" operator="lessThanOrEqual">
      <formula>3.5</formula>
    </cfRule>
    <cfRule type="cellIs" dxfId="5455" priority="14041" stopIfTrue="1" operator="greaterThanOrEqual">
      <formula>7.5</formula>
    </cfRule>
    <cfRule type="cellIs" dxfId="5454" priority="14042" stopIfTrue="1" operator="between">
      <formula>3.51</formula>
      <formula>7.49</formula>
    </cfRule>
  </conditionalFormatting>
  <conditionalFormatting sqref="AA3032">
    <cfRule type="cellIs" dxfId="5453" priority="14035" stopIfTrue="1" operator="lessThanOrEqual">
      <formula>3.5</formula>
    </cfRule>
    <cfRule type="cellIs" dxfId="5452" priority="14036" stopIfTrue="1" operator="greaterThanOrEqual">
      <formula>7.5</formula>
    </cfRule>
    <cfRule type="cellIs" dxfId="5451" priority="14037" stopIfTrue="1" operator="between">
      <formula>3.51</formula>
      <formula>7.49</formula>
    </cfRule>
  </conditionalFormatting>
  <conditionalFormatting sqref="AA2736">
    <cfRule type="cellIs" dxfId="5450" priority="14030" stopIfTrue="1" operator="lessThanOrEqual">
      <formula>3.5</formula>
    </cfRule>
    <cfRule type="cellIs" dxfId="5449" priority="14031" stopIfTrue="1" operator="greaterThanOrEqual">
      <formula>7.5</formula>
    </cfRule>
    <cfRule type="cellIs" dxfId="5448" priority="14032" stopIfTrue="1" operator="between">
      <formula>3.51</formula>
      <formula>7.49</formula>
    </cfRule>
  </conditionalFormatting>
  <conditionalFormatting sqref="AA2645">
    <cfRule type="cellIs" dxfId="5447" priority="14025" stopIfTrue="1" operator="lessThanOrEqual">
      <formula>3.5</formula>
    </cfRule>
    <cfRule type="cellIs" dxfId="5446" priority="14026" stopIfTrue="1" operator="greaterThanOrEqual">
      <formula>7.5</formula>
    </cfRule>
    <cfRule type="cellIs" dxfId="5445" priority="14027" stopIfTrue="1" operator="between">
      <formula>3.51</formula>
      <formula>7.49</formula>
    </cfRule>
  </conditionalFormatting>
  <conditionalFormatting sqref="AA2738">
    <cfRule type="cellIs" dxfId="5444" priority="14020" stopIfTrue="1" operator="lessThanOrEqual">
      <formula>3.5</formula>
    </cfRule>
    <cfRule type="cellIs" dxfId="5443" priority="14021" stopIfTrue="1" operator="greaterThanOrEqual">
      <formula>7.5</formula>
    </cfRule>
    <cfRule type="cellIs" dxfId="5442" priority="14022" stopIfTrue="1" operator="between">
      <formula>3.51</formula>
      <formula>7.49</formula>
    </cfRule>
  </conditionalFormatting>
  <conditionalFormatting sqref="AA2357">
    <cfRule type="cellIs" dxfId="5441" priority="14015" stopIfTrue="1" operator="lessThanOrEqual">
      <formula>3.5</formula>
    </cfRule>
    <cfRule type="cellIs" dxfId="5440" priority="14016" stopIfTrue="1" operator="greaterThanOrEqual">
      <formula>7.5</formula>
    </cfRule>
    <cfRule type="cellIs" dxfId="5439" priority="14017" stopIfTrue="1" operator="between">
      <formula>3.51</formula>
      <formula>7.49</formula>
    </cfRule>
  </conditionalFormatting>
  <conditionalFormatting sqref="AA2292:AA2293 AA2686 AA4710">
    <cfRule type="cellIs" dxfId="5438" priority="14010" stopIfTrue="1" operator="lessThanOrEqual">
      <formula>3.5</formula>
    </cfRule>
    <cfRule type="cellIs" dxfId="5437" priority="14011" stopIfTrue="1" operator="greaterThanOrEqual">
      <formula>7.5</formula>
    </cfRule>
    <cfRule type="cellIs" dxfId="5436" priority="14012" stopIfTrue="1" operator="between">
      <formula>3.51</formula>
      <formula>7.49</formula>
    </cfRule>
  </conditionalFormatting>
  <conditionalFormatting sqref="AA5361">
    <cfRule type="cellIs" dxfId="5435" priority="14005" stopIfTrue="1" operator="lessThanOrEqual">
      <formula>3.5</formula>
    </cfRule>
    <cfRule type="cellIs" dxfId="5434" priority="14006" stopIfTrue="1" operator="greaterThanOrEqual">
      <formula>7.5</formula>
    </cfRule>
    <cfRule type="cellIs" dxfId="5433" priority="14007" stopIfTrue="1" operator="between">
      <formula>3.51</formula>
      <formula>7.49</formula>
    </cfRule>
  </conditionalFormatting>
  <conditionalFormatting sqref="AA5364">
    <cfRule type="cellIs" dxfId="5432" priority="14000" stopIfTrue="1" operator="lessThanOrEqual">
      <formula>3.5</formula>
    </cfRule>
    <cfRule type="cellIs" dxfId="5431" priority="14001" stopIfTrue="1" operator="greaterThanOrEqual">
      <formula>7.5</formula>
    </cfRule>
    <cfRule type="cellIs" dxfId="5430" priority="14002" stopIfTrue="1" operator="between">
      <formula>3.51</formula>
      <formula>7.49</formula>
    </cfRule>
  </conditionalFormatting>
  <conditionalFormatting sqref="AA5278">
    <cfRule type="cellIs" dxfId="5429" priority="13995" stopIfTrue="1" operator="lessThanOrEqual">
      <formula>3.5</formula>
    </cfRule>
    <cfRule type="cellIs" dxfId="5428" priority="13996" stopIfTrue="1" operator="greaterThanOrEqual">
      <formula>7.5</formula>
    </cfRule>
    <cfRule type="cellIs" dxfId="5427" priority="13997" stopIfTrue="1" operator="between">
      <formula>3.51</formula>
      <formula>7.49</formula>
    </cfRule>
  </conditionalFormatting>
  <conditionalFormatting sqref="AA5301">
    <cfRule type="cellIs" dxfId="5426" priority="13990" stopIfTrue="1" operator="lessThanOrEqual">
      <formula>3.5</formula>
    </cfRule>
    <cfRule type="cellIs" dxfId="5425" priority="13991" stopIfTrue="1" operator="greaterThanOrEqual">
      <formula>7.5</formula>
    </cfRule>
    <cfRule type="cellIs" dxfId="5424" priority="13992" stopIfTrue="1" operator="between">
      <formula>3.51</formula>
      <formula>7.49</formula>
    </cfRule>
  </conditionalFormatting>
  <conditionalFormatting sqref="AA5285">
    <cfRule type="cellIs" dxfId="5423" priority="13985" stopIfTrue="1" operator="lessThanOrEqual">
      <formula>3.5</formula>
    </cfRule>
    <cfRule type="cellIs" dxfId="5422" priority="13986" stopIfTrue="1" operator="greaterThanOrEqual">
      <formula>7.5</formula>
    </cfRule>
    <cfRule type="cellIs" dxfId="5421" priority="13987" stopIfTrue="1" operator="between">
      <formula>3.51</formula>
      <formula>7.49</formula>
    </cfRule>
  </conditionalFormatting>
  <conditionalFormatting sqref="AA5360">
    <cfRule type="cellIs" dxfId="5420" priority="13980" stopIfTrue="1" operator="lessThanOrEqual">
      <formula>3.5</formula>
    </cfRule>
    <cfRule type="cellIs" dxfId="5419" priority="13981" stopIfTrue="1" operator="greaterThanOrEqual">
      <formula>7.5</formula>
    </cfRule>
    <cfRule type="cellIs" dxfId="5418" priority="13982" stopIfTrue="1" operator="between">
      <formula>3.51</formula>
      <formula>7.49</formula>
    </cfRule>
  </conditionalFormatting>
  <conditionalFormatting sqref="AA5355">
    <cfRule type="cellIs" dxfId="5417" priority="13970" stopIfTrue="1" operator="lessThanOrEqual">
      <formula>3.5</formula>
    </cfRule>
    <cfRule type="cellIs" dxfId="5416" priority="13971" stopIfTrue="1" operator="greaterThanOrEqual">
      <formula>7.5</formula>
    </cfRule>
    <cfRule type="cellIs" dxfId="5415" priority="13972" stopIfTrue="1" operator="between">
      <formula>3.51</formula>
      <formula>7.49</formula>
    </cfRule>
  </conditionalFormatting>
  <conditionalFormatting sqref="AA5257">
    <cfRule type="cellIs" dxfId="5414" priority="13967" stopIfTrue="1" operator="lessThanOrEqual">
      <formula>3.5</formula>
    </cfRule>
    <cfRule type="cellIs" dxfId="5413" priority="13968" stopIfTrue="1" operator="greaterThanOrEqual">
      <formula>7.5</formula>
    </cfRule>
    <cfRule type="cellIs" dxfId="5412" priority="13969" stopIfTrue="1" operator="between">
      <formula>3.51</formula>
      <formula>7.49</formula>
    </cfRule>
  </conditionalFormatting>
  <conditionalFormatting sqref="AA5357">
    <cfRule type="cellIs" dxfId="5411" priority="13958" stopIfTrue="1" operator="lessThanOrEqual">
      <formula>3.5</formula>
    </cfRule>
    <cfRule type="cellIs" dxfId="5410" priority="13959" stopIfTrue="1" operator="greaterThanOrEqual">
      <formula>7.5</formula>
    </cfRule>
    <cfRule type="cellIs" dxfId="5409" priority="13960" stopIfTrue="1" operator="between">
      <formula>3.51</formula>
      <formula>7.49</formula>
    </cfRule>
  </conditionalFormatting>
  <conditionalFormatting sqref="AA5287">
    <cfRule type="cellIs" dxfId="5408" priority="13951" stopIfTrue="1" operator="lessThanOrEqual">
      <formula>3.5</formula>
    </cfRule>
    <cfRule type="cellIs" dxfId="5407" priority="13952" stopIfTrue="1" operator="greaterThanOrEqual">
      <formula>7.5</formula>
    </cfRule>
    <cfRule type="cellIs" dxfId="5406" priority="13953" stopIfTrue="1" operator="between">
      <formula>3.51</formula>
      <formula>7.49</formula>
    </cfRule>
  </conditionalFormatting>
  <conditionalFormatting sqref="AA5312">
    <cfRule type="cellIs" dxfId="5405" priority="13944" stopIfTrue="1" operator="lessThanOrEqual">
      <formula>3.5</formula>
    </cfRule>
    <cfRule type="cellIs" dxfId="5404" priority="13945" stopIfTrue="1" operator="greaterThanOrEqual">
      <formula>7.5</formula>
    </cfRule>
    <cfRule type="cellIs" dxfId="5403" priority="13946" stopIfTrue="1" operator="between">
      <formula>3.51</formula>
      <formula>7.49</formula>
    </cfRule>
  </conditionalFormatting>
  <conditionalFormatting sqref="AA5272">
    <cfRule type="cellIs" dxfId="5402" priority="13937" stopIfTrue="1" operator="lessThanOrEqual">
      <formula>3.5</formula>
    </cfRule>
    <cfRule type="cellIs" dxfId="5401" priority="13938" stopIfTrue="1" operator="greaterThanOrEqual">
      <formula>7.5</formula>
    </cfRule>
    <cfRule type="cellIs" dxfId="5400" priority="13939" stopIfTrue="1" operator="between">
      <formula>3.51</formula>
      <formula>7.49</formula>
    </cfRule>
  </conditionalFormatting>
  <conditionalFormatting sqref="AA1618">
    <cfRule type="cellIs" dxfId="5399" priority="13930" stopIfTrue="1" operator="lessThanOrEqual">
      <formula>3.5</formula>
    </cfRule>
    <cfRule type="cellIs" dxfId="5398" priority="13931" stopIfTrue="1" operator="greaterThanOrEqual">
      <formula>7.5</formula>
    </cfRule>
    <cfRule type="cellIs" dxfId="5397" priority="13932" stopIfTrue="1" operator="between">
      <formula>3.51</formula>
      <formula>7.49</formula>
    </cfRule>
  </conditionalFormatting>
  <conditionalFormatting sqref="AA786">
    <cfRule type="cellIs" dxfId="5396" priority="13923" stopIfTrue="1" operator="lessThanOrEqual">
      <formula>3.5</formula>
    </cfRule>
    <cfRule type="cellIs" dxfId="5395" priority="13924" stopIfTrue="1" operator="greaterThanOrEqual">
      <formula>7.5</formula>
    </cfRule>
    <cfRule type="cellIs" dxfId="5394" priority="13925" stopIfTrue="1" operator="between">
      <formula>3.51</formula>
      <formula>7.49</formula>
    </cfRule>
  </conditionalFormatting>
  <conditionalFormatting sqref="AA1956">
    <cfRule type="cellIs" dxfId="5393" priority="13916" stopIfTrue="1" operator="lessThanOrEqual">
      <formula>3.5</formula>
    </cfRule>
    <cfRule type="cellIs" dxfId="5392" priority="13917" stopIfTrue="1" operator="greaterThanOrEqual">
      <formula>7.5</formula>
    </cfRule>
    <cfRule type="cellIs" dxfId="5391" priority="13918" stopIfTrue="1" operator="between">
      <formula>3.51</formula>
      <formula>7.49</formula>
    </cfRule>
  </conditionalFormatting>
  <conditionalFormatting sqref="AA2594">
    <cfRule type="cellIs" dxfId="5390" priority="13909" stopIfTrue="1" operator="lessThanOrEqual">
      <formula>3.5</formula>
    </cfRule>
    <cfRule type="cellIs" dxfId="5389" priority="13910" stopIfTrue="1" operator="greaterThanOrEqual">
      <formula>7.5</formula>
    </cfRule>
    <cfRule type="cellIs" dxfId="5388" priority="13911" stopIfTrue="1" operator="between">
      <formula>3.51</formula>
      <formula>7.49</formula>
    </cfRule>
  </conditionalFormatting>
  <conditionalFormatting sqref="AA3221">
    <cfRule type="cellIs" dxfId="5387" priority="13902" stopIfTrue="1" operator="lessThanOrEqual">
      <formula>3.5</formula>
    </cfRule>
    <cfRule type="cellIs" dxfId="5386" priority="13903" stopIfTrue="1" operator="greaterThanOrEqual">
      <formula>7.5</formula>
    </cfRule>
    <cfRule type="cellIs" dxfId="5385" priority="13904" stopIfTrue="1" operator="between">
      <formula>3.51</formula>
      <formula>7.49</formula>
    </cfRule>
  </conditionalFormatting>
  <conditionalFormatting sqref="AA4156">
    <cfRule type="cellIs" dxfId="5384" priority="13888" stopIfTrue="1" operator="lessThanOrEqual">
      <formula>3.5</formula>
    </cfRule>
    <cfRule type="cellIs" dxfId="5383" priority="13889" stopIfTrue="1" operator="greaterThanOrEqual">
      <formula>7.5</formula>
    </cfRule>
    <cfRule type="cellIs" dxfId="5382" priority="13890" stopIfTrue="1" operator="between">
      <formula>3.51</formula>
      <formula>7.49</formula>
    </cfRule>
  </conditionalFormatting>
  <conditionalFormatting sqref="AA923">
    <cfRule type="cellIs" dxfId="5381" priority="13874" stopIfTrue="1" operator="lessThanOrEqual">
      <formula>3.5</formula>
    </cfRule>
    <cfRule type="cellIs" dxfId="5380" priority="13875" stopIfTrue="1" operator="greaterThanOrEqual">
      <formula>7.5</formula>
    </cfRule>
    <cfRule type="cellIs" dxfId="5379" priority="13876" stopIfTrue="1" operator="between">
      <formula>3.51</formula>
      <formula>7.49</formula>
    </cfRule>
  </conditionalFormatting>
  <conditionalFormatting sqref="AA1239">
    <cfRule type="cellIs" dxfId="5378" priority="13867" stopIfTrue="1" operator="lessThanOrEqual">
      <formula>3.5</formula>
    </cfRule>
    <cfRule type="cellIs" dxfId="5377" priority="13868" stopIfTrue="1" operator="greaterThanOrEqual">
      <formula>7.5</formula>
    </cfRule>
    <cfRule type="cellIs" dxfId="5376" priority="13869" stopIfTrue="1" operator="between">
      <formula>3.51</formula>
      <formula>7.49</formula>
    </cfRule>
  </conditionalFormatting>
  <conditionalFormatting sqref="AA1413">
    <cfRule type="cellIs" dxfId="5375" priority="13859" stopIfTrue="1" operator="lessThanOrEqual">
      <formula>3.5</formula>
    </cfRule>
    <cfRule type="cellIs" dxfId="5374" priority="13860" stopIfTrue="1" operator="greaterThanOrEqual">
      <formula>7.5</formula>
    </cfRule>
    <cfRule type="cellIs" dxfId="5373" priority="13861" stopIfTrue="1" operator="between">
      <formula>3.51</formula>
      <formula>7.49</formula>
    </cfRule>
  </conditionalFormatting>
  <conditionalFormatting sqref="AA2210">
    <cfRule type="cellIs" dxfId="5372" priority="13851" stopIfTrue="1" operator="lessThanOrEqual">
      <formula>3.5</formula>
    </cfRule>
    <cfRule type="cellIs" dxfId="5371" priority="13852" stopIfTrue="1" operator="greaterThanOrEqual">
      <formula>7.5</formula>
    </cfRule>
    <cfRule type="cellIs" dxfId="5370" priority="13853" stopIfTrue="1" operator="between">
      <formula>3.51</formula>
      <formula>7.49</formula>
    </cfRule>
  </conditionalFormatting>
  <conditionalFormatting sqref="AA2118">
    <cfRule type="cellIs" dxfId="5369" priority="13843" stopIfTrue="1" operator="lessThanOrEqual">
      <formula>3.5</formula>
    </cfRule>
    <cfRule type="cellIs" dxfId="5368" priority="13844" stopIfTrue="1" operator="greaterThanOrEqual">
      <formula>7.5</formula>
    </cfRule>
    <cfRule type="cellIs" dxfId="5367" priority="13845" stopIfTrue="1" operator="between">
      <formula>3.51</formula>
      <formula>7.49</formula>
    </cfRule>
  </conditionalFormatting>
  <conditionalFormatting sqref="AA3956">
    <cfRule type="cellIs" dxfId="5366" priority="13835" stopIfTrue="1" operator="lessThanOrEqual">
      <formula>3.5</formula>
    </cfRule>
    <cfRule type="cellIs" dxfId="5365" priority="13836" stopIfTrue="1" operator="greaterThanOrEqual">
      <formula>7.5</formula>
    </cfRule>
    <cfRule type="cellIs" dxfId="5364" priority="13837" stopIfTrue="1" operator="between">
      <formula>3.51</formula>
      <formula>7.49</formula>
    </cfRule>
  </conditionalFormatting>
  <conditionalFormatting sqref="AA4225">
    <cfRule type="cellIs" dxfId="5363" priority="13827" stopIfTrue="1" operator="lessThanOrEqual">
      <formula>3.5</formula>
    </cfRule>
    <cfRule type="cellIs" dxfId="5362" priority="13828" stopIfTrue="1" operator="greaterThanOrEqual">
      <formula>7.5</formula>
    </cfRule>
    <cfRule type="cellIs" dxfId="5361" priority="13829" stopIfTrue="1" operator="between">
      <formula>3.51</formula>
      <formula>7.49</formula>
    </cfRule>
  </conditionalFormatting>
  <conditionalFormatting sqref="AA4380">
    <cfRule type="cellIs" dxfId="5360" priority="13819" stopIfTrue="1" operator="lessThanOrEqual">
      <formula>3.5</formula>
    </cfRule>
    <cfRule type="cellIs" dxfId="5359" priority="13820" stopIfTrue="1" operator="greaterThanOrEqual">
      <formula>7.5</formula>
    </cfRule>
    <cfRule type="cellIs" dxfId="5358" priority="13821" stopIfTrue="1" operator="between">
      <formula>3.51</formula>
      <formula>7.49</formula>
    </cfRule>
  </conditionalFormatting>
  <conditionalFormatting sqref="AA5049">
    <cfRule type="cellIs" dxfId="5357" priority="13811" stopIfTrue="1" operator="lessThanOrEqual">
      <formula>3.5</formula>
    </cfRule>
    <cfRule type="cellIs" dxfId="5356" priority="13812" stopIfTrue="1" operator="greaterThanOrEqual">
      <formula>7.5</formula>
    </cfRule>
    <cfRule type="cellIs" dxfId="5355" priority="13813" stopIfTrue="1" operator="between">
      <formula>3.51</formula>
      <formula>7.49</formula>
    </cfRule>
  </conditionalFormatting>
  <conditionalFormatting sqref="AA5252">
    <cfRule type="cellIs" dxfId="5354" priority="13795" stopIfTrue="1" operator="lessThanOrEqual">
      <formula>3.5</formula>
    </cfRule>
    <cfRule type="cellIs" dxfId="5353" priority="13796" stopIfTrue="1" operator="greaterThanOrEqual">
      <formula>7.5</formula>
    </cfRule>
    <cfRule type="cellIs" dxfId="5352" priority="13797" stopIfTrue="1" operator="between">
      <formula>3.51</formula>
      <formula>7.49</formula>
    </cfRule>
  </conditionalFormatting>
  <conditionalFormatting sqref="AA1711">
    <cfRule type="cellIs" dxfId="5351" priority="13787" stopIfTrue="1" operator="lessThanOrEqual">
      <formula>3.5</formula>
    </cfRule>
    <cfRule type="cellIs" dxfId="5350" priority="13788" stopIfTrue="1" operator="greaterThanOrEqual">
      <formula>7.5</formula>
    </cfRule>
    <cfRule type="cellIs" dxfId="5349" priority="13789" stopIfTrue="1" operator="between">
      <formula>3.51</formula>
      <formula>7.49</formula>
    </cfRule>
  </conditionalFormatting>
  <conditionalFormatting sqref="AA402 AA412:AA413 AA404:AA410">
    <cfRule type="cellIs" dxfId="5348" priority="13780" stopIfTrue="1" operator="lessThanOrEqual">
      <formula>3.5</formula>
    </cfRule>
    <cfRule type="cellIs" dxfId="5347" priority="13781" stopIfTrue="1" operator="greaterThanOrEqual">
      <formula>7.5</formula>
    </cfRule>
    <cfRule type="cellIs" dxfId="5346" priority="13782" stopIfTrue="1" operator="between">
      <formula>3.51</formula>
      <formula>7.49</formula>
    </cfRule>
  </conditionalFormatting>
  <conditionalFormatting sqref="AA3955">
    <cfRule type="cellIs" dxfId="5345" priority="13773" stopIfTrue="1" operator="lessThanOrEqual">
      <formula>3.5</formula>
    </cfRule>
    <cfRule type="cellIs" dxfId="5344" priority="13774" stopIfTrue="1" operator="greaterThanOrEqual">
      <formula>7.5</formula>
    </cfRule>
    <cfRule type="cellIs" dxfId="5343" priority="13775" stopIfTrue="1" operator="between">
      <formula>3.51</formula>
      <formula>7.49</formula>
    </cfRule>
  </conditionalFormatting>
  <conditionalFormatting sqref="AA5108">
    <cfRule type="cellIs" dxfId="5342" priority="13766" stopIfTrue="1" operator="lessThanOrEqual">
      <formula>3.5</formula>
    </cfRule>
    <cfRule type="cellIs" dxfId="5341" priority="13767" stopIfTrue="1" operator="greaterThanOrEqual">
      <formula>7.5</formula>
    </cfRule>
    <cfRule type="cellIs" dxfId="5340" priority="13768" stopIfTrue="1" operator="between">
      <formula>3.51</formula>
      <formula>7.49</formula>
    </cfRule>
  </conditionalFormatting>
  <conditionalFormatting sqref="AA2828">
    <cfRule type="cellIs" dxfId="5339" priority="13758" stopIfTrue="1" operator="lessThanOrEqual">
      <formula>3.5</formula>
    </cfRule>
    <cfRule type="cellIs" dxfId="5338" priority="13759" stopIfTrue="1" operator="greaterThanOrEqual">
      <formula>7.5</formula>
    </cfRule>
    <cfRule type="cellIs" dxfId="5337" priority="13760" stopIfTrue="1" operator="between">
      <formula>3.51</formula>
      <formula>7.49</formula>
    </cfRule>
  </conditionalFormatting>
  <conditionalFormatting sqref="AA950">
    <cfRule type="cellIs" dxfId="5336" priority="13750" stopIfTrue="1" operator="lessThanOrEqual">
      <formula>3.5</formula>
    </cfRule>
    <cfRule type="cellIs" dxfId="5335" priority="13751" stopIfTrue="1" operator="greaterThanOrEqual">
      <formula>7.5</formula>
    </cfRule>
    <cfRule type="cellIs" dxfId="5334" priority="13752" stopIfTrue="1" operator="between">
      <formula>3.51</formula>
      <formula>7.49</formula>
    </cfRule>
  </conditionalFormatting>
  <conditionalFormatting sqref="AA3239">
    <cfRule type="cellIs" dxfId="5333" priority="13742" stopIfTrue="1" operator="lessThanOrEqual">
      <formula>3.5</formula>
    </cfRule>
    <cfRule type="cellIs" dxfId="5332" priority="13743" stopIfTrue="1" operator="greaterThanOrEqual">
      <formula>7.5</formula>
    </cfRule>
    <cfRule type="cellIs" dxfId="5331" priority="13744" stopIfTrue="1" operator="between">
      <formula>3.51</formula>
      <formula>7.49</formula>
    </cfRule>
  </conditionalFormatting>
  <conditionalFormatting sqref="AA1452">
    <cfRule type="cellIs" dxfId="5330" priority="13735" stopIfTrue="1" operator="lessThanOrEqual">
      <formula>3.5</formula>
    </cfRule>
    <cfRule type="cellIs" dxfId="5329" priority="13736" stopIfTrue="1" operator="greaterThanOrEqual">
      <formula>7.5</formula>
    </cfRule>
    <cfRule type="cellIs" dxfId="5328" priority="13737" stopIfTrue="1" operator="between">
      <formula>3.51</formula>
      <formula>7.49</formula>
    </cfRule>
  </conditionalFormatting>
  <conditionalFormatting sqref="AA1327">
    <cfRule type="cellIs" dxfId="5327" priority="13728" stopIfTrue="1" operator="lessThanOrEqual">
      <formula>3.5</formula>
    </cfRule>
    <cfRule type="cellIs" dxfId="5326" priority="13729" stopIfTrue="1" operator="greaterThanOrEqual">
      <formula>7.5</formula>
    </cfRule>
    <cfRule type="cellIs" dxfId="5325" priority="13730" stopIfTrue="1" operator="between">
      <formula>3.51</formula>
      <formula>7.49</formula>
    </cfRule>
  </conditionalFormatting>
  <conditionalFormatting sqref="AA1430">
    <cfRule type="cellIs" dxfId="5324" priority="13720" stopIfTrue="1" operator="lessThanOrEqual">
      <formula>3.5</formula>
    </cfRule>
    <cfRule type="cellIs" dxfId="5323" priority="13721" stopIfTrue="1" operator="greaterThanOrEqual">
      <formula>7.5</formula>
    </cfRule>
    <cfRule type="cellIs" dxfId="5322" priority="13722" stopIfTrue="1" operator="between">
      <formula>3.51</formula>
      <formula>7.49</formula>
    </cfRule>
  </conditionalFormatting>
  <conditionalFormatting sqref="AA64">
    <cfRule type="cellIs" dxfId="5321" priority="13712" stopIfTrue="1" operator="lessThanOrEqual">
      <formula>3.5</formula>
    </cfRule>
    <cfRule type="cellIs" dxfId="5320" priority="13713" stopIfTrue="1" operator="greaterThanOrEqual">
      <formula>7.5</formula>
    </cfRule>
    <cfRule type="cellIs" dxfId="5319" priority="13714" stopIfTrue="1" operator="between">
      <formula>3.51</formula>
      <formula>7.49</formula>
    </cfRule>
  </conditionalFormatting>
  <conditionalFormatting sqref="AA1330">
    <cfRule type="cellIs" dxfId="5318" priority="13705" stopIfTrue="1" operator="lessThanOrEqual">
      <formula>3.5</formula>
    </cfRule>
    <cfRule type="cellIs" dxfId="5317" priority="13706" stopIfTrue="1" operator="greaterThanOrEqual">
      <formula>7.5</formula>
    </cfRule>
    <cfRule type="cellIs" dxfId="5316" priority="13707" stopIfTrue="1" operator="between">
      <formula>3.51</formula>
      <formula>7.49</formula>
    </cfRule>
  </conditionalFormatting>
  <conditionalFormatting sqref="AA5296">
    <cfRule type="cellIs" dxfId="5315" priority="13697" stopIfTrue="1" operator="lessThanOrEqual">
      <formula>3.5</formula>
    </cfRule>
    <cfRule type="cellIs" dxfId="5314" priority="13698" stopIfTrue="1" operator="greaterThanOrEqual">
      <formula>7.5</formula>
    </cfRule>
    <cfRule type="cellIs" dxfId="5313" priority="13699" stopIfTrue="1" operator="between">
      <formula>3.51</formula>
      <formula>7.49</formula>
    </cfRule>
  </conditionalFormatting>
  <conditionalFormatting sqref="AA5289">
    <cfRule type="cellIs" dxfId="5312" priority="13692" stopIfTrue="1" operator="lessThanOrEqual">
      <formula>3.5</formula>
    </cfRule>
    <cfRule type="cellIs" dxfId="5311" priority="13693" stopIfTrue="1" operator="greaterThanOrEqual">
      <formula>7.5</formula>
    </cfRule>
    <cfRule type="cellIs" dxfId="5310" priority="13694" stopIfTrue="1" operator="between">
      <formula>3.51</formula>
      <formula>7.49</formula>
    </cfRule>
  </conditionalFormatting>
  <conditionalFormatting sqref="AA5035">
    <cfRule type="cellIs" dxfId="5309" priority="13687" stopIfTrue="1" operator="lessThanOrEqual">
      <formula>3.5</formula>
    </cfRule>
    <cfRule type="cellIs" dxfId="5308" priority="13688" stopIfTrue="1" operator="greaterThanOrEqual">
      <formula>7.5</formula>
    </cfRule>
    <cfRule type="cellIs" dxfId="5307" priority="13689" stopIfTrue="1" operator="between">
      <formula>3.51</formula>
      <formula>7.49</formula>
    </cfRule>
  </conditionalFormatting>
  <conditionalFormatting sqref="AA5331">
    <cfRule type="cellIs" dxfId="5306" priority="13677" stopIfTrue="1" operator="lessThanOrEqual">
      <formula>3.5</formula>
    </cfRule>
    <cfRule type="cellIs" dxfId="5305" priority="13678" stopIfTrue="1" operator="greaterThanOrEqual">
      <formula>7.5</formula>
    </cfRule>
    <cfRule type="cellIs" dxfId="5304" priority="13679" stopIfTrue="1" operator="between">
      <formula>3.51</formula>
      <formula>7.49</formula>
    </cfRule>
  </conditionalFormatting>
  <conditionalFormatting sqref="AA2687">
    <cfRule type="cellIs" dxfId="5303" priority="13672" stopIfTrue="1" operator="lessThanOrEqual">
      <formula>3.5</formula>
    </cfRule>
    <cfRule type="cellIs" dxfId="5302" priority="13673" stopIfTrue="1" operator="greaterThanOrEqual">
      <formula>7.5</formula>
    </cfRule>
    <cfRule type="cellIs" dxfId="5301" priority="13674" stopIfTrue="1" operator="between">
      <formula>3.51</formula>
      <formula>7.49</formula>
    </cfRule>
  </conditionalFormatting>
  <conditionalFormatting sqref="AA2294">
    <cfRule type="cellIs" dxfId="5300" priority="13667" stopIfTrue="1" operator="lessThanOrEqual">
      <formula>3.5</formula>
    </cfRule>
    <cfRule type="cellIs" dxfId="5299" priority="13668" stopIfTrue="1" operator="greaterThanOrEqual">
      <formula>7.5</formula>
    </cfRule>
    <cfRule type="cellIs" dxfId="5298" priority="13669" stopIfTrue="1" operator="between">
      <formula>3.51</formula>
      <formula>7.49</formula>
    </cfRule>
  </conditionalFormatting>
  <conditionalFormatting sqref="AA915">
    <cfRule type="cellIs" dxfId="5297" priority="13662" stopIfTrue="1" operator="lessThanOrEqual">
      <formula>3.5</formula>
    </cfRule>
    <cfRule type="cellIs" dxfId="5296" priority="13663" stopIfTrue="1" operator="greaterThanOrEqual">
      <formula>7.5</formula>
    </cfRule>
    <cfRule type="cellIs" dxfId="5295" priority="13664" stopIfTrue="1" operator="between">
      <formula>3.51</formula>
      <formula>7.49</formula>
    </cfRule>
  </conditionalFormatting>
  <conditionalFormatting sqref="AA5277">
    <cfRule type="cellIs" dxfId="5294" priority="13656" stopIfTrue="1" operator="lessThanOrEqual">
      <formula>3.5</formula>
    </cfRule>
    <cfRule type="cellIs" dxfId="5293" priority="13657" stopIfTrue="1" operator="greaterThanOrEqual">
      <formula>7.5</formula>
    </cfRule>
    <cfRule type="cellIs" dxfId="5292" priority="13658" stopIfTrue="1" operator="between">
      <formula>3.51</formula>
      <formula>7.49</formula>
    </cfRule>
  </conditionalFormatting>
  <conditionalFormatting sqref="AA5274">
    <cfRule type="cellIs" dxfId="5291" priority="13651" stopIfTrue="1" operator="lessThanOrEqual">
      <formula>3.5</formula>
    </cfRule>
    <cfRule type="cellIs" dxfId="5290" priority="13652" stopIfTrue="1" operator="greaterThanOrEqual">
      <formula>7.5</formula>
    </cfRule>
    <cfRule type="cellIs" dxfId="5289" priority="13653" stopIfTrue="1" operator="between">
      <formula>3.51</formula>
      <formula>7.49</formula>
    </cfRule>
  </conditionalFormatting>
  <conditionalFormatting sqref="AA5275">
    <cfRule type="cellIs" dxfId="5288" priority="13646" stopIfTrue="1" operator="lessThanOrEqual">
      <formula>3.5</formula>
    </cfRule>
    <cfRule type="cellIs" dxfId="5287" priority="13647" stopIfTrue="1" operator="greaterThanOrEqual">
      <formula>7.5</formula>
    </cfRule>
    <cfRule type="cellIs" dxfId="5286" priority="13648" stopIfTrue="1" operator="between">
      <formula>3.51</formula>
      <formula>7.49</formula>
    </cfRule>
  </conditionalFormatting>
  <conditionalFormatting sqref="AA5280">
    <cfRule type="cellIs" dxfId="5285" priority="13641" stopIfTrue="1" operator="lessThanOrEqual">
      <formula>3.5</formula>
    </cfRule>
    <cfRule type="cellIs" dxfId="5284" priority="13642" stopIfTrue="1" operator="greaterThanOrEqual">
      <formula>7.5</formula>
    </cfRule>
    <cfRule type="cellIs" dxfId="5283" priority="13643" stopIfTrue="1" operator="between">
      <formula>3.51</formula>
      <formula>7.49</formula>
    </cfRule>
  </conditionalFormatting>
  <conditionalFormatting sqref="AA5283">
    <cfRule type="cellIs" dxfId="5282" priority="13636" stopIfTrue="1" operator="lessThanOrEqual">
      <formula>3.5</formula>
    </cfRule>
    <cfRule type="cellIs" dxfId="5281" priority="13637" stopIfTrue="1" operator="greaterThanOrEqual">
      <formula>7.5</formula>
    </cfRule>
    <cfRule type="cellIs" dxfId="5280" priority="13638" stopIfTrue="1" operator="between">
      <formula>3.51</formula>
      <formula>7.49</formula>
    </cfRule>
  </conditionalFormatting>
  <conditionalFormatting sqref="AA5284">
    <cfRule type="cellIs" dxfId="5279" priority="13631" stopIfTrue="1" operator="lessThanOrEqual">
      <formula>3.5</formula>
    </cfRule>
    <cfRule type="cellIs" dxfId="5278" priority="13632" stopIfTrue="1" operator="greaterThanOrEqual">
      <formula>7.5</formula>
    </cfRule>
    <cfRule type="cellIs" dxfId="5277" priority="13633" stopIfTrue="1" operator="between">
      <formula>3.51</formula>
      <formula>7.49</formula>
    </cfRule>
  </conditionalFormatting>
  <conditionalFormatting sqref="AA5288">
    <cfRule type="cellIs" dxfId="5276" priority="13626" stopIfTrue="1" operator="lessThanOrEqual">
      <formula>3.5</formula>
    </cfRule>
    <cfRule type="cellIs" dxfId="5275" priority="13627" stopIfTrue="1" operator="greaterThanOrEqual">
      <formula>7.5</formula>
    </cfRule>
    <cfRule type="cellIs" dxfId="5274" priority="13628" stopIfTrue="1" operator="between">
      <formula>3.51</formula>
      <formula>7.49</formula>
    </cfRule>
  </conditionalFormatting>
  <conditionalFormatting sqref="AA5326">
    <cfRule type="cellIs" dxfId="5273" priority="13621" stopIfTrue="1" operator="lessThanOrEqual">
      <formula>3.5</formula>
    </cfRule>
    <cfRule type="cellIs" dxfId="5272" priority="13622" stopIfTrue="1" operator="greaterThanOrEqual">
      <formula>7.5</formula>
    </cfRule>
    <cfRule type="cellIs" dxfId="5271" priority="13623" stopIfTrue="1" operator="between">
      <formula>3.51</formula>
      <formula>7.49</formula>
    </cfRule>
  </conditionalFormatting>
  <conditionalFormatting sqref="AA5339">
    <cfRule type="cellIs" dxfId="5270" priority="13616" stopIfTrue="1" operator="lessThanOrEqual">
      <formula>3.5</formula>
    </cfRule>
    <cfRule type="cellIs" dxfId="5269" priority="13617" stopIfTrue="1" operator="greaterThanOrEqual">
      <formula>7.5</formula>
    </cfRule>
    <cfRule type="cellIs" dxfId="5268" priority="13618" stopIfTrue="1" operator="between">
      <formula>3.51</formula>
      <formula>7.49</formula>
    </cfRule>
  </conditionalFormatting>
  <conditionalFormatting sqref="AA5338">
    <cfRule type="cellIs" dxfId="5267" priority="13611" stopIfTrue="1" operator="lessThanOrEqual">
      <formula>3.5</formula>
    </cfRule>
    <cfRule type="cellIs" dxfId="5266" priority="13612" stopIfTrue="1" operator="greaterThanOrEqual">
      <formula>7.5</formula>
    </cfRule>
    <cfRule type="cellIs" dxfId="5265" priority="13613" stopIfTrue="1" operator="between">
      <formula>3.51</formula>
      <formula>7.49</formula>
    </cfRule>
  </conditionalFormatting>
  <conditionalFormatting sqref="AA5342">
    <cfRule type="cellIs" dxfId="5264" priority="13606" stopIfTrue="1" operator="lessThanOrEqual">
      <formula>3.5</formula>
    </cfRule>
    <cfRule type="cellIs" dxfId="5263" priority="13607" stopIfTrue="1" operator="greaterThanOrEqual">
      <formula>7.5</formula>
    </cfRule>
    <cfRule type="cellIs" dxfId="5262" priority="13608" stopIfTrue="1" operator="between">
      <formula>3.51</formula>
      <formula>7.49</formula>
    </cfRule>
  </conditionalFormatting>
  <conditionalFormatting sqref="AA4702">
    <cfRule type="cellIs" dxfId="5261" priority="13586" stopIfTrue="1" operator="lessThanOrEqual">
      <formula>3.5</formula>
    </cfRule>
    <cfRule type="cellIs" dxfId="5260" priority="13587" stopIfTrue="1" operator="greaterThanOrEqual">
      <formula>7.5</formula>
    </cfRule>
    <cfRule type="cellIs" dxfId="5259" priority="13588" stopIfTrue="1" operator="between">
      <formula>3.51</formula>
      <formula>7.49</formula>
    </cfRule>
  </conditionalFormatting>
  <conditionalFormatting sqref="AA2218">
    <cfRule type="cellIs" dxfId="5258" priority="13596" stopIfTrue="1" operator="lessThanOrEqual">
      <formula>3.5</formula>
    </cfRule>
    <cfRule type="cellIs" dxfId="5257" priority="13597" stopIfTrue="1" operator="greaterThanOrEqual">
      <formula>7.5</formula>
    </cfRule>
    <cfRule type="cellIs" dxfId="5256" priority="13598" stopIfTrue="1" operator="between">
      <formula>3.51</formula>
      <formula>7.49</formula>
    </cfRule>
  </conditionalFormatting>
  <conditionalFormatting sqref="AA4864">
    <cfRule type="cellIs" dxfId="5255" priority="13591" stopIfTrue="1" operator="lessThanOrEqual">
      <formula>3.5</formula>
    </cfRule>
    <cfRule type="cellIs" dxfId="5254" priority="13592" stopIfTrue="1" operator="greaterThanOrEqual">
      <formula>7.5</formula>
    </cfRule>
    <cfRule type="cellIs" dxfId="5253" priority="13593" stopIfTrue="1" operator="between">
      <formula>3.51</formula>
      <formula>7.49</formula>
    </cfRule>
  </conditionalFormatting>
  <conditionalFormatting sqref="AA5368">
    <cfRule type="cellIs" dxfId="5252" priority="13571" stopIfTrue="1" operator="lessThanOrEqual">
      <formula>3.5</formula>
    </cfRule>
    <cfRule type="cellIs" dxfId="5251" priority="13572" stopIfTrue="1" operator="greaterThanOrEqual">
      <formula>7.5</formula>
    </cfRule>
    <cfRule type="cellIs" dxfId="5250" priority="13573" stopIfTrue="1" operator="between">
      <formula>3.51</formula>
      <formula>7.49</formula>
    </cfRule>
  </conditionalFormatting>
  <conditionalFormatting sqref="AA4970">
    <cfRule type="cellIs" dxfId="5249" priority="13566" stopIfTrue="1" operator="lessThanOrEqual">
      <formula>3.5</formula>
    </cfRule>
    <cfRule type="cellIs" dxfId="5248" priority="13567" stopIfTrue="1" operator="greaterThanOrEqual">
      <formula>7.5</formula>
    </cfRule>
    <cfRule type="cellIs" dxfId="5247" priority="13568" stopIfTrue="1" operator="between">
      <formula>3.51</formula>
      <formula>7.49</formula>
    </cfRule>
  </conditionalFormatting>
  <conditionalFormatting sqref="AA5358">
    <cfRule type="cellIs" dxfId="5246" priority="13556" stopIfTrue="1" operator="lessThanOrEqual">
      <formula>3.5</formula>
    </cfRule>
    <cfRule type="cellIs" dxfId="5245" priority="13557" stopIfTrue="1" operator="greaterThanOrEqual">
      <formula>7.5</formula>
    </cfRule>
    <cfRule type="cellIs" dxfId="5244" priority="13558" stopIfTrue="1" operator="between">
      <formula>3.51</formula>
      <formula>7.49</formula>
    </cfRule>
  </conditionalFormatting>
  <conditionalFormatting sqref="AA2220">
    <cfRule type="cellIs" dxfId="5243" priority="13551" stopIfTrue="1" operator="lessThanOrEqual">
      <formula>3.5</formula>
    </cfRule>
    <cfRule type="cellIs" dxfId="5242" priority="13552" stopIfTrue="1" operator="greaterThanOrEqual">
      <formula>7.5</formula>
    </cfRule>
    <cfRule type="cellIs" dxfId="5241" priority="13553" stopIfTrue="1" operator="between">
      <formula>3.51</formula>
      <formula>7.49</formula>
    </cfRule>
  </conditionalFormatting>
  <conditionalFormatting sqref="AA2219">
    <cfRule type="cellIs" dxfId="5240" priority="13546" stopIfTrue="1" operator="lessThanOrEqual">
      <formula>3.5</formula>
    </cfRule>
    <cfRule type="cellIs" dxfId="5239" priority="13547" stopIfTrue="1" operator="greaterThanOrEqual">
      <formula>7.5</formula>
    </cfRule>
    <cfRule type="cellIs" dxfId="5238" priority="13548" stopIfTrue="1" operator="between">
      <formula>3.51</formula>
      <formula>7.49</formula>
    </cfRule>
  </conditionalFormatting>
  <conditionalFormatting sqref="AA2366">
    <cfRule type="cellIs" dxfId="5237" priority="13541" stopIfTrue="1" operator="lessThanOrEqual">
      <formula>3.5</formula>
    </cfRule>
    <cfRule type="cellIs" dxfId="5236" priority="13542" stopIfTrue="1" operator="greaterThanOrEqual">
      <formula>7.5</formula>
    </cfRule>
    <cfRule type="cellIs" dxfId="5235" priority="13543" stopIfTrue="1" operator="between">
      <formula>3.51</formula>
      <formula>7.49</formula>
    </cfRule>
  </conditionalFormatting>
  <conditionalFormatting sqref="AA3185">
    <cfRule type="cellIs" dxfId="5234" priority="13536" stopIfTrue="1" operator="lessThanOrEqual">
      <formula>3.5</formula>
    </cfRule>
    <cfRule type="cellIs" dxfId="5233" priority="13537" stopIfTrue="1" operator="greaterThanOrEqual">
      <formula>7.5</formula>
    </cfRule>
    <cfRule type="cellIs" dxfId="5232" priority="13538" stopIfTrue="1" operator="between">
      <formula>3.51</formula>
      <formula>7.49</formula>
    </cfRule>
  </conditionalFormatting>
  <conditionalFormatting sqref="AA2060">
    <cfRule type="cellIs" dxfId="5231" priority="13531" stopIfTrue="1" operator="lessThanOrEqual">
      <formula>3.5</formula>
    </cfRule>
    <cfRule type="cellIs" dxfId="5230" priority="13532" stopIfTrue="1" operator="greaterThanOrEqual">
      <formula>7.5</formula>
    </cfRule>
    <cfRule type="cellIs" dxfId="5229" priority="13533" stopIfTrue="1" operator="between">
      <formula>3.51</formula>
      <formula>7.49</formula>
    </cfRule>
  </conditionalFormatting>
  <conditionalFormatting sqref="AA1743">
    <cfRule type="cellIs" dxfId="5228" priority="13526" stopIfTrue="1" operator="lessThanOrEqual">
      <formula>3.5</formula>
    </cfRule>
    <cfRule type="cellIs" dxfId="5227" priority="13527" stopIfTrue="1" operator="greaterThanOrEqual">
      <formula>7.5</formula>
    </cfRule>
    <cfRule type="cellIs" dxfId="5226" priority="13528" stopIfTrue="1" operator="between">
      <formula>3.51</formula>
      <formula>7.49</formula>
    </cfRule>
  </conditionalFormatting>
  <conditionalFormatting sqref="AA1046">
    <cfRule type="cellIs" dxfId="5225" priority="13521" stopIfTrue="1" operator="lessThanOrEqual">
      <formula>3.5</formula>
    </cfRule>
    <cfRule type="cellIs" dxfId="5224" priority="13522" stopIfTrue="1" operator="greaterThanOrEqual">
      <formula>7.5</formula>
    </cfRule>
    <cfRule type="cellIs" dxfId="5223" priority="13523" stopIfTrue="1" operator="between">
      <formula>3.51</formula>
      <formula>7.49</formula>
    </cfRule>
  </conditionalFormatting>
  <conditionalFormatting sqref="AA3320">
    <cfRule type="cellIs" dxfId="5222" priority="13507" stopIfTrue="1" operator="lessThanOrEqual">
      <formula>3.5</formula>
    </cfRule>
    <cfRule type="cellIs" dxfId="5221" priority="13508" stopIfTrue="1" operator="greaterThanOrEqual">
      <formula>7.5</formula>
    </cfRule>
    <cfRule type="cellIs" dxfId="5220" priority="13509" stopIfTrue="1" operator="between">
      <formula>3.51</formula>
      <formula>7.49</formula>
    </cfRule>
  </conditionalFormatting>
  <conditionalFormatting sqref="AA1047">
    <cfRule type="cellIs" dxfId="5219" priority="13500" stopIfTrue="1" operator="lessThanOrEqual">
      <formula>3.5</formula>
    </cfRule>
    <cfRule type="cellIs" dxfId="5218" priority="13501" stopIfTrue="1" operator="greaterThanOrEqual">
      <formula>7.5</formula>
    </cfRule>
    <cfRule type="cellIs" dxfId="5217" priority="13502" stopIfTrue="1" operator="between">
      <formula>3.51</formula>
      <formula>7.49</formula>
    </cfRule>
  </conditionalFormatting>
  <conditionalFormatting sqref="AA3321">
    <cfRule type="cellIs" dxfId="5216" priority="13493" stopIfTrue="1" operator="lessThanOrEqual">
      <formula>3.5</formula>
    </cfRule>
    <cfRule type="cellIs" dxfId="5215" priority="13494" stopIfTrue="1" operator="greaterThanOrEqual">
      <formula>7.5</formula>
    </cfRule>
    <cfRule type="cellIs" dxfId="5214" priority="13495" stopIfTrue="1" operator="between">
      <formula>3.51</formula>
      <formula>7.49</formula>
    </cfRule>
  </conditionalFormatting>
  <conditionalFormatting sqref="AA1996">
    <cfRule type="cellIs" dxfId="5213" priority="13479" stopIfTrue="1" operator="lessThanOrEqual">
      <formula>3.5</formula>
    </cfRule>
    <cfRule type="cellIs" dxfId="5212" priority="13480" stopIfTrue="1" operator="greaterThanOrEqual">
      <formula>7.5</formula>
    </cfRule>
    <cfRule type="cellIs" dxfId="5211" priority="13481" stopIfTrue="1" operator="between">
      <formula>3.51</formula>
      <formula>7.49</formula>
    </cfRule>
  </conditionalFormatting>
  <conditionalFormatting sqref="AA1052">
    <cfRule type="cellIs" dxfId="5210" priority="13472" stopIfTrue="1" operator="lessThanOrEqual">
      <formula>3.5</formula>
    </cfRule>
    <cfRule type="cellIs" dxfId="5209" priority="13473" stopIfTrue="1" operator="greaterThanOrEqual">
      <formula>7.5</formula>
    </cfRule>
    <cfRule type="cellIs" dxfId="5208" priority="13474" stopIfTrue="1" operator="between">
      <formula>3.51</formula>
      <formula>7.49</formula>
    </cfRule>
  </conditionalFormatting>
  <conditionalFormatting sqref="AA930">
    <cfRule type="cellIs" dxfId="5207" priority="13465" stopIfTrue="1" operator="lessThanOrEqual">
      <formula>3.5</formula>
    </cfRule>
    <cfRule type="cellIs" dxfId="5206" priority="13466" stopIfTrue="1" operator="greaterThanOrEqual">
      <formula>7.5</formula>
    </cfRule>
    <cfRule type="cellIs" dxfId="5205" priority="13467" stopIfTrue="1" operator="between">
      <formula>3.51</formula>
      <formula>7.49</formula>
    </cfRule>
  </conditionalFormatting>
  <conditionalFormatting sqref="AA1238">
    <cfRule type="cellIs" dxfId="5204" priority="13458" stopIfTrue="1" operator="lessThanOrEqual">
      <formula>3.5</formula>
    </cfRule>
    <cfRule type="cellIs" dxfId="5203" priority="13459" stopIfTrue="1" operator="greaterThanOrEqual">
      <formula>7.5</formula>
    </cfRule>
    <cfRule type="cellIs" dxfId="5202" priority="13460" stopIfTrue="1" operator="between">
      <formula>3.51</formula>
      <formula>7.49</formula>
    </cfRule>
  </conditionalFormatting>
  <conditionalFormatting sqref="AA16">
    <cfRule type="cellIs" dxfId="5201" priority="13451" stopIfTrue="1" operator="lessThanOrEqual">
      <formula>3.5</formula>
    </cfRule>
    <cfRule type="cellIs" dxfId="5200" priority="13452" stopIfTrue="1" operator="greaterThanOrEqual">
      <formula>7.5</formula>
    </cfRule>
    <cfRule type="cellIs" dxfId="5199" priority="13453" stopIfTrue="1" operator="between">
      <formula>3.51</formula>
      <formula>7.49</formula>
    </cfRule>
  </conditionalFormatting>
  <conditionalFormatting sqref="AA1058">
    <cfRule type="cellIs" dxfId="5198" priority="13444" stopIfTrue="1" operator="lessThanOrEqual">
      <formula>3.5</formula>
    </cfRule>
    <cfRule type="cellIs" dxfId="5197" priority="13445" stopIfTrue="1" operator="greaterThanOrEqual">
      <formula>7.5</formula>
    </cfRule>
    <cfRule type="cellIs" dxfId="5196" priority="13446" stopIfTrue="1" operator="between">
      <formula>3.51</formula>
      <formula>7.49</formula>
    </cfRule>
  </conditionalFormatting>
  <conditionalFormatting sqref="AA1619">
    <cfRule type="cellIs" dxfId="5195" priority="13437" stopIfTrue="1" operator="lessThanOrEqual">
      <formula>3.5</formula>
    </cfRule>
    <cfRule type="cellIs" dxfId="5194" priority="13438" stopIfTrue="1" operator="greaterThanOrEqual">
      <formula>7.5</formula>
    </cfRule>
    <cfRule type="cellIs" dxfId="5193" priority="13439" stopIfTrue="1" operator="between">
      <formula>3.51</formula>
      <formula>7.49</formula>
    </cfRule>
  </conditionalFormatting>
  <conditionalFormatting sqref="AA1553">
    <cfRule type="cellIs" dxfId="5192" priority="13430" stopIfTrue="1" operator="lessThanOrEqual">
      <formula>3.5</formula>
    </cfRule>
    <cfRule type="cellIs" dxfId="5191" priority="13431" stopIfTrue="1" operator="greaterThanOrEqual">
      <formula>7.5</formula>
    </cfRule>
    <cfRule type="cellIs" dxfId="5190" priority="13432" stopIfTrue="1" operator="between">
      <formula>3.51</formula>
      <formula>7.49</formula>
    </cfRule>
  </conditionalFormatting>
  <conditionalFormatting sqref="AA1551">
    <cfRule type="cellIs" dxfId="5189" priority="13423" stopIfTrue="1" operator="lessThanOrEqual">
      <formula>3.5</formula>
    </cfRule>
    <cfRule type="cellIs" dxfId="5188" priority="13424" stopIfTrue="1" operator="greaterThanOrEqual">
      <formula>7.5</formula>
    </cfRule>
    <cfRule type="cellIs" dxfId="5187" priority="13425" stopIfTrue="1" operator="between">
      <formula>3.51</formula>
      <formula>7.49</formula>
    </cfRule>
  </conditionalFormatting>
  <conditionalFormatting sqref="AA3325">
    <cfRule type="cellIs" dxfId="5186" priority="13416" stopIfTrue="1" operator="lessThanOrEqual">
      <formula>3.5</formula>
    </cfRule>
    <cfRule type="cellIs" dxfId="5185" priority="13417" stopIfTrue="1" operator="greaterThanOrEqual">
      <formula>7.5</formula>
    </cfRule>
    <cfRule type="cellIs" dxfId="5184" priority="13418" stopIfTrue="1" operator="between">
      <formula>3.51</formula>
      <formula>7.49</formula>
    </cfRule>
  </conditionalFormatting>
  <conditionalFormatting sqref="AA1057">
    <cfRule type="cellIs" dxfId="5183" priority="13409" stopIfTrue="1" operator="lessThanOrEqual">
      <formula>3.5</formula>
    </cfRule>
    <cfRule type="cellIs" dxfId="5182" priority="13410" stopIfTrue="1" operator="greaterThanOrEqual">
      <formula>7.5</formula>
    </cfRule>
    <cfRule type="cellIs" dxfId="5181" priority="13411" stopIfTrue="1" operator="between">
      <formula>3.51</formula>
      <formula>7.49</formula>
    </cfRule>
  </conditionalFormatting>
  <conditionalFormatting sqref="AA1054">
    <cfRule type="cellIs" dxfId="5180" priority="13402" stopIfTrue="1" operator="lessThanOrEqual">
      <formula>3.5</formula>
    </cfRule>
    <cfRule type="cellIs" dxfId="5179" priority="13403" stopIfTrue="1" operator="greaterThanOrEqual">
      <formula>7.5</formula>
    </cfRule>
    <cfRule type="cellIs" dxfId="5178" priority="13404" stopIfTrue="1" operator="between">
      <formula>3.51</formula>
      <formula>7.49</formula>
    </cfRule>
  </conditionalFormatting>
  <conditionalFormatting sqref="AA1053">
    <cfRule type="cellIs" dxfId="5177" priority="13395" stopIfTrue="1" operator="lessThanOrEqual">
      <formula>3.5</formula>
    </cfRule>
    <cfRule type="cellIs" dxfId="5176" priority="13396" stopIfTrue="1" operator="greaterThanOrEqual">
      <formula>7.5</formula>
    </cfRule>
    <cfRule type="cellIs" dxfId="5175" priority="13397" stopIfTrue="1" operator="between">
      <formula>3.51</formula>
      <formula>7.49</formula>
    </cfRule>
  </conditionalFormatting>
  <conditionalFormatting sqref="AA761">
    <cfRule type="cellIs" dxfId="5174" priority="13388" stopIfTrue="1" operator="lessThanOrEqual">
      <formula>3.5</formula>
    </cfRule>
    <cfRule type="cellIs" dxfId="5173" priority="13389" stopIfTrue="1" operator="greaterThanOrEqual">
      <formula>7.5</formula>
    </cfRule>
    <cfRule type="cellIs" dxfId="5172" priority="13390" stopIfTrue="1" operator="between">
      <formula>3.51</formula>
      <formula>7.49</formula>
    </cfRule>
  </conditionalFormatting>
  <conditionalFormatting sqref="AA1032">
    <cfRule type="cellIs" dxfId="5171" priority="13381" stopIfTrue="1" operator="lessThanOrEqual">
      <formula>3.5</formula>
    </cfRule>
    <cfRule type="cellIs" dxfId="5170" priority="13382" stopIfTrue="1" operator="greaterThanOrEqual">
      <formula>7.5</formula>
    </cfRule>
    <cfRule type="cellIs" dxfId="5169" priority="13383" stopIfTrue="1" operator="between">
      <formula>3.51</formula>
      <formula>7.49</formula>
    </cfRule>
  </conditionalFormatting>
  <conditionalFormatting sqref="AA1050">
    <cfRule type="cellIs" dxfId="5168" priority="13374" stopIfTrue="1" operator="lessThanOrEqual">
      <formula>3.5</formula>
    </cfRule>
    <cfRule type="cellIs" dxfId="5167" priority="13375" stopIfTrue="1" operator="greaterThanOrEqual">
      <formula>7.5</formula>
    </cfRule>
    <cfRule type="cellIs" dxfId="5166" priority="13376" stopIfTrue="1" operator="between">
      <formula>3.51</formula>
      <formula>7.49</formula>
    </cfRule>
  </conditionalFormatting>
  <conditionalFormatting sqref="AA1049">
    <cfRule type="cellIs" dxfId="5165" priority="13367" stopIfTrue="1" operator="lessThanOrEqual">
      <formula>3.5</formula>
    </cfRule>
    <cfRule type="cellIs" dxfId="5164" priority="13368" stopIfTrue="1" operator="greaterThanOrEqual">
      <formula>7.5</formula>
    </cfRule>
    <cfRule type="cellIs" dxfId="5163" priority="13369" stopIfTrue="1" operator="between">
      <formula>3.51</formula>
      <formula>7.49</formula>
    </cfRule>
  </conditionalFormatting>
  <conditionalFormatting sqref="AA1647">
    <cfRule type="cellIs" dxfId="5162" priority="13360" stopIfTrue="1" operator="lessThanOrEqual">
      <formula>3.5</formula>
    </cfRule>
    <cfRule type="cellIs" dxfId="5161" priority="13361" stopIfTrue="1" operator="greaterThanOrEqual">
      <formula>7.5</formula>
    </cfRule>
    <cfRule type="cellIs" dxfId="5160" priority="13362" stopIfTrue="1" operator="between">
      <formula>3.51</formula>
      <formula>7.49</formula>
    </cfRule>
  </conditionalFormatting>
  <conditionalFormatting sqref="AA1400">
    <cfRule type="cellIs" dxfId="5159" priority="13353" stopIfTrue="1" operator="lessThanOrEqual">
      <formula>3.5</formula>
    </cfRule>
    <cfRule type="cellIs" dxfId="5158" priority="13354" stopIfTrue="1" operator="greaterThanOrEqual">
      <formula>7.5</formula>
    </cfRule>
    <cfRule type="cellIs" dxfId="5157" priority="13355" stopIfTrue="1" operator="between">
      <formula>3.51</formula>
      <formula>7.49</formula>
    </cfRule>
  </conditionalFormatting>
  <conditionalFormatting sqref="AA1051">
    <cfRule type="cellIs" dxfId="5156" priority="13346" stopIfTrue="1" operator="lessThanOrEqual">
      <formula>3.5</formula>
    </cfRule>
    <cfRule type="cellIs" dxfId="5155" priority="13347" stopIfTrue="1" operator="greaterThanOrEqual">
      <formula>7.5</formula>
    </cfRule>
    <cfRule type="cellIs" dxfId="5154" priority="13348" stopIfTrue="1" operator="between">
      <formula>3.51</formula>
      <formula>7.49</formula>
    </cfRule>
  </conditionalFormatting>
  <conditionalFormatting sqref="AA1621">
    <cfRule type="cellIs" dxfId="5153" priority="13339" stopIfTrue="1" operator="lessThanOrEqual">
      <formula>3.5</formula>
    </cfRule>
    <cfRule type="cellIs" dxfId="5152" priority="13340" stopIfTrue="1" operator="greaterThanOrEqual">
      <formula>7.5</formula>
    </cfRule>
    <cfRule type="cellIs" dxfId="5151" priority="13341" stopIfTrue="1" operator="between">
      <formula>3.51</formula>
      <formula>7.49</formula>
    </cfRule>
  </conditionalFormatting>
  <conditionalFormatting sqref="AA1641">
    <cfRule type="cellIs" dxfId="5150" priority="13332" stopIfTrue="1" operator="lessThanOrEqual">
      <formula>3.5</formula>
    </cfRule>
    <cfRule type="cellIs" dxfId="5149" priority="13333" stopIfTrue="1" operator="greaterThanOrEqual">
      <formula>7.5</formula>
    </cfRule>
    <cfRule type="cellIs" dxfId="5148" priority="13334" stopIfTrue="1" operator="between">
      <formula>3.51</formula>
      <formula>7.49</formula>
    </cfRule>
  </conditionalFormatting>
  <conditionalFormatting sqref="AA1215">
    <cfRule type="cellIs" dxfId="5147" priority="13325" stopIfTrue="1" operator="lessThanOrEqual">
      <formula>3.5</formula>
    </cfRule>
    <cfRule type="cellIs" dxfId="5146" priority="13326" stopIfTrue="1" operator="greaterThanOrEqual">
      <formula>7.5</formula>
    </cfRule>
    <cfRule type="cellIs" dxfId="5145" priority="13327" stopIfTrue="1" operator="between">
      <formula>3.51</formula>
      <formula>7.49</formula>
    </cfRule>
  </conditionalFormatting>
  <conditionalFormatting sqref="AA2412">
    <cfRule type="cellIs" dxfId="5144" priority="13311" stopIfTrue="1" operator="lessThanOrEqual">
      <formula>3.5</formula>
    </cfRule>
    <cfRule type="cellIs" dxfId="5143" priority="13312" stopIfTrue="1" operator="greaterThanOrEqual">
      <formula>7.5</formula>
    </cfRule>
    <cfRule type="cellIs" dxfId="5142" priority="13313" stopIfTrue="1" operator="between">
      <formula>3.51</formula>
      <formula>7.49</formula>
    </cfRule>
  </conditionalFormatting>
  <conditionalFormatting sqref="AA3363">
    <cfRule type="cellIs" dxfId="5141" priority="13304" stopIfTrue="1" operator="lessThanOrEqual">
      <formula>3.5</formula>
    </cfRule>
    <cfRule type="cellIs" dxfId="5140" priority="13305" stopIfTrue="1" operator="greaterThanOrEqual">
      <formula>7.5</formula>
    </cfRule>
    <cfRule type="cellIs" dxfId="5139" priority="13306" stopIfTrue="1" operator="between">
      <formula>3.51</formula>
      <formula>7.49</formula>
    </cfRule>
  </conditionalFormatting>
  <conditionalFormatting sqref="AA1029 AA209">
    <cfRule type="cellIs" dxfId="5138" priority="13290" stopIfTrue="1" operator="lessThanOrEqual">
      <formula>3.5</formula>
    </cfRule>
    <cfRule type="cellIs" dxfId="5137" priority="13291" stopIfTrue="1" operator="greaterThanOrEqual">
      <formula>7.5</formula>
    </cfRule>
    <cfRule type="cellIs" dxfId="5136" priority="13292" stopIfTrue="1" operator="between">
      <formula>3.51</formula>
      <formula>7.49</formula>
    </cfRule>
  </conditionalFormatting>
  <conditionalFormatting sqref="AA2120">
    <cfRule type="cellIs" dxfId="5135" priority="13280" stopIfTrue="1" operator="lessThanOrEqual">
      <formula>3.5</formula>
    </cfRule>
    <cfRule type="cellIs" dxfId="5134" priority="13281" stopIfTrue="1" operator="greaterThanOrEqual">
      <formula>7.5</formula>
    </cfRule>
    <cfRule type="cellIs" dxfId="5133" priority="13282" stopIfTrue="1" operator="between">
      <formula>3.51</formula>
      <formula>7.49</formula>
    </cfRule>
  </conditionalFormatting>
  <conditionalFormatting sqref="AA2246">
    <cfRule type="cellIs" dxfId="5132" priority="13275" stopIfTrue="1" operator="lessThanOrEqual">
      <formula>3.5</formula>
    </cfRule>
    <cfRule type="cellIs" dxfId="5131" priority="13276" stopIfTrue="1" operator="greaterThanOrEqual">
      <formula>7.5</formula>
    </cfRule>
    <cfRule type="cellIs" dxfId="5130" priority="13277" stopIfTrue="1" operator="between">
      <formula>3.51</formula>
      <formula>7.49</formula>
    </cfRule>
  </conditionalFormatting>
  <conditionalFormatting sqref="AA2181">
    <cfRule type="cellIs" dxfId="5129" priority="13270" stopIfTrue="1" operator="lessThanOrEqual">
      <formula>3.5</formula>
    </cfRule>
    <cfRule type="cellIs" dxfId="5128" priority="13271" stopIfTrue="1" operator="greaterThanOrEqual">
      <formula>7.5</formula>
    </cfRule>
    <cfRule type="cellIs" dxfId="5127" priority="13272" stopIfTrue="1" operator="between">
      <formula>3.51</formula>
      <formula>7.49</formula>
    </cfRule>
  </conditionalFormatting>
  <conditionalFormatting sqref="AA2299">
    <cfRule type="cellIs" dxfId="5126" priority="13265" stopIfTrue="1" operator="lessThanOrEqual">
      <formula>3.5</formula>
    </cfRule>
    <cfRule type="cellIs" dxfId="5125" priority="13266" stopIfTrue="1" operator="greaterThanOrEqual">
      <formula>7.5</formula>
    </cfRule>
    <cfRule type="cellIs" dxfId="5124" priority="13267" stopIfTrue="1" operator="between">
      <formula>3.51</formula>
      <formula>7.49</formula>
    </cfRule>
  </conditionalFormatting>
  <conditionalFormatting sqref="AA887">
    <cfRule type="cellIs" dxfId="5123" priority="13260" stopIfTrue="1" operator="lessThanOrEqual">
      <formula>3.5</formula>
    </cfRule>
    <cfRule type="cellIs" dxfId="5122" priority="13261" stopIfTrue="1" operator="greaterThanOrEqual">
      <formula>7.5</formula>
    </cfRule>
    <cfRule type="cellIs" dxfId="5121" priority="13262" stopIfTrue="1" operator="between">
      <formula>3.51</formula>
      <formula>7.49</formula>
    </cfRule>
  </conditionalFormatting>
  <conditionalFormatting sqref="AA919">
    <cfRule type="cellIs" dxfId="5120" priority="13255" stopIfTrue="1" operator="lessThanOrEqual">
      <formula>3.5</formula>
    </cfRule>
    <cfRule type="cellIs" dxfId="5119" priority="13256" stopIfTrue="1" operator="greaterThanOrEqual">
      <formula>7.5</formula>
    </cfRule>
    <cfRule type="cellIs" dxfId="5118" priority="13257" stopIfTrue="1" operator="between">
      <formula>3.51</formula>
      <formula>7.49</formula>
    </cfRule>
  </conditionalFormatting>
  <conditionalFormatting sqref="AA646">
    <cfRule type="cellIs" dxfId="5117" priority="13250" stopIfTrue="1" operator="lessThanOrEqual">
      <formula>3.5</formula>
    </cfRule>
    <cfRule type="cellIs" dxfId="5116" priority="13251" stopIfTrue="1" operator="greaterThanOrEqual">
      <formula>7.5</formula>
    </cfRule>
    <cfRule type="cellIs" dxfId="5115" priority="13252" stopIfTrue="1" operator="between">
      <formula>3.51</formula>
      <formula>7.49</formula>
    </cfRule>
  </conditionalFormatting>
  <conditionalFormatting sqref="AA667">
    <cfRule type="cellIs" dxfId="5114" priority="13243" stopIfTrue="1" operator="lessThanOrEqual">
      <formula>3.5</formula>
    </cfRule>
    <cfRule type="cellIs" dxfId="5113" priority="13244" stopIfTrue="1" operator="greaterThanOrEqual">
      <formula>7.5</formula>
    </cfRule>
    <cfRule type="cellIs" dxfId="5112" priority="13245" stopIfTrue="1" operator="between">
      <formula>3.51</formula>
      <formula>7.49</formula>
    </cfRule>
  </conditionalFormatting>
  <conditionalFormatting sqref="AA488">
    <cfRule type="cellIs" dxfId="5111" priority="13236" stopIfTrue="1" operator="lessThanOrEqual">
      <formula>3.5</formula>
    </cfRule>
    <cfRule type="cellIs" dxfId="5110" priority="13237" stopIfTrue="1" operator="greaterThanOrEqual">
      <formula>7.5</formula>
    </cfRule>
    <cfRule type="cellIs" dxfId="5109" priority="13238" stopIfTrue="1" operator="between">
      <formula>3.51</formula>
      <formula>7.49</formula>
    </cfRule>
  </conditionalFormatting>
  <conditionalFormatting sqref="AA3885">
    <cfRule type="cellIs" dxfId="5108" priority="13222" stopIfTrue="1" operator="lessThanOrEqual">
      <formula>3.5</formula>
    </cfRule>
    <cfRule type="cellIs" dxfId="5107" priority="13223" stopIfTrue="1" operator="greaterThanOrEqual">
      <formula>7.5</formula>
    </cfRule>
    <cfRule type="cellIs" dxfId="5106" priority="13224" stopIfTrue="1" operator="between">
      <formula>3.51</formula>
      <formula>7.49</formula>
    </cfRule>
  </conditionalFormatting>
  <conditionalFormatting sqref="AA3884">
    <cfRule type="cellIs" dxfId="5105" priority="13217" stopIfTrue="1" operator="lessThanOrEqual">
      <formula>3.5</formula>
    </cfRule>
    <cfRule type="cellIs" dxfId="5104" priority="13218" stopIfTrue="1" operator="greaterThanOrEqual">
      <formula>7.5</formula>
    </cfRule>
    <cfRule type="cellIs" dxfId="5103" priority="13219" stopIfTrue="1" operator="between">
      <formula>3.51</formula>
      <formula>7.49</formula>
    </cfRule>
  </conditionalFormatting>
  <conditionalFormatting sqref="AA3887">
    <cfRule type="cellIs" dxfId="5102" priority="13212" stopIfTrue="1" operator="lessThanOrEqual">
      <formula>3.5</formula>
    </cfRule>
    <cfRule type="cellIs" dxfId="5101" priority="13213" stopIfTrue="1" operator="greaterThanOrEqual">
      <formula>7.5</formula>
    </cfRule>
    <cfRule type="cellIs" dxfId="5100" priority="13214" stopIfTrue="1" operator="between">
      <formula>3.51</formula>
      <formula>7.49</formula>
    </cfRule>
  </conditionalFormatting>
  <conditionalFormatting sqref="AA3886">
    <cfRule type="cellIs" dxfId="5099" priority="13207" stopIfTrue="1" operator="lessThanOrEqual">
      <formula>3.5</formula>
    </cfRule>
    <cfRule type="cellIs" dxfId="5098" priority="13208" stopIfTrue="1" operator="greaterThanOrEqual">
      <formula>7.5</formula>
    </cfRule>
    <cfRule type="cellIs" dxfId="5097" priority="13209" stopIfTrue="1" operator="between">
      <formula>3.51</formula>
      <formula>7.49</formula>
    </cfRule>
  </conditionalFormatting>
  <conditionalFormatting sqref="AA3891">
    <cfRule type="cellIs" dxfId="5096" priority="13202" stopIfTrue="1" operator="lessThanOrEqual">
      <formula>3.5</formula>
    </cfRule>
    <cfRule type="cellIs" dxfId="5095" priority="13203" stopIfTrue="1" operator="greaterThanOrEqual">
      <formula>7.5</formula>
    </cfRule>
    <cfRule type="cellIs" dxfId="5094" priority="13204" stopIfTrue="1" operator="between">
      <formula>3.51</formula>
      <formula>7.49</formula>
    </cfRule>
  </conditionalFormatting>
  <conditionalFormatting sqref="AA2403">
    <cfRule type="cellIs" dxfId="5093" priority="13197" stopIfTrue="1" operator="lessThanOrEqual">
      <formula>3.5</formula>
    </cfRule>
    <cfRule type="cellIs" dxfId="5092" priority="13198" stopIfTrue="1" operator="greaterThanOrEqual">
      <formula>7.5</formula>
    </cfRule>
    <cfRule type="cellIs" dxfId="5091" priority="13199" stopIfTrue="1" operator="between">
      <formula>3.51</formula>
      <formula>7.49</formula>
    </cfRule>
  </conditionalFormatting>
  <conditionalFormatting sqref="AA3889">
    <cfRule type="cellIs" dxfId="5090" priority="13192" stopIfTrue="1" operator="lessThanOrEqual">
      <formula>3.5</formula>
    </cfRule>
    <cfRule type="cellIs" dxfId="5089" priority="13193" stopIfTrue="1" operator="greaterThanOrEqual">
      <formula>7.5</formula>
    </cfRule>
    <cfRule type="cellIs" dxfId="5088" priority="13194" stopIfTrue="1" operator="between">
      <formula>3.51</formula>
      <formula>7.49</formula>
    </cfRule>
  </conditionalFormatting>
  <conditionalFormatting sqref="AA3888">
    <cfRule type="cellIs" dxfId="5087" priority="13187" stopIfTrue="1" operator="lessThanOrEqual">
      <formula>3.5</formula>
    </cfRule>
    <cfRule type="cellIs" dxfId="5086" priority="13188" stopIfTrue="1" operator="greaterThanOrEqual">
      <formula>7.5</formula>
    </cfRule>
    <cfRule type="cellIs" dxfId="5085" priority="13189" stopIfTrue="1" operator="between">
      <formula>3.51</formula>
      <formula>7.49</formula>
    </cfRule>
  </conditionalFormatting>
  <conditionalFormatting sqref="AA5266">
    <cfRule type="cellIs" dxfId="5084" priority="13182" stopIfTrue="1" operator="lessThanOrEqual">
      <formula>3.5</formula>
    </cfRule>
    <cfRule type="cellIs" dxfId="5083" priority="13183" stopIfTrue="1" operator="greaterThanOrEqual">
      <formula>7.5</formula>
    </cfRule>
    <cfRule type="cellIs" dxfId="5082" priority="13184" stopIfTrue="1" operator="between">
      <formula>3.51</formula>
      <formula>7.49</formula>
    </cfRule>
  </conditionalFormatting>
  <conditionalFormatting sqref="AA5267">
    <cfRule type="cellIs" dxfId="5081" priority="13177" stopIfTrue="1" operator="lessThanOrEqual">
      <formula>3.5</formula>
    </cfRule>
    <cfRule type="cellIs" dxfId="5080" priority="13178" stopIfTrue="1" operator="greaterThanOrEqual">
      <formula>7.5</formula>
    </cfRule>
    <cfRule type="cellIs" dxfId="5079" priority="13179" stopIfTrue="1" operator="between">
      <formula>3.51</formula>
      <formula>7.49</formula>
    </cfRule>
  </conditionalFormatting>
  <conditionalFormatting sqref="AA5258">
    <cfRule type="cellIs" dxfId="5078" priority="13172" stopIfTrue="1" operator="lessThanOrEqual">
      <formula>3.5</formula>
    </cfRule>
    <cfRule type="cellIs" dxfId="5077" priority="13173" stopIfTrue="1" operator="greaterThanOrEqual">
      <formula>7.5</formula>
    </cfRule>
    <cfRule type="cellIs" dxfId="5076" priority="13174" stopIfTrue="1" operator="between">
      <formula>3.51</formula>
      <formula>7.49</formula>
    </cfRule>
  </conditionalFormatting>
  <conditionalFormatting sqref="AA5224">
    <cfRule type="cellIs" dxfId="5075" priority="13167" stopIfTrue="1" operator="lessThanOrEqual">
      <formula>3.5</formula>
    </cfRule>
    <cfRule type="cellIs" dxfId="5074" priority="13168" stopIfTrue="1" operator="greaterThanOrEqual">
      <formula>7.5</formula>
    </cfRule>
    <cfRule type="cellIs" dxfId="5073" priority="13169" stopIfTrue="1" operator="between">
      <formula>3.51</formula>
      <formula>7.49</formula>
    </cfRule>
  </conditionalFormatting>
  <conditionalFormatting sqref="AA3237">
    <cfRule type="cellIs" dxfId="5072" priority="13162" stopIfTrue="1" operator="lessThanOrEqual">
      <formula>3.5</formula>
    </cfRule>
    <cfRule type="cellIs" dxfId="5071" priority="13163" stopIfTrue="1" operator="greaterThanOrEqual">
      <formula>7.5</formula>
    </cfRule>
    <cfRule type="cellIs" dxfId="5070" priority="13164" stopIfTrue="1" operator="between">
      <formula>3.51</formula>
      <formula>7.49</formula>
    </cfRule>
  </conditionalFormatting>
  <conditionalFormatting sqref="AA3236">
    <cfRule type="cellIs" dxfId="5069" priority="13157" stopIfTrue="1" operator="lessThanOrEqual">
      <formula>3.5</formula>
    </cfRule>
    <cfRule type="cellIs" dxfId="5068" priority="13158" stopIfTrue="1" operator="greaterThanOrEqual">
      <formula>7.5</formula>
    </cfRule>
    <cfRule type="cellIs" dxfId="5067" priority="13159" stopIfTrue="1" operator="between">
      <formula>3.51</formula>
      <formula>7.49</formula>
    </cfRule>
  </conditionalFormatting>
  <conditionalFormatting sqref="AA3234">
    <cfRule type="cellIs" dxfId="5066" priority="13152" stopIfTrue="1" operator="lessThanOrEqual">
      <formula>3.5</formula>
    </cfRule>
    <cfRule type="cellIs" dxfId="5065" priority="13153" stopIfTrue="1" operator="greaterThanOrEqual">
      <formula>7.5</formula>
    </cfRule>
    <cfRule type="cellIs" dxfId="5064" priority="13154" stopIfTrue="1" operator="between">
      <formula>3.51</formula>
      <formula>7.49</formula>
    </cfRule>
  </conditionalFormatting>
  <conditionalFormatting sqref="AA3238">
    <cfRule type="cellIs" dxfId="5063" priority="13147" stopIfTrue="1" operator="lessThanOrEqual">
      <formula>3.5</formula>
    </cfRule>
    <cfRule type="cellIs" dxfId="5062" priority="13148" stopIfTrue="1" operator="greaterThanOrEqual">
      <formula>7.5</formula>
    </cfRule>
    <cfRule type="cellIs" dxfId="5061" priority="13149" stopIfTrue="1" operator="between">
      <formula>3.51</formula>
      <formula>7.49</formula>
    </cfRule>
  </conditionalFormatting>
  <conditionalFormatting sqref="AA3299">
    <cfRule type="cellIs" dxfId="5060" priority="13142" stopIfTrue="1" operator="lessThanOrEqual">
      <formula>3.5</formula>
    </cfRule>
    <cfRule type="cellIs" dxfId="5059" priority="13143" stopIfTrue="1" operator="greaterThanOrEqual">
      <formula>7.5</formula>
    </cfRule>
    <cfRule type="cellIs" dxfId="5058" priority="13144" stopIfTrue="1" operator="between">
      <formula>3.51</formula>
      <formula>7.49</formula>
    </cfRule>
  </conditionalFormatting>
  <conditionalFormatting sqref="AA3298">
    <cfRule type="cellIs" dxfId="5057" priority="13137" stopIfTrue="1" operator="lessThanOrEqual">
      <formula>3.5</formula>
    </cfRule>
    <cfRule type="cellIs" dxfId="5056" priority="13138" stopIfTrue="1" operator="greaterThanOrEqual">
      <formula>7.5</formula>
    </cfRule>
    <cfRule type="cellIs" dxfId="5055" priority="13139" stopIfTrue="1" operator="between">
      <formula>3.51</formula>
      <formula>7.49</formula>
    </cfRule>
  </conditionalFormatting>
  <conditionalFormatting sqref="AA3218">
    <cfRule type="cellIs" dxfId="5054" priority="13132" stopIfTrue="1" operator="lessThanOrEqual">
      <formula>3.5</formula>
    </cfRule>
    <cfRule type="cellIs" dxfId="5053" priority="13133" stopIfTrue="1" operator="greaterThanOrEqual">
      <formula>7.5</formula>
    </cfRule>
    <cfRule type="cellIs" dxfId="5052" priority="13134" stopIfTrue="1" operator="between">
      <formula>3.51</formula>
      <formula>7.49</formula>
    </cfRule>
  </conditionalFormatting>
  <conditionalFormatting sqref="AA5193">
    <cfRule type="cellIs" dxfId="5051" priority="13125" stopIfTrue="1" operator="lessThanOrEqual">
      <formula>3.5</formula>
    </cfRule>
    <cfRule type="cellIs" dxfId="5050" priority="13126" stopIfTrue="1" operator="greaterThanOrEqual">
      <formula>7.5</formula>
    </cfRule>
    <cfRule type="cellIs" dxfId="5049" priority="13127" stopIfTrue="1" operator="between">
      <formula>3.51</formula>
      <formula>7.49</formula>
    </cfRule>
  </conditionalFormatting>
  <conditionalFormatting sqref="AA5308">
    <cfRule type="cellIs" dxfId="5048" priority="13118" stopIfTrue="1" operator="lessThanOrEqual">
      <formula>3.5</formula>
    </cfRule>
    <cfRule type="cellIs" dxfId="5047" priority="13119" stopIfTrue="1" operator="greaterThanOrEqual">
      <formula>7.5</formula>
    </cfRule>
    <cfRule type="cellIs" dxfId="5046" priority="13120" stopIfTrue="1" operator="between">
      <formula>3.51</formula>
      <formula>7.49</formula>
    </cfRule>
  </conditionalFormatting>
  <conditionalFormatting sqref="AA3903">
    <cfRule type="cellIs" dxfId="5045" priority="13111" stopIfTrue="1" operator="lessThanOrEqual">
      <formula>3.5</formula>
    </cfRule>
    <cfRule type="cellIs" dxfId="5044" priority="13112" stopIfTrue="1" operator="greaterThanOrEqual">
      <formula>7.5</formula>
    </cfRule>
    <cfRule type="cellIs" dxfId="5043" priority="13113" stopIfTrue="1" operator="between">
      <formula>3.51</formula>
      <formula>7.49</formula>
    </cfRule>
  </conditionalFormatting>
  <conditionalFormatting sqref="AA3901">
    <cfRule type="cellIs" dxfId="5042" priority="13106" stopIfTrue="1" operator="lessThanOrEqual">
      <formula>3.5</formula>
    </cfRule>
    <cfRule type="cellIs" dxfId="5041" priority="13107" stopIfTrue="1" operator="greaterThanOrEqual">
      <formula>7.5</formula>
    </cfRule>
    <cfRule type="cellIs" dxfId="5040" priority="13108" stopIfTrue="1" operator="between">
      <formula>3.51</formula>
      <formula>7.49</formula>
    </cfRule>
  </conditionalFormatting>
  <conditionalFormatting sqref="AA3900">
    <cfRule type="cellIs" dxfId="5039" priority="13101" stopIfTrue="1" operator="lessThanOrEqual">
      <formula>3.5</formula>
    </cfRule>
    <cfRule type="cellIs" dxfId="5038" priority="13102" stopIfTrue="1" operator="greaterThanOrEqual">
      <formula>7.5</formula>
    </cfRule>
    <cfRule type="cellIs" dxfId="5037" priority="13103" stopIfTrue="1" operator="between">
      <formula>3.51</formula>
      <formula>7.49</formula>
    </cfRule>
  </conditionalFormatting>
  <conditionalFormatting sqref="AA3898">
    <cfRule type="cellIs" dxfId="5036" priority="13096" stopIfTrue="1" operator="lessThanOrEqual">
      <formula>3.5</formula>
    </cfRule>
    <cfRule type="cellIs" dxfId="5035" priority="13097" stopIfTrue="1" operator="greaterThanOrEqual">
      <formula>7.5</formula>
    </cfRule>
    <cfRule type="cellIs" dxfId="5034" priority="13098" stopIfTrue="1" operator="between">
      <formula>3.51</formula>
      <formula>7.49</formula>
    </cfRule>
  </conditionalFormatting>
  <conditionalFormatting sqref="AA5074">
    <cfRule type="cellIs" dxfId="5033" priority="13088" stopIfTrue="1" operator="lessThanOrEqual">
      <formula>3.5</formula>
    </cfRule>
    <cfRule type="cellIs" dxfId="5032" priority="13089" stopIfTrue="1" operator="greaterThanOrEqual">
      <formula>7.5</formula>
    </cfRule>
    <cfRule type="cellIs" dxfId="5031" priority="13090" stopIfTrue="1" operator="between">
      <formula>3.51</formula>
      <formula>7.49</formula>
    </cfRule>
  </conditionalFormatting>
  <conditionalFormatting sqref="AA4956">
    <cfRule type="cellIs" dxfId="5030" priority="13085" stopIfTrue="1" operator="lessThanOrEqual">
      <formula>3.5</formula>
    </cfRule>
    <cfRule type="cellIs" dxfId="5029" priority="13086" stopIfTrue="1" operator="greaterThanOrEqual">
      <formula>7.5</formula>
    </cfRule>
    <cfRule type="cellIs" dxfId="5028" priority="13087" stopIfTrue="1" operator="between">
      <formula>3.51</formula>
      <formula>7.49</formula>
    </cfRule>
  </conditionalFormatting>
  <conditionalFormatting sqref="AA4686">
    <cfRule type="cellIs" dxfId="5027" priority="13082" stopIfTrue="1" operator="lessThanOrEqual">
      <formula>3.5</formula>
    </cfRule>
    <cfRule type="cellIs" dxfId="5026" priority="13083" stopIfTrue="1" operator="greaterThanOrEqual">
      <formula>7.5</formula>
    </cfRule>
    <cfRule type="cellIs" dxfId="5025" priority="13084" stopIfTrue="1" operator="between">
      <formula>3.51</formula>
      <formula>7.49</formula>
    </cfRule>
  </conditionalFormatting>
  <conditionalFormatting sqref="AA4837">
    <cfRule type="cellIs" dxfId="5024" priority="13079" stopIfTrue="1" operator="lessThanOrEqual">
      <formula>3.5</formula>
    </cfRule>
    <cfRule type="cellIs" dxfId="5023" priority="13080" stopIfTrue="1" operator="greaterThanOrEqual">
      <formula>7.5</formula>
    </cfRule>
    <cfRule type="cellIs" dxfId="5022" priority="13081" stopIfTrue="1" operator="between">
      <formula>3.51</formula>
      <formula>7.49</formula>
    </cfRule>
  </conditionalFormatting>
  <conditionalFormatting sqref="AA4840">
    <cfRule type="cellIs" dxfId="5021" priority="13076" stopIfTrue="1" operator="lessThanOrEqual">
      <formula>3.5</formula>
    </cfRule>
    <cfRule type="cellIs" dxfId="5020" priority="13077" stopIfTrue="1" operator="greaterThanOrEqual">
      <formula>7.5</formula>
    </cfRule>
    <cfRule type="cellIs" dxfId="5019" priority="13078" stopIfTrue="1" operator="between">
      <formula>3.51</formula>
      <formula>7.49</formula>
    </cfRule>
  </conditionalFormatting>
  <conditionalFormatting sqref="AA4959">
    <cfRule type="cellIs" dxfId="5018" priority="13050" stopIfTrue="1" operator="lessThanOrEqual">
      <formula>3.5</formula>
    </cfRule>
    <cfRule type="cellIs" dxfId="5017" priority="13051" stopIfTrue="1" operator="greaterThanOrEqual">
      <formula>7.5</formula>
    </cfRule>
    <cfRule type="cellIs" dxfId="5016" priority="13052" stopIfTrue="1" operator="between">
      <formula>3.51</formula>
      <formula>7.49</formula>
    </cfRule>
  </conditionalFormatting>
  <conditionalFormatting sqref="AA228">
    <cfRule type="cellIs" dxfId="5015" priority="13039" stopIfTrue="1" operator="lessThanOrEqual">
      <formula>3.5</formula>
    </cfRule>
    <cfRule type="cellIs" dxfId="5014" priority="13040" stopIfTrue="1" operator="greaterThanOrEqual">
      <formula>7.5</formula>
    </cfRule>
    <cfRule type="cellIs" dxfId="5013" priority="13041" stopIfTrue="1" operator="between">
      <formula>3.51</formula>
      <formula>7.49</formula>
    </cfRule>
  </conditionalFormatting>
  <conditionalFormatting sqref="AA129">
    <cfRule type="cellIs" dxfId="5012" priority="13021" stopIfTrue="1" operator="lessThanOrEqual">
      <formula>3.5</formula>
    </cfRule>
    <cfRule type="cellIs" dxfId="5011" priority="13022" stopIfTrue="1" operator="greaterThanOrEqual">
      <formula>7.5</formula>
    </cfRule>
    <cfRule type="cellIs" dxfId="5010" priority="13023" stopIfTrue="1" operator="between">
      <formula>3.51</formula>
      <formula>7.49</formula>
    </cfRule>
  </conditionalFormatting>
  <conditionalFormatting sqref="AA634">
    <cfRule type="cellIs" dxfId="5009" priority="13003" stopIfTrue="1" operator="lessThanOrEqual">
      <formula>3.5</formula>
    </cfRule>
    <cfRule type="cellIs" dxfId="5008" priority="13004" stopIfTrue="1" operator="greaterThanOrEqual">
      <formula>7.5</formula>
    </cfRule>
    <cfRule type="cellIs" dxfId="5007" priority="13005" stopIfTrue="1" operator="between">
      <formula>3.51</formula>
      <formula>7.49</formula>
    </cfRule>
  </conditionalFormatting>
  <conditionalFormatting sqref="AA455">
    <cfRule type="cellIs" dxfId="5006" priority="12994" stopIfTrue="1" operator="lessThanOrEqual">
      <formula>3.5</formula>
    </cfRule>
    <cfRule type="cellIs" dxfId="5005" priority="12995" stopIfTrue="1" operator="greaterThanOrEqual">
      <formula>7.5</formula>
    </cfRule>
    <cfRule type="cellIs" dxfId="5004" priority="12996" stopIfTrue="1" operator="between">
      <formula>3.51</formula>
      <formula>7.49</formula>
    </cfRule>
  </conditionalFormatting>
  <conditionalFormatting sqref="AA163">
    <cfRule type="cellIs" dxfId="5003" priority="12985" stopIfTrue="1" operator="lessThanOrEqual">
      <formula>3.5</formula>
    </cfRule>
    <cfRule type="cellIs" dxfId="5002" priority="12986" stopIfTrue="1" operator="greaterThanOrEqual">
      <formula>7.5</formula>
    </cfRule>
    <cfRule type="cellIs" dxfId="5001" priority="12987" stopIfTrue="1" operator="between">
      <formula>3.51</formula>
      <formula>7.49</formula>
    </cfRule>
  </conditionalFormatting>
  <conditionalFormatting sqref="AA471">
    <cfRule type="cellIs" dxfId="5000" priority="12976" stopIfTrue="1" operator="lessThanOrEqual">
      <formula>3.5</formula>
    </cfRule>
    <cfRule type="cellIs" dxfId="4999" priority="12977" stopIfTrue="1" operator="greaterThanOrEqual">
      <formula>7.5</formula>
    </cfRule>
    <cfRule type="cellIs" dxfId="4998" priority="12978" stopIfTrue="1" operator="between">
      <formula>3.51</formula>
      <formula>7.49</formula>
    </cfRule>
  </conditionalFormatting>
  <conditionalFormatting sqref="AA576">
    <cfRule type="cellIs" dxfId="4997" priority="12960" stopIfTrue="1" operator="lessThanOrEqual">
      <formula>3.5</formula>
    </cfRule>
    <cfRule type="cellIs" dxfId="4996" priority="12961" stopIfTrue="1" operator="greaterThanOrEqual">
      <formula>7.5</formula>
    </cfRule>
    <cfRule type="cellIs" dxfId="4995" priority="12962" stopIfTrue="1" operator="between">
      <formula>3.51</formula>
      <formula>7.49</formula>
    </cfRule>
  </conditionalFormatting>
  <conditionalFormatting sqref="AA863">
    <cfRule type="cellIs" dxfId="4994" priority="12954" stopIfTrue="1" operator="lessThanOrEqual">
      <formula>3.5</formula>
    </cfRule>
    <cfRule type="cellIs" dxfId="4993" priority="12955" stopIfTrue="1" operator="greaterThanOrEqual">
      <formula>7.5</formula>
    </cfRule>
    <cfRule type="cellIs" dxfId="4992" priority="12956" stopIfTrue="1" operator="between">
      <formula>3.51</formula>
      <formula>7.49</formula>
    </cfRule>
  </conditionalFormatting>
  <conditionalFormatting sqref="AA952">
    <cfRule type="cellIs" dxfId="4991" priority="12948" stopIfTrue="1" operator="lessThanOrEqual">
      <formula>3.5</formula>
    </cfRule>
    <cfRule type="cellIs" dxfId="4990" priority="12949" stopIfTrue="1" operator="greaterThanOrEqual">
      <formula>7.5</formula>
    </cfRule>
    <cfRule type="cellIs" dxfId="4989" priority="12950" stopIfTrue="1" operator="between">
      <formula>3.51</formula>
      <formula>7.49</formula>
    </cfRule>
  </conditionalFormatting>
  <conditionalFormatting sqref="AA1045">
    <cfRule type="cellIs" dxfId="4988" priority="12942" stopIfTrue="1" operator="lessThanOrEqual">
      <formula>3.5</formula>
    </cfRule>
    <cfRule type="cellIs" dxfId="4987" priority="12943" stopIfTrue="1" operator="greaterThanOrEqual">
      <formula>7.5</formula>
    </cfRule>
    <cfRule type="cellIs" dxfId="4986" priority="12944" stopIfTrue="1" operator="between">
      <formula>3.51</formula>
      <formula>7.49</formula>
    </cfRule>
  </conditionalFormatting>
  <conditionalFormatting sqref="AA793">
    <cfRule type="cellIs" dxfId="4985" priority="12934" stopIfTrue="1" operator="lessThanOrEqual">
      <formula>3.5</formula>
    </cfRule>
    <cfRule type="cellIs" dxfId="4984" priority="12935" stopIfTrue="1" operator="greaterThanOrEqual">
      <formula>7.5</formula>
    </cfRule>
    <cfRule type="cellIs" dxfId="4983" priority="12936" stopIfTrue="1" operator="between">
      <formula>3.51</formula>
      <formula>7.49</formula>
    </cfRule>
  </conditionalFormatting>
  <conditionalFormatting sqref="AA799">
    <cfRule type="cellIs" dxfId="4982" priority="12926" stopIfTrue="1" operator="lessThanOrEqual">
      <formula>3.5</formula>
    </cfRule>
    <cfRule type="cellIs" dxfId="4981" priority="12927" stopIfTrue="1" operator="greaterThanOrEqual">
      <formula>7.5</formula>
    </cfRule>
    <cfRule type="cellIs" dxfId="4980" priority="12928" stopIfTrue="1" operator="between">
      <formula>3.51</formula>
      <formula>7.49</formula>
    </cfRule>
  </conditionalFormatting>
  <conditionalFormatting sqref="AA1222">
    <cfRule type="cellIs" dxfId="4979" priority="12918" stopIfTrue="1" operator="lessThanOrEqual">
      <formula>3.5</formula>
    </cfRule>
    <cfRule type="cellIs" dxfId="4978" priority="12919" stopIfTrue="1" operator="greaterThanOrEqual">
      <formula>7.5</formula>
    </cfRule>
    <cfRule type="cellIs" dxfId="4977" priority="12920" stopIfTrue="1" operator="between">
      <formula>3.51</formula>
      <formula>7.49</formula>
    </cfRule>
  </conditionalFormatting>
  <conditionalFormatting sqref="AA1235">
    <cfRule type="cellIs" dxfId="4976" priority="12911" stopIfTrue="1" operator="lessThanOrEqual">
      <formula>3.5</formula>
    </cfRule>
    <cfRule type="cellIs" dxfId="4975" priority="12912" stopIfTrue="1" operator="greaterThanOrEqual">
      <formula>7.5</formula>
    </cfRule>
    <cfRule type="cellIs" dxfId="4974" priority="12913" stopIfTrue="1" operator="between">
      <formula>3.51</formula>
      <formula>7.49</formula>
    </cfRule>
  </conditionalFormatting>
  <conditionalFormatting sqref="AA1264">
    <cfRule type="cellIs" dxfId="4973" priority="12904" stopIfTrue="1" operator="lessThanOrEqual">
      <formula>3.5</formula>
    </cfRule>
    <cfRule type="cellIs" dxfId="4972" priority="12905" stopIfTrue="1" operator="greaterThanOrEqual">
      <formula>7.5</formula>
    </cfRule>
    <cfRule type="cellIs" dxfId="4971" priority="12906" stopIfTrue="1" operator="between">
      <formula>3.51</formula>
      <formula>7.49</formula>
    </cfRule>
  </conditionalFormatting>
  <conditionalFormatting sqref="AA1409">
    <cfRule type="cellIs" dxfId="4970" priority="12897" stopIfTrue="1" operator="lessThanOrEqual">
      <formula>3.5</formula>
    </cfRule>
    <cfRule type="cellIs" dxfId="4969" priority="12898" stopIfTrue="1" operator="greaterThanOrEqual">
      <formula>7.5</formula>
    </cfRule>
    <cfRule type="cellIs" dxfId="4968" priority="12899" stopIfTrue="1" operator="between">
      <formula>3.51</formula>
      <formula>7.49</formula>
    </cfRule>
  </conditionalFormatting>
  <conditionalFormatting sqref="AA1408">
    <cfRule type="cellIs" dxfId="4967" priority="12888" stopIfTrue="1" operator="lessThanOrEqual">
      <formula>3.5</formula>
    </cfRule>
    <cfRule type="cellIs" dxfId="4966" priority="12889" stopIfTrue="1" operator="greaterThanOrEqual">
      <formula>7.5</formula>
    </cfRule>
    <cfRule type="cellIs" dxfId="4965" priority="12890" stopIfTrue="1" operator="between">
      <formula>3.51</formula>
      <formula>7.49</formula>
    </cfRule>
  </conditionalFormatting>
  <conditionalFormatting sqref="AA1469">
    <cfRule type="cellIs" dxfId="4964" priority="12879" stopIfTrue="1" operator="lessThanOrEqual">
      <formula>3.5</formula>
    </cfRule>
    <cfRule type="cellIs" dxfId="4963" priority="12880" stopIfTrue="1" operator="greaterThanOrEqual">
      <formula>7.5</formula>
    </cfRule>
    <cfRule type="cellIs" dxfId="4962" priority="12881" stopIfTrue="1" operator="between">
      <formula>3.51</formula>
      <formula>7.49</formula>
    </cfRule>
  </conditionalFormatting>
  <conditionalFormatting sqref="AA1479">
    <cfRule type="cellIs" dxfId="4961" priority="12872" stopIfTrue="1" operator="lessThanOrEqual">
      <formula>3.5</formula>
    </cfRule>
    <cfRule type="cellIs" dxfId="4960" priority="12873" stopIfTrue="1" operator="greaterThanOrEqual">
      <formula>7.5</formula>
    </cfRule>
    <cfRule type="cellIs" dxfId="4959" priority="12874" stopIfTrue="1" operator="between">
      <formula>3.51</formula>
      <formula>7.49</formula>
    </cfRule>
  </conditionalFormatting>
  <conditionalFormatting sqref="AA1497">
    <cfRule type="cellIs" dxfId="4958" priority="12865" stopIfTrue="1" operator="lessThanOrEqual">
      <formula>3.5</formula>
    </cfRule>
    <cfRule type="cellIs" dxfId="4957" priority="12866" stopIfTrue="1" operator="greaterThanOrEqual">
      <formula>7.5</formula>
    </cfRule>
    <cfRule type="cellIs" dxfId="4956" priority="12867" stopIfTrue="1" operator="between">
      <formula>3.51</formula>
      <formula>7.49</formula>
    </cfRule>
  </conditionalFormatting>
  <conditionalFormatting sqref="AA1543">
    <cfRule type="cellIs" dxfId="4955" priority="12859" stopIfTrue="1" operator="lessThanOrEqual">
      <formula>3.5</formula>
    </cfRule>
    <cfRule type="cellIs" dxfId="4954" priority="12860" stopIfTrue="1" operator="greaterThanOrEqual">
      <formula>7.5</formula>
    </cfRule>
    <cfRule type="cellIs" dxfId="4953" priority="12861" stopIfTrue="1" operator="between">
      <formula>3.51</formula>
      <formula>7.49</formula>
    </cfRule>
  </conditionalFormatting>
  <conditionalFormatting sqref="AA1596">
    <cfRule type="cellIs" dxfId="4952" priority="12852" stopIfTrue="1" operator="lessThanOrEqual">
      <formula>3.5</formula>
    </cfRule>
    <cfRule type="cellIs" dxfId="4951" priority="12853" stopIfTrue="1" operator="greaterThanOrEqual">
      <formula>7.5</formula>
    </cfRule>
    <cfRule type="cellIs" dxfId="4950" priority="12854" stopIfTrue="1" operator="between">
      <formula>3.51</formula>
      <formula>7.49</formula>
    </cfRule>
  </conditionalFormatting>
  <conditionalFormatting sqref="AA107">
    <cfRule type="cellIs" dxfId="4949" priority="12846" stopIfTrue="1" operator="lessThanOrEqual">
      <formula>3.5</formula>
    </cfRule>
    <cfRule type="cellIs" dxfId="4948" priority="12847" stopIfTrue="1" operator="greaterThanOrEqual">
      <formula>7.5</formula>
    </cfRule>
    <cfRule type="cellIs" dxfId="4947" priority="12848" stopIfTrue="1" operator="between">
      <formula>3.51</formula>
      <formula>7.49</formula>
    </cfRule>
  </conditionalFormatting>
  <conditionalFormatting sqref="AA679:AA681">
    <cfRule type="cellIs" dxfId="4946" priority="12828" stopIfTrue="1" operator="lessThanOrEqual">
      <formula>3.5</formula>
    </cfRule>
    <cfRule type="cellIs" dxfId="4945" priority="12829" stopIfTrue="1" operator="greaterThanOrEqual">
      <formula>7.5</formula>
    </cfRule>
    <cfRule type="cellIs" dxfId="4944" priority="12830" stopIfTrue="1" operator="between">
      <formula>3.51</formula>
      <formula>7.49</formula>
    </cfRule>
  </conditionalFormatting>
  <conditionalFormatting sqref="AA678">
    <cfRule type="cellIs" dxfId="4943" priority="12818" stopIfTrue="1" operator="lessThanOrEqual">
      <formula>3.5</formula>
    </cfRule>
    <cfRule type="cellIs" dxfId="4942" priority="12819" stopIfTrue="1" operator="greaterThanOrEqual">
      <formula>7.5</formula>
    </cfRule>
    <cfRule type="cellIs" dxfId="4941" priority="12820" stopIfTrue="1" operator="between">
      <formula>3.51</formula>
      <formula>7.49</formula>
    </cfRule>
  </conditionalFormatting>
  <conditionalFormatting sqref="AA696">
    <cfRule type="cellIs" dxfId="4940" priority="12808" stopIfTrue="1" operator="lessThanOrEqual">
      <formula>3.5</formula>
    </cfRule>
    <cfRule type="cellIs" dxfId="4939" priority="12809" stopIfTrue="1" operator="greaterThanOrEqual">
      <formula>7.5</formula>
    </cfRule>
    <cfRule type="cellIs" dxfId="4938" priority="12810" stopIfTrue="1" operator="between">
      <formula>3.51</formula>
      <formula>7.49</formula>
    </cfRule>
  </conditionalFormatting>
  <conditionalFormatting sqref="AA655">
    <cfRule type="cellIs" dxfId="4937" priority="12798" stopIfTrue="1" operator="lessThanOrEqual">
      <formula>3.5</formula>
    </cfRule>
    <cfRule type="cellIs" dxfId="4936" priority="12799" stopIfTrue="1" operator="greaterThanOrEqual">
      <formula>7.5</formula>
    </cfRule>
    <cfRule type="cellIs" dxfId="4935" priority="12800" stopIfTrue="1" operator="between">
      <formula>3.51</formula>
      <formula>7.49</formula>
    </cfRule>
  </conditionalFormatting>
  <conditionalFormatting sqref="AA533">
    <cfRule type="cellIs" dxfId="4934" priority="12789" stopIfTrue="1" operator="lessThanOrEqual">
      <formula>3.5</formula>
    </cfRule>
    <cfRule type="cellIs" dxfId="4933" priority="12790" stopIfTrue="1" operator="greaterThanOrEqual">
      <formula>7.5</formula>
    </cfRule>
    <cfRule type="cellIs" dxfId="4932" priority="12791" stopIfTrue="1" operator="between">
      <formula>3.51</formula>
      <formula>7.49</formula>
    </cfRule>
  </conditionalFormatting>
  <conditionalFormatting sqref="AA77">
    <cfRule type="cellIs" dxfId="4931" priority="12780" stopIfTrue="1" operator="lessThanOrEqual">
      <formula>3.5</formula>
    </cfRule>
    <cfRule type="cellIs" dxfId="4930" priority="12781" stopIfTrue="1" operator="greaterThanOrEqual">
      <formula>7.5</formula>
    </cfRule>
    <cfRule type="cellIs" dxfId="4929" priority="12782" stopIfTrue="1" operator="between">
      <formula>3.51</formula>
      <formula>7.49</formula>
    </cfRule>
  </conditionalFormatting>
  <conditionalFormatting sqref="AA460">
    <cfRule type="cellIs" dxfId="4928" priority="12771" stopIfTrue="1" operator="lessThanOrEqual">
      <formula>3.5</formula>
    </cfRule>
    <cfRule type="cellIs" dxfId="4927" priority="12772" stopIfTrue="1" operator="greaterThanOrEqual">
      <formula>7.5</formula>
    </cfRule>
    <cfRule type="cellIs" dxfId="4926" priority="12773" stopIfTrue="1" operator="between">
      <formula>3.51</formula>
      <formula>7.49</formula>
    </cfRule>
  </conditionalFormatting>
  <conditionalFormatting sqref="AA704">
    <cfRule type="cellIs" dxfId="4925" priority="12762" stopIfTrue="1" operator="lessThanOrEqual">
      <formula>3.5</formula>
    </cfRule>
    <cfRule type="cellIs" dxfId="4924" priority="12763" stopIfTrue="1" operator="greaterThanOrEqual">
      <formula>7.5</formula>
    </cfRule>
    <cfRule type="cellIs" dxfId="4923" priority="12764" stopIfTrue="1" operator="between">
      <formula>3.51</formula>
      <formula>7.49</formula>
    </cfRule>
  </conditionalFormatting>
  <conditionalFormatting sqref="AA707">
    <cfRule type="cellIs" dxfId="4922" priority="12753" stopIfTrue="1" operator="lessThanOrEqual">
      <formula>3.5</formula>
    </cfRule>
    <cfRule type="cellIs" dxfId="4921" priority="12754" stopIfTrue="1" operator="greaterThanOrEqual">
      <formula>7.5</formula>
    </cfRule>
    <cfRule type="cellIs" dxfId="4920" priority="12755" stopIfTrue="1" operator="between">
      <formula>3.51</formula>
      <formula>7.49</formula>
    </cfRule>
  </conditionalFormatting>
  <conditionalFormatting sqref="AA299">
    <cfRule type="cellIs" dxfId="4919" priority="12744" stopIfTrue="1" operator="lessThanOrEqual">
      <formula>3.5</formula>
    </cfRule>
    <cfRule type="cellIs" dxfId="4918" priority="12745" stopIfTrue="1" operator="greaterThanOrEqual">
      <formula>7.5</formula>
    </cfRule>
    <cfRule type="cellIs" dxfId="4917" priority="12746" stopIfTrue="1" operator="between">
      <formula>3.51</formula>
      <formula>7.49</formula>
    </cfRule>
  </conditionalFormatting>
  <conditionalFormatting sqref="AA694">
    <cfRule type="cellIs" dxfId="4916" priority="12735" stopIfTrue="1" operator="lessThanOrEqual">
      <formula>3.5</formula>
    </cfRule>
    <cfRule type="cellIs" dxfId="4915" priority="12736" stopIfTrue="1" operator="greaterThanOrEqual">
      <formula>7.5</formula>
    </cfRule>
    <cfRule type="cellIs" dxfId="4914" priority="12737" stopIfTrue="1" operator="between">
      <formula>3.51</formula>
      <formula>7.49</formula>
    </cfRule>
  </conditionalFormatting>
  <conditionalFormatting sqref="AA448">
    <cfRule type="cellIs" dxfId="4913" priority="12726" stopIfTrue="1" operator="lessThanOrEqual">
      <formula>3.5</formula>
    </cfRule>
    <cfRule type="cellIs" dxfId="4912" priority="12727" stopIfTrue="1" operator="greaterThanOrEqual">
      <formula>7.5</formula>
    </cfRule>
    <cfRule type="cellIs" dxfId="4911" priority="12728" stopIfTrue="1" operator="between">
      <formula>3.51</formula>
      <formula>7.49</formula>
    </cfRule>
  </conditionalFormatting>
  <conditionalFormatting sqref="AA465">
    <cfRule type="cellIs" dxfId="4910" priority="12716" stopIfTrue="1" operator="lessThanOrEqual">
      <formula>3.5</formula>
    </cfRule>
    <cfRule type="cellIs" dxfId="4909" priority="12717" stopIfTrue="1" operator="greaterThanOrEqual">
      <formula>7.5</formula>
    </cfRule>
    <cfRule type="cellIs" dxfId="4908" priority="12718" stopIfTrue="1" operator="between">
      <formula>3.51</formula>
      <formula>7.49</formula>
    </cfRule>
  </conditionalFormatting>
  <conditionalFormatting sqref="AA137">
    <cfRule type="cellIs" dxfId="4907" priority="12707" stopIfTrue="1" operator="lessThanOrEqual">
      <formula>3.5</formula>
    </cfRule>
    <cfRule type="cellIs" dxfId="4906" priority="12708" stopIfTrue="1" operator="greaterThanOrEqual">
      <formula>7.5</formula>
    </cfRule>
    <cfRule type="cellIs" dxfId="4905" priority="12709" stopIfTrue="1" operator="between">
      <formula>3.51</formula>
      <formula>7.49</formula>
    </cfRule>
  </conditionalFormatting>
  <conditionalFormatting sqref="AA855">
    <cfRule type="cellIs" dxfId="4904" priority="12698" stopIfTrue="1" operator="lessThanOrEqual">
      <formula>3.5</formula>
    </cfRule>
    <cfRule type="cellIs" dxfId="4903" priority="12699" stopIfTrue="1" operator="greaterThanOrEqual">
      <formula>7.5</formula>
    </cfRule>
    <cfRule type="cellIs" dxfId="4902" priority="12700" stopIfTrue="1" operator="between">
      <formula>3.51</formula>
      <formula>7.49</formula>
    </cfRule>
  </conditionalFormatting>
  <conditionalFormatting sqref="AA2635">
    <cfRule type="cellIs" dxfId="4901" priority="12692" stopIfTrue="1" operator="lessThanOrEqual">
      <formula>3.5</formula>
    </cfRule>
    <cfRule type="cellIs" dxfId="4900" priority="12693" stopIfTrue="1" operator="greaterThanOrEqual">
      <formula>7.5</formula>
    </cfRule>
    <cfRule type="cellIs" dxfId="4899" priority="12694" stopIfTrue="1" operator="between">
      <formula>3.51</formula>
      <formula>7.49</formula>
    </cfRule>
  </conditionalFormatting>
  <conditionalFormatting sqref="AA2691">
    <cfRule type="cellIs" dxfId="4898" priority="12684" stopIfTrue="1" operator="lessThanOrEqual">
      <formula>3.5</formula>
    </cfRule>
    <cfRule type="cellIs" dxfId="4897" priority="12685" stopIfTrue="1" operator="greaterThanOrEqual">
      <formula>7.5</formula>
    </cfRule>
    <cfRule type="cellIs" dxfId="4896" priority="12686" stopIfTrue="1" operator="between">
      <formula>3.51</formula>
      <formula>7.49</formula>
    </cfRule>
  </conditionalFormatting>
  <conditionalFormatting sqref="AA1840">
    <cfRule type="cellIs" dxfId="4895" priority="12677" stopIfTrue="1" operator="lessThanOrEqual">
      <formula>3.5</formula>
    </cfRule>
    <cfRule type="cellIs" dxfId="4894" priority="12678" stopIfTrue="1" operator="greaterThanOrEqual">
      <formula>7.5</formula>
    </cfRule>
    <cfRule type="cellIs" dxfId="4893" priority="12679" stopIfTrue="1" operator="between">
      <formula>3.51</formula>
      <formula>7.49</formula>
    </cfRule>
  </conditionalFormatting>
  <conditionalFormatting sqref="AA1839">
    <cfRule type="cellIs" dxfId="4892" priority="12670" stopIfTrue="1" operator="lessThanOrEqual">
      <formula>3.5</formula>
    </cfRule>
    <cfRule type="cellIs" dxfId="4891" priority="12671" stopIfTrue="1" operator="greaterThanOrEqual">
      <formula>7.5</formula>
    </cfRule>
    <cfRule type="cellIs" dxfId="4890" priority="12672" stopIfTrue="1" operator="between">
      <formula>3.51</formula>
      <formula>7.49</formula>
    </cfRule>
  </conditionalFormatting>
  <conditionalFormatting sqref="AA1837">
    <cfRule type="cellIs" dxfId="4889" priority="12663" stopIfTrue="1" operator="lessThanOrEqual">
      <formula>3.5</formula>
    </cfRule>
    <cfRule type="cellIs" dxfId="4888" priority="12664" stopIfTrue="1" operator="greaterThanOrEqual">
      <formula>7.5</formula>
    </cfRule>
    <cfRule type="cellIs" dxfId="4887" priority="12665" stopIfTrue="1" operator="between">
      <formula>3.51</formula>
      <formula>7.49</formula>
    </cfRule>
  </conditionalFormatting>
  <conditionalFormatting sqref="AA1836">
    <cfRule type="cellIs" dxfId="4886" priority="12656" stopIfTrue="1" operator="lessThanOrEqual">
      <formula>3.5</formula>
    </cfRule>
    <cfRule type="cellIs" dxfId="4885" priority="12657" stopIfTrue="1" operator="greaterThanOrEqual">
      <formula>7.5</formula>
    </cfRule>
    <cfRule type="cellIs" dxfId="4884" priority="12658" stopIfTrue="1" operator="between">
      <formula>3.51</formula>
      <formula>7.49</formula>
    </cfRule>
  </conditionalFormatting>
  <conditionalFormatting sqref="AA2362">
    <cfRule type="cellIs" dxfId="4883" priority="12649" stopIfTrue="1" operator="lessThanOrEqual">
      <formula>3.5</formula>
    </cfRule>
    <cfRule type="cellIs" dxfId="4882" priority="12650" stopIfTrue="1" operator="greaterThanOrEqual">
      <formula>7.5</formula>
    </cfRule>
    <cfRule type="cellIs" dxfId="4881" priority="12651" stopIfTrue="1" operator="between">
      <formula>3.51</formula>
      <formula>7.49</formula>
    </cfRule>
  </conditionalFormatting>
  <conditionalFormatting sqref="AA5132">
    <cfRule type="cellIs" dxfId="4880" priority="12622" stopIfTrue="1" operator="lessThanOrEqual">
      <formula>3.5</formula>
    </cfRule>
    <cfRule type="cellIs" dxfId="4879" priority="12623" stopIfTrue="1" operator="greaterThanOrEqual">
      <formula>7.5</formula>
    </cfRule>
    <cfRule type="cellIs" dxfId="4878" priority="12624" stopIfTrue="1" operator="between">
      <formula>3.51</formula>
      <formula>7.49</formula>
    </cfRule>
  </conditionalFormatting>
  <conditionalFormatting sqref="AA5139">
    <cfRule type="cellIs" dxfId="4877" priority="12613" stopIfTrue="1" operator="lessThanOrEqual">
      <formula>3.5</formula>
    </cfRule>
    <cfRule type="cellIs" dxfId="4876" priority="12614" stopIfTrue="1" operator="greaterThanOrEqual">
      <formula>7.5</formula>
    </cfRule>
    <cfRule type="cellIs" dxfId="4875" priority="12615" stopIfTrue="1" operator="between">
      <formula>3.51</formula>
      <formula>7.49</formula>
    </cfRule>
  </conditionalFormatting>
  <conditionalFormatting sqref="AA5307">
    <cfRule type="cellIs" dxfId="4874" priority="12604" stopIfTrue="1" operator="lessThanOrEqual">
      <formula>3.5</formula>
    </cfRule>
    <cfRule type="cellIs" dxfId="4873" priority="12605" stopIfTrue="1" operator="greaterThanOrEqual">
      <formula>7.5</formula>
    </cfRule>
    <cfRule type="cellIs" dxfId="4872" priority="12606" stopIfTrue="1" operator="between">
      <formula>3.51</formula>
      <formula>7.49</formula>
    </cfRule>
  </conditionalFormatting>
  <conditionalFormatting sqref="AA5027">
    <cfRule type="cellIs" dxfId="4871" priority="12595" stopIfTrue="1" operator="lessThanOrEqual">
      <formula>3.5</formula>
    </cfRule>
    <cfRule type="cellIs" dxfId="4870" priority="12596" stopIfTrue="1" operator="greaterThanOrEqual">
      <formula>7.5</formula>
    </cfRule>
    <cfRule type="cellIs" dxfId="4869" priority="12597" stopIfTrue="1" operator="between">
      <formula>3.51</formula>
      <formula>7.49</formula>
    </cfRule>
  </conditionalFormatting>
  <conditionalFormatting sqref="AA5294">
    <cfRule type="cellIs" dxfId="4868" priority="12586" stopIfTrue="1" operator="lessThanOrEqual">
      <formula>3.5</formula>
    </cfRule>
    <cfRule type="cellIs" dxfId="4867" priority="12587" stopIfTrue="1" operator="greaterThanOrEqual">
      <formula>7.5</formula>
    </cfRule>
    <cfRule type="cellIs" dxfId="4866" priority="12588" stopIfTrue="1" operator="between">
      <formula>3.51</formula>
      <formula>7.49</formula>
    </cfRule>
  </conditionalFormatting>
  <conditionalFormatting sqref="AA377">
    <cfRule type="cellIs" dxfId="4865" priority="12577" stopIfTrue="1" operator="lessThanOrEqual">
      <formula>3.5</formula>
    </cfRule>
    <cfRule type="cellIs" dxfId="4864" priority="12578" stopIfTrue="1" operator="greaterThanOrEqual">
      <formula>7.5</formula>
    </cfRule>
    <cfRule type="cellIs" dxfId="4863" priority="12579" stopIfTrue="1" operator="between">
      <formula>3.51</formula>
      <formula>7.49</formula>
    </cfRule>
  </conditionalFormatting>
  <conditionalFormatting sqref="AA2173">
    <cfRule type="cellIs" dxfId="4862" priority="12554" stopIfTrue="1" operator="lessThanOrEqual">
      <formula>3.5</formula>
    </cfRule>
    <cfRule type="cellIs" dxfId="4861" priority="12555" stopIfTrue="1" operator="greaterThanOrEqual">
      <formula>7.5</formula>
    </cfRule>
    <cfRule type="cellIs" dxfId="4860" priority="12556" stopIfTrue="1" operator="between">
      <formula>3.51</formula>
      <formula>7.49</formula>
    </cfRule>
  </conditionalFormatting>
  <conditionalFormatting sqref="AA3010">
    <cfRule type="cellIs" dxfId="4859" priority="12525" stopIfTrue="1" operator="lessThanOrEqual">
      <formula>3.5</formula>
    </cfRule>
    <cfRule type="cellIs" dxfId="4858" priority="12526" stopIfTrue="1" operator="greaterThanOrEqual">
      <formula>7.5</formula>
    </cfRule>
    <cfRule type="cellIs" dxfId="4857" priority="12527" stopIfTrue="1" operator="between">
      <formula>3.51</formula>
      <formula>7.49</formula>
    </cfRule>
  </conditionalFormatting>
  <conditionalFormatting sqref="AA3002">
    <cfRule type="cellIs" dxfId="4856" priority="12518" stopIfTrue="1" operator="lessThanOrEqual">
      <formula>3.5</formula>
    </cfRule>
    <cfRule type="cellIs" dxfId="4855" priority="12519" stopIfTrue="1" operator="greaterThanOrEqual">
      <formula>7.5</formula>
    </cfRule>
    <cfRule type="cellIs" dxfId="4854" priority="12520" stopIfTrue="1" operator="between">
      <formula>3.51</formula>
      <formula>7.49</formula>
    </cfRule>
  </conditionalFormatting>
  <conditionalFormatting sqref="AA3011">
    <cfRule type="cellIs" dxfId="4853" priority="12511" stopIfTrue="1" operator="lessThanOrEqual">
      <formula>3.5</formula>
    </cfRule>
    <cfRule type="cellIs" dxfId="4852" priority="12512" stopIfTrue="1" operator="greaterThanOrEqual">
      <formula>7.5</formula>
    </cfRule>
    <cfRule type="cellIs" dxfId="4851" priority="12513" stopIfTrue="1" operator="between">
      <formula>3.51</formula>
      <formula>7.49</formula>
    </cfRule>
  </conditionalFormatting>
  <conditionalFormatting sqref="AA3003">
    <cfRule type="cellIs" dxfId="4850" priority="12504" stopIfTrue="1" operator="lessThanOrEqual">
      <formula>3.5</formula>
    </cfRule>
    <cfRule type="cellIs" dxfId="4849" priority="12505" stopIfTrue="1" operator="greaterThanOrEqual">
      <formula>7.5</formula>
    </cfRule>
    <cfRule type="cellIs" dxfId="4848" priority="12506" stopIfTrue="1" operator="between">
      <formula>3.51</formula>
      <formula>7.49</formula>
    </cfRule>
  </conditionalFormatting>
  <conditionalFormatting sqref="AA3004">
    <cfRule type="cellIs" dxfId="4847" priority="12497" stopIfTrue="1" operator="lessThanOrEqual">
      <formula>3.5</formula>
    </cfRule>
    <cfRule type="cellIs" dxfId="4846" priority="12498" stopIfTrue="1" operator="greaterThanOrEqual">
      <formula>7.5</formula>
    </cfRule>
    <cfRule type="cellIs" dxfId="4845" priority="12499" stopIfTrue="1" operator="between">
      <formula>3.51</formula>
      <formula>7.49</formula>
    </cfRule>
  </conditionalFormatting>
  <conditionalFormatting sqref="AA3009">
    <cfRule type="cellIs" dxfId="4844" priority="12490" stopIfTrue="1" operator="lessThanOrEqual">
      <formula>3.5</formula>
    </cfRule>
    <cfRule type="cellIs" dxfId="4843" priority="12491" stopIfTrue="1" operator="greaterThanOrEqual">
      <formula>7.5</formula>
    </cfRule>
    <cfRule type="cellIs" dxfId="4842" priority="12492" stopIfTrue="1" operator="between">
      <formula>3.51</formula>
      <formula>7.49</formula>
    </cfRule>
  </conditionalFormatting>
  <conditionalFormatting sqref="AA3008">
    <cfRule type="cellIs" dxfId="4841" priority="12483" stopIfTrue="1" operator="lessThanOrEqual">
      <formula>3.5</formula>
    </cfRule>
    <cfRule type="cellIs" dxfId="4840" priority="12484" stopIfTrue="1" operator="greaterThanOrEqual">
      <formula>7.5</formula>
    </cfRule>
    <cfRule type="cellIs" dxfId="4839" priority="12485" stopIfTrue="1" operator="between">
      <formula>3.51</formula>
      <formula>7.49</formula>
    </cfRule>
  </conditionalFormatting>
  <conditionalFormatting sqref="AA3007">
    <cfRule type="cellIs" dxfId="4838" priority="12476" stopIfTrue="1" operator="lessThanOrEqual">
      <formula>3.5</formula>
    </cfRule>
    <cfRule type="cellIs" dxfId="4837" priority="12477" stopIfTrue="1" operator="greaterThanOrEqual">
      <formula>7.5</formula>
    </cfRule>
    <cfRule type="cellIs" dxfId="4836" priority="12478" stopIfTrue="1" operator="between">
      <formula>3.51</formula>
      <formula>7.49</formula>
    </cfRule>
  </conditionalFormatting>
  <conditionalFormatting sqref="AA3006">
    <cfRule type="cellIs" dxfId="4835" priority="12469" stopIfTrue="1" operator="lessThanOrEqual">
      <formula>3.5</formula>
    </cfRule>
    <cfRule type="cellIs" dxfId="4834" priority="12470" stopIfTrue="1" operator="greaterThanOrEqual">
      <formula>7.5</formula>
    </cfRule>
    <cfRule type="cellIs" dxfId="4833" priority="12471" stopIfTrue="1" operator="between">
      <formula>3.51</formula>
      <formula>7.49</formula>
    </cfRule>
  </conditionalFormatting>
  <conditionalFormatting sqref="AA3005">
    <cfRule type="cellIs" dxfId="4832" priority="12462" stopIfTrue="1" operator="lessThanOrEqual">
      <formula>3.5</formula>
    </cfRule>
    <cfRule type="cellIs" dxfId="4831" priority="12463" stopIfTrue="1" operator="greaterThanOrEqual">
      <formula>7.5</formula>
    </cfRule>
    <cfRule type="cellIs" dxfId="4830" priority="12464" stopIfTrue="1" operator="between">
      <formula>3.51</formula>
      <formula>7.49</formula>
    </cfRule>
  </conditionalFormatting>
  <conditionalFormatting sqref="AA3015">
    <cfRule type="cellIs" dxfId="4829" priority="12455" stopIfTrue="1" operator="lessThanOrEqual">
      <formula>3.5</formula>
    </cfRule>
    <cfRule type="cellIs" dxfId="4828" priority="12456" stopIfTrue="1" operator="greaterThanOrEqual">
      <formula>7.5</formula>
    </cfRule>
    <cfRule type="cellIs" dxfId="4827" priority="12457" stopIfTrue="1" operator="between">
      <formula>3.51</formula>
      <formula>7.49</formula>
    </cfRule>
  </conditionalFormatting>
  <conditionalFormatting sqref="AA3014">
    <cfRule type="cellIs" dxfId="4826" priority="12448" stopIfTrue="1" operator="lessThanOrEqual">
      <formula>3.5</formula>
    </cfRule>
    <cfRule type="cellIs" dxfId="4825" priority="12449" stopIfTrue="1" operator="greaterThanOrEqual">
      <formula>7.5</formula>
    </cfRule>
    <cfRule type="cellIs" dxfId="4824" priority="12450" stopIfTrue="1" operator="between">
      <formula>3.51</formula>
      <formula>7.49</formula>
    </cfRule>
  </conditionalFormatting>
  <conditionalFormatting sqref="AA3013">
    <cfRule type="cellIs" dxfId="4823" priority="12441" stopIfTrue="1" operator="lessThanOrEqual">
      <formula>3.5</formula>
    </cfRule>
    <cfRule type="cellIs" dxfId="4822" priority="12442" stopIfTrue="1" operator="greaterThanOrEqual">
      <formula>7.5</formula>
    </cfRule>
    <cfRule type="cellIs" dxfId="4821" priority="12443" stopIfTrue="1" operator="between">
      <formula>3.51</formula>
      <formula>7.49</formula>
    </cfRule>
  </conditionalFormatting>
  <conditionalFormatting sqref="AA3012">
    <cfRule type="cellIs" dxfId="4820" priority="12434" stopIfTrue="1" operator="lessThanOrEqual">
      <formula>3.5</formula>
    </cfRule>
    <cfRule type="cellIs" dxfId="4819" priority="12435" stopIfTrue="1" operator="greaterThanOrEqual">
      <formula>7.5</formula>
    </cfRule>
    <cfRule type="cellIs" dxfId="4818" priority="12436" stopIfTrue="1" operator="between">
      <formula>3.51</formula>
      <formula>7.49</formula>
    </cfRule>
  </conditionalFormatting>
  <conditionalFormatting sqref="AA3211">
    <cfRule type="cellIs" dxfId="4817" priority="12427" stopIfTrue="1" operator="lessThanOrEqual">
      <formula>3.5</formula>
    </cfRule>
    <cfRule type="cellIs" dxfId="4816" priority="12428" stopIfTrue="1" operator="greaterThanOrEqual">
      <formula>7.5</formula>
    </cfRule>
    <cfRule type="cellIs" dxfId="4815" priority="12429" stopIfTrue="1" operator="between">
      <formula>3.51</formula>
      <formula>7.49</formula>
    </cfRule>
  </conditionalFormatting>
  <conditionalFormatting sqref="AA3016">
    <cfRule type="cellIs" dxfId="4814" priority="12420" stopIfTrue="1" operator="lessThanOrEqual">
      <formula>3.5</formula>
    </cfRule>
    <cfRule type="cellIs" dxfId="4813" priority="12421" stopIfTrue="1" operator="greaterThanOrEqual">
      <formula>7.5</formula>
    </cfRule>
    <cfRule type="cellIs" dxfId="4812" priority="12422" stopIfTrue="1" operator="between">
      <formula>3.51</formula>
      <formula>7.49</formula>
    </cfRule>
  </conditionalFormatting>
  <conditionalFormatting sqref="AA3113">
    <cfRule type="cellIs" dxfId="4811" priority="12413" stopIfTrue="1" operator="lessThanOrEqual">
      <formula>3.5</formula>
    </cfRule>
    <cfRule type="cellIs" dxfId="4810" priority="12414" stopIfTrue="1" operator="greaterThanOrEqual">
      <formula>7.5</formula>
    </cfRule>
    <cfRule type="cellIs" dxfId="4809" priority="12415" stopIfTrue="1" operator="between">
      <formula>3.51</formula>
      <formula>7.49</formula>
    </cfRule>
  </conditionalFormatting>
  <conditionalFormatting sqref="AA3020">
    <cfRule type="cellIs" dxfId="4808" priority="12406" stopIfTrue="1" operator="lessThanOrEqual">
      <formula>3.5</formula>
    </cfRule>
    <cfRule type="cellIs" dxfId="4807" priority="12407" stopIfTrue="1" operator="greaterThanOrEqual">
      <formula>7.5</formula>
    </cfRule>
    <cfRule type="cellIs" dxfId="4806" priority="12408" stopIfTrue="1" operator="between">
      <formula>3.51</formula>
      <formula>7.49</formula>
    </cfRule>
  </conditionalFormatting>
  <conditionalFormatting sqref="AA3019">
    <cfRule type="cellIs" dxfId="4805" priority="12399" stopIfTrue="1" operator="lessThanOrEqual">
      <formula>3.5</formula>
    </cfRule>
    <cfRule type="cellIs" dxfId="4804" priority="12400" stopIfTrue="1" operator="greaterThanOrEqual">
      <formula>7.5</formula>
    </cfRule>
    <cfRule type="cellIs" dxfId="4803" priority="12401" stopIfTrue="1" operator="between">
      <formula>3.51</formula>
      <formula>7.49</formula>
    </cfRule>
  </conditionalFormatting>
  <conditionalFormatting sqref="AA3017">
    <cfRule type="cellIs" dxfId="4802" priority="12392" stopIfTrue="1" operator="lessThanOrEqual">
      <formula>3.5</formula>
    </cfRule>
    <cfRule type="cellIs" dxfId="4801" priority="12393" stopIfTrue="1" operator="greaterThanOrEqual">
      <formula>7.5</formula>
    </cfRule>
    <cfRule type="cellIs" dxfId="4800" priority="12394" stopIfTrue="1" operator="between">
      <formula>3.51</formula>
      <formula>7.49</formula>
    </cfRule>
  </conditionalFormatting>
  <conditionalFormatting sqref="AA3018">
    <cfRule type="cellIs" dxfId="4799" priority="12385" stopIfTrue="1" operator="lessThanOrEqual">
      <formula>3.5</formula>
    </cfRule>
    <cfRule type="cellIs" dxfId="4798" priority="12386" stopIfTrue="1" operator="greaterThanOrEqual">
      <formula>7.5</formula>
    </cfRule>
    <cfRule type="cellIs" dxfId="4797" priority="12387" stopIfTrue="1" operator="between">
      <formula>3.51</formula>
      <formula>7.49</formula>
    </cfRule>
  </conditionalFormatting>
  <conditionalFormatting sqref="AA3112">
    <cfRule type="cellIs" dxfId="4796" priority="12378" stopIfTrue="1" operator="lessThanOrEqual">
      <formula>3.5</formula>
    </cfRule>
    <cfRule type="cellIs" dxfId="4795" priority="12379" stopIfTrue="1" operator="greaterThanOrEqual">
      <formula>7.5</formula>
    </cfRule>
    <cfRule type="cellIs" dxfId="4794" priority="12380" stopIfTrue="1" operator="between">
      <formula>3.51</formula>
      <formula>7.49</formula>
    </cfRule>
  </conditionalFormatting>
  <conditionalFormatting sqref="AA3111">
    <cfRule type="cellIs" dxfId="4793" priority="12371" stopIfTrue="1" operator="lessThanOrEqual">
      <formula>3.5</formula>
    </cfRule>
    <cfRule type="cellIs" dxfId="4792" priority="12372" stopIfTrue="1" operator="greaterThanOrEqual">
      <formula>7.5</formula>
    </cfRule>
    <cfRule type="cellIs" dxfId="4791" priority="12373" stopIfTrue="1" operator="between">
      <formula>3.51</formula>
      <formula>7.49</formula>
    </cfRule>
  </conditionalFormatting>
  <conditionalFormatting sqref="AA3149">
    <cfRule type="cellIs" dxfId="4790" priority="12364" stopIfTrue="1" operator="lessThanOrEqual">
      <formula>3.5</formula>
    </cfRule>
    <cfRule type="cellIs" dxfId="4789" priority="12365" stopIfTrue="1" operator="greaterThanOrEqual">
      <formula>7.5</formula>
    </cfRule>
    <cfRule type="cellIs" dxfId="4788" priority="12366" stopIfTrue="1" operator="between">
      <formula>3.51</formula>
      <formula>7.49</formula>
    </cfRule>
  </conditionalFormatting>
  <conditionalFormatting sqref="AA3030">
    <cfRule type="cellIs" dxfId="4787" priority="12357" stopIfTrue="1" operator="lessThanOrEqual">
      <formula>3.5</formula>
    </cfRule>
    <cfRule type="cellIs" dxfId="4786" priority="12358" stopIfTrue="1" operator="greaterThanOrEqual">
      <formula>7.5</formula>
    </cfRule>
    <cfRule type="cellIs" dxfId="4785" priority="12359" stopIfTrue="1" operator="between">
      <formula>3.51</formula>
      <formula>7.49</formula>
    </cfRule>
  </conditionalFormatting>
  <conditionalFormatting sqref="AA3029">
    <cfRule type="cellIs" dxfId="4784" priority="12350" stopIfTrue="1" operator="lessThanOrEqual">
      <formula>3.5</formula>
    </cfRule>
    <cfRule type="cellIs" dxfId="4783" priority="12351" stopIfTrue="1" operator="greaterThanOrEqual">
      <formula>7.5</formula>
    </cfRule>
    <cfRule type="cellIs" dxfId="4782" priority="12352" stopIfTrue="1" operator="between">
      <formula>3.51</formula>
      <formula>7.49</formula>
    </cfRule>
  </conditionalFormatting>
  <conditionalFormatting sqref="AA3028">
    <cfRule type="cellIs" dxfId="4781" priority="12343" stopIfTrue="1" operator="lessThanOrEqual">
      <formula>3.5</formula>
    </cfRule>
    <cfRule type="cellIs" dxfId="4780" priority="12344" stopIfTrue="1" operator="greaterThanOrEqual">
      <formula>7.5</formula>
    </cfRule>
    <cfRule type="cellIs" dxfId="4779" priority="12345" stopIfTrue="1" operator="between">
      <formula>3.51</formula>
      <formula>7.49</formula>
    </cfRule>
  </conditionalFormatting>
  <conditionalFormatting sqref="AA3027">
    <cfRule type="cellIs" dxfId="4778" priority="12336" stopIfTrue="1" operator="lessThanOrEqual">
      <formula>3.5</formula>
    </cfRule>
    <cfRule type="cellIs" dxfId="4777" priority="12337" stopIfTrue="1" operator="greaterThanOrEqual">
      <formula>7.5</formula>
    </cfRule>
    <cfRule type="cellIs" dxfId="4776" priority="12338" stopIfTrue="1" operator="between">
      <formula>3.51</formula>
      <formula>7.49</formula>
    </cfRule>
  </conditionalFormatting>
  <conditionalFormatting sqref="AA3026">
    <cfRule type="cellIs" dxfId="4775" priority="12329" stopIfTrue="1" operator="lessThanOrEqual">
      <formula>3.5</formula>
    </cfRule>
    <cfRule type="cellIs" dxfId="4774" priority="12330" stopIfTrue="1" operator="greaterThanOrEqual">
      <formula>7.5</formula>
    </cfRule>
    <cfRule type="cellIs" dxfId="4773" priority="12331" stopIfTrue="1" operator="between">
      <formula>3.51</formula>
      <formula>7.49</formula>
    </cfRule>
  </conditionalFormatting>
  <conditionalFormatting sqref="AA3025">
    <cfRule type="cellIs" dxfId="4772" priority="12322" stopIfTrue="1" operator="lessThanOrEqual">
      <formula>3.5</formula>
    </cfRule>
    <cfRule type="cellIs" dxfId="4771" priority="12323" stopIfTrue="1" operator="greaterThanOrEqual">
      <formula>7.5</formula>
    </cfRule>
    <cfRule type="cellIs" dxfId="4770" priority="12324" stopIfTrue="1" operator="between">
      <formula>3.51</formula>
      <formula>7.49</formula>
    </cfRule>
  </conditionalFormatting>
  <conditionalFormatting sqref="AA3024">
    <cfRule type="cellIs" dxfId="4769" priority="12315" stopIfTrue="1" operator="lessThanOrEqual">
      <formula>3.5</formula>
    </cfRule>
    <cfRule type="cellIs" dxfId="4768" priority="12316" stopIfTrue="1" operator="greaterThanOrEqual">
      <formula>7.5</formula>
    </cfRule>
    <cfRule type="cellIs" dxfId="4767" priority="12317" stopIfTrue="1" operator="between">
      <formula>3.51</formula>
      <formula>7.49</formula>
    </cfRule>
  </conditionalFormatting>
  <conditionalFormatting sqref="AA3022">
    <cfRule type="cellIs" dxfId="4766" priority="12308" stopIfTrue="1" operator="lessThanOrEqual">
      <formula>3.5</formula>
    </cfRule>
    <cfRule type="cellIs" dxfId="4765" priority="12309" stopIfTrue="1" operator="greaterThanOrEqual">
      <formula>7.5</formula>
    </cfRule>
    <cfRule type="cellIs" dxfId="4764" priority="12310" stopIfTrue="1" operator="between">
      <formula>3.51</formula>
      <formula>7.49</formula>
    </cfRule>
  </conditionalFormatting>
  <conditionalFormatting sqref="AA3021">
    <cfRule type="cellIs" dxfId="4763" priority="12301" stopIfTrue="1" operator="lessThanOrEqual">
      <formula>3.5</formula>
    </cfRule>
    <cfRule type="cellIs" dxfId="4762" priority="12302" stopIfTrue="1" operator="greaterThanOrEqual">
      <formula>7.5</formula>
    </cfRule>
    <cfRule type="cellIs" dxfId="4761" priority="12303" stopIfTrue="1" operator="between">
      <formula>3.51</formula>
      <formula>7.49</formula>
    </cfRule>
  </conditionalFormatting>
  <conditionalFormatting sqref="AA3031">
    <cfRule type="cellIs" dxfId="4760" priority="12294" stopIfTrue="1" operator="lessThanOrEqual">
      <formula>3.5</formula>
    </cfRule>
    <cfRule type="cellIs" dxfId="4759" priority="12295" stopIfTrue="1" operator="greaterThanOrEqual">
      <formula>7.5</formula>
    </cfRule>
    <cfRule type="cellIs" dxfId="4758" priority="12296" stopIfTrue="1" operator="between">
      <formula>3.51</formula>
      <formula>7.49</formula>
    </cfRule>
  </conditionalFormatting>
  <conditionalFormatting sqref="AA3110">
    <cfRule type="cellIs" dxfId="4757" priority="12287" stopIfTrue="1" operator="lessThanOrEqual">
      <formula>3.5</formula>
    </cfRule>
    <cfRule type="cellIs" dxfId="4756" priority="12288" stopIfTrue="1" operator="greaterThanOrEqual">
      <formula>7.5</formula>
    </cfRule>
    <cfRule type="cellIs" dxfId="4755" priority="12289" stopIfTrue="1" operator="between">
      <formula>3.51</formula>
      <formula>7.49</formula>
    </cfRule>
  </conditionalFormatting>
  <conditionalFormatting sqref="AA2518">
    <cfRule type="cellIs" dxfId="4754" priority="12280" stopIfTrue="1" operator="lessThanOrEqual">
      <formula>3.5</formula>
    </cfRule>
    <cfRule type="cellIs" dxfId="4753" priority="12281" stopIfTrue="1" operator="greaterThanOrEqual">
      <formula>7.5</formula>
    </cfRule>
    <cfRule type="cellIs" dxfId="4752" priority="12282" stopIfTrue="1" operator="between">
      <formula>3.51</formula>
      <formula>7.49</formula>
    </cfRule>
  </conditionalFormatting>
  <conditionalFormatting sqref="AA3109">
    <cfRule type="cellIs" dxfId="4751" priority="12273" stopIfTrue="1" operator="lessThanOrEqual">
      <formula>3.5</formula>
    </cfRule>
    <cfRule type="cellIs" dxfId="4750" priority="12274" stopIfTrue="1" operator="greaterThanOrEqual">
      <formula>7.5</formula>
    </cfRule>
    <cfRule type="cellIs" dxfId="4749" priority="12275" stopIfTrue="1" operator="between">
      <formula>3.51</formula>
      <formula>7.49</formula>
    </cfRule>
  </conditionalFormatting>
  <conditionalFormatting sqref="AA3150">
    <cfRule type="cellIs" dxfId="4748" priority="12266" stopIfTrue="1" operator="lessThanOrEqual">
      <formula>3.5</formula>
    </cfRule>
    <cfRule type="cellIs" dxfId="4747" priority="12267" stopIfTrue="1" operator="greaterThanOrEqual">
      <formula>7.5</formula>
    </cfRule>
    <cfRule type="cellIs" dxfId="4746" priority="12268" stopIfTrue="1" operator="between">
      <formula>3.51</formula>
      <formula>7.49</formula>
    </cfRule>
  </conditionalFormatting>
  <conditionalFormatting sqref="AA2516">
    <cfRule type="cellIs" dxfId="4745" priority="12259" stopIfTrue="1" operator="lessThanOrEqual">
      <formula>3.5</formula>
    </cfRule>
    <cfRule type="cellIs" dxfId="4744" priority="12260" stopIfTrue="1" operator="greaterThanOrEqual">
      <formula>7.5</formula>
    </cfRule>
    <cfRule type="cellIs" dxfId="4743" priority="12261" stopIfTrue="1" operator="between">
      <formula>3.51</formula>
      <formula>7.49</formula>
    </cfRule>
  </conditionalFormatting>
  <conditionalFormatting sqref="AA3108">
    <cfRule type="cellIs" dxfId="4742" priority="12252" stopIfTrue="1" operator="lessThanOrEqual">
      <formula>3.5</formula>
    </cfRule>
    <cfRule type="cellIs" dxfId="4741" priority="12253" stopIfTrue="1" operator="greaterThanOrEqual">
      <formula>7.5</formula>
    </cfRule>
    <cfRule type="cellIs" dxfId="4740" priority="12254" stopIfTrue="1" operator="between">
      <formula>3.51</formula>
      <formula>7.49</formula>
    </cfRule>
  </conditionalFormatting>
  <conditionalFormatting sqref="AA3107">
    <cfRule type="cellIs" dxfId="4739" priority="12245" stopIfTrue="1" operator="lessThanOrEqual">
      <formula>3.5</formula>
    </cfRule>
    <cfRule type="cellIs" dxfId="4738" priority="12246" stopIfTrue="1" operator="greaterThanOrEqual">
      <formula>7.5</formula>
    </cfRule>
    <cfRule type="cellIs" dxfId="4737" priority="12247" stopIfTrue="1" operator="between">
      <formula>3.51</formula>
      <formula>7.49</formula>
    </cfRule>
  </conditionalFormatting>
  <conditionalFormatting sqref="AA3106">
    <cfRule type="cellIs" dxfId="4736" priority="12238" stopIfTrue="1" operator="lessThanOrEqual">
      <formula>3.5</formula>
    </cfRule>
    <cfRule type="cellIs" dxfId="4735" priority="12239" stopIfTrue="1" operator="greaterThanOrEqual">
      <formula>7.5</formula>
    </cfRule>
    <cfRule type="cellIs" dxfId="4734" priority="12240" stopIfTrue="1" operator="between">
      <formula>3.51</formula>
      <formula>7.49</formula>
    </cfRule>
  </conditionalFormatting>
  <conditionalFormatting sqref="AA3155">
    <cfRule type="cellIs" dxfId="4733" priority="12231" stopIfTrue="1" operator="lessThanOrEqual">
      <formula>3.5</formula>
    </cfRule>
    <cfRule type="cellIs" dxfId="4732" priority="12232" stopIfTrue="1" operator="greaterThanOrEqual">
      <formula>7.5</formula>
    </cfRule>
    <cfRule type="cellIs" dxfId="4731" priority="12233" stopIfTrue="1" operator="between">
      <formula>3.51</formula>
      <formula>7.49</formula>
    </cfRule>
  </conditionalFormatting>
  <conditionalFormatting sqref="AA3154">
    <cfRule type="cellIs" dxfId="4730" priority="12224" stopIfTrue="1" operator="lessThanOrEqual">
      <formula>3.5</formula>
    </cfRule>
    <cfRule type="cellIs" dxfId="4729" priority="12225" stopIfTrue="1" operator="greaterThanOrEqual">
      <formula>7.5</formula>
    </cfRule>
    <cfRule type="cellIs" dxfId="4728" priority="12226" stopIfTrue="1" operator="between">
      <formula>3.51</formula>
      <formula>7.49</formula>
    </cfRule>
  </conditionalFormatting>
  <conditionalFormatting sqref="AA3153">
    <cfRule type="cellIs" dxfId="4727" priority="12217" stopIfTrue="1" operator="lessThanOrEqual">
      <formula>3.5</formula>
    </cfRule>
    <cfRule type="cellIs" dxfId="4726" priority="12218" stopIfTrue="1" operator="greaterThanOrEqual">
      <formula>7.5</formula>
    </cfRule>
    <cfRule type="cellIs" dxfId="4725" priority="12219" stopIfTrue="1" operator="between">
      <formula>3.51</formula>
      <formula>7.49</formula>
    </cfRule>
  </conditionalFormatting>
  <conditionalFormatting sqref="AA3152">
    <cfRule type="cellIs" dxfId="4724" priority="12210" stopIfTrue="1" operator="lessThanOrEqual">
      <formula>3.5</formula>
    </cfRule>
    <cfRule type="cellIs" dxfId="4723" priority="12211" stopIfTrue="1" operator="greaterThanOrEqual">
      <formula>7.5</formula>
    </cfRule>
    <cfRule type="cellIs" dxfId="4722" priority="12212" stopIfTrue="1" operator="between">
      <formula>3.51</formula>
      <formula>7.49</formula>
    </cfRule>
  </conditionalFormatting>
  <conditionalFormatting sqref="AA3151">
    <cfRule type="cellIs" dxfId="4721" priority="12203" stopIfTrue="1" operator="lessThanOrEqual">
      <formula>3.5</formula>
    </cfRule>
    <cfRule type="cellIs" dxfId="4720" priority="12204" stopIfTrue="1" operator="greaterThanOrEqual">
      <formula>7.5</formula>
    </cfRule>
    <cfRule type="cellIs" dxfId="4719" priority="12205" stopIfTrue="1" operator="between">
      <formula>3.51</formula>
      <formula>7.49</formula>
    </cfRule>
  </conditionalFormatting>
  <conditionalFormatting sqref="AA3121">
    <cfRule type="cellIs" dxfId="4718" priority="12196" stopIfTrue="1" operator="lessThanOrEqual">
      <formula>3.5</formula>
    </cfRule>
    <cfRule type="cellIs" dxfId="4717" priority="12197" stopIfTrue="1" operator="greaterThanOrEqual">
      <formula>7.5</formula>
    </cfRule>
    <cfRule type="cellIs" dxfId="4716" priority="12198" stopIfTrue="1" operator="between">
      <formula>3.51</formula>
      <formula>7.49</formula>
    </cfRule>
  </conditionalFormatting>
  <conditionalFormatting sqref="AA3117">
    <cfRule type="cellIs" dxfId="4715" priority="12189" stopIfTrue="1" operator="lessThanOrEqual">
      <formula>3.5</formula>
    </cfRule>
    <cfRule type="cellIs" dxfId="4714" priority="12190" stopIfTrue="1" operator="greaterThanOrEqual">
      <formula>7.5</formula>
    </cfRule>
    <cfRule type="cellIs" dxfId="4713" priority="12191" stopIfTrue="1" operator="between">
      <formula>3.51</formula>
      <formula>7.49</formula>
    </cfRule>
  </conditionalFormatting>
  <conditionalFormatting sqref="AA3116">
    <cfRule type="cellIs" dxfId="4712" priority="12182" stopIfTrue="1" operator="lessThanOrEqual">
      <formula>3.5</formula>
    </cfRule>
    <cfRule type="cellIs" dxfId="4711" priority="12183" stopIfTrue="1" operator="greaterThanOrEqual">
      <formula>7.5</formula>
    </cfRule>
    <cfRule type="cellIs" dxfId="4710" priority="12184" stopIfTrue="1" operator="between">
      <formula>3.51</formula>
      <formula>7.49</formula>
    </cfRule>
  </conditionalFormatting>
  <conditionalFormatting sqref="AA2496">
    <cfRule type="cellIs" dxfId="4709" priority="12175" stopIfTrue="1" operator="lessThanOrEqual">
      <formula>3.5</formula>
    </cfRule>
    <cfRule type="cellIs" dxfId="4708" priority="12176" stopIfTrue="1" operator="greaterThanOrEqual">
      <formula>7.5</formula>
    </cfRule>
    <cfRule type="cellIs" dxfId="4707" priority="12177" stopIfTrue="1" operator="between">
      <formula>3.51</formula>
      <formula>7.49</formula>
    </cfRule>
  </conditionalFormatting>
  <conditionalFormatting sqref="AA3114">
    <cfRule type="cellIs" dxfId="4706" priority="12168" stopIfTrue="1" operator="lessThanOrEqual">
      <formula>3.5</formula>
    </cfRule>
    <cfRule type="cellIs" dxfId="4705" priority="12169" stopIfTrue="1" operator="greaterThanOrEqual">
      <formula>7.5</formula>
    </cfRule>
    <cfRule type="cellIs" dxfId="4704" priority="12170" stopIfTrue="1" operator="between">
      <formula>3.51</formula>
      <formula>7.49</formula>
    </cfRule>
  </conditionalFormatting>
  <conditionalFormatting sqref="AA3119">
    <cfRule type="cellIs" dxfId="4703" priority="12161" stopIfTrue="1" operator="lessThanOrEqual">
      <formula>3.5</formula>
    </cfRule>
    <cfRule type="cellIs" dxfId="4702" priority="12162" stopIfTrue="1" operator="greaterThanOrEqual">
      <formula>7.5</formula>
    </cfRule>
    <cfRule type="cellIs" dxfId="4701" priority="12163" stopIfTrue="1" operator="between">
      <formula>3.51</formula>
      <formula>7.49</formula>
    </cfRule>
  </conditionalFormatting>
  <conditionalFormatting sqref="AA3118">
    <cfRule type="cellIs" dxfId="4700" priority="12154" stopIfTrue="1" operator="lessThanOrEqual">
      <formula>3.5</formula>
    </cfRule>
    <cfRule type="cellIs" dxfId="4699" priority="12155" stopIfTrue="1" operator="greaterThanOrEqual">
      <formula>7.5</formula>
    </cfRule>
    <cfRule type="cellIs" dxfId="4698" priority="12156" stopIfTrue="1" operator="between">
      <formula>3.51</formula>
      <formula>7.49</formula>
    </cfRule>
  </conditionalFormatting>
  <conditionalFormatting sqref="AA3120">
    <cfRule type="cellIs" dxfId="4697" priority="12147" stopIfTrue="1" operator="lessThanOrEqual">
      <formula>3.5</formula>
    </cfRule>
    <cfRule type="cellIs" dxfId="4696" priority="12148" stopIfTrue="1" operator="greaterThanOrEqual">
      <formula>7.5</formula>
    </cfRule>
    <cfRule type="cellIs" dxfId="4695" priority="12149" stopIfTrue="1" operator="between">
      <formula>3.51</formula>
      <formula>7.49</formula>
    </cfRule>
  </conditionalFormatting>
  <conditionalFormatting sqref="AA3143">
    <cfRule type="cellIs" dxfId="4694" priority="12140" stopIfTrue="1" operator="lessThanOrEqual">
      <formula>3.5</formula>
    </cfRule>
    <cfRule type="cellIs" dxfId="4693" priority="12141" stopIfTrue="1" operator="greaterThanOrEqual">
      <formula>7.5</formula>
    </cfRule>
    <cfRule type="cellIs" dxfId="4692" priority="12142" stopIfTrue="1" operator="between">
      <formula>3.51</formula>
      <formula>7.49</formula>
    </cfRule>
  </conditionalFormatting>
  <conditionalFormatting sqref="AA3129">
    <cfRule type="cellIs" dxfId="4691" priority="12133" stopIfTrue="1" operator="lessThanOrEqual">
      <formula>3.5</formula>
    </cfRule>
    <cfRule type="cellIs" dxfId="4690" priority="12134" stopIfTrue="1" operator="greaterThanOrEqual">
      <formula>7.5</formula>
    </cfRule>
    <cfRule type="cellIs" dxfId="4689" priority="12135" stopIfTrue="1" operator="between">
      <formula>3.51</formula>
      <formula>7.49</formula>
    </cfRule>
  </conditionalFormatting>
  <conditionalFormatting sqref="AA3125">
    <cfRule type="cellIs" dxfId="4688" priority="12126" stopIfTrue="1" operator="lessThanOrEqual">
      <formula>3.5</formula>
    </cfRule>
    <cfRule type="cellIs" dxfId="4687" priority="12127" stopIfTrue="1" operator="greaterThanOrEqual">
      <formula>7.5</formula>
    </cfRule>
    <cfRule type="cellIs" dxfId="4686" priority="12128" stopIfTrue="1" operator="between">
      <formula>3.51</formula>
      <formula>7.49</formula>
    </cfRule>
  </conditionalFormatting>
  <conditionalFormatting sqref="AA3124">
    <cfRule type="cellIs" dxfId="4685" priority="12119" stopIfTrue="1" operator="lessThanOrEqual">
      <formula>3.5</formula>
    </cfRule>
    <cfRule type="cellIs" dxfId="4684" priority="12120" stopIfTrue="1" operator="greaterThanOrEqual">
      <formula>7.5</formula>
    </cfRule>
    <cfRule type="cellIs" dxfId="4683" priority="12121" stopIfTrue="1" operator="between">
      <formula>3.51</formula>
      <formula>7.49</formula>
    </cfRule>
  </conditionalFormatting>
  <conditionalFormatting sqref="AA3134">
    <cfRule type="cellIs" dxfId="4682" priority="12105" stopIfTrue="1" operator="lessThanOrEqual">
      <formula>3.5</formula>
    </cfRule>
    <cfRule type="cellIs" dxfId="4681" priority="12106" stopIfTrue="1" operator="greaterThanOrEqual">
      <formula>7.5</formula>
    </cfRule>
    <cfRule type="cellIs" dxfId="4680" priority="12107" stopIfTrue="1" operator="between">
      <formula>3.51</formula>
      <formula>7.49</formula>
    </cfRule>
  </conditionalFormatting>
  <conditionalFormatting sqref="AA3130">
    <cfRule type="cellIs" dxfId="4679" priority="12098" stopIfTrue="1" operator="lessThanOrEqual">
      <formula>3.5</formula>
    </cfRule>
    <cfRule type="cellIs" dxfId="4678" priority="12099" stopIfTrue="1" operator="greaterThanOrEqual">
      <formula>7.5</formula>
    </cfRule>
    <cfRule type="cellIs" dxfId="4677" priority="12100" stopIfTrue="1" operator="between">
      <formula>3.51</formula>
      <formula>7.49</formula>
    </cfRule>
  </conditionalFormatting>
  <conditionalFormatting sqref="AA3140">
    <cfRule type="cellIs" dxfId="4676" priority="12091" stopIfTrue="1" operator="lessThanOrEqual">
      <formula>3.5</formula>
    </cfRule>
    <cfRule type="cellIs" dxfId="4675" priority="12092" stopIfTrue="1" operator="greaterThanOrEqual">
      <formula>7.5</formula>
    </cfRule>
    <cfRule type="cellIs" dxfId="4674" priority="12093" stopIfTrue="1" operator="between">
      <formula>3.51</formula>
      <formula>7.49</formula>
    </cfRule>
  </conditionalFormatting>
  <conditionalFormatting sqref="AA3138">
    <cfRule type="cellIs" dxfId="4673" priority="12084" stopIfTrue="1" operator="lessThanOrEqual">
      <formula>3.5</formula>
    </cfRule>
    <cfRule type="cellIs" dxfId="4672" priority="12085" stopIfTrue="1" operator="greaterThanOrEqual">
      <formula>7.5</formula>
    </cfRule>
    <cfRule type="cellIs" dxfId="4671" priority="12086" stopIfTrue="1" operator="between">
      <formula>3.51</formula>
      <formula>7.49</formula>
    </cfRule>
  </conditionalFormatting>
  <conditionalFormatting sqref="AA3135">
    <cfRule type="cellIs" dxfId="4670" priority="12077" stopIfTrue="1" operator="lessThanOrEqual">
      <formula>3.5</formula>
    </cfRule>
    <cfRule type="cellIs" dxfId="4669" priority="12078" stopIfTrue="1" operator="greaterThanOrEqual">
      <formula>7.5</formula>
    </cfRule>
    <cfRule type="cellIs" dxfId="4668" priority="12079" stopIfTrue="1" operator="between">
      <formula>3.51</formula>
      <formula>7.49</formula>
    </cfRule>
  </conditionalFormatting>
  <conditionalFormatting sqref="AA3142">
    <cfRule type="cellIs" dxfId="4667" priority="12070" stopIfTrue="1" operator="lessThanOrEqual">
      <formula>3.5</formula>
    </cfRule>
    <cfRule type="cellIs" dxfId="4666" priority="12071" stopIfTrue="1" operator="greaterThanOrEqual">
      <formula>7.5</formula>
    </cfRule>
    <cfRule type="cellIs" dxfId="4665" priority="12072" stopIfTrue="1" operator="between">
      <formula>3.51</formula>
      <formula>7.49</formula>
    </cfRule>
  </conditionalFormatting>
  <conditionalFormatting sqref="AA3127">
    <cfRule type="cellIs" dxfId="4664" priority="12063" stopIfTrue="1" operator="lessThanOrEqual">
      <formula>3.5</formula>
    </cfRule>
    <cfRule type="cellIs" dxfId="4663" priority="12064" stopIfTrue="1" operator="greaterThanOrEqual">
      <formula>7.5</formula>
    </cfRule>
    <cfRule type="cellIs" dxfId="4662" priority="12065" stopIfTrue="1" operator="between">
      <formula>3.51</formula>
      <formula>7.49</formula>
    </cfRule>
  </conditionalFormatting>
  <conditionalFormatting sqref="AA3132">
    <cfRule type="cellIs" dxfId="4661" priority="12056" stopIfTrue="1" operator="lessThanOrEqual">
      <formula>3.5</formula>
    </cfRule>
    <cfRule type="cellIs" dxfId="4660" priority="12057" stopIfTrue="1" operator="greaterThanOrEqual">
      <formula>7.5</formula>
    </cfRule>
    <cfRule type="cellIs" dxfId="4659" priority="12058" stopIfTrue="1" operator="between">
      <formula>3.51</formula>
      <formula>7.49</formula>
    </cfRule>
  </conditionalFormatting>
  <conditionalFormatting sqref="AA3128">
    <cfRule type="cellIs" dxfId="4658" priority="12049" stopIfTrue="1" operator="lessThanOrEqual">
      <formula>3.5</formula>
    </cfRule>
    <cfRule type="cellIs" dxfId="4657" priority="12050" stopIfTrue="1" operator="greaterThanOrEqual">
      <formula>7.5</formula>
    </cfRule>
    <cfRule type="cellIs" dxfId="4656" priority="12051" stopIfTrue="1" operator="between">
      <formula>3.51</formula>
      <formula>7.49</formula>
    </cfRule>
  </conditionalFormatting>
  <conditionalFormatting sqref="AA3144">
    <cfRule type="cellIs" dxfId="4655" priority="12042" stopIfTrue="1" operator="lessThanOrEqual">
      <formula>3.5</formula>
    </cfRule>
    <cfRule type="cellIs" dxfId="4654" priority="12043" stopIfTrue="1" operator="greaterThanOrEqual">
      <formula>7.5</formula>
    </cfRule>
    <cfRule type="cellIs" dxfId="4653" priority="12044" stopIfTrue="1" operator="between">
      <formula>3.51</formula>
      <formula>7.49</formula>
    </cfRule>
  </conditionalFormatting>
  <conditionalFormatting sqref="AA3210">
    <cfRule type="cellIs" dxfId="4652" priority="12035" stopIfTrue="1" operator="lessThanOrEqual">
      <formula>3.5</formula>
    </cfRule>
    <cfRule type="cellIs" dxfId="4651" priority="12036" stopIfTrue="1" operator="greaterThanOrEqual">
      <formula>7.5</formula>
    </cfRule>
    <cfRule type="cellIs" dxfId="4650" priority="12037" stopIfTrue="1" operator="between">
      <formula>3.51</formula>
      <formula>7.49</formula>
    </cfRule>
  </conditionalFormatting>
  <conditionalFormatting sqref="AA3159">
    <cfRule type="cellIs" dxfId="4649" priority="12028" stopIfTrue="1" operator="lessThanOrEqual">
      <formula>3.5</formula>
    </cfRule>
    <cfRule type="cellIs" dxfId="4648" priority="12029" stopIfTrue="1" operator="greaterThanOrEqual">
      <formula>7.5</formula>
    </cfRule>
    <cfRule type="cellIs" dxfId="4647" priority="12030" stopIfTrue="1" operator="between">
      <formula>3.51</formula>
      <formula>7.49</formula>
    </cfRule>
  </conditionalFormatting>
  <conditionalFormatting sqref="AA3164">
    <cfRule type="cellIs" dxfId="4646" priority="12021" stopIfTrue="1" operator="lessThanOrEqual">
      <formula>3.5</formula>
    </cfRule>
    <cfRule type="cellIs" dxfId="4645" priority="12022" stopIfTrue="1" operator="greaterThanOrEqual">
      <formula>7.5</formula>
    </cfRule>
    <cfRule type="cellIs" dxfId="4644" priority="12023" stopIfTrue="1" operator="between">
      <formula>3.51</formula>
      <formula>7.49</formula>
    </cfRule>
  </conditionalFormatting>
  <conditionalFormatting sqref="AA3158">
    <cfRule type="cellIs" dxfId="4643" priority="12014" stopIfTrue="1" operator="lessThanOrEqual">
      <formula>3.5</formula>
    </cfRule>
    <cfRule type="cellIs" dxfId="4642" priority="12015" stopIfTrue="1" operator="greaterThanOrEqual">
      <formula>7.5</formula>
    </cfRule>
    <cfRule type="cellIs" dxfId="4641" priority="12016" stopIfTrue="1" operator="between">
      <formula>3.51</formula>
      <formula>7.49</formula>
    </cfRule>
  </conditionalFormatting>
  <conditionalFormatting sqref="AA3157">
    <cfRule type="cellIs" dxfId="4640" priority="12007" stopIfTrue="1" operator="lessThanOrEqual">
      <formula>3.5</formula>
    </cfRule>
    <cfRule type="cellIs" dxfId="4639" priority="12008" stopIfTrue="1" operator="greaterThanOrEqual">
      <formula>7.5</formula>
    </cfRule>
    <cfRule type="cellIs" dxfId="4638" priority="12009" stopIfTrue="1" operator="between">
      <formula>3.51</formula>
      <formula>7.49</formula>
    </cfRule>
  </conditionalFormatting>
  <conditionalFormatting sqref="AA3209">
    <cfRule type="cellIs" dxfId="4637" priority="12000" stopIfTrue="1" operator="lessThanOrEqual">
      <formula>3.5</formula>
    </cfRule>
    <cfRule type="cellIs" dxfId="4636" priority="12001" stopIfTrue="1" operator="greaterThanOrEqual">
      <formula>7.5</formula>
    </cfRule>
    <cfRule type="cellIs" dxfId="4635" priority="12002" stopIfTrue="1" operator="between">
      <formula>3.51</formula>
      <formula>7.49</formula>
    </cfRule>
  </conditionalFormatting>
  <conditionalFormatting sqref="AA3208">
    <cfRule type="cellIs" dxfId="4634" priority="11993" stopIfTrue="1" operator="lessThanOrEqual">
      <formula>3.5</formula>
    </cfRule>
    <cfRule type="cellIs" dxfId="4633" priority="11994" stopIfTrue="1" operator="greaterThanOrEqual">
      <formula>7.5</formula>
    </cfRule>
    <cfRule type="cellIs" dxfId="4632" priority="11995" stopIfTrue="1" operator="between">
      <formula>3.51</formula>
      <formula>7.49</formula>
    </cfRule>
  </conditionalFormatting>
  <conditionalFormatting sqref="AA3203">
    <cfRule type="cellIs" dxfId="4631" priority="11986" stopIfTrue="1" operator="lessThanOrEqual">
      <formula>3.5</formula>
    </cfRule>
    <cfRule type="cellIs" dxfId="4630" priority="11987" stopIfTrue="1" operator="greaterThanOrEqual">
      <formula>7.5</formula>
    </cfRule>
    <cfRule type="cellIs" dxfId="4629" priority="11988" stopIfTrue="1" operator="between">
      <formula>3.51</formula>
      <formula>7.49</formula>
    </cfRule>
  </conditionalFormatting>
  <conditionalFormatting sqref="AA1510">
    <cfRule type="cellIs" dxfId="4628" priority="11979" stopIfTrue="1" operator="lessThanOrEqual">
      <formula>3.5</formula>
    </cfRule>
    <cfRule type="cellIs" dxfId="4627" priority="11980" stopIfTrue="1" operator="greaterThanOrEqual">
      <formula>7.5</formula>
    </cfRule>
    <cfRule type="cellIs" dxfId="4626" priority="11981" stopIfTrue="1" operator="between">
      <formula>3.51</formula>
      <formula>7.49</formula>
    </cfRule>
  </conditionalFormatting>
  <conditionalFormatting sqref="AA1227">
    <cfRule type="cellIs" dxfId="4625" priority="11972" stopIfTrue="1" operator="lessThanOrEqual">
      <formula>3.5</formula>
    </cfRule>
    <cfRule type="cellIs" dxfId="4624" priority="11973" stopIfTrue="1" operator="greaterThanOrEqual">
      <formula>7.5</formula>
    </cfRule>
    <cfRule type="cellIs" dxfId="4623" priority="11974" stopIfTrue="1" operator="between">
      <formula>3.51</formula>
      <formula>7.49</formula>
    </cfRule>
  </conditionalFormatting>
  <conditionalFormatting sqref="AA1494">
    <cfRule type="cellIs" dxfId="4622" priority="11965" stopIfTrue="1" operator="lessThanOrEqual">
      <formula>3.5</formula>
    </cfRule>
    <cfRule type="cellIs" dxfId="4621" priority="11966" stopIfTrue="1" operator="greaterThanOrEqual">
      <formula>7.5</formula>
    </cfRule>
    <cfRule type="cellIs" dxfId="4620" priority="11967" stopIfTrue="1" operator="between">
      <formula>3.51</formula>
      <formula>7.49</formula>
    </cfRule>
  </conditionalFormatting>
  <conditionalFormatting sqref="AA1313">
    <cfRule type="cellIs" dxfId="4619" priority="11958" stopIfTrue="1" operator="lessThanOrEqual">
      <formula>3.5</formula>
    </cfRule>
    <cfRule type="cellIs" dxfId="4618" priority="11959" stopIfTrue="1" operator="greaterThanOrEqual">
      <formula>7.5</formula>
    </cfRule>
    <cfRule type="cellIs" dxfId="4617" priority="11960" stopIfTrue="1" operator="between">
      <formula>3.51</formula>
      <formula>7.49</formula>
    </cfRule>
  </conditionalFormatting>
  <conditionalFormatting sqref="AA1491">
    <cfRule type="cellIs" dxfId="4616" priority="11951" stopIfTrue="1" operator="lessThanOrEqual">
      <formula>3.5</formula>
    </cfRule>
    <cfRule type="cellIs" dxfId="4615" priority="11952" stopIfTrue="1" operator="greaterThanOrEqual">
      <formula>7.5</formula>
    </cfRule>
    <cfRule type="cellIs" dxfId="4614" priority="11953" stopIfTrue="1" operator="between">
      <formula>3.51</formula>
      <formula>7.49</formula>
    </cfRule>
  </conditionalFormatting>
  <conditionalFormatting sqref="AA1509">
    <cfRule type="cellIs" dxfId="4613" priority="11937" stopIfTrue="1" operator="lessThanOrEqual">
      <formula>3.5</formula>
    </cfRule>
    <cfRule type="cellIs" dxfId="4612" priority="11938" stopIfTrue="1" operator="greaterThanOrEqual">
      <formula>7.5</formula>
    </cfRule>
    <cfRule type="cellIs" dxfId="4611" priority="11939" stopIfTrue="1" operator="between">
      <formula>3.51</formula>
      <formula>7.49</formula>
    </cfRule>
  </conditionalFormatting>
  <conditionalFormatting sqref="AA1508">
    <cfRule type="cellIs" dxfId="4610" priority="11930" stopIfTrue="1" operator="lessThanOrEqual">
      <formula>3.5</formula>
    </cfRule>
    <cfRule type="cellIs" dxfId="4609" priority="11931" stopIfTrue="1" operator="greaterThanOrEqual">
      <formula>7.5</formula>
    </cfRule>
    <cfRule type="cellIs" dxfId="4608" priority="11932" stopIfTrue="1" operator="between">
      <formula>3.51</formula>
      <formula>7.49</formula>
    </cfRule>
  </conditionalFormatting>
  <conditionalFormatting sqref="AA4110">
    <cfRule type="cellIs" dxfId="4607" priority="11923" stopIfTrue="1" operator="lessThanOrEqual">
      <formula>3.5</formula>
    </cfRule>
    <cfRule type="cellIs" dxfId="4606" priority="11924" stopIfTrue="1" operator="greaterThanOrEqual">
      <formula>7.5</formula>
    </cfRule>
    <cfRule type="cellIs" dxfId="4605" priority="11925" stopIfTrue="1" operator="between">
      <formula>3.51</formula>
      <formula>7.49</formula>
    </cfRule>
  </conditionalFormatting>
  <conditionalFormatting sqref="AA4032">
    <cfRule type="cellIs" dxfId="4604" priority="11916" stopIfTrue="1" operator="lessThanOrEqual">
      <formula>3.5</formula>
    </cfRule>
    <cfRule type="cellIs" dxfId="4603" priority="11917" stopIfTrue="1" operator="greaterThanOrEqual">
      <formula>7.5</formula>
    </cfRule>
    <cfRule type="cellIs" dxfId="4602" priority="11918" stopIfTrue="1" operator="between">
      <formula>3.51</formula>
      <formula>7.49</formula>
    </cfRule>
  </conditionalFormatting>
  <conditionalFormatting sqref="AA4088">
    <cfRule type="cellIs" dxfId="4601" priority="11909" stopIfTrue="1" operator="lessThanOrEqual">
      <formula>3.5</formula>
    </cfRule>
    <cfRule type="cellIs" dxfId="4600" priority="11910" stopIfTrue="1" operator="greaterThanOrEqual">
      <formula>7.5</formula>
    </cfRule>
    <cfRule type="cellIs" dxfId="4599" priority="11911" stopIfTrue="1" operator="between">
      <formula>3.51</formula>
      <formula>7.49</formula>
    </cfRule>
  </conditionalFormatting>
  <conditionalFormatting sqref="AA3987">
    <cfRule type="cellIs" dxfId="4598" priority="11902" stopIfTrue="1" operator="lessThanOrEqual">
      <formula>3.5</formula>
    </cfRule>
    <cfRule type="cellIs" dxfId="4597" priority="11903" stopIfTrue="1" operator="greaterThanOrEqual">
      <formula>7.5</formula>
    </cfRule>
    <cfRule type="cellIs" dxfId="4596" priority="11904" stopIfTrue="1" operator="between">
      <formula>3.51</formula>
      <formula>7.49</formula>
    </cfRule>
  </conditionalFormatting>
  <conditionalFormatting sqref="AA4235">
    <cfRule type="cellIs" dxfId="4595" priority="11895" stopIfTrue="1" operator="lessThanOrEqual">
      <formula>3.5</formula>
    </cfRule>
    <cfRule type="cellIs" dxfId="4594" priority="11896" stopIfTrue="1" operator="greaterThanOrEqual">
      <formula>7.5</formula>
    </cfRule>
    <cfRule type="cellIs" dxfId="4593" priority="11897" stopIfTrue="1" operator="between">
      <formula>3.51</formula>
      <formula>7.49</formula>
    </cfRule>
  </conditionalFormatting>
  <conditionalFormatting sqref="AA4234">
    <cfRule type="cellIs" dxfId="4592" priority="11888" stopIfTrue="1" operator="lessThanOrEqual">
      <formula>3.5</formula>
    </cfRule>
    <cfRule type="cellIs" dxfId="4591" priority="11889" stopIfTrue="1" operator="greaterThanOrEqual">
      <formula>7.5</formula>
    </cfRule>
    <cfRule type="cellIs" dxfId="4590" priority="11890" stopIfTrue="1" operator="between">
      <formula>3.51</formula>
      <formula>7.49</formula>
    </cfRule>
  </conditionalFormatting>
  <conditionalFormatting sqref="AA4233">
    <cfRule type="cellIs" dxfId="4589" priority="11881" stopIfTrue="1" operator="lessThanOrEqual">
      <formula>3.5</formula>
    </cfRule>
    <cfRule type="cellIs" dxfId="4588" priority="11882" stopIfTrue="1" operator="greaterThanOrEqual">
      <formula>7.5</formula>
    </cfRule>
    <cfRule type="cellIs" dxfId="4587" priority="11883" stopIfTrue="1" operator="between">
      <formula>3.51</formula>
      <formula>7.49</formula>
    </cfRule>
  </conditionalFormatting>
  <conditionalFormatting sqref="AA4238">
    <cfRule type="cellIs" dxfId="4586" priority="11874" stopIfTrue="1" operator="lessThanOrEqual">
      <formula>3.5</formula>
    </cfRule>
    <cfRule type="cellIs" dxfId="4585" priority="11875" stopIfTrue="1" operator="greaterThanOrEqual">
      <formula>7.5</formula>
    </cfRule>
    <cfRule type="cellIs" dxfId="4584" priority="11876" stopIfTrue="1" operator="between">
      <formula>3.51</formula>
      <formula>7.49</formula>
    </cfRule>
  </conditionalFormatting>
  <conditionalFormatting sqref="AA4474">
    <cfRule type="cellIs" dxfId="4583" priority="11867" stopIfTrue="1" operator="lessThanOrEqual">
      <formula>3.5</formula>
    </cfRule>
    <cfRule type="cellIs" dxfId="4582" priority="11868" stopIfTrue="1" operator="greaterThanOrEqual">
      <formula>7.5</formula>
    </cfRule>
    <cfRule type="cellIs" dxfId="4581" priority="11869" stopIfTrue="1" operator="between">
      <formula>3.51</formula>
      <formula>7.49</formula>
    </cfRule>
  </conditionalFormatting>
  <conditionalFormatting sqref="AA4905">
    <cfRule type="cellIs" dxfId="4580" priority="11860" stopIfTrue="1" operator="lessThanOrEqual">
      <formula>3.5</formula>
    </cfRule>
    <cfRule type="cellIs" dxfId="4579" priority="11861" stopIfTrue="1" operator="greaterThanOrEqual">
      <formula>7.5</formula>
    </cfRule>
    <cfRule type="cellIs" dxfId="4578" priority="11862" stopIfTrue="1" operator="between">
      <formula>3.51</formula>
      <formula>7.49</formula>
    </cfRule>
  </conditionalFormatting>
  <conditionalFormatting sqref="AA4903">
    <cfRule type="cellIs" dxfId="4577" priority="11853" stopIfTrue="1" operator="lessThanOrEqual">
      <formula>3.5</formula>
    </cfRule>
    <cfRule type="cellIs" dxfId="4576" priority="11854" stopIfTrue="1" operator="greaterThanOrEqual">
      <formula>7.5</formula>
    </cfRule>
    <cfRule type="cellIs" dxfId="4575" priority="11855" stopIfTrue="1" operator="between">
      <formula>3.51</formula>
      <formula>7.49</formula>
    </cfRule>
  </conditionalFormatting>
  <conditionalFormatting sqref="AA4925">
    <cfRule type="cellIs" dxfId="4574" priority="11846" stopIfTrue="1" operator="lessThanOrEqual">
      <formula>3.5</formula>
    </cfRule>
    <cfRule type="cellIs" dxfId="4573" priority="11847" stopIfTrue="1" operator="greaterThanOrEqual">
      <formula>7.5</formula>
    </cfRule>
    <cfRule type="cellIs" dxfId="4572" priority="11848" stopIfTrue="1" operator="between">
      <formula>3.51</formula>
      <formula>7.49</formula>
    </cfRule>
  </conditionalFormatting>
  <conditionalFormatting sqref="AA4902">
    <cfRule type="cellIs" dxfId="4571" priority="11839" stopIfTrue="1" operator="lessThanOrEqual">
      <formula>3.5</formula>
    </cfRule>
    <cfRule type="cellIs" dxfId="4570" priority="11840" stopIfTrue="1" operator="greaterThanOrEqual">
      <formula>7.5</formula>
    </cfRule>
    <cfRule type="cellIs" dxfId="4569" priority="11841" stopIfTrue="1" operator="between">
      <formula>3.51</formula>
      <formula>7.49</formula>
    </cfRule>
  </conditionalFormatting>
  <conditionalFormatting sqref="AA3141">
    <cfRule type="cellIs" dxfId="4568" priority="11832" stopIfTrue="1" operator="lessThanOrEqual">
      <formula>3.5</formula>
    </cfRule>
    <cfRule type="cellIs" dxfId="4567" priority="11833" stopIfTrue="1" operator="greaterThanOrEqual">
      <formula>7.5</formula>
    </cfRule>
    <cfRule type="cellIs" dxfId="4566" priority="11834" stopIfTrue="1" operator="between">
      <formula>3.51</formula>
      <formula>7.49</formula>
    </cfRule>
  </conditionalFormatting>
  <conditionalFormatting sqref="AA4473">
    <cfRule type="cellIs" dxfId="4565" priority="11825" stopIfTrue="1" operator="lessThanOrEqual">
      <formula>3.5</formula>
    </cfRule>
    <cfRule type="cellIs" dxfId="4564" priority="11826" stopIfTrue="1" operator="greaterThanOrEqual">
      <formula>7.5</formula>
    </cfRule>
    <cfRule type="cellIs" dxfId="4563" priority="11827" stopIfTrue="1" operator="between">
      <formula>3.51</formula>
      <formula>7.49</formula>
    </cfRule>
  </conditionalFormatting>
  <conditionalFormatting sqref="AA4472">
    <cfRule type="cellIs" dxfId="4562" priority="11818" stopIfTrue="1" operator="lessThanOrEqual">
      <formula>3.5</formula>
    </cfRule>
    <cfRule type="cellIs" dxfId="4561" priority="11819" stopIfTrue="1" operator="greaterThanOrEqual">
      <formula>7.5</formula>
    </cfRule>
    <cfRule type="cellIs" dxfId="4560" priority="11820" stopIfTrue="1" operator="between">
      <formula>3.51</formula>
      <formula>7.49</formula>
    </cfRule>
  </conditionalFormatting>
  <conditionalFormatting sqref="AA5203">
    <cfRule type="cellIs" dxfId="4559" priority="11811" stopIfTrue="1" operator="lessThanOrEqual">
      <formula>3.5</formula>
    </cfRule>
    <cfRule type="cellIs" dxfId="4558" priority="11812" stopIfTrue="1" operator="greaterThanOrEqual">
      <formula>7.5</formula>
    </cfRule>
    <cfRule type="cellIs" dxfId="4557" priority="11813" stopIfTrue="1" operator="between">
      <formula>3.51</formula>
      <formula>7.49</formula>
    </cfRule>
  </conditionalFormatting>
  <conditionalFormatting sqref="AA5197">
    <cfRule type="cellIs" dxfId="4556" priority="11804" stopIfTrue="1" operator="lessThanOrEqual">
      <formula>3.5</formula>
    </cfRule>
    <cfRule type="cellIs" dxfId="4555" priority="11805" stopIfTrue="1" operator="greaterThanOrEqual">
      <formula>7.5</formula>
    </cfRule>
    <cfRule type="cellIs" dxfId="4554" priority="11806" stopIfTrue="1" operator="between">
      <formula>3.51</formula>
      <formula>7.49</formula>
    </cfRule>
  </conditionalFormatting>
  <conditionalFormatting sqref="AA5195">
    <cfRule type="cellIs" dxfId="4553" priority="11797" stopIfTrue="1" operator="lessThanOrEqual">
      <formula>3.5</formula>
    </cfRule>
    <cfRule type="cellIs" dxfId="4552" priority="11798" stopIfTrue="1" operator="greaterThanOrEqual">
      <formula>7.5</formula>
    </cfRule>
    <cfRule type="cellIs" dxfId="4551" priority="11799" stopIfTrue="1" operator="between">
      <formula>3.51</formula>
      <formula>7.49</formula>
    </cfRule>
  </conditionalFormatting>
  <conditionalFormatting sqref="AA4862">
    <cfRule type="cellIs" dxfId="4550" priority="11790" stopIfTrue="1" operator="lessThanOrEqual">
      <formula>3.5</formula>
    </cfRule>
    <cfRule type="cellIs" dxfId="4549" priority="11791" stopIfTrue="1" operator="greaterThanOrEqual">
      <formula>7.5</formula>
    </cfRule>
    <cfRule type="cellIs" dxfId="4548" priority="11792" stopIfTrue="1" operator="between">
      <formula>3.51</formula>
      <formula>7.49</formula>
    </cfRule>
  </conditionalFormatting>
  <conditionalFormatting sqref="AA5198">
    <cfRule type="cellIs" dxfId="4547" priority="11783" stopIfTrue="1" operator="lessThanOrEqual">
      <formula>3.5</formula>
    </cfRule>
    <cfRule type="cellIs" dxfId="4546" priority="11784" stopIfTrue="1" operator="greaterThanOrEqual">
      <formula>7.5</formula>
    </cfRule>
    <cfRule type="cellIs" dxfId="4545" priority="11785" stopIfTrue="1" operator="between">
      <formula>3.51</formula>
      <formula>7.49</formula>
    </cfRule>
  </conditionalFormatting>
  <conditionalFormatting sqref="AA5202">
    <cfRule type="cellIs" dxfId="4544" priority="11776" stopIfTrue="1" operator="lessThanOrEqual">
      <formula>3.5</formula>
    </cfRule>
    <cfRule type="cellIs" dxfId="4543" priority="11777" stopIfTrue="1" operator="greaterThanOrEqual">
      <formula>7.5</formula>
    </cfRule>
    <cfRule type="cellIs" dxfId="4542" priority="11778" stopIfTrue="1" operator="between">
      <formula>3.51</formula>
      <formula>7.49</formula>
    </cfRule>
  </conditionalFormatting>
  <conditionalFormatting sqref="AA5201">
    <cfRule type="cellIs" dxfId="4541" priority="11769" stopIfTrue="1" operator="lessThanOrEqual">
      <formula>3.5</formula>
    </cfRule>
    <cfRule type="cellIs" dxfId="4540" priority="11770" stopIfTrue="1" operator="greaterThanOrEqual">
      <formula>7.5</formula>
    </cfRule>
    <cfRule type="cellIs" dxfId="4539" priority="11771" stopIfTrue="1" operator="between">
      <formula>3.51</formula>
      <formula>7.49</formula>
    </cfRule>
  </conditionalFormatting>
  <conditionalFormatting sqref="AA5200">
    <cfRule type="cellIs" dxfId="4538" priority="11762" stopIfTrue="1" operator="lessThanOrEqual">
      <formula>3.5</formula>
    </cfRule>
    <cfRule type="cellIs" dxfId="4537" priority="11763" stopIfTrue="1" operator="greaterThanOrEqual">
      <formula>7.5</formula>
    </cfRule>
    <cfRule type="cellIs" dxfId="4536" priority="11764" stopIfTrue="1" operator="between">
      <formula>3.51</formula>
      <formula>7.49</formula>
    </cfRule>
  </conditionalFormatting>
  <conditionalFormatting sqref="AA1932">
    <cfRule type="cellIs" dxfId="4535" priority="11755" stopIfTrue="1" operator="lessThanOrEqual">
      <formula>3.5</formula>
    </cfRule>
    <cfRule type="cellIs" dxfId="4534" priority="11756" stopIfTrue="1" operator="greaterThanOrEqual">
      <formula>7.5</formula>
    </cfRule>
    <cfRule type="cellIs" dxfId="4533" priority="11757" stopIfTrue="1" operator="between">
      <formula>3.51</formula>
      <formula>7.49</formula>
    </cfRule>
  </conditionalFormatting>
  <conditionalFormatting sqref="AA2129">
    <cfRule type="cellIs" dxfId="4532" priority="11748" stopIfTrue="1" operator="lessThanOrEqual">
      <formula>3.5</formula>
    </cfRule>
    <cfRule type="cellIs" dxfId="4531" priority="11749" stopIfTrue="1" operator="greaterThanOrEqual">
      <formula>7.5</formula>
    </cfRule>
    <cfRule type="cellIs" dxfId="4530" priority="11750" stopIfTrue="1" operator="between">
      <formula>3.51</formula>
      <formula>7.49</formula>
    </cfRule>
  </conditionalFormatting>
  <conditionalFormatting sqref="AA2124">
    <cfRule type="cellIs" dxfId="4529" priority="11741" stopIfTrue="1" operator="lessThanOrEqual">
      <formula>3.5</formula>
    </cfRule>
    <cfRule type="cellIs" dxfId="4528" priority="11742" stopIfTrue="1" operator="greaterThanOrEqual">
      <formula>7.5</formula>
    </cfRule>
    <cfRule type="cellIs" dxfId="4527" priority="11743" stopIfTrue="1" operator="between">
      <formula>3.51</formula>
      <formula>7.49</formula>
    </cfRule>
  </conditionalFormatting>
  <conditionalFormatting sqref="AA2128">
    <cfRule type="cellIs" dxfId="4526" priority="11734" stopIfTrue="1" operator="lessThanOrEqual">
      <formula>3.5</formula>
    </cfRule>
    <cfRule type="cellIs" dxfId="4525" priority="11735" stopIfTrue="1" operator="greaterThanOrEqual">
      <formula>7.5</formula>
    </cfRule>
    <cfRule type="cellIs" dxfId="4524" priority="11736" stopIfTrue="1" operator="between">
      <formula>3.51</formula>
      <formula>7.49</formula>
    </cfRule>
  </conditionalFormatting>
  <conditionalFormatting sqref="AA2116">
    <cfRule type="cellIs" dxfId="4523" priority="11727" stopIfTrue="1" operator="lessThanOrEqual">
      <formula>3.5</formula>
    </cfRule>
    <cfRule type="cellIs" dxfId="4522" priority="11728" stopIfTrue="1" operator="greaterThanOrEqual">
      <formula>7.5</formula>
    </cfRule>
    <cfRule type="cellIs" dxfId="4521" priority="11729" stopIfTrue="1" operator="between">
      <formula>3.51</formula>
      <formula>7.49</formula>
    </cfRule>
  </conditionalFormatting>
  <conditionalFormatting sqref="AA2131">
    <cfRule type="cellIs" dxfId="4520" priority="11720" stopIfTrue="1" operator="lessThanOrEqual">
      <formula>3.5</formula>
    </cfRule>
    <cfRule type="cellIs" dxfId="4519" priority="11721" stopIfTrue="1" operator="greaterThanOrEqual">
      <formula>7.5</formula>
    </cfRule>
    <cfRule type="cellIs" dxfId="4518" priority="11722" stopIfTrue="1" operator="between">
      <formula>3.51</formula>
      <formula>7.49</formula>
    </cfRule>
  </conditionalFormatting>
  <conditionalFormatting sqref="AA2130">
    <cfRule type="cellIs" dxfId="4517" priority="11713" stopIfTrue="1" operator="lessThanOrEqual">
      <formula>3.5</formula>
    </cfRule>
    <cfRule type="cellIs" dxfId="4516" priority="11714" stopIfTrue="1" operator="greaterThanOrEqual">
      <formula>7.5</formula>
    </cfRule>
    <cfRule type="cellIs" dxfId="4515" priority="11715" stopIfTrue="1" operator="between">
      <formula>3.51</formula>
      <formula>7.49</formula>
    </cfRule>
  </conditionalFormatting>
  <conditionalFormatting sqref="AA2123">
    <cfRule type="cellIs" dxfId="4514" priority="11706" stopIfTrue="1" operator="lessThanOrEqual">
      <formula>3.5</formula>
    </cfRule>
    <cfRule type="cellIs" dxfId="4513" priority="11707" stopIfTrue="1" operator="greaterThanOrEqual">
      <formula>7.5</formula>
    </cfRule>
    <cfRule type="cellIs" dxfId="4512" priority="11708" stopIfTrue="1" operator="between">
      <formula>3.51</formula>
      <formula>7.49</formula>
    </cfRule>
  </conditionalFormatting>
  <conditionalFormatting sqref="AA2122">
    <cfRule type="cellIs" dxfId="4511" priority="11699" stopIfTrue="1" operator="lessThanOrEqual">
      <formula>3.5</formula>
    </cfRule>
    <cfRule type="cellIs" dxfId="4510" priority="11700" stopIfTrue="1" operator="greaterThanOrEqual">
      <formula>7.5</formula>
    </cfRule>
    <cfRule type="cellIs" dxfId="4509" priority="11701" stopIfTrue="1" operator="between">
      <formula>3.51</formula>
      <formula>7.49</formula>
    </cfRule>
  </conditionalFormatting>
  <conditionalFormatting sqref="AA2170">
    <cfRule type="cellIs" dxfId="4508" priority="11692" stopIfTrue="1" operator="lessThanOrEqual">
      <formula>3.5</formula>
    </cfRule>
    <cfRule type="cellIs" dxfId="4507" priority="11693" stopIfTrue="1" operator="greaterThanOrEqual">
      <formula>7.5</formula>
    </cfRule>
    <cfRule type="cellIs" dxfId="4506" priority="11694" stopIfTrue="1" operator="between">
      <formula>3.51</formula>
      <formula>7.49</formula>
    </cfRule>
  </conditionalFormatting>
  <conditionalFormatting sqref="AA2178">
    <cfRule type="cellIs" dxfId="4505" priority="11685" stopIfTrue="1" operator="lessThanOrEqual">
      <formula>3.5</formula>
    </cfRule>
    <cfRule type="cellIs" dxfId="4504" priority="11686" stopIfTrue="1" operator="greaterThanOrEqual">
      <formula>7.5</formula>
    </cfRule>
    <cfRule type="cellIs" dxfId="4503" priority="11687" stopIfTrue="1" operator="between">
      <formula>3.51</formula>
      <formula>7.49</formula>
    </cfRule>
  </conditionalFormatting>
  <conditionalFormatting sqref="AA2161">
    <cfRule type="cellIs" dxfId="4502" priority="11678" stopIfTrue="1" operator="lessThanOrEqual">
      <formula>3.5</formula>
    </cfRule>
    <cfRule type="cellIs" dxfId="4501" priority="11679" stopIfTrue="1" operator="greaterThanOrEqual">
      <formula>7.5</formula>
    </cfRule>
    <cfRule type="cellIs" dxfId="4500" priority="11680" stopIfTrue="1" operator="between">
      <formula>3.51</formula>
      <formula>7.49</formula>
    </cfRule>
  </conditionalFormatting>
  <conditionalFormatting sqref="AA2160">
    <cfRule type="cellIs" dxfId="4499" priority="11671" stopIfTrue="1" operator="lessThanOrEqual">
      <formula>3.5</formula>
    </cfRule>
    <cfRule type="cellIs" dxfId="4498" priority="11672" stopIfTrue="1" operator="greaterThanOrEqual">
      <formula>7.5</formula>
    </cfRule>
    <cfRule type="cellIs" dxfId="4497" priority="11673" stopIfTrue="1" operator="between">
      <formula>3.51</formula>
      <formula>7.49</formula>
    </cfRule>
  </conditionalFormatting>
  <conditionalFormatting sqref="AA2157">
    <cfRule type="cellIs" dxfId="4496" priority="11664" stopIfTrue="1" operator="lessThanOrEqual">
      <formula>3.5</formula>
    </cfRule>
    <cfRule type="cellIs" dxfId="4495" priority="11665" stopIfTrue="1" operator="greaterThanOrEqual">
      <formula>7.5</formula>
    </cfRule>
    <cfRule type="cellIs" dxfId="4494" priority="11666" stopIfTrue="1" operator="between">
      <formula>3.51</formula>
      <formula>7.49</formula>
    </cfRule>
  </conditionalFormatting>
  <conditionalFormatting sqref="AA2169">
    <cfRule type="cellIs" dxfId="4493" priority="11657" stopIfTrue="1" operator="lessThanOrEqual">
      <formula>3.5</formula>
    </cfRule>
    <cfRule type="cellIs" dxfId="4492" priority="11658" stopIfTrue="1" operator="greaterThanOrEqual">
      <formula>7.5</formula>
    </cfRule>
    <cfRule type="cellIs" dxfId="4491" priority="11659" stopIfTrue="1" operator="between">
      <formula>3.51</formula>
      <formula>7.49</formula>
    </cfRule>
  </conditionalFormatting>
  <conditionalFormatting sqref="AA2165">
    <cfRule type="cellIs" dxfId="4490" priority="11650" stopIfTrue="1" operator="lessThanOrEqual">
      <formula>3.5</formula>
    </cfRule>
    <cfRule type="cellIs" dxfId="4489" priority="11651" stopIfTrue="1" operator="greaterThanOrEqual">
      <formula>7.5</formula>
    </cfRule>
    <cfRule type="cellIs" dxfId="4488" priority="11652" stopIfTrue="1" operator="between">
      <formula>3.51</formula>
      <formula>7.49</formula>
    </cfRule>
  </conditionalFormatting>
  <conditionalFormatting sqref="AA2162">
    <cfRule type="cellIs" dxfId="4487" priority="11643" stopIfTrue="1" operator="lessThanOrEqual">
      <formula>3.5</formula>
    </cfRule>
    <cfRule type="cellIs" dxfId="4486" priority="11644" stopIfTrue="1" operator="greaterThanOrEqual">
      <formula>7.5</formula>
    </cfRule>
    <cfRule type="cellIs" dxfId="4485" priority="11645" stopIfTrue="1" operator="between">
      <formula>3.51</formula>
      <formula>7.49</formula>
    </cfRule>
  </conditionalFormatting>
  <conditionalFormatting sqref="AA2164">
    <cfRule type="cellIs" dxfId="4484" priority="11636" stopIfTrue="1" operator="lessThanOrEqual">
      <formula>3.5</formula>
    </cfRule>
    <cfRule type="cellIs" dxfId="4483" priority="11637" stopIfTrue="1" operator="greaterThanOrEqual">
      <formula>7.5</formula>
    </cfRule>
    <cfRule type="cellIs" dxfId="4482" priority="11638" stopIfTrue="1" operator="between">
      <formula>3.51</formula>
      <formula>7.49</formula>
    </cfRule>
  </conditionalFormatting>
  <conditionalFormatting sqref="AA2163">
    <cfRule type="cellIs" dxfId="4481" priority="11629" stopIfTrue="1" operator="lessThanOrEqual">
      <formula>3.5</formula>
    </cfRule>
    <cfRule type="cellIs" dxfId="4480" priority="11630" stopIfTrue="1" operator="greaterThanOrEqual">
      <formula>7.5</formula>
    </cfRule>
    <cfRule type="cellIs" dxfId="4479" priority="11631" stopIfTrue="1" operator="between">
      <formula>3.51</formula>
      <formula>7.49</formula>
    </cfRule>
  </conditionalFormatting>
  <conditionalFormatting sqref="AA2168">
    <cfRule type="cellIs" dxfId="4478" priority="11622" stopIfTrue="1" operator="lessThanOrEqual">
      <formula>3.5</formula>
    </cfRule>
    <cfRule type="cellIs" dxfId="4477" priority="11623" stopIfTrue="1" operator="greaterThanOrEqual">
      <formula>7.5</formula>
    </cfRule>
    <cfRule type="cellIs" dxfId="4476" priority="11624" stopIfTrue="1" operator="between">
      <formula>3.51</formula>
      <formula>7.49</formula>
    </cfRule>
  </conditionalFormatting>
  <conditionalFormatting sqref="AA2167">
    <cfRule type="cellIs" dxfId="4475" priority="11615" stopIfTrue="1" operator="lessThanOrEqual">
      <formula>3.5</formula>
    </cfRule>
    <cfRule type="cellIs" dxfId="4474" priority="11616" stopIfTrue="1" operator="greaterThanOrEqual">
      <formula>7.5</formula>
    </cfRule>
    <cfRule type="cellIs" dxfId="4473" priority="11617" stopIfTrue="1" operator="between">
      <formula>3.51</formula>
      <formula>7.49</formula>
    </cfRule>
  </conditionalFormatting>
  <conditionalFormatting sqref="AA2166">
    <cfRule type="cellIs" dxfId="4472" priority="11608" stopIfTrue="1" operator="lessThanOrEqual">
      <formula>3.5</formula>
    </cfRule>
    <cfRule type="cellIs" dxfId="4471" priority="11609" stopIfTrue="1" operator="greaterThanOrEqual">
      <formula>7.5</formula>
    </cfRule>
    <cfRule type="cellIs" dxfId="4470" priority="11610" stopIfTrue="1" operator="between">
      <formula>3.51</formula>
      <formula>7.49</formula>
    </cfRule>
  </conditionalFormatting>
  <conditionalFormatting sqref="AA2201">
    <cfRule type="cellIs" dxfId="4469" priority="11601" stopIfTrue="1" operator="lessThanOrEqual">
      <formula>3.5</formula>
    </cfRule>
    <cfRule type="cellIs" dxfId="4468" priority="11602" stopIfTrue="1" operator="greaterThanOrEqual">
      <formula>7.5</formula>
    </cfRule>
    <cfRule type="cellIs" dxfId="4467" priority="11603" stopIfTrue="1" operator="between">
      <formula>3.51</formula>
      <formula>7.49</formula>
    </cfRule>
  </conditionalFormatting>
  <conditionalFormatting sqref="AA2175">
    <cfRule type="cellIs" dxfId="4466" priority="11594" stopIfTrue="1" operator="lessThanOrEqual">
      <formula>3.5</formula>
    </cfRule>
    <cfRule type="cellIs" dxfId="4465" priority="11595" stopIfTrue="1" operator="greaterThanOrEqual">
      <formula>7.5</formula>
    </cfRule>
    <cfRule type="cellIs" dxfId="4464" priority="11596" stopIfTrue="1" operator="between">
      <formula>3.51</formula>
      <formula>7.49</formula>
    </cfRule>
  </conditionalFormatting>
  <conditionalFormatting sqref="AA2174">
    <cfRule type="cellIs" dxfId="4463" priority="11587" stopIfTrue="1" operator="lessThanOrEqual">
      <formula>3.5</formula>
    </cfRule>
    <cfRule type="cellIs" dxfId="4462" priority="11588" stopIfTrue="1" operator="greaterThanOrEqual">
      <formula>7.5</formula>
    </cfRule>
    <cfRule type="cellIs" dxfId="4461" priority="11589" stopIfTrue="1" operator="between">
      <formula>3.51</formula>
      <formula>7.49</formula>
    </cfRule>
  </conditionalFormatting>
  <conditionalFormatting sqref="AA2172">
    <cfRule type="cellIs" dxfId="4460" priority="11580" stopIfTrue="1" operator="lessThanOrEqual">
      <formula>3.5</formula>
    </cfRule>
    <cfRule type="cellIs" dxfId="4459" priority="11581" stopIfTrue="1" operator="greaterThanOrEqual">
      <formula>7.5</formula>
    </cfRule>
    <cfRule type="cellIs" dxfId="4458" priority="11582" stopIfTrue="1" operator="between">
      <formula>3.51</formula>
      <formula>7.49</formula>
    </cfRule>
  </conditionalFormatting>
  <conditionalFormatting sqref="AA2196">
    <cfRule type="cellIs" dxfId="4457" priority="11573" stopIfTrue="1" operator="lessThanOrEqual">
      <formula>3.5</formula>
    </cfRule>
    <cfRule type="cellIs" dxfId="4456" priority="11574" stopIfTrue="1" operator="greaterThanOrEqual">
      <formula>7.5</formula>
    </cfRule>
    <cfRule type="cellIs" dxfId="4455" priority="11575" stopIfTrue="1" operator="between">
      <formula>3.51</formula>
      <formula>7.49</formula>
    </cfRule>
  </conditionalFormatting>
  <conditionalFormatting sqref="AA2195">
    <cfRule type="cellIs" dxfId="4454" priority="11566" stopIfTrue="1" operator="lessThanOrEqual">
      <formula>3.5</formula>
    </cfRule>
    <cfRule type="cellIs" dxfId="4453" priority="11567" stopIfTrue="1" operator="greaterThanOrEqual">
      <formula>7.5</formula>
    </cfRule>
    <cfRule type="cellIs" dxfId="4452" priority="11568" stopIfTrue="1" operator="between">
      <formula>3.51</formula>
      <formula>7.49</formula>
    </cfRule>
  </conditionalFormatting>
  <conditionalFormatting sqref="AA2194">
    <cfRule type="cellIs" dxfId="4451" priority="11559" stopIfTrue="1" operator="lessThanOrEqual">
      <formula>3.5</formula>
    </cfRule>
    <cfRule type="cellIs" dxfId="4450" priority="11560" stopIfTrue="1" operator="greaterThanOrEqual">
      <formula>7.5</formula>
    </cfRule>
    <cfRule type="cellIs" dxfId="4449" priority="11561" stopIfTrue="1" operator="between">
      <formula>3.51</formula>
      <formula>7.49</formula>
    </cfRule>
  </conditionalFormatting>
  <conditionalFormatting sqref="AA2193">
    <cfRule type="cellIs" dxfId="4448" priority="11552" stopIfTrue="1" operator="lessThanOrEqual">
      <formula>3.5</formula>
    </cfRule>
    <cfRule type="cellIs" dxfId="4447" priority="11553" stopIfTrue="1" operator="greaterThanOrEqual">
      <formula>7.5</formula>
    </cfRule>
    <cfRule type="cellIs" dxfId="4446" priority="11554" stopIfTrue="1" operator="between">
      <formula>3.51</formula>
      <formula>7.49</formula>
    </cfRule>
  </conditionalFormatting>
  <conditionalFormatting sqref="AA2200">
    <cfRule type="cellIs" dxfId="4445" priority="11545" stopIfTrue="1" operator="lessThanOrEqual">
      <formula>3.5</formula>
    </cfRule>
    <cfRule type="cellIs" dxfId="4444" priority="11546" stopIfTrue="1" operator="greaterThanOrEqual">
      <formula>7.5</formula>
    </cfRule>
    <cfRule type="cellIs" dxfId="4443" priority="11547" stopIfTrue="1" operator="between">
      <formula>3.51</formula>
      <formula>7.49</formula>
    </cfRule>
  </conditionalFormatting>
  <conditionalFormatting sqref="AA2199">
    <cfRule type="cellIs" dxfId="4442" priority="11538" stopIfTrue="1" operator="lessThanOrEqual">
      <formula>3.5</formula>
    </cfRule>
    <cfRule type="cellIs" dxfId="4441" priority="11539" stopIfTrue="1" operator="greaterThanOrEqual">
      <formula>7.5</formula>
    </cfRule>
    <cfRule type="cellIs" dxfId="4440" priority="11540" stopIfTrue="1" operator="between">
      <formula>3.51</formula>
      <formula>7.49</formula>
    </cfRule>
  </conditionalFormatting>
  <conditionalFormatting sqref="AA2197">
    <cfRule type="cellIs" dxfId="4439" priority="11531" stopIfTrue="1" operator="lessThanOrEqual">
      <formula>3.5</formula>
    </cfRule>
    <cfRule type="cellIs" dxfId="4438" priority="11532" stopIfTrue="1" operator="greaterThanOrEqual">
      <formula>7.5</formula>
    </cfRule>
    <cfRule type="cellIs" dxfId="4437" priority="11533" stopIfTrue="1" operator="between">
      <formula>3.51</formula>
      <formula>7.49</formula>
    </cfRule>
  </conditionalFormatting>
  <conditionalFormatting sqref="AA3851">
    <cfRule type="cellIs" dxfId="4436" priority="11524" stopIfTrue="1" operator="lessThanOrEqual">
      <formula>3.5</formula>
    </cfRule>
    <cfRule type="cellIs" dxfId="4435" priority="11525" stopIfTrue="1" operator="greaterThanOrEqual">
      <formula>7.5</formula>
    </cfRule>
    <cfRule type="cellIs" dxfId="4434" priority="11526" stopIfTrue="1" operator="between">
      <formula>3.51</formula>
      <formula>7.49</formula>
    </cfRule>
  </conditionalFormatting>
  <conditionalFormatting sqref="AA3852">
    <cfRule type="cellIs" dxfId="4433" priority="11517" stopIfTrue="1" operator="lessThanOrEqual">
      <formula>3.5</formula>
    </cfRule>
    <cfRule type="cellIs" dxfId="4432" priority="11518" stopIfTrue="1" operator="greaterThanOrEqual">
      <formula>7.5</formula>
    </cfRule>
    <cfRule type="cellIs" dxfId="4431" priority="11519" stopIfTrue="1" operator="between">
      <formula>3.51</formula>
      <formula>7.49</formula>
    </cfRule>
  </conditionalFormatting>
  <conditionalFormatting sqref="AA3737">
    <cfRule type="cellIs" dxfId="4430" priority="11510" stopIfTrue="1" operator="lessThanOrEqual">
      <formula>3.5</formula>
    </cfRule>
    <cfRule type="cellIs" dxfId="4429" priority="11511" stopIfTrue="1" operator="greaterThanOrEqual">
      <formula>7.5</formula>
    </cfRule>
    <cfRule type="cellIs" dxfId="4428" priority="11512" stopIfTrue="1" operator="between">
      <formula>3.51</formula>
      <formula>7.49</formula>
    </cfRule>
  </conditionalFormatting>
  <conditionalFormatting sqref="AA3735">
    <cfRule type="cellIs" dxfId="4427" priority="11503" stopIfTrue="1" operator="lessThanOrEqual">
      <formula>3.5</formula>
    </cfRule>
    <cfRule type="cellIs" dxfId="4426" priority="11504" stopIfTrue="1" operator="greaterThanOrEqual">
      <formula>7.5</formula>
    </cfRule>
    <cfRule type="cellIs" dxfId="4425" priority="11505" stopIfTrue="1" operator="between">
      <formula>3.51</formula>
      <formula>7.49</formula>
    </cfRule>
  </conditionalFormatting>
  <conditionalFormatting sqref="AA3897">
    <cfRule type="cellIs" dxfId="4424" priority="11496" stopIfTrue="1" operator="lessThanOrEqual">
      <formula>3.5</formula>
    </cfRule>
    <cfRule type="cellIs" dxfId="4423" priority="11497" stopIfTrue="1" operator="greaterThanOrEqual">
      <formula>7.5</formula>
    </cfRule>
    <cfRule type="cellIs" dxfId="4422" priority="11498" stopIfTrue="1" operator="between">
      <formula>3.51</formula>
      <formula>7.49</formula>
    </cfRule>
  </conditionalFormatting>
  <conditionalFormatting sqref="AA3036">
    <cfRule type="cellIs" dxfId="4421" priority="11489" stopIfTrue="1" operator="lessThanOrEqual">
      <formula>3.5</formula>
    </cfRule>
    <cfRule type="cellIs" dxfId="4420" priority="11490" stopIfTrue="1" operator="greaterThanOrEqual">
      <formula>7.5</formula>
    </cfRule>
    <cfRule type="cellIs" dxfId="4419" priority="11491" stopIfTrue="1" operator="between">
      <formula>3.51</formula>
      <formula>7.49</formula>
    </cfRule>
  </conditionalFormatting>
  <conditionalFormatting sqref="AA2110">
    <cfRule type="cellIs" dxfId="4418" priority="11482" stopIfTrue="1" operator="lessThanOrEqual">
      <formula>3.5</formula>
    </cfRule>
    <cfRule type="cellIs" dxfId="4417" priority="11483" stopIfTrue="1" operator="greaterThanOrEqual">
      <formula>7.5</formula>
    </cfRule>
    <cfRule type="cellIs" dxfId="4416" priority="11484" stopIfTrue="1" operator="between">
      <formula>3.51</formula>
      <formula>7.49</formula>
    </cfRule>
  </conditionalFormatting>
  <conditionalFormatting sqref="AA1816">
    <cfRule type="cellIs" dxfId="4415" priority="11475" stopIfTrue="1" operator="lessThanOrEqual">
      <formula>3.5</formula>
    </cfRule>
    <cfRule type="cellIs" dxfId="4414" priority="11476" stopIfTrue="1" operator="greaterThanOrEqual">
      <formula>7.5</formula>
    </cfRule>
    <cfRule type="cellIs" dxfId="4413" priority="11477" stopIfTrue="1" operator="between">
      <formula>3.51</formula>
      <formula>7.49</formula>
    </cfRule>
  </conditionalFormatting>
  <conditionalFormatting sqref="AA5346">
    <cfRule type="cellIs" dxfId="4412" priority="11467" stopIfTrue="1" operator="lessThanOrEqual">
      <formula>3.5</formula>
    </cfRule>
    <cfRule type="cellIs" dxfId="4411" priority="11468" stopIfTrue="1" operator="greaterThanOrEqual">
      <formula>7.5</formula>
    </cfRule>
    <cfRule type="cellIs" dxfId="4410" priority="11469" stopIfTrue="1" operator="between">
      <formula>3.51</formula>
      <formula>7.49</formula>
    </cfRule>
  </conditionalFormatting>
  <conditionalFormatting sqref="AA5348">
    <cfRule type="cellIs" dxfId="4409" priority="11459" stopIfTrue="1" operator="lessThanOrEqual">
      <formula>3.5</formula>
    </cfRule>
    <cfRule type="cellIs" dxfId="4408" priority="11460" stopIfTrue="1" operator="greaterThanOrEqual">
      <formula>7.5</formula>
    </cfRule>
    <cfRule type="cellIs" dxfId="4407" priority="11461" stopIfTrue="1" operator="between">
      <formula>3.51</formula>
      <formula>7.49</formula>
    </cfRule>
  </conditionalFormatting>
  <conditionalFormatting sqref="AA5111">
    <cfRule type="cellIs" dxfId="4406" priority="11451" stopIfTrue="1" operator="lessThanOrEqual">
      <formula>3.5</formula>
    </cfRule>
    <cfRule type="cellIs" dxfId="4405" priority="11452" stopIfTrue="1" operator="greaterThanOrEqual">
      <formula>7.5</formula>
    </cfRule>
    <cfRule type="cellIs" dxfId="4404" priority="11453" stopIfTrue="1" operator="between">
      <formula>3.51</formula>
      <formula>7.49</formula>
    </cfRule>
  </conditionalFormatting>
  <conditionalFormatting sqref="AA5362">
    <cfRule type="cellIs" dxfId="4403" priority="11443" stopIfTrue="1" operator="lessThanOrEqual">
      <formula>3.5</formula>
    </cfRule>
    <cfRule type="cellIs" dxfId="4402" priority="11444" stopIfTrue="1" operator="greaterThanOrEqual">
      <formula>7.5</formula>
    </cfRule>
    <cfRule type="cellIs" dxfId="4401" priority="11445" stopIfTrue="1" operator="between">
      <formula>3.51</formula>
      <formula>7.49</formula>
    </cfRule>
  </conditionalFormatting>
  <conditionalFormatting sqref="AA5220">
    <cfRule type="cellIs" dxfId="4400" priority="11427" stopIfTrue="1" operator="lessThanOrEqual">
      <formula>3.5</formula>
    </cfRule>
    <cfRule type="cellIs" dxfId="4399" priority="11428" stopIfTrue="1" operator="greaterThanOrEqual">
      <formula>7.5</formula>
    </cfRule>
    <cfRule type="cellIs" dxfId="4398" priority="11429" stopIfTrue="1" operator="between">
      <formula>3.51</formula>
      <formula>7.49</formula>
    </cfRule>
  </conditionalFormatting>
  <conditionalFormatting sqref="AA5183">
    <cfRule type="cellIs" dxfId="4397" priority="11411" stopIfTrue="1" operator="lessThanOrEqual">
      <formula>3.5</formula>
    </cfRule>
    <cfRule type="cellIs" dxfId="4396" priority="11412" stopIfTrue="1" operator="greaterThanOrEqual">
      <formula>7.5</formula>
    </cfRule>
    <cfRule type="cellIs" dxfId="4395" priority="11413" stopIfTrue="1" operator="between">
      <formula>3.51</formula>
      <formula>7.49</formula>
    </cfRule>
  </conditionalFormatting>
  <conditionalFormatting sqref="AA2331">
    <cfRule type="cellIs" dxfId="4394" priority="11404" stopIfTrue="1" operator="lessThanOrEqual">
      <formula>3.5</formula>
    </cfRule>
    <cfRule type="cellIs" dxfId="4393" priority="11405" stopIfTrue="1" operator="greaterThanOrEqual">
      <formula>7.5</formula>
    </cfRule>
    <cfRule type="cellIs" dxfId="4392" priority="11406" stopIfTrue="1" operator="between">
      <formula>3.51</formula>
      <formula>7.49</formula>
    </cfRule>
  </conditionalFormatting>
  <conditionalFormatting sqref="AA2342">
    <cfRule type="cellIs" dxfId="4391" priority="11397" stopIfTrue="1" operator="lessThanOrEqual">
      <formula>3.5</formula>
    </cfRule>
    <cfRule type="cellIs" dxfId="4390" priority="11398" stopIfTrue="1" operator="greaterThanOrEqual">
      <formula>7.5</formula>
    </cfRule>
    <cfRule type="cellIs" dxfId="4389" priority="11399" stopIfTrue="1" operator="between">
      <formula>3.51</formula>
      <formula>7.49</formula>
    </cfRule>
  </conditionalFormatting>
  <conditionalFormatting sqref="AA5101">
    <cfRule type="cellIs" dxfId="4388" priority="11390" stopIfTrue="1" operator="lessThanOrEqual">
      <formula>3.5</formula>
    </cfRule>
    <cfRule type="cellIs" dxfId="4387" priority="11391" stopIfTrue="1" operator="greaterThanOrEqual">
      <formula>7.5</formula>
    </cfRule>
    <cfRule type="cellIs" dxfId="4386" priority="11392" stopIfTrue="1" operator="between">
      <formula>3.51</formula>
      <formula>7.49</formula>
    </cfRule>
  </conditionalFormatting>
  <conditionalFormatting sqref="AA5363">
    <cfRule type="cellIs" dxfId="4385" priority="11383" stopIfTrue="1" operator="lessThanOrEqual">
      <formula>3.5</formula>
    </cfRule>
    <cfRule type="cellIs" dxfId="4384" priority="11384" stopIfTrue="1" operator="greaterThanOrEqual">
      <formula>7.5</formula>
    </cfRule>
    <cfRule type="cellIs" dxfId="4383" priority="11385" stopIfTrue="1" operator="between">
      <formula>3.51</formula>
      <formula>7.49</formula>
    </cfRule>
  </conditionalFormatting>
  <conditionalFormatting sqref="AA2343">
    <cfRule type="cellIs" dxfId="4382" priority="11376" stopIfTrue="1" operator="lessThanOrEqual">
      <formula>3.5</formula>
    </cfRule>
    <cfRule type="cellIs" dxfId="4381" priority="11377" stopIfTrue="1" operator="greaterThanOrEqual">
      <formula>7.5</formula>
    </cfRule>
    <cfRule type="cellIs" dxfId="4380" priority="11378" stopIfTrue="1" operator="between">
      <formula>3.51</formula>
      <formula>7.49</formula>
    </cfRule>
  </conditionalFormatting>
  <conditionalFormatting sqref="AA1209">
    <cfRule type="cellIs" dxfId="4379" priority="11369" stopIfTrue="1" operator="lessThanOrEqual">
      <formula>3.5</formula>
    </cfRule>
    <cfRule type="cellIs" dxfId="4378" priority="11370" stopIfTrue="1" operator="greaterThanOrEqual">
      <formula>7.5</formula>
    </cfRule>
    <cfRule type="cellIs" dxfId="4377" priority="11371" stopIfTrue="1" operator="between">
      <formula>3.51</formula>
      <formula>7.49</formula>
    </cfRule>
  </conditionalFormatting>
  <conditionalFormatting sqref="AA1188">
    <cfRule type="cellIs" dxfId="4376" priority="11362" stopIfTrue="1" operator="lessThanOrEqual">
      <formula>3.5</formula>
    </cfRule>
    <cfRule type="cellIs" dxfId="4375" priority="11363" stopIfTrue="1" operator="greaterThanOrEqual">
      <formula>7.5</formula>
    </cfRule>
    <cfRule type="cellIs" dxfId="4374" priority="11364" stopIfTrue="1" operator="between">
      <formula>3.51</formula>
      <formula>7.49</formula>
    </cfRule>
  </conditionalFormatting>
  <conditionalFormatting sqref="AA2332">
    <cfRule type="cellIs" dxfId="4373" priority="11355" stopIfTrue="1" operator="lessThanOrEqual">
      <formula>3.5</formula>
    </cfRule>
    <cfRule type="cellIs" dxfId="4372" priority="11356" stopIfTrue="1" operator="greaterThanOrEqual">
      <formula>7.5</formula>
    </cfRule>
    <cfRule type="cellIs" dxfId="4371" priority="11357" stopIfTrue="1" operator="between">
      <formula>3.51</formula>
      <formula>7.49</formula>
    </cfRule>
  </conditionalFormatting>
  <conditionalFormatting sqref="AA2347">
    <cfRule type="cellIs" dxfId="4370" priority="11348" stopIfTrue="1" operator="lessThanOrEqual">
      <formula>3.5</formula>
    </cfRule>
    <cfRule type="cellIs" dxfId="4369" priority="11349" stopIfTrue="1" operator="greaterThanOrEqual">
      <formula>7.5</formula>
    </cfRule>
    <cfRule type="cellIs" dxfId="4368" priority="11350" stopIfTrue="1" operator="between">
      <formula>3.51</formula>
      <formula>7.49</formula>
    </cfRule>
  </conditionalFormatting>
  <conditionalFormatting sqref="AA2365">
    <cfRule type="cellIs" dxfId="4367" priority="11341" stopIfTrue="1" operator="lessThanOrEqual">
      <formula>3.5</formula>
    </cfRule>
    <cfRule type="cellIs" dxfId="4366" priority="11342" stopIfTrue="1" operator="greaterThanOrEqual">
      <formula>7.5</formula>
    </cfRule>
    <cfRule type="cellIs" dxfId="4365" priority="11343" stopIfTrue="1" operator="between">
      <formula>3.51</formula>
      <formula>7.49</formula>
    </cfRule>
  </conditionalFormatting>
  <conditionalFormatting sqref="AA5321">
    <cfRule type="cellIs" dxfId="4364" priority="11334" stopIfTrue="1" operator="lessThanOrEqual">
      <formula>3.5</formula>
    </cfRule>
    <cfRule type="cellIs" dxfId="4363" priority="11335" stopIfTrue="1" operator="greaterThanOrEqual">
      <formula>7.5</formula>
    </cfRule>
    <cfRule type="cellIs" dxfId="4362" priority="11336" stopIfTrue="1" operator="between">
      <formula>3.51</formula>
      <formula>7.49</formula>
    </cfRule>
  </conditionalFormatting>
  <conditionalFormatting sqref="AA5265">
    <cfRule type="cellIs" dxfId="4361" priority="11327" stopIfTrue="1" operator="lessThanOrEqual">
      <formula>3.5</formula>
    </cfRule>
    <cfRule type="cellIs" dxfId="4360" priority="11328" stopIfTrue="1" operator="greaterThanOrEqual">
      <formula>7.5</formula>
    </cfRule>
    <cfRule type="cellIs" dxfId="4359" priority="11329" stopIfTrue="1" operator="between">
      <formula>3.51</formula>
      <formula>7.49</formula>
    </cfRule>
  </conditionalFormatting>
  <conditionalFormatting sqref="AA5299">
    <cfRule type="cellIs" dxfId="4358" priority="11320" stopIfTrue="1" operator="lessThanOrEqual">
      <formula>3.5</formula>
    </cfRule>
    <cfRule type="cellIs" dxfId="4357" priority="11321" stopIfTrue="1" operator="greaterThanOrEqual">
      <formula>7.5</formula>
    </cfRule>
    <cfRule type="cellIs" dxfId="4356" priority="11322" stopIfTrue="1" operator="between">
      <formula>3.51</formula>
      <formula>7.49</formula>
    </cfRule>
  </conditionalFormatting>
  <conditionalFormatting sqref="AA5260">
    <cfRule type="cellIs" dxfId="4355" priority="11313" stopIfTrue="1" operator="lessThanOrEqual">
      <formula>3.5</formula>
    </cfRule>
    <cfRule type="cellIs" dxfId="4354" priority="11314" stopIfTrue="1" operator="greaterThanOrEqual">
      <formula>7.5</formula>
    </cfRule>
    <cfRule type="cellIs" dxfId="4353" priority="11315" stopIfTrue="1" operator="between">
      <formula>3.51</formula>
      <formula>7.49</formula>
    </cfRule>
  </conditionalFormatting>
  <conditionalFormatting sqref="AA5242">
    <cfRule type="cellIs" dxfId="4352" priority="11306" stopIfTrue="1" operator="lessThanOrEqual">
      <formula>3.5</formula>
    </cfRule>
    <cfRule type="cellIs" dxfId="4351" priority="11307" stopIfTrue="1" operator="greaterThanOrEqual">
      <formula>7.5</formula>
    </cfRule>
    <cfRule type="cellIs" dxfId="4350" priority="11308" stopIfTrue="1" operator="between">
      <formula>3.51</formula>
      <formula>7.49</formula>
    </cfRule>
  </conditionalFormatting>
  <conditionalFormatting sqref="AA5243">
    <cfRule type="cellIs" dxfId="4349" priority="11299" stopIfTrue="1" operator="lessThanOrEqual">
      <formula>3.5</formula>
    </cfRule>
    <cfRule type="cellIs" dxfId="4348" priority="11300" stopIfTrue="1" operator="greaterThanOrEqual">
      <formula>7.5</formula>
    </cfRule>
    <cfRule type="cellIs" dxfId="4347" priority="11301" stopIfTrue="1" operator="between">
      <formula>3.51</formula>
      <formula>7.49</formula>
    </cfRule>
  </conditionalFormatting>
  <conditionalFormatting sqref="AA5263">
    <cfRule type="cellIs" dxfId="4346" priority="11292" stopIfTrue="1" operator="lessThanOrEqual">
      <formula>3.5</formula>
    </cfRule>
    <cfRule type="cellIs" dxfId="4345" priority="11293" stopIfTrue="1" operator="greaterThanOrEqual">
      <formula>7.5</formula>
    </cfRule>
    <cfRule type="cellIs" dxfId="4344" priority="11294" stopIfTrue="1" operator="between">
      <formula>3.51</formula>
      <formula>7.49</formula>
    </cfRule>
  </conditionalFormatting>
  <conditionalFormatting sqref="AA5262">
    <cfRule type="cellIs" dxfId="4343" priority="11285" stopIfTrue="1" operator="lessThanOrEqual">
      <formula>3.5</formula>
    </cfRule>
    <cfRule type="cellIs" dxfId="4342" priority="11286" stopIfTrue="1" operator="greaterThanOrEqual">
      <formula>7.5</formula>
    </cfRule>
    <cfRule type="cellIs" dxfId="4341" priority="11287" stopIfTrue="1" operator="between">
      <formula>3.51</formula>
      <formula>7.49</formula>
    </cfRule>
  </conditionalFormatting>
  <conditionalFormatting sqref="AA5094">
    <cfRule type="cellIs" dxfId="4340" priority="11271" stopIfTrue="1" operator="lessThanOrEqual">
      <formula>3.5</formula>
    </cfRule>
    <cfRule type="cellIs" dxfId="4339" priority="11272" stopIfTrue="1" operator="greaterThanOrEqual">
      <formula>7.5</formula>
    </cfRule>
    <cfRule type="cellIs" dxfId="4338" priority="11273" stopIfTrue="1" operator="between">
      <formula>3.51</formula>
      <formula>7.49</formula>
    </cfRule>
  </conditionalFormatting>
  <conditionalFormatting sqref="AA5314">
    <cfRule type="cellIs" dxfId="4337" priority="11264" stopIfTrue="1" operator="lessThanOrEqual">
      <formula>3.5</formula>
    </cfRule>
    <cfRule type="cellIs" dxfId="4336" priority="11265" stopIfTrue="1" operator="greaterThanOrEqual">
      <formula>7.5</formula>
    </cfRule>
    <cfRule type="cellIs" dxfId="4335" priority="11266" stopIfTrue="1" operator="between">
      <formula>3.51</formula>
      <formula>7.49</formula>
    </cfRule>
  </conditionalFormatting>
  <conditionalFormatting sqref="AA5310">
    <cfRule type="cellIs" dxfId="4334" priority="11257" stopIfTrue="1" operator="lessThanOrEqual">
      <formula>3.5</formula>
    </cfRule>
    <cfRule type="cellIs" dxfId="4333" priority="11258" stopIfTrue="1" operator="greaterThanOrEqual">
      <formula>7.5</formula>
    </cfRule>
    <cfRule type="cellIs" dxfId="4332" priority="11259" stopIfTrue="1" operator="between">
      <formula>3.51</formula>
      <formula>7.49</formula>
    </cfRule>
  </conditionalFormatting>
  <conditionalFormatting sqref="AA5332">
    <cfRule type="cellIs" dxfId="4331" priority="11250" stopIfTrue="1" operator="lessThanOrEqual">
      <formula>3.5</formula>
    </cfRule>
    <cfRule type="cellIs" dxfId="4330" priority="11251" stopIfTrue="1" operator="greaterThanOrEqual">
      <formula>7.5</formula>
    </cfRule>
    <cfRule type="cellIs" dxfId="4329" priority="11252" stopIfTrue="1" operator="between">
      <formula>3.51</formula>
      <formula>7.49</formula>
    </cfRule>
  </conditionalFormatting>
  <conditionalFormatting sqref="AA4917">
    <cfRule type="cellIs" dxfId="4328" priority="11243" stopIfTrue="1" operator="lessThanOrEqual">
      <formula>3.5</formula>
    </cfRule>
    <cfRule type="cellIs" dxfId="4327" priority="11244" stopIfTrue="1" operator="greaterThanOrEqual">
      <formula>7.5</formula>
    </cfRule>
    <cfRule type="cellIs" dxfId="4326" priority="11245" stopIfTrue="1" operator="between">
      <formula>3.51</formula>
      <formula>7.49</formula>
    </cfRule>
  </conditionalFormatting>
  <conditionalFormatting sqref="AA5128">
    <cfRule type="cellIs" dxfId="4325" priority="11236" stopIfTrue="1" operator="lessThanOrEqual">
      <formula>3.5</formula>
    </cfRule>
    <cfRule type="cellIs" dxfId="4324" priority="11237" stopIfTrue="1" operator="greaterThanOrEqual">
      <formula>7.5</formula>
    </cfRule>
    <cfRule type="cellIs" dxfId="4323" priority="11238" stopIfTrue="1" operator="between">
      <formula>3.51</formula>
      <formula>7.49</formula>
    </cfRule>
  </conditionalFormatting>
  <conditionalFormatting sqref="AA4861">
    <cfRule type="cellIs" dxfId="4322" priority="11229" stopIfTrue="1" operator="lessThanOrEqual">
      <formula>3.5</formula>
    </cfRule>
    <cfRule type="cellIs" dxfId="4321" priority="11230" stopIfTrue="1" operator="greaterThanOrEqual">
      <formula>7.5</formula>
    </cfRule>
    <cfRule type="cellIs" dxfId="4320" priority="11231" stopIfTrue="1" operator="between">
      <formula>3.51</formula>
      <formula>7.49</formula>
    </cfRule>
  </conditionalFormatting>
  <conditionalFormatting sqref="AA5104">
    <cfRule type="cellIs" dxfId="4319" priority="11222" stopIfTrue="1" operator="lessThanOrEqual">
      <formula>3.5</formula>
    </cfRule>
    <cfRule type="cellIs" dxfId="4318" priority="11223" stopIfTrue="1" operator="greaterThanOrEqual">
      <formula>7.5</formula>
    </cfRule>
    <cfRule type="cellIs" dxfId="4317" priority="11224" stopIfTrue="1" operator="between">
      <formula>3.51</formula>
      <formula>7.49</formula>
    </cfRule>
  </conditionalFormatting>
  <conditionalFormatting sqref="AA4730">
    <cfRule type="cellIs" dxfId="4316" priority="11215" stopIfTrue="1" operator="lessThanOrEqual">
      <formula>3.5</formula>
    </cfRule>
    <cfRule type="cellIs" dxfId="4315" priority="11216" stopIfTrue="1" operator="greaterThanOrEqual">
      <formula>7.5</formula>
    </cfRule>
    <cfRule type="cellIs" dxfId="4314" priority="11217" stopIfTrue="1" operator="between">
      <formula>3.51</formula>
      <formula>7.49</formula>
    </cfRule>
  </conditionalFormatting>
  <conditionalFormatting sqref="AA4739">
    <cfRule type="cellIs" dxfId="4313" priority="11208" stopIfTrue="1" operator="lessThanOrEqual">
      <formula>3.5</formula>
    </cfRule>
    <cfRule type="cellIs" dxfId="4312" priority="11209" stopIfTrue="1" operator="greaterThanOrEqual">
      <formula>7.5</formula>
    </cfRule>
    <cfRule type="cellIs" dxfId="4311" priority="11210" stopIfTrue="1" operator="between">
      <formula>3.51</formula>
      <formula>7.49</formula>
    </cfRule>
  </conditionalFormatting>
  <conditionalFormatting sqref="AA4729">
    <cfRule type="cellIs" dxfId="4310" priority="11201" stopIfTrue="1" operator="lessThanOrEqual">
      <formula>3.5</formula>
    </cfRule>
    <cfRule type="cellIs" dxfId="4309" priority="11202" stopIfTrue="1" operator="greaterThanOrEqual">
      <formula>7.5</formula>
    </cfRule>
    <cfRule type="cellIs" dxfId="4308" priority="11203" stopIfTrue="1" operator="between">
      <formula>3.51</formula>
      <formula>7.49</formula>
    </cfRule>
  </conditionalFormatting>
  <conditionalFormatting sqref="AA4717">
    <cfRule type="cellIs" dxfId="4307" priority="11194" stopIfTrue="1" operator="lessThanOrEqual">
      <formula>3.5</formula>
    </cfRule>
    <cfRule type="cellIs" dxfId="4306" priority="11195" stopIfTrue="1" operator="greaterThanOrEqual">
      <formula>7.5</formula>
    </cfRule>
    <cfRule type="cellIs" dxfId="4305" priority="11196" stopIfTrue="1" operator="between">
      <formula>3.51</formula>
      <formula>7.49</formula>
    </cfRule>
  </conditionalFormatting>
  <conditionalFormatting sqref="AA4728">
    <cfRule type="cellIs" dxfId="4304" priority="11187" stopIfTrue="1" operator="lessThanOrEqual">
      <formula>3.5</formula>
    </cfRule>
    <cfRule type="cellIs" dxfId="4303" priority="11188" stopIfTrue="1" operator="greaterThanOrEqual">
      <formula>7.5</formula>
    </cfRule>
    <cfRule type="cellIs" dxfId="4302" priority="11189" stopIfTrue="1" operator="between">
      <formula>3.51</formula>
      <formula>7.49</formula>
    </cfRule>
  </conditionalFormatting>
  <conditionalFormatting sqref="AA4727">
    <cfRule type="cellIs" dxfId="4301" priority="11180" stopIfTrue="1" operator="lessThanOrEqual">
      <formula>3.5</formula>
    </cfRule>
    <cfRule type="cellIs" dxfId="4300" priority="11181" stopIfTrue="1" operator="greaterThanOrEqual">
      <formula>7.5</formula>
    </cfRule>
    <cfRule type="cellIs" dxfId="4299" priority="11182" stopIfTrue="1" operator="between">
      <formula>3.51</formula>
      <formula>7.49</formula>
    </cfRule>
  </conditionalFormatting>
  <conditionalFormatting sqref="AA4720">
    <cfRule type="cellIs" dxfId="4298" priority="11173" stopIfTrue="1" operator="lessThanOrEqual">
      <formula>3.5</formula>
    </cfRule>
    <cfRule type="cellIs" dxfId="4297" priority="11174" stopIfTrue="1" operator="greaterThanOrEqual">
      <formula>7.5</formula>
    </cfRule>
    <cfRule type="cellIs" dxfId="4296" priority="11175" stopIfTrue="1" operator="between">
      <formula>3.51</formula>
      <formula>7.49</formula>
    </cfRule>
  </conditionalFormatting>
  <conditionalFormatting sqref="AA4719">
    <cfRule type="cellIs" dxfId="4295" priority="11166" stopIfTrue="1" operator="lessThanOrEqual">
      <formula>3.5</formula>
    </cfRule>
    <cfRule type="cellIs" dxfId="4294" priority="11167" stopIfTrue="1" operator="greaterThanOrEqual">
      <formula>7.5</formula>
    </cfRule>
    <cfRule type="cellIs" dxfId="4293" priority="11168" stopIfTrue="1" operator="between">
      <formula>3.51</formula>
      <formula>7.49</formula>
    </cfRule>
  </conditionalFormatting>
  <conditionalFormatting sqref="AA4718">
    <cfRule type="cellIs" dxfId="4292" priority="11159" stopIfTrue="1" operator="lessThanOrEqual">
      <formula>3.5</formula>
    </cfRule>
    <cfRule type="cellIs" dxfId="4291" priority="11160" stopIfTrue="1" operator="greaterThanOrEqual">
      <formula>7.5</formula>
    </cfRule>
    <cfRule type="cellIs" dxfId="4290" priority="11161" stopIfTrue="1" operator="between">
      <formula>3.51</formula>
      <formula>7.49</formula>
    </cfRule>
  </conditionalFormatting>
  <conditionalFormatting sqref="AA4737">
    <cfRule type="cellIs" dxfId="4289" priority="11152" stopIfTrue="1" operator="lessThanOrEqual">
      <formula>3.5</formula>
    </cfRule>
    <cfRule type="cellIs" dxfId="4288" priority="11153" stopIfTrue="1" operator="greaterThanOrEqual">
      <formula>7.5</formula>
    </cfRule>
    <cfRule type="cellIs" dxfId="4287" priority="11154" stopIfTrue="1" operator="between">
      <formula>3.51</formula>
      <formula>7.49</formula>
    </cfRule>
  </conditionalFormatting>
  <conditionalFormatting sqref="AA4735">
    <cfRule type="cellIs" dxfId="4286" priority="11145" stopIfTrue="1" operator="lessThanOrEqual">
      <formula>3.5</formula>
    </cfRule>
    <cfRule type="cellIs" dxfId="4285" priority="11146" stopIfTrue="1" operator="greaterThanOrEqual">
      <formula>7.5</formula>
    </cfRule>
    <cfRule type="cellIs" dxfId="4284" priority="11147" stopIfTrue="1" operator="between">
      <formula>3.51</formula>
      <formula>7.49</formula>
    </cfRule>
  </conditionalFormatting>
  <conditionalFormatting sqref="AA4734">
    <cfRule type="cellIs" dxfId="4283" priority="11138" stopIfTrue="1" operator="lessThanOrEqual">
      <formula>3.5</formula>
    </cfRule>
    <cfRule type="cellIs" dxfId="4282" priority="11139" stopIfTrue="1" operator="greaterThanOrEqual">
      <formula>7.5</formula>
    </cfRule>
    <cfRule type="cellIs" dxfId="4281" priority="11140" stopIfTrue="1" operator="between">
      <formula>3.51</formula>
      <formula>7.49</formula>
    </cfRule>
  </conditionalFormatting>
  <conditionalFormatting sqref="AA4733">
    <cfRule type="cellIs" dxfId="4280" priority="11131" stopIfTrue="1" operator="lessThanOrEqual">
      <formula>3.5</formula>
    </cfRule>
    <cfRule type="cellIs" dxfId="4279" priority="11132" stopIfTrue="1" operator="greaterThanOrEqual">
      <formula>7.5</formula>
    </cfRule>
    <cfRule type="cellIs" dxfId="4278" priority="11133" stopIfTrue="1" operator="between">
      <formula>3.51</formula>
      <formula>7.49</formula>
    </cfRule>
  </conditionalFormatting>
  <conditionalFormatting sqref="AA4731">
    <cfRule type="cellIs" dxfId="4277" priority="11124" stopIfTrue="1" operator="lessThanOrEqual">
      <formula>3.5</formula>
    </cfRule>
    <cfRule type="cellIs" dxfId="4276" priority="11125" stopIfTrue="1" operator="greaterThanOrEqual">
      <formula>7.5</formula>
    </cfRule>
    <cfRule type="cellIs" dxfId="4275" priority="11126" stopIfTrue="1" operator="between">
      <formula>3.51</formula>
      <formula>7.49</formula>
    </cfRule>
  </conditionalFormatting>
  <conditionalFormatting sqref="AA4773">
    <cfRule type="cellIs" dxfId="4274" priority="11117" stopIfTrue="1" operator="lessThanOrEqual">
      <formula>3.5</formula>
    </cfRule>
    <cfRule type="cellIs" dxfId="4273" priority="11118" stopIfTrue="1" operator="greaterThanOrEqual">
      <formula>7.5</formula>
    </cfRule>
    <cfRule type="cellIs" dxfId="4272" priority="11119" stopIfTrue="1" operator="between">
      <formula>3.51</formula>
      <formula>7.49</formula>
    </cfRule>
  </conditionalFormatting>
  <conditionalFormatting sqref="AA4772">
    <cfRule type="cellIs" dxfId="4271" priority="11110" stopIfTrue="1" operator="lessThanOrEqual">
      <formula>3.5</formula>
    </cfRule>
    <cfRule type="cellIs" dxfId="4270" priority="11111" stopIfTrue="1" operator="greaterThanOrEqual">
      <formula>7.5</formula>
    </cfRule>
    <cfRule type="cellIs" dxfId="4269" priority="11112" stopIfTrue="1" operator="between">
      <formula>3.51</formula>
      <formula>7.49</formula>
    </cfRule>
  </conditionalFormatting>
  <conditionalFormatting sqref="AA4771">
    <cfRule type="cellIs" dxfId="4268" priority="11103" stopIfTrue="1" operator="lessThanOrEqual">
      <formula>3.5</formula>
    </cfRule>
    <cfRule type="cellIs" dxfId="4267" priority="11104" stopIfTrue="1" operator="greaterThanOrEqual">
      <formula>7.5</formula>
    </cfRule>
    <cfRule type="cellIs" dxfId="4266" priority="11105" stopIfTrue="1" operator="between">
      <formula>3.51</formula>
      <formula>7.49</formula>
    </cfRule>
  </conditionalFormatting>
  <conditionalFormatting sqref="AA4736">
    <cfRule type="cellIs" dxfId="4265" priority="11089" stopIfTrue="1" operator="lessThanOrEqual">
      <formula>3.5</formula>
    </cfRule>
    <cfRule type="cellIs" dxfId="4264" priority="11090" stopIfTrue="1" operator="greaterThanOrEqual">
      <formula>7.5</formula>
    </cfRule>
    <cfRule type="cellIs" dxfId="4263" priority="11091" stopIfTrue="1" operator="between">
      <formula>3.51</formula>
      <formula>7.49</formula>
    </cfRule>
  </conditionalFormatting>
  <conditionalFormatting sqref="AA4770">
    <cfRule type="cellIs" dxfId="4262" priority="11082" stopIfTrue="1" operator="lessThanOrEqual">
      <formula>3.5</formula>
    </cfRule>
    <cfRule type="cellIs" dxfId="4261" priority="11083" stopIfTrue="1" operator="greaterThanOrEqual">
      <formula>7.5</formula>
    </cfRule>
    <cfRule type="cellIs" dxfId="4260" priority="11084" stopIfTrue="1" operator="between">
      <formula>3.51</formula>
      <formula>7.49</formula>
    </cfRule>
  </conditionalFormatting>
  <conditionalFormatting sqref="AA4769">
    <cfRule type="cellIs" dxfId="4259" priority="11075" stopIfTrue="1" operator="lessThanOrEqual">
      <formula>3.5</formula>
    </cfRule>
    <cfRule type="cellIs" dxfId="4258" priority="11076" stopIfTrue="1" operator="greaterThanOrEqual">
      <formula>7.5</formula>
    </cfRule>
    <cfRule type="cellIs" dxfId="4257" priority="11077" stopIfTrue="1" operator="between">
      <formula>3.51</formula>
      <formula>7.49</formula>
    </cfRule>
  </conditionalFormatting>
  <conditionalFormatting sqref="AA4394">
    <cfRule type="cellIs" dxfId="4256" priority="11068" stopIfTrue="1" operator="lessThanOrEqual">
      <formula>3.5</formula>
    </cfRule>
    <cfRule type="cellIs" dxfId="4255" priority="11069" stopIfTrue="1" operator="greaterThanOrEqual">
      <formula>7.5</formula>
    </cfRule>
    <cfRule type="cellIs" dxfId="4254" priority="11070" stopIfTrue="1" operator="between">
      <formula>3.51</formula>
      <formula>7.49</formula>
    </cfRule>
  </conditionalFormatting>
  <conditionalFormatting sqref="AA4497">
    <cfRule type="cellIs" dxfId="4253" priority="11061" stopIfTrue="1" operator="lessThanOrEqual">
      <formula>3.5</formula>
    </cfRule>
    <cfRule type="cellIs" dxfId="4252" priority="11062" stopIfTrue="1" operator="greaterThanOrEqual">
      <formula>7.5</formula>
    </cfRule>
    <cfRule type="cellIs" dxfId="4251" priority="11063" stopIfTrue="1" operator="between">
      <formula>3.51</formula>
      <formula>7.49</formula>
    </cfRule>
  </conditionalFormatting>
  <conditionalFormatting sqref="AA4044">
    <cfRule type="cellIs" dxfId="4250" priority="11054" stopIfTrue="1" operator="lessThanOrEqual">
      <formula>3.5</formula>
    </cfRule>
    <cfRule type="cellIs" dxfId="4249" priority="11055" stopIfTrue="1" operator="greaterThanOrEqual">
      <formula>7.5</formula>
    </cfRule>
    <cfRule type="cellIs" dxfId="4248" priority="11056" stopIfTrue="1" operator="between">
      <formula>3.51</formula>
      <formula>7.49</formula>
    </cfRule>
  </conditionalFormatting>
  <conditionalFormatting sqref="AA4393">
    <cfRule type="cellIs" dxfId="4247" priority="11047" stopIfTrue="1" operator="lessThanOrEqual">
      <formula>3.5</formula>
    </cfRule>
    <cfRule type="cellIs" dxfId="4246" priority="11048" stopIfTrue="1" operator="greaterThanOrEqual">
      <formula>7.5</formula>
    </cfRule>
    <cfRule type="cellIs" dxfId="4245" priority="11049" stopIfTrue="1" operator="between">
      <formula>3.51</formula>
      <formula>7.49</formula>
    </cfRule>
  </conditionalFormatting>
  <conditionalFormatting sqref="AA4392">
    <cfRule type="cellIs" dxfId="4244" priority="11040" stopIfTrue="1" operator="lessThanOrEqual">
      <formula>3.5</formula>
    </cfRule>
    <cfRule type="cellIs" dxfId="4243" priority="11041" stopIfTrue="1" operator="greaterThanOrEqual">
      <formula>7.5</formula>
    </cfRule>
    <cfRule type="cellIs" dxfId="4242" priority="11042" stopIfTrue="1" operator="between">
      <formula>3.51</formula>
      <formula>7.49</formula>
    </cfRule>
  </conditionalFormatting>
  <conditionalFormatting sqref="AA4391">
    <cfRule type="cellIs" dxfId="4241" priority="11033" stopIfTrue="1" operator="lessThanOrEqual">
      <formula>3.5</formula>
    </cfRule>
    <cfRule type="cellIs" dxfId="4240" priority="11034" stopIfTrue="1" operator="greaterThanOrEqual">
      <formula>7.5</formula>
    </cfRule>
    <cfRule type="cellIs" dxfId="4239" priority="11035" stopIfTrue="1" operator="between">
      <formula>3.51</formula>
      <formula>7.49</formula>
    </cfRule>
  </conditionalFormatting>
  <conditionalFormatting sqref="AA4496">
    <cfRule type="cellIs" dxfId="4238" priority="11026" stopIfTrue="1" operator="lessThanOrEqual">
      <formula>3.5</formula>
    </cfRule>
    <cfRule type="cellIs" dxfId="4237" priority="11027" stopIfTrue="1" operator="greaterThanOrEqual">
      <formula>7.5</formula>
    </cfRule>
    <cfRule type="cellIs" dxfId="4236" priority="11028" stopIfTrue="1" operator="between">
      <formula>3.51</formula>
      <formula>7.49</formula>
    </cfRule>
  </conditionalFormatting>
  <conditionalFormatting sqref="AA4402">
    <cfRule type="cellIs" dxfId="4235" priority="11019" stopIfTrue="1" operator="lessThanOrEqual">
      <formula>3.5</formula>
    </cfRule>
    <cfRule type="cellIs" dxfId="4234" priority="11020" stopIfTrue="1" operator="greaterThanOrEqual">
      <formula>7.5</formula>
    </cfRule>
    <cfRule type="cellIs" dxfId="4233" priority="11021" stopIfTrue="1" operator="between">
      <formula>3.51</formula>
      <formula>7.49</formula>
    </cfRule>
  </conditionalFormatting>
  <conditionalFormatting sqref="AA4395">
    <cfRule type="cellIs" dxfId="4232" priority="11012" stopIfTrue="1" operator="lessThanOrEqual">
      <formula>3.5</formula>
    </cfRule>
    <cfRule type="cellIs" dxfId="4231" priority="11013" stopIfTrue="1" operator="greaterThanOrEqual">
      <formula>7.5</formula>
    </cfRule>
    <cfRule type="cellIs" dxfId="4230" priority="11014" stopIfTrue="1" operator="between">
      <formula>3.51</formula>
      <formula>7.49</formula>
    </cfRule>
  </conditionalFormatting>
  <conditionalFormatting sqref="AA4495">
    <cfRule type="cellIs" dxfId="4229" priority="11005" stopIfTrue="1" operator="lessThanOrEqual">
      <formula>3.5</formula>
    </cfRule>
    <cfRule type="cellIs" dxfId="4228" priority="11006" stopIfTrue="1" operator="greaterThanOrEqual">
      <formula>7.5</formula>
    </cfRule>
    <cfRule type="cellIs" dxfId="4227" priority="11007" stopIfTrue="1" operator="between">
      <formula>3.51</formula>
      <formula>7.49</formula>
    </cfRule>
  </conditionalFormatting>
  <conditionalFormatting sqref="AA4404">
    <cfRule type="cellIs" dxfId="4226" priority="10998" stopIfTrue="1" operator="lessThanOrEqual">
      <formula>3.5</formula>
    </cfRule>
    <cfRule type="cellIs" dxfId="4225" priority="10999" stopIfTrue="1" operator="greaterThanOrEqual">
      <formula>7.5</formula>
    </cfRule>
    <cfRule type="cellIs" dxfId="4224" priority="11000" stopIfTrue="1" operator="between">
      <formula>3.51</formula>
      <formula>7.49</formula>
    </cfRule>
  </conditionalFormatting>
  <conditionalFormatting sqref="AA4403">
    <cfRule type="cellIs" dxfId="4223" priority="10991" stopIfTrue="1" operator="lessThanOrEqual">
      <formula>3.5</formula>
    </cfRule>
    <cfRule type="cellIs" dxfId="4222" priority="10992" stopIfTrue="1" operator="greaterThanOrEqual">
      <formula>7.5</formula>
    </cfRule>
    <cfRule type="cellIs" dxfId="4221" priority="10993" stopIfTrue="1" operator="between">
      <formula>3.51</formula>
      <formula>7.49</formula>
    </cfRule>
  </conditionalFormatting>
  <conditionalFormatting sqref="AA4501">
    <cfRule type="cellIs" dxfId="4220" priority="10984" stopIfTrue="1" operator="lessThanOrEqual">
      <formula>3.5</formula>
    </cfRule>
    <cfRule type="cellIs" dxfId="4219" priority="10985" stopIfTrue="1" operator="greaterThanOrEqual">
      <formula>7.5</formula>
    </cfRule>
    <cfRule type="cellIs" dxfId="4218" priority="10986" stopIfTrue="1" operator="between">
      <formula>3.51</formula>
      <formula>7.49</formula>
    </cfRule>
  </conditionalFormatting>
  <conditionalFormatting sqref="AA4500">
    <cfRule type="cellIs" dxfId="4217" priority="10977" stopIfTrue="1" operator="lessThanOrEqual">
      <formula>3.5</formula>
    </cfRule>
    <cfRule type="cellIs" dxfId="4216" priority="10978" stopIfTrue="1" operator="greaterThanOrEqual">
      <formula>7.5</formula>
    </cfRule>
    <cfRule type="cellIs" dxfId="4215" priority="10979" stopIfTrue="1" operator="between">
      <formula>3.51</formula>
      <formula>7.49</formula>
    </cfRule>
  </conditionalFormatting>
  <conditionalFormatting sqref="AA4499">
    <cfRule type="cellIs" dxfId="4214" priority="10970" stopIfTrue="1" operator="lessThanOrEqual">
      <formula>3.5</formula>
    </cfRule>
    <cfRule type="cellIs" dxfId="4213" priority="10971" stopIfTrue="1" operator="greaterThanOrEqual">
      <formula>7.5</formula>
    </cfRule>
    <cfRule type="cellIs" dxfId="4212" priority="10972" stopIfTrue="1" operator="between">
      <formula>3.51</formula>
      <formula>7.49</formula>
    </cfRule>
  </conditionalFormatting>
  <conditionalFormatting sqref="AA4498">
    <cfRule type="cellIs" dxfId="4211" priority="10963" stopIfTrue="1" operator="lessThanOrEqual">
      <formula>3.5</formula>
    </cfRule>
    <cfRule type="cellIs" dxfId="4210" priority="10964" stopIfTrue="1" operator="greaterThanOrEqual">
      <formula>7.5</formula>
    </cfRule>
    <cfRule type="cellIs" dxfId="4209" priority="10965" stopIfTrue="1" operator="between">
      <formula>3.51</formula>
      <formula>7.49</formula>
    </cfRule>
  </conditionalFormatting>
  <conditionalFormatting sqref="AA4398">
    <cfRule type="cellIs" dxfId="4208" priority="10956" stopIfTrue="1" operator="lessThanOrEqual">
      <formula>3.5</formula>
    </cfRule>
    <cfRule type="cellIs" dxfId="4207" priority="10957" stopIfTrue="1" operator="greaterThanOrEqual">
      <formula>7.5</formula>
    </cfRule>
    <cfRule type="cellIs" dxfId="4206" priority="10958" stopIfTrue="1" operator="between">
      <formula>3.51</formula>
      <formula>7.49</formula>
    </cfRule>
  </conditionalFormatting>
  <conditionalFormatting sqref="AA4396">
    <cfRule type="cellIs" dxfId="4205" priority="10949" stopIfTrue="1" operator="lessThanOrEqual">
      <formula>3.5</formula>
    </cfRule>
    <cfRule type="cellIs" dxfId="4204" priority="10950" stopIfTrue="1" operator="greaterThanOrEqual">
      <formula>7.5</formula>
    </cfRule>
    <cfRule type="cellIs" dxfId="4203" priority="10951" stopIfTrue="1" operator="between">
      <formula>3.51</formula>
      <formula>7.49</formula>
    </cfRule>
  </conditionalFormatting>
  <conditionalFormatting sqref="AA3962:AA3963">
    <cfRule type="cellIs" dxfId="4202" priority="10942" stopIfTrue="1" operator="lessThanOrEqual">
      <formula>3.5</formula>
    </cfRule>
    <cfRule type="cellIs" dxfId="4201" priority="10943" stopIfTrue="1" operator="greaterThanOrEqual">
      <formula>7.5</formula>
    </cfRule>
    <cfRule type="cellIs" dxfId="4200" priority="10944" stopIfTrue="1" operator="between">
      <formula>3.51</formula>
      <formula>7.49</formula>
    </cfRule>
  </conditionalFormatting>
  <conditionalFormatting sqref="AA3965">
    <cfRule type="cellIs" dxfId="4199" priority="10935" stopIfTrue="1" operator="lessThanOrEqual">
      <formula>3.5</formula>
    </cfRule>
    <cfRule type="cellIs" dxfId="4198" priority="10936" stopIfTrue="1" operator="greaterThanOrEqual">
      <formula>7.5</formula>
    </cfRule>
    <cfRule type="cellIs" dxfId="4197" priority="10937" stopIfTrue="1" operator="between">
      <formula>3.51</formula>
      <formula>7.49</formula>
    </cfRule>
  </conditionalFormatting>
  <conditionalFormatting sqref="AA3966">
    <cfRule type="cellIs" dxfId="4196" priority="10928" stopIfTrue="1" operator="lessThanOrEqual">
      <formula>3.5</formula>
    </cfRule>
    <cfRule type="cellIs" dxfId="4195" priority="10929" stopIfTrue="1" operator="greaterThanOrEqual">
      <formula>7.5</formula>
    </cfRule>
    <cfRule type="cellIs" dxfId="4194" priority="10930" stopIfTrue="1" operator="between">
      <formula>3.51</formula>
      <formula>7.49</formula>
    </cfRule>
  </conditionalFormatting>
  <conditionalFormatting sqref="AA3964">
    <cfRule type="cellIs" dxfId="4193" priority="10921" stopIfTrue="1" operator="lessThanOrEqual">
      <formula>3.5</formula>
    </cfRule>
    <cfRule type="cellIs" dxfId="4192" priority="10922" stopIfTrue="1" operator="greaterThanOrEqual">
      <formula>7.5</formula>
    </cfRule>
    <cfRule type="cellIs" dxfId="4191" priority="10923" stopIfTrue="1" operator="between">
      <formula>3.51</formula>
      <formula>7.49</formula>
    </cfRule>
  </conditionalFormatting>
  <conditionalFormatting sqref="AA3935">
    <cfRule type="cellIs" dxfId="4190" priority="10914" stopIfTrue="1" operator="lessThanOrEqual">
      <formula>3.5</formula>
    </cfRule>
    <cfRule type="cellIs" dxfId="4189" priority="10915" stopIfTrue="1" operator="greaterThanOrEqual">
      <formula>7.5</formula>
    </cfRule>
    <cfRule type="cellIs" dxfId="4188" priority="10916" stopIfTrue="1" operator="between">
      <formula>3.51</formula>
      <formula>7.49</formula>
    </cfRule>
  </conditionalFormatting>
  <conditionalFormatting sqref="AA3958:AA3959">
    <cfRule type="cellIs" dxfId="4187" priority="10907" stopIfTrue="1" operator="lessThanOrEqual">
      <formula>3.5</formula>
    </cfRule>
    <cfRule type="cellIs" dxfId="4186" priority="10908" stopIfTrue="1" operator="greaterThanOrEqual">
      <formula>7.5</formula>
    </cfRule>
    <cfRule type="cellIs" dxfId="4185" priority="10909" stopIfTrue="1" operator="between">
      <formula>3.51</formula>
      <formula>7.49</formula>
    </cfRule>
  </conditionalFormatting>
  <conditionalFormatting sqref="AA3969">
    <cfRule type="cellIs" dxfId="4184" priority="10900" stopIfTrue="1" operator="lessThanOrEqual">
      <formula>3.5</formula>
    </cfRule>
    <cfRule type="cellIs" dxfId="4183" priority="10901" stopIfTrue="1" operator="greaterThanOrEqual">
      <formula>7.5</formula>
    </cfRule>
    <cfRule type="cellIs" dxfId="4182" priority="10902" stopIfTrue="1" operator="between">
      <formula>3.51</formula>
      <formula>7.49</formula>
    </cfRule>
  </conditionalFormatting>
  <conditionalFormatting sqref="AA3974">
    <cfRule type="cellIs" dxfId="4181" priority="10893" stopIfTrue="1" operator="lessThanOrEqual">
      <formula>3.5</formula>
    </cfRule>
    <cfRule type="cellIs" dxfId="4180" priority="10894" stopIfTrue="1" operator="greaterThanOrEqual">
      <formula>7.5</formula>
    </cfRule>
    <cfRule type="cellIs" dxfId="4179" priority="10895" stopIfTrue="1" operator="between">
      <formula>3.51</formula>
      <formula>7.49</formula>
    </cfRule>
  </conditionalFormatting>
  <conditionalFormatting sqref="AA3973">
    <cfRule type="cellIs" dxfId="4178" priority="10886" stopIfTrue="1" operator="lessThanOrEqual">
      <formula>3.5</formula>
    </cfRule>
    <cfRule type="cellIs" dxfId="4177" priority="10887" stopIfTrue="1" operator="greaterThanOrEqual">
      <formula>7.5</formula>
    </cfRule>
    <cfRule type="cellIs" dxfId="4176" priority="10888" stopIfTrue="1" operator="between">
      <formula>3.51</formula>
      <formula>7.49</formula>
    </cfRule>
  </conditionalFormatting>
  <conditionalFormatting sqref="AA3972">
    <cfRule type="cellIs" dxfId="4175" priority="10879" stopIfTrue="1" operator="lessThanOrEqual">
      <formula>3.5</formula>
    </cfRule>
    <cfRule type="cellIs" dxfId="4174" priority="10880" stopIfTrue="1" operator="greaterThanOrEqual">
      <formula>7.5</formula>
    </cfRule>
    <cfRule type="cellIs" dxfId="4173" priority="10881" stopIfTrue="1" operator="between">
      <formula>3.51</formula>
      <formula>7.49</formula>
    </cfRule>
  </conditionalFormatting>
  <conditionalFormatting sqref="AA3872">
    <cfRule type="cellIs" dxfId="4172" priority="10872" stopIfTrue="1" operator="lessThanOrEqual">
      <formula>3.5</formula>
    </cfRule>
    <cfRule type="cellIs" dxfId="4171" priority="10873" stopIfTrue="1" operator="greaterThanOrEqual">
      <formula>7.5</formula>
    </cfRule>
    <cfRule type="cellIs" dxfId="4170" priority="10874" stopIfTrue="1" operator="between">
      <formula>3.51</formula>
      <formula>7.49</formula>
    </cfRule>
  </conditionalFormatting>
  <conditionalFormatting sqref="AA3871">
    <cfRule type="cellIs" dxfId="4169" priority="10865" stopIfTrue="1" operator="lessThanOrEqual">
      <formula>3.5</formula>
    </cfRule>
    <cfRule type="cellIs" dxfId="4168" priority="10866" stopIfTrue="1" operator="greaterThanOrEqual">
      <formula>7.5</formula>
    </cfRule>
    <cfRule type="cellIs" dxfId="4167" priority="10867" stopIfTrue="1" operator="between">
      <formula>3.51</formula>
      <formula>7.49</formula>
    </cfRule>
  </conditionalFormatting>
  <conditionalFormatting sqref="AA3870">
    <cfRule type="cellIs" dxfId="4166" priority="10858" stopIfTrue="1" operator="lessThanOrEqual">
      <formula>3.5</formula>
    </cfRule>
    <cfRule type="cellIs" dxfId="4165" priority="10859" stopIfTrue="1" operator="greaterThanOrEqual">
      <formula>7.5</formula>
    </cfRule>
    <cfRule type="cellIs" dxfId="4164" priority="10860" stopIfTrue="1" operator="between">
      <formula>3.51</formula>
      <formula>7.49</formula>
    </cfRule>
  </conditionalFormatting>
  <conditionalFormatting sqref="AA3867">
    <cfRule type="cellIs" dxfId="4163" priority="10851" stopIfTrue="1" operator="lessThanOrEqual">
      <formula>3.5</formula>
    </cfRule>
    <cfRule type="cellIs" dxfId="4162" priority="10852" stopIfTrue="1" operator="greaterThanOrEqual">
      <formula>7.5</formula>
    </cfRule>
    <cfRule type="cellIs" dxfId="4161" priority="10853" stopIfTrue="1" operator="between">
      <formula>3.51</formula>
      <formula>7.49</formula>
    </cfRule>
  </conditionalFormatting>
  <conditionalFormatting sqref="AA3856">
    <cfRule type="cellIs" dxfId="4160" priority="10844" stopIfTrue="1" operator="lessThanOrEqual">
      <formula>3.5</formula>
    </cfRule>
    <cfRule type="cellIs" dxfId="4159" priority="10845" stopIfTrue="1" operator="greaterThanOrEqual">
      <formula>7.5</formula>
    </cfRule>
    <cfRule type="cellIs" dxfId="4158" priority="10846" stopIfTrue="1" operator="between">
      <formula>3.51</formula>
      <formula>7.49</formula>
    </cfRule>
  </conditionalFormatting>
  <conditionalFormatting sqref="AA1319">
    <cfRule type="cellIs" dxfId="4157" priority="10837" stopIfTrue="1" operator="lessThanOrEqual">
      <formula>3.5</formula>
    </cfRule>
    <cfRule type="cellIs" dxfId="4156" priority="10838" stopIfTrue="1" operator="greaterThanOrEqual">
      <formula>7.5</formula>
    </cfRule>
    <cfRule type="cellIs" dxfId="4155" priority="10839" stopIfTrue="1" operator="between">
      <formula>3.51</formula>
      <formula>7.49</formula>
    </cfRule>
  </conditionalFormatting>
  <conditionalFormatting sqref="AA1345">
    <cfRule type="cellIs" dxfId="4154" priority="10830" stopIfTrue="1" operator="lessThanOrEqual">
      <formula>3.5</formula>
    </cfRule>
    <cfRule type="cellIs" dxfId="4153" priority="10831" stopIfTrue="1" operator="greaterThanOrEqual">
      <formula>7.5</formula>
    </cfRule>
    <cfRule type="cellIs" dxfId="4152" priority="10832" stopIfTrue="1" operator="between">
      <formula>3.51</formula>
      <formula>7.49</formula>
    </cfRule>
  </conditionalFormatting>
  <conditionalFormatting sqref="AA1273">
    <cfRule type="cellIs" dxfId="4151" priority="10823" stopIfTrue="1" operator="lessThanOrEqual">
      <formula>3.5</formula>
    </cfRule>
    <cfRule type="cellIs" dxfId="4150" priority="10824" stopIfTrue="1" operator="greaterThanOrEqual">
      <formula>7.5</formula>
    </cfRule>
    <cfRule type="cellIs" dxfId="4149" priority="10825" stopIfTrue="1" operator="between">
      <formula>3.51</formula>
      <formula>7.49</formula>
    </cfRule>
  </conditionalFormatting>
  <conditionalFormatting sqref="AA4894">
    <cfRule type="cellIs" dxfId="4148" priority="10813" stopIfTrue="1" operator="lessThanOrEqual">
      <formula>3.5</formula>
    </cfRule>
    <cfRule type="cellIs" dxfId="4147" priority="10814" stopIfTrue="1" operator="greaterThanOrEqual">
      <formula>7.5</formula>
    </cfRule>
    <cfRule type="cellIs" dxfId="4146" priority="10815" stopIfTrue="1" operator="between">
      <formula>3.51</formula>
      <formula>7.49</formula>
    </cfRule>
  </conditionalFormatting>
  <conditionalFormatting sqref="AA714">
    <cfRule type="cellIs" dxfId="4145" priority="10793" stopIfTrue="1" operator="lessThanOrEqual">
      <formula>3.5</formula>
    </cfRule>
    <cfRule type="cellIs" dxfId="4144" priority="10794" stopIfTrue="1" operator="greaterThanOrEqual">
      <formula>7.5</formula>
    </cfRule>
    <cfRule type="cellIs" dxfId="4143" priority="10795" stopIfTrue="1" operator="between">
      <formula>3.51</formula>
      <formula>7.49</formula>
    </cfRule>
  </conditionalFormatting>
  <conditionalFormatting sqref="AA3248">
    <cfRule type="cellIs" dxfId="4142" priority="10785" stopIfTrue="1" operator="lessThanOrEqual">
      <formula>3.5</formula>
    </cfRule>
    <cfRule type="cellIs" dxfId="4141" priority="10786" stopIfTrue="1" operator="greaterThanOrEqual">
      <formula>7.5</formula>
    </cfRule>
    <cfRule type="cellIs" dxfId="4140" priority="10787" stopIfTrue="1" operator="between">
      <formula>3.51</formula>
      <formula>7.49</formula>
    </cfRule>
  </conditionalFormatting>
  <conditionalFormatting sqref="AA3259">
    <cfRule type="cellIs" dxfId="4139" priority="10778" stopIfTrue="1" operator="lessThanOrEqual">
      <formula>3.5</formula>
    </cfRule>
    <cfRule type="cellIs" dxfId="4138" priority="10779" stopIfTrue="1" operator="greaterThanOrEqual">
      <formula>7.5</formula>
    </cfRule>
    <cfRule type="cellIs" dxfId="4137" priority="10780" stopIfTrue="1" operator="between">
      <formula>3.51</formula>
      <formula>7.49</formula>
    </cfRule>
  </conditionalFormatting>
  <conditionalFormatting sqref="AA3257">
    <cfRule type="cellIs" dxfId="4136" priority="10771" stopIfTrue="1" operator="lessThanOrEqual">
      <formula>3.5</formula>
    </cfRule>
    <cfRule type="cellIs" dxfId="4135" priority="10772" stopIfTrue="1" operator="greaterThanOrEqual">
      <formula>7.5</formula>
    </cfRule>
    <cfRule type="cellIs" dxfId="4134" priority="10773" stopIfTrue="1" operator="between">
      <formula>3.51</formula>
      <formula>7.49</formula>
    </cfRule>
  </conditionalFormatting>
  <conditionalFormatting sqref="AA3256">
    <cfRule type="cellIs" dxfId="4133" priority="10764" stopIfTrue="1" operator="lessThanOrEqual">
      <formula>3.5</formula>
    </cfRule>
    <cfRule type="cellIs" dxfId="4132" priority="10765" stopIfTrue="1" operator="greaterThanOrEqual">
      <formula>7.5</formula>
    </cfRule>
    <cfRule type="cellIs" dxfId="4131" priority="10766" stopIfTrue="1" operator="between">
      <formula>3.51</formula>
      <formula>7.49</formula>
    </cfRule>
  </conditionalFormatting>
  <conditionalFormatting sqref="AA3255">
    <cfRule type="cellIs" dxfId="4130" priority="10757" stopIfTrue="1" operator="lessThanOrEqual">
      <formula>3.5</formula>
    </cfRule>
    <cfRule type="cellIs" dxfId="4129" priority="10758" stopIfTrue="1" operator="greaterThanOrEqual">
      <formula>7.5</formula>
    </cfRule>
    <cfRule type="cellIs" dxfId="4128" priority="10759" stopIfTrue="1" operator="between">
      <formula>3.51</formula>
      <formula>7.49</formula>
    </cfRule>
  </conditionalFormatting>
  <conditionalFormatting sqref="AA3254">
    <cfRule type="cellIs" dxfId="4127" priority="10750" stopIfTrue="1" operator="lessThanOrEqual">
      <formula>3.5</formula>
    </cfRule>
    <cfRule type="cellIs" dxfId="4126" priority="10751" stopIfTrue="1" operator="greaterThanOrEqual">
      <formula>7.5</formula>
    </cfRule>
    <cfRule type="cellIs" dxfId="4125" priority="10752" stopIfTrue="1" operator="between">
      <formula>3.51</formula>
      <formula>7.49</formula>
    </cfRule>
  </conditionalFormatting>
  <conditionalFormatting sqref="AA2853">
    <cfRule type="cellIs" dxfId="4124" priority="10743" stopIfTrue="1" operator="lessThanOrEqual">
      <formula>3.5</formula>
    </cfRule>
    <cfRule type="cellIs" dxfId="4123" priority="10744" stopIfTrue="1" operator="greaterThanOrEqual">
      <formula>7.5</formula>
    </cfRule>
    <cfRule type="cellIs" dxfId="4122" priority="10745" stopIfTrue="1" operator="between">
      <formula>3.51</formula>
      <formula>7.49</formula>
    </cfRule>
  </conditionalFormatting>
  <conditionalFormatting sqref="AA3253">
    <cfRule type="cellIs" dxfId="4121" priority="10736" stopIfTrue="1" operator="lessThanOrEqual">
      <formula>3.5</formula>
    </cfRule>
    <cfRule type="cellIs" dxfId="4120" priority="10737" stopIfTrue="1" operator="greaterThanOrEqual">
      <formula>7.5</formula>
    </cfRule>
    <cfRule type="cellIs" dxfId="4119" priority="10738" stopIfTrue="1" operator="between">
      <formula>3.51</formula>
      <formula>7.49</formula>
    </cfRule>
  </conditionalFormatting>
  <conditionalFormatting sqref="AA3252">
    <cfRule type="cellIs" dxfId="4118" priority="10729" stopIfTrue="1" operator="lessThanOrEqual">
      <formula>3.5</formula>
    </cfRule>
    <cfRule type="cellIs" dxfId="4117" priority="10730" stopIfTrue="1" operator="greaterThanOrEqual">
      <formula>7.5</formula>
    </cfRule>
    <cfRule type="cellIs" dxfId="4116" priority="10731" stopIfTrue="1" operator="between">
      <formula>3.51</formula>
      <formula>7.49</formula>
    </cfRule>
  </conditionalFormatting>
  <conditionalFormatting sqref="AA3251">
    <cfRule type="cellIs" dxfId="4115" priority="10722" stopIfTrue="1" operator="lessThanOrEqual">
      <formula>3.5</formula>
    </cfRule>
    <cfRule type="cellIs" dxfId="4114" priority="10723" stopIfTrue="1" operator="greaterThanOrEqual">
      <formula>7.5</formula>
    </cfRule>
    <cfRule type="cellIs" dxfId="4113" priority="10724" stopIfTrue="1" operator="between">
      <formula>3.51</formula>
      <formula>7.49</formula>
    </cfRule>
  </conditionalFormatting>
  <conditionalFormatting sqref="AA3250">
    <cfRule type="cellIs" dxfId="4112" priority="10715" stopIfTrue="1" operator="lessThanOrEqual">
      <formula>3.5</formula>
    </cfRule>
    <cfRule type="cellIs" dxfId="4111" priority="10716" stopIfTrue="1" operator="greaterThanOrEqual">
      <formula>7.5</formula>
    </cfRule>
    <cfRule type="cellIs" dxfId="4110" priority="10717" stopIfTrue="1" operator="between">
      <formula>3.51</formula>
      <formula>7.49</formula>
    </cfRule>
  </conditionalFormatting>
  <conditionalFormatting sqref="AA2515">
    <cfRule type="cellIs" dxfId="4109" priority="10708" stopIfTrue="1" operator="lessThanOrEqual">
      <formula>3.5</formula>
    </cfRule>
    <cfRule type="cellIs" dxfId="4108" priority="10709" stopIfTrue="1" operator="greaterThanOrEqual">
      <formula>7.5</formula>
    </cfRule>
    <cfRule type="cellIs" dxfId="4107" priority="10710" stopIfTrue="1" operator="between">
      <formula>3.51</formula>
      <formula>7.49</formula>
    </cfRule>
  </conditionalFormatting>
  <conditionalFormatting sqref="AA3249">
    <cfRule type="cellIs" dxfId="4106" priority="10701" stopIfTrue="1" operator="lessThanOrEqual">
      <formula>3.5</formula>
    </cfRule>
    <cfRule type="cellIs" dxfId="4105" priority="10702" stopIfTrue="1" operator="greaterThanOrEqual">
      <formula>7.5</formula>
    </cfRule>
    <cfRule type="cellIs" dxfId="4104" priority="10703" stopIfTrue="1" operator="between">
      <formula>3.51</formula>
      <formula>7.49</formula>
    </cfRule>
  </conditionalFormatting>
  <conditionalFormatting sqref="AA3258">
    <cfRule type="cellIs" dxfId="4103" priority="10694" stopIfTrue="1" operator="lessThanOrEqual">
      <formula>3.5</formula>
    </cfRule>
    <cfRule type="cellIs" dxfId="4102" priority="10695" stopIfTrue="1" operator="greaterThanOrEqual">
      <formula>7.5</formula>
    </cfRule>
    <cfRule type="cellIs" dxfId="4101" priority="10696" stopIfTrue="1" operator="between">
      <formula>3.51</formula>
      <formula>7.49</formula>
    </cfRule>
  </conditionalFormatting>
  <conditionalFormatting sqref="AA2548">
    <cfRule type="cellIs" dxfId="4100" priority="10687" stopIfTrue="1" operator="lessThanOrEqual">
      <formula>3.5</formula>
    </cfRule>
    <cfRule type="cellIs" dxfId="4099" priority="10688" stopIfTrue="1" operator="greaterThanOrEqual">
      <formula>7.5</formula>
    </cfRule>
    <cfRule type="cellIs" dxfId="4098" priority="10689" stopIfTrue="1" operator="between">
      <formula>3.51</formula>
      <formula>7.49</formula>
    </cfRule>
  </conditionalFormatting>
  <conditionalFormatting sqref="AA3264">
    <cfRule type="cellIs" dxfId="4097" priority="10680" stopIfTrue="1" operator="lessThanOrEqual">
      <formula>3.5</formula>
    </cfRule>
    <cfRule type="cellIs" dxfId="4096" priority="10681" stopIfTrue="1" operator="greaterThanOrEqual">
      <formula>7.5</formula>
    </cfRule>
    <cfRule type="cellIs" dxfId="4095" priority="10682" stopIfTrue="1" operator="between">
      <formula>3.51</formula>
      <formula>7.49</formula>
    </cfRule>
  </conditionalFormatting>
  <conditionalFormatting sqref="AA3263">
    <cfRule type="cellIs" dxfId="4094" priority="10673" stopIfTrue="1" operator="lessThanOrEqual">
      <formula>3.5</formula>
    </cfRule>
    <cfRule type="cellIs" dxfId="4093" priority="10674" stopIfTrue="1" operator="greaterThanOrEqual">
      <formula>7.5</formula>
    </cfRule>
    <cfRule type="cellIs" dxfId="4092" priority="10675" stopIfTrue="1" operator="between">
      <formula>3.51</formula>
      <formula>7.49</formula>
    </cfRule>
  </conditionalFormatting>
  <conditionalFormatting sqref="AA3262">
    <cfRule type="cellIs" dxfId="4091" priority="10666" stopIfTrue="1" operator="lessThanOrEqual">
      <formula>3.5</formula>
    </cfRule>
    <cfRule type="cellIs" dxfId="4090" priority="10667" stopIfTrue="1" operator="greaterThanOrEqual">
      <formula>7.5</formula>
    </cfRule>
    <cfRule type="cellIs" dxfId="4089" priority="10668" stopIfTrue="1" operator="between">
      <formula>3.51</formula>
      <formula>7.49</formula>
    </cfRule>
  </conditionalFormatting>
  <conditionalFormatting sqref="AA3261">
    <cfRule type="cellIs" dxfId="4088" priority="10659" stopIfTrue="1" operator="lessThanOrEqual">
      <formula>3.5</formula>
    </cfRule>
    <cfRule type="cellIs" dxfId="4087" priority="10660" stopIfTrue="1" operator="greaterThanOrEqual">
      <formula>7.5</formula>
    </cfRule>
    <cfRule type="cellIs" dxfId="4086" priority="10661" stopIfTrue="1" operator="between">
      <formula>3.51</formula>
      <formula>7.49</formula>
    </cfRule>
  </conditionalFormatting>
  <conditionalFormatting sqref="AA3260">
    <cfRule type="cellIs" dxfId="4085" priority="10652" stopIfTrue="1" operator="lessThanOrEqual">
      <formula>3.5</formula>
    </cfRule>
    <cfRule type="cellIs" dxfId="4084" priority="10653" stopIfTrue="1" operator="greaterThanOrEqual">
      <formula>7.5</formula>
    </cfRule>
    <cfRule type="cellIs" dxfId="4083" priority="10654" stopIfTrue="1" operator="between">
      <formula>3.51</formula>
      <formula>7.49</formula>
    </cfRule>
  </conditionalFormatting>
  <conditionalFormatting sqref="AA3273">
    <cfRule type="cellIs" dxfId="4082" priority="10645" stopIfTrue="1" operator="lessThanOrEqual">
      <formula>3.5</formula>
    </cfRule>
    <cfRule type="cellIs" dxfId="4081" priority="10646" stopIfTrue="1" operator="greaterThanOrEqual">
      <formula>7.5</formula>
    </cfRule>
    <cfRule type="cellIs" dxfId="4080" priority="10647" stopIfTrue="1" operator="between">
      <formula>3.51</formula>
      <formula>7.49</formula>
    </cfRule>
  </conditionalFormatting>
  <conditionalFormatting sqref="AA3272">
    <cfRule type="cellIs" dxfId="4079" priority="10638" stopIfTrue="1" operator="lessThanOrEqual">
      <formula>3.5</formula>
    </cfRule>
    <cfRule type="cellIs" dxfId="4078" priority="10639" stopIfTrue="1" operator="greaterThanOrEqual">
      <formula>7.5</formula>
    </cfRule>
    <cfRule type="cellIs" dxfId="4077" priority="10640" stopIfTrue="1" operator="between">
      <formula>3.51</formula>
      <formula>7.49</formula>
    </cfRule>
  </conditionalFormatting>
  <conditionalFormatting sqref="AA3271">
    <cfRule type="cellIs" dxfId="4076" priority="10631" stopIfTrue="1" operator="lessThanOrEqual">
      <formula>3.5</formula>
    </cfRule>
    <cfRule type="cellIs" dxfId="4075" priority="10632" stopIfTrue="1" operator="greaterThanOrEqual">
      <formula>7.5</formula>
    </cfRule>
    <cfRule type="cellIs" dxfId="4074" priority="10633" stopIfTrue="1" operator="between">
      <formula>3.51</formula>
      <formula>7.49</formula>
    </cfRule>
  </conditionalFormatting>
  <conditionalFormatting sqref="AA3270">
    <cfRule type="cellIs" dxfId="4073" priority="10624" stopIfTrue="1" operator="lessThanOrEqual">
      <formula>3.5</formula>
    </cfRule>
    <cfRule type="cellIs" dxfId="4072" priority="10625" stopIfTrue="1" operator="greaterThanOrEqual">
      <formula>7.5</formula>
    </cfRule>
    <cfRule type="cellIs" dxfId="4071" priority="10626" stopIfTrue="1" operator="between">
      <formula>3.51</formula>
      <formula>7.49</formula>
    </cfRule>
  </conditionalFormatting>
  <conditionalFormatting sqref="AA3269">
    <cfRule type="cellIs" dxfId="4070" priority="10617" stopIfTrue="1" operator="lessThanOrEqual">
      <formula>3.5</formula>
    </cfRule>
    <cfRule type="cellIs" dxfId="4069" priority="10618" stopIfTrue="1" operator="greaterThanOrEqual">
      <formula>7.5</formula>
    </cfRule>
    <cfRule type="cellIs" dxfId="4068" priority="10619" stopIfTrue="1" operator="between">
      <formula>3.51</formula>
      <formula>7.49</formula>
    </cfRule>
  </conditionalFormatting>
  <conditionalFormatting sqref="AA3268">
    <cfRule type="cellIs" dxfId="4067" priority="10610" stopIfTrue="1" operator="lessThanOrEqual">
      <formula>3.5</formula>
    </cfRule>
    <cfRule type="cellIs" dxfId="4066" priority="10611" stopIfTrue="1" operator="greaterThanOrEqual">
      <formula>7.5</formula>
    </cfRule>
    <cfRule type="cellIs" dxfId="4065" priority="10612" stopIfTrue="1" operator="between">
      <formula>3.51</formula>
      <formula>7.49</formula>
    </cfRule>
  </conditionalFormatting>
  <conditionalFormatting sqref="AA3267">
    <cfRule type="cellIs" dxfId="4064" priority="10603" stopIfTrue="1" operator="lessThanOrEqual">
      <formula>3.5</formula>
    </cfRule>
    <cfRule type="cellIs" dxfId="4063" priority="10604" stopIfTrue="1" operator="greaterThanOrEqual">
      <formula>7.5</formula>
    </cfRule>
    <cfRule type="cellIs" dxfId="4062" priority="10605" stopIfTrue="1" operator="between">
      <formula>3.51</formula>
      <formula>7.49</formula>
    </cfRule>
  </conditionalFormatting>
  <conditionalFormatting sqref="AA3266">
    <cfRule type="cellIs" dxfId="4061" priority="10596" stopIfTrue="1" operator="lessThanOrEqual">
      <formula>3.5</formula>
    </cfRule>
    <cfRule type="cellIs" dxfId="4060" priority="10597" stopIfTrue="1" operator="greaterThanOrEqual">
      <formula>7.5</formula>
    </cfRule>
    <cfRule type="cellIs" dxfId="4059" priority="10598" stopIfTrue="1" operator="between">
      <formula>3.51</formula>
      <formula>7.49</formula>
    </cfRule>
  </conditionalFormatting>
  <conditionalFormatting sqref="AA3265">
    <cfRule type="cellIs" dxfId="4058" priority="10589" stopIfTrue="1" operator="lessThanOrEqual">
      <formula>3.5</formula>
    </cfRule>
    <cfRule type="cellIs" dxfId="4057" priority="10590" stopIfTrue="1" operator="greaterThanOrEqual">
      <formula>7.5</formula>
    </cfRule>
    <cfRule type="cellIs" dxfId="4056" priority="10591" stopIfTrue="1" operator="between">
      <formula>3.51</formula>
      <formula>7.49</formula>
    </cfRule>
  </conditionalFormatting>
  <conditionalFormatting sqref="AA3188">
    <cfRule type="cellIs" dxfId="4055" priority="10582" stopIfTrue="1" operator="lessThanOrEqual">
      <formula>3.5</formula>
    </cfRule>
    <cfRule type="cellIs" dxfId="4054" priority="10583" stopIfTrue="1" operator="greaterThanOrEqual">
      <formula>7.5</formula>
    </cfRule>
    <cfRule type="cellIs" dxfId="4053" priority="10584" stopIfTrue="1" operator="between">
      <formula>3.51</formula>
      <formula>7.49</formula>
    </cfRule>
  </conditionalFormatting>
  <conditionalFormatting sqref="AA3222">
    <cfRule type="cellIs" dxfId="4052" priority="10575" stopIfTrue="1" operator="lessThanOrEqual">
      <formula>3.5</formula>
    </cfRule>
    <cfRule type="cellIs" dxfId="4051" priority="10576" stopIfTrue="1" operator="greaterThanOrEqual">
      <formula>7.5</formula>
    </cfRule>
    <cfRule type="cellIs" dxfId="4050" priority="10577" stopIfTrue="1" operator="between">
      <formula>3.51</formula>
      <formula>7.49</formula>
    </cfRule>
  </conditionalFormatting>
  <conditionalFormatting sqref="AA2367">
    <cfRule type="cellIs" dxfId="4049" priority="10568" stopIfTrue="1" operator="lessThanOrEqual">
      <formula>3.5</formula>
    </cfRule>
    <cfRule type="cellIs" dxfId="4048" priority="10569" stopIfTrue="1" operator="greaterThanOrEqual">
      <formula>7.5</formula>
    </cfRule>
    <cfRule type="cellIs" dxfId="4047" priority="10570" stopIfTrue="1" operator="between">
      <formula>3.51</formula>
      <formula>7.49</formula>
    </cfRule>
  </conditionalFormatting>
  <conditionalFormatting sqref="AA3930">
    <cfRule type="cellIs" dxfId="4046" priority="10561" stopIfTrue="1" operator="lessThanOrEqual">
      <formula>3.5</formula>
    </cfRule>
    <cfRule type="cellIs" dxfId="4045" priority="10562" stopIfTrue="1" operator="greaterThanOrEqual">
      <formula>7.5</formula>
    </cfRule>
    <cfRule type="cellIs" dxfId="4044" priority="10563" stopIfTrue="1" operator="between">
      <formula>3.51</formula>
      <formula>7.49</formula>
    </cfRule>
  </conditionalFormatting>
  <conditionalFormatting sqref="AA2279">
    <cfRule type="cellIs" dxfId="4043" priority="10554" stopIfTrue="1" operator="lessThanOrEqual">
      <formula>3.5</formula>
    </cfRule>
    <cfRule type="cellIs" dxfId="4042" priority="10555" stopIfTrue="1" operator="greaterThanOrEqual">
      <formula>7.5</formula>
    </cfRule>
    <cfRule type="cellIs" dxfId="4041" priority="10556" stopIfTrue="1" operator="between">
      <formula>3.51</formula>
      <formula>7.49</formula>
    </cfRule>
  </conditionalFormatting>
  <conditionalFormatting sqref="AA2259">
    <cfRule type="cellIs" dxfId="4040" priority="10545" stopIfTrue="1" operator="lessThanOrEqual">
      <formula>3.5</formula>
    </cfRule>
    <cfRule type="cellIs" dxfId="4039" priority="10546" stopIfTrue="1" operator="greaterThanOrEqual">
      <formula>7.5</formula>
    </cfRule>
    <cfRule type="cellIs" dxfId="4038" priority="10547" stopIfTrue="1" operator="between">
      <formula>3.51</formula>
      <formula>7.49</formula>
    </cfRule>
  </conditionalFormatting>
  <conditionalFormatting sqref="AA2278">
    <cfRule type="cellIs" dxfId="4037" priority="10536" stopIfTrue="1" operator="lessThanOrEqual">
      <formula>3.5</formula>
    </cfRule>
    <cfRule type="cellIs" dxfId="4036" priority="10537" stopIfTrue="1" operator="greaterThanOrEqual">
      <formula>7.5</formula>
    </cfRule>
    <cfRule type="cellIs" dxfId="4035" priority="10538" stopIfTrue="1" operator="between">
      <formula>3.51</formula>
      <formula>7.49</formula>
    </cfRule>
  </conditionalFormatting>
  <conditionalFormatting sqref="AA2277">
    <cfRule type="cellIs" dxfId="4034" priority="10527" stopIfTrue="1" operator="lessThanOrEqual">
      <formula>3.5</formula>
    </cfRule>
    <cfRule type="cellIs" dxfId="4033" priority="10528" stopIfTrue="1" operator="greaterThanOrEqual">
      <formula>7.5</formula>
    </cfRule>
    <cfRule type="cellIs" dxfId="4032" priority="10529" stopIfTrue="1" operator="between">
      <formula>3.51</formula>
      <formula>7.49</formula>
    </cfRule>
  </conditionalFormatting>
  <conditionalFormatting sqref="AA2276">
    <cfRule type="cellIs" dxfId="4031" priority="10518" stopIfTrue="1" operator="lessThanOrEqual">
      <formula>3.5</formula>
    </cfRule>
    <cfRule type="cellIs" dxfId="4030" priority="10519" stopIfTrue="1" operator="greaterThanOrEqual">
      <formula>7.5</formula>
    </cfRule>
    <cfRule type="cellIs" dxfId="4029" priority="10520" stopIfTrue="1" operator="between">
      <formula>3.51</formula>
      <formula>7.49</formula>
    </cfRule>
  </conditionalFormatting>
  <conditionalFormatting sqref="AA2275">
    <cfRule type="cellIs" dxfId="4028" priority="10509" stopIfTrue="1" operator="lessThanOrEqual">
      <formula>3.5</formula>
    </cfRule>
    <cfRule type="cellIs" dxfId="4027" priority="10510" stopIfTrue="1" operator="greaterThanOrEqual">
      <formula>7.5</formula>
    </cfRule>
    <cfRule type="cellIs" dxfId="4026" priority="10511" stopIfTrue="1" operator="between">
      <formula>3.51</formula>
      <formula>7.49</formula>
    </cfRule>
  </conditionalFormatting>
  <conditionalFormatting sqref="AA2274">
    <cfRule type="cellIs" dxfId="4025" priority="10500" stopIfTrue="1" operator="lessThanOrEqual">
      <formula>3.5</formula>
    </cfRule>
    <cfRule type="cellIs" dxfId="4024" priority="10501" stopIfTrue="1" operator="greaterThanOrEqual">
      <formula>7.5</formula>
    </cfRule>
    <cfRule type="cellIs" dxfId="4023" priority="10502" stopIfTrue="1" operator="between">
      <formula>3.51</formula>
      <formula>7.49</formula>
    </cfRule>
  </conditionalFormatting>
  <conditionalFormatting sqref="AA2273">
    <cfRule type="cellIs" dxfId="4022" priority="10491" stopIfTrue="1" operator="lessThanOrEqual">
      <formula>3.5</formula>
    </cfRule>
    <cfRule type="cellIs" dxfId="4021" priority="10492" stopIfTrue="1" operator="greaterThanOrEqual">
      <formula>7.5</formula>
    </cfRule>
    <cfRule type="cellIs" dxfId="4020" priority="10493" stopIfTrue="1" operator="between">
      <formula>3.51</formula>
      <formula>7.49</formula>
    </cfRule>
  </conditionalFormatting>
  <conditionalFormatting sqref="AA2272">
    <cfRule type="cellIs" dxfId="4019" priority="10482" stopIfTrue="1" operator="lessThanOrEqual">
      <formula>3.5</formula>
    </cfRule>
    <cfRule type="cellIs" dxfId="4018" priority="10483" stopIfTrue="1" operator="greaterThanOrEqual">
      <formula>7.5</formula>
    </cfRule>
    <cfRule type="cellIs" dxfId="4017" priority="10484" stopIfTrue="1" operator="between">
      <formula>3.51</formula>
      <formula>7.49</formula>
    </cfRule>
  </conditionalFormatting>
  <conditionalFormatting sqref="AA2268">
    <cfRule type="cellIs" dxfId="4016" priority="10473" stopIfTrue="1" operator="lessThanOrEqual">
      <formula>3.5</formula>
    </cfRule>
    <cfRule type="cellIs" dxfId="4015" priority="10474" stopIfTrue="1" operator="greaterThanOrEqual">
      <formula>7.5</formula>
    </cfRule>
    <cfRule type="cellIs" dxfId="4014" priority="10475" stopIfTrue="1" operator="between">
      <formula>3.51</formula>
      <formula>7.49</formula>
    </cfRule>
  </conditionalFormatting>
  <conditionalFormatting sqref="AA2260">
    <cfRule type="cellIs" dxfId="4013" priority="10464" stopIfTrue="1" operator="lessThanOrEqual">
      <formula>3.5</formula>
    </cfRule>
    <cfRule type="cellIs" dxfId="4012" priority="10465" stopIfTrue="1" operator="greaterThanOrEqual">
      <formula>7.5</formula>
    </cfRule>
    <cfRule type="cellIs" dxfId="4011" priority="10466" stopIfTrue="1" operator="between">
      <formula>3.51</formula>
      <formula>7.49</formula>
    </cfRule>
  </conditionalFormatting>
  <conditionalFormatting sqref="AA3920">
    <cfRule type="cellIs" dxfId="4010" priority="10455" stopIfTrue="1" operator="lessThanOrEqual">
      <formula>3.5</formula>
    </cfRule>
    <cfRule type="cellIs" dxfId="4009" priority="10456" stopIfTrue="1" operator="greaterThanOrEqual">
      <formula>7.5</formula>
    </cfRule>
    <cfRule type="cellIs" dxfId="4008" priority="10457" stopIfTrue="1" operator="between">
      <formula>3.51</formula>
      <formula>7.49</formula>
    </cfRule>
  </conditionalFormatting>
  <conditionalFormatting sqref="AA1172">
    <cfRule type="cellIs" dxfId="4007" priority="10446" stopIfTrue="1" operator="lessThanOrEqual">
      <formula>3.5</formula>
    </cfRule>
    <cfRule type="cellIs" dxfId="4006" priority="10447" stopIfTrue="1" operator="greaterThanOrEqual">
      <formula>7.5</formula>
    </cfRule>
    <cfRule type="cellIs" dxfId="4005" priority="10448" stopIfTrue="1" operator="between">
      <formula>3.51</formula>
      <formula>7.49</formula>
    </cfRule>
  </conditionalFormatting>
  <conditionalFormatting sqref="AA1130">
    <cfRule type="cellIs" dxfId="4004" priority="10433" stopIfTrue="1" operator="lessThanOrEqual">
      <formula>3.5</formula>
    </cfRule>
    <cfRule type="cellIs" dxfId="4003" priority="10434" stopIfTrue="1" operator="greaterThanOrEqual">
      <formula>7.5</formula>
    </cfRule>
    <cfRule type="cellIs" dxfId="4002" priority="10435" stopIfTrue="1" operator="between">
      <formula>3.51</formula>
      <formula>7.49</formula>
    </cfRule>
  </conditionalFormatting>
  <conditionalFormatting sqref="AA1145">
    <cfRule type="cellIs" dxfId="4001" priority="10407" stopIfTrue="1" operator="lessThanOrEqual">
      <formula>3.5</formula>
    </cfRule>
    <cfRule type="cellIs" dxfId="4000" priority="10408" stopIfTrue="1" operator="greaterThanOrEqual">
      <formula>7.5</formula>
    </cfRule>
    <cfRule type="cellIs" dxfId="3999" priority="10409" stopIfTrue="1" operator="between">
      <formula>3.51</formula>
      <formula>7.49</formula>
    </cfRule>
  </conditionalFormatting>
  <conditionalFormatting sqref="AA1144">
    <cfRule type="cellIs" dxfId="3998" priority="10394" stopIfTrue="1" operator="lessThanOrEqual">
      <formula>3.5</formula>
    </cfRule>
    <cfRule type="cellIs" dxfId="3997" priority="10395" stopIfTrue="1" operator="greaterThanOrEqual">
      <formula>7.5</formula>
    </cfRule>
    <cfRule type="cellIs" dxfId="3996" priority="10396" stopIfTrue="1" operator="between">
      <formula>3.51</formula>
      <formula>7.49</formula>
    </cfRule>
  </conditionalFormatting>
  <conditionalFormatting sqref="AA1143">
    <cfRule type="cellIs" dxfId="3995" priority="10381" stopIfTrue="1" operator="lessThanOrEqual">
      <formula>3.5</formula>
    </cfRule>
    <cfRule type="cellIs" dxfId="3994" priority="10382" stopIfTrue="1" operator="greaterThanOrEqual">
      <formula>7.5</formula>
    </cfRule>
    <cfRule type="cellIs" dxfId="3993" priority="10383" stopIfTrue="1" operator="between">
      <formula>3.51</formula>
      <formula>7.49</formula>
    </cfRule>
  </conditionalFormatting>
  <conditionalFormatting sqref="AA1131">
    <cfRule type="cellIs" dxfId="3992" priority="10355" stopIfTrue="1" operator="lessThanOrEqual">
      <formula>3.5</formula>
    </cfRule>
    <cfRule type="cellIs" dxfId="3991" priority="10356" stopIfTrue="1" operator="greaterThanOrEqual">
      <formula>7.5</formula>
    </cfRule>
    <cfRule type="cellIs" dxfId="3990" priority="10357" stopIfTrue="1" operator="between">
      <formula>3.51</formula>
      <formula>7.49</formula>
    </cfRule>
  </conditionalFormatting>
  <conditionalFormatting sqref="AA1142">
    <cfRule type="cellIs" dxfId="3989" priority="10342" stopIfTrue="1" operator="lessThanOrEqual">
      <formula>3.5</formula>
    </cfRule>
    <cfRule type="cellIs" dxfId="3988" priority="10343" stopIfTrue="1" operator="greaterThanOrEqual">
      <formula>7.5</formula>
    </cfRule>
    <cfRule type="cellIs" dxfId="3987" priority="10344" stopIfTrue="1" operator="between">
      <formula>3.51</formula>
      <formula>7.49</formula>
    </cfRule>
  </conditionalFormatting>
  <conditionalFormatting sqref="AA1136">
    <cfRule type="cellIs" dxfId="3986" priority="10330" stopIfTrue="1" operator="lessThanOrEqual">
      <formula>3.5</formula>
    </cfRule>
    <cfRule type="cellIs" dxfId="3985" priority="10331" stopIfTrue="1" operator="greaterThanOrEqual">
      <formula>7.5</formula>
    </cfRule>
    <cfRule type="cellIs" dxfId="3984" priority="10332" stopIfTrue="1" operator="between">
      <formula>3.51</formula>
      <formula>7.49</formula>
    </cfRule>
  </conditionalFormatting>
  <conditionalFormatting sqref="AA1171">
    <cfRule type="cellIs" dxfId="3983" priority="10317" stopIfTrue="1" operator="lessThanOrEqual">
      <formula>3.5</formula>
    </cfRule>
    <cfRule type="cellIs" dxfId="3982" priority="10318" stopIfTrue="1" operator="greaterThanOrEqual">
      <formula>7.5</formula>
    </cfRule>
    <cfRule type="cellIs" dxfId="3981" priority="10319" stopIfTrue="1" operator="between">
      <formula>3.51</formula>
      <formula>7.49</formula>
    </cfRule>
  </conditionalFormatting>
  <conditionalFormatting sqref="AA2364">
    <cfRule type="cellIs" dxfId="3980" priority="10304" stopIfTrue="1" operator="lessThanOrEqual">
      <formula>3.5</formula>
    </cfRule>
    <cfRule type="cellIs" dxfId="3979" priority="10305" stopIfTrue="1" operator="greaterThanOrEqual">
      <formula>7.5</formula>
    </cfRule>
    <cfRule type="cellIs" dxfId="3978" priority="10306" stopIfTrue="1" operator="between">
      <formula>3.51</formula>
      <formula>7.49</formula>
    </cfRule>
  </conditionalFormatting>
  <conditionalFormatting sqref="AA5376">
    <cfRule type="cellIs" dxfId="3977" priority="10297" stopIfTrue="1" operator="lessThanOrEqual">
      <formula>3.5</formula>
    </cfRule>
    <cfRule type="cellIs" dxfId="3976" priority="10298" stopIfTrue="1" operator="greaterThanOrEqual">
      <formula>7.5</formula>
    </cfRule>
    <cfRule type="cellIs" dxfId="3975" priority="10299" stopIfTrue="1" operator="between">
      <formula>3.51</formula>
      <formula>7.49</formula>
    </cfRule>
  </conditionalFormatting>
  <conditionalFormatting sqref="AA5218">
    <cfRule type="cellIs" dxfId="3974" priority="10288" stopIfTrue="1" operator="lessThanOrEqual">
      <formula>3.5</formula>
    </cfRule>
    <cfRule type="cellIs" dxfId="3973" priority="10289" stopIfTrue="1" operator="greaterThanOrEqual">
      <formula>7.5</formula>
    </cfRule>
    <cfRule type="cellIs" dxfId="3972" priority="10290" stopIfTrue="1" operator="between">
      <formula>3.51</formula>
      <formula>7.49</formula>
    </cfRule>
  </conditionalFormatting>
  <conditionalFormatting sqref="AA5222">
    <cfRule type="cellIs" dxfId="3971" priority="10278" stopIfTrue="1" operator="lessThanOrEqual">
      <formula>3.5</formula>
    </cfRule>
    <cfRule type="cellIs" dxfId="3970" priority="10279" stopIfTrue="1" operator="greaterThanOrEqual">
      <formula>7.5</formula>
    </cfRule>
    <cfRule type="cellIs" dxfId="3969" priority="10280" stopIfTrue="1" operator="between">
      <formula>3.51</formula>
      <formula>7.49</formula>
    </cfRule>
  </conditionalFormatting>
  <conditionalFormatting sqref="AA5221">
    <cfRule type="cellIs" dxfId="3968" priority="10268" stopIfTrue="1" operator="lessThanOrEqual">
      <formula>3.5</formula>
    </cfRule>
    <cfRule type="cellIs" dxfId="3967" priority="10269" stopIfTrue="1" operator="greaterThanOrEqual">
      <formula>7.5</formula>
    </cfRule>
    <cfRule type="cellIs" dxfId="3966" priority="10270" stopIfTrue="1" operator="between">
      <formula>3.51</formula>
      <formula>7.49</formula>
    </cfRule>
  </conditionalFormatting>
  <conditionalFormatting sqref="AA5253">
    <cfRule type="cellIs" dxfId="3965" priority="10258" stopIfTrue="1" operator="lessThanOrEqual">
      <formula>3.5</formula>
    </cfRule>
    <cfRule type="cellIs" dxfId="3964" priority="10259" stopIfTrue="1" operator="greaterThanOrEqual">
      <formula>7.5</formula>
    </cfRule>
    <cfRule type="cellIs" dxfId="3963" priority="10260" stopIfTrue="1" operator="between">
      <formula>3.51</formula>
      <formula>7.49</formula>
    </cfRule>
  </conditionalFormatting>
  <conditionalFormatting sqref="AA5269">
    <cfRule type="cellIs" dxfId="3962" priority="10251" stopIfTrue="1" operator="lessThanOrEqual">
      <formula>3.5</formula>
    </cfRule>
    <cfRule type="cellIs" dxfId="3961" priority="10252" stopIfTrue="1" operator="greaterThanOrEqual">
      <formula>7.5</formula>
    </cfRule>
    <cfRule type="cellIs" dxfId="3960" priority="10253" stopIfTrue="1" operator="between">
      <formula>3.51</formula>
      <formula>7.49</formula>
    </cfRule>
  </conditionalFormatting>
  <conditionalFormatting sqref="AA5315">
    <cfRule type="cellIs" dxfId="3959" priority="10235" stopIfTrue="1" operator="lessThanOrEqual">
      <formula>3.5</formula>
    </cfRule>
    <cfRule type="cellIs" dxfId="3958" priority="10236" stopIfTrue="1" operator="greaterThanOrEqual">
      <formula>7.5</formula>
    </cfRule>
    <cfRule type="cellIs" dxfId="3957" priority="10237" stopIfTrue="1" operator="between">
      <formula>3.51</formula>
      <formula>7.49</formula>
    </cfRule>
  </conditionalFormatting>
  <conditionalFormatting sqref="AA5313">
    <cfRule type="cellIs" dxfId="3956" priority="10225" stopIfTrue="1" operator="lessThanOrEqual">
      <formula>3.5</formula>
    </cfRule>
    <cfRule type="cellIs" dxfId="3955" priority="10226" stopIfTrue="1" operator="greaterThanOrEqual">
      <formula>7.5</formula>
    </cfRule>
    <cfRule type="cellIs" dxfId="3954" priority="10227" stopIfTrue="1" operator="between">
      <formula>3.51</formula>
      <formula>7.49</formula>
    </cfRule>
  </conditionalFormatting>
  <conditionalFormatting sqref="AA5344">
    <cfRule type="cellIs" dxfId="3953" priority="10217" stopIfTrue="1" operator="lessThanOrEqual">
      <formula>3.5</formula>
    </cfRule>
    <cfRule type="cellIs" dxfId="3952" priority="10218" stopIfTrue="1" operator="greaterThanOrEqual">
      <formula>7.5</formula>
    </cfRule>
    <cfRule type="cellIs" dxfId="3951" priority="10219" stopIfTrue="1" operator="between">
      <formula>3.51</formula>
      <formula>7.49</formula>
    </cfRule>
  </conditionalFormatting>
  <conditionalFormatting sqref="AA5341">
    <cfRule type="cellIs" dxfId="3950" priority="10210" stopIfTrue="1" operator="lessThanOrEqual">
      <formula>3.5</formula>
    </cfRule>
    <cfRule type="cellIs" dxfId="3949" priority="10211" stopIfTrue="1" operator="greaterThanOrEqual">
      <formula>7.5</formula>
    </cfRule>
    <cfRule type="cellIs" dxfId="3948" priority="10212" stopIfTrue="1" operator="between">
      <formula>3.51</formula>
      <formula>7.49</formula>
    </cfRule>
  </conditionalFormatting>
  <conditionalFormatting sqref="AA2361">
    <cfRule type="cellIs" dxfId="3947" priority="10203" stopIfTrue="1" operator="lessThanOrEqual">
      <formula>3.5</formula>
    </cfRule>
    <cfRule type="cellIs" dxfId="3946" priority="10204" stopIfTrue="1" operator="greaterThanOrEqual">
      <formula>7.5</formula>
    </cfRule>
    <cfRule type="cellIs" dxfId="3945" priority="10205" stopIfTrue="1" operator="between">
      <formula>3.51</formula>
      <formula>7.49</formula>
    </cfRule>
  </conditionalFormatting>
  <conditionalFormatting sqref="AA5102">
    <cfRule type="cellIs" dxfId="3944" priority="10196" stopIfTrue="1" operator="lessThanOrEqual">
      <formula>3.5</formula>
    </cfRule>
    <cfRule type="cellIs" dxfId="3943" priority="10197" stopIfTrue="1" operator="greaterThanOrEqual">
      <formula>7.5</formula>
    </cfRule>
    <cfRule type="cellIs" dxfId="3942" priority="10198" stopIfTrue="1" operator="between">
      <formula>3.51</formula>
      <formula>7.49</formula>
    </cfRule>
  </conditionalFormatting>
  <conditionalFormatting sqref="AA4841">
    <cfRule type="cellIs" dxfId="3941" priority="10189" stopIfTrue="1" operator="lessThanOrEqual">
      <formula>3.5</formula>
    </cfRule>
    <cfRule type="cellIs" dxfId="3940" priority="10190" stopIfTrue="1" operator="greaterThanOrEqual">
      <formula>7.5</formula>
    </cfRule>
    <cfRule type="cellIs" dxfId="3939" priority="10191" stopIfTrue="1" operator="between">
      <formula>3.51</formula>
      <formula>7.49</formula>
    </cfRule>
  </conditionalFormatting>
  <conditionalFormatting sqref="AA4987">
    <cfRule type="cellIs" dxfId="3938" priority="10179" stopIfTrue="1" operator="lessThanOrEqual">
      <formula>3.5</formula>
    </cfRule>
    <cfRule type="cellIs" dxfId="3937" priority="10180" stopIfTrue="1" operator="greaterThanOrEqual">
      <formula>7.5</formula>
    </cfRule>
    <cfRule type="cellIs" dxfId="3936" priority="10181" stopIfTrue="1" operator="between">
      <formula>3.51</formula>
      <formula>7.49</formula>
    </cfRule>
  </conditionalFormatting>
  <conditionalFormatting sqref="AA4961">
    <cfRule type="cellIs" dxfId="3935" priority="10176" stopIfTrue="1" operator="lessThanOrEqual">
      <formula>3.5</formula>
    </cfRule>
    <cfRule type="cellIs" dxfId="3934" priority="10177" stopIfTrue="1" operator="greaterThanOrEqual">
      <formula>7.5</formula>
    </cfRule>
    <cfRule type="cellIs" dxfId="3933" priority="10178" stopIfTrue="1" operator="between">
      <formula>3.51</formula>
      <formula>7.49</formula>
    </cfRule>
  </conditionalFormatting>
  <conditionalFormatting sqref="AA5066:AA5068">
    <cfRule type="cellIs" dxfId="3932" priority="10173" stopIfTrue="1" operator="lessThanOrEqual">
      <formula>3.5</formula>
    </cfRule>
    <cfRule type="cellIs" dxfId="3931" priority="10174" stopIfTrue="1" operator="greaterThanOrEqual">
      <formula>7.5</formula>
    </cfRule>
    <cfRule type="cellIs" dxfId="3930" priority="10175" stopIfTrue="1" operator="between">
      <formula>3.51</formula>
      <formula>7.49</formula>
    </cfRule>
  </conditionalFormatting>
  <conditionalFormatting sqref="AA4874">
    <cfRule type="cellIs" dxfId="3929" priority="10165" stopIfTrue="1" operator="lessThanOrEqual">
      <formula>3.5</formula>
    </cfRule>
    <cfRule type="cellIs" dxfId="3928" priority="10166" stopIfTrue="1" operator="greaterThanOrEqual">
      <formula>7.5</formula>
    </cfRule>
    <cfRule type="cellIs" dxfId="3927" priority="10167" stopIfTrue="1" operator="between">
      <formula>3.51</formula>
      <formula>7.49</formula>
    </cfRule>
  </conditionalFormatting>
  <conditionalFormatting sqref="AA5115">
    <cfRule type="cellIs" dxfId="3926" priority="10147" stopIfTrue="1" operator="lessThanOrEqual">
      <formula>3.5</formula>
    </cfRule>
    <cfRule type="cellIs" dxfId="3925" priority="10148" stopIfTrue="1" operator="greaterThanOrEqual">
      <formula>7.5</formula>
    </cfRule>
    <cfRule type="cellIs" dxfId="3924" priority="10149" stopIfTrue="1" operator="between">
      <formula>3.51</formula>
      <formula>7.49</formula>
    </cfRule>
  </conditionalFormatting>
  <conditionalFormatting sqref="AA183">
    <cfRule type="cellIs" dxfId="3923" priority="10138" stopIfTrue="1" operator="lessThanOrEqual">
      <formula>3.5</formula>
    </cfRule>
    <cfRule type="cellIs" dxfId="3922" priority="10139" stopIfTrue="1" operator="greaterThanOrEqual">
      <formula>7.5</formula>
    </cfRule>
    <cfRule type="cellIs" dxfId="3921" priority="10140" stopIfTrue="1" operator="between">
      <formula>3.51</formula>
      <formula>7.49</formula>
    </cfRule>
  </conditionalFormatting>
  <conditionalFormatting sqref="AA206">
    <cfRule type="cellIs" dxfId="3920" priority="10128" stopIfTrue="1" operator="lessThanOrEqual">
      <formula>3.5</formula>
    </cfRule>
    <cfRule type="cellIs" dxfId="3919" priority="10129" stopIfTrue="1" operator="greaterThanOrEqual">
      <formula>7.5</formula>
    </cfRule>
    <cfRule type="cellIs" dxfId="3918" priority="10130" stopIfTrue="1" operator="between">
      <formula>3.51</formula>
      <formula>7.49</formula>
    </cfRule>
  </conditionalFormatting>
  <conditionalFormatting sqref="AA303">
    <cfRule type="cellIs" dxfId="3917" priority="10120" stopIfTrue="1" operator="lessThanOrEqual">
      <formula>3.5</formula>
    </cfRule>
    <cfRule type="cellIs" dxfId="3916" priority="10121" stopIfTrue="1" operator="greaterThanOrEqual">
      <formula>7.5</formula>
    </cfRule>
    <cfRule type="cellIs" dxfId="3915" priority="10122" stopIfTrue="1" operator="between">
      <formula>3.51</formula>
      <formula>7.49</formula>
    </cfRule>
  </conditionalFormatting>
  <conditionalFormatting sqref="AA5194">
    <cfRule type="cellIs" dxfId="3914" priority="10096" stopIfTrue="1" operator="lessThanOrEqual">
      <formula>3.5</formula>
    </cfRule>
    <cfRule type="cellIs" dxfId="3913" priority="10097" stopIfTrue="1" operator="greaterThanOrEqual">
      <formula>7.5</formula>
    </cfRule>
    <cfRule type="cellIs" dxfId="3912" priority="10098" stopIfTrue="1" operator="between">
      <formula>3.51</formula>
      <formula>7.49</formula>
    </cfRule>
  </conditionalFormatting>
  <conditionalFormatting sqref="AA5042">
    <cfRule type="cellIs" dxfId="3911" priority="10088" stopIfTrue="1" operator="lessThanOrEqual">
      <formula>3.5</formula>
    </cfRule>
    <cfRule type="cellIs" dxfId="3910" priority="10089" stopIfTrue="1" operator="greaterThanOrEqual">
      <formula>7.5</formula>
    </cfRule>
    <cfRule type="cellIs" dxfId="3909" priority="10090" stopIfTrue="1" operator="between">
      <formula>3.51</formula>
      <formula>7.49</formula>
    </cfRule>
  </conditionalFormatting>
  <conditionalFormatting sqref="AA2353">
    <cfRule type="cellIs" dxfId="3908" priority="10080" stopIfTrue="1" operator="lessThanOrEqual">
      <formula>3.5</formula>
    </cfRule>
    <cfRule type="cellIs" dxfId="3907" priority="10081" stopIfTrue="1" operator="greaterThanOrEqual">
      <formula>7.5</formula>
    </cfRule>
    <cfRule type="cellIs" dxfId="3906" priority="10082" stopIfTrue="1" operator="between">
      <formula>3.51</formula>
      <formula>7.49</formula>
    </cfRule>
  </conditionalFormatting>
  <conditionalFormatting sqref="AA4194">
    <cfRule type="cellIs" dxfId="3905" priority="10073" stopIfTrue="1" operator="lessThanOrEqual">
      <formula>3.5</formula>
    </cfRule>
    <cfRule type="cellIs" dxfId="3904" priority="10074" stopIfTrue="1" operator="greaterThanOrEqual">
      <formula>7.5</formula>
    </cfRule>
    <cfRule type="cellIs" dxfId="3903" priority="10075" stopIfTrue="1" operator="between">
      <formula>3.51</formula>
      <formula>7.49</formula>
    </cfRule>
  </conditionalFormatting>
  <conditionalFormatting sqref="AA3227">
    <cfRule type="cellIs" dxfId="3902" priority="10067" stopIfTrue="1" operator="lessThanOrEqual">
      <formula>3.5</formula>
    </cfRule>
    <cfRule type="cellIs" dxfId="3901" priority="10068" stopIfTrue="1" operator="greaterThanOrEqual">
      <formula>7.5</formula>
    </cfRule>
    <cfRule type="cellIs" dxfId="3900" priority="10069" stopIfTrue="1" operator="between">
      <formula>3.51</formula>
      <formula>7.49</formula>
    </cfRule>
  </conditionalFormatting>
  <conditionalFormatting sqref="AA3226">
    <cfRule type="cellIs" dxfId="3899" priority="10061" stopIfTrue="1" operator="lessThanOrEqual">
      <formula>3.5</formula>
    </cfRule>
    <cfRule type="cellIs" dxfId="3898" priority="10062" stopIfTrue="1" operator="greaterThanOrEqual">
      <formula>7.5</formula>
    </cfRule>
    <cfRule type="cellIs" dxfId="3897" priority="10063" stopIfTrue="1" operator="between">
      <formula>3.51</formula>
      <formula>7.49</formula>
    </cfRule>
  </conditionalFormatting>
  <conditionalFormatting sqref="AA2360">
    <cfRule type="cellIs" dxfId="3896" priority="10055" stopIfTrue="1" operator="lessThanOrEqual">
      <formula>3.5</formula>
    </cfRule>
    <cfRule type="cellIs" dxfId="3895" priority="10056" stopIfTrue="1" operator="greaterThanOrEqual">
      <formula>7.5</formula>
    </cfRule>
    <cfRule type="cellIs" dxfId="3894" priority="10057" stopIfTrue="1" operator="between">
      <formula>3.51</formula>
      <formula>7.49</formula>
    </cfRule>
  </conditionalFormatting>
  <conditionalFormatting sqref="AA4889">
    <cfRule type="cellIs" dxfId="3893" priority="10050" stopIfTrue="1" operator="lessThanOrEqual">
      <formula>3.5</formula>
    </cfRule>
    <cfRule type="cellIs" dxfId="3892" priority="10051" stopIfTrue="1" operator="greaterThanOrEqual">
      <formula>7.5</formula>
    </cfRule>
    <cfRule type="cellIs" dxfId="3891" priority="10052" stopIfTrue="1" operator="between">
      <formula>3.51</formula>
      <formula>7.49</formula>
    </cfRule>
  </conditionalFormatting>
  <conditionalFormatting sqref="AA3228">
    <cfRule type="cellIs" dxfId="3890" priority="10044" stopIfTrue="1" operator="lessThanOrEqual">
      <formula>3.5</formula>
    </cfRule>
    <cfRule type="cellIs" dxfId="3889" priority="10045" stopIfTrue="1" operator="greaterThanOrEqual">
      <formula>7.5</formula>
    </cfRule>
    <cfRule type="cellIs" dxfId="3888" priority="10046" stopIfTrue="1" operator="between">
      <formula>3.51</formula>
      <formula>7.49</formula>
    </cfRule>
  </conditionalFormatting>
  <conditionalFormatting sqref="AA3225">
    <cfRule type="cellIs" dxfId="3887" priority="10038" stopIfTrue="1" operator="lessThanOrEqual">
      <formula>3.5</formula>
    </cfRule>
    <cfRule type="cellIs" dxfId="3886" priority="10039" stopIfTrue="1" operator="greaterThanOrEqual">
      <formula>7.5</formula>
    </cfRule>
    <cfRule type="cellIs" dxfId="3885" priority="10040" stopIfTrue="1" operator="between">
      <formula>3.51</formula>
      <formula>7.49</formula>
    </cfRule>
  </conditionalFormatting>
  <conditionalFormatting sqref="AA2344">
    <cfRule type="cellIs" dxfId="3884" priority="10033" stopIfTrue="1" operator="lessThanOrEqual">
      <formula>3.5</formula>
    </cfRule>
    <cfRule type="cellIs" dxfId="3883" priority="10034" stopIfTrue="1" operator="greaterThanOrEqual">
      <formula>7.5</formula>
    </cfRule>
    <cfRule type="cellIs" dxfId="3882" priority="10035" stopIfTrue="1" operator="between">
      <formula>3.51</formula>
      <formula>7.49</formula>
    </cfRule>
  </conditionalFormatting>
  <conditionalFormatting sqref="AA1187">
    <cfRule type="cellIs" dxfId="3881" priority="10028" stopIfTrue="1" operator="lessThanOrEqual">
      <formula>3.5</formula>
    </cfRule>
    <cfRule type="cellIs" dxfId="3880" priority="10029" stopIfTrue="1" operator="greaterThanOrEqual">
      <formula>7.5</formula>
    </cfRule>
    <cfRule type="cellIs" dxfId="3879" priority="10030" stopIfTrue="1" operator="between">
      <formula>3.51</formula>
      <formula>7.49</formula>
    </cfRule>
  </conditionalFormatting>
  <conditionalFormatting sqref="AA5328">
    <cfRule type="cellIs" dxfId="3878" priority="10023" stopIfTrue="1" operator="lessThanOrEqual">
      <formula>3.5</formula>
    </cfRule>
    <cfRule type="cellIs" dxfId="3877" priority="10024" stopIfTrue="1" operator="greaterThanOrEqual">
      <formula>7.5</formula>
    </cfRule>
    <cfRule type="cellIs" dxfId="3876" priority="10025" stopIfTrue="1" operator="between">
      <formula>3.51</formula>
      <formula>7.49</formula>
    </cfRule>
  </conditionalFormatting>
  <conditionalFormatting sqref="AA5264">
    <cfRule type="cellIs" dxfId="3875" priority="10018" stopIfTrue="1" operator="lessThanOrEqual">
      <formula>3.5</formula>
    </cfRule>
    <cfRule type="cellIs" dxfId="3874" priority="10019" stopIfTrue="1" operator="greaterThanOrEqual">
      <formula>7.5</formula>
    </cfRule>
    <cfRule type="cellIs" dxfId="3873" priority="10020" stopIfTrue="1" operator="between">
      <formula>3.51</formula>
      <formula>7.49</formula>
    </cfRule>
  </conditionalFormatting>
  <conditionalFormatting sqref="AA5352">
    <cfRule type="cellIs" dxfId="3872" priority="10013" stopIfTrue="1" operator="lessThanOrEqual">
      <formula>3.5</formula>
    </cfRule>
    <cfRule type="cellIs" dxfId="3871" priority="10014" stopIfTrue="1" operator="greaterThanOrEqual">
      <formula>7.5</formula>
    </cfRule>
    <cfRule type="cellIs" dxfId="3870" priority="10015" stopIfTrue="1" operator="between">
      <formula>3.51</formula>
      <formula>7.49</formula>
    </cfRule>
  </conditionalFormatting>
  <conditionalFormatting sqref="AA574">
    <cfRule type="cellIs" dxfId="3869" priority="10007" stopIfTrue="1" operator="lessThanOrEqual">
      <formula>3.5</formula>
    </cfRule>
    <cfRule type="cellIs" dxfId="3868" priority="10008" stopIfTrue="1" operator="greaterThanOrEqual">
      <formula>7.5</formula>
    </cfRule>
    <cfRule type="cellIs" dxfId="3867" priority="10009" stopIfTrue="1" operator="between">
      <formula>3.51</formula>
      <formula>7.49</formula>
    </cfRule>
  </conditionalFormatting>
  <conditionalFormatting sqref="AA589">
    <cfRule type="cellIs" dxfId="3866" priority="10001" stopIfTrue="1" operator="lessThanOrEqual">
      <formula>3.5</formula>
    </cfRule>
    <cfRule type="cellIs" dxfId="3865" priority="10002" stopIfTrue="1" operator="greaterThanOrEqual">
      <formula>7.5</formula>
    </cfRule>
    <cfRule type="cellIs" dxfId="3864" priority="10003" stopIfTrue="1" operator="between">
      <formula>3.51</formula>
      <formula>7.49</formula>
    </cfRule>
  </conditionalFormatting>
  <conditionalFormatting sqref="AA740">
    <cfRule type="cellIs" dxfId="3863" priority="9996" stopIfTrue="1" operator="lessThanOrEqual">
      <formula>3.5</formula>
    </cfRule>
    <cfRule type="cellIs" dxfId="3862" priority="9997" stopIfTrue="1" operator="greaterThanOrEqual">
      <formula>7.5</formula>
    </cfRule>
    <cfRule type="cellIs" dxfId="3861" priority="9998" stopIfTrue="1" operator="between">
      <formula>3.51</formula>
      <formula>7.49</formula>
    </cfRule>
  </conditionalFormatting>
  <conditionalFormatting sqref="AA841">
    <cfRule type="cellIs" dxfId="3860" priority="9991" stopIfTrue="1" operator="lessThanOrEqual">
      <formula>3.5</formula>
    </cfRule>
    <cfRule type="cellIs" dxfId="3859" priority="9992" stopIfTrue="1" operator="greaterThanOrEqual">
      <formula>7.5</formula>
    </cfRule>
    <cfRule type="cellIs" dxfId="3858" priority="9993" stopIfTrue="1" operator="between">
      <formula>3.51</formula>
      <formula>7.49</formula>
    </cfRule>
  </conditionalFormatting>
  <conditionalFormatting sqref="AA927">
    <cfRule type="cellIs" dxfId="3857" priority="9981" stopIfTrue="1" operator="lessThanOrEqual">
      <formula>3.5</formula>
    </cfRule>
    <cfRule type="cellIs" dxfId="3856" priority="9982" stopIfTrue="1" operator="greaterThanOrEqual">
      <formula>7.5</formula>
    </cfRule>
    <cfRule type="cellIs" dxfId="3855" priority="9983" stopIfTrue="1" operator="between">
      <formula>3.51</formula>
      <formula>7.49</formula>
    </cfRule>
  </conditionalFormatting>
  <conditionalFormatting sqref="AA4188">
    <cfRule type="cellIs" dxfId="3854" priority="9976" stopIfTrue="1" operator="lessThanOrEqual">
      <formula>3.5</formula>
    </cfRule>
    <cfRule type="cellIs" dxfId="3853" priority="9977" stopIfTrue="1" operator="greaterThanOrEqual">
      <formula>7.5</formula>
    </cfRule>
    <cfRule type="cellIs" dxfId="3852" priority="9978" stopIfTrue="1" operator="between">
      <formula>3.51</formula>
      <formula>7.49</formula>
    </cfRule>
  </conditionalFormatting>
  <conditionalFormatting sqref="AA2405">
    <cfRule type="cellIs" dxfId="3851" priority="9970" stopIfTrue="1" operator="lessThanOrEqual">
      <formula>3.5</formula>
    </cfRule>
    <cfRule type="cellIs" dxfId="3850" priority="9971" stopIfTrue="1" operator="greaterThanOrEqual">
      <formula>7.5</formula>
    </cfRule>
    <cfRule type="cellIs" dxfId="3849" priority="9972" stopIfTrue="1" operator="between">
      <formula>3.51</formula>
      <formula>7.49</formula>
    </cfRule>
  </conditionalFormatting>
  <conditionalFormatting sqref="AA2489">
    <cfRule type="cellIs" dxfId="3848" priority="9965" stopIfTrue="1" operator="lessThanOrEqual">
      <formula>3.5</formula>
    </cfRule>
    <cfRule type="cellIs" dxfId="3847" priority="9966" stopIfTrue="1" operator="greaterThanOrEqual">
      <formula>7.5</formula>
    </cfRule>
    <cfRule type="cellIs" dxfId="3846" priority="9967" stopIfTrue="1" operator="between">
      <formula>3.51</formula>
      <formula>7.49</formula>
    </cfRule>
  </conditionalFormatting>
  <conditionalFormatting sqref="AA2486">
    <cfRule type="cellIs" dxfId="3845" priority="9960" stopIfTrue="1" operator="lessThanOrEqual">
      <formula>3.5</formula>
    </cfRule>
    <cfRule type="cellIs" dxfId="3844" priority="9961" stopIfTrue="1" operator="greaterThanOrEqual">
      <formula>7.5</formula>
    </cfRule>
    <cfRule type="cellIs" dxfId="3843" priority="9962" stopIfTrue="1" operator="between">
      <formula>3.51</formula>
      <formula>7.49</formula>
    </cfRule>
  </conditionalFormatting>
  <conditionalFormatting sqref="AA2487">
    <cfRule type="cellIs" dxfId="3842" priority="9955" stopIfTrue="1" operator="lessThanOrEqual">
      <formula>3.5</formula>
    </cfRule>
    <cfRule type="cellIs" dxfId="3841" priority="9956" stopIfTrue="1" operator="greaterThanOrEqual">
      <formula>7.5</formula>
    </cfRule>
    <cfRule type="cellIs" dxfId="3840" priority="9957" stopIfTrue="1" operator="between">
      <formula>3.51</formula>
      <formula>7.49</formula>
    </cfRule>
  </conditionalFormatting>
  <conditionalFormatting sqref="AA2488">
    <cfRule type="cellIs" dxfId="3839" priority="9950" stopIfTrue="1" operator="lessThanOrEqual">
      <formula>3.5</formula>
    </cfRule>
    <cfRule type="cellIs" dxfId="3838" priority="9951" stopIfTrue="1" operator="greaterThanOrEqual">
      <formula>7.5</formula>
    </cfRule>
    <cfRule type="cellIs" dxfId="3837" priority="9952" stopIfTrue="1" operator="between">
      <formula>3.51</formula>
      <formula>7.49</formula>
    </cfRule>
  </conditionalFormatting>
  <conditionalFormatting sqref="AA2544">
    <cfRule type="cellIs" dxfId="3836" priority="9945" stopIfTrue="1" operator="lessThanOrEqual">
      <formula>3.5</formula>
    </cfRule>
    <cfRule type="cellIs" dxfId="3835" priority="9946" stopIfTrue="1" operator="greaterThanOrEqual">
      <formula>7.5</formula>
    </cfRule>
    <cfRule type="cellIs" dxfId="3834" priority="9947" stopIfTrue="1" operator="between">
      <formula>3.51</formula>
      <formula>7.49</formula>
    </cfRule>
  </conditionalFormatting>
  <conditionalFormatting sqref="AA3033">
    <cfRule type="cellIs" dxfId="3833" priority="9940" stopIfTrue="1" operator="lessThanOrEqual">
      <formula>3.5</formula>
    </cfRule>
    <cfRule type="cellIs" dxfId="3832" priority="9941" stopIfTrue="1" operator="greaterThanOrEqual">
      <formula>7.5</formula>
    </cfRule>
    <cfRule type="cellIs" dxfId="3831" priority="9942" stopIfTrue="1" operator="between">
      <formula>3.51</formula>
      <formula>7.49</formula>
    </cfRule>
  </conditionalFormatting>
  <conditionalFormatting sqref="AA3926">
    <cfRule type="cellIs" dxfId="3830" priority="9928" stopIfTrue="1" operator="lessThanOrEqual">
      <formula>3.5</formula>
    </cfRule>
    <cfRule type="cellIs" dxfId="3829" priority="9929" stopIfTrue="1" operator="greaterThanOrEqual">
      <formula>7.5</formula>
    </cfRule>
    <cfRule type="cellIs" dxfId="3828" priority="9930" stopIfTrue="1" operator="between">
      <formula>3.51</formula>
      <formula>7.49</formula>
    </cfRule>
  </conditionalFormatting>
  <conditionalFormatting sqref="AA4219">
    <cfRule type="cellIs" dxfId="3827" priority="9921" stopIfTrue="1" operator="lessThanOrEqual">
      <formula>3.5</formula>
    </cfRule>
    <cfRule type="cellIs" dxfId="3826" priority="9922" stopIfTrue="1" operator="greaterThanOrEqual">
      <formula>7.5</formula>
    </cfRule>
    <cfRule type="cellIs" dxfId="3825" priority="9923" stopIfTrue="1" operator="between">
      <formula>3.51</formula>
      <formula>7.49</formula>
    </cfRule>
  </conditionalFormatting>
  <conditionalFormatting sqref="AA3925">
    <cfRule type="cellIs" dxfId="3824" priority="9855" stopIfTrue="1" operator="lessThanOrEqual">
      <formula>3.5</formula>
    </cfRule>
    <cfRule type="cellIs" dxfId="3823" priority="9856" stopIfTrue="1" operator="greaterThanOrEqual">
      <formula>7.5</formula>
    </cfRule>
    <cfRule type="cellIs" dxfId="3822" priority="9857" stopIfTrue="1" operator="between">
      <formula>3.51</formula>
      <formula>7.49</formula>
    </cfRule>
  </conditionalFormatting>
  <conditionalFormatting sqref="AA5196">
    <cfRule type="cellIs" dxfId="3821" priority="9848" stopIfTrue="1" operator="lessThanOrEqual">
      <formula>3.5</formula>
    </cfRule>
    <cfRule type="cellIs" dxfId="3820" priority="9849" stopIfTrue="1" operator="greaterThanOrEqual">
      <formula>7.5</formula>
    </cfRule>
    <cfRule type="cellIs" dxfId="3819" priority="9850" stopIfTrue="1" operator="between">
      <formula>3.51</formula>
      <formula>7.49</formula>
    </cfRule>
  </conditionalFormatting>
  <conditionalFormatting sqref="AA5375">
    <cfRule type="cellIs" dxfId="3818" priority="9842" stopIfTrue="1" operator="lessThanOrEqual">
      <formula>3.5</formula>
    </cfRule>
    <cfRule type="cellIs" dxfId="3817" priority="9843" stopIfTrue="1" operator="greaterThanOrEqual">
      <formula>7.5</formula>
    </cfRule>
    <cfRule type="cellIs" dxfId="3816" priority="9844" stopIfTrue="1" operator="between">
      <formula>3.51</formula>
      <formula>7.49</formula>
    </cfRule>
  </conditionalFormatting>
  <conditionalFormatting sqref="AA3156">
    <cfRule type="cellIs" dxfId="3815" priority="9829" stopIfTrue="1" operator="lessThanOrEqual">
      <formula>3.5</formula>
    </cfRule>
    <cfRule type="cellIs" dxfId="3814" priority="9830" stopIfTrue="1" operator="greaterThanOrEqual">
      <formula>7.5</formula>
    </cfRule>
    <cfRule type="cellIs" dxfId="3813" priority="9831" stopIfTrue="1" operator="between">
      <formula>3.51</formula>
      <formula>7.49</formula>
    </cfRule>
  </conditionalFormatting>
  <conditionalFormatting sqref="AA3096">
    <cfRule type="cellIs" dxfId="3812" priority="9824" stopIfTrue="1" operator="lessThanOrEqual">
      <formula>3.5</formula>
    </cfRule>
    <cfRule type="cellIs" dxfId="3811" priority="9825" stopIfTrue="1" operator="greaterThanOrEqual">
      <formula>7.5</formula>
    </cfRule>
    <cfRule type="cellIs" dxfId="3810" priority="9826" stopIfTrue="1" operator="between">
      <formula>3.51</formula>
      <formula>7.49</formula>
    </cfRule>
  </conditionalFormatting>
  <conditionalFormatting sqref="AA3101">
    <cfRule type="cellIs" dxfId="3809" priority="9819" stopIfTrue="1" operator="lessThanOrEqual">
      <formula>3.5</formula>
    </cfRule>
    <cfRule type="cellIs" dxfId="3808" priority="9820" stopIfTrue="1" operator="greaterThanOrEqual">
      <formula>7.5</formula>
    </cfRule>
    <cfRule type="cellIs" dxfId="3807" priority="9821" stopIfTrue="1" operator="between">
      <formula>3.51</formula>
      <formula>7.49</formula>
    </cfRule>
  </conditionalFormatting>
  <conditionalFormatting sqref="AA3099">
    <cfRule type="cellIs" dxfId="3806" priority="9814" stopIfTrue="1" operator="lessThanOrEqual">
      <formula>3.5</formula>
    </cfRule>
    <cfRule type="cellIs" dxfId="3805" priority="9815" stopIfTrue="1" operator="greaterThanOrEqual">
      <formula>7.5</formula>
    </cfRule>
    <cfRule type="cellIs" dxfId="3804" priority="9816" stopIfTrue="1" operator="between">
      <formula>3.51</formula>
      <formula>7.49</formula>
    </cfRule>
  </conditionalFormatting>
  <conditionalFormatting sqref="AA3098">
    <cfRule type="cellIs" dxfId="3803" priority="9809" stopIfTrue="1" operator="lessThanOrEqual">
      <formula>3.5</formula>
    </cfRule>
    <cfRule type="cellIs" dxfId="3802" priority="9810" stopIfTrue="1" operator="greaterThanOrEqual">
      <formula>7.5</formula>
    </cfRule>
    <cfRule type="cellIs" dxfId="3801" priority="9811" stopIfTrue="1" operator="between">
      <formula>3.51</formula>
      <formula>7.49</formula>
    </cfRule>
  </conditionalFormatting>
  <conditionalFormatting sqref="AA3102">
    <cfRule type="cellIs" dxfId="3800" priority="9804" stopIfTrue="1" operator="lessThanOrEqual">
      <formula>3.5</formula>
    </cfRule>
    <cfRule type="cellIs" dxfId="3799" priority="9805" stopIfTrue="1" operator="greaterThanOrEqual">
      <formula>7.5</formula>
    </cfRule>
    <cfRule type="cellIs" dxfId="3798" priority="9806" stopIfTrue="1" operator="between">
      <formula>3.51</formula>
      <formula>7.49</formula>
    </cfRule>
  </conditionalFormatting>
  <conditionalFormatting sqref="AA2601">
    <cfRule type="cellIs" dxfId="3797" priority="9799" stopIfTrue="1" operator="lessThanOrEqual">
      <formula>3.5</formula>
    </cfRule>
    <cfRule type="cellIs" dxfId="3796" priority="9800" stopIfTrue="1" operator="greaterThanOrEqual">
      <formula>7.5</formula>
    </cfRule>
    <cfRule type="cellIs" dxfId="3795" priority="9801" stopIfTrue="1" operator="between">
      <formula>3.51</formula>
      <formula>7.49</formula>
    </cfRule>
  </conditionalFormatting>
  <conditionalFormatting sqref="AA2543">
    <cfRule type="cellIs" dxfId="3794" priority="9794" stopIfTrue="1" operator="lessThanOrEqual">
      <formula>3.5</formula>
    </cfRule>
    <cfRule type="cellIs" dxfId="3793" priority="9795" stopIfTrue="1" operator="greaterThanOrEqual">
      <formula>7.5</formula>
    </cfRule>
    <cfRule type="cellIs" dxfId="3792" priority="9796" stopIfTrue="1" operator="between">
      <formula>3.51</formula>
      <formula>7.49</formula>
    </cfRule>
  </conditionalFormatting>
  <conditionalFormatting sqref="AA3122">
    <cfRule type="cellIs" dxfId="3791" priority="9789" stopIfTrue="1" operator="lessThanOrEqual">
      <formula>3.5</formula>
    </cfRule>
    <cfRule type="cellIs" dxfId="3790" priority="9790" stopIfTrue="1" operator="greaterThanOrEqual">
      <formula>7.5</formula>
    </cfRule>
    <cfRule type="cellIs" dxfId="3789" priority="9791" stopIfTrue="1" operator="between">
      <formula>3.51</formula>
      <formula>7.49</formula>
    </cfRule>
  </conditionalFormatting>
  <conditionalFormatting sqref="AA3167">
    <cfRule type="cellIs" dxfId="3788" priority="9784" stopIfTrue="1" operator="lessThanOrEqual">
      <formula>3.5</formula>
    </cfRule>
    <cfRule type="cellIs" dxfId="3787" priority="9785" stopIfTrue="1" operator="greaterThanOrEqual">
      <formula>7.5</formula>
    </cfRule>
    <cfRule type="cellIs" dxfId="3786" priority="9786" stopIfTrue="1" operator="between">
      <formula>3.51</formula>
      <formula>7.49</formula>
    </cfRule>
  </conditionalFormatting>
  <conditionalFormatting sqref="AA3126">
    <cfRule type="cellIs" dxfId="3785" priority="9779" stopIfTrue="1" operator="lessThanOrEqual">
      <formula>3.5</formula>
    </cfRule>
    <cfRule type="cellIs" dxfId="3784" priority="9780" stopIfTrue="1" operator="greaterThanOrEqual">
      <formula>7.5</formula>
    </cfRule>
    <cfRule type="cellIs" dxfId="3783" priority="9781" stopIfTrue="1" operator="between">
      <formula>3.51</formula>
      <formula>7.49</formula>
    </cfRule>
  </conditionalFormatting>
  <conditionalFormatting sqref="AA3123">
    <cfRule type="cellIs" dxfId="3782" priority="9774" stopIfTrue="1" operator="lessThanOrEqual">
      <formula>3.5</formula>
    </cfRule>
    <cfRule type="cellIs" dxfId="3781" priority="9775" stopIfTrue="1" operator="greaterThanOrEqual">
      <formula>7.5</formula>
    </cfRule>
    <cfRule type="cellIs" dxfId="3780" priority="9776" stopIfTrue="1" operator="between">
      <formula>3.51</formula>
      <formula>7.49</formula>
    </cfRule>
  </conditionalFormatting>
  <conditionalFormatting sqref="AA1838">
    <cfRule type="cellIs" dxfId="3779" priority="9769" stopIfTrue="1" operator="lessThanOrEqual">
      <formula>3.5</formula>
    </cfRule>
    <cfRule type="cellIs" dxfId="3778" priority="9770" stopIfTrue="1" operator="greaterThanOrEqual">
      <formula>7.5</formula>
    </cfRule>
    <cfRule type="cellIs" dxfId="3777" priority="9771" stopIfTrue="1" operator="between">
      <formula>3.51</formula>
      <formula>7.49</formula>
    </cfRule>
  </conditionalFormatting>
  <conditionalFormatting sqref="AA3429">
    <cfRule type="cellIs" dxfId="3776" priority="9762" stopIfTrue="1" operator="lessThanOrEqual">
      <formula>3.5</formula>
    </cfRule>
    <cfRule type="cellIs" dxfId="3775" priority="9763" stopIfTrue="1" operator="greaterThanOrEqual">
      <formula>7.5</formula>
    </cfRule>
    <cfRule type="cellIs" dxfId="3774" priority="9764" stopIfTrue="1" operator="between">
      <formula>3.51</formula>
      <formula>7.49</formula>
    </cfRule>
  </conditionalFormatting>
  <conditionalFormatting sqref="AA1100">
    <cfRule type="cellIs" dxfId="3773" priority="9752" stopIfTrue="1" operator="lessThanOrEqual">
      <formula>3.5</formula>
    </cfRule>
    <cfRule type="cellIs" dxfId="3772" priority="9753" stopIfTrue="1" operator="greaterThanOrEqual">
      <formula>7.5</formula>
    </cfRule>
    <cfRule type="cellIs" dxfId="3771" priority="9754" stopIfTrue="1" operator="between">
      <formula>3.51</formula>
      <formula>7.49</formula>
    </cfRule>
  </conditionalFormatting>
  <conditionalFormatting sqref="AA1099">
    <cfRule type="cellIs" dxfId="3770" priority="9742" stopIfTrue="1" operator="lessThanOrEqual">
      <formula>3.5</formula>
    </cfRule>
    <cfRule type="cellIs" dxfId="3769" priority="9743" stopIfTrue="1" operator="greaterThanOrEqual">
      <formula>7.5</formula>
    </cfRule>
    <cfRule type="cellIs" dxfId="3768" priority="9744" stopIfTrue="1" operator="between">
      <formula>3.51</formula>
      <formula>7.49</formula>
    </cfRule>
  </conditionalFormatting>
  <conditionalFormatting sqref="AA366">
    <cfRule type="cellIs" dxfId="3767" priority="9732" stopIfTrue="1" operator="lessThanOrEqual">
      <formula>3.5</formula>
    </cfRule>
    <cfRule type="cellIs" dxfId="3766" priority="9733" stopIfTrue="1" operator="greaterThanOrEqual">
      <formula>7.5</formula>
    </cfRule>
    <cfRule type="cellIs" dxfId="3765" priority="9734" stopIfTrue="1" operator="between">
      <formula>3.51</formula>
      <formula>7.49</formula>
    </cfRule>
  </conditionalFormatting>
  <conditionalFormatting sqref="AA1093">
    <cfRule type="cellIs" dxfId="3764" priority="9722" stopIfTrue="1" operator="lessThanOrEqual">
      <formula>3.5</formula>
    </cfRule>
    <cfRule type="cellIs" dxfId="3763" priority="9723" stopIfTrue="1" operator="greaterThanOrEqual">
      <formula>7.5</formula>
    </cfRule>
    <cfRule type="cellIs" dxfId="3762" priority="9724" stopIfTrue="1" operator="between">
      <formula>3.51</formula>
      <formula>7.49</formula>
    </cfRule>
  </conditionalFormatting>
  <conditionalFormatting sqref="AA1092">
    <cfRule type="cellIs" dxfId="3761" priority="9712" stopIfTrue="1" operator="lessThanOrEqual">
      <formula>3.5</formula>
    </cfRule>
    <cfRule type="cellIs" dxfId="3760" priority="9713" stopIfTrue="1" operator="greaterThanOrEqual">
      <formula>7.5</formula>
    </cfRule>
    <cfRule type="cellIs" dxfId="3759" priority="9714" stopIfTrue="1" operator="between">
      <formula>3.51</formula>
      <formula>7.49</formula>
    </cfRule>
  </conditionalFormatting>
  <conditionalFormatting sqref="AA1091">
    <cfRule type="cellIs" dxfId="3758" priority="9702" stopIfTrue="1" operator="lessThanOrEqual">
      <formula>3.5</formula>
    </cfRule>
    <cfRule type="cellIs" dxfId="3757" priority="9703" stopIfTrue="1" operator="greaterThanOrEqual">
      <formula>7.5</formula>
    </cfRule>
    <cfRule type="cellIs" dxfId="3756" priority="9704" stopIfTrue="1" operator="between">
      <formula>3.51</formula>
      <formula>7.49</formula>
    </cfRule>
  </conditionalFormatting>
  <conditionalFormatting sqref="AA1090">
    <cfRule type="cellIs" dxfId="3755" priority="9692" stopIfTrue="1" operator="lessThanOrEqual">
      <formula>3.5</formula>
    </cfRule>
    <cfRule type="cellIs" dxfId="3754" priority="9693" stopIfTrue="1" operator="greaterThanOrEqual">
      <formula>7.5</formula>
    </cfRule>
    <cfRule type="cellIs" dxfId="3753" priority="9694" stopIfTrue="1" operator="between">
      <formula>3.51</formula>
      <formula>7.49</formula>
    </cfRule>
  </conditionalFormatting>
  <conditionalFormatting sqref="AA1089">
    <cfRule type="cellIs" dxfId="3752" priority="9682" stopIfTrue="1" operator="lessThanOrEqual">
      <formula>3.5</formula>
    </cfRule>
    <cfRule type="cellIs" dxfId="3751" priority="9683" stopIfTrue="1" operator="greaterThanOrEqual">
      <formula>7.5</formula>
    </cfRule>
    <cfRule type="cellIs" dxfId="3750" priority="9684" stopIfTrue="1" operator="between">
      <formula>3.51</formula>
      <formula>7.49</formula>
    </cfRule>
  </conditionalFormatting>
  <conditionalFormatting sqref="AA1088">
    <cfRule type="cellIs" dxfId="3749" priority="9672" stopIfTrue="1" operator="lessThanOrEqual">
      <formula>3.5</formula>
    </cfRule>
    <cfRule type="cellIs" dxfId="3748" priority="9673" stopIfTrue="1" operator="greaterThanOrEqual">
      <formula>7.5</formula>
    </cfRule>
    <cfRule type="cellIs" dxfId="3747" priority="9674" stopIfTrue="1" operator="between">
      <formula>3.51</formula>
      <formula>7.49</formula>
    </cfRule>
  </conditionalFormatting>
  <conditionalFormatting sqref="AA1102">
    <cfRule type="cellIs" dxfId="3746" priority="9642" stopIfTrue="1" operator="lessThanOrEqual">
      <formula>3.5</formula>
    </cfRule>
    <cfRule type="cellIs" dxfId="3745" priority="9643" stopIfTrue="1" operator="greaterThanOrEqual">
      <formula>7.5</formula>
    </cfRule>
    <cfRule type="cellIs" dxfId="3744" priority="9644" stopIfTrue="1" operator="between">
      <formula>3.51</formula>
      <formula>7.49</formula>
    </cfRule>
  </conditionalFormatting>
  <conditionalFormatting sqref="AA1101">
    <cfRule type="cellIs" dxfId="3743" priority="9632" stopIfTrue="1" operator="lessThanOrEqual">
      <formula>3.5</formula>
    </cfRule>
    <cfRule type="cellIs" dxfId="3742" priority="9633" stopIfTrue="1" operator="greaterThanOrEqual">
      <formula>7.5</formula>
    </cfRule>
    <cfRule type="cellIs" dxfId="3741" priority="9634" stopIfTrue="1" operator="between">
      <formula>3.51</formula>
      <formula>7.49</formula>
    </cfRule>
  </conditionalFormatting>
  <conditionalFormatting sqref="AA1114">
    <cfRule type="cellIs" dxfId="3740" priority="9622" stopIfTrue="1" operator="lessThanOrEqual">
      <formula>3.5</formula>
    </cfRule>
    <cfRule type="cellIs" dxfId="3739" priority="9623" stopIfTrue="1" operator="greaterThanOrEqual">
      <formula>7.5</formula>
    </cfRule>
    <cfRule type="cellIs" dxfId="3738" priority="9624" stopIfTrue="1" operator="between">
      <formula>3.51</formula>
      <formula>7.49</formula>
    </cfRule>
  </conditionalFormatting>
  <conditionalFormatting sqref="AA632">
    <cfRule type="cellIs" dxfId="3737" priority="9612" stopIfTrue="1" operator="lessThanOrEqual">
      <formula>3.5</formula>
    </cfRule>
    <cfRule type="cellIs" dxfId="3736" priority="9613" stopIfTrue="1" operator="greaterThanOrEqual">
      <formula>7.5</formula>
    </cfRule>
    <cfRule type="cellIs" dxfId="3735" priority="9614" stopIfTrue="1" operator="between">
      <formula>3.51</formula>
      <formula>7.49</formula>
    </cfRule>
  </conditionalFormatting>
  <conditionalFormatting sqref="AA1113">
    <cfRule type="cellIs" dxfId="3734" priority="9602" stopIfTrue="1" operator="lessThanOrEqual">
      <formula>3.5</formula>
    </cfRule>
    <cfRule type="cellIs" dxfId="3733" priority="9603" stopIfTrue="1" operator="greaterThanOrEqual">
      <formula>7.5</formula>
    </cfRule>
    <cfRule type="cellIs" dxfId="3732" priority="9604" stopIfTrue="1" operator="between">
      <formula>3.51</formula>
      <formula>7.49</formula>
    </cfRule>
  </conditionalFormatting>
  <conditionalFormatting sqref="AA642">
    <cfRule type="cellIs" dxfId="3731" priority="9592" stopIfTrue="1" operator="lessThanOrEqual">
      <formula>3.5</formula>
    </cfRule>
    <cfRule type="cellIs" dxfId="3730" priority="9593" stopIfTrue="1" operator="greaterThanOrEqual">
      <formula>7.5</formula>
    </cfRule>
    <cfRule type="cellIs" dxfId="3729" priority="9594" stopIfTrue="1" operator="between">
      <formula>3.51</formula>
      <formula>7.49</formula>
    </cfRule>
  </conditionalFormatting>
  <conditionalFormatting sqref="AA1112">
    <cfRule type="cellIs" dxfId="3728" priority="9582" stopIfTrue="1" operator="lessThanOrEqual">
      <formula>3.5</formula>
    </cfRule>
    <cfRule type="cellIs" dxfId="3727" priority="9583" stopIfTrue="1" operator="greaterThanOrEqual">
      <formula>7.5</formula>
    </cfRule>
    <cfRule type="cellIs" dxfId="3726" priority="9584" stopIfTrue="1" operator="between">
      <formula>3.51</formula>
      <formula>7.49</formula>
    </cfRule>
  </conditionalFormatting>
  <conditionalFormatting sqref="AA1111">
    <cfRule type="cellIs" dxfId="3725" priority="9562" stopIfTrue="1" operator="lessThanOrEqual">
      <formula>3.5</formula>
    </cfRule>
    <cfRule type="cellIs" dxfId="3724" priority="9563" stopIfTrue="1" operator="greaterThanOrEqual">
      <formula>7.5</formula>
    </cfRule>
    <cfRule type="cellIs" dxfId="3723" priority="9564" stopIfTrue="1" operator="between">
      <formula>3.51</formula>
      <formula>7.49</formula>
    </cfRule>
  </conditionalFormatting>
  <conditionalFormatting sqref="AA1110">
    <cfRule type="cellIs" dxfId="3722" priority="9542" stopIfTrue="1" operator="lessThanOrEqual">
      <formula>3.5</formula>
    </cfRule>
    <cfRule type="cellIs" dxfId="3721" priority="9543" stopIfTrue="1" operator="greaterThanOrEqual">
      <formula>7.5</formula>
    </cfRule>
    <cfRule type="cellIs" dxfId="3720" priority="9544" stopIfTrue="1" operator="between">
      <formula>3.51</formula>
      <formula>7.49</formula>
    </cfRule>
  </conditionalFormatting>
  <conditionalFormatting sqref="AA1109">
    <cfRule type="cellIs" dxfId="3719" priority="9532" stopIfTrue="1" operator="lessThanOrEqual">
      <formula>3.5</formula>
    </cfRule>
    <cfRule type="cellIs" dxfId="3718" priority="9533" stopIfTrue="1" operator="greaterThanOrEqual">
      <formula>7.5</formula>
    </cfRule>
    <cfRule type="cellIs" dxfId="3717" priority="9534" stopIfTrue="1" operator="between">
      <formula>3.51</formula>
      <formula>7.49</formula>
    </cfRule>
  </conditionalFormatting>
  <conditionalFormatting sqref="AA1108">
    <cfRule type="cellIs" dxfId="3716" priority="9522" stopIfTrue="1" operator="lessThanOrEqual">
      <formula>3.5</formula>
    </cfRule>
    <cfRule type="cellIs" dxfId="3715" priority="9523" stopIfTrue="1" operator="greaterThanOrEqual">
      <formula>7.5</formula>
    </cfRule>
    <cfRule type="cellIs" dxfId="3714" priority="9524" stopIfTrue="1" operator="between">
      <formula>3.51</formula>
      <formula>7.49</formula>
    </cfRule>
  </conditionalFormatting>
  <conditionalFormatting sqref="AA1358">
    <cfRule type="cellIs" dxfId="3713" priority="9512" stopIfTrue="1" operator="lessThanOrEqual">
      <formula>3.5</formula>
    </cfRule>
    <cfRule type="cellIs" dxfId="3712" priority="9513" stopIfTrue="1" operator="greaterThanOrEqual">
      <formula>7.5</formula>
    </cfRule>
    <cfRule type="cellIs" dxfId="3711" priority="9514" stopIfTrue="1" operator="between">
      <formula>3.51</formula>
      <formula>7.49</formula>
    </cfRule>
  </conditionalFormatting>
  <conditionalFormatting sqref="AA1357">
    <cfRule type="cellIs" dxfId="3710" priority="9502" stopIfTrue="1" operator="lessThanOrEqual">
      <formula>3.5</formula>
    </cfRule>
    <cfRule type="cellIs" dxfId="3709" priority="9503" stopIfTrue="1" operator="greaterThanOrEqual">
      <formula>7.5</formula>
    </cfRule>
    <cfRule type="cellIs" dxfId="3708" priority="9504" stopIfTrue="1" operator="between">
      <formula>3.51</formula>
      <formula>7.49</formula>
    </cfRule>
  </conditionalFormatting>
  <conditionalFormatting sqref="AA1356">
    <cfRule type="cellIs" dxfId="3707" priority="9492" stopIfTrue="1" operator="lessThanOrEqual">
      <formula>3.5</formula>
    </cfRule>
    <cfRule type="cellIs" dxfId="3706" priority="9493" stopIfTrue="1" operator="greaterThanOrEqual">
      <formula>7.5</formula>
    </cfRule>
    <cfRule type="cellIs" dxfId="3705" priority="9494" stopIfTrue="1" operator="between">
      <formula>3.51</formula>
      <formula>7.49</formula>
    </cfRule>
  </conditionalFormatting>
  <conditionalFormatting sqref="AA1355">
    <cfRule type="cellIs" dxfId="3704" priority="9482" stopIfTrue="1" operator="lessThanOrEqual">
      <formula>3.5</formula>
    </cfRule>
    <cfRule type="cellIs" dxfId="3703" priority="9483" stopIfTrue="1" operator="greaterThanOrEqual">
      <formula>7.5</formula>
    </cfRule>
    <cfRule type="cellIs" dxfId="3702" priority="9484" stopIfTrue="1" operator="between">
      <formula>3.51</formula>
      <formula>7.49</formula>
    </cfRule>
  </conditionalFormatting>
  <conditionalFormatting sqref="AA1350">
    <cfRule type="cellIs" dxfId="3701" priority="9472" stopIfTrue="1" operator="lessThanOrEqual">
      <formula>3.5</formula>
    </cfRule>
    <cfRule type="cellIs" dxfId="3700" priority="9473" stopIfTrue="1" operator="greaterThanOrEqual">
      <formula>7.5</formula>
    </cfRule>
    <cfRule type="cellIs" dxfId="3699" priority="9474" stopIfTrue="1" operator="between">
      <formula>3.51</formula>
      <formula>7.49</formula>
    </cfRule>
  </conditionalFormatting>
  <conditionalFormatting sqref="AA1124">
    <cfRule type="cellIs" dxfId="3698" priority="9462" stopIfTrue="1" operator="lessThanOrEqual">
      <formula>3.5</formula>
    </cfRule>
    <cfRule type="cellIs" dxfId="3697" priority="9463" stopIfTrue="1" operator="greaterThanOrEqual">
      <formula>7.5</formula>
    </cfRule>
    <cfRule type="cellIs" dxfId="3696" priority="9464" stopIfTrue="1" operator="between">
      <formula>3.51</formula>
      <formula>7.49</formula>
    </cfRule>
  </conditionalFormatting>
  <conditionalFormatting sqref="AA1123">
    <cfRule type="cellIs" dxfId="3695" priority="9452" stopIfTrue="1" operator="lessThanOrEqual">
      <formula>3.5</formula>
    </cfRule>
    <cfRule type="cellIs" dxfId="3694" priority="9453" stopIfTrue="1" operator="greaterThanOrEqual">
      <formula>7.5</formula>
    </cfRule>
    <cfRule type="cellIs" dxfId="3693" priority="9454" stopIfTrue="1" operator="between">
      <formula>3.51</formula>
      <formula>7.49</formula>
    </cfRule>
  </conditionalFormatting>
  <conditionalFormatting sqref="AA1122">
    <cfRule type="cellIs" dxfId="3692" priority="9442" stopIfTrue="1" operator="lessThanOrEqual">
      <formula>3.5</formula>
    </cfRule>
    <cfRule type="cellIs" dxfId="3691" priority="9443" stopIfTrue="1" operator="greaterThanOrEqual">
      <formula>7.5</formula>
    </cfRule>
    <cfRule type="cellIs" dxfId="3690" priority="9444" stopIfTrue="1" operator="between">
      <formula>3.51</formula>
      <formula>7.49</formula>
    </cfRule>
  </conditionalFormatting>
  <conditionalFormatting sqref="AA494">
    <cfRule type="cellIs" dxfId="3689" priority="9432" stopIfTrue="1" operator="lessThanOrEqual">
      <formula>3.5</formula>
    </cfRule>
    <cfRule type="cellIs" dxfId="3688" priority="9433" stopIfTrue="1" operator="greaterThanOrEqual">
      <formula>7.5</formula>
    </cfRule>
    <cfRule type="cellIs" dxfId="3687" priority="9434" stopIfTrue="1" operator="between">
      <formula>3.51</formula>
      <formula>7.49</formula>
    </cfRule>
  </conditionalFormatting>
  <conditionalFormatting sqref="AA76">
    <cfRule type="cellIs" dxfId="3686" priority="9422" stopIfTrue="1" operator="lessThanOrEqual">
      <formula>3.5</formula>
    </cfRule>
    <cfRule type="cellIs" dxfId="3685" priority="9423" stopIfTrue="1" operator="greaterThanOrEqual">
      <formula>7.5</formula>
    </cfRule>
    <cfRule type="cellIs" dxfId="3684" priority="9424" stopIfTrue="1" operator="between">
      <formula>3.51</formula>
      <formula>7.49</formula>
    </cfRule>
  </conditionalFormatting>
  <conditionalFormatting sqref="AA1121">
    <cfRule type="cellIs" dxfId="3683" priority="9412" stopIfTrue="1" operator="lessThanOrEqual">
      <formula>3.5</formula>
    </cfRule>
    <cfRule type="cellIs" dxfId="3682" priority="9413" stopIfTrue="1" operator="greaterThanOrEqual">
      <formula>7.5</formula>
    </cfRule>
    <cfRule type="cellIs" dxfId="3681" priority="9414" stopIfTrue="1" operator="between">
      <formula>3.51</formula>
      <formula>7.49</formula>
    </cfRule>
  </conditionalFormatting>
  <conditionalFormatting sqref="AA1120">
    <cfRule type="cellIs" dxfId="3680" priority="9402" stopIfTrue="1" operator="lessThanOrEqual">
      <formula>3.5</formula>
    </cfRule>
    <cfRule type="cellIs" dxfId="3679" priority="9403" stopIfTrue="1" operator="greaterThanOrEqual">
      <formula>7.5</formula>
    </cfRule>
    <cfRule type="cellIs" dxfId="3678" priority="9404" stopIfTrue="1" operator="between">
      <formula>3.51</formula>
      <formula>7.49</formula>
    </cfRule>
  </conditionalFormatting>
  <conditionalFormatting sqref="AA1119">
    <cfRule type="cellIs" dxfId="3677" priority="9392" stopIfTrue="1" operator="lessThanOrEqual">
      <formula>3.5</formula>
    </cfRule>
    <cfRule type="cellIs" dxfId="3676" priority="9393" stopIfTrue="1" operator="greaterThanOrEqual">
      <formula>7.5</formula>
    </cfRule>
    <cfRule type="cellIs" dxfId="3675" priority="9394" stopIfTrue="1" operator="between">
      <formula>3.51</formula>
      <formula>7.49</formula>
    </cfRule>
  </conditionalFormatting>
  <conditionalFormatting sqref="AA1118">
    <cfRule type="cellIs" dxfId="3674" priority="9382" stopIfTrue="1" operator="lessThanOrEqual">
      <formula>3.5</formula>
    </cfRule>
    <cfRule type="cellIs" dxfId="3673" priority="9383" stopIfTrue="1" operator="greaterThanOrEqual">
      <formula>7.5</formula>
    </cfRule>
    <cfRule type="cellIs" dxfId="3672" priority="9384" stopIfTrue="1" operator="between">
      <formula>3.51</formula>
      <formula>7.49</formula>
    </cfRule>
  </conditionalFormatting>
  <conditionalFormatting sqref="AA1117">
    <cfRule type="cellIs" dxfId="3671" priority="9372" stopIfTrue="1" operator="lessThanOrEqual">
      <formula>3.5</formula>
    </cfRule>
    <cfRule type="cellIs" dxfId="3670" priority="9373" stopIfTrue="1" operator="greaterThanOrEqual">
      <formula>7.5</formula>
    </cfRule>
    <cfRule type="cellIs" dxfId="3669" priority="9374" stopIfTrue="1" operator="between">
      <formula>3.51</formula>
      <formula>7.49</formula>
    </cfRule>
  </conditionalFormatting>
  <conditionalFormatting sqref="AA1116">
    <cfRule type="cellIs" dxfId="3668" priority="9362" stopIfTrue="1" operator="lessThanOrEqual">
      <formula>3.5</formula>
    </cfRule>
    <cfRule type="cellIs" dxfId="3667" priority="9363" stopIfTrue="1" operator="greaterThanOrEqual">
      <formula>7.5</formula>
    </cfRule>
    <cfRule type="cellIs" dxfId="3666" priority="9364" stopIfTrue="1" operator="between">
      <formula>3.51</formula>
      <formula>7.49</formula>
    </cfRule>
  </conditionalFormatting>
  <conditionalFormatting sqref="AA1115">
    <cfRule type="cellIs" dxfId="3665" priority="9352" stopIfTrue="1" operator="lessThanOrEqual">
      <formula>3.5</formula>
    </cfRule>
    <cfRule type="cellIs" dxfId="3664" priority="9353" stopIfTrue="1" operator="greaterThanOrEqual">
      <formula>7.5</formula>
    </cfRule>
    <cfRule type="cellIs" dxfId="3663" priority="9354" stopIfTrue="1" operator="between">
      <formula>3.51</formula>
      <formula>7.49</formula>
    </cfRule>
  </conditionalFormatting>
  <conditionalFormatting sqref="AA1370">
    <cfRule type="cellIs" dxfId="3662" priority="9342" stopIfTrue="1" operator="lessThanOrEqual">
      <formula>3.5</formula>
    </cfRule>
    <cfRule type="cellIs" dxfId="3661" priority="9343" stopIfTrue="1" operator="greaterThanOrEqual">
      <formula>7.5</formula>
    </cfRule>
    <cfRule type="cellIs" dxfId="3660" priority="9344" stopIfTrue="1" operator="between">
      <formula>3.51</formula>
      <formula>7.49</formula>
    </cfRule>
  </conditionalFormatting>
  <conditionalFormatting sqref="AA1369">
    <cfRule type="cellIs" dxfId="3659" priority="9332" stopIfTrue="1" operator="lessThanOrEqual">
      <formula>3.5</formula>
    </cfRule>
    <cfRule type="cellIs" dxfId="3658" priority="9333" stopIfTrue="1" operator="greaterThanOrEqual">
      <formula>7.5</formula>
    </cfRule>
    <cfRule type="cellIs" dxfId="3657" priority="9334" stopIfTrue="1" operator="between">
      <formula>3.51</formula>
      <formula>7.49</formula>
    </cfRule>
  </conditionalFormatting>
  <conditionalFormatting sqref="AA1368">
    <cfRule type="cellIs" dxfId="3656" priority="9322" stopIfTrue="1" operator="lessThanOrEqual">
      <formula>3.5</formula>
    </cfRule>
    <cfRule type="cellIs" dxfId="3655" priority="9323" stopIfTrue="1" operator="greaterThanOrEqual">
      <formula>7.5</formula>
    </cfRule>
    <cfRule type="cellIs" dxfId="3654" priority="9324" stopIfTrue="1" operator="between">
      <formula>3.51</formula>
      <formula>7.49</formula>
    </cfRule>
  </conditionalFormatting>
  <conditionalFormatting sqref="AA1367">
    <cfRule type="cellIs" dxfId="3653" priority="9312" stopIfTrue="1" operator="lessThanOrEqual">
      <formula>3.5</formula>
    </cfRule>
    <cfRule type="cellIs" dxfId="3652" priority="9313" stopIfTrue="1" operator="greaterThanOrEqual">
      <formula>7.5</formula>
    </cfRule>
    <cfRule type="cellIs" dxfId="3651" priority="9314" stopIfTrue="1" operator="between">
      <formula>3.51</formula>
      <formula>7.49</formula>
    </cfRule>
  </conditionalFormatting>
  <conditionalFormatting sqref="AA1366">
    <cfRule type="cellIs" dxfId="3650" priority="9302" stopIfTrue="1" operator="lessThanOrEqual">
      <formula>3.5</formula>
    </cfRule>
    <cfRule type="cellIs" dxfId="3649" priority="9303" stopIfTrue="1" operator="greaterThanOrEqual">
      <formula>7.5</formula>
    </cfRule>
    <cfRule type="cellIs" dxfId="3648" priority="9304" stopIfTrue="1" operator="between">
      <formula>3.51</formula>
      <formula>7.49</formula>
    </cfRule>
  </conditionalFormatting>
  <conditionalFormatting sqref="AA1365">
    <cfRule type="cellIs" dxfId="3647" priority="9292" stopIfTrue="1" operator="lessThanOrEqual">
      <formula>3.5</formula>
    </cfRule>
    <cfRule type="cellIs" dxfId="3646" priority="9293" stopIfTrue="1" operator="greaterThanOrEqual">
      <formula>7.5</formula>
    </cfRule>
    <cfRule type="cellIs" dxfId="3645" priority="9294" stopIfTrue="1" operator="between">
      <formula>3.51</formula>
      <formula>7.49</formula>
    </cfRule>
  </conditionalFormatting>
  <conditionalFormatting sqref="AA1364">
    <cfRule type="cellIs" dxfId="3644" priority="9282" stopIfTrue="1" operator="lessThanOrEqual">
      <formula>3.5</formula>
    </cfRule>
    <cfRule type="cellIs" dxfId="3643" priority="9283" stopIfTrue="1" operator="greaterThanOrEqual">
      <formula>7.5</formula>
    </cfRule>
    <cfRule type="cellIs" dxfId="3642" priority="9284" stopIfTrue="1" operator="between">
      <formula>3.51</formula>
      <formula>7.49</formula>
    </cfRule>
  </conditionalFormatting>
  <conditionalFormatting sqref="AA1363">
    <cfRule type="cellIs" dxfId="3641" priority="9272" stopIfTrue="1" operator="lessThanOrEqual">
      <formula>3.5</formula>
    </cfRule>
    <cfRule type="cellIs" dxfId="3640" priority="9273" stopIfTrue="1" operator="greaterThanOrEqual">
      <formula>7.5</formula>
    </cfRule>
    <cfRule type="cellIs" dxfId="3639" priority="9274" stopIfTrue="1" operator="between">
      <formula>3.51</formula>
      <formula>7.49</formula>
    </cfRule>
  </conditionalFormatting>
  <conditionalFormatting sqref="AA1362">
    <cfRule type="cellIs" dxfId="3638" priority="9262" stopIfTrue="1" operator="lessThanOrEqual">
      <formula>3.5</formula>
    </cfRule>
    <cfRule type="cellIs" dxfId="3637" priority="9263" stopIfTrue="1" operator="greaterThanOrEqual">
      <formula>7.5</formula>
    </cfRule>
    <cfRule type="cellIs" dxfId="3636" priority="9264" stopIfTrue="1" operator="between">
      <formula>3.51</formula>
      <formula>7.49</formula>
    </cfRule>
  </conditionalFormatting>
  <conditionalFormatting sqref="AA1361">
    <cfRule type="cellIs" dxfId="3635" priority="9252" stopIfTrue="1" operator="lessThanOrEqual">
      <formula>3.5</formula>
    </cfRule>
    <cfRule type="cellIs" dxfId="3634" priority="9253" stopIfTrue="1" operator="greaterThanOrEqual">
      <formula>7.5</formula>
    </cfRule>
    <cfRule type="cellIs" dxfId="3633" priority="9254" stopIfTrue="1" operator="between">
      <formula>3.51</formula>
      <formula>7.49</formula>
    </cfRule>
  </conditionalFormatting>
  <conditionalFormatting sqref="AA418">
    <cfRule type="cellIs" dxfId="3632" priority="9242" stopIfTrue="1" operator="lessThanOrEqual">
      <formula>3.5</formula>
    </cfRule>
    <cfRule type="cellIs" dxfId="3631" priority="9243" stopIfTrue="1" operator="greaterThanOrEqual">
      <formula>7.5</formula>
    </cfRule>
    <cfRule type="cellIs" dxfId="3630" priority="9244" stopIfTrue="1" operator="between">
      <formula>3.51</formula>
      <formula>7.49</formula>
    </cfRule>
  </conditionalFormatting>
  <conditionalFormatting sqref="AA652">
    <cfRule type="cellIs" dxfId="3629" priority="9232" stopIfTrue="1" operator="lessThanOrEqual">
      <formula>3.5</formula>
    </cfRule>
    <cfRule type="cellIs" dxfId="3628" priority="9233" stopIfTrue="1" operator="greaterThanOrEqual">
      <formula>7.5</formula>
    </cfRule>
    <cfRule type="cellIs" dxfId="3627" priority="9234" stopIfTrue="1" operator="between">
      <formula>3.51</formula>
      <formula>7.49</formula>
    </cfRule>
  </conditionalFormatting>
  <conditionalFormatting sqref="AA1360">
    <cfRule type="cellIs" dxfId="3626" priority="9222" stopIfTrue="1" operator="lessThanOrEqual">
      <formula>3.5</formula>
    </cfRule>
    <cfRule type="cellIs" dxfId="3625" priority="9223" stopIfTrue="1" operator="greaterThanOrEqual">
      <formula>7.5</formula>
    </cfRule>
    <cfRule type="cellIs" dxfId="3624" priority="9224" stopIfTrue="1" operator="between">
      <formula>3.51</formula>
      <formula>7.49</formula>
    </cfRule>
  </conditionalFormatting>
  <conditionalFormatting sqref="AA1998">
    <cfRule type="cellIs" dxfId="3623" priority="9212" stopIfTrue="1" operator="lessThanOrEqual">
      <formula>3.5</formula>
    </cfRule>
    <cfRule type="cellIs" dxfId="3622" priority="9213" stopIfTrue="1" operator="greaterThanOrEqual">
      <formula>7.5</formula>
    </cfRule>
    <cfRule type="cellIs" dxfId="3621" priority="9214" stopIfTrue="1" operator="between">
      <formula>3.51</formula>
      <formula>7.49</formula>
    </cfRule>
  </conditionalFormatting>
  <conditionalFormatting sqref="AA1382">
    <cfRule type="cellIs" dxfId="3620" priority="9202" stopIfTrue="1" operator="lessThanOrEqual">
      <formula>3.5</formula>
    </cfRule>
    <cfRule type="cellIs" dxfId="3619" priority="9203" stopIfTrue="1" operator="greaterThanOrEqual">
      <formula>7.5</formula>
    </cfRule>
    <cfRule type="cellIs" dxfId="3618" priority="9204" stopIfTrue="1" operator="between">
      <formula>3.51</formula>
      <formula>7.49</formula>
    </cfRule>
  </conditionalFormatting>
  <conditionalFormatting sqref="AA1381">
    <cfRule type="cellIs" dxfId="3617" priority="9192" stopIfTrue="1" operator="lessThanOrEqual">
      <formula>3.5</formula>
    </cfRule>
    <cfRule type="cellIs" dxfId="3616" priority="9193" stopIfTrue="1" operator="greaterThanOrEqual">
      <formula>7.5</formula>
    </cfRule>
    <cfRule type="cellIs" dxfId="3615" priority="9194" stopIfTrue="1" operator="between">
      <formula>3.51</formula>
      <formula>7.49</formula>
    </cfRule>
  </conditionalFormatting>
  <conditionalFormatting sqref="AA1380">
    <cfRule type="cellIs" dxfId="3614" priority="9182" stopIfTrue="1" operator="lessThanOrEqual">
      <formula>3.5</formula>
    </cfRule>
    <cfRule type="cellIs" dxfId="3613" priority="9183" stopIfTrue="1" operator="greaterThanOrEqual">
      <formula>7.5</formula>
    </cfRule>
    <cfRule type="cellIs" dxfId="3612" priority="9184" stopIfTrue="1" operator="between">
      <formula>3.51</formula>
      <formula>7.49</formula>
    </cfRule>
  </conditionalFormatting>
  <conditionalFormatting sqref="AA1379">
    <cfRule type="cellIs" dxfId="3611" priority="9172" stopIfTrue="1" operator="lessThanOrEqual">
      <formula>3.5</formula>
    </cfRule>
    <cfRule type="cellIs" dxfId="3610" priority="9173" stopIfTrue="1" operator="greaterThanOrEqual">
      <formula>7.5</formula>
    </cfRule>
    <cfRule type="cellIs" dxfId="3609" priority="9174" stopIfTrue="1" operator="between">
      <formula>3.51</formula>
      <formula>7.49</formula>
    </cfRule>
  </conditionalFormatting>
  <conditionalFormatting sqref="AA1378">
    <cfRule type="cellIs" dxfId="3608" priority="9162" stopIfTrue="1" operator="lessThanOrEqual">
      <formula>3.5</formula>
    </cfRule>
    <cfRule type="cellIs" dxfId="3607" priority="9163" stopIfTrue="1" operator="greaterThanOrEqual">
      <formula>7.5</formula>
    </cfRule>
    <cfRule type="cellIs" dxfId="3606" priority="9164" stopIfTrue="1" operator="between">
      <formula>3.51</formula>
      <formula>7.49</formula>
    </cfRule>
  </conditionalFormatting>
  <conditionalFormatting sqref="AA1377">
    <cfRule type="cellIs" dxfId="3605" priority="9152" stopIfTrue="1" operator="lessThanOrEqual">
      <formula>3.5</formula>
    </cfRule>
    <cfRule type="cellIs" dxfId="3604" priority="9153" stopIfTrue="1" operator="greaterThanOrEqual">
      <formula>7.5</formula>
    </cfRule>
    <cfRule type="cellIs" dxfId="3603" priority="9154" stopIfTrue="1" operator="between">
      <formula>3.51</formula>
      <formula>7.49</formula>
    </cfRule>
  </conditionalFormatting>
  <conditionalFormatting sqref="AA1376">
    <cfRule type="cellIs" dxfId="3602" priority="9142" stopIfTrue="1" operator="lessThanOrEqual">
      <formula>3.5</formula>
    </cfRule>
    <cfRule type="cellIs" dxfId="3601" priority="9143" stopIfTrue="1" operator="greaterThanOrEqual">
      <formula>7.5</formula>
    </cfRule>
    <cfRule type="cellIs" dxfId="3600" priority="9144" stopIfTrue="1" operator="between">
      <formula>3.51</formula>
      <formula>7.49</formula>
    </cfRule>
  </conditionalFormatting>
  <conditionalFormatting sqref="AA1375">
    <cfRule type="cellIs" dxfId="3599" priority="9132" stopIfTrue="1" operator="lessThanOrEqual">
      <formula>3.5</formula>
    </cfRule>
    <cfRule type="cellIs" dxfId="3598" priority="9133" stopIfTrue="1" operator="greaterThanOrEqual">
      <formula>7.5</formula>
    </cfRule>
    <cfRule type="cellIs" dxfId="3597" priority="9134" stopIfTrue="1" operator="between">
      <formula>3.51</formula>
      <formula>7.49</formula>
    </cfRule>
  </conditionalFormatting>
  <conditionalFormatting sqref="AA1374">
    <cfRule type="cellIs" dxfId="3596" priority="9122" stopIfTrue="1" operator="lessThanOrEqual">
      <formula>3.5</formula>
    </cfRule>
    <cfRule type="cellIs" dxfId="3595" priority="9123" stopIfTrue="1" operator="greaterThanOrEqual">
      <formula>7.5</formula>
    </cfRule>
    <cfRule type="cellIs" dxfId="3594" priority="9124" stopIfTrue="1" operator="between">
      <formula>3.51</formula>
      <formula>7.49</formula>
    </cfRule>
  </conditionalFormatting>
  <conditionalFormatting sqref="AA1373">
    <cfRule type="cellIs" dxfId="3593" priority="9112" stopIfTrue="1" operator="lessThanOrEqual">
      <formula>3.5</formula>
    </cfRule>
    <cfRule type="cellIs" dxfId="3592" priority="9113" stopIfTrue="1" operator="greaterThanOrEqual">
      <formula>7.5</formula>
    </cfRule>
    <cfRule type="cellIs" dxfId="3591" priority="9114" stopIfTrue="1" operator="between">
      <formula>3.51</formula>
      <formula>7.49</formula>
    </cfRule>
  </conditionalFormatting>
  <conditionalFormatting sqref="AA1372">
    <cfRule type="cellIs" dxfId="3590" priority="9102" stopIfTrue="1" operator="lessThanOrEqual">
      <formula>3.5</formula>
    </cfRule>
    <cfRule type="cellIs" dxfId="3589" priority="9103" stopIfTrue="1" operator="greaterThanOrEqual">
      <formula>7.5</formula>
    </cfRule>
    <cfRule type="cellIs" dxfId="3588" priority="9104" stopIfTrue="1" operator="between">
      <formula>3.51</formula>
      <formula>7.49</formula>
    </cfRule>
  </conditionalFormatting>
  <conditionalFormatting sqref="AA1371">
    <cfRule type="cellIs" dxfId="3587" priority="9092" stopIfTrue="1" operator="lessThanOrEqual">
      <formula>3.5</formula>
    </cfRule>
    <cfRule type="cellIs" dxfId="3586" priority="9093" stopIfTrue="1" operator="greaterThanOrEqual">
      <formula>7.5</formula>
    </cfRule>
    <cfRule type="cellIs" dxfId="3585" priority="9094" stopIfTrue="1" operator="between">
      <formula>3.51</formula>
      <formula>7.49</formula>
    </cfRule>
  </conditionalFormatting>
  <conditionalFormatting sqref="AA2009">
    <cfRule type="cellIs" dxfId="3584" priority="9082" stopIfTrue="1" operator="lessThanOrEqual">
      <formula>3.5</formula>
    </cfRule>
    <cfRule type="cellIs" dxfId="3583" priority="9083" stopIfTrue="1" operator="greaterThanOrEqual">
      <formula>7.5</formula>
    </cfRule>
    <cfRule type="cellIs" dxfId="3582" priority="9084" stopIfTrue="1" operator="between">
      <formula>3.51</formula>
      <formula>7.49</formula>
    </cfRule>
  </conditionalFormatting>
  <conditionalFormatting sqref="AA2008">
    <cfRule type="cellIs" dxfId="3581" priority="9072" stopIfTrue="1" operator="lessThanOrEqual">
      <formula>3.5</formula>
    </cfRule>
    <cfRule type="cellIs" dxfId="3580" priority="9073" stopIfTrue="1" operator="greaterThanOrEqual">
      <formula>7.5</formula>
    </cfRule>
    <cfRule type="cellIs" dxfId="3579" priority="9074" stopIfTrue="1" operator="between">
      <formula>3.51</formula>
      <formula>7.49</formula>
    </cfRule>
  </conditionalFormatting>
  <conditionalFormatting sqref="AA2007">
    <cfRule type="cellIs" dxfId="3578" priority="9062" stopIfTrue="1" operator="lessThanOrEqual">
      <formula>3.5</formula>
    </cfRule>
    <cfRule type="cellIs" dxfId="3577" priority="9063" stopIfTrue="1" operator="greaterThanOrEqual">
      <formula>7.5</formula>
    </cfRule>
    <cfRule type="cellIs" dxfId="3576" priority="9064" stopIfTrue="1" operator="between">
      <formula>3.51</formula>
      <formula>7.49</formula>
    </cfRule>
  </conditionalFormatting>
  <conditionalFormatting sqref="AA2006">
    <cfRule type="cellIs" dxfId="3575" priority="9052" stopIfTrue="1" operator="lessThanOrEqual">
      <formula>3.5</formula>
    </cfRule>
    <cfRule type="cellIs" dxfId="3574" priority="9053" stopIfTrue="1" operator="greaterThanOrEqual">
      <formula>7.5</formula>
    </cfRule>
    <cfRule type="cellIs" dxfId="3573" priority="9054" stopIfTrue="1" operator="between">
      <formula>3.51</formula>
      <formula>7.49</formula>
    </cfRule>
  </conditionalFormatting>
  <conditionalFormatting sqref="AA2005">
    <cfRule type="cellIs" dxfId="3572" priority="9042" stopIfTrue="1" operator="lessThanOrEqual">
      <formula>3.5</formula>
    </cfRule>
    <cfRule type="cellIs" dxfId="3571" priority="9043" stopIfTrue="1" operator="greaterThanOrEqual">
      <formula>7.5</formula>
    </cfRule>
    <cfRule type="cellIs" dxfId="3570" priority="9044" stopIfTrue="1" operator="between">
      <formula>3.51</formula>
      <formula>7.49</formula>
    </cfRule>
  </conditionalFormatting>
  <conditionalFormatting sqref="AA2004">
    <cfRule type="cellIs" dxfId="3569" priority="9032" stopIfTrue="1" operator="lessThanOrEqual">
      <formula>3.5</formula>
    </cfRule>
    <cfRule type="cellIs" dxfId="3568" priority="9033" stopIfTrue="1" operator="greaterThanOrEqual">
      <formula>7.5</formula>
    </cfRule>
    <cfRule type="cellIs" dxfId="3567" priority="9034" stopIfTrue="1" operator="between">
      <formula>3.51</formula>
      <formula>7.49</formula>
    </cfRule>
  </conditionalFormatting>
  <conditionalFormatting sqref="AA2000">
    <cfRule type="cellIs" dxfId="3566" priority="9022" stopIfTrue="1" operator="lessThanOrEqual">
      <formula>3.5</formula>
    </cfRule>
    <cfRule type="cellIs" dxfId="3565" priority="9023" stopIfTrue="1" operator="greaterThanOrEqual">
      <formula>7.5</formula>
    </cfRule>
    <cfRule type="cellIs" dxfId="3564" priority="9024" stopIfTrue="1" operator="between">
      <formula>3.51</formula>
      <formula>7.49</formula>
    </cfRule>
  </conditionalFormatting>
  <conditionalFormatting sqref="AA1999">
    <cfRule type="cellIs" dxfId="3563" priority="9012" stopIfTrue="1" operator="lessThanOrEqual">
      <formula>3.5</formula>
    </cfRule>
    <cfRule type="cellIs" dxfId="3562" priority="9013" stopIfTrue="1" operator="greaterThanOrEqual">
      <formula>7.5</formula>
    </cfRule>
    <cfRule type="cellIs" dxfId="3561" priority="9014" stopIfTrue="1" operator="between">
      <formula>3.51</formula>
      <formula>7.49</formula>
    </cfRule>
  </conditionalFormatting>
  <conditionalFormatting sqref="AA3395">
    <cfRule type="cellIs" dxfId="3560" priority="9002" stopIfTrue="1" operator="lessThanOrEqual">
      <formula>3.5</formula>
    </cfRule>
    <cfRule type="cellIs" dxfId="3559" priority="9003" stopIfTrue="1" operator="greaterThanOrEqual">
      <formula>7.5</formula>
    </cfRule>
    <cfRule type="cellIs" dxfId="3558" priority="9004" stopIfTrue="1" operator="between">
      <formula>3.51</formula>
      <formula>7.49</formula>
    </cfRule>
  </conditionalFormatting>
  <conditionalFormatting sqref="AA3342">
    <cfRule type="cellIs" dxfId="3557" priority="8982" stopIfTrue="1" operator="lessThanOrEqual">
      <formula>3.5</formula>
    </cfRule>
    <cfRule type="cellIs" dxfId="3556" priority="8983" stopIfTrue="1" operator="greaterThanOrEqual">
      <formula>7.5</formula>
    </cfRule>
    <cfRule type="cellIs" dxfId="3555" priority="8984" stopIfTrue="1" operator="between">
      <formula>3.51</formula>
      <formula>7.49</formula>
    </cfRule>
  </conditionalFormatting>
  <conditionalFormatting sqref="AA2540">
    <cfRule type="cellIs" dxfId="3554" priority="8972" stopIfTrue="1" operator="lessThanOrEqual">
      <formula>3.5</formula>
    </cfRule>
    <cfRule type="cellIs" dxfId="3553" priority="8973" stopIfTrue="1" operator="greaterThanOrEqual">
      <formula>7.5</formula>
    </cfRule>
    <cfRule type="cellIs" dxfId="3552" priority="8974" stopIfTrue="1" operator="between">
      <formula>3.51</formula>
      <formula>7.49</formula>
    </cfRule>
  </conditionalFormatting>
  <conditionalFormatting sqref="AA3339">
    <cfRule type="cellIs" dxfId="3551" priority="8962" stopIfTrue="1" operator="lessThanOrEqual">
      <formula>3.5</formula>
    </cfRule>
    <cfRule type="cellIs" dxfId="3550" priority="8963" stopIfTrue="1" operator="greaterThanOrEqual">
      <formula>7.5</formula>
    </cfRule>
    <cfRule type="cellIs" dxfId="3549" priority="8964" stopIfTrue="1" operator="between">
      <formula>3.51</formula>
      <formula>7.49</formula>
    </cfRule>
  </conditionalFormatting>
  <conditionalFormatting sqref="AA3333">
    <cfRule type="cellIs" dxfId="3548" priority="8952" stopIfTrue="1" operator="lessThanOrEqual">
      <formula>3.5</formula>
    </cfRule>
    <cfRule type="cellIs" dxfId="3547" priority="8953" stopIfTrue="1" operator="greaterThanOrEqual">
      <formula>7.5</formula>
    </cfRule>
    <cfRule type="cellIs" dxfId="3546" priority="8954" stopIfTrue="1" operator="between">
      <formula>3.51</formula>
      <formula>7.49</formula>
    </cfRule>
  </conditionalFormatting>
  <conditionalFormatting sqref="AA3080">
    <cfRule type="cellIs" dxfId="3545" priority="8942" stopIfTrue="1" operator="lessThanOrEqual">
      <formula>3.5</formula>
    </cfRule>
    <cfRule type="cellIs" dxfId="3544" priority="8943" stopIfTrue="1" operator="greaterThanOrEqual">
      <formula>7.5</formula>
    </cfRule>
    <cfRule type="cellIs" dxfId="3543" priority="8944" stopIfTrue="1" operator="between">
      <formula>3.51</formula>
      <formula>7.49</formula>
    </cfRule>
  </conditionalFormatting>
  <conditionalFormatting sqref="AA3082">
    <cfRule type="cellIs" dxfId="3542" priority="8932" stopIfTrue="1" operator="lessThanOrEqual">
      <formula>3.5</formula>
    </cfRule>
    <cfRule type="cellIs" dxfId="3541" priority="8933" stopIfTrue="1" operator="greaterThanOrEqual">
      <formula>7.5</formula>
    </cfRule>
    <cfRule type="cellIs" dxfId="3540" priority="8934" stopIfTrue="1" operator="between">
      <formula>3.51</formula>
      <formula>7.49</formula>
    </cfRule>
  </conditionalFormatting>
  <conditionalFormatting sqref="AA3071">
    <cfRule type="cellIs" dxfId="3539" priority="8922" stopIfTrue="1" operator="lessThanOrEqual">
      <formula>3.5</formula>
    </cfRule>
    <cfRule type="cellIs" dxfId="3538" priority="8923" stopIfTrue="1" operator="greaterThanOrEqual">
      <formula>7.5</formula>
    </cfRule>
    <cfRule type="cellIs" dxfId="3537" priority="8924" stopIfTrue="1" operator="between">
      <formula>3.51</formula>
      <formula>7.49</formula>
    </cfRule>
  </conditionalFormatting>
  <conditionalFormatting sqref="AA3100">
    <cfRule type="cellIs" dxfId="3536" priority="8912" stopIfTrue="1" operator="lessThanOrEqual">
      <formula>3.5</formula>
    </cfRule>
    <cfRule type="cellIs" dxfId="3535" priority="8913" stopIfTrue="1" operator="greaterThanOrEqual">
      <formula>7.5</formula>
    </cfRule>
    <cfRule type="cellIs" dxfId="3534" priority="8914" stopIfTrue="1" operator="between">
      <formula>3.51</formula>
      <formula>7.49</formula>
    </cfRule>
  </conditionalFormatting>
  <conditionalFormatting sqref="AA3091">
    <cfRule type="cellIs" dxfId="3533" priority="8902" stopIfTrue="1" operator="lessThanOrEqual">
      <formula>3.5</formula>
    </cfRule>
    <cfRule type="cellIs" dxfId="3532" priority="8903" stopIfTrue="1" operator="greaterThanOrEqual">
      <formula>7.5</formula>
    </cfRule>
    <cfRule type="cellIs" dxfId="3531" priority="8904" stopIfTrue="1" operator="between">
      <formula>3.51</formula>
      <formula>7.49</formula>
    </cfRule>
  </conditionalFormatting>
  <conditionalFormatting sqref="AA3067">
    <cfRule type="cellIs" dxfId="3530" priority="8892" stopIfTrue="1" operator="lessThanOrEqual">
      <formula>3.5</formula>
    </cfRule>
    <cfRule type="cellIs" dxfId="3529" priority="8893" stopIfTrue="1" operator="greaterThanOrEqual">
      <formula>7.5</formula>
    </cfRule>
    <cfRule type="cellIs" dxfId="3528" priority="8894" stopIfTrue="1" operator="between">
      <formula>3.51</formula>
      <formula>7.49</formula>
    </cfRule>
  </conditionalFormatting>
  <conditionalFormatting sqref="AA3084">
    <cfRule type="cellIs" dxfId="3527" priority="8882" stopIfTrue="1" operator="lessThanOrEqual">
      <formula>3.5</formula>
    </cfRule>
    <cfRule type="cellIs" dxfId="3526" priority="8883" stopIfTrue="1" operator="greaterThanOrEqual">
      <formula>7.5</formula>
    </cfRule>
    <cfRule type="cellIs" dxfId="3525" priority="8884" stopIfTrue="1" operator="between">
      <formula>3.51</formula>
      <formula>7.49</formula>
    </cfRule>
  </conditionalFormatting>
  <conditionalFormatting sqref="AA2555">
    <cfRule type="cellIs" dxfId="3524" priority="8872" stopIfTrue="1" operator="lessThanOrEqual">
      <formula>3.5</formula>
    </cfRule>
    <cfRule type="cellIs" dxfId="3523" priority="8873" stopIfTrue="1" operator="greaterThanOrEqual">
      <formula>7.5</formula>
    </cfRule>
    <cfRule type="cellIs" dxfId="3522" priority="8874" stopIfTrue="1" operator="between">
      <formula>3.51</formula>
      <formula>7.49</formula>
    </cfRule>
  </conditionalFormatting>
  <conditionalFormatting sqref="AA3089">
    <cfRule type="cellIs" dxfId="3521" priority="8862" stopIfTrue="1" operator="lessThanOrEqual">
      <formula>3.5</formula>
    </cfRule>
    <cfRule type="cellIs" dxfId="3520" priority="8863" stopIfTrue="1" operator="greaterThanOrEqual">
      <formula>7.5</formula>
    </cfRule>
    <cfRule type="cellIs" dxfId="3519" priority="8864" stopIfTrue="1" operator="between">
      <formula>3.51</formula>
      <formula>7.49</formula>
    </cfRule>
  </conditionalFormatting>
  <conditionalFormatting sqref="AA3332">
    <cfRule type="cellIs" dxfId="3518" priority="8852" stopIfTrue="1" operator="lessThanOrEqual">
      <formula>3.5</formula>
    </cfRule>
    <cfRule type="cellIs" dxfId="3517" priority="8853" stopIfTrue="1" operator="greaterThanOrEqual">
      <formula>7.5</formula>
    </cfRule>
    <cfRule type="cellIs" dxfId="3516" priority="8854" stopIfTrue="1" operator="between">
      <formula>3.51</formula>
      <formula>7.49</formula>
    </cfRule>
  </conditionalFormatting>
  <conditionalFormatting sqref="AA3331">
    <cfRule type="cellIs" dxfId="3515" priority="8842" stopIfTrue="1" operator="lessThanOrEqual">
      <formula>3.5</formula>
    </cfRule>
    <cfRule type="cellIs" dxfId="3514" priority="8843" stopIfTrue="1" operator="greaterThanOrEqual">
      <formula>7.5</formula>
    </cfRule>
    <cfRule type="cellIs" dxfId="3513" priority="8844" stopIfTrue="1" operator="between">
      <formula>3.51</formula>
      <formula>7.49</formula>
    </cfRule>
  </conditionalFormatting>
  <conditionalFormatting sqref="AA3454">
    <cfRule type="cellIs" dxfId="3512" priority="8832" stopIfTrue="1" operator="lessThanOrEqual">
      <formula>3.5</formula>
    </cfRule>
    <cfRule type="cellIs" dxfId="3511" priority="8833" stopIfTrue="1" operator="greaterThanOrEqual">
      <formula>7.5</formula>
    </cfRule>
    <cfRule type="cellIs" dxfId="3510" priority="8834" stopIfTrue="1" operator="between">
      <formula>3.51</formula>
      <formula>7.49</formula>
    </cfRule>
  </conditionalFormatting>
  <conditionalFormatting sqref="AA3330">
    <cfRule type="cellIs" dxfId="3509" priority="8822" stopIfTrue="1" operator="lessThanOrEqual">
      <formula>3.5</formula>
    </cfRule>
    <cfRule type="cellIs" dxfId="3508" priority="8823" stopIfTrue="1" operator="greaterThanOrEqual">
      <formula>7.5</formula>
    </cfRule>
    <cfRule type="cellIs" dxfId="3507" priority="8824" stopIfTrue="1" operator="between">
      <formula>3.51</formula>
      <formula>7.49</formula>
    </cfRule>
  </conditionalFormatting>
  <conditionalFormatting sqref="AA3343">
    <cfRule type="cellIs" dxfId="3506" priority="8762" stopIfTrue="1" operator="lessThanOrEqual">
      <formula>3.5</formula>
    </cfRule>
    <cfRule type="cellIs" dxfId="3505" priority="8763" stopIfTrue="1" operator="greaterThanOrEqual">
      <formula>7.5</formula>
    </cfRule>
    <cfRule type="cellIs" dxfId="3504" priority="8764" stopIfTrue="1" operator="between">
      <formula>3.51</formula>
      <formula>7.49</formula>
    </cfRule>
  </conditionalFormatting>
  <conditionalFormatting sqref="AA2542">
    <cfRule type="cellIs" dxfId="3503" priority="8752" stopIfTrue="1" operator="lessThanOrEqual">
      <formula>3.5</formula>
    </cfRule>
    <cfRule type="cellIs" dxfId="3502" priority="8753" stopIfTrue="1" operator="greaterThanOrEqual">
      <formula>7.5</formula>
    </cfRule>
    <cfRule type="cellIs" dxfId="3501" priority="8754" stopIfTrue="1" operator="between">
      <formula>3.51</formula>
      <formula>7.49</formula>
    </cfRule>
  </conditionalFormatting>
  <conditionalFormatting sqref="AA3357">
    <cfRule type="cellIs" dxfId="3500" priority="8732" stopIfTrue="1" operator="lessThanOrEqual">
      <formula>3.5</formula>
    </cfRule>
    <cfRule type="cellIs" dxfId="3499" priority="8733" stopIfTrue="1" operator="greaterThanOrEqual">
      <formula>7.5</formula>
    </cfRule>
    <cfRule type="cellIs" dxfId="3498" priority="8734" stopIfTrue="1" operator="between">
      <formula>3.51</formula>
      <formula>7.49</formula>
    </cfRule>
  </conditionalFormatting>
  <conditionalFormatting sqref="AA3356">
    <cfRule type="cellIs" dxfId="3497" priority="8722" stopIfTrue="1" operator="lessThanOrEqual">
      <formula>3.5</formula>
    </cfRule>
    <cfRule type="cellIs" dxfId="3496" priority="8723" stopIfTrue="1" operator="greaterThanOrEqual">
      <formula>7.5</formula>
    </cfRule>
    <cfRule type="cellIs" dxfId="3495" priority="8724" stopIfTrue="1" operator="between">
      <formula>3.51</formula>
      <formula>7.49</formula>
    </cfRule>
  </conditionalFormatting>
  <conditionalFormatting sqref="AA3354">
    <cfRule type="cellIs" dxfId="3494" priority="8712" stopIfTrue="1" operator="lessThanOrEqual">
      <formula>3.5</formula>
    </cfRule>
    <cfRule type="cellIs" dxfId="3493" priority="8713" stopIfTrue="1" operator="greaterThanOrEqual">
      <formula>7.5</formula>
    </cfRule>
    <cfRule type="cellIs" dxfId="3492" priority="8714" stopIfTrue="1" operator="between">
      <formula>3.51</formula>
      <formula>7.49</formula>
    </cfRule>
  </conditionalFormatting>
  <conditionalFormatting sqref="AA3347">
    <cfRule type="cellIs" dxfId="3491" priority="8702" stopIfTrue="1" operator="lessThanOrEqual">
      <formula>3.5</formula>
    </cfRule>
    <cfRule type="cellIs" dxfId="3490" priority="8703" stopIfTrue="1" operator="greaterThanOrEqual">
      <formula>7.5</formula>
    </cfRule>
    <cfRule type="cellIs" dxfId="3489" priority="8704" stopIfTrue="1" operator="between">
      <formula>3.51</formula>
      <formula>7.49</formula>
    </cfRule>
  </conditionalFormatting>
  <conditionalFormatting sqref="AA3353">
    <cfRule type="cellIs" dxfId="3488" priority="8692" stopIfTrue="1" operator="lessThanOrEqual">
      <formula>3.5</formula>
    </cfRule>
    <cfRule type="cellIs" dxfId="3487" priority="8693" stopIfTrue="1" operator="greaterThanOrEqual">
      <formula>7.5</formula>
    </cfRule>
    <cfRule type="cellIs" dxfId="3486" priority="8694" stopIfTrue="1" operator="between">
      <formula>3.51</formula>
      <formula>7.49</formula>
    </cfRule>
  </conditionalFormatting>
  <conditionalFormatting sqref="AA3352">
    <cfRule type="cellIs" dxfId="3485" priority="8682" stopIfTrue="1" operator="lessThanOrEqual">
      <formula>3.5</formula>
    </cfRule>
    <cfRule type="cellIs" dxfId="3484" priority="8683" stopIfTrue="1" operator="greaterThanOrEqual">
      <formula>7.5</formula>
    </cfRule>
    <cfRule type="cellIs" dxfId="3483" priority="8684" stopIfTrue="1" operator="between">
      <formula>3.51</formula>
      <formula>7.49</formula>
    </cfRule>
  </conditionalFormatting>
  <conditionalFormatting sqref="AA3350">
    <cfRule type="cellIs" dxfId="3482" priority="8672" stopIfTrue="1" operator="lessThanOrEqual">
      <formula>3.5</formula>
    </cfRule>
    <cfRule type="cellIs" dxfId="3481" priority="8673" stopIfTrue="1" operator="greaterThanOrEqual">
      <formula>7.5</formula>
    </cfRule>
    <cfRule type="cellIs" dxfId="3480" priority="8674" stopIfTrue="1" operator="between">
      <formula>3.51</formula>
      <formula>7.49</formula>
    </cfRule>
  </conditionalFormatting>
  <conditionalFormatting sqref="AA3349">
    <cfRule type="cellIs" dxfId="3479" priority="8662" stopIfTrue="1" operator="lessThanOrEqual">
      <formula>3.5</formula>
    </cfRule>
    <cfRule type="cellIs" dxfId="3478" priority="8663" stopIfTrue="1" operator="greaterThanOrEqual">
      <formula>7.5</formula>
    </cfRule>
    <cfRule type="cellIs" dxfId="3477" priority="8664" stopIfTrue="1" operator="between">
      <formula>3.51</formula>
      <formula>7.49</formula>
    </cfRule>
  </conditionalFormatting>
  <conditionalFormatting sqref="AA3348">
    <cfRule type="cellIs" dxfId="3476" priority="8652" stopIfTrue="1" operator="lessThanOrEqual">
      <formula>3.5</formula>
    </cfRule>
    <cfRule type="cellIs" dxfId="3475" priority="8653" stopIfTrue="1" operator="greaterThanOrEqual">
      <formula>7.5</formula>
    </cfRule>
    <cfRule type="cellIs" dxfId="3474" priority="8654" stopIfTrue="1" operator="between">
      <formula>3.51</formula>
      <formula>7.49</formula>
    </cfRule>
  </conditionalFormatting>
  <conditionalFormatting sqref="AA3346">
    <cfRule type="cellIs" dxfId="3473" priority="8642" stopIfTrue="1" operator="lessThanOrEqual">
      <formula>3.5</formula>
    </cfRule>
    <cfRule type="cellIs" dxfId="3472" priority="8643" stopIfTrue="1" operator="greaterThanOrEqual">
      <formula>7.5</formula>
    </cfRule>
    <cfRule type="cellIs" dxfId="3471" priority="8644" stopIfTrue="1" operator="between">
      <formula>3.51</formula>
      <formula>7.49</formula>
    </cfRule>
  </conditionalFormatting>
  <conditionalFormatting sqref="AA3345">
    <cfRule type="cellIs" dxfId="3470" priority="8632" stopIfTrue="1" operator="lessThanOrEqual">
      <formula>3.5</formula>
    </cfRule>
    <cfRule type="cellIs" dxfId="3469" priority="8633" stopIfTrue="1" operator="greaterThanOrEqual">
      <formula>7.5</formula>
    </cfRule>
    <cfRule type="cellIs" dxfId="3468" priority="8634" stopIfTrue="1" operator="between">
      <formula>3.51</formula>
      <formula>7.49</formula>
    </cfRule>
  </conditionalFormatting>
  <conditionalFormatting sqref="AA3344">
    <cfRule type="cellIs" dxfId="3467" priority="8622" stopIfTrue="1" operator="lessThanOrEqual">
      <formula>3.5</formula>
    </cfRule>
    <cfRule type="cellIs" dxfId="3466" priority="8623" stopIfTrue="1" operator="greaterThanOrEqual">
      <formula>7.5</formula>
    </cfRule>
    <cfRule type="cellIs" dxfId="3465" priority="8624" stopIfTrue="1" operator="between">
      <formula>3.51</formula>
      <formula>7.49</formula>
    </cfRule>
  </conditionalFormatting>
  <conditionalFormatting sqref="AA3355">
    <cfRule type="cellIs" dxfId="3464" priority="8612" stopIfTrue="1" operator="lessThanOrEqual">
      <formula>3.5</formula>
    </cfRule>
    <cfRule type="cellIs" dxfId="3463" priority="8613" stopIfTrue="1" operator="greaterThanOrEqual">
      <formula>7.5</formula>
    </cfRule>
    <cfRule type="cellIs" dxfId="3462" priority="8614" stopIfTrue="1" operator="between">
      <formula>3.51</formula>
      <formula>7.49</formula>
    </cfRule>
  </conditionalFormatting>
  <conditionalFormatting sqref="AA2530">
    <cfRule type="cellIs" dxfId="3461" priority="8602" stopIfTrue="1" operator="lessThanOrEqual">
      <formula>3.5</formula>
    </cfRule>
    <cfRule type="cellIs" dxfId="3460" priority="8603" stopIfTrue="1" operator="greaterThanOrEqual">
      <formula>7.5</formula>
    </cfRule>
    <cfRule type="cellIs" dxfId="3459" priority="8604" stopIfTrue="1" operator="between">
      <formula>3.51</formula>
      <formula>7.49</formula>
    </cfRule>
  </conditionalFormatting>
  <conditionalFormatting sqref="AA2529">
    <cfRule type="cellIs" dxfId="3458" priority="8592" stopIfTrue="1" operator="lessThanOrEqual">
      <formula>3.5</formula>
    </cfRule>
    <cfRule type="cellIs" dxfId="3457" priority="8593" stopIfTrue="1" operator="greaterThanOrEqual">
      <formula>7.5</formula>
    </cfRule>
    <cfRule type="cellIs" dxfId="3456" priority="8594" stopIfTrue="1" operator="between">
      <formula>3.51</formula>
      <formula>7.49</formula>
    </cfRule>
  </conditionalFormatting>
  <conditionalFormatting sqref="AA2528">
    <cfRule type="cellIs" dxfId="3455" priority="8582" stopIfTrue="1" operator="lessThanOrEqual">
      <formula>3.5</formula>
    </cfRule>
    <cfRule type="cellIs" dxfId="3454" priority="8583" stopIfTrue="1" operator="greaterThanOrEqual">
      <formula>7.5</formula>
    </cfRule>
    <cfRule type="cellIs" dxfId="3453" priority="8584" stopIfTrue="1" operator="between">
      <formula>3.51</formula>
      <formula>7.49</formula>
    </cfRule>
  </conditionalFormatting>
  <conditionalFormatting sqref="AA2527">
    <cfRule type="cellIs" dxfId="3452" priority="8572" stopIfTrue="1" operator="lessThanOrEqual">
      <formula>3.5</formula>
    </cfRule>
    <cfRule type="cellIs" dxfId="3451" priority="8573" stopIfTrue="1" operator="greaterThanOrEqual">
      <formula>7.5</formula>
    </cfRule>
    <cfRule type="cellIs" dxfId="3450" priority="8574" stopIfTrue="1" operator="between">
      <formula>3.51</formula>
      <formula>7.49</formula>
    </cfRule>
  </conditionalFormatting>
  <conditionalFormatting sqref="AA3362">
    <cfRule type="cellIs" dxfId="3449" priority="8562" stopIfTrue="1" operator="lessThanOrEqual">
      <formula>3.5</formula>
    </cfRule>
    <cfRule type="cellIs" dxfId="3448" priority="8563" stopIfTrue="1" operator="greaterThanOrEqual">
      <formula>7.5</formula>
    </cfRule>
    <cfRule type="cellIs" dxfId="3447" priority="8564" stopIfTrue="1" operator="between">
      <formula>3.51</formula>
      <formula>7.49</formula>
    </cfRule>
  </conditionalFormatting>
  <conditionalFormatting sqref="AA3360">
    <cfRule type="cellIs" dxfId="3446" priority="8552" stopIfTrue="1" operator="lessThanOrEqual">
      <formula>3.5</formula>
    </cfRule>
    <cfRule type="cellIs" dxfId="3445" priority="8553" stopIfTrue="1" operator="greaterThanOrEqual">
      <formula>7.5</formula>
    </cfRule>
    <cfRule type="cellIs" dxfId="3444" priority="8554" stopIfTrue="1" operator="between">
      <formula>3.51</formula>
      <formula>7.49</formula>
    </cfRule>
  </conditionalFormatting>
  <conditionalFormatting sqref="AA3359">
    <cfRule type="cellIs" dxfId="3443" priority="8542" stopIfTrue="1" operator="lessThanOrEqual">
      <formula>3.5</formula>
    </cfRule>
    <cfRule type="cellIs" dxfId="3442" priority="8543" stopIfTrue="1" operator="greaterThanOrEqual">
      <formula>7.5</formula>
    </cfRule>
    <cfRule type="cellIs" dxfId="3441" priority="8544" stopIfTrue="1" operator="between">
      <formula>3.51</formula>
      <formula>7.49</formula>
    </cfRule>
  </conditionalFormatting>
  <conditionalFormatting sqref="AA2541">
    <cfRule type="cellIs" dxfId="3440" priority="8532" stopIfTrue="1" operator="lessThanOrEqual">
      <formula>3.5</formula>
    </cfRule>
    <cfRule type="cellIs" dxfId="3439" priority="8533" stopIfTrue="1" operator="greaterThanOrEqual">
      <formula>7.5</formula>
    </cfRule>
    <cfRule type="cellIs" dxfId="3438" priority="8534" stopIfTrue="1" operator="between">
      <formula>3.51</formula>
      <formula>7.49</formula>
    </cfRule>
  </conditionalFormatting>
  <conditionalFormatting sqref="AA2538">
    <cfRule type="cellIs" dxfId="3437" priority="8522" stopIfTrue="1" operator="lessThanOrEqual">
      <formula>3.5</formula>
    </cfRule>
    <cfRule type="cellIs" dxfId="3436" priority="8523" stopIfTrue="1" operator="greaterThanOrEqual">
      <formula>7.5</formula>
    </cfRule>
    <cfRule type="cellIs" dxfId="3435" priority="8524" stopIfTrue="1" operator="between">
      <formula>3.51</formula>
      <formula>7.49</formula>
    </cfRule>
  </conditionalFormatting>
  <conditionalFormatting sqref="AA2537">
    <cfRule type="cellIs" dxfId="3434" priority="8512" stopIfTrue="1" operator="lessThanOrEqual">
      <formula>3.5</formula>
    </cfRule>
    <cfRule type="cellIs" dxfId="3433" priority="8513" stopIfTrue="1" operator="greaterThanOrEqual">
      <formula>7.5</formula>
    </cfRule>
    <cfRule type="cellIs" dxfId="3432" priority="8514" stopIfTrue="1" operator="between">
      <formula>3.51</formula>
      <formula>7.49</formula>
    </cfRule>
  </conditionalFormatting>
  <conditionalFormatting sqref="AA2536">
    <cfRule type="cellIs" dxfId="3431" priority="8502" stopIfTrue="1" operator="lessThanOrEqual">
      <formula>3.5</formula>
    </cfRule>
    <cfRule type="cellIs" dxfId="3430" priority="8503" stopIfTrue="1" operator="greaterThanOrEqual">
      <formula>7.5</formula>
    </cfRule>
    <cfRule type="cellIs" dxfId="3429" priority="8504" stopIfTrue="1" operator="between">
      <formula>3.51</formula>
      <formula>7.49</formula>
    </cfRule>
  </conditionalFormatting>
  <conditionalFormatting sqref="AA2535">
    <cfRule type="cellIs" dxfId="3428" priority="8492" stopIfTrue="1" operator="lessThanOrEqual">
      <formula>3.5</formula>
    </cfRule>
    <cfRule type="cellIs" dxfId="3427" priority="8493" stopIfTrue="1" operator="greaterThanOrEqual">
      <formula>7.5</formula>
    </cfRule>
    <cfRule type="cellIs" dxfId="3426" priority="8494" stopIfTrue="1" operator="between">
      <formula>3.51</formula>
      <formula>7.49</formula>
    </cfRule>
  </conditionalFormatting>
  <conditionalFormatting sqref="AA2534">
    <cfRule type="cellIs" dxfId="3425" priority="8482" stopIfTrue="1" operator="lessThanOrEqual">
      <formula>3.5</formula>
    </cfRule>
    <cfRule type="cellIs" dxfId="3424" priority="8483" stopIfTrue="1" operator="greaterThanOrEqual">
      <formula>7.5</formula>
    </cfRule>
    <cfRule type="cellIs" dxfId="3423" priority="8484" stopIfTrue="1" operator="between">
      <formula>3.51</formula>
      <formula>7.49</formula>
    </cfRule>
  </conditionalFormatting>
  <conditionalFormatting sqref="AA2533">
    <cfRule type="cellIs" dxfId="3422" priority="8472" stopIfTrue="1" operator="lessThanOrEqual">
      <formula>3.5</formula>
    </cfRule>
    <cfRule type="cellIs" dxfId="3421" priority="8473" stopIfTrue="1" operator="greaterThanOrEqual">
      <formula>7.5</formula>
    </cfRule>
    <cfRule type="cellIs" dxfId="3420" priority="8474" stopIfTrue="1" operator="between">
      <formula>3.51</formula>
      <formula>7.49</formula>
    </cfRule>
  </conditionalFormatting>
  <conditionalFormatting sqref="AA2532">
    <cfRule type="cellIs" dxfId="3419" priority="8462" stopIfTrue="1" operator="lessThanOrEqual">
      <formula>3.5</formula>
    </cfRule>
    <cfRule type="cellIs" dxfId="3418" priority="8463" stopIfTrue="1" operator="greaterThanOrEqual">
      <formula>7.5</formula>
    </cfRule>
    <cfRule type="cellIs" dxfId="3417" priority="8464" stopIfTrue="1" operator="between">
      <formula>3.51</formula>
      <formula>7.49</formula>
    </cfRule>
  </conditionalFormatting>
  <conditionalFormatting sqref="AA2531">
    <cfRule type="cellIs" dxfId="3416" priority="8452" stopIfTrue="1" operator="lessThanOrEqual">
      <formula>3.5</formula>
    </cfRule>
    <cfRule type="cellIs" dxfId="3415" priority="8453" stopIfTrue="1" operator="greaterThanOrEqual">
      <formula>7.5</formula>
    </cfRule>
    <cfRule type="cellIs" dxfId="3414" priority="8454" stopIfTrue="1" operator="between">
      <formula>3.51</formula>
      <formula>7.49</formula>
    </cfRule>
  </conditionalFormatting>
  <conditionalFormatting sqref="AA3396">
    <cfRule type="cellIs" dxfId="3413" priority="8442" stopIfTrue="1" operator="lessThanOrEqual">
      <formula>3.5</formula>
    </cfRule>
    <cfRule type="cellIs" dxfId="3412" priority="8443" stopIfTrue="1" operator="greaterThanOrEqual">
      <formula>7.5</formula>
    </cfRule>
    <cfRule type="cellIs" dxfId="3411" priority="8444" stopIfTrue="1" operator="between">
      <formula>3.51</formula>
      <formula>7.49</formula>
    </cfRule>
  </conditionalFormatting>
  <conditionalFormatting sqref="AA3428">
    <cfRule type="cellIs" dxfId="3410" priority="8432" stopIfTrue="1" operator="lessThanOrEqual">
      <formula>3.5</formula>
    </cfRule>
    <cfRule type="cellIs" dxfId="3409" priority="8433" stopIfTrue="1" operator="greaterThanOrEqual">
      <formula>7.5</formula>
    </cfRule>
    <cfRule type="cellIs" dxfId="3408" priority="8434" stopIfTrue="1" operator="between">
      <formula>3.51</formula>
      <formula>7.49</formula>
    </cfRule>
  </conditionalFormatting>
  <conditionalFormatting sqref="AA3139">
    <cfRule type="cellIs" dxfId="3407" priority="8422" stopIfTrue="1" operator="lessThanOrEqual">
      <formula>3.5</formula>
    </cfRule>
    <cfRule type="cellIs" dxfId="3406" priority="8423" stopIfTrue="1" operator="greaterThanOrEqual">
      <formula>7.5</formula>
    </cfRule>
    <cfRule type="cellIs" dxfId="3405" priority="8424" stopIfTrue="1" operator="between">
      <formula>3.51</formula>
      <formula>7.49</formula>
    </cfRule>
  </conditionalFormatting>
  <conditionalFormatting sqref="AA3427">
    <cfRule type="cellIs" dxfId="3404" priority="8412" stopIfTrue="1" operator="lessThanOrEqual">
      <formula>3.5</formula>
    </cfRule>
    <cfRule type="cellIs" dxfId="3403" priority="8413" stopIfTrue="1" operator="greaterThanOrEqual">
      <formula>7.5</formula>
    </cfRule>
    <cfRule type="cellIs" dxfId="3402" priority="8414" stopIfTrue="1" operator="between">
      <formula>3.51</formula>
      <formula>7.49</formula>
    </cfRule>
  </conditionalFormatting>
  <conditionalFormatting sqref="AA3425">
    <cfRule type="cellIs" dxfId="3401" priority="8402" stopIfTrue="1" operator="lessThanOrEqual">
      <formula>3.5</formula>
    </cfRule>
    <cfRule type="cellIs" dxfId="3400" priority="8403" stopIfTrue="1" operator="greaterThanOrEqual">
      <formula>7.5</formula>
    </cfRule>
    <cfRule type="cellIs" dxfId="3399" priority="8404" stopIfTrue="1" operator="between">
      <formula>3.51</formula>
      <formula>7.49</formula>
    </cfRule>
  </conditionalFormatting>
  <conditionalFormatting sqref="AA3426">
    <cfRule type="cellIs" dxfId="3398" priority="8392" stopIfTrue="1" operator="lessThanOrEqual">
      <formula>3.5</formula>
    </cfRule>
    <cfRule type="cellIs" dxfId="3397" priority="8393" stopIfTrue="1" operator="greaterThanOrEqual">
      <formula>7.5</formula>
    </cfRule>
    <cfRule type="cellIs" dxfId="3396" priority="8394" stopIfTrue="1" operator="between">
      <formula>3.51</formula>
      <formula>7.49</formula>
    </cfRule>
  </conditionalFormatting>
  <conditionalFormatting sqref="AA3416">
    <cfRule type="cellIs" dxfId="3395" priority="8382" stopIfTrue="1" operator="lessThanOrEqual">
      <formula>3.5</formula>
    </cfRule>
    <cfRule type="cellIs" dxfId="3394" priority="8383" stopIfTrue="1" operator="greaterThanOrEqual">
      <formula>7.5</formula>
    </cfRule>
    <cfRule type="cellIs" dxfId="3393" priority="8384" stopIfTrue="1" operator="between">
      <formula>3.51</formula>
      <formula>7.49</formula>
    </cfRule>
  </conditionalFormatting>
  <conditionalFormatting sqref="AA3419">
    <cfRule type="cellIs" dxfId="3392" priority="8372" stopIfTrue="1" operator="lessThanOrEqual">
      <formula>3.5</formula>
    </cfRule>
    <cfRule type="cellIs" dxfId="3391" priority="8373" stopIfTrue="1" operator="greaterThanOrEqual">
      <formula>7.5</formula>
    </cfRule>
    <cfRule type="cellIs" dxfId="3390" priority="8374" stopIfTrue="1" operator="between">
      <formula>3.51</formula>
      <formula>7.49</formula>
    </cfRule>
  </conditionalFormatting>
  <conditionalFormatting sqref="AA3402">
    <cfRule type="cellIs" dxfId="3389" priority="8362" stopIfTrue="1" operator="lessThanOrEqual">
      <formula>3.5</formula>
    </cfRule>
    <cfRule type="cellIs" dxfId="3388" priority="8363" stopIfTrue="1" operator="greaterThanOrEqual">
      <formula>7.5</formula>
    </cfRule>
    <cfRule type="cellIs" dxfId="3387" priority="8364" stopIfTrue="1" operator="between">
      <formula>3.51</formula>
      <formula>7.49</formula>
    </cfRule>
  </conditionalFormatting>
  <conditionalFormatting sqref="AA3401">
    <cfRule type="cellIs" dxfId="3386" priority="8352" stopIfTrue="1" operator="lessThanOrEqual">
      <formula>3.5</formula>
    </cfRule>
    <cfRule type="cellIs" dxfId="3385" priority="8353" stopIfTrue="1" operator="greaterThanOrEqual">
      <formula>7.5</formula>
    </cfRule>
    <cfRule type="cellIs" dxfId="3384" priority="8354" stopIfTrue="1" operator="between">
      <formula>3.51</formula>
      <formula>7.49</formula>
    </cfRule>
  </conditionalFormatting>
  <conditionalFormatting sqref="AA3397">
    <cfRule type="cellIs" dxfId="3383" priority="8342" stopIfTrue="1" operator="lessThanOrEqual">
      <formula>3.5</formula>
    </cfRule>
    <cfRule type="cellIs" dxfId="3382" priority="8343" stopIfTrue="1" operator="greaterThanOrEqual">
      <formula>7.5</formula>
    </cfRule>
    <cfRule type="cellIs" dxfId="3381" priority="8344" stopIfTrue="1" operator="between">
      <formula>3.51</formula>
      <formula>7.49</formula>
    </cfRule>
  </conditionalFormatting>
  <conditionalFormatting sqref="AA3323">
    <cfRule type="cellIs" dxfId="3380" priority="8332" stopIfTrue="1" operator="lessThanOrEqual">
      <formula>3.5</formula>
    </cfRule>
    <cfRule type="cellIs" dxfId="3379" priority="8333" stopIfTrue="1" operator="greaterThanOrEqual">
      <formula>7.5</formula>
    </cfRule>
    <cfRule type="cellIs" dxfId="3378" priority="8334" stopIfTrue="1" operator="between">
      <formula>3.51</formula>
      <formula>7.49</formula>
    </cfRule>
  </conditionalFormatting>
  <conditionalFormatting sqref="AA3358">
    <cfRule type="cellIs" dxfId="3377" priority="8322" stopIfTrue="1" operator="lessThanOrEqual">
      <formula>3.5</formula>
    </cfRule>
    <cfRule type="cellIs" dxfId="3376" priority="8323" stopIfTrue="1" operator="greaterThanOrEqual">
      <formula>7.5</formula>
    </cfRule>
    <cfRule type="cellIs" dxfId="3375" priority="8324" stopIfTrue="1" operator="between">
      <formula>3.51</formula>
      <formula>7.49</formula>
    </cfRule>
  </conditionalFormatting>
  <conditionalFormatting sqref="AA2002">
    <cfRule type="cellIs" dxfId="3374" priority="8316" stopIfTrue="1" operator="lessThanOrEqual">
      <formula>3.5</formula>
    </cfRule>
    <cfRule type="cellIs" dxfId="3373" priority="8317" stopIfTrue="1" operator="greaterThanOrEqual">
      <formula>7.5</formula>
    </cfRule>
    <cfRule type="cellIs" dxfId="3372" priority="8318" stopIfTrue="1" operator="between">
      <formula>3.51</formula>
      <formula>7.49</formula>
    </cfRule>
  </conditionalFormatting>
  <conditionalFormatting sqref="AA2001">
    <cfRule type="cellIs" dxfId="3371" priority="8310" stopIfTrue="1" operator="lessThanOrEqual">
      <formula>3.5</formula>
    </cfRule>
    <cfRule type="cellIs" dxfId="3370" priority="8311" stopIfTrue="1" operator="greaterThanOrEqual">
      <formula>7.5</formula>
    </cfRule>
    <cfRule type="cellIs" dxfId="3369" priority="8312" stopIfTrue="1" operator="between">
      <formula>3.51</formula>
      <formula>7.49</formula>
    </cfRule>
  </conditionalFormatting>
  <conditionalFormatting sqref="AA1107">
    <cfRule type="cellIs" dxfId="3368" priority="8304" stopIfTrue="1" operator="lessThanOrEqual">
      <formula>3.5</formula>
    </cfRule>
    <cfRule type="cellIs" dxfId="3367" priority="8305" stopIfTrue="1" operator="greaterThanOrEqual">
      <formula>7.5</formula>
    </cfRule>
    <cfRule type="cellIs" dxfId="3366" priority="8306" stopIfTrue="1" operator="between">
      <formula>3.51</formula>
      <formula>7.49</formula>
    </cfRule>
  </conditionalFormatting>
  <conditionalFormatting sqref="AA1106">
    <cfRule type="cellIs" dxfId="3365" priority="8298" stopIfTrue="1" operator="lessThanOrEqual">
      <formula>3.5</formula>
    </cfRule>
    <cfRule type="cellIs" dxfId="3364" priority="8299" stopIfTrue="1" operator="greaterThanOrEqual">
      <formula>7.5</formula>
    </cfRule>
    <cfRule type="cellIs" dxfId="3363" priority="8300" stopIfTrue="1" operator="between">
      <formula>3.51</formula>
      <formula>7.49</formula>
    </cfRule>
  </conditionalFormatting>
  <conditionalFormatting sqref="AA1105">
    <cfRule type="cellIs" dxfId="3362" priority="8292" stopIfTrue="1" operator="lessThanOrEqual">
      <formula>3.5</formula>
    </cfRule>
    <cfRule type="cellIs" dxfId="3361" priority="8293" stopIfTrue="1" operator="greaterThanOrEqual">
      <formula>7.5</formula>
    </cfRule>
    <cfRule type="cellIs" dxfId="3360" priority="8294" stopIfTrue="1" operator="between">
      <formula>3.51</formula>
      <formula>7.49</formula>
    </cfRule>
  </conditionalFormatting>
  <conditionalFormatting sqref="AA1104">
    <cfRule type="cellIs" dxfId="3359" priority="8286" stopIfTrue="1" operator="lessThanOrEqual">
      <formula>3.5</formula>
    </cfRule>
    <cfRule type="cellIs" dxfId="3358" priority="8287" stopIfTrue="1" operator="greaterThanOrEqual">
      <formula>7.5</formula>
    </cfRule>
    <cfRule type="cellIs" dxfId="3357" priority="8288" stopIfTrue="1" operator="between">
      <formula>3.51</formula>
      <formula>7.49</formula>
    </cfRule>
  </conditionalFormatting>
  <conditionalFormatting sqref="AA1103">
    <cfRule type="cellIs" dxfId="3356" priority="8280" stopIfTrue="1" operator="lessThanOrEqual">
      <formula>3.5</formula>
    </cfRule>
    <cfRule type="cellIs" dxfId="3355" priority="8281" stopIfTrue="1" operator="greaterThanOrEqual">
      <formula>7.5</formula>
    </cfRule>
    <cfRule type="cellIs" dxfId="3354" priority="8282" stopIfTrue="1" operator="between">
      <formula>3.51</formula>
      <formula>7.49</formula>
    </cfRule>
  </conditionalFormatting>
  <conditionalFormatting sqref="AA703">
    <cfRule type="cellIs" dxfId="3353" priority="8274" stopIfTrue="1" operator="lessThanOrEqual">
      <formula>3.5</formula>
    </cfRule>
    <cfRule type="cellIs" dxfId="3352" priority="8275" stopIfTrue="1" operator="greaterThanOrEqual">
      <formula>7.5</formula>
    </cfRule>
    <cfRule type="cellIs" dxfId="3351" priority="8276" stopIfTrue="1" operator="between">
      <formula>3.51</formula>
      <formula>7.49</formula>
    </cfRule>
  </conditionalFormatting>
  <conditionalFormatting sqref="AA672">
    <cfRule type="cellIs" dxfId="3350" priority="8271" stopIfTrue="1" operator="lessThanOrEqual">
      <formula>3.5</formula>
    </cfRule>
    <cfRule type="cellIs" dxfId="3349" priority="8272" stopIfTrue="1" operator="greaterThanOrEqual">
      <formula>7.5</formula>
    </cfRule>
    <cfRule type="cellIs" dxfId="3348" priority="8273" stopIfTrue="1" operator="between">
      <formula>3.51</formula>
      <formula>7.49</formula>
    </cfRule>
  </conditionalFormatting>
  <conditionalFormatting sqref="AA268">
    <cfRule type="cellIs" dxfId="3347" priority="8263" stopIfTrue="1" operator="lessThanOrEqual">
      <formula>3.5</formula>
    </cfRule>
    <cfRule type="cellIs" dxfId="3346" priority="8264" stopIfTrue="1" operator="greaterThanOrEqual">
      <formula>7.5</formula>
    </cfRule>
    <cfRule type="cellIs" dxfId="3345" priority="8265" stopIfTrue="1" operator="between">
      <formula>3.51</formula>
      <formula>7.49</formula>
    </cfRule>
  </conditionalFormatting>
  <conditionalFormatting sqref="AA473">
    <cfRule type="cellIs" dxfId="3344" priority="8008" stopIfTrue="1" operator="lessThanOrEqual">
      <formula>3.5</formula>
    </cfRule>
    <cfRule type="cellIs" dxfId="3343" priority="8009" stopIfTrue="1" operator="greaterThanOrEqual">
      <formula>7.5</formula>
    </cfRule>
    <cfRule type="cellIs" dxfId="3342" priority="8010" stopIfTrue="1" operator="between">
      <formula>3.51</formula>
      <formula>7.49</formula>
    </cfRule>
  </conditionalFormatting>
  <conditionalFormatting sqref="AA1412">
    <cfRule type="cellIs" dxfId="3341" priority="3681" stopIfTrue="1" operator="lessThanOrEqual">
      <formula>3.5</formula>
    </cfRule>
    <cfRule type="cellIs" dxfId="3340" priority="3682" stopIfTrue="1" operator="greaterThanOrEqual">
      <formula>7.5</formula>
    </cfRule>
    <cfRule type="cellIs" dxfId="3339" priority="3683" stopIfTrue="1" operator="between">
      <formula>3.51</formula>
      <formula>7.49</formula>
    </cfRule>
  </conditionalFormatting>
  <conditionalFormatting sqref="AA689">
    <cfRule type="cellIs" dxfId="3338" priority="3529" stopIfTrue="1" operator="lessThanOrEqual">
      <formula>3.5</formula>
    </cfRule>
    <cfRule type="cellIs" dxfId="3337" priority="3530" stopIfTrue="1" operator="greaterThanOrEqual">
      <formula>7.5</formula>
    </cfRule>
    <cfRule type="cellIs" dxfId="3336" priority="3531" stopIfTrue="1" operator="between">
      <formula>3.51</formula>
      <formula>7.49</formula>
    </cfRule>
  </conditionalFormatting>
  <conditionalFormatting sqref="AA948">
    <cfRule type="cellIs" dxfId="3335" priority="3517" stopIfTrue="1" operator="lessThanOrEqual">
      <formula>3.5</formula>
    </cfRule>
    <cfRule type="cellIs" dxfId="3334" priority="3518" stopIfTrue="1" operator="greaterThanOrEqual">
      <formula>7.5</formula>
    </cfRule>
    <cfRule type="cellIs" dxfId="3333" priority="3519" stopIfTrue="1" operator="between">
      <formula>3.51</formula>
      <formula>7.49</formula>
    </cfRule>
  </conditionalFormatting>
  <conditionalFormatting sqref="AA833">
    <cfRule type="cellIs" dxfId="3332" priority="3523" stopIfTrue="1" operator="lessThanOrEqual">
      <formula>3.5</formula>
    </cfRule>
    <cfRule type="cellIs" dxfId="3331" priority="3524" stopIfTrue="1" operator="greaterThanOrEqual">
      <formula>7.5</formula>
    </cfRule>
    <cfRule type="cellIs" dxfId="3330" priority="3525" stopIfTrue="1" operator="between">
      <formula>3.51</formula>
      <formula>7.49</formula>
    </cfRule>
  </conditionalFormatting>
  <conditionalFormatting sqref="AA933">
    <cfRule type="cellIs" dxfId="3329" priority="3520" stopIfTrue="1" operator="lessThanOrEqual">
      <formula>3.5</formula>
    </cfRule>
    <cfRule type="cellIs" dxfId="3328" priority="3521" stopIfTrue="1" operator="greaterThanOrEqual">
      <formula>7.5</formula>
    </cfRule>
    <cfRule type="cellIs" dxfId="3327" priority="3522" stopIfTrue="1" operator="between">
      <formula>3.51</formula>
      <formula>7.49</formula>
    </cfRule>
  </conditionalFormatting>
  <conditionalFormatting sqref="AA951">
    <cfRule type="cellIs" dxfId="3326" priority="3514" stopIfTrue="1" operator="lessThanOrEqual">
      <formula>3.5</formula>
    </cfRule>
    <cfRule type="cellIs" dxfId="3325" priority="3515" stopIfTrue="1" operator="greaterThanOrEqual">
      <formula>7.5</formula>
    </cfRule>
    <cfRule type="cellIs" dxfId="3324" priority="3516" stopIfTrue="1" operator="between">
      <formula>3.51</formula>
      <formula>7.49</formula>
    </cfRule>
  </conditionalFormatting>
  <conditionalFormatting sqref="AA1005">
    <cfRule type="cellIs" dxfId="3323" priority="3511" stopIfTrue="1" operator="lessThanOrEqual">
      <formula>3.5</formula>
    </cfRule>
    <cfRule type="cellIs" dxfId="3322" priority="3512" stopIfTrue="1" operator="greaterThanOrEqual">
      <formula>7.5</formula>
    </cfRule>
    <cfRule type="cellIs" dxfId="3321" priority="3513" stopIfTrue="1" operator="between">
      <formula>3.51</formula>
      <formula>7.49</formula>
    </cfRule>
  </conditionalFormatting>
  <conditionalFormatting sqref="AA1048">
    <cfRule type="cellIs" dxfId="3320" priority="3508" stopIfTrue="1" operator="lessThanOrEqual">
      <formula>3.5</formula>
    </cfRule>
    <cfRule type="cellIs" dxfId="3319" priority="3509" stopIfTrue="1" operator="greaterThanOrEqual">
      <formula>7.5</formula>
    </cfRule>
    <cfRule type="cellIs" dxfId="3318" priority="3510" stopIfTrue="1" operator="between">
      <formula>3.51</formula>
      <formula>7.49</formula>
    </cfRule>
  </conditionalFormatting>
  <conditionalFormatting sqref="AA1041">
    <cfRule type="cellIs" dxfId="3317" priority="3505" stopIfTrue="1" operator="lessThanOrEqual">
      <formula>3.5</formula>
    </cfRule>
    <cfRule type="cellIs" dxfId="3316" priority="3506" stopIfTrue="1" operator="greaterThanOrEqual">
      <formula>7.5</formula>
    </cfRule>
    <cfRule type="cellIs" dxfId="3315" priority="3507" stopIfTrue="1" operator="between">
      <formula>3.51</formula>
      <formula>7.49</formula>
    </cfRule>
  </conditionalFormatting>
  <conditionalFormatting sqref="AA284">
    <cfRule type="cellIs" dxfId="3314" priority="3502" stopIfTrue="1" operator="lessThanOrEqual">
      <formula>3.5</formula>
    </cfRule>
    <cfRule type="cellIs" dxfId="3313" priority="3503" stopIfTrue="1" operator="greaterThanOrEqual">
      <formula>7.5</formula>
    </cfRule>
    <cfRule type="cellIs" dxfId="3312" priority="3504" stopIfTrue="1" operator="between">
      <formula>3.51</formula>
      <formula>7.49</formula>
    </cfRule>
  </conditionalFormatting>
  <conditionalFormatting sqref="AA1082">
    <cfRule type="cellIs" dxfId="3311" priority="3499" stopIfTrue="1" operator="lessThanOrEqual">
      <formula>3.5</formula>
    </cfRule>
    <cfRule type="cellIs" dxfId="3310" priority="3500" stopIfTrue="1" operator="greaterThanOrEqual">
      <formula>7.5</formula>
    </cfRule>
    <cfRule type="cellIs" dxfId="3309" priority="3501" stopIfTrue="1" operator="between">
      <formula>3.51</formula>
      <formula>7.49</formula>
    </cfRule>
  </conditionalFormatting>
  <conditionalFormatting sqref="AA1226">
    <cfRule type="cellIs" dxfId="3308" priority="3496" stopIfTrue="1" operator="lessThanOrEqual">
      <formula>3.5</formula>
    </cfRule>
    <cfRule type="cellIs" dxfId="3307" priority="3497" stopIfTrue="1" operator="greaterThanOrEqual">
      <formula>7.5</formula>
    </cfRule>
    <cfRule type="cellIs" dxfId="3306" priority="3498" stopIfTrue="1" operator="between">
      <formula>3.51</formula>
      <formula>7.49</formula>
    </cfRule>
  </conditionalFormatting>
  <conditionalFormatting sqref="AA1219">
    <cfRule type="cellIs" dxfId="3305" priority="3493" stopIfTrue="1" operator="lessThanOrEqual">
      <formula>3.5</formula>
    </cfRule>
    <cfRule type="cellIs" dxfId="3304" priority="3494" stopIfTrue="1" operator="greaterThanOrEqual">
      <formula>7.5</formula>
    </cfRule>
    <cfRule type="cellIs" dxfId="3303" priority="3495" stopIfTrue="1" operator="between">
      <formula>3.51</formula>
      <formula>7.49</formula>
    </cfRule>
  </conditionalFormatting>
  <conditionalFormatting sqref="AA1321">
    <cfRule type="cellIs" dxfId="3302" priority="3490" stopIfTrue="1" operator="lessThanOrEqual">
      <formula>3.5</formula>
    </cfRule>
    <cfRule type="cellIs" dxfId="3301" priority="3491" stopIfTrue="1" operator="greaterThanOrEqual">
      <formula>7.5</formula>
    </cfRule>
    <cfRule type="cellIs" dxfId="3300" priority="3492" stopIfTrue="1" operator="between">
      <formula>3.51</formula>
      <formula>7.49</formula>
    </cfRule>
  </conditionalFormatting>
  <conditionalFormatting sqref="AA1322">
    <cfRule type="cellIs" dxfId="3299" priority="3487" stopIfTrue="1" operator="lessThanOrEqual">
      <formula>3.5</formula>
    </cfRule>
    <cfRule type="cellIs" dxfId="3298" priority="3488" stopIfTrue="1" operator="greaterThanOrEqual">
      <formula>7.5</formula>
    </cfRule>
    <cfRule type="cellIs" dxfId="3297" priority="3489" stopIfTrue="1" operator="between">
      <formula>3.51</formula>
      <formula>7.49</formula>
    </cfRule>
  </conditionalFormatting>
  <conditionalFormatting sqref="AA1325">
    <cfRule type="cellIs" dxfId="3296" priority="3484" stopIfTrue="1" operator="lessThanOrEqual">
      <formula>3.5</formula>
    </cfRule>
    <cfRule type="cellIs" dxfId="3295" priority="3485" stopIfTrue="1" operator="greaterThanOrEqual">
      <formula>7.5</formula>
    </cfRule>
    <cfRule type="cellIs" dxfId="3294" priority="3486" stopIfTrue="1" operator="between">
      <formula>3.51</formula>
      <formula>7.49</formula>
    </cfRule>
  </conditionalFormatting>
  <conditionalFormatting sqref="AA1611">
    <cfRule type="cellIs" dxfId="3293" priority="3481" stopIfTrue="1" operator="lessThanOrEqual">
      <formula>3.5</formula>
    </cfRule>
    <cfRule type="cellIs" dxfId="3292" priority="3482" stopIfTrue="1" operator="greaterThanOrEqual">
      <formula>7.5</formula>
    </cfRule>
    <cfRule type="cellIs" dxfId="3291" priority="3483" stopIfTrue="1" operator="between">
      <formula>3.51</formula>
      <formula>7.49</formula>
    </cfRule>
  </conditionalFormatting>
  <conditionalFormatting sqref="AA1609">
    <cfRule type="cellIs" dxfId="3290" priority="3478" stopIfTrue="1" operator="lessThanOrEqual">
      <formula>3.5</formula>
    </cfRule>
    <cfRule type="cellIs" dxfId="3289" priority="3479" stopIfTrue="1" operator="greaterThanOrEqual">
      <formula>7.5</formula>
    </cfRule>
    <cfRule type="cellIs" dxfId="3288" priority="3480" stopIfTrue="1" operator="between">
      <formula>3.51</formula>
      <formula>7.49</formula>
    </cfRule>
  </conditionalFormatting>
  <conditionalFormatting sqref="AA1610">
    <cfRule type="cellIs" dxfId="3287" priority="3475" stopIfTrue="1" operator="lessThanOrEqual">
      <formula>3.5</formula>
    </cfRule>
    <cfRule type="cellIs" dxfId="3286" priority="3476" stopIfTrue="1" operator="greaterThanOrEqual">
      <formula>7.5</formula>
    </cfRule>
    <cfRule type="cellIs" dxfId="3285" priority="3477" stopIfTrue="1" operator="between">
      <formula>3.51</formula>
      <formula>7.49</formula>
    </cfRule>
  </conditionalFormatting>
  <conditionalFormatting sqref="AA1617">
    <cfRule type="cellIs" dxfId="3284" priority="3472" stopIfTrue="1" operator="lessThanOrEqual">
      <formula>3.5</formula>
    </cfRule>
    <cfRule type="cellIs" dxfId="3283" priority="3473" stopIfTrue="1" operator="greaterThanOrEqual">
      <formula>7.5</formula>
    </cfRule>
    <cfRule type="cellIs" dxfId="3282" priority="3474" stopIfTrue="1" operator="between">
      <formula>3.51</formula>
      <formula>7.49</formula>
    </cfRule>
  </conditionalFormatting>
  <conditionalFormatting sqref="AA1615">
    <cfRule type="cellIs" dxfId="3281" priority="3469" stopIfTrue="1" operator="lessThanOrEqual">
      <formula>3.5</formula>
    </cfRule>
    <cfRule type="cellIs" dxfId="3280" priority="3470" stopIfTrue="1" operator="greaterThanOrEqual">
      <formula>7.5</formula>
    </cfRule>
    <cfRule type="cellIs" dxfId="3279" priority="3471" stopIfTrue="1" operator="between">
      <formula>3.51</formula>
      <formula>7.49</formula>
    </cfRule>
  </conditionalFormatting>
  <conditionalFormatting sqref="AA1614">
    <cfRule type="cellIs" dxfId="3278" priority="3466" stopIfTrue="1" operator="lessThanOrEqual">
      <formula>3.5</formula>
    </cfRule>
    <cfRule type="cellIs" dxfId="3277" priority="3467" stopIfTrue="1" operator="greaterThanOrEqual">
      <formula>7.5</formula>
    </cfRule>
    <cfRule type="cellIs" dxfId="3276" priority="3468" stopIfTrue="1" operator="between">
      <formula>3.51</formula>
      <formula>7.49</formula>
    </cfRule>
  </conditionalFormatting>
  <conditionalFormatting sqref="AA1613">
    <cfRule type="cellIs" dxfId="3275" priority="3463" stopIfTrue="1" operator="lessThanOrEqual">
      <formula>3.5</formula>
    </cfRule>
    <cfRule type="cellIs" dxfId="3274" priority="3464" stopIfTrue="1" operator="greaterThanOrEqual">
      <formula>7.5</formula>
    </cfRule>
    <cfRule type="cellIs" dxfId="3273" priority="3465" stopIfTrue="1" operator="between">
      <formula>3.51</formula>
      <formula>7.49</formula>
    </cfRule>
  </conditionalFormatting>
  <conditionalFormatting sqref="AA1623">
    <cfRule type="cellIs" dxfId="3272" priority="3460" stopIfTrue="1" operator="lessThanOrEqual">
      <formula>3.5</formula>
    </cfRule>
    <cfRule type="cellIs" dxfId="3271" priority="3461" stopIfTrue="1" operator="greaterThanOrEqual">
      <formula>7.5</formula>
    </cfRule>
    <cfRule type="cellIs" dxfId="3270" priority="3462" stopIfTrue="1" operator="between">
      <formula>3.51</formula>
      <formula>7.49</formula>
    </cfRule>
  </conditionalFormatting>
  <conditionalFormatting sqref="AA1624">
    <cfRule type="cellIs" dxfId="3269" priority="3457" stopIfTrue="1" operator="lessThanOrEqual">
      <formula>3.5</formula>
    </cfRule>
    <cfRule type="cellIs" dxfId="3268" priority="3458" stopIfTrue="1" operator="greaterThanOrEqual">
      <formula>7.5</formula>
    </cfRule>
    <cfRule type="cellIs" dxfId="3267" priority="3459" stopIfTrue="1" operator="between">
      <formula>3.51</formula>
      <formula>7.49</formula>
    </cfRule>
  </conditionalFormatting>
  <conditionalFormatting sqref="AA1635">
    <cfRule type="cellIs" dxfId="3266" priority="3454" stopIfTrue="1" operator="lessThanOrEqual">
      <formula>3.5</formula>
    </cfRule>
    <cfRule type="cellIs" dxfId="3265" priority="3455" stopIfTrue="1" operator="greaterThanOrEqual">
      <formula>7.5</formula>
    </cfRule>
    <cfRule type="cellIs" dxfId="3264" priority="3456" stopIfTrue="1" operator="between">
      <formula>3.51</formula>
      <formula>7.49</formula>
    </cfRule>
  </conditionalFormatting>
  <conditionalFormatting sqref="AA879">
    <cfRule type="cellIs" dxfId="3263" priority="3451" stopIfTrue="1" operator="lessThanOrEqual">
      <formula>3.5</formula>
    </cfRule>
    <cfRule type="cellIs" dxfId="3262" priority="3452" stopIfTrue="1" operator="greaterThanOrEqual">
      <formula>7.5</formula>
    </cfRule>
    <cfRule type="cellIs" dxfId="3261" priority="3453" stopIfTrue="1" operator="between">
      <formula>3.51</formula>
      <formula>7.49</formula>
    </cfRule>
  </conditionalFormatting>
  <conditionalFormatting sqref="AA1320">
    <cfRule type="cellIs" dxfId="3260" priority="3448" stopIfTrue="1" operator="lessThanOrEqual">
      <formula>3.5</formula>
    </cfRule>
    <cfRule type="cellIs" dxfId="3259" priority="3449" stopIfTrue="1" operator="greaterThanOrEqual">
      <formula>7.5</formula>
    </cfRule>
    <cfRule type="cellIs" dxfId="3258" priority="3450" stopIfTrue="1" operator="between">
      <formula>3.51</formula>
      <formula>7.49</formula>
    </cfRule>
  </conditionalFormatting>
  <conditionalFormatting sqref="AA5371 AA2337:AA2340 AA1186 AA2333 AA2335 AA5374">
    <cfRule type="cellIs" dxfId="3257" priority="3445" stopIfTrue="1" operator="lessThanOrEqual">
      <formula>3.5</formula>
    </cfRule>
    <cfRule type="cellIs" dxfId="3256" priority="3446" stopIfTrue="1" operator="greaterThanOrEqual">
      <formula>7.5</formula>
    </cfRule>
    <cfRule type="cellIs" dxfId="3255" priority="3447" stopIfTrue="1" operator="between">
      <formula>3.51</formula>
      <formula>7.49</formula>
    </cfRule>
  </conditionalFormatting>
  <conditionalFormatting sqref="AA2336">
    <cfRule type="cellIs" dxfId="3254" priority="3442" stopIfTrue="1" operator="lessThanOrEqual">
      <formula>3.5</formula>
    </cfRule>
    <cfRule type="cellIs" dxfId="3253" priority="3443" stopIfTrue="1" operator="greaterThanOrEqual">
      <formula>7.5</formula>
    </cfRule>
    <cfRule type="cellIs" dxfId="3252" priority="3444" stopIfTrue="1" operator="between">
      <formula>3.51</formula>
      <formula>7.49</formula>
    </cfRule>
  </conditionalFormatting>
  <conditionalFormatting sqref="AA4303">
    <cfRule type="cellIs" dxfId="3251" priority="3439" stopIfTrue="1" operator="lessThanOrEqual">
      <formula>3.5</formula>
    </cfRule>
    <cfRule type="cellIs" dxfId="3250" priority="3440" stopIfTrue="1" operator="greaterThanOrEqual">
      <formula>7.5</formula>
    </cfRule>
    <cfRule type="cellIs" dxfId="3249" priority="3441" stopIfTrue="1" operator="between">
      <formula>3.51</formula>
      <formula>7.49</formula>
    </cfRule>
  </conditionalFormatting>
  <conditionalFormatting sqref="AA1277">
    <cfRule type="cellIs" dxfId="3248" priority="3436" stopIfTrue="1" operator="lessThanOrEqual">
      <formula>3.5</formula>
    </cfRule>
    <cfRule type="cellIs" dxfId="3247" priority="3437" stopIfTrue="1" operator="greaterThanOrEqual">
      <formula>7.5</formula>
    </cfRule>
    <cfRule type="cellIs" dxfId="3246" priority="3438" stopIfTrue="1" operator="between">
      <formula>3.51</formula>
      <formula>7.49</formula>
    </cfRule>
  </conditionalFormatting>
  <conditionalFormatting sqref="AA1411">
    <cfRule type="cellIs" dxfId="3245" priority="3433" stopIfTrue="1" operator="lessThanOrEqual">
      <formula>3.5</formula>
    </cfRule>
    <cfRule type="cellIs" dxfId="3244" priority="3434" stopIfTrue="1" operator="greaterThanOrEqual">
      <formula>7.5</formula>
    </cfRule>
    <cfRule type="cellIs" dxfId="3243" priority="3435" stopIfTrue="1" operator="between">
      <formula>3.51</formula>
      <formula>7.49</formula>
    </cfRule>
  </conditionalFormatting>
  <conditionalFormatting sqref="AA5369">
    <cfRule type="cellIs" dxfId="3242" priority="3409" stopIfTrue="1" operator="lessThanOrEqual">
      <formula>3.5</formula>
    </cfRule>
    <cfRule type="cellIs" dxfId="3241" priority="3410" stopIfTrue="1" operator="greaterThanOrEqual">
      <formula>7.5</formula>
    </cfRule>
    <cfRule type="cellIs" dxfId="3240" priority="3411" stopIfTrue="1" operator="between">
      <formula>3.51</formula>
      <formula>7.49</formula>
    </cfRule>
  </conditionalFormatting>
  <conditionalFormatting sqref="AA269">
    <cfRule type="cellIs" dxfId="3239" priority="3427" stopIfTrue="1" operator="lessThanOrEqual">
      <formula>3.5</formula>
    </cfRule>
    <cfRule type="cellIs" dxfId="3238" priority="3428" stopIfTrue="1" operator="greaterThanOrEqual">
      <formula>7.5</formula>
    </cfRule>
    <cfRule type="cellIs" dxfId="3237" priority="3429" stopIfTrue="1" operator="between">
      <formula>3.51</formula>
      <formula>7.49</formula>
    </cfRule>
  </conditionalFormatting>
  <conditionalFormatting sqref="AA428">
    <cfRule type="cellIs" dxfId="3236" priority="3424" stopIfTrue="1" operator="lessThanOrEqual">
      <formula>3.5</formula>
    </cfRule>
    <cfRule type="cellIs" dxfId="3235" priority="3425" stopIfTrue="1" operator="greaterThanOrEqual">
      <formula>7.5</formula>
    </cfRule>
    <cfRule type="cellIs" dxfId="3234" priority="3426" stopIfTrue="1" operator="between">
      <formula>3.51</formula>
      <formula>7.49</formula>
    </cfRule>
  </conditionalFormatting>
  <conditionalFormatting sqref="AA1314">
    <cfRule type="cellIs" dxfId="3233" priority="3421" stopIfTrue="1" operator="lessThanOrEqual">
      <formula>3.5</formula>
    </cfRule>
    <cfRule type="cellIs" dxfId="3232" priority="3422" stopIfTrue="1" operator="greaterThanOrEqual">
      <formula>7.5</formula>
    </cfRule>
    <cfRule type="cellIs" dxfId="3231" priority="3423" stopIfTrue="1" operator="between">
      <formula>3.51</formula>
      <formula>7.49</formula>
    </cfRule>
  </conditionalFormatting>
  <conditionalFormatting sqref="AA2350">
    <cfRule type="cellIs" dxfId="3230" priority="3418" stopIfTrue="1" operator="lessThanOrEqual">
      <formula>3.5</formula>
    </cfRule>
    <cfRule type="cellIs" dxfId="3229" priority="3419" stopIfTrue="1" operator="greaterThanOrEqual">
      <formula>7.5</formula>
    </cfRule>
    <cfRule type="cellIs" dxfId="3228" priority="3420" stopIfTrue="1" operator="between">
      <formula>3.51</formula>
      <formula>7.49</formula>
    </cfRule>
  </conditionalFormatting>
  <conditionalFormatting sqref="AA2349">
    <cfRule type="cellIs" dxfId="3227" priority="3415" stopIfTrue="1" operator="lessThanOrEqual">
      <formula>3.5</formula>
    </cfRule>
    <cfRule type="cellIs" dxfId="3226" priority="3416" stopIfTrue="1" operator="greaterThanOrEqual">
      <formula>7.5</formula>
    </cfRule>
    <cfRule type="cellIs" dxfId="3225" priority="3417" stopIfTrue="1" operator="between">
      <formula>3.51</formula>
      <formula>7.49</formula>
    </cfRule>
  </conditionalFormatting>
  <conditionalFormatting sqref="AA2359">
    <cfRule type="cellIs" dxfId="3224" priority="3412" stopIfTrue="1" operator="lessThanOrEqual">
      <formula>3.5</formula>
    </cfRule>
    <cfRule type="cellIs" dxfId="3223" priority="3413" stopIfTrue="1" operator="greaterThanOrEqual">
      <formula>7.5</formula>
    </cfRule>
    <cfRule type="cellIs" dxfId="3222" priority="3414" stopIfTrue="1" operator="between">
      <formula>3.51</formula>
      <formula>7.49</formula>
    </cfRule>
  </conditionalFormatting>
  <conditionalFormatting sqref="AA3223">
    <cfRule type="cellIs" dxfId="3221" priority="3406" stopIfTrue="1" operator="lessThanOrEqual">
      <formula>3.5</formula>
    </cfRule>
    <cfRule type="cellIs" dxfId="3220" priority="3407" stopIfTrue="1" operator="greaterThanOrEqual">
      <formula>7.5</formula>
    </cfRule>
    <cfRule type="cellIs" dxfId="3219" priority="3408" stopIfTrue="1" operator="between">
      <formula>3.51</formula>
      <formula>7.49</formula>
    </cfRule>
  </conditionalFormatting>
  <conditionalFormatting sqref="AA3224">
    <cfRule type="cellIs" dxfId="3218" priority="3403" stopIfTrue="1" operator="lessThanOrEqual">
      <formula>3.5</formula>
    </cfRule>
    <cfRule type="cellIs" dxfId="3217" priority="3404" stopIfTrue="1" operator="greaterThanOrEqual">
      <formula>7.5</formula>
    </cfRule>
    <cfRule type="cellIs" dxfId="3216" priority="3405" stopIfTrue="1" operator="between">
      <formula>3.51</formula>
      <formula>7.49</formula>
    </cfRule>
  </conditionalFormatting>
  <conditionalFormatting sqref="AA3929">
    <cfRule type="cellIs" dxfId="3215" priority="3400" stopIfTrue="1" operator="lessThanOrEqual">
      <formula>3.5</formula>
    </cfRule>
    <cfRule type="cellIs" dxfId="3214" priority="3401" stopIfTrue="1" operator="greaterThanOrEqual">
      <formula>7.5</formula>
    </cfRule>
    <cfRule type="cellIs" dxfId="3213" priority="3402" stopIfTrue="1" operator="between">
      <formula>3.51</formula>
      <formula>7.49</formula>
    </cfRule>
  </conditionalFormatting>
  <conditionalFormatting sqref="AA2788">
    <cfRule type="cellIs" dxfId="3212" priority="3397" stopIfTrue="1" operator="lessThanOrEqual">
      <formula>3.5</formula>
    </cfRule>
    <cfRule type="cellIs" dxfId="3211" priority="3398" stopIfTrue="1" operator="greaterThanOrEqual">
      <formula>7.5</formula>
    </cfRule>
    <cfRule type="cellIs" dxfId="3210" priority="3399" stopIfTrue="1" operator="between">
      <formula>3.51</formula>
      <formula>7.49</formula>
    </cfRule>
  </conditionalFormatting>
  <conditionalFormatting sqref="AA1601">
    <cfRule type="cellIs" dxfId="3209" priority="3394" stopIfTrue="1" operator="lessThanOrEqual">
      <formula>3.5</formula>
    </cfRule>
    <cfRule type="cellIs" dxfId="3208" priority="3395" stopIfTrue="1" operator="greaterThanOrEqual">
      <formula>7.5</formula>
    </cfRule>
    <cfRule type="cellIs" dxfId="3207" priority="3396" stopIfTrue="1" operator="between">
      <formula>3.51</formula>
      <formula>7.49</formula>
    </cfRule>
  </conditionalFormatting>
  <conditionalFormatting sqref="AA3928">
    <cfRule type="cellIs" dxfId="3206" priority="3391" stopIfTrue="1" operator="lessThanOrEqual">
      <formula>3.5</formula>
    </cfRule>
    <cfRule type="cellIs" dxfId="3205" priority="3392" stopIfTrue="1" operator="greaterThanOrEqual">
      <formula>7.5</formula>
    </cfRule>
    <cfRule type="cellIs" dxfId="3204" priority="3393" stopIfTrue="1" operator="between">
      <formula>3.51</formula>
      <formula>7.49</formula>
    </cfRule>
  </conditionalFormatting>
  <conditionalFormatting sqref="AA2363">
    <cfRule type="cellIs" dxfId="3203" priority="3388" stopIfTrue="1" operator="lessThanOrEqual">
      <formula>3.5</formula>
    </cfRule>
    <cfRule type="cellIs" dxfId="3202" priority="3389" stopIfTrue="1" operator="greaterThanOrEqual">
      <formula>7.5</formula>
    </cfRule>
    <cfRule type="cellIs" dxfId="3201" priority="3390" stopIfTrue="1" operator="between">
      <formula>3.51</formula>
      <formula>7.49</formula>
    </cfRule>
  </conditionalFormatting>
  <conditionalFormatting sqref="AA5279">
    <cfRule type="cellIs" dxfId="3200" priority="3385" stopIfTrue="1" operator="lessThanOrEqual">
      <formula>3.5</formula>
    </cfRule>
    <cfRule type="cellIs" dxfId="3199" priority="3386" stopIfTrue="1" operator="greaterThanOrEqual">
      <formula>7.5</formula>
    </cfRule>
    <cfRule type="cellIs" dxfId="3198" priority="3387" stopIfTrue="1" operator="between">
      <formula>3.51</formula>
      <formula>7.49</formula>
    </cfRule>
  </conditionalFormatting>
  <conditionalFormatting sqref="AA149">
    <cfRule type="cellIs" dxfId="3197" priority="3382" stopIfTrue="1" operator="lessThanOrEqual">
      <formula>3.5</formula>
    </cfRule>
    <cfRule type="cellIs" dxfId="3196" priority="3383" stopIfTrue="1" operator="greaterThanOrEqual">
      <formula>7.5</formula>
    </cfRule>
    <cfRule type="cellIs" dxfId="3195" priority="3384" stopIfTrue="1" operator="between">
      <formula>3.51</formula>
      <formula>7.49</formula>
    </cfRule>
  </conditionalFormatting>
  <conditionalFormatting sqref="AA205">
    <cfRule type="cellIs" dxfId="3194" priority="3379" stopIfTrue="1" operator="lessThanOrEqual">
      <formula>3.5</formula>
    </cfRule>
    <cfRule type="cellIs" dxfId="3193" priority="3380" stopIfTrue="1" operator="greaterThanOrEqual">
      <formula>7.5</formula>
    </cfRule>
    <cfRule type="cellIs" dxfId="3192" priority="3381" stopIfTrue="1" operator="between">
      <formula>3.51</formula>
      <formula>7.49</formula>
    </cfRule>
  </conditionalFormatting>
  <conditionalFormatting sqref="AA663">
    <cfRule type="cellIs" dxfId="3191" priority="3376" stopIfTrue="1" operator="lessThanOrEqual">
      <formula>3.5</formula>
    </cfRule>
    <cfRule type="cellIs" dxfId="3190" priority="3377" stopIfTrue="1" operator="greaterThanOrEqual">
      <formula>7.5</formula>
    </cfRule>
    <cfRule type="cellIs" dxfId="3189" priority="3378" stopIfTrue="1" operator="between">
      <formula>3.51</formula>
      <formula>7.49</formula>
    </cfRule>
  </conditionalFormatting>
  <conditionalFormatting sqref="AA162">
    <cfRule type="cellIs" dxfId="3188" priority="3373" stopIfTrue="1" operator="lessThanOrEqual">
      <formula>3.5</formula>
    </cfRule>
    <cfRule type="cellIs" dxfId="3187" priority="3374" stopIfTrue="1" operator="greaterThanOrEqual">
      <formula>7.5</formula>
    </cfRule>
    <cfRule type="cellIs" dxfId="3186" priority="3375" stopIfTrue="1" operator="between">
      <formula>3.51</formula>
      <formula>7.49</formula>
    </cfRule>
  </conditionalFormatting>
  <conditionalFormatting sqref="AA3281:AA3284">
    <cfRule type="cellIs" dxfId="3185" priority="3367" stopIfTrue="1" operator="lessThanOrEqual">
      <formula>3.5</formula>
    </cfRule>
    <cfRule type="cellIs" dxfId="3184" priority="3368" stopIfTrue="1" operator="greaterThanOrEqual">
      <formula>7.5</formula>
    </cfRule>
    <cfRule type="cellIs" dxfId="3183" priority="3369" stopIfTrue="1" operator="between">
      <formula>3.51</formula>
      <formula>7.49</formula>
    </cfRule>
  </conditionalFormatting>
  <conditionalFormatting sqref="AA3909">
    <cfRule type="cellIs" dxfId="3182" priority="3364" stopIfTrue="1" operator="lessThanOrEqual">
      <formula>3.5</formula>
    </cfRule>
    <cfRule type="cellIs" dxfId="3181" priority="3365" stopIfTrue="1" operator="greaterThanOrEqual">
      <formula>7.5</formula>
    </cfRule>
    <cfRule type="cellIs" dxfId="3180" priority="3366" stopIfTrue="1" operator="between">
      <formula>3.51</formula>
      <formula>7.49</formula>
    </cfRule>
  </conditionalFormatting>
  <conditionalFormatting sqref="AA3907">
    <cfRule type="cellIs" dxfId="3179" priority="3361" stopIfTrue="1" operator="lessThanOrEqual">
      <formula>3.5</formula>
    </cfRule>
    <cfRule type="cellIs" dxfId="3178" priority="3362" stopIfTrue="1" operator="greaterThanOrEqual">
      <formula>7.5</formula>
    </cfRule>
    <cfRule type="cellIs" dxfId="3177" priority="3363" stopIfTrue="1" operator="between">
      <formula>3.51</formula>
      <formula>7.49</formula>
    </cfRule>
  </conditionalFormatting>
  <conditionalFormatting sqref="AA3906">
    <cfRule type="cellIs" dxfId="3176" priority="3358" stopIfTrue="1" operator="lessThanOrEqual">
      <formula>3.5</formula>
    </cfRule>
    <cfRule type="cellIs" dxfId="3175" priority="3359" stopIfTrue="1" operator="greaterThanOrEqual">
      <formula>7.5</formula>
    </cfRule>
    <cfRule type="cellIs" dxfId="3174" priority="3360" stopIfTrue="1" operator="between">
      <formula>3.51</formula>
      <formula>7.49</formula>
    </cfRule>
  </conditionalFormatting>
  <conditionalFormatting sqref="AA3912">
    <cfRule type="cellIs" dxfId="3173" priority="3355" stopIfTrue="1" operator="lessThanOrEqual">
      <formula>3.5</formula>
    </cfRule>
    <cfRule type="cellIs" dxfId="3172" priority="3356" stopIfTrue="1" operator="greaterThanOrEqual">
      <formula>7.5</formula>
    </cfRule>
    <cfRule type="cellIs" dxfId="3171" priority="3357" stopIfTrue="1" operator="between">
      <formula>3.51</formula>
      <formula>7.49</formula>
    </cfRule>
  </conditionalFormatting>
  <conditionalFormatting sqref="AA3911">
    <cfRule type="cellIs" dxfId="3170" priority="3352" stopIfTrue="1" operator="lessThanOrEqual">
      <formula>3.5</formula>
    </cfRule>
    <cfRule type="cellIs" dxfId="3169" priority="3353" stopIfTrue="1" operator="greaterThanOrEqual">
      <formula>7.5</formula>
    </cfRule>
    <cfRule type="cellIs" dxfId="3168" priority="3354" stopIfTrue="1" operator="between">
      <formula>3.51</formula>
      <formula>7.49</formula>
    </cfRule>
  </conditionalFormatting>
  <conditionalFormatting sqref="AA3910">
    <cfRule type="cellIs" dxfId="3167" priority="3349" stopIfTrue="1" operator="lessThanOrEqual">
      <formula>3.5</formula>
    </cfRule>
    <cfRule type="cellIs" dxfId="3166" priority="3350" stopIfTrue="1" operator="greaterThanOrEqual">
      <formula>7.5</formula>
    </cfRule>
    <cfRule type="cellIs" dxfId="3165" priority="3351" stopIfTrue="1" operator="between">
      <formula>3.51</formula>
      <formula>7.49</formula>
    </cfRule>
  </conditionalFormatting>
  <conditionalFormatting sqref="AA677">
    <cfRule type="cellIs" dxfId="3164" priority="3346" stopIfTrue="1" operator="lessThanOrEqual">
      <formula>3.5</formula>
    </cfRule>
    <cfRule type="cellIs" dxfId="3163" priority="3347" stopIfTrue="1" operator="greaterThanOrEqual">
      <formula>7.5</formula>
    </cfRule>
    <cfRule type="cellIs" dxfId="3162" priority="3348" stopIfTrue="1" operator="between">
      <formula>3.51</formula>
      <formula>7.49</formula>
    </cfRule>
  </conditionalFormatting>
  <conditionalFormatting sqref="AA1329">
    <cfRule type="cellIs" dxfId="3161" priority="3343" stopIfTrue="1" operator="lessThanOrEqual">
      <formula>3.5</formula>
    </cfRule>
    <cfRule type="cellIs" dxfId="3160" priority="3344" stopIfTrue="1" operator="greaterThanOrEqual">
      <formula>7.5</formula>
    </cfRule>
    <cfRule type="cellIs" dxfId="3159" priority="3345" stopIfTrue="1" operator="between">
      <formula>3.51</formula>
      <formula>7.49</formula>
    </cfRule>
  </conditionalFormatting>
  <conditionalFormatting sqref="AA4596">
    <cfRule type="cellIs" dxfId="3158" priority="3340" stopIfTrue="1" operator="lessThanOrEqual">
      <formula>3.5</formula>
    </cfRule>
    <cfRule type="cellIs" dxfId="3157" priority="3341" stopIfTrue="1" operator="greaterThanOrEqual">
      <formula>7.5</formula>
    </cfRule>
    <cfRule type="cellIs" dxfId="3156" priority="3342" stopIfTrue="1" operator="between">
      <formula>3.51</formula>
      <formula>7.49</formula>
    </cfRule>
  </conditionalFormatting>
  <conditionalFormatting sqref="AA1417">
    <cfRule type="cellIs" dxfId="3155" priority="3337" stopIfTrue="1" operator="lessThanOrEqual">
      <formula>3.5</formula>
    </cfRule>
    <cfRule type="cellIs" dxfId="3154" priority="3338" stopIfTrue="1" operator="greaterThanOrEqual">
      <formula>7.5</formula>
    </cfRule>
    <cfRule type="cellIs" dxfId="3153" priority="3339" stopIfTrue="1" operator="between">
      <formula>3.51</formula>
      <formula>7.49</formula>
    </cfRule>
  </conditionalFormatting>
  <conditionalFormatting sqref="AA1285">
    <cfRule type="cellIs" dxfId="3152" priority="3334" stopIfTrue="1" operator="lessThanOrEqual">
      <formula>3.5</formula>
    </cfRule>
    <cfRule type="cellIs" dxfId="3151" priority="3335" stopIfTrue="1" operator="greaterThanOrEqual">
      <formula>7.5</formula>
    </cfRule>
    <cfRule type="cellIs" dxfId="3150" priority="3336" stopIfTrue="1" operator="between">
      <formula>3.51</formula>
      <formula>7.49</formula>
    </cfRule>
  </conditionalFormatting>
  <conditionalFormatting sqref="AA472">
    <cfRule type="cellIs" dxfId="3149" priority="3328" stopIfTrue="1" operator="lessThanOrEqual">
      <formula>3.5</formula>
    </cfRule>
    <cfRule type="cellIs" dxfId="3148" priority="3329" stopIfTrue="1" operator="greaterThanOrEqual">
      <formula>7.5</formula>
    </cfRule>
    <cfRule type="cellIs" dxfId="3147" priority="3330" stopIfTrue="1" operator="between">
      <formula>3.51</formula>
      <formula>7.49</formula>
    </cfRule>
  </conditionalFormatting>
  <conditionalFormatting sqref="AA660">
    <cfRule type="cellIs" dxfId="3146" priority="3325" stopIfTrue="1" operator="lessThanOrEqual">
      <formula>3.5</formula>
    </cfRule>
    <cfRule type="cellIs" dxfId="3145" priority="3326" stopIfTrue="1" operator="greaterThanOrEqual">
      <formula>7.5</formula>
    </cfRule>
    <cfRule type="cellIs" dxfId="3144" priority="3327" stopIfTrue="1" operator="between">
      <formula>3.51</formula>
      <formula>7.49</formula>
    </cfRule>
  </conditionalFormatting>
  <conditionalFormatting sqref="AA67">
    <cfRule type="cellIs" dxfId="3143" priority="3316" stopIfTrue="1" operator="lessThanOrEqual">
      <formula>3.5</formula>
    </cfRule>
    <cfRule type="cellIs" dxfId="3142" priority="3317" stopIfTrue="1" operator="greaterThanOrEqual">
      <formula>7.5</formula>
    </cfRule>
    <cfRule type="cellIs" dxfId="3141" priority="3318" stopIfTrue="1" operator="between">
      <formula>3.51</formula>
      <formula>7.49</formula>
    </cfRule>
  </conditionalFormatting>
  <conditionalFormatting sqref="AA72 AA68 AA66">
    <cfRule type="cellIs" dxfId="3140" priority="3319" stopIfTrue="1" operator="lessThanOrEqual">
      <formula>3.5</formula>
    </cfRule>
    <cfRule type="cellIs" dxfId="3139" priority="3320" stopIfTrue="1" operator="greaterThanOrEqual">
      <formula>7.5</formula>
    </cfRule>
    <cfRule type="cellIs" dxfId="3138" priority="3321" stopIfTrue="1" operator="between">
      <formula>3.51</formula>
      <formula>7.49</formula>
    </cfRule>
  </conditionalFormatting>
  <conditionalFormatting sqref="AA70">
    <cfRule type="cellIs" dxfId="3137" priority="3313" stopIfTrue="1" operator="lessThanOrEqual">
      <formula>3.5</formula>
    </cfRule>
    <cfRule type="cellIs" dxfId="3136" priority="3314" stopIfTrue="1" operator="greaterThanOrEqual">
      <formula>7.5</formula>
    </cfRule>
    <cfRule type="cellIs" dxfId="3135" priority="3315" stopIfTrue="1" operator="between">
      <formula>3.51</formula>
      <formula>7.49</formula>
    </cfRule>
  </conditionalFormatting>
  <conditionalFormatting sqref="AA71">
    <cfRule type="cellIs" dxfId="3134" priority="3310" stopIfTrue="1" operator="lessThanOrEqual">
      <formula>3.5</formula>
    </cfRule>
    <cfRule type="cellIs" dxfId="3133" priority="3311" stopIfTrue="1" operator="greaterThanOrEqual">
      <formula>7.5</formula>
    </cfRule>
    <cfRule type="cellIs" dxfId="3132" priority="3312" stopIfTrue="1" operator="between">
      <formula>3.51</formula>
      <formula>7.49</formula>
    </cfRule>
  </conditionalFormatting>
  <conditionalFormatting sqref="AA73">
    <cfRule type="cellIs" dxfId="3131" priority="3307" stopIfTrue="1" operator="lessThanOrEqual">
      <formula>3.5</formula>
    </cfRule>
    <cfRule type="cellIs" dxfId="3130" priority="3308" stopIfTrue="1" operator="greaterThanOrEqual">
      <formula>7.5</formula>
    </cfRule>
    <cfRule type="cellIs" dxfId="3129" priority="3309" stopIfTrue="1" operator="between">
      <formula>3.51</formula>
      <formula>7.49</formula>
    </cfRule>
  </conditionalFormatting>
  <conditionalFormatting sqref="AA84">
    <cfRule type="cellIs" dxfId="3128" priority="3301" stopIfTrue="1" operator="lessThanOrEqual">
      <formula>3.5</formula>
    </cfRule>
    <cfRule type="cellIs" dxfId="3127" priority="3302" stopIfTrue="1" operator="greaterThanOrEqual">
      <formula>7.5</formula>
    </cfRule>
    <cfRule type="cellIs" dxfId="3126" priority="3303" stopIfTrue="1" operator="between">
      <formula>3.51</formula>
      <formula>7.49</formula>
    </cfRule>
  </conditionalFormatting>
  <conditionalFormatting sqref="AA742:AA744">
    <cfRule type="cellIs" dxfId="3125" priority="3295" stopIfTrue="1" operator="lessThanOrEqual">
      <formula>3.5</formula>
    </cfRule>
    <cfRule type="cellIs" dxfId="3124" priority="3296" stopIfTrue="1" operator="greaterThanOrEqual">
      <formula>7.5</formula>
    </cfRule>
    <cfRule type="cellIs" dxfId="3123" priority="3297" stopIfTrue="1" operator="between">
      <formula>3.51</formula>
      <formula>7.49</formula>
    </cfRule>
  </conditionalFormatting>
  <conditionalFormatting sqref="AA219 AA221:AA222">
    <cfRule type="cellIs" dxfId="3122" priority="3292" stopIfTrue="1" operator="lessThanOrEqual">
      <formula>3.5</formula>
    </cfRule>
    <cfRule type="cellIs" dxfId="3121" priority="3293" stopIfTrue="1" operator="greaterThanOrEqual">
      <formula>7.5</formula>
    </cfRule>
    <cfRule type="cellIs" dxfId="3120" priority="3294" stopIfTrue="1" operator="between">
      <formula>3.51</formula>
      <formula>7.49</formula>
    </cfRule>
  </conditionalFormatting>
  <conditionalFormatting sqref="AA705">
    <cfRule type="cellIs" dxfId="3119" priority="3289" stopIfTrue="1" operator="lessThanOrEqual">
      <formula>3.5</formula>
    </cfRule>
    <cfRule type="cellIs" dxfId="3118" priority="3290" stopIfTrue="1" operator="greaterThanOrEqual">
      <formula>7.5</formula>
    </cfRule>
    <cfRule type="cellIs" dxfId="3117" priority="3291" stopIfTrue="1" operator="between">
      <formula>3.51</formula>
      <formula>7.49</formula>
    </cfRule>
  </conditionalFormatting>
  <conditionalFormatting sqref="AA304">
    <cfRule type="cellIs" dxfId="3116" priority="3286" stopIfTrue="1" operator="lessThanOrEqual">
      <formula>3.5</formula>
    </cfRule>
    <cfRule type="cellIs" dxfId="3115" priority="3287" stopIfTrue="1" operator="greaterThanOrEqual">
      <formula>7.5</formula>
    </cfRule>
    <cfRule type="cellIs" dxfId="3114" priority="3288" stopIfTrue="1" operator="between">
      <formula>3.51</formula>
      <formula>7.49</formula>
    </cfRule>
  </conditionalFormatting>
  <conditionalFormatting sqref="AA120">
    <cfRule type="cellIs" dxfId="3113" priority="3283" stopIfTrue="1" operator="lessThanOrEqual">
      <formula>3.5</formula>
    </cfRule>
    <cfRule type="cellIs" dxfId="3112" priority="3284" stopIfTrue="1" operator="greaterThanOrEqual">
      <formula>7.5</formula>
    </cfRule>
    <cfRule type="cellIs" dxfId="3111" priority="3285" stopIfTrue="1" operator="between">
      <formula>3.51</formula>
      <formula>7.49</formula>
    </cfRule>
  </conditionalFormatting>
  <conditionalFormatting sqref="AA1286">
    <cfRule type="cellIs" dxfId="3110" priority="3280" stopIfTrue="1" operator="lessThanOrEqual">
      <formula>3.5</formula>
    </cfRule>
    <cfRule type="cellIs" dxfId="3109" priority="3281" stopIfTrue="1" operator="greaterThanOrEqual">
      <formula>7.5</formula>
    </cfRule>
    <cfRule type="cellIs" dxfId="3108" priority="3282" stopIfTrue="1" operator="between">
      <formula>3.51</formula>
      <formula>7.49</formula>
    </cfRule>
  </conditionalFormatting>
  <conditionalFormatting sqref="AA46">
    <cfRule type="cellIs" dxfId="3107" priority="3277" stopIfTrue="1" operator="lessThanOrEqual">
      <formula>3.5</formula>
    </cfRule>
    <cfRule type="cellIs" dxfId="3106" priority="3278" stopIfTrue="1" operator="greaterThanOrEqual">
      <formula>7.5</formula>
    </cfRule>
    <cfRule type="cellIs" dxfId="3105" priority="3279" stopIfTrue="1" operator="between">
      <formula>3.51</formula>
      <formula>7.49</formula>
    </cfRule>
  </conditionalFormatting>
  <conditionalFormatting sqref="AA88">
    <cfRule type="cellIs" dxfId="3104" priority="3274" stopIfTrue="1" operator="lessThanOrEqual">
      <formula>3.5</formula>
    </cfRule>
    <cfRule type="cellIs" dxfId="3103" priority="3275" stopIfTrue="1" operator="greaterThanOrEqual">
      <formula>7.5</formula>
    </cfRule>
    <cfRule type="cellIs" dxfId="3102" priority="3276" stopIfTrue="1" operator="between">
      <formula>3.51</formula>
      <formula>7.49</formula>
    </cfRule>
  </conditionalFormatting>
  <conditionalFormatting sqref="AA91">
    <cfRule type="cellIs" dxfId="3101" priority="3271" stopIfTrue="1" operator="lessThanOrEqual">
      <formula>3.5</formula>
    </cfRule>
    <cfRule type="cellIs" dxfId="3100" priority="3272" stopIfTrue="1" operator="greaterThanOrEqual">
      <formula>7.5</formula>
    </cfRule>
    <cfRule type="cellIs" dxfId="3099" priority="3273" stopIfTrue="1" operator="between">
      <formula>3.51</formula>
      <formula>7.49</formula>
    </cfRule>
  </conditionalFormatting>
  <conditionalFormatting sqref="AA176">
    <cfRule type="cellIs" dxfId="3098" priority="3268" stopIfTrue="1" operator="lessThanOrEqual">
      <formula>3.5</formula>
    </cfRule>
    <cfRule type="cellIs" dxfId="3097" priority="3269" stopIfTrue="1" operator="greaterThanOrEqual">
      <formula>7.5</formula>
    </cfRule>
    <cfRule type="cellIs" dxfId="3096" priority="3270" stopIfTrue="1" operator="between">
      <formula>3.51</formula>
      <formula>7.49</formula>
    </cfRule>
  </conditionalFormatting>
  <conditionalFormatting sqref="AA276">
    <cfRule type="cellIs" dxfId="3095" priority="3265" stopIfTrue="1" operator="lessThanOrEqual">
      <formula>3.5</formula>
    </cfRule>
    <cfRule type="cellIs" dxfId="3094" priority="3266" stopIfTrue="1" operator="greaterThanOrEqual">
      <formula>7.5</formula>
    </cfRule>
    <cfRule type="cellIs" dxfId="3093" priority="3267" stopIfTrue="1" operator="between">
      <formula>3.51</formula>
      <formula>7.49</formula>
    </cfRule>
  </conditionalFormatting>
  <conditionalFormatting sqref="AA5350">
    <cfRule type="cellIs" dxfId="3092" priority="3262" stopIfTrue="1" operator="lessThanOrEqual">
      <formula>3.5</formula>
    </cfRule>
    <cfRule type="cellIs" dxfId="3091" priority="3263" stopIfTrue="1" operator="greaterThanOrEqual">
      <formula>7.5</formula>
    </cfRule>
    <cfRule type="cellIs" dxfId="3090" priority="3264" stopIfTrue="1" operator="between">
      <formula>3.51</formula>
      <formula>7.49</formula>
    </cfRule>
  </conditionalFormatting>
  <conditionalFormatting sqref="AA1986">
    <cfRule type="cellIs" dxfId="3089" priority="3259" stopIfTrue="1" operator="lessThanOrEqual">
      <formula>3.5</formula>
    </cfRule>
    <cfRule type="cellIs" dxfId="3088" priority="3260" stopIfTrue="1" operator="greaterThanOrEqual">
      <formula>7.5</formula>
    </cfRule>
    <cfRule type="cellIs" dxfId="3087" priority="3261" stopIfTrue="1" operator="between">
      <formula>3.51</formula>
      <formula>7.49</formula>
    </cfRule>
  </conditionalFormatting>
  <conditionalFormatting sqref="AA4202">
    <cfRule type="cellIs" dxfId="3086" priority="3256" stopIfTrue="1" operator="lessThanOrEqual">
      <formula>3.5</formula>
    </cfRule>
    <cfRule type="cellIs" dxfId="3085" priority="3257" stopIfTrue="1" operator="greaterThanOrEqual">
      <formula>7.5</formula>
    </cfRule>
    <cfRule type="cellIs" dxfId="3084" priority="3258" stopIfTrue="1" operator="between">
      <formula>3.51</formula>
      <formula>7.49</formula>
    </cfRule>
  </conditionalFormatting>
  <conditionalFormatting sqref="AA10">
    <cfRule type="cellIs" dxfId="3083" priority="3253" stopIfTrue="1" operator="lessThanOrEqual">
      <formula>3.5</formula>
    </cfRule>
    <cfRule type="cellIs" dxfId="3082" priority="3254" stopIfTrue="1" operator="greaterThanOrEqual">
      <formula>7.5</formula>
    </cfRule>
    <cfRule type="cellIs" dxfId="3081" priority="3255" stopIfTrue="1" operator="between">
      <formula>3.51</formula>
      <formula>7.49</formula>
    </cfRule>
  </conditionalFormatting>
  <conditionalFormatting sqref="AA6">
    <cfRule type="cellIs" dxfId="3080" priority="3250" stopIfTrue="1" operator="lessThanOrEqual">
      <formula>3.5</formula>
    </cfRule>
    <cfRule type="cellIs" dxfId="3079" priority="3251" stopIfTrue="1" operator="greaterThanOrEqual">
      <formula>7.5</formula>
    </cfRule>
    <cfRule type="cellIs" dxfId="3078" priority="3252" stopIfTrue="1" operator="between">
      <formula>3.51</formula>
      <formula>7.49</formula>
    </cfRule>
  </conditionalFormatting>
  <conditionalFormatting sqref="AA3908">
    <cfRule type="cellIs" dxfId="3077" priority="3247" stopIfTrue="1" operator="lessThanOrEqual">
      <formula>3.5</formula>
    </cfRule>
    <cfRule type="cellIs" dxfId="3076" priority="3248" stopIfTrue="1" operator="greaterThanOrEqual">
      <formula>7.5</formula>
    </cfRule>
    <cfRule type="cellIs" dxfId="3075" priority="3249" stopIfTrue="1" operator="between">
      <formula>3.51</formula>
      <formula>7.49</formula>
    </cfRule>
  </conditionalFormatting>
  <conditionalFormatting sqref="AA111">
    <cfRule type="cellIs" dxfId="3074" priority="3244" stopIfTrue="1" operator="lessThanOrEqual">
      <formula>3.5</formula>
    </cfRule>
    <cfRule type="cellIs" dxfId="3073" priority="3245" stopIfTrue="1" operator="greaterThanOrEqual">
      <formula>7.5</formula>
    </cfRule>
    <cfRule type="cellIs" dxfId="3072" priority="3246" stopIfTrue="1" operator="between">
      <formula>3.51</formula>
      <formula>7.49</formula>
    </cfRule>
  </conditionalFormatting>
  <conditionalFormatting sqref="AA4069">
    <cfRule type="cellIs" dxfId="3071" priority="3241" stopIfTrue="1" operator="lessThanOrEqual">
      <formula>3.5</formula>
    </cfRule>
    <cfRule type="cellIs" dxfId="3070" priority="3242" stopIfTrue="1" operator="greaterThanOrEqual">
      <formula>7.5</formula>
    </cfRule>
    <cfRule type="cellIs" dxfId="3069" priority="3243" stopIfTrue="1" operator="between">
      <formula>3.51</formula>
      <formula>7.49</formula>
    </cfRule>
  </conditionalFormatting>
  <conditionalFormatting sqref="AA4170">
    <cfRule type="cellIs" dxfId="3068" priority="3238" stopIfTrue="1" operator="lessThanOrEqual">
      <formula>3.5</formula>
    </cfRule>
    <cfRule type="cellIs" dxfId="3067" priority="3239" stopIfTrue="1" operator="greaterThanOrEqual">
      <formula>7.5</formula>
    </cfRule>
    <cfRule type="cellIs" dxfId="3066" priority="3240" stopIfTrue="1" operator="between">
      <formula>3.51</formula>
      <formula>7.49</formula>
    </cfRule>
  </conditionalFormatting>
  <conditionalFormatting sqref="AA11">
    <cfRule type="cellIs" dxfId="3065" priority="3235" stopIfTrue="1" operator="lessThanOrEqual">
      <formula>3.5</formula>
    </cfRule>
    <cfRule type="cellIs" dxfId="3064" priority="3236" stopIfTrue="1" operator="greaterThanOrEqual">
      <formula>7.5</formula>
    </cfRule>
    <cfRule type="cellIs" dxfId="3063" priority="3237" stopIfTrue="1" operator="between">
      <formula>3.51</formula>
      <formula>7.49</formula>
    </cfRule>
  </conditionalFormatting>
  <conditionalFormatting sqref="AA5065">
    <cfRule type="cellIs" dxfId="3062" priority="3232" stopIfTrue="1" operator="lessThanOrEqual">
      <formula>3.5</formula>
    </cfRule>
    <cfRule type="cellIs" dxfId="3061" priority="3233" stopIfTrue="1" operator="greaterThanOrEqual">
      <formula>7.5</formula>
    </cfRule>
    <cfRule type="cellIs" dxfId="3060" priority="3234" stopIfTrue="1" operator="between">
      <formula>3.51</formula>
      <formula>7.49</formula>
    </cfRule>
  </conditionalFormatting>
  <conditionalFormatting sqref="AA1065">
    <cfRule type="cellIs" dxfId="3059" priority="3229" stopIfTrue="1" operator="lessThanOrEqual">
      <formula>3.5</formula>
    </cfRule>
    <cfRule type="cellIs" dxfId="3058" priority="3230" stopIfTrue="1" operator="greaterThanOrEqual">
      <formula>7.5</formula>
    </cfRule>
    <cfRule type="cellIs" dxfId="3057" priority="3231" stopIfTrue="1" operator="between">
      <formula>3.51</formula>
      <formula>7.49</formula>
    </cfRule>
  </conditionalFormatting>
  <conditionalFormatting sqref="AA12">
    <cfRule type="cellIs" dxfId="3056" priority="3226" stopIfTrue="1" operator="lessThanOrEqual">
      <formula>3.5</formula>
    </cfRule>
    <cfRule type="cellIs" dxfId="3055" priority="3227" stopIfTrue="1" operator="greaterThanOrEqual">
      <formula>7.5</formula>
    </cfRule>
    <cfRule type="cellIs" dxfId="3054" priority="3228" stopIfTrue="1" operator="between">
      <formula>3.51</formula>
      <formula>7.49</formula>
    </cfRule>
  </conditionalFormatting>
  <conditionalFormatting sqref="AA270">
    <cfRule type="cellIs" dxfId="3053" priority="3223" stopIfTrue="1" operator="lessThanOrEqual">
      <formula>3.5</formula>
    </cfRule>
    <cfRule type="cellIs" dxfId="3052" priority="3224" stopIfTrue="1" operator="greaterThanOrEqual">
      <formula>7.5</formula>
    </cfRule>
    <cfRule type="cellIs" dxfId="3051" priority="3225" stopIfTrue="1" operator="between">
      <formula>3.51</formula>
      <formula>7.49</formula>
    </cfRule>
  </conditionalFormatting>
  <conditionalFormatting sqref="AA274">
    <cfRule type="cellIs" dxfId="3050" priority="3220" stopIfTrue="1" operator="lessThanOrEqual">
      <formula>3.5</formula>
    </cfRule>
    <cfRule type="cellIs" dxfId="3049" priority="3221" stopIfTrue="1" operator="greaterThanOrEqual">
      <formula>7.5</formula>
    </cfRule>
    <cfRule type="cellIs" dxfId="3048" priority="3222" stopIfTrue="1" operator="between">
      <formula>3.51</formula>
      <formula>7.49</formula>
    </cfRule>
  </conditionalFormatting>
  <conditionalFormatting sqref="AA370">
    <cfRule type="cellIs" dxfId="3047" priority="3217" stopIfTrue="1" operator="lessThanOrEqual">
      <formula>3.5</formula>
    </cfRule>
    <cfRule type="cellIs" dxfId="3046" priority="3218" stopIfTrue="1" operator="greaterThanOrEqual">
      <formula>7.5</formula>
    </cfRule>
    <cfRule type="cellIs" dxfId="3045" priority="3219" stopIfTrue="1" operator="between">
      <formula>3.51</formula>
      <formula>7.49</formula>
    </cfRule>
  </conditionalFormatting>
  <conditionalFormatting sqref="AA376">
    <cfRule type="cellIs" dxfId="3044" priority="3214" stopIfTrue="1" operator="lessThanOrEqual">
      <formula>3.5</formula>
    </cfRule>
    <cfRule type="cellIs" dxfId="3043" priority="3215" stopIfTrue="1" operator="greaterThanOrEqual">
      <formula>7.5</formula>
    </cfRule>
    <cfRule type="cellIs" dxfId="3042" priority="3216" stopIfTrue="1" operator="between">
      <formula>3.51</formula>
      <formula>7.49</formula>
    </cfRule>
  </conditionalFormatting>
  <conditionalFormatting sqref="AA378">
    <cfRule type="cellIs" dxfId="3041" priority="3211" stopIfTrue="1" operator="lessThanOrEqual">
      <formula>3.5</formula>
    </cfRule>
    <cfRule type="cellIs" dxfId="3040" priority="3212" stopIfTrue="1" operator="greaterThanOrEqual">
      <formula>7.5</formula>
    </cfRule>
    <cfRule type="cellIs" dxfId="3039" priority="3213" stopIfTrue="1" operator="between">
      <formula>3.51</formula>
      <formula>7.49</formula>
    </cfRule>
  </conditionalFormatting>
  <conditionalFormatting sqref="AA350">
    <cfRule type="cellIs" dxfId="3038" priority="3208" stopIfTrue="1" operator="lessThanOrEqual">
      <formula>3.5</formula>
    </cfRule>
    <cfRule type="cellIs" dxfId="3037" priority="3209" stopIfTrue="1" operator="greaterThanOrEqual">
      <formula>7.5</formula>
    </cfRule>
    <cfRule type="cellIs" dxfId="3036" priority="3210" stopIfTrue="1" operator="between">
      <formula>3.51</formula>
      <formula>7.49</formula>
    </cfRule>
  </conditionalFormatting>
  <conditionalFormatting sqref="AA426">
    <cfRule type="cellIs" dxfId="3035" priority="3205" stopIfTrue="1" operator="lessThanOrEqual">
      <formula>3.5</formula>
    </cfRule>
    <cfRule type="cellIs" dxfId="3034" priority="3206" stopIfTrue="1" operator="greaterThanOrEqual">
      <formula>7.5</formula>
    </cfRule>
    <cfRule type="cellIs" dxfId="3033" priority="3207" stopIfTrue="1" operator="between">
      <formula>3.51</formula>
      <formula>7.49</formula>
    </cfRule>
  </conditionalFormatting>
  <conditionalFormatting sqref="AA2133">
    <cfRule type="cellIs" dxfId="3032" priority="3202" stopIfTrue="1" operator="lessThanOrEqual">
      <formula>3.5</formula>
    </cfRule>
    <cfRule type="cellIs" dxfId="3031" priority="3203" stopIfTrue="1" operator="greaterThanOrEqual">
      <formula>7.5</formula>
    </cfRule>
    <cfRule type="cellIs" dxfId="3030" priority="3204" stopIfTrue="1" operator="between">
      <formula>3.51</formula>
      <formula>7.49</formula>
    </cfRule>
  </conditionalFormatting>
  <conditionalFormatting sqref="AA849">
    <cfRule type="cellIs" dxfId="3029" priority="3199" stopIfTrue="1" operator="lessThanOrEqual">
      <formula>3.5</formula>
    </cfRule>
    <cfRule type="cellIs" dxfId="3028" priority="3200" stopIfTrue="1" operator="greaterThanOrEqual">
      <formula>7.5</formula>
    </cfRule>
    <cfRule type="cellIs" dxfId="3027" priority="3201" stopIfTrue="1" operator="between">
      <formula>3.51</formula>
      <formula>7.49</formula>
    </cfRule>
  </conditionalFormatting>
  <conditionalFormatting sqref="AA1056">
    <cfRule type="cellIs" dxfId="3026" priority="3196" stopIfTrue="1" operator="lessThanOrEqual">
      <formula>3.5</formula>
    </cfRule>
    <cfRule type="cellIs" dxfId="3025" priority="3197" stopIfTrue="1" operator="greaterThanOrEqual">
      <formula>7.5</formula>
    </cfRule>
    <cfRule type="cellIs" dxfId="3024" priority="3198" stopIfTrue="1" operator="between">
      <formula>3.51</formula>
      <formula>7.49</formula>
    </cfRule>
  </conditionalFormatting>
  <conditionalFormatting sqref="AA1791">
    <cfRule type="cellIs" dxfId="3023" priority="3193" stopIfTrue="1" operator="lessThanOrEqual">
      <formula>3.5</formula>
    </cfRule>
    <cfRule type="cellIs" dxfId="3022" priority="3194" stopIfTrue="1" operator="greaterThanOrEqual">
      <formula>7.5</formula>
    </cfRule>
    <cfRule type="cellIs" dxfId="3021" priority="3195" stopIfTrue="1" operator="between">
      <formula>3.51</formula>
      <formula>7.49</formula>
    </cfRule>
  </conditionalFormatting>
  <conditionalFormatting sqref="AA2473">
    <cfRule type="cellIs" dxfId="3020" priority="3190" stopIfTrue="1" operator="lessThanOrEqual">
      <formula>3.5</formula>
    </cfRule>
    <cfRule type="cellIs" dxfId="3019" priority="3191" stopIfTrue="1" operator="greaterThanOrEqual">
      <formula>7.5</formula>
    </cfRule>
    <cfRule type="cellIs" dxfId="3018" priority="3192" stopIfTrue="1" operator="between">
      <formula>3.51</formula>
      <formula>7.49</formula>
    </cfRule>
  </conditionalFormatting>
  <conditionalFormatting sqref="AA3361">
    <cfRule type="cellIs" dxfId="3017" priority="3187" stopIfTrue="1" operator="lessThanOrEqual">
      <formula>3.5</formula>
    </cfRule>
    <cfRule type="cellIs" dxfId="3016" priority="3188" stopIfTrue="1" operator="greaterThanOrEqual">
      <formula>7.5</formula>
    </cfRule>
    <cfRule type="cellIs" dxfId="3015" priority="3189" stopIfTrue="1" operator="between">
      <formula>3.51</formula>
      <formula>7.49</formula>
    </cfRule>
  </conditionalFormatting>
  <conditionalFormatting sqref="AA3940">
    <cfRule type="cellIs" dxfId="3014" priority="3184" stopIfTrue="1" operator="lessThanOrEqual">
      <formula>3.5</formula>
    </cfRule>
    <cfRule type="cellIs" dxfId="3013" priority="3185" stopIfTrue="1" operator="greaterThanOrEqual">
      <formula>7.5</formula>
    </cfRule>
    <cfRule type="cellIs" dxfId="3012" priority="3186" stopIfTrue="1" operator="between">
      <formula>3.51</formula>
      <formula>7.49</formula>
    </cfRule>
  </conditionalFormatting>
  <conditionalFormatting sqref="AA4294">
    <cfRule type="cellIs" dxfId="3011" priority="3181" stopIfTrue="1" operator="lessThanOrEqual">
      <formula>3.5</formula>
    </cfRule>
    <cfRule type="cellIs" dxfId="3010" priority="3182" stopIfTrue="1" operator="greaterThanOrEqual">
      <formula>7.5</formula>
    </cfRule>
    <cfRule type="cellIs" dxfId="3009" priority="3183" stopIfTrue="1" operator="between">
      <formula>3.51</formula>
      <formula>7.49</formula>
    </cfRule>
  </conditionalFormatting>
  <conditionalFormatting sqref="AA5014">
    <cfRule type="cellIs" dxfId="3008" priority="3178" stopIfTrue="1" operator="lessThanOrEqual">
      <formula>3.5</formula>
    </cfRule>
    <cfRule type="cellIs" dxfId="3007" priority="3179" stopIfTrue="1" operator="greaterThanOrEqual">
      <formula>7.5</formula>
    </cfRule>
    <cfRule type="cellIs" dxfId="3006" priority="3180" stopIfTrue="1" operator="between">
      <formula>3.51</formula>
      <formula>7.49</formula>
    </cfRule>
  </conditionalFormatting>
  <conditionalFormatting sqref="AA5343">
    <cfRule type="cellIs" dxfId="3005" priority="3175" stopIfTrue="1" operator="lessThanOrEqual">
      <formula>3.5</formula>
    </cfRule>
    <cfRule type="cellIs" dxfId="3004" priority="3176" stopIfTrue="1" operator="greaterThanOrEqual">
      <formula>7.5</formula>
    </cfRule>
    <cfRule type="cellIs" dxfId="3003" priority="3177" stopIfTrue="1" operator="between">
      <formula>3.51</formula>
      <formula>7.49</formula>
    </cfRule>
  </conditionalFormatting>
  <conditionalFormatting sqref="AA436">
    <cfRule type="cellIs" dxfId="3002" priority="3172" stopIfTrue="1" operator="lessThanOrEqual">
      <formula>3.5</formula>
    </cfRule>
    <cfRule type="cellIs" dxfId="3001" priority="3173" stopIfTrue="1" operator="greaterThanOrEqual">
      <formula>7.5</formula>
    </cfRule>
    <cfRule type="cellIs" dxfId="3000" priority="3174" stopIfTrue="1" operator="between">
      <formula>3.51</formula>
      <formula>7.49</formula>
    </cfRule>
  </conditionalFormatting>
  <conditionalFormatting sqref="AA461">
    <cfRule type="cellIs" dxfId="2999" priority="3169" stopIfTrue="1" operator="lessThanOrEqual">
      <formula>3.5</formula>
    </cfRule>
    <cfRule type="cellIs" dxfId="2998" priority="3170" stopIfTrue="1" operator="greaterThanOrEqual">
      <formula>7.5</formula>
    </cfRule>
    <cfRule type="cellIs" dxfId="2997" priority="3171" stopIfTrue="1" operator="between">
      <formula>3.51</formula>
      <formula>7.49</formula>
    </cfRule>
  </conditionalFormatting>
  <conditionalFormatting sqref="AA459">
    <cfRule type="cellIs" dxfId="2996" priority="3166" stopIfTrue="1" operator="lessThanOrEqual">
      <formula>3.5</formula>
    </cfRule>
    <cfRule type="cellIs" dxfId="2995" priority="3167" stopIfTrue="1" operator="greaterThanOrEqual">
      <formula>7.5</formula>
    </cfRule>
    <cfRule type="cellIs" dxfId="2994" priority="3168" stopIfTrue="1" operator="between">
      <formula>3.51</formula>
      <formula>7.49</formula>
    </cfRule>
  </conditionalFormatting>
  <conditionalFormatting sqref="AA569">
    <cfRule type="cellIs" dxfId="2993" priority="3163" stopIfTrue="1" operator="lessThanOrEqual">
      <formula>3.5</formula>
    </cfRule>
    <cfRule type="cellIs" dxfId="2992" priority="3164" stopIfTrue="1" operator="greaterThanOrEqual">
      <formula>7.5</formula>
    </cfRule>
    <cfRule type="cellIs" dxfId="2991" priority="3165" stopIfTrue="1" operator="between">
      <formula>3.51</formula>
      <formula>7.49</formula>
    </cfRule>
  </conditionalFormatting>
  <conditionalFormatting sqref="AA571">
    <cfRule type="cellIs" dxfId="2990" priority="3160" stopIfTrue="1" operator="lessThanOrEqual">
      <formula>3.5</formula>
    </cfRule>
    <cfRule type="cellIs" dxfId="2989" priority="3161" stopIfTrue="1" operator="greaterThanOrEqual">
      <formula>7.5</formula>
    </cfRule>
    <cfRule type="cellIs" dxfId="2988" priority="3162" stopIfTrue="1" operator="between">
      <formula>3.51</formula>
      <formula>7.49</formula>
    </cfRule>
  </conditionalFormatting>
  <conditionalFormatting sqref="AA591">
    <cfRule type="cellIs" dxfId="2987" priority="3157" stopIfTrue="1" operator="lessThanOrEqual">
      <formula>3.5</formula>
    </cfRule>
    <cfRule type="cellIs" dxfId="2986" priority="3158" stopIfTrue="1" operator="greaterThanOrEqual">
      <formula>7.5</formula>
    </cfRule>
    <cfRule type="cellIs" dxfId="2985" priority="3159" stopIfTrue="1" operator="between">
      <formula>3.51</formula>
      <formula>7.49</formula>
    </cfRule>
  </conditionalFormatting>
  <conditionalFormatting sqref="AA641">
    <cfRule type="cellIs" dxfId="2984" priority="3154" stopIfTrue="1" operator="lessThanOrEqual">
      <formula>3.5</formula>
    </cfRule>
    <cfRule type="cellIs" dxfId="2983" priority="3155" stopIfTrue="1" operator="greaterThanOrEqual">
      <formula>7.5</formula>
    </cfRule>
    <cfRule type="cellIs" dxfId="2982" priority="3156" stopIfTrue="1" operator="between">
      <formula>3.51</formula>
      <formula>7.49</formula>
    </cfRule>
  </conditionalFormatting>
  <conditionalFormatting sqref="AA848">
    <cfRule type="cellIs" dxfId="2981" priority="3151" stopIfTrue="1" operator="lessThanOrEqual">
      <formula>3.5</formula>
    </cfRule>
    <cfRule type="cellIs" dxfId="2980" priority="3152" stopIfTrue="1" operator="greaterThanOrEqual">
      <formula>7.5</formula>
    </cfRule>
    <cfRule type="cellIs" dxfId="2979" priority="3153" stopIfTrue="1" operator="between">
      <formula>3.51</formula>
      <formula>7.49</formula>
    </cfRule>
  </conditionalFormatting>
  <conditionalFormatting sqref="AA886">
    <cfRule type="cellIs" dxfId="2978" priority="3148" stopIfTrue="1" operator="lessThanOrEqual">
      <formula>3.5</formula>
    </cfRule>
    <cfRule type="cellIs" dxfId="2977" priority="3149" stopIfTrue="1" operator="greaterThanOrEqual">
      <formula>7.5</formula>
    </cfRule>
    <cfRule type="cellIs" dxfId="2976" priority="3150" stopIfTrue="1" operator="between">
      <formula>3.51</formula>
      <formula>7.49</formula>
    </cfRule>
  </conditionalFormatting>
  <conditionalFormatting sqref="AA914">
    <cfRule type="cellIs" dxfId="2975" priority="3145" stopIfTrue="1" operator="lessThanOrEqual">
      <formula>3.5</formula>
    </cfRule>
    <cfRule type="cellIs" dxfId="2974" priority="3146" stopIfTrue="1" operator="greaterThanOrEqual">
      <formula>7.5</formula>
    </cfRule>
    <cfRule type="cellIs" dxfId="2973" priority="3147" stopIfTrue="1" operator="between">
      <formula>3.51</formula>
      <formula>7.49</formula>
    </cfRule>
  </conditionalFormatting>
  <conditionalFormatting sqref="AA1060">
    <cfRule type="cellIs" dxfId="2972" priority="3142" stopIfTrue="1" operator="lessThanOrEqual">
      <formula>3.5</formula>
    </cfRule>
    <cfRule type="cellIs" dxfId="2971" priority="3143" stopIfTrue="1" operator="greaterThanOrEqual">
      <formula>7.5</formula>
    </cfRule>
    <cfRule type="cellIs" dxfId="2970" priority="3144" stopIfTrue="1" operator="between">
      <formula>3.51</formula>
      <formula>7.49</formula>
    </cfRule>
  </conditionalFormatting>
  <conditionalFormatting sqref="AA753">
    <cfRule type="cellIs" dxfId="2969" priority="3139" stopIfTrue="1" operator="lessThanOrEqual">
      <formula>3.5</formula>
    </cfRule>
    <cfRule type="cellIs" dxfId="2968" priority="3140" stopIfTrue="1" operator="greaterThanOrEqual">
      <formula>7.5</formula>
    </cfRule>
    <cfRule type="cellIs" dxfId="2967" priority="3141" stopIfTrue="1" operator="between">
      <formula>3.51</formula>
      <formula>7.49</formula>
    </cfRule>
  </conditionalFormatting>
  <conditionalFormatting sqref="AA798">
    <cfRule type="cellIs" dxfId="2966" priority="3136" stopIfTrue="1" operator="lessThanOrEqual">
      <formula>3.5</formula>
    </cfRule>
    <cfRule type="cellIs" dxfId="2965" priority="3137" stopIfTrue="1" operator="greaterThanOrEqual">
      <formula>7.5</formula>
    </cfRule>
    <cfRule type="cellIs" dxfId="2964" priority="3138" stopIfTrue="1" operator="between">
      <formula>3.51</formula>
      <formula>7.49</formula>
    </cfRule>
  </conditionalFormatting>
  <conditionalFormatting sqref="AA1542">
    <cfRule type="cellIs" dxfId="2963" priority="3133" stopIfTrue="1" operator="lessThanOrEqual">
      <formula>3.5</formula>
    </cfRule>
    <cfRule type="cellIs" dxfId="2962" priority="3134" stopIfTrue="1" operator="greaterThanOrEqual">
      <formula>7.5</formula>
    </cfRule>
    <cfRule type="cellIs" dxfId="2961" priority="3135" stopIfTrue="1" operator="between">
      <formula>3.51</formula>
      <formula>7.49</formula>
    </cfRule>
  </conditionalFormatting>
  <conditionalFormatting sqref="AA1569">
    <cfRule type="cellIs" dxfId="2960" priority="3130" stopIfTrue="1" operator="lessThanOrEqual">
      <formula>3.5</formula>
    </cfRule>
    <cfRule type="cellIs" dxfId="2959" priority="3131" stopIfTrue="1" operator="greaterThanOrEqual">
      <formula>7.5</formula>
    </cfRule>
    <cfRule type="cellIs" dxfId="2958" priority="3132" stopIfTrue="1" operator="between">
      <formula>3.51</formula>
      <formula>7.49</formula>
    </cfRule>
  </conditionalFormatting>
  <conditionalFormatting sqref="AA1475">
    <cfRule type="cellIs" dxfId="2957" priority="3127" stopIfTrue="1" operator="lessThanOrEqual">
      <formula>3.5</formula>
    </cfRule>
    <cfRule type="cellIs" dxfId="2956" priority="3128" stopIfTrue="1" operator="greaterThanOrEqual">
      <formula>7.5</formula>
    </cfRule>
    <cfRule type="cellIs" dxfId="2955" priority="3129" stopIfTrue="1" operator="between">
      <formula>3.51</formula>
      <formula>7.49</formula>
    </cfRule>
  </conditionalFormatting>
  <conditionalFormatting sqref="AA1723">
    <cfRule type="cellIs" dxfId="2954" priority="3124" stopIfTrue="1" operator="lessThanOrEqual">
      <formula>3.5</formula>
    </cfRule>
    <cfRule type="cellIs" dxfId="2953" priority="3125" stopIfTrue="1" operator="greaterThanOrEqual">
      <formula>7.5</formula>
    </cfRule>
    <cfRule type="cellIs" dxfId="2952" priority="3126" stopIfTrue="1" operator="between">
      <formula>3.51</formula>
      <formula>7.49</formula>
    </cfRule>
  </conditionalFormatting>
  <conditionalFormatting sqref="AA1720">
    <cfRule type="cellIs" dxfId="2951" priority="3121" stopIfTrue="1" operator="lessThanOrEqual">
      <formula>3.5</formula>
    </cfRule>
    <cfRule type="cellIs" dxfId="2950" priority="3122" stopIfTrue="1" operator="greaterThanOrEqual">
      <formula>7.5</formula>
    </cfRule>
    <cfRule type="cellIs" dxfId="2949" priority="3123" stopIfTrue="1" operator="between">
      <formula>3.51</formula>
      <formula>7.49</formula>
    </cfRule>
  </conditionalFormatting>
  <conditionalFormatting sqref="AA1722">
    <cfRule type="cellIs" dxfId="2948" priority="3118" stopIfTrue="1" operator="lessThanOrEqual">
      <formula>3.5</formula>
    </cfRule>
    <cfRule type="cellIs" dxfId="2947" priority="3119" stopIfTrue="1" operator="greaterThanOrEqual">
      <formula>7.5</formula>
    </cfRule>
    <cfRule type="cellIs" dxfId="2946" priority="3120" stopIfTrue="1" operator="between">
      <formula>3.51</formula>
      <formula>7.49</formula>
    </cfRule>
  </conditionalFormatting>
  <conditionalFormatting sqref="AA1721">
    <cfRule type="cellIs" dxfId="2945" priority="3115" stopIfTrue="1" operator="lessThanOrEqual">
      <formula>3.5</formula>
    </cfRule>
    <cfRule type="cellIs" dxfId="2944" priority="3116" stopIfTrue="1" operator="greaterThanOrEqual">
      <formula>7.5</formula>
    </cfRule>
    <cfRule type="cellIs" dxfId="2943" priority="3117" stopIfTrue="1" operator="between">
      <formula>3.51</formula>
      <formula>7.49</formula>
    </cfRule>
  </conditionalFormatting>
  <conditionalFormatting sqref="AA1756">
    <cfRule type="cellIs" dxfId="2942" priority="3112" stopIfTrue="1" operator="lessThanOrEqual">
      <formula>3.5</formula>
    </cfRule>
    <cfRule type="cellIs" dxfId="2941" priority="3113" stopIfTrue="1" operator="greaterThanOrEqual">
      <formula>7.5</formula>
    </cfRule>
    <cfRule type="cellIs" dxfId="2940" priority="3114" stopIfTrue="1" operator="between">
      <formula>3.51</formula>
      <formula>7.49</formula>
    </cfRule>
  </conditionalFormatting>
  <conditionalFormatting sqref="AA1772">
    <cfRule type="cellIs" dxfId="2939" priority="3109" stopIfTrue="1" operator="lessThanOrEqual">
      <formula>3.5</formula>
    </cfRule>
    <cfRule type="cellIs" dxfId="2938" priority="3110" stopIfTrue="1" operator="greaterThanOrEqual">
      <formula>7.5</formula>
    </cfRule>
    <cfRule type="cellIs" dxfId="2937" priority="3111" stopIfTrue="1" operator="between">
      <formula>3.51</formula>
      <formula>7.49</formula>
    </cfRule>
  </conditionalFormatting>
  <conditionalFormatting sqref="AA1653">
    <cfRule type="cellIs" dxfId="2936" priority="3106" stopIfTrue="1" operator="lessThanOrEqual">
      <formula>3.5</formula>
    </cfRule>
    <cfRule type="cellIs" dxfId="2935" priority="3107" stopIfTrue="1" operator="greaterThanOrEqual">
      <formula>7.5</formula>
    </cfRule>
    <cfRule type="cellIs" dxfId="2934" priority="3108" stopIfTrue="1" operator="between">
      <formula>3.51</formula>
      <formula>7.49</formula>
    </cfRule>
  </conditionalFormatting>
  <conditionalFormatting sqref="AA1652">
    <cfRule type="cellIs" dxfId="2933" priority="3103" stopIfTrue="1" operator="lessThanOrEqual">
      <formula>3.5</formula>
    </cfRule>
    <cfRule type="cellIs" dxfId="2932" priority="3104" stopIfTrue="1" operator="greaterThanOrEqual">
      <formula>7.5</formula>
    </cfRule>
    <cfRule type="cellIs" dxfId="2931" priority="3105" stopIfTrue="1" operator="between">
      <formula>3.51</formula>
      <formula>7.49</formula>
    </cfRule>
  </conditionalFormatting>
  <conditionalFormatting sqref="AA1651">
    <cfRule type="cellIs" dxfId="2930" priority="3100" stopIfTrue="1" operator="lessThanOrEqual">
      <formula>3.5</formula>
    </cfRule>
    <cfRule type="cellIs" dxfId="2929" priority="3101" stopIfTrue="1" operator="greaterThanOrEqual">
      <formula>7.5</formula>
    </cfRule>
    <cfRule type="cellIs" dxfId="2928" priority="3102" stopIfTrue="1" operator="between">
      <formula>3.51</formula>
      <formula>7.49</formula>
    </cfRule>
  </conditionalFormatting>
  <conditionalFormatting sqref="AA1630">
    <cfRule type="cellIs" dxfId="2927" priority="3097" stopIfTrue="1" operator="lessThanOrEqual">
      <formula>3.5</formula>
    </cfRule>
    <cfRule type="cellIs" dxfId="2926" priority="3098" stopIfTrue="1" operator="greaterThanOrEqual">
      <formula>7.5</formula>
    </cfRule>
    <cfRule type="cellIs" dxfId="2925" priority="3099" stopIfTrue="1" operator="between">
      <formula>3.51</formula>
      <formula>7.49</formula>
    </cfRule>
  </conditionalFormatting>
  <conditionalFormatting sqref="AA1438">
    <cfRule type="cellIs" dxfId="2924" priority="3094" stopIfTrue="1" operator="lessThanOrEqual">
      <formula>3.5</formula>
    </cfRule>
    <cfRule type="cellIs" dxfId="2923" priority="3095" stopIfTrue="1" operator="greaterThanOrEqual">
      <formula>7.5</formula>
    </cfRule>
    <cfRule type="cellIs" dxfId="2922" priority="3096" stopIfTrue="1" operator="between">
      <formula>3.51</formula>
      <formula>7.49</formula>
    </cfRule>
  </conditionalFormatting>
  <conditionalFormatting sqref="AA1714">
    <cfRule type="cellIs" dxfId="2921" priority="3091" stopIfTrue="1" operator="lessThanOrEqual">
      <formula>3.5</formula>
    </cfRule>
    <cfRule type="cellIs" dxfId="2920" priority="3092" stopIfTrue="1" operator="greaterThanOrEqual">
      <formula>7.5</formula>
    </cfRule>
    <cfRule type="cellIs" dxfId="2919" priority="3093" stopIfTrue="1" operator="between">
      <formula>3.51</formula>
      <formula>7.49</formula>
    </cfRule>
  </conditionalFormatting>
  <conditionalFormatting sqref="AA1713">
    <cfRule type="cellIs" dxfId="2918" priority="3088" stopIfTrue="1" operator="lessThanOrEqual">
      <formula>3.5</formula>
    </cfRule>
    <cfRule type="cellIs" dxfId="2917" priority="3089" stopIfTrue="1" operator="greaterThanOrEqual">
      <formula>7.5</formula>
    </cfRule>
    <cfRule type="cellIs" dxfId="2916" priority="3090" stopIfTrue="1" operator="between">
      <formula>3.51</formula>
      <formula>7.49</formula>
    </cfRule>
  </conditionalFormatting>
  <conditionalFormatting sqref="AA1807">
    <cfRule type="cellIs" dxfId="2915" priority="3085" stopIfTrue="1" operator="lessThanOrEqual">
      <formula>3.5</formula>
    </cfRule>
    <cfRule type="cellIs" dxfId="2914" priority="3086" stopIfTrue="1" operator="greaterThanOrEqual">
      <formula>7.5</formula>
    </cfRule>
    <cfRule type="cellIs" dxfId="2913" priority="3087" stopIfTrue="1" operator="between">
      <formula>3.51</formula>
      <formula>7.49</formula>
    </cfRule>
  </conditionalFormatting>
  <conditionalFormatting sqref="AA1810">
    <cfRule type="cellIs" dxfId="2912" priority="3082" stopIfTrue="1" operator="lessThanOrEqual">
      <formula>3.5</formula>
    </cfRule>
    <cfRule type="cellIs" dxfId="2911" priority="3083" stopIfTrue="1" operator="greaterThanOrEqual">
      <formula>7.5</formula>
    </cfRule>
    <cfRule type="cellIs" dxfId="2910" priority="3084" stopIfTrue="1" operator="between">
      <formula>3.51</formula>
      <formula>7.49</formula>
    </cfRule>
  </conditionalFormatting>
  <conditionalFormatting sqref="AA1013">
    <cfRule type="cellIs" dxfId="2909" priority="3079" stopIfTrue="1" operator="lessThanOrEqual">
      <formula>3.5</formula>
    </cfRule>
    <cfRule type="cellIs" dxfId="2908" priority="3080" stopIfTrue="1" operator="greaterThanOrEqual">
      <formula>7.5</formula>
    </cfRule>
    <cfRule type="cellIs" dxfId="2907" priority="3081" stopIfTrue="1" operator="between">
      <formula>3.51</formula>
      <formula>7.49</formula>
    </cfRule>
  </conditionalFormatting>
  <conditionalFormatting sqref="AA1819">
    <cfRule type="cellIs" dxfId="2906" priority="3076" stopIfTrue="1" operator="lessThanOrEqual">
      <formula>3.5</formula>
    </cfRule>
    <cfRule type="cellIs" dxfId="2905" priority="3077" stopIfTrue="1" operator="greaterThanOrEqual">
      <formula>7.5</formula>
    </cfRule>
    <cfRule type="cellIs" dxfId="2904" priority="3078" stopIfTrue="1" operator="between">
      <formula>3.51</formula>
      <formula>7.49</formula>
    </cfRule>
  </conditionalFormatting>
  <conditionalFormatting sqref="AA1846">
    <cfRule type="cellIs" dxfId="2903" priority="3073" stopIfTrue="1" operator="lessThanOrEqual">
      <formula>3.5</formula>
    </cfRule>
    <cfRule type="cellIs" dxfId="2902" priority="3074" stopIfTrue="1" operator="greaterThanOrEqual">
      <formula>7.5</formula>
    </cfRule>
    <cfRule type="cellIs" dxfId="2901" priority="3075" stopIfTrue="1" operator="between">
      <formula>3.51</formula>
      <formula>7.49</formula>
    </cfRule>
  </conditionalFormatting>
  <conditionalFormatting sqref="AA1845">
    <cfRule type="cellIs" dxfId="2900" priority="3070" stopIfTrue="1" operator="lessThanOrEqual">
      <formula>3.5</formula>
    </cfRule>
    <cfRule type="cellIs" dxfId="2899" priority="3071" stopIfTrue="1" operator="greaterThanOrEqual">
      <formula>7.5</formula>
    </cfRule>
    <cfRule type="cellIs" dxfId="2898" priority="3072" stopIfTrue="1" operator="between">
      <formula>3.51</formula>
      <formula>7.49</formula>
    </cfRule>
  </conditionalFormatting>
  <conditionalFormatting sqref="AA1844">
    <cfRule type="cellIs" dxfId="2897" priority="3067" stopIfTrue="1" operator="lessThanOrEqual">
      <formula>3.5</formula>
    </cfRule>
    <cfRule type="cellIs" dxfId="2896" priority="3068" stopIfTrue="1" operator="greaterThanOrEqual">
      <formula>7.5</formula>
    </cfRule>
    <cfRule type="cellIs" dxfId="2895" priority="3069" stopIfTrue="1" operator="between">
      <formula>3.51</formula>
      <formula>7.49</formula>
    </cfRule>
  </conditionalFormatting>
  <conditionalFormatting sqref="AA1843">
    <cfRule type="cellIs" dxfId="2894" priority="3064" stopIfTrue="1" operator="lessThanOrEqual">
      <formula>3.5</formula>
    </cfRule>
    <cfRule type="cellIs" dxfId="2893" priority="3065" stopIfTrue="1" operator="greaterThanOrEqual">
      <formula>7.5</formula>
    </cfRule>
    <cfRule type="cellIs" dxfId="2892" priority="3066" stopIfTrue="1" operator="between">
      <formula>3.51</formula>
      <formula>7.49</formula>
    </cfRule>
  </conditionalFormatting>
  <conditionalFormatting sqref="AA1890">
    <cfRule type="cellIs" dxfId="2891" priority="3061" stopIfTrue="1" operator="lessThanOrEqual">
      <formula>3.5</formula>
    </cfRule>
    <cfRule type="cellIs" dxfId="2890" priority="3062" stopIfTrue="1" operator="greaterThanOrEqual">
      <formula>7.5</formula>
    </cfRule>
    <cfRule type="cellIs" dxfId="2889" priority="3063" stopIfTrue="1" operator="between">
      <formula>3.51</formula>
      <formula>7.49</formula>
    </cfRule>
  </conditionalFormatting>
  <conditionalFormatting sqref="AA2089">
    <cfRule type="cellIs" dxfId="2888" priority="3058" stopIfTrue="1" operator="lessThanOrEqual">
      <formula>3.5</formula>
    </cfRule>
    <cfRule type="cellIs" dxfId="2887" priority="3059" stopIfTrue="1" operator="greaterThanOrEqual">
      <formula>7.5</formula>
    </cfRule>
    <cfRule type="cellIs" dxfId="2886" priority="3060" stopIfTrue="1" operator="between">
      <formula>3.51</formula>
      <formula>7.49</formula>
    </cfRule>
  </conditionalFormatting>
  <conditionalFormatting sqref="AA2094">
    <cfRule type="cellIs" dxfId="2885" priority="3055" stopIfTrue="1" operator="lessThanOrEqual">
      <formula>3.5</formula>
    </cfRule>
    <cfRule type="cellIs" dxfId="2884" priority="3056" stopIfTrue="1" operator="greaterThanOrEqual">
      <formula>7.5</formula>
    </cfRule>
    <cfRule type="cellIs" dxfId="2883" priority="3057" stopIfTrue="1" operator="between">
      <formula>3.51</formula>
      <formula>7.49</formula>
    </cfRule>
  </conditionalFormatting>
  <conditionalFormatting sqref="AA2136">
    <cfRule type="cellIs" dxfId="2882" priority="3052" stopIfTrue="1" operator="lessThanOrEqual">
      <formula>3.5</formula>
    </cfRule>
    <cfRule type="cellIs" dxfId="2881" priority="3053" stopIfTrue="1" operator="greaterThanOrEqual">
      <formula>7.5</formula>
    </cfRule>
    <cfRule type="cellIs" dxfId="2880" priority="3054" stopIfTrue="1" operator="between">
      <formula>3.51</formula>
      <formula>7.49</formula>
    </cfRule>
  </conditionalFormatting>
  <conditionalFormatting sqref="AA2192">
    <cfRule type="cellIs" dxfId="2879" priority="3049" stopIfTrue="1" operator="lessThanOrEqual">
      <formula>3.5</formula>
    </cfRule>
    <cfRule type="cellIs" dxfId="2878" priority="3050" stopIfTrue="1" operator="greaterThanOrEqual">
      <formula>7.5</formula>
    </cfRule>
    <cfRule type="cellIs" dxfId="2877" priority="3051" stopIfTrue="1" operator="between">
      <formula>3.51</formula>
      <formula>7.49</formula>
    </cfRule>
  </conditionalFormatting>
  <conditionalFormatting sqref="AA2270">
    <cfRule type="cellIs" dxfId="2876" priority="3046" stopIfTrue="1" operator="lessThanOrEqual">
      <formula>3.5</formula>
    </cfRule>
    <cfRule type="cellIs" dxfId="2875" priority="3047" stopIfTrue="1" operator="greaterThanOrEqual">
      <formula>7.5</formula>
    </cfRule>
    <cfRule type="cellIs" dxfId="2874" priority="3048" stopIfTrue="1" operator="between">
      <formula>3.51</formula>
      <formula>7.49</formula>
    </cfRule>
  </conditionalFormatting>
  <conditionalFormatting sqref="AA2269">
    <cfRule type="cellIs" dxfId="2873" priority="3043" stopIfTrue="1" operator="lessThanOrEqual">
      <formula>3.5</formula>
    </cfRule>
    <cfRule type="cellIs" dxfId="2872" priority="3044" stopIfTrue="1" operator="greaterThanOrEqual">
      <formula>7.5</formula>
    </cfRule>
    <cfRule type="cellIs" dxfId="2871" priority="3045" stopIfTrue="1" operator="between">
      <formula>3.51</formula>
      <formula>7.49</formula>
    </cfRule>
  </conditionalFormatting>
  <conditionalFormatting sqref="AA2297">
    <cfRule type="cellIs" dxfId="2870" priority="3040" stopIfTrue="1" operator="lessThanOrEqual">
      <formula>3.5</formula>
    </cfRule>
    <cfRule type="cellIs" dxfId="2869" priority="3041" stopIfTrue="1" operator="greaterThanOrEqual">
      <formula>7.5</formula>
    </cfRule>
    <cfRule type="cellIs" dxfId="2868" priority="3042" stopIfTrue="1" operator="between">
      <formula>3.51</formula>
      <formula>7.49</formula>
    </cfRule>
  </conditionalFormatting>
  <conditionalFormatting sqref="AA2386">
    <cfRule type="cellIs" dxfId="2867" priority="3037" stopIfTrue="1" operator="lessThanOrEqual">
      <formula>3.5</formula>
    </cfRule>
    <cfRule type="cellIs" dxfId="2866" priority="3038" stopIfTrue="1" operator="greaterThanOrEqual">
      <formula>7.5</formula>
    </cfRule>
    <cfRule type="cellIs" dxfId="2865" priority="3039" stopIfTrue="1" operator="between">
      <formula>3.51</formula>
      <formula>7.49</formula>
    </cfRule>
  </conditionalFormatting>
  <conditionalFormatting sqref="AA2385">
    <cfRule type="cellIs" dxfId="2864" priority="3034" stopIfTrue="1" operator="lessThanOrEqual">
      <formula>3.5</formula>
    </cfRule>
    <cfRule type="cellIs" dxfId="2863" priority="3035" stopIfTrue="1" operator="greaterThanOrEqual">
      <formula>7.5</formula>
    </cfRule>
    <cfRule type="cellIs" dxfId="2862" priority="3036" stopIfTrue="1" operator="between">
      <formula>3.51</formula>
      <formula>7.49</formula>
    </cfRule>
  </conditionalFormatting>
  <conditionalFormatting sqref="AA2384">
    <cfRule type="cellIs" dxfId="2861" priority="3031" stopIfTrue="1" operator="lessThanOrEqual">
      <formula>3.5</formula>
    </cfRule>
    <cfRule type="cellIs" dxfId="2860" priority="3032" stopIfTrue="1" operator="greaterThanOrEqual">
      <formula>7.5</formula>
    </cfRule>
    <cfRule type="cellIs" dxfId="2859" priority="3033" stopIfTrue="1" operator="between">
      <formula>3.51</formula>
      <formula>7.49</formula>
    </cfRule>
  </conditionalFormatting>
  <conditionalFormatting sqref="AA2383">
    <cfRule type="cellIs" dxfId="2858" priority="3028" stopIfTrue="1" operator="lessThanOrEqual">
      <formula>3.5</formula>
    </cfRule>
    <cfRule type="cellIs" dxfId="2857" priority="3029" stopIfTrue="1" operator="greaterThanOrEqual">
      <formula>7.5</formula>
    </cfRule>
    <cfRule type="cellIs" dxfId="2856" priority="3030" stopIfTrue="1" operator="between">
      <formula>3.51</formula>
      <formula>7.49</formula>
    </cfRule>
  </conditionalFormatting>
  <conditionalFormatting sqref="AA2382">
    <cfRule type="cellIs" dxfId="2855" priority="3025" stopIfTrue="1" operator="lessThanOrEqual">
      <formula>3.5</formula>
    </cfRule>
    <cfRule type="cellIs" dxfId="2854" priority="3026" stopIfTrue="1" operator="greaterThanOrEqual">
      <formula>7.5</formula>
    </cfRule>
    <cfRule type="cellIs" dxfId="2853" priority="3027" stopIfTrue="1" operator="between">
      <formula>3.51</formula>
      <formula>7.49</formula>
    </cfRule>
  </conditionalFormatting>
  <conditionalFormatting sqref="AA2381">
    <cfRule type="cellIs" dxfId="2852" priority="3022" stopIfTrue="1" operator="lessThanOrEqual">
      <formula>3.5</formula>
    </cfRule>
    <cfRule type="cellIs" dxfId="2851" priority="3023" stopIfTrue="1" operator="greaterThanOrEqual">
      <formula>7.5</formula>
    </cfRule>
    <cfRule type="cellIs" dxfId="2850" priority="3024" stopIfTrue="1" operator="between">
      <formula>3.51</formula>
      <formula>7.49</formula>
    </cfRule>
  </conditionalFormatting>
  <conditionalFormatting sqref="AA2396">
    <cfRule type="cellIs" dxfId="2849" priority="3019" stopIfTrue="1" operator="lessThanOrEqual">
      <formula>3.5</formula>
    </cfRule>
    <cfRule type="cellIs" dxfId="2848" priority="3020" stopIfTrue="1" operator="greaterThanOrEqual">
      <formula>7.5</formula>
    </cfRule>
    <cfRule type="cellIs" dxfId="2847" priority="3021" stopIfTrue="1" operator="between">
      <formula>3.51</formula>
      <formula>7.49</formula>
    </cfRule>
  </conditionalFormatting>
  <conditionalFormatting sqref="AA2409">
    <cfRule type="cellIs" dxfId="2846" priority="3016" stopIfTrue="1" operator="lessThanOrEqual">
      <formula>3.5</formula>
    </cfRule>
    <cfRule type="cellIs" dxfId="2845" priority="3017" stopIfTrue="1" operator="greaterThanOrEqual">
      <formula>7.5</formula>
    </cfRule>
    <cfRule type="cellIs" dxfId="2844" priority="3018" stopIfTrue="1" operator="between">
      <formula>3.51</formula>
      <formula>7.49</formula>
    </cfRule>
  </conditionalFormatting>
  <conditionalFormatting sqref="AA2492">
    <cfRule type="cellIs" dxfId="2843" priority="3013" stopIfTrue="1" operator="lessThanOrEqual">
      <formula>3.5</formula>
    </cfRule>
    <cfRule type="cellIs" dxfId="2842" priority="3014" stopIfTrue="1" operator="greaterThanOrEqual">
      <formula>7.5</formula>
    </cfRule>
    <cfRule type="cellIs" dxfId="2841" priority="3015" stopIfTrue="1" operator="between">
      <formula>3.51</formula>
      <formula>7.49</formula>
    </cfRule>
  </conditionalFormatting>
  <conditionalFormatting sqref="AA2509">
    <cfRule type="cellIs" dxfId="2840" priority="3010" stopIfTrue="1" operator="lessThanOrEqual">
      <formula>3.5</formula>
    </cfRule>
    <cfRule type="cellIs" dxfId="2839" priority="3011" stopIfTrue="1" operator="greaterThanOrEqual">
      <formula>7.5</formula>
    </cfRule>
    <cfRule type="cellIs" dxfId="2838" priority="3012" stopIfTrue="1" operator="between">
      <formula>3.51</formula>
      <formula>7.49</formula>
    </cfRule>
  </conditionalFormatting>
  <conditionalFormatting sqref="AA2559">
    <cfRule type="cellIs" dxfId="2837" priority="3007" stopIfTrue="1" operator="lessThanOrEqual">
      <formula>3.5</formula>
    </cfRule>
    <cfRule type="cellIs" dxfId="2836" priority="3008" stopIfTrue="1" operator="greaterThanOrEqual">
      <formula>7.5</formula>
    </cfRule>
    <cfRule type="cellIs" dxfId="2835" priority="3009" stopIfTrue="1" operator="between">
      <formula>3.51</formula>
      <formula>7.49</formula>
    </cfRule>
  </conditionalFormatting>
  <conditionalFormatting sqref="AA2191">
    <cfRule type="cellIs" dxfId="2834" priority="3004" stopIfTrue="1" operator="lessThanOrEqual">
      <formula>3.5</formula>
    </cfRule>
    <cfRule type="cellIs" dxfId="2833" priority="3005" stopIfTrue="1" operator="greaterThanOrEqual">
      <formula>7.5</formula>
    </cfRule>
    <cfRule type="cellIs" dxfId="2832" priority="3006" stopIfTrue="1" operator="between">
      <formula>3.51</formula>
      <formula>7.49</formula>
    </cfRule>
  </conditionalFormatting>
  <conditionalFormatting sqref="AA2186">
    <cfRule type="cellIs" dxfId="2831" priority="3001" stopIfTrue="1" operator="lessThanOrEqual">
      <formula>3.5</formula>
    </cfRule>
    <cfRule type="cellIs" dxfId="2830" priority="3002" stopIfTrue="1" operator="greaterThanOrEqual">
      <formula>7.5</formula>
    </cfRule>
    <cfRule type="cellIs" dxfId="2829" priority="3003" stopIfTrue="1" operator="between">
      <formula>3.51</formula>
      <formula>7.49</formula>
    </cfRule>
  </conditionalFormatting>
  <conditionalFormatting sqref="AA2185">
    <cfRule type="cellIs" dxfId="2828" priority="2998" stopIfTrue="1" operator="lessThanOrEqual">
      <formula>3.5</formula>
    </cfRule>
    <cfRule type="cellIs" dxfId="2827" priority="2999" stopIfTrue="1" operator="greaterThanOrEqual">
      <formula>7.5</formula>
    </cfRule>
    <cfRule type="cellIs" dxfId="2826" priority="3000" stopIfTrue="1" operator="between">
      <formula>3.51</formula>
      <formula>7.49</formula>
    </cfRule>
  </conditionalFormatting>
  <conditionalFormatting sqref="AA2625">
    <cfRule type="cellIs" dxfId="2825" priority="2995" stopIfTrue="1" operator="lessThanOrEqual">
      <formula>3.5</formula>
    </cfRule>
    <cfRule type="cellIs" dxfId="2824" priority="2996" stopIfTrue="1" operator="greaterThanOrEqual">
      <formula>7.5</formula>
    </cfRule>
    <cfRule type="cellIs" dxfId="2823" priority="2997" stopIfTrue="1" operator="between">
      <formula>3.51</formula>
      <formula>7.49</formula>
    </cfRule>
  </conditionalFormatting>
  <conditionalFormatting sqref="AA2519">
    <cfRule type="cellIs" dxfId="2822" priority="2992" stopIfTrue="1" operator="lessThanOrEqual">
      <formula>3.5</formula>
    </cfRule>
    <cfRule type="cellIs" dxfId="2821" priority="2993" stopIfTrue="1" operator="greaterThanOrEqual">
      <formula>7.5</formula>
    </cfRule>
    <cfRule type="cellIs" dxfId="2820" priority="2994" stopIfTrue="1" operator="between">
      <formula>3.51</formula>
      <formula>7.49</formula>
    </cfRule>
  </conditionalFormatting>
  <conditionalFormatting sqref="AA1781">
    <cfRule type="cellIs" dxfId="2819" priority="2989" stopIfTrue="1" operator="lessThanOrEqual">
      <formula>3.5</formula>
    </cfRule>
    <cfRule type="cellIs" dxfId="2818" priority="2990" stopIfTrue="1" operator="greaterThanOrEqual">
      <formula>7.5</formula>
    </cfRule>
    <cfRule type="cellIs" dxfId="2817" priority="2991" stopIfTrue="1" operator="between">
      <formula>3.51</formula>
      <formula>7.49</formula>
    </cfRule>
  </conditionalFormatting>
  <conditionalFormatting sqref="AA2054">
    <cfRule type="cellIs" dxfId="2816" priority="2986" stopIfTrue="1" operator="lessThanOrEqual">
      <formula>3.5</formula>
    </cfRule>
    <cfRule type="cellIs" dxfId="2815" priority="2987" stopIfTrue="1" operator="greaterThanOrEqual">
      <formula>7.5</formula>
    </cfRule>
    <cfRule type="cellIs" dxfId="2814" priority="2988" stopIfTrue="1" operator="between">
      <formula>3.51</formula>
      <formula>7.49</formula>
    </cfRule>
  </conditionalFormatting>
  <conditionalFormatting sqref="AA1557">
    <cfRule type="cellIs" dxfId="2813" priority="2983" stopIfTrue="1" operator="lessThanOrEqual">
      <formula>3.5</formula>
    </cfRule>
    <cfRule type="cellIs" dxfId="2812" priority="2984" stopIfTrue="1" operator="greaterThanOrEqual">
      <formula>7.5</formula>
    </cfRule>
    <cfRule type="cellIs" dxfId="2811" priority="2985" stopIfTrue="1" operator="between">
      <formula>3.51</formula>
      <formula>7.49</formula>
    </cfRule>
  </conditionalFormatting>
  <conditionalFormatting sqref="AA1556">
    <cfRule type="cellIs" dxfId="2810" priority="2980" stopIfTrue="1" operator="lessThanOrEqual">
      <formula>3.5</formula>
    </cfRule>
    <cfRule type="cellIs" dxfId="2809" priority="2981" stopIfTrue="1" operator="greaterThanOrEqual">
      <formula>7.5</formula>
    </cfRule>
    <cfRule type="cellIs" dxfId="2808" priority="2982" stopIfTrue="1" operator="between">
      <formula>3.51</formula>
      <formula>7.49</formula>
    </cfRule>
  </conditionalFormatting>
  <conditionalFormatting sqref="AA1555">
    <cfRule type="cellIs" dxfId="2807" priority="2977" stopIfTrue="1" operator="lessThanOrEqual">
      <formula>3.5</formula>
    </cfRule>
    <cfRule type="cellIs" dxfId="2806" priority="2978" stopIfTrue="1" operator="greaterThanOrEqual">
      <formula>7.5</formula>
    </cfRule>
    <cfRule type="cellIs" dxfId="2805" priority="2979" stopIfTrue="1" operator="between">
      <formula>3.51</formula>
      <formula>7.49</formula>
    </cfRule>
  </conditionalFormatting>
  <conditionalFormatting sqref="AA1554">
    <cfRule type="cellIs" dxfId="2804" priority="2974" stopIfTrue="1" operator="lessThanOrEqual">
      <formula>3.5</formula>
    </cfRule>
    <cfRule type="cellIs" dxfId="2803" priority="2975" stopIfTrue="1" operator="greaterThanOrEqual">
      <formula>7.5</formula>
    </cfRule>
    <cfRule type="cellIs" dxfId="2802" priority="2976" stopIfTrue="1" operator="between">
      <formula>3.51</formula>
      <formula>7.49</formula>
    </cfRule>
  </conditionalFormatting>
  <conditionalFormatting sqref="AA1552">
    <cfRule type="cellIs" dxfId="2801" priority="2971" stopIfTrue="1" operator="lessThanOrEqual">
      <formula>3.5</formula>
    </cfRule>
    <cfRule type="cellIs" dxfId="2800" priority="2972" stopIfTrue="1" operator="greaterThanOrEqual">
      <formula>7.5</formula>
    </cfRule>
    <cfRule type="cellIs" dxfId="2799" priority="2973" stopIfTrue="1" operator="between">
      <formula>3.51</formula>
      <formula>7.49</formula>
    </cfRule>
  </conditionalFormatting>
  <conditionalFormatting sqref="AA1549">
    <cfRule type="cellIs" dxfId="2798" priority="2968" stopIfTrue="1" operator="lessThanOrEqual">
      <formula>3.5</formula>
    </cfRule>
    <cfRule type="cellIs" dxfId="2797" priority="2969" stopIfTrue="1" operator="greaterThanOrEqual">
      <formula>7.5</formula>
    </cfRule>
    <cfRule type="cellIs" dxfId="2796" priority="2970" stopIfTrue="1" operator="between">
      <formula>3.51</formula>
      <formula>7.49</formula>
    </cfRule>
  </conditionalFormatting>
  <conditionalFormatting sqref="AA1548">
    <cfRule type="cellIs" dxfId="2795" priority="2965" stopIfTrue="1" operator="lessThanOrEqual">
      <formula>3.5</formula>
    </cfRule>
    <cfRule type="cellIs" dxfId="2794" priority="2966" stopIfTrue="1" operator="greaterThanOrEqual">
      <formula>7.5</formula>
    </cfRule>
    <cfRule type="cellIs" dxfId="2793" priority="2967" stopIfTrue="1" operator="between">
      <formula>3.51</formula>
      <formula>7.49</formula>
    </cfRule>
  </conditionalFormatting>
  <conditionalFormatting sqref="AA1014">
    <cfRule type="cellIs" dxfId="2792" priority="2962" stopIfTrue="1" operator="lessThanOrEqual">
      <formula>3.5</formula>
    </cfRule>
    <cfRule type="cellIs" dxfId="2791" priority="2963" stopIfTrue="1" operator="greaterThanOrEqual">
      <formula>7.5</formula>
    </cfRule>
    <cfRule type="cellIs" dxfId="2790" priority="2964" stopIfTrue="1" operator="between">
      <formula>3.51</formula>
      <formula>7.49</formula>
    </cfRule>
  </conditionalFormatting>
  <conditionalFormatting sqref="AA2688">
    <cfRule type="cellIs" dxfId="2789" priority="2959" stopIfTrue="1" operator="lessThanOrEqual">
      <formula>3.5</formula>
    </cfRule>
    <cfRule type="cellIs" dxfId="2788" priority="2960" stopIfTrue="1" operator="greaterThanOrEqual">
      <formula>7.5</formula>
    </cfRule>
    <cfRule type="cellIs" dxfId="2787" priority="2961" stopIfTrue="1" operator="between">
      <formula>3.51</formula>
      <formula>7.49</formula>
    </cfRule>
  </conditionalFormatting>
  <conditionalFormatting sqref="AA902">
    <cfRule type="cellIs" dxfId="2786" priority="2956" stopIfTrue="1" operator="lessThanOrEqual">
      <formula>3.5</formula>
    </cfRule>
    <cfRule type="cellIs" dxfId="2785" priority="2957" stopIfTrue="1" operator="greaterThanOrEqual">
      <formula>7.5</formula>
    </cfRule>
    <cfRule type="cellIs" dxfId="2784" priority="2958" stopIfTrue="1" operator="between">
      <formula>3.51</formula>
      <formula>7.49</formula>
    </cfRule>
  </conditionalFormatting>
  <conditionalFormatting sqref="AA3760">
    <cfRule type="cellIs" dxfId="2783" priority="2953" stopIfTrue="1" operator="lessThanOrEqual">
      <formula>3.5</formula>
    </cfRule>
    <cfRule type="cellIs" dxfId="2782" priority="2954" stopIfTrue="1" operator="greaterThanOrEqual">
      <formula>7.5</formula>
    </cfRule>
    <cfRule type="cellIs" dxfId="2781" priority="2955" stopIfTrue="1" operator="between">
      <formula>3.51</formula>
      <formula>7.49</formula>
    </cfRule>
  </conditionalFormatting>
  <conditionalFormatting sqref="AA3927">
    <cfRule type="cellIs" dxfId="2780" priority="2950" stopIfTrue="1" operator="lessThanOrEqual">
      <formula>3.5</formula>
    </cfRule>
    <cfRule type="cellIs" dxfId="2779" priority="2951" stopIfTrue="1" operator="greaterThanOrEqual">
      <formula>7.5</formula>
    </cfRule>
    <cfRule type="cellIs" dxfId="2778" priority="2952" stopIfTrue="1" operator="between">
      <formula>3.51</formula>
      <formula>7.49</formula>
    </cfRule>
  </conditionalFormatting>
  <conditionalFormatting sqref="AA1437">
    <cfRule type="cellIs" dxfId="2777" priority="2947" stopIfTrue="1" operator="lessThanOrEqual">
      <formula>3.5</formula>
    </cfRule>
    <cfRule type="cellIs" dxfId="2776" priority="2948" stopIfTrue="1" operator="greaterThanOrEqual">
      <formula>7.5</formula>
    </cfRule>
    <cfRule type="cellIs" dxfId="2775" priority="2949" stopIfTrue="1" operator="between">
      <formula>3.51</formula>
      <formula>7.49</formula>
    </cfRule>
  </conditionalFormatting>
  <conditionalFormatting sqref="AA1436">
    <cfRule type="cellIs" dxfId="2774" priority="2944" stopIfTrue="1" operator="lessThanOrEqual">
      <formula>3.5</formula>
    </cfRule>
    <cfRule type="cellIs" dxfId="2773" priority="2945" stopIfTrue="1" operator="greaterThanOrEqual">
      <formula>7.5</formula>
    </cfRule>
    <cfRule type="cellIs" dxfId="2772" priority="2946" stopIfTrue="1" operator="between">
      <formula>3.51</formula>
      <formula>7.49</formula>
    </cfRule>
  </conditionalFormatting>
  <conditionalFormatting sqref="AA5340">
    <cfRule type="cellIs" dxfId="2771" priority="2941" stopIfTrue="1" operator="lessThanOrEqual">
      <formula>3.5</formula>
    </cfRule>
    <cfRule type="cellIs" dxfId="2770" priority="2942" stopIfTrue="1" operator="greaterThanOrEqual">
      <formula>7.5</formula>
    </cfRule>
    <cfRule type="cellIs" dxfId="2769" priority="2943" stopIfTrue="1" operator="between">
      <formula>3.51</formula>
      <formula>7.49</formula>
    </cfRule>
  </conditionalFormatting>
  <conditionalFormatting sqref="AA699">
    <cfRule type="cellIs" dxfId="2768" priority="2938" stopIfTrue="1" operator="lessThanOrEqual">
      <formula>3.5</formula>
    </cfRule>
    <cfRule type="cellIs" dxfId="2767" priority="2939" stopIfTrue="1" operator="greaterThanOrEqual">
      <formula>7.5</formula>
    </cfRule>
    <cfRule type="cellIs" dxfId="2766" priority="2940" stopIfTrue="1" operator="between">
      <formula>3.51</formula>
      <formula>7.49</formula>
    </cfRule>
  </conditionalFormatting>
  <conditionalFormatting sqref="AA986">
    <cfRule type="cellIs" dxfId="2765" priority="2935" stopIfTrue="1" operator="lessThanOrEqual">
      <formula>3.5</formula>
    </cfRule>
    <cfRule type="cellIs" dxfId="2764" priority="2936" stopIfTrue="1" operator="greaterThanOrEqual">
      <formula>7.5</formula>
    </cfRule>
    <cfRule type="cellIs" dxfId="2763" priority="2937" stopIfTrue="1" operator="between">
      <formula>3.51</formula>
      <formula>7.49</formula>
    </cfRule>
  </conditionalFormatting>
  <conditionalFormatting sqref="AA992">
    <cfRule type="cellIs" dxfId="2762" priority="2932" stopIfTrue="1" operator="lessThanOrEqual">
      <formula>3.5</formula>
    </cfRule>
    <cfRule type="cellIs" dxfId="2761" priority="2933" stopIfTrue="1" operator="greaterThanOrEqual">
      <formula>7.5</formula>
    </cfRule>
    <cfRule type="cellIs" dxfId="2760" priority="2934" stopIfTrue="1" operator="between">
      <formula>3.51</formula>
      <formula>7.49</formula>
    </cfRule>
  </conditionalFormatting>
  <conditionalFormatting sqref="AA989">
    <cfRule type="cellIs" dxfId="2759" priority="2929" stopIfTrue="1" operator="lessThanOrEqual">
      <formula>3.5</formula>
    </cfRule>
    <cfRule type="cellIs" dxfId="2758" priority="2930" stopIfTrue="1" operator="greaterThanOrEqual">
      <formula>7.5</formula>
    </cfRule>
    <cfRule type="cellIs" dxfId="2757" priority="2931" stopIfTrue="1" operator="between">
      <formula>3.51</formula>
      <formula>7.49</formula>
    </cfRule>
  </conditionalFormatting>
  <conditionalFormatting sqref="AA991">
    <cfRule type="cellIs" dxfId="2756" priority="2926" stopIfTrue="1" operator="lessThanOrEqual">
      <formula>3.5</formula>
    </cfRule>
    <cfRule type="cellIs" dxfId="2755" priority="2927" stopIfTrue="1" operator="greaterThanOrEqual">
      <formula>7.5</formula>
    </cfRule>
    <cfRule type="cellIs" dxfId="2754" priority="2928" stopIfTrue="1" operator="between">
      <formula>3.51</formula>
      <formula>7.49</formula>
    </cfRule>
  </conditionalFormatting>
  <conditionalFormatting sqref="AA990">
    <cfRule type="cellIs" dxfId="2753" priority="2923" stopIfTrue="1" operator="lessThanOrEqual">
      <formula>3.5</formula>
    </cfRule>
    <cfRule type="cellIs" dxfId="2752" priority="2924" stopIfTrue="1" operator="greaterThanOrEqual">
      <formula>7.5</formula>
    </cfRule>
    <cfRule type="cellIs" dxfId="2751" priority="2925" stopIfTrue="1" operator="between">
      <formula>3.51</formula>
      <formula>7.49</formula>
    </cfRule>
  </conditionalFormatting>
  <conditionalFormatting sqref="AA1085:AA1086">
    <cfRule type="cellIs" dxfId="2750" priority="2920" stopIfTrue="1" operator="lessThanOrEqual">
      <formula>3.5</formula>
    </cfRule>
    <cfRule type="cellIs" dxfId="2749" priority="2921" stopIfTrue="1" operator="greaterThanOrEqual">
      <formula>7.5</formula>
    </cfRule>
    <cfRule type="cellIs" dxfId="2748" priority="2922" stopIfTrue="1" operator="between">
      <formula>3.51</formula>
      <formula>7.49</formula>
    </cfRule>
  </conditionalFormatting>
  <conditionalFormatting sqref="AA752">
    <cfRule type="cellIs" dxfId="2747" priority="2917" stopIfTrue="1" operator="lessThanOrEqual">
      <formula>3.5</formula>
    </cfRule>
    <cfRule type="cellIs" dxfId="2746" priority="2918" stopIfTrue="1" operator="greaterThanOrEqual">
      <formula>7.5</formula>
    </cfRule>
    <cfRule type="cellIs" dxfId="2745" priority="2919" stopIfTrue="1" operator="between">
      <formula>3.51</formula>
      <formula>7.49</formula>
    </cfRule>
  </conditionalFormatting>
  <conditionalFormatting sqref="AA751">
    <cfRule type="cellIs" dxfId="2744" priority="2914" stopIfTrue="1" operator="lessThanOrEqual">
      <formula>3.5</formula>
    </cfRule>
    <cfRule type="cellIs" dxfId="2743" priority="2915" stopIfTrue="1" operator="greaterThanOrEqual">
      <formula>7.5</formula>
    </cfRule>
    <cfRule type="cellIs" dxfId="2742" priority="2916" stopIfTrue="1" operator="between">
      <formula>3.51</formula>
      <formula>7.49</formula>
    </cfRule>
  </conditionalFormatting>
  <conditionalFormatting sqref="AA1354">
    <cfRule type="cellIs" dxfId="2741" priority="2911" stopIfTrue="1" operator="lessThanOrEqual">
      <formula>3.5</formula>
    </cfRule>
    <cfRule type="cellIs" dxfId="2740" priority="2912" stopIfTrue="1" operator="greaterThanOrEqual">
      <formula>7.5</formula>
    </cfRule>
    <cfRule type="cellIs" dxfId="2739" priority="2913" stopIfTrue="1" operator="between">
      <formula>3.51</formula>
      <formula>7.49</formula>
    </cfRule>
  </conditionalFormatting>
  <conditionalFormatting sqref="AA1353">
    <cfRule type="cellIs" dxfId="2738" priority="2908" stopIfTrue="1" operator="lessThanOrEqual">
      <formula>3.5</formula>
    </cfRule>
    <cfRule type="cellIs" dxfId="2737" priority="2909" stopIfTrue="1" operator="greaterThanOrEqual">
      <formula>7.5</formula>
    </cfRule>
    <cfRule type="cellIs" dxfId="2736" priority="2910" stopIfTrue="1" operator="between">
      <formula>3.51</formula>
      <formula>7.49</formula>
    </cfRule>
  </conditionalFormatting>
  <conditionalFormatting sqref="AA1352">
    <cfRule type="cellIs" dxfId="2735" priority="2905" stopIfTrue="1" operator="lessThanOrEqual">
      <formula>3.5</formula>
    </cfRule>
    <cfRule type="cellIs" dxfId="2734" priority="2906" stopIfTrue="1" operator="greaterThanOrEqual">
      <formula>7.5</formula>
    </cfRule>
    <cfRule type="cellIs" dxfId="2733" priority="2907" stopIfTrue="1" operator="between">
      <formula>3.51</formula>
      <formula>7.49</formula>
    </cfRule>
  </conditionalFormatting>
  <conditionalFormatting sqref="AA1351">
    <cfRule type="cellIs" dxfId="2732" priority="2902" stopIfTrue="1" operator="lessThanOrEqual">
      <formula>3.5</formula>
    </cfRule>
    <cfRule type="cellIs" dxfId="2731" priority="2903" stopIfTrue="1" operator="greaterThanOrEqual">
      <formula>7.5</formula>
    </cfRule>
    <cfRule type="cellIs" dxfId="2730" priority="2904" stopIfTrue="1" operator="between">
      <formula>3.51</formula>
      <formula>7.49</formula>
    </cfRule>
  </conditionalFormatting>
  <conditionalFormatting sqref="AA1169">
    <cfRule type="cellIs" dxfId="2729" priority="2899" stopIfTrue="1" operator="lessThanOrEqual">
      <formula>3.5</formula>
    </cfRule>
    <cfRule type="cellIs" dxfId="2728" priority="2900" stopIfTrue="1" operator="greaterThanOrEqual">
      <formula>7.5</formula>
    </cfRule>
    <cfRule type="cellIs" dxfId="2727" priority="2901" stopIfTrue="1" operator="between">
      <formula>3.51</formula>
      <formula>7.49</formula>
    </cfRule>
  </conditionalFormatting>
  <conditionalFormatting sqref="AA1168">
    <cfRule type="cellIs" dxfId="2726" priority="2896" stopIfTrue="1" operator="lessThanOrEqual">
      <formula>3.5</formula>
    </cfRule>
    <cfRule type="cellIs" dxfId="2725" priority="2897" stopIfTrue="1" operator="greaterThanOrEqual">
      <formula>7.5</formula>
    </cfRule>
    <cfRule type="cellIs" dxfId="2724" priority="2898" stopIfTrue="1" operator="between">
      <formula>3.51</formula>
      <formula>7.49</formula>
    </cfRule>
  </conditionalFormatting>
  <conditionalFormatting sqref="AA1167">
    <cfRule type="cellIs" dxfId="2723" priority="2893" stopIfTrue="1" operator="lessThanOrEqual">
      <formula>3.5</formula>
    </cfRule>
    <cfRule type="cellIs" dxfId="2722" priority="2894" stopIfTrue="1" operator="greaterThanOrEqual">
      <formula>7.5</formula>
    </cfRule>
    <cfRule type="cellIs" dxfId="2721" priority="2895" stopIfTrue="1" operator="between">
      <formula>3.51</formula>
      <formula>7.49</formula>
    </cfRule>
  </conditionalFormatting>
  <conditionalFormatting sqref="AA1166">
    <cfRule type="cellIs" dxfId="2720" priority="2890" stopIfTrue="1" operator="lessThanOrEqual">
      <formula>3.5</formula>
    </cfRule>
    <cfRule type="cellIs" dxfId="2719" priority="2891" stopIfTrue="1" operator="greaterThanOrEqual">
      <formula>7.5</formula>
    </cfRule>
    <cfRule type="cellIs" dxfId="2718" priority="2892" stopIfTrue="1" operator="between">
      <formula>3.51</formula>
      <formula>7.49</formula>
    </cfRule>
  </conditionalFormatting>
  <conditionalFormatting sqref="AA1218">
    <cfRule type="cellIs" dxfId="2717" priority="2887" stopIfTrue="1" operator="lessThanOrEqual">
      <formula>3.5</formula>
    </cfRule>
    <cfRule type="cellIs" dxfId="2716" priority="2888" stopIfTrue="1" operator="greaterThanOrEqual">
      <formula>7.5</formula>
    </cfRule>
    <cfRule type="cellIs" dxfId="2715" priority="2889" stopIfTrue="1" operator="between">
      <formula>3.51</formula>
      <formula>7.49</formula>
    </cfRule>
  </conditionalFormatting>
  <conditionalFormatting sqref="AA2575">
    <cfRule type="cellIs" dxfId="2714" priority="2884" stopIfTrue="1" operator="lessThanOrEqual">
      <formula>3.5</formula>
    </cfRule>
    <cfRule type="cellIs" dxfId="2713" priority="2885" stopIfTrue="1" operator="greaterThanOrEqual">
      <formula>7.5</formula>
    </cfRule>
    <cfRule type="cellIs" dxfId="2712" priority="2886" stopIfTrue="1" operator="between">
      <formula>3.51</formula>
      <formula>7.49</formula>
    </cfRule>
  </conditionalFormatting>
  <conditionalFormatting sqref="AA2578">
    <cfRule type="cellIs" dxfId="2711" priority="2881" stopIfTrue="1" operator="lessThanOrEqual">
      <formula>3.5</formula>
    </cfRule>
    <cfRule type="cellIs" dxfId="2710" priority="2882" stopIfTrue="1" operator="greaterThanOrEqual">
      <formula>7.5</formula>
    </cfRule>
    <cfRule type="cellIs" dxfId="2709" priority="2883" stopIfTrue="1" operator="between">
      <formula>3.51</formula>
      <formula>7.49</formula>
    </cfRule>
  </conditionalFormatting>
  <conditionalFormatting sqref="AA2613">
    <cfRule type="cellIs" dxfId="2708" priority="2878" stopIfTrue="1" operator="lessThanOrEqual">
      <formula>3.5</formula>
    </cfRule>
    <cfRule type="cellIs" dxfId="2707" priority="2879" stopIfTrue="1" operator="greaterThanOrEqual">
      <formula>7.5</formula>
    </cfRule>
    <cfRule type="cellIs" dxfId="2706" priority="2880" stopIfTrue="1" operator="between">
      <formula>3.51</formula>
      <formula>7.49</formula>
    </cfRule>
  </conditionalFormatting>
  <conditionalFormatting sqref="AA2678">
    <cfRule type="cellIs" dxfId="2705" priority="2875" stopIfTrue="1" operator="lessThanOrEqual">
      <formula>3.5</formula>
    </cfRule>
    <cfRule type="cellIs" dxfId="2704" priority="2876" stopIfTrue="1" operator="greaterThanOrEqual">
      <formula>7.5</formula>
    </cfRule>
    <cfRule type="cellIs" dxfId="2703" priority="2877" stopIfTrue="1" operator="between">
      <formula>3.51</formula>
      <formula>7.49</formula>
    </cfRule>
  </conditionalFormatting>
  <conditionalFormatting sqref="AA2825">
    <cfRule type="cellIs" dxfId="2702" priority="2872" stopIfTrue="1" operator="lessThanOrEqual">
      <formula>3.5</formula>
    </cfRule>
    <cfRule type="cellIs" dxfId="2701" priority="2873" stopIfTrue="1" operator="greaterThanOrEqual">
      <formula>7.5</formula>
    </cfRule>
    <cfRule type="cellIs" dxfId="2700" priority="2874" stopIfTrue="1" operator="between">
      <formula>3.51</formula>
      <formula>7.49</formula>
    </cfRule>
  </conditionalFormatting>
  <conditionalFormatting sqref="AA3232">
    <cfRule type="cellIs" dxfId="2699" priority="2869" stopIfTrue="1" operator="lessThanOrEqual">
      <formula>3.5</formula>
    </cfRule>
    <cfRule type="cellIs" dxfId="2698" priority="2870" stopIfTrue="1" operator="greaterThanOrEqual">
      <formula>7.5</formula>
    </cfRule>
    <cfRule type="cellIs" dxfId="2697" priority="2871" stopIfTrue="1" operator="between">
      <formula>3.51</formula>
      <formula>7.49</formula>
    </cfRule>
  </conditionalFormatting>
  <conditionalFormatting sqref="AA3861">
    <cfRule type="cellIs" dxfId="2696" priority="2866" stopIfTrue="1" operator="lessThanOrEqual">
      <formula>3.5</formula>
    </cfRule>
    <cfRule type="cellIs" dxfId="2695" priority="2867" stopIfTrue="1" operator="greaterThanOrEqual">
      <formula>7.5</formula>
    </cfRule>
    <cfRule type="cellIs" dxfId="2694" priority="2868" stopIfTrue="1" operator="between">
      <formula>3.51</formula>
      <formula>7.49</formula>
    </cfRule>
  </conditionalFormatting>
  <conditionalFormatting sqref="AA3860">
    <cfRule type="cellIs" dxfId="2693" priority="2863" stopIfTrue="1" operator="lessThanOrEqual">
      <formula>3.5</formula>
    </cfRule>
    <cfRule type="cellIs" dxfId="2692" priority="2864" stopIfTrue="1" operator="greaterThanOrEqual">
      <formula>7.5</formula>
    </cfRule>
    <cfRule type="cellIs" dxfId="2691" priority="2865" stopIfTrue="1" operator="between">
      <formula>3.51</formula>
      <formula>7.49</formula>
    </cfRule>
  </conditionalFormatting>
  <conditionalFormatting sqref="AA3859">
    <cfRule type="cellIs" dxfId="2690" priority="2860" stopIfTrue="1" operator="lessThanOrEqual">
      <formula>3.5</formula>
    </cfRule>
    <cfRule type="cellIs" dxfId="2689" priority="2861" stopIfTrue="1" operator="greaterThanOrEqual">
      <formula>7.5</formula>
    </cfRule>
    <cfRule type="cellIs" dxfId="2688" priority="2862" stopIfTrue="1" operator="between">
      <formula>3.51</formula>
      <formula>7.49</formula>
    </cfRule>
  </conditionalFormatting>
  <conditionalFormatting sqref="AA3858">
    <cfRule type="cellIs" dxfId="2687" priority="2857" stopIfTrue="1" operator="lessThanOrEqual">
      <formula>3.5</formula>
    </cfRule>
    <cfRule type="cellIs" dxfId="2686" priority="2858" stopIfTrue="1" operator="greaterThanOrEqual">
      <formula>7.5</formula>
    </cfRule>
    <cfRule type="cellIs" dxfId="2685" priority="2859" stopIfTrue="1" operator="between">
      <formula>3.51</formula>
      <formula>7.49</formula>
    </cfRule>
  </conditionalFormatting>
  <conditionalFormatting sqref="AA2632">
    <cfRule type="cellIs" dxfId="2684" priority="2854" stopIfTrue="1" operator="lessThanOrEqual">
      <formula>3.5</formula>
    </cfRule>
    <cfRule type="cellIs" dxfId="2683" priority="2855" stopIfTrue="1" operator="greaterThanOrEqual">
      <formula>7.5</formula>
    </cfRule>
    <cfRule type="cellIs" dxfId="2682" priority="2856" stopIfTrue="1" operator="between">
      <formula>3.51</formula>
      <formula>7.49</formula>
    </cfRule>
  </conditionalFormatting>
  <conditionalFormatting sqref="AA2631">
    <cfRule type="cellIs" dxfId="2681" priority="2851" stopIfTrue="1" operator="lessThanOrEqual">
      <formula>3.5</formula>
    </cfRule>
    <cfRule type="cellIs" dxfId="2680" priority="2852" stopIfTrue="1" operator="greaterThanOrEqual">
      <formula>7.5</formula>
    </cfRule>
    <cfRule type="cellIs" dxfId="2679" priority="2853" stopIfTrue="1" operator="between">
      <formula>3.51</formula>
      <formula>7.49</formula>
    </cfRule>
  </conditionalFormatting>
  <conditionalFormatting sqref="AA2675">
    <cfRule type="cellIs" dxfId="2678" priority="2848" stopIfTrue="1" operator="lessThanOrEqual">
      <formula>3.5</formula>
    </cfRule>
    <cfRule type="cellIs" dxfId="2677" priority="2849" stopIfTrue="1" operator="greaterThanOrEqual">
      <formula>7.5</formula>
    </cfRule>
    <cfRule type="cellIs" dxfId="2676" priority="2850" stopIfTrue="1" operator="between">
      <formula>3.51</formula>
      <formula>7.49</formula>
    </cfRule>
  </conditionalFormatting>
  <conditionalFormatting sqref="AA2674">
    <cfRule type="cellIs" dxfId="2675" priority="2845" stopIfTrue="1" operator="lessThanOrEqual">
      <formula>3.5</formula>
    </cfRule>
    <cfRule type="cellIs" dxfId="2674" priority="2846" stopIfTrue="1" operator="greaterThanOrEqual">
      <formula>7.5</formula>
    </cfRule>
    <cfRule type="cellIs" dxfId="2673" priority="2847" stopIfTrue="1" operator="between">
      <formula>3.51</formula>
      <formula>7.49</formula>
    </cfRule>
  </conditionalFormatting>
  <conditionalFormatting sqref="AA2673">
    <cfRule type="cellIs" dxfId="2672" priority="2842" stopIfTrue="1" operator="lessThanOrEqual">
      <formula>3.5</formula>
    </cfRule>
    <cfRule type="cellIs" dxfId="2671" priority="2843" stopIfTrue="1" operator="greaterThanOrEqual">
      <formula>7.5</formula>
    </cfRule>
    <cfRule type="cellIs" dxfId="2670" priority="2844" stopIfTrue="1" operator="between">
      <formula>3.51</formula>
      <formula>7.49</formula>
    </cfRule>
  </conditionalFormatting>
  <conditionalFormatting sqref="AA2672">
    <cfRule type="cellIs" dxfId="2669" priority="2839" stopIfTrue="1" operator="lessThanOrEqual">
      <formula>3.5</formula>
    </cfRule>
    <cfRule type="cellIs" dxfId="2668" priority="2840" stopIfTrue="1" operator="greaterThanOrEqual">
      <formula>7.5</formula>
    </cfRule>
    <cfRule type="cellIs" dxfId="2667" priority="2841" stopIfTrue="1" operator="between">
      <formula>3.51</formula>
      <formula>7.49</formula>
    </cfRule>
  </conditionalFormatting>
  <conditionalFormatting sqref="AA2671">
    <cfRule type="cellIs" dxfId="2666" priority="2836" stopIfTrue="1" operator="lessThanOrEqual">
      <formula>3.5</formula>
    </cfRule>
    <cfRule type="cellIs" dxfId="2665" priority="2837" stopIfTrue="1" operator="greaterThanOrEqual">
      <formula>7.5</formula>
    </cfRule>
    <cfRule type="cellIs" dxfId="2664" priority="2838" stopIfTrue="1" operator="between">
      <formula>3.51</formula>
      <formula>7.49</formula>
    </cfRule>
  </conditionalFormatting>
  <conditionalFormatting sqref="AA2670">
    <cfRule type="cellIs" dxfId="2663" priority="2833" stopIfTrue="1" operator="lessThanOrEqual">
      <formula>3.5</formula>
    </cfRule>
    <cfRule type="cellIs" dxfId="2662" priority="2834" stopIfTrue="1" operator="greaterThanOrEqual">
      <formula>7.5</formula>
    </cfRule>
    <cfRule type="cellIs" dxfId="2661" priority="2835" stopIfTrue="1" operator="between">
      <formula>3.51</formula>
      <formula>7.49</formula>
    </cfRule>
  </conditionalFormatting>
  <conditionalFormatting sqref="AA3478">
    <cfRule type="cellIs" dxfId="2660" priority="2830" stopIfTrue="1" operator="lessThanOrEqual">
      <formula>3.5</formula>
    </cfRule>
    <cfRule type="cellIs" dxfId="2659" priority="2831" stopIfTrue="1" operator="greaterThanOrEqual">
      <formula>7.5</formula>
    </cfRule>
    <cfRule type="cellIs" dxfId="2658" priority="2832" stopIfTrue="1" operator="between">
      <formula>3.51</formula>
      <formula>7.49</formula>
    </cfRule>
  </conditionalFormatting>
  <conditionalFormatting sqref="AA3406">
    <cfRule type="cellIs" dxfId="2657" priority="2827" stopIfTrue="1" operator="lessThanOrEqual">
      <formula>3.5</formula>
    </cfRule>
    <cfRule type="cellIs" dxfId="2656" priority="2828" stopIfTrue="1" operator="greaterThanOrEqual">
      <formula>7.5</formula>
    </cfRule>
    <cfRule type="cellIs" dxfId="2655" priority="2829" stopIfTrue="1" operator="between">
      <formula>3.51</formula>
      <formula>7.49</formula>
    </cfRule>
  </conditionalFormatting>
  <conditionalFormatting sqref="AA3750">
    <cfRule type="cellIs" dxfId="2654" priority="2824" stopIfTrue="1" operator="lessThanOrEqual">
      <formula>3.5</formula>
    </cfRule>
    <cfRule type="cellIs" dxfId="2653" priority="2825" stopIfTrue="1" operator="greaterThanOrEqual">
      <formula>7.5</formula>
    </cfRule>
    <cfRule type="cellIs" dxfId="2652" priority="2826" stopIfTrue="1" operator="between">
      <formula>3.51</formula>
      <formula>7.49</formula>
    </cfRule>
  </conditionalFormatting>
  <conditionalFormatting sqref="AA3752">
    <cfRule type="cellIs" dxfId="2651" priority="2821" stopIfTrue="1" operator="lessThanOrEqual">
      <formula>3.5</formula>
    </cfRule>
    <cfRule type="cellIs" dxfId="2650" priority="2822" stopIfTrue="1" operator="greaterThanOrEqual">
      <formula>7.5</formula>
    </cfRule>
    <cfRule type="cellIs" dxfId="2649" priority="2823" stopIfTrue="1" operator="between">
      <formula>3.51</formula>
      <formula>7.49</formula>
    </cfRule>
  </conditionalFormatting>
  <conditionalFormatting sqref="AA3751">
    <cfRule type="cellIs" dxfId="2648" priority="2818" stopIfTrue="1" operator="lessThanOrEqual">
      <formula>3.5</formula>
    </cfRule>
    <cfRule type="cellIs" dxfId="2647" priority="2819" stopIfTrue="1" operator="greaterThanOrEqual">
      <formula>7.5</formula>
    </cfRule>
    <cfRule type="cellIs" dxfId="2646" priority="2820" stopIfTrue="1" operator="between">
      <formula>3.51</formula>
      <formula>7.49</formula>
    </cfRule>
  </conditionalFormatting>
  <conditionalFormatting sqref="AA3759">
    <cfRule type="cellIs" dxfId="2645" priority="2815" stopIfTrue="1" operator="lessThanOrEqual">
      <formula>3.5</formula>
    </cfRule>
    <cfRule type="cellIs" dxfId="2644" priority="2816" stopIfTrue="1" operator="greaterThanOrEqual">
      <formula>7.5</formula>
    </cfRule>
    <cfRule type="cellIs" dxfId="2643" priority="2817" stopIfTrue="1" operator="between">
      <formula>3.51</formula>
      <formula>7.49</formula>
    </cfRule>
  </conditionalFormatting>
  <conditionalFormatting sqref="AA3764">
    <cfRule type="cellIs" dxfId="2642" priority="2812" stopIfTrue="1" operator="lessThanOrEqual">
      <formula>3.5</formula>
    </cfRule>
    <cfRule type="cellIs" dxfId="2641" priority="2813" stopIfTrue="1" operator="greaterThanOrEqual">
      <formula>7.5</formula>
    </cfRule>
    <cfRule type="cellIs" dxfId="2640" priority="2814" stopIfTrue="1" operator="between">
      <formula>3.51</formula>
      <formula>7.49</formula>
    </cfRule>
  </conditionalFormatting>
  <conditionalFormatting sqref="AA3796">
    <cfRule type="cellIs" dxfId="2639" priority="2809" stopIfTrue="1" operator="lessThanOrEqual">
      <formula>3.5</formula>
    </cfRule>
    <cfRule type="cellIs" dxfId="2638" priority="2810" stopIfTrue="1" operator="greaterThanOrEqual">
      <formula>7.5</formula>
    </cfRule>
    <cfRule type="cellIs" dxfId="2637" priority="2811" stopIfTrue="1" operator="between">
      <formula>3.51</formula>
      <formula>7.49</formula>
    </cfRule>
  </conditionalFormatting>
  <conditionalFormatting sqref="AA3850">
    <cfRule type="cellIs" dxfId="2636" priority="2806" stopIfTrue="1" operator="lessThanOrEqual">
      <formula>3.5</formula>
    </cfRule>
    <cfRule type="cellIs" dxfId="2635" priority="2807" stopIfTrue="1" operator="greaterThanOrEqual">
      <formula>7.5</formula>
    </cfRule>
    <cfRule type="cellIs" dxfId="2634" priority="2808" stopIfTrue="1" operator="between">
      <formula>3.51</formula>
      <formula>7.49</formula>
    </cfRule>
  </conditionalFormatting>
  <conditionalFormatting sqref="AA3854">
    <cfRule type="cellIs" dxfId="2633" priority="2803" stopIfTrue="1" operator="lessThanOrEqual">
      <formula>3.5</formula>
    </cfRule>
    <cfRule type="cellIs" dxfId="2632" priority="2804" stopIfTrue="1" operator="greaterThanOrEqual">
      <formula>7.5</formula>
    </cfRule>
    <cfRule type="cellIs" dxfId="2631" priority="2805" stopIfTrue="1" operator="between">
      <formula>3.51</formula>
      <formula>7.49</formula>
    </cfRule>
  </conditionalFormatting>
  <conditionalFormatting sqref="AA3868">
    <cfRule type="cellIs" dxfId="2630" priority="2800" stopIfTrue="1" operator="lessThanOrEqual">
      <formula>3.5</formula>
    </cfRule>
    <cfRule type="cellIs" dxfId="2629" priority="2801" stopIfTrue="1" operator="greaterThanOrEqual">
      <formula>7.5</formula>
    </cfRule>
    <cfRule type="cellIs" dxfId="2628" priority="2802" stopIfTrue="1" operator="between">
      <formula>3.51</formula>
      <formula>7.49</formula>
    </cfRule>
  </conditionalFormatting>
  <conditionalFormatting sqref="AA3892">
    <cfRule type="cellIs" dxfId="2627" priority="2797" stopIfTrue="1" operator="lessThanOrEqual">
      <formula>3.5</formula>
    </cfRule>
    <cfRule type="cellIs" dxfId="2626" priority="2798" stopIfTrue="1" operator="greaterThanOrEqual">
      <formula>7.5</formula>
    </cfRule>
    <cfRule type="cellIs" dxfId="2625" priority="2799" stopIfTrue="1" operator="between">
      <formula>3.51</formula>
      <formula>7.49</formula>
    </cfRule>
  </conditionalFormatting>
  <conditionalFormatting sqref="AA3913">
    <cfRule type="cellIs" dxfId="2624" priority="2794" stopIfTrue="1" operator="lessThanOrEqual">
      <formula>3.5</formula>
    </cfRule>
    <cfRule type="cellIs" dxfId="2623" priority="2795" stopIfTrue="1" operator="greaterThanOrEqual">
      <formula>7.5</formula>
    </cfRule>
    <cfRule type="cellIs" dxfId="2622" priority="2796" stopIfTrue="1" operator="between">
      <formula>3.51</formula>
      <formula>7.49</formula>
    </cfRule>
  </conditionalFormatting>
  <conditionalFormatting sqref="AA3918">
    <cfRule type="cellIs" dxfId="2621" priority="2791" stopIfTrue="1" operator="lessThanOrEqual">
      <formula>3.5</formula>
    </cfRule>
    <cfRule type="cellIs" dxfId="2620" priority="2792" stopIfTrue="1" operator="greaterThanOrEqual">
      <formula>7.5</formula>
    </cfRule>
    <cfRule type="cellIs" dxfId="2619" priority="2793" stopIfTrue="1" operator="between">
      <formula>3.51</formula>
      <formula>7.49</formula>
    </cfRule>
  </conditionalFormatting>
  <conditionalFormatting sqref="AA3942">
    <cfRule type="cellIs" dxfId="2618" priority="2788" stopIfTrue="1" operator="lessThanOrEqual">
      <formula>3.5</formula>
    </cfRule>
    <cfRule type="cellIs" dxfId="2617" priority="2789" stopIfTrue="1" operator="greaterThanOrEqual">
      <formula>7.5</formula>
    </cfRule>
    <cfRule type="cellIs" dxfId="2616" priority="2790" stopIfTrue="1" operator="between">
      <formula>3.51</formula>
      <formula>7.49</formula>
    </cfRule>
  </conditionalFormatting>
  <conditionalFormatting sqref="AA3894">
    <cfRule type="cellIs" dxfId="2615" priority="2785" stopIfTrue="1" operator="lessThanOrEqual">
      <formula>3.5</formula>
    </cfRule>
    <cfRule type="cellIs" dxfId="2614" priority="2786" stopIfTrue="1" operator="greaterThanOrEqual">
      <formula>7.5</formula>
    </cfRule>
    <cfRule type="cellIs" dxfId="2613" priority="2787" stopIfTrue="1" operator="between">
      <formula>3.51</formula>
      <formula>7.49</formula>
    </cfRule>
  </conditionalFormatting>
  <conditionalFormatting sqref="AA3899">
    <cfRule type="cellIs" dxfId="2612" priority="2782" stopIfTrue="1" operator="lessThanOrEqual">
      <formula>3.5</formula>
    </cfRule>
    <cfRule type="cellIs" dxfId="2611" priority="2783" stopIfTrue="1" operator="greaterThanOrEqual">
      <formula>7.5</formula>
    </cfRule>
    <cfRule type="cellIs" dxfId="2610" priority="2784" stopIfTrue="1" operator="between">
      <formula>3.51</formula>
      <formula>7.49</formula>
    </cfRule>
  </conditionalFormatting>
  <conditionalFormatting sqref="AA3902">
    <cfRule type="cellIs" dxfId="2609" priority="2779" stopIfTrue="1" operator="lessThanOrEqual">
      <formula>3.5</formula>
    </cfRule>
    <cfRule type="cellIs" dxfId="2608" priority="2780" stopIfTrue="1" operator="greaterThanOrEqual">
      <formula>7.5</formula>
    </cfRule>
    <cfRule type="cellIs" dxfId="2607" priority="2781" stopIfTrue="1" operator="between">
      <formula>3.51</formula>
      <formula>7.49</formula>
    </cfRule>
  </conditionalFormatting>
  <conditionalFormatting sqref="AA3936">
    <cfRule type="cellIs" dxfId="2606" priority="2776" stopIfTrue="1" operator="lessThanOrEqual">
      <formula>3.5</formula>
    </cfRule>
    <cfRule type="cellIs" dxfId="2605" priority="2777" stopIfTrue="1" operator="greaterThanOrEqual">
      <formula>7.5</formula>
    </cfRule>
    <cfRule type="cellIs" dxfId="2604" priority="2778" stopIfTrue="1" operator="between">
      <formula>3.51</formula>
      <formula>7.49</formula>
    </cfRule>
  </conditionalFormatting>
  <conditionalFormatting sqref="AA3938">
    <cfRule type="cellIs" dxfId="2603" priority="2773" stopIfTrue="1" operator="lessThanOrEqual">
      <formula>3.5</formula>
    </cfRule>
    <cfRule type="cellIs" dxfId="2602" priority="2774" stopIfTrue="1" operator="greaterThanOrEqual">
      <formula>7.5</formula>
    </cfRule>
    <cfRule type="cellIs" dxfId="2601" priority="2775" stopIfTrue="1" operator="between">
      <formula>3.51</formula>
      <formula>7.49</formula>
    </cfRule>
  </conditionalFormatting>
  <conditionalFormatting sqref="AA3939">
    <cfRule type="cellIs" dxfId="2600" priority="2770" stopIfTrue="1" operator="lessThanOrEqual">
      <formula>3.5</formula>
    </cfRule>
    <cfRule type="cellIs" dxfId="2599" priority="2771" stopIfTrue="1" operator="greaterThanOrEqual">
      <formula>7.5</formula>
    </cfRule>
    <cfRule type="cellIs" dxfId="2598" priority="2772" stopIfTrue="1" operator="between">
      <formula>3.51</formula>
      <formula>7.49</formula>
    </cfRule>
  </conditionalFormatting>
  <conditionalFormatting sqref="AA3919">
    <cfRule type="cellIs" dxfId="2597" priority="2767" stopIfTrue="1" operator="lessThanOrEqual">
      <formula>3.5</formula>
    </cfRule>
    <cfRule type="cellIs" dxfId="2596" priority="2768" stopIfTrue="1" operator="greaterThanOrEqual">
      <formula>7.5</formula>
    </cfRule>
    <cfRule type="cellIs" dxfId="2595" priority="2769" stopIfTrue="1" operator="between">
      <formula>3.51</formula>
      <formula>7.49</formula>
    </cfRule>
  </conditionalFormatting>
  <conditionalFormatting sqref="AA3937">
    <cfRule type="cellIs" dxfId="2594" priority="2764" stopIfTrue="1" operator="lessThanOrEqual">
      <formula>3.5</formula>
    </cfRule>
    <cfRule type="cellIs" dxfId="2593" priority="2765" stopIfTrue="1" operator="greaterThanOrEqual">
      <formula>7.5</formula>
    </cfRule>
    <cfRule type="cellIs" dxfId="2592" priority="2766" stopIfTrue="1" operator="between">
      <formula>3.51</formula>
      <formula>7.49</formula>
    </cfRule>
  </conditionalFormatting>
  <conditionalFormatting sqref="AA4013">
    <cfRule type="cellIs" dxfId="2591" priority="2761" stopIfTrue="1" operator="lessThanOrEqual">
      <formula>3.5</formula>
    </cfRule>
    <cfRule type="cellIs" dxfId="2590" priority="2762" stopIfTrue="1" operator="greaterThanOrEqual">
      <formula>7.5</formula>
    </cfRule>
    <cfRule type="cellIs" dxfId="2589" priority="2763" stopIfTrue="1" operator="between">
      <formula>3.51</formula>
      <formula>7.49</formula>
    </cfRule>
  </conditionalFormatting>
  <conditionalFormatting sqref="AA4012">
    <cfRule type="cellIs" dxfId="2588" priority="2758" stopIfTrue="1" operator="lessThanOrEqual">
      <formula>3.5</formula>
    </cfRule>
    <cfRule type="cellIs" dxfId="2587" priority="2759" stopIfTrue="1" operator="greaterThanOrEqual">
      <formula>7.5</formula>
    </cfRule>
    <cfRule type="cellIs" dxfId="2586" priority="2760" stopIfTrue="1" operator="between">
      <formula>3.51</formula>
      <formula>7.49</formula>
    </cfRule>
  </conditionalFormatting>
  <conditionalFormatting sqref="AA4011">
    <cfRule type="cellIs" dxfId="2585" priority="2755" stopIfTrue="1" operator="lessThanOrEqual">
      <formula>3.5</formula>
    </cfRule>
    <cfRule type="cellIs" dxfId="2584" priority="2756" stopIfTrue="1" operator="greaterThanOrEqual">
      <formula>7.5</formula>
    </cfRule>
    <cfRule type="cellIs" dxfId="2583" priority="2757" stopIfTrue="1" operator="between">
      <formula>3.51</formula>
      <formula>7.49</formula>
    </cfRule>
  </conditionalFormatting>
  <conditionalFormatting sqref="AA4099">
    <cfRule type="cellIs" dxfId="2582" priority="2752" stopIfTrue="1" operator="lessThanOrEqual">
      <formula>3.5</formula>
    </cfRule>
    <cfRule type="cellIs" dxfId="2581" priority="2753" stopIfTrue="1" operator="greaterThanOrEqual">
      <formula>7.5</formula>
    </cfRule>
    <cfRule type="cellIs" dxfId="2580" priority="2754" stopIfTrue="1" operator="between">
      <formula>3.51</formula>
      <formula>7.49</formula>
    </cfRule>
  </conditionalFormatting>
  <conditionalFormatting sqref="AA4129">
    <cfRule type="cellIs" dxfId="2579" priority="2749" stopIfTrue="1" operator="lessThanOrEqual">
      <formula>3.5</formula>
    </cfRule>
    <cfRule type="cellIs" dxfId="2578" priority="2750" stopIfTrue="1" operator="greaterThanOrEqual">
      <formula>7.5</formula>
    </cfRule>
    <cfRule type="cellIs" dxfId="2577" priority="2751" stopIfTrue="1" operator="between">
      <formula>3.51</formula>
      <formula>7.49</formula>
    </cfRule>
  </conditionalFormatting>
  <conditionalFormatting sqref="AA4162">
    <cfRule type="cellIs" dxfId="2576" priority="2746" stopIfTrue="1" operator="lessThanOrEqual">
      <formula>3.5</formula>
    </cfRule>
    <cfRule type="cellIs" dxfId="2575" priority="2747" stopIfTrue="1" operator="greaterThanOrEqual">
      <formula>7.5</formula>
    </cfRule>
    <cfRule type="cellIs" dxfId="2574" priority="2748" stopIfTrue="1" operator="between">
      <formula>3.51</formula>
      <formula>7.49</formula>
    </cfRule>
  </conditionalFormatting>
  <conditionalFormatting sqref="AA4206">
    <cfRule type="cellIs" dxfId="2573" priority="2743" stopIfTrue="1" operator="lessThanOrEqual">
      <formula>3.5</formula>
    </cfRule>
    <cfRule type="cellIs" dxfId="2572" priority="2744" stopIfTrue="1" operator="greaterThanOrEqual">
      <formula>7.5</formula>
    </cfRule>
    <cfRule type="cellIs" dxfId="2571" priority="2745" stopIfTrue="1" operator="between">
      <formula>3.51</formula>
      <formula>7.49</formula>
    </cfRule>
  </conditionalFormatting>
  <conditionalFormatting sqref="AA4271">
    <cfRule type="cellIs" dxfId="2570" priority="2740" stopIfTrue="1" operator="lessThanOrEqual">
      <formula>3.5</formula>
    </cfRule>
    <cfRule type="cellIs" dxfId="2569" priority="2741" stopIfTrue="1" operator="greaterThanOrEqual">
      <formula>7.5</formula>
    </cfRule>
    <cfRule type="cellIs" dxfId="2568" priority="2742" stopIfTrue="1" operator="between">
      <formula>3.51</formula>
      <formula>7.49</formula>
    </cfRule>
  </conditionalFormatting>
  <conditionalFormatting sqref="AA4183">
    <cfRule type="cellIs" dxfId="2567" priority="2737" stopIfTrue="1" operator="lessThanOrEqual">
      <formula>3.5</formula>
    </cfRule>
    <cfRule type="cellIs" dxfId="2566" priority="2738" stopIfTrue="1" operator="greaterThanOrEqual">
      <formula>7.5</formula>
    </cfRule>
    <cfRule type="cellIs" dxfId="2565" priority="2739" stopIfTrue="1" operator="between">
      <formula>3.51</formula>
      <formula>7.49</formula>
    </cfRule>
  </conditionalFormatting>
  <conditionalFormatting sqref="AA4315">
    <cfRule type="cellIs" dxfId="2564" priority="2734" stopIfTrue="1" operator="lessThanOrEqual">
      <formula>3.5</formula>
    </cfRule>
    <cfRule type="cellIs" dxfId="2563" priority="2735" stopIfTrue="1" operator="greaterThanOrEqual">
      <formula>7.5</formula>
    </cfRule>
    <cfRule type="cellIs" dxfId="2562" priority="2736" stopIfTrue="1" operator="between">
      <formula>3.51</formula>
      <formula>7.49</formula>
    </cfRule>
  </conditionalFormatting>
  <conditionalFormatting sqref="AA4198">
    <cfRule type="cellIs" dxfId="2561" priority="2731" stopIfTrue="1" operator="lessThanOrEqual">
      <formula>3.5</formula>
    </cfRule>
    <cfRule type="cellIs" dxfId="2560" priority="2732" stopIfTrue="1" operator="greaterThanOrEqual">
      <formula>7.5</formula>
    </cfRule>
    <cfRule type="cellIs" dxfId="2559" priority="2733" stopIfTrue="1" operator="between">
      <formula>3.51</formula>
      <formula>7.49</formula>
    </cfRule>
  </conditionalFormatting>
  <conditionalFormatting sqref="AA4291">
    <cfRule type="cellIs" dxfId="2558" priority="2728" stopIfTrue="1" operator="lessThanOrEqual">
      <formula>3.5</formula>
    </cfRule>
    <cfRule type="cellIs" dxfId="2557" priority="2729" stopIfTrue="1" operator="greaterThanOrEqual">
      <formula>7.5</formula>
    </cfRule>
    <cfRule type="cellIs" dxfId="2556" priority="2730" stopIfTrue="1" operator="between">
      <formula>3.51</formula>
      <formula>7.49</formula>
    </cfRule>
  </conditionalFormatting>
  <conditionalFormatting sqref="AA4293">
    <cfRule type="cellIs" dxfId="2555" priority="2725" stopIfTrue="1" operator="lessThanOrEqual">
      <formula>3.5</formula>
    </cfRule>
    <cfRule type="cellIs" dxfId="2554" priority="2726" stopIfTrue="1" operator="greaterThanOrEqual">
      <formula>7.5</formula>
    </cfRule>
    <cfRule type="cellIs" dxfId="2553" priority="2727" stopIfTrue="1" operator="between">
      <formula>3.51</formula>
      <formula>7.49</formula>
    </cfRule>
  </conditionalFormatting>
  <conditionalFormatting sqref="AA4186">
    <cfRule type="cellIs" dxfId="2552" priority="2722" stopIfTrue="1" operator="lessThanOrEqual">
      <formula>3.5</formula>
    </cfRule>
    <cfRule type="cellIs" dxfId="2551" priority="2723" stopIfTrue="1" operator="greaterThanOrEqual">
      <formula>7.5</formula>
    </cfRule>
    <cfRule type="cellIs" dxfId="2550" priority="2724" stopIfTrue="1" operator="between">
      <formula>3.51</formula>
      <formula>7.49</formula>
    </cfRule>
  </conditionalFormatting>
  <conditionalFormatting sqref="AA4185">
    <cfRule type="cellIs" dxfId="2549" priority="2719" stopIfTrue="1" operator="lessThanOrEqual">
      <formula>3.5</formula>
    </cfRule>
    <cfRule type="cellIs" dxfId="2548" priority="2720" stopIfTrue="1" operator="greaterThanOrEqual">
      <formula>7.5</formula>
    </cfRule>
    <cfRule type="cellIs" dxfId="2547" priority="2721" stopIfTrue="1" operator="between">
      <formula>3.51</formula>
      <formula>7.49</formula>
    </cfRule>
  </conditionalFormatting>
  <conditionalFormatting sqref="AA4491">
    <cfRule type="cellIs" dxfId="2546" priority="2716" stopIfTrue="1" operator="lessThanOrEqual">
      <formula>3.5</formula>
    </cfRule>
    <cfRule type="cellIs" dxfId="2545" priority="2717" stopIfTrue="1" operator="greaterThanOrEqual">
      <formula>7.5</formula>
    </cfRule>
    <cfRule type="cellIs" dxfId="2544" priority="2718" stopIfTrue="1" operator="between">
      <formula>3.51</formula>
      <formula>7.49</formula>
    </cfRule>
  </conditionalFormatting>
  <conditionalFormatting sqref="AA4381">
    <cfRule type="cellIs" dxfId="2543" priority="2713" stopIfTrue="1" operator="lessThanOrEqual">
      <formula>3.5</formula>
    </cfRule>
    <cfRule type="cellIs" dxfId="2542" priority="2714" stopIfTrue="1" operator="greaterThanOrEqual">
      <formula>7.5</formula>
    </cfRule>
    <cfRule type="cellIs" dxfId="2541" priority="2715" stopIfTrue="1" operator="between">
      <formula>3.51</formula>
      <formula>7.49</formula>
    </cfRule>
  </conditionalFormatting>
  <conditionalFormatting sqref="AA4199">
    <cfRule type="cellIs" dxfId="2540" priority="2710" stopIfTrue="1" operator="lessThanOrEqual">
      <formula>3.5</formula>
    </cfRule>
    <cfRule type="cellIs" dxfId="2539" priority="2711" stopIfTrue="1" operator="greaterThanOrEqual">
      <formula>7.5</formula>
    </cfRule>
    <cfRule type="cellIs" dxfId="2538" priority="2712" stopIfTrue="1" operator="between">
      <formula>3.51</formula>
      <formula>7.49</formula>
    </cfRule>
  </conditionalFormatting>
  <conditionalFormatting sqref="AA4311">
    <cfRule type="cellIs" dxfId="2537" priority="2707" stopIfTrue="1" operator="lessThanOrEqual">
      <formula>3.5</formula>
    </cfRule>
    <cfRule type="cellIs" dxfId="2536" priority="2708" stopIfTrue="1" operator="greaterThanOrEqual">
      <formula>7.5</formula>
    </cfRule>
    <cfRule type="cellIs" dxfId="2535" priority="2709" stopIfTrue="1" operator="between">
      <formula>3.51</formula>
      <formula>7.49</formula>
    </cfRule>
  </conditionalFormatting>
  <conditionalFormatting sqref="AA4310">
    <cfRule type="cellIs" dxfId="2534" priority="2704" stopIfTrue="1" operator="lessThanOrEqual">
      <formula>3.5</formula>
    </cfRule>
    <cfRule type="cellIs" dxfId="2533" priority="2705" stopIfTrue="1" operator="greaterThanOrEqual">
      <formula>7.5</formula>
    </cfRule>
    <cfRule type="cellIs" dxfId="2532" priority="2706" stopIfTrue="1" operator="between">
      <formula>3.51</formula>
      <formula>7.49</formula>
    </cfRule>
  </conditionalFormatting>
  <conditionalFormatting sqref="AA4307">
    <cfRule type="cellIs" dxfId="2531" priority="2701" stopIfTrue="1" operator="lessThanOrEqual">
      <formula>3.5</formula>
    </cfRule>
    <cfRule type="cellIs" dxfId="2530" priority="2702" stopIfTrue="1" operator="greaterThanOrEqual">
      <formula>7.5</formula>
    </cfRule>
    <cfRule type="cellIs" dxfId="2529" priority="2703" stopIfTrue="1" operator="between">
      <formula>3.51</formula>
      <formula>7.49</formula>
    </cfRule>
  </conditionalFormatting>
  <conditionalFormatting sqref="AA4387">
    <cfRule type="cellIs" dxfId="2528" priority="2698" stopIfTrue="1" operator="lessThanOrEqual">
      <formula>3.5</formula>
    </cfRule>
    <cfRule type="cellIs" dxfId="2527" priority="2699" stopIfTrue="1" operator="greaterThanOrEqual">
      <formula>7.5</formula>
    </cfRule>
    <cfRule type="cellIs" dxfId="2526" priority="2700" stopIfTrue="1" operator="between">
      <formula>3.51</formula>
      <formula>7.49</formula>
    </cfRule>
  </conditionalFormatting>
  <conditionalFormatting sqref="AA4724">
    <cfRule type="cellIs" dxfId="2525" priority="2695" stopIfTrue="1" operator="lessThanOrEqual">
      <formula>3.5</formula>
    </cfRule>
    <cfRule type="cellIs" dxfId="2524" priority="2696" stopIfTrue="1" operator="greaterThanOrEqual">
      <formula>7.5</formula>
    </cfRule>
    <cfRule type="cellIs" dxfId="2523" priority="2697" stopIfTrue="1" operator="between">
      <formula>3.51</formula>
      <formula>7.49</formula>
    </cfRule>
  </conditionalFormatting>
  <conditionalFormatting sqref="AA4723">
    <cfRule type="cellIs" dxfId="2522" priority="2692" stopIfTrue="1" operator="lessThanOrEqual">
      <formula>3.5</formula>
    </cfRule>
    <cfRule type="cellIs" dxfId="2521" priority="2693" stopIfTrue="1" operator="greaterThanOrEqual">
      <formula>7.5</formula>
    </cfRule>
    <cfRule type="cellIs" dxfId="2520" priority="2694" stopIfTrue="1" operator="between">
      <formula>3.51</formula>
      <formula>7.49</formula>
    </cfRule>
  </conditionalFormatting>
  <conditionalFormatting sqref="AA4722">
    <cfRule type="cellIs" dxfId="2519" priority="2689" stopIfTrue="1" operator="lessThanOrEqual">
      <formula>3.5</formula>
    </cfRule>
    <cfRule type="cellIs" dxfId="2518" priority="2690" stopIfTrue="1" operator="greaterThanOrEqual">
      <formula>7.5</formula>
    </cfRule>
    <cfRule type="cellIs" dxfId="2517" priority="2691" stopIfTrue="1" operator="between">
      <formula>3.51</formula>
      <formula>7.49</formula>
    </cfRule>
  </conditionalFormatting>
  <conditionalFormatting sqref="AA4726">
    <cfRule type="cellIs" dxfId="2516" priority="2686" stopIfTrue="1" operator="lessThanOrEqual">
      <formula>3.5</formula>
    </cfRule>
    <cfRule type="cellIs" dxfId="2515" priority="2687" stopIfTrue="1" operator="greaterThanOrEqual">
      <formula>7.5</formula>
    </cfRule>
    <cfRule type="cellIs" dxfId="2514" priority="2688" stopIfTrue="1" operator="between">
      <formula>3.51</formula>
      <formula>7.49</formula>
    </cfRule>
  </conditionalFormatting>
  <conditionalFormatting sqref="AA4725">
    <cfRule type="cellIs" dxfId="2513" priority="2683" stopIfTrue="1" operator="lessThanOrEqual">
      <formula>3.5</formula>
    </cfRule>
    <cfRule type="cellIs" dxfId="2512" priority="2684" stopIfTrue="1" operator="greaterThanOrEqual">
      <formula>7.5</formula>
    </cfRule>
    <cfRule type="cellIs" dxfId="2511" priority="2685" stopIfTrue="1" operator="between">
      <formula>3.51</formula>
      <formula>7.49</formula>
    </cfRule>
  </conditionalFormatting>
  <conditionalFormatting sqref="AA4721">
    <cfRule type="cellIs" dxfId="2510" priority="2680" stopIfTrue="1" operator="lessThanOrEqual">
      <formula>3.5</formula>
    </cfRule>
    <cfRule type="cellIs" dxfId="2509" priority="2681" stopIfTrue="1" operator="greaterThanOrEqual">
      <formula>7.5</formula>
    </cfRule>
    <cfRule type="cellIs" dxfId="2508" priority="2682" stopIfTrue="1" operator="between">
      <formula>3.51</formula>
      <formula>7.49</formula>
    </cfRule>
  </conditionalFormatting>
  <conditionalFormatting sqref="AA4663">
    <cfRule type="cellIs" dxfId="2507" priority="2677" stopIfTrue="1" operator="lessThanOrEqual">
      <formula>3.5</formula>
    </cfRule>
    <cfRule type="cellIs" dxfId="2506" priority="2678" stopIfTrue="1" operator="greaterThanOrEqual">
      <formula>7.5</formula>
    </cfRule>
    <cfRule type="cellIs" dxfId="2505" priority="2679" stopIfTrue="1" operator="between">
      <formula>3.51</formula>
      <formula>7.49</formula>
    </cfRule>
  </conditionalFormatting>
  <conditionalFormatting sqref="AA4664">
    <cfRule type="cellIs" dxfId="2504" priority="2674" stopIfTrue="1" operator="lessThanOrEqual">
      <formula>3.5</formula>
    </cfRule>
    <cfRule type="cellIs" dxfId="2503" priority="2675" stopIfTrue="1" operator="greaterThanOrEqual">
      <formula>7.5</formula>
    </cfRule>
    <cfRule type="cellIs" dxfId="2502" priority="2676" stopIfTrue="1" operator="between">
      <formula>3.51</formula>
      <formula>7.49</formula>
    </cfRule>
  </conditionalFormatting>
  <conditionalFormatting sqref="AA4575">
    <cfRule type="cellIs" dxfId="2501" priority="2671" stopIfTrue="1" operator="lessThanOrEqual">
      <formula>3.5</formula>
    </cfRule>
    <cfRule type="cellIs" dxfId="2500" priority="2672" stopIfTrue="1" operator="greaterThanOrEqual">
      <formula>7.5</formula>
    </cfRule>
    <cfRule type="cellIs" dxfId="2499" priority="2673" stopIfTrue="1" operator="between">
      <formula>3.51</formula>
      <formula>7.49</formula>
    </cfRule>
  </conditionalFormatting>
  <conditionalFormatting sqref="AA4597">
    <cfRule type="cellIs" dxfId="2498" priority="2668" stopIfTrue="1" operator="lessThanOrEqual">
      <formula>3.5</formula>
    </cfRule>
    <cfRule type="cellIs" dxfId="2497" priority="2669" stopIfTrue="1" operator="greaterThanOrEqual">
      <formula>7.5</formula>
    </cfRule>
    <cfRule type="cellIs" dxfId="2496" priority="2670" stopIfTrue="1" operator="between">
      <formula>3.51</formula>
      <formula>7.49</formula>
    </cfRule>
  </conditionalFormatting>
  <conditionalFormatting sqref="AA676">
    <cfRule type="cellIs" dxfId="2495" priority="2665" stopIfTrue="1" operator="lessThanOrEqual">
      <formula>3.5</formula>
    </cfRule>
    <cfRule type="cellIs" dxfId="2494" priority="2666" stopIfTrue="1" operator="greaterThanOrEqual">
      <formula>7.5</formula>
    </cfRule>
    <cfRule type="cellIs" dxfId="2493" priority="2667" stopIfTrue="1" operator="between">
      <formula>3.51</formula>
      <formula>7.49</formula>
    </cfRule>
  </conditionalFormatting>
  <conditionalFormatting sqref="AA675">
    <cfRule type="cellIs" dxfId="2492" priority="2662" stopIfTrue="1" operator="lessThanOrEqual">
      <formula>3.5</formula>
    </cfRule>
    <cfRule type="cellIs" dxfId="2491" priority="2663" stopIfTrue="1" operator="greaterThanOrEqual">
      <formula>7.5</formula>
    </cfRule>
    <cfRule type="cellIs" dxfId="2490" priority="2664" stopIfTrue="1" operator="between">
      <formula>3.51</formula>
      <formula>7.49</formula>
    </cfRule>
  </conditionalFormatting>
  <conditionalFormatting sqref="AA713">
    <cfRule type="cellIs" dxfId="2489" priority="2659" stopIfTrue="1" operator="lessThanOrEqual">
      <formula>3.5</formula>
    </cfRule>
    <cfRule type="cellIs" dxfId="2488" priority="2660" stopIfTrue="1" operator="greaterThanOrEqual">
      <formula>7.5</formula>
    </cfRule>
    <cfRule type="cellIs" dxfId="2487" priority="2661" stopIfTrue="1" operator="between">
      <formula>3.51</formula>
      <formula>7.49</formula>
    </cfRule>
  </conditionalFormatting>
  <conditionalFormatting sqref="AA706 AA708:AA710 AA712">
    <cfRule type="cellIs" dxfId="2486" priority="2656" stopIfTrue="1" operator="lessThanOrEqual">
      <formula>3.5</formula>
    </cfRule>
    <cfRule type="cellIs" dxfId="2485" priority="2657" stopIfTrue="1" operator="greaterThanOrEqual">
      <formula>7.5</formula>
    </cfRule>
    <cfRule type="cellIs" dxfId="2484" priority="2658" stopIfTrue="1" operator="between">
      <formula>3.51</formula>
      <formula>7.49</formula>
    </cfRule>
  </conditionalFormatting>
  <conditionalFormatting sqref="AA710">
    <cfRule type="cellIs" dxfId="2483" priority="2653" stopIfTrue="1" operator="lessThanOrEqual">
      <formula>3.5</formula>
    </cfRule>
    <cfRule type="cellIs" dxfId="2482" priority="2654" stopIfTrue="1" operator="greaterThanOrEqual">
      <formula>7.5</formula>
    </cfRule>
    <cfRule type="cellIs" dxfId="2481" priority="2655" stopIfTrue="1" operator="between">
      <formula>3.51</formula>
      <formula>7.49</formula>
    </cfRule>
  </conditionalFormatting>
  <conditionalFormatting sqref="AA709">
    <cfRule type="cellIs" dxfId="2480" priority="2650" stopIfTrue="1" operator="lessThanOrEqual">
      <formula>3.5</formula>
    </cfRule>
    <cfRule type="cellIs" dxfId="2479" priority="2651" stopIfTrue="1" operator="greaterThanOrEqual">
      <formula>7.5</formula>
    </cfRule>
    <cfRule type="cellIs" dxfId="2478" priority="2652" stopIfTrue="1" operator="between">
      <formula>3.51</formula>
      <formula>7.49</formula>
    </cfRule>
  </conditionalFormatting>
  <conditionalFormatting sqref="AA708">
    <cfRule type="cellIs" dxfId="2477" priority="2647" stopIfTrue="1" operator="lessThanOrEqual">
      <formula>3.5</formula>
    </cfRule>
    <cfRule type="cellIs" dxfId="2476" priority="2648" stopIfTrue="1" operator="greaterThanOrEqual">
      <formula>7.5</formula>
    </cfRule>
    <cfRule type="cellIs" dxfId="2475" priority="2649" stopIfTrue="1" operator="between">
      <formula>3.51</formula>
      <formula>7.49</formula>
    </cfRule>
  </conditionalFormatting>
  <conditionalFormatting sqref="AA706">
    <cfRule type="cellIs" dxfId="2474" priority="2644" stopIfTrue="1" operator="lessThanOrEqual">
      <formula>3.5</formula>
    </cfRule>
    <cfRule type="cellIs" dxfId="2473" priority="2645" stopIfTrue="1" operator="greaterThanOrEqual">
      <formula>7.5</formula>
    </cfRule>
    <cfRule type="cellIs" dxfId="2472" priority="2646" stopIfTrue="1" operator="between">
      <formula>3.51</formula>
      <formula>7.49</formula>
    </cfRule>
  </conditionalFormatting>
  <conditionalFormatting sqref="AA513">
    <cfRule type="cellIs" dxfId="2471" priority="2641" stopIfTrue="1" operator="lessThanOrEqual">
      <formula>3.5</formula>
    </cfRule>
    <cfRule type="cellIs" dxfId="2470" priority="2642" stopIfTrue="1" operator="greaterThanOrEqual">
      <formula>7.5</formula>
    </cfRule>
    <cfRule type="cellIs" dxfId="2469" priority="2643" stopIfTrue="1" operator="between">
      <formula>3.51</formula>
      <formula>7.49</formula>
    </cfRule>
  </conditionalFormatting>
  <conditionalFormatting sqref="AA557">
    <cfRule type="cellIs" dxfId="2468" priority="2638" stopIfTrue="1" operator="lessThanOrEqual">
      <formula>3.5</formula>
    </cfRule>
    <cfRule type="cellIs" dxfId="2467" priority="2639" stopIfTrue="1" operator="greaterThanOrEqual">
      <formula>7.5</formula>
    </cfRule>
    <cfRule type="cellIs" dxfId="2466" priority="2640" stopIfTrue="1" operator="between">
      <formula>3.51</formula>
      <formula>7.49</formula>
    </cfRule>
  </conditionalFormatting>
  <conditionalFormatting sqref="AA701">
    <cfRule type="cellIs" dxfId="2465" priority="2635" stopIfTrue="1" operator="lessThanOrEqual">
      <formula>3.5</formula>
    </cfRule>
    <cfRule type="cellIs" dxfId="2464" priority="2636" stopIfTrue="1" operator="greaterThanOrEqual">
      <formula>7.5</formula>
    </cfRule>
    <cfRule type="cellIs" dxfId="2463" priority="2637" stopIfTrue="1" operator="between">
      <formula>3.51</formula>
      <formula>7.49</formula>
    </cfRule>
  </conditionalFormatting>
  <conditionalFormatting sqref="AA507">
    <cfRule type="cellIs" dxfId="2462" priority="2632" stopIfTrue="1" operator="lessThanOrEqual">
      <formula>3.5</formula>
    </cfRule>
    <cfRule type="cellIs" dxfId="2461" priority="2633" stopIfTrue="1" operator="greaterThanOrEqual">
      <formula>7.5</formula>
    </cfRule>
    <cfRule type="cellIs" dxfId="2460" priority="2634" stopIfTrue="1" operator="between">
      <formula>3.51</formula>
      <formula>7.49</formula>
    </cfRule>
  </conditionalFormatting>
  <conditionalFormatting sqref="AA500">
    <cfRule type="cellIs" dxfId="2459" priority="2626" stopIfTrue="1" operator="lessThanOrEqual">
      <formula>3.5</formula>
    </cfRule>
    <cfRule type="cellIs" dxfId="2458" priority="2627" stopIfTrue="1" operator="greaterThanOrEqual">
      <formula>7.5</formula>
    </cfRule>
    <cfRule type="cellIs" dxfId="2457" priority="2628" stopIfTrue="1" operator="between">
      <formula>3.51</formula>
      <formula>7.49</formula>
    </cfRule>
  </conditionalFormatting>
  <conditionalFormatting sqref="AA545">
    <cfRule type="cellIs" dxfId="2456" priority="2623" stopIfTrue="1" operator="lessThanOrEqual">
      <formula>3.5</formula>
    </cfRule>
    <cfRule type="cellIs" dxfId="2455" priority="2624" stopIfTrue="1" operator="greaterThanOrEqual">
      <formula>7.5</formula>
    </cfRule>
    <cfRule type="cellIs" dxfId="2454" priority="2625" stopIfTrue="1" operator="between">
      <formula>3.51</formula>
      <formula>7.49</formula>
    </cfRule>
  </conditionalFormatting>
  <conditionalFormatting sqref="AA563">
    <cfRule type="cellIs" dxfId="2453" priority="2611" stopIfTrue="1" operator="lessThanOrEqual">
      <formula>3.5</formula>
    </cfRule>
    <cfRule type="cellIs" dxfId="2452" priority="2612" stopIfTrue="1" operator="greaterThanOrEqual">
      <formula>7.5</formula>
    </cfRule>
    <cfRule type="cellIs" dxfId="2451" priority="2613" stopIfTrue="1" operator="between">
      <formula>3.51</formula>
      <formula>7.49</formula>
    </cfRule>
  </conditionalFormatting>
  <conditionalFormatting sqref="AA1558">
    <cfRule type="cellIs" dxfId="2450" priority="2596" stopIfTrue="1" operator="lessThanOrEqual">
      <formula>3.5</formula>
    </cfRule>
    <cfRule type="cellIs" dxfId="2449" priority="2597" stopIfTrue="1" operator="greaterThanOrEqual">
      <formula>7.5</formula>
    </cfRule>
    <cfRule type="cellIs" dxfId="2448" priority="2598" stopIfTrue="1" operator="between">
      <formula>3.51</formula>
      <formula>7.49</formula>
    </cfRule>
  </conditionalFormatting>
  <conditionalFormatting sqref="AA3943">
    <cfRule type="cellIs" dxfId="2447" priority="2593" stopIfTrue="1" operator="lessThanOrEqual">
      <formula>3.5</formula>
    </cfRule>
    <cfRule type="cellIs" dxfId="2446" priority="2594" stopIfTrue="1" operator="greaterThanOrEqual">
      <formula>7.5</formula>
    </cfRule>
    <cfRule type="cellIs" dxfId="2445" priority="2595" stopIfTrue="1" operator="between">
      <formula>3.51</formula>
      <formula>7.49</formula>
    </cfRule>
  </conditionalFormatting>
  <conditionalFormatting sqref="AA3947">
    <cfRule type="cellIs" dxfId="2444" priority="2590" stopIfTrue="1" operator="lessThanOrEqual">
      <formula>3.5</formula>
    </cfRule>
    <cfRule type="cellIs" dxfId="2443" priority="2591" stopIfTrue="1" operator="greaterThanOrEqual">
      <formula>7.5</formula>
    </cfRule>
    <cfRule type="cellIs" dxfId="2442" priority="2592" stopIfTrue="1" operator="between">
      <formula>3.51</formula>
      <formula>7.49</formula>
    </cfRule>
  </conditionalFormatting>
  <conditionalFormatting sqref="AA4552">
    <cfRule type="cellIs" dxfId="2441" priority="2587" stopIfTrue="1" operator="lessThanOrEqual">
      <formula>3.5</formula>
    </cfRule>
    <cfRule type="cellIs" dxfId="2440" priority="2588" stopIfTrue="1" operator="greaterThanOrEqual">
      <formula>7.5</formula>
    </cfRule>
    <cfRule type="cellIs" dxfId="2439" priority="2589" stopIfTrue="1" operator="between">
      <formula>3.51</formula>
      <formula>7.49</formula>
    </cfRule>
  </conditionalFormatting>
  <conditionalFormatting sqref="AA3904">
    <cfRule type="cellIs" dxfId="2438" priority="2584" stopIfTrue="1" operator="lessThanOrEqual">
      <formula>3.5</formula>
    </cfRule>
    <cfRule type="cellIs" dxfId="2437" priority="2585" stopIfTrue="1" operator="greaterThanOrEqual">
      <formula>7.5</formula>
    </cfRule>
    <cfRule type="cellIs" dxfId="2436" priority="2586" stopIfTrue="1" operator="between">
      <formula>3.51</formula>
      <formula>7.49</formula>
    </cfRule>
  </conditionalFormatting>
  <conditionalFormatting sqref="AA4689">
    <cfRule type="cellIs" dxfId="2435" priority="2581" stopIfTrue="1" operator="lessThanOrEqual">
      <formula>3.5</formula>
    </cfRule>
    <cfRule type="cellIs" dxfId="2434" priority="2582" stopIfTrue="1" operator="greaterThanOrEqual">
      <formula>7.5</formula>
    </cfRule>
    <cfRule type="cellIs" dxfId="2433" priority="2583" stopIfTrue="1" operator="between">
      <formula>3.51</formula>
      <formula>7.49</formula>
    </cfRule>
  </conditionalFormatting>
  <conditionalFormatting sqref="AA3173">
    <cfRule type="cellIs" dxfId="2432" priority="2578" stopIfTrue="1" operator="lessThanOrEqual">
      <formula>3.5</formula>
    </cfRule>
    <cfRule type="cellIs" dxfId="2431" priority="2579" stopIfTrue="1" operator="greaterThanOrEqual">
      <formula>7.5</formula>
    </cfRule>
    <cfRule type="cellIs" dxfId="2430" priority="2580" stopIfTrue="1" operator="between">
      <formula>3.51</formula>
      <formula>7.49</formula>
    </cfRule>
  </conditionalFormatting>
  <conditionalFormatting sqref="AA5026">
    <cfRule type="cellIs" dxfId="2429" priority="2575" stopIfTrue="1" operator="lessThanOrEqual">
      <formula>3.5</formula>
    </cfRule>
    <cfRule type="cellIs" dxfId="2428" priority="2576" stopIfTrue="1" operator="greaterThanOrEqual">
      <formula>7.5</formula>
    </cfRule>
    <cfRule type="cellIs" dxfId="2427" priority="2577" stopIfTrue="1" operator="between">
      <formula>3.51</formula>
      <formula>7.49</formula>
    </cfRule>
  </conditionalFormatting>
  <conditionalFormatting sqref="AA5330">
    <cfRule type="cellIs" dxfId="2426" priority="2569" stopIfTrue="1" operator="lessThanOrEqual">
      <formula>3.5</formula>
    </cfRule>
    <cfRule type="cellIs" dxfId="2425" priority="2570" stopIfTrue="1" operator="greaterThanOrEqual">
      <formula>7.5</formula>
    </cfRule>
    <cfRule type="cellIs" dxfId="2424" priority="2571" stopIfTrue="1" operator="between">
      <formula>3.51</formula>
      <formula>7.49</formula>
    </cfRule>
  </conditionalFormatting>
  <conditionalFormatting sqref="AA5347">
    <cfRule type="cellIs" dxfId="2423" priority="2566" stopIfTrue="1" operator="lessThanOrEqual">
      <formula>3.5</formula>
    </cfRule>
    <cfRule type="cellIs" dxfId="2422" priority="2567" stopIfTrue="1" operator="greaterThanOrEqual">
      <formula>7.5</formula>
    </cfRule>
    <cfRule type="cellIs" dxfId="2421" priority="2568" stopIfTrue="1" operator="between">
      <formula>3.51</formula>
      <formula>7.49</formula>
    </cfRule>
  </conditionalFormatting>
  <conditionalFormatting sqref="AA4079">
    <cfRule type="cellIs" dxfId="2420" priority="2563" stopIfTrue="1" operator="lessThanOrEqual">
      <formula>3.5</formula>
    </cfRule>
    <cfRule type="cellIs" dxfId="2419" priority="2564" stopIfTrue="1" operator="greaterThanOrEqual">
      <formula>7.5</formula>
    </cfRule>
    <cfRule type="cellIs" dxfId="2418" priority="2565" stopIfTrue="1" operator="between">
      <formula>3.51</formula>
      <formula>7.49</formula>
    </cfRule>
  </conditionalFormatting>
  <conditionalFormatting sqref="AA4102">
    <cfRule type="cellIs" dxfId="2417" priority="2560" stopIfTrue="1" operator="lessThanOrEqual">
      <formula>3.5</formula>
    </cfRule>
    <cfRule type="cellIs" dxfId="2416" priority="2561" stopIfTrue="1" operator="greaterThanOrEqual">
      <formula>7.5</formula>
    </cfRule>
    <cfRule type="cellIs" dxfId="2415" priority="2562" stopIfTrue="1" operator="between">
      <formula>3.51</formula>
      <formula>7.49</formula>
    </cfRule>
  </conditionalFormatting>
  <conditionalFormatting sqref="AA4119">
    <cfRule type="cellIs" dxfId="2414" priority="2557" stopIfTrue="1" operator="lessThanOrEqual">
      <formula>3.5</formula>
    </cfRule>
    <cfRule type="cellIs" dxfId="2413" priority="2558" stopIfTrue="1" operator="greaterThanOrEqual">
      <formula>7.5</formula>
    </cfRule>
    <cfRule type="cellIs" dxfId="2412" priority="2559" stopIfTrue="1" operator="between">
      <formula>3.51</formula>
      <formula>7.49</formula>
    </cfRule>
  </conditionalFormatting>
  <conditionalFormatting sqref="AA4131">
    <cfRule type="cellIs" dxfId="2411" priority="2554" stopIfTrue="1" operator="lessThanOrEqual">
      <formula>3.5</formula>
    </cfRule>
    <cfRule type="cellIs" dxfId="2410" priority="2555" stopIfTrue="1" operator="greaterThanOrEqual">
      <formula>7.5</formula>
    </cfRule>
    <cfRule type="cellIs" dxfId="2409" priority="2556" stopIfTrue="1" operator="between">
      <formula>3.51</formula>
      <formula>7.49</formula>
    </cfRule>
  </conditionalFormatting>
  <conditionalFormatting sqref="AA4140">
    <cfRule type="cellIs" dxfId="2408" priority="2551" stopIfTrue="1" operator="lessThanOrEqual">
      <formula>3.5</formula>
    </cfRule>
    <cfRule type="cellIs" dxfId="2407" priority="2552" stopIfTrue="1" operator="greaterThanOrEqual">
      <formula>7.5</formula>
    </cfRule>
    <cfRule type="cellIs" dxfId="2406" priority="2553" stopIfTrue="1" operator="between">
      <formula>3.51</formula>
      <formula>7.49</formula>
    </cfRule>
  </conditionalFormatting>
  <conditionalFormatting sqref="AA4159">
    <cfRule type="cellIs" dxfId="2405" priority="2548" stopIfTrue="1" operator="lessThanOrEqual">
      <formula>3.5</formula>
    </cfRule>
    <cfRule type="cellIs" dxfId="2404" priority="2549" stopIfTrue="1" operator="greaterThanOrEqual">
      <formula>7.5</formula>
    </cfRule>
    <cfRule type="cellIs" dxfId="2403" priority="2550" stopIfTrue="1" operator="between">
      <formula>3.51</formula>
      <formula>7.49</formula>
    </cfRule>
  </conditionalFormatting>
  <conditionalFormatting sqref="AA3133">
    <cfRule type="cellIs" dxfId="2402" priority="2545" stopIfTrue="1" operator="lessThanOrEqual">
      <formula>3.5</formula>
    </cfRule>
    <cfRule type="cellIs" dxfId="2401" priority="2546" stopIfTrue="1" operator="greaterThanOrEqual">
      <formula>7.5</formula>
    </cfRule>
    <cfRule type="cellIs" dxfId="2400" priority="2547" stopIfTrue="1" operator="between">
      <formula>3.51</formula>
      <formula>7.49</formula>
    </cfRule>
  </conditionalFormatting>
  <conditionalFormatting sqref="AA5234">
    <cfRule type="cellIs" dxfId="2399" priority="2542" stopIfTrue="1" operator="lessThanOrEqual">
      <formula>3.5</formula>
    </cfRule>
    <cfRule type="cellIs" dxfId="2398" priority="2543" stopIfTrue="1" operator="greaterThanOrEqual">
      <formula>7.5</formula>
    </cfRule>
    <cfRule type="cellIs" dxfId="2397" priority="2544" stopIfTrue="1" operator="between">
      <formula>3.51</formula>
      <formula>7.49</formula>
    </cfRule>
  </conditionalFormatting>
  <conditionalFormatting sqref="AA593">
    <cfRule type="cellIs" dxfId="2396" priority="2539" stopIfTrue="1" operator="lessThanOrEqual">
      <formula>3.5</formula>
    </cfRule>
    <cfRule type="cellIs" dxfId="2395" priority="2540" stopIfTrue="1" operator="greaterThanOrEqual">
      <formula>7.5</formula>
    </cfRule>
    <cfRule type="cellIs" dxfId="2394" priority="2541" stopIfTrue="1" operator="between">
      <formula>3.51</formula>
      <formula>7.49</formula>
    </cfRule>
  </conditionalFormatting>
  <conditionalFormatting sqref="AA838">
    <cfRule type="cellIs" dxfId="2393" priority="2536" stopIfTrue="1" operator="lessThanOrEqual">
      <formula>3.5</formula>
    </cfRule>
    <cfRule type="cellIs" dxfId="2392" priority="2537" stopIfTrue="1" operator="greaterThanOrEqual">
      <formula>7.5</formula>
    </cfRule>
    <cfRule type="cellIs" dxfId="2391" priority="2538" stopIfTrue="1" operator="between">
      <formula>3.51</formula>
      <formula>7.49</formula>
    </cfRule>
  </conditionalFormatting>
  <conditionalFormatting sqref="AA1333">
    <cfRule type="cellIs" dxfId="2390" priority="2533" stopIfTrue="1" operator="lessThanOrEqual">
      <formula>3.5</formula>
    </cfRule>
    <cfRule type="cellIs" dxfId="2389" priority="2534" stopIfTrue="1" operator="greaterThanOrEqual">
      <formula>7.5</formula>
    </cfRule>
    <cfRule type="cellIs" dxfId="2388" priority="2535" stopIfTrue="1" operator="between">
      <formula>3.51</formula>
      <formula>7.49</formula>
    </cfRule>
  </conditionalFormatting>
  <conditionalFormatting sqref="AA1742">
    <cfRule type="cellIs" dxfId="2387" priority="2530" stopIfTrue="1" operator="lessThanOrEqual">
      <formula>3.5</formula>
    </cfRule>
    <cfRule type="cellIs" dxfId="2386" priority="2531" stopIfTrue="1" operator="greaterThanOrEqual">
      <formula>7.5</formula>
    </cfRule>
    <cfRule type="cellIs" dxfId="2385" priority="2532" stopIfTrue="1" operator="between">
      <formula>3.51</formula>
      <formula>7.49</formula>
    </cfRule>
  </conditionalFormatting>
  <conditionalFormatting sqref="AA2282">
    <cfRule type="cellIs" dxfId="2384" priority="2527" stopIfTrue="1" operator="lessThanOrEqual">
      <formula>3.5</formula>
    </cfRule>
    <cfRule type="cellIs" dxfId="2383" priority="2528" stopIfTrue="1" operator="greaterThanOrEqual">
      <formula>7.5</formula>
    </cfRule>
    <cfRule type="cellIs" dxfId="2382" priority="2529" stopIfTrue="1" operator="between">
      <formula>3.51</formula>
      <formula>7.49</formula>
    </cfRule>
  </conditionalFormatting>
  <conditionalFormatting sqref="AA2418">
    <cfRule type="cellIs" dxfId="2381" priority="2524" stopIfTrue="1" operator="lessThanOrEqual">
      <formula>3.5</formula>
    </cfRule>
    <cfRule type="cellIs" dxfId="2380" priority="2525" stopIfTrue="1" operator="greaterThanOrEqual">
      <formula>7.5</formula>
    </cfRule>
    <cfRule type="cellIs" dxfId="2379" priority="2526" stopIfTrue="1" operator="between">
      <formula>3.51</formula>
      <formula>7.49</formula>
    </cfRule>
  </conditionalFormatting>
  <conditionalFormatting sqref="AA3806">
    <cfRule type="cellIs" dxfId="2378" priority="2521" stopIfTrue="1" operator="lessThanOrEqual">
      <formula>3.5</formula>
    </cfRule>
    <cfRule type="cellIs" dxfId="2377" priority="2522" stopIfTrue="1" operator="greaterThanOrEqual">
      <formula>7.5</formula>
    </cfRule>
    <cfRule type="cellIs" dxfId="2376" priority="2523" stopIfTrue="1" operator="between">
      <formula>3.51</formula>
      <formula>7.49</formula>
    </cfRule>
  </conditionalFormatting>
  <conditionalFormatting sqref="AA3893">
    <cfRule type="cellIs" dxfId="2375" priority="2518" stopIfTrue="1" operator="lessThanOrEqual">
      <formula>3.5</formula>
    </cfRule>
    <cfRule type="cellIs" dxfId="2374" priority="2519" stopIfTrue="1" operator="greaterThanOrEqual">
      <formula>7.5</formula>
    </cfRule>
    <cfRule type="cellIs" dxfId="2373" priority="2520" stopIfTrue="1" operator="between">
      <formula>3.51</formula>
      <formula>7.49</formula>
    </cfRule>
  </conditionalFormatting>
  <conditionalFormatting sqref="AA5261">
    <cfRule type="cellIs" dxfId="2372" priority="2515" stopIfTrue="1" operator="lessThanOrEqual">
      <formula>3.5</formula>
    </cfRule>
    <cfRule type="cellIs" dxfId="2371" priority="2516" stopIfTrue="1" operator="greaterThanOrEqual">
      <formula>7.5</formula>
    </cfRule>
    <cfRule type="cellIs" dxfId="2370" priority="2517" stopIfTrue="1" operator="between">
      <formula>3.51</formula>
      <formula>7.49</formula>
    </cfRule>
  </conditionalFormatting>
  <conditionalFormatting sqref="AA5268">
    <cfRule type="cellIs" dxfId="2369" priority="2512" stopIfTrue="1" operator="lessThanOrEqual">
      <formula>3.5</formula>
    </cfRule>
    <cfRule type="cellIs" dxfId="2368" priority="2513" stopIfTrue="1" operator="greaterThanOrEqual">
      <formula>7.5</formula>
    </cfRule>
    <cfRule type="cellIs" dxfId="2367" priority="2514" stopIfTrue="1" operator="between">
      <formula>3.51</formula>
      <formula>7.49</formula>
    </cfRule>
  </conditionalFormatting>
  <conditionalFormatting sqref="AA5276">
    <cfRule type="cellIs" dxfId="2366" priority="2509" stopIfTrue="1" operator="lessThanOrEqual">
      <formula>3.5</formula>
    </cfRule>
    <cfRule type="cellIs" dxfId="2365" priority="2510" stopIfTrue="1" operator="greaterThanOrEqual">
      <formula>7.5</formula>
    </cfRule>
    <cfRule type="cellIs" dxfId="2364" priority="2511" stopIfTrue="1" operator="between">
      <formula>3.51</formula>
      <formula>7.49</formula>
    </cfRule>
  </conditionalFormatting>
  <conditionalFormatting sqref="AA5282">
    <cfRule type="cellIs" dxfId="2363" priority="2506" stopIfTrue="1" operator="lessThanOrEqual">
      <formula>3.5</formula>
    </cfRule>
    <cfRule type="cellIs" dxfId="2362" priority="2507" stopIfTrue="1" operator="greaterThanOrEqual">
      <formula>7.5</formula>
    </cfRule>
    <cfRule type="cellIs" dxfId="2361" priority="2508" stopIfTrue="1" operator="between">
      <formula>3.51</formula>
      <formula>7.49</formula>
    </cfRule>
  </conditionalFormatting>
  <conditionalFormatting sqref="AA5327">
    <cfRule type="cellIs" dxfId="2360" priority="2503" stopIfTrue="1" operator="lessThanOrEqual">
      <formula>3.5</formula>
    </cfRule>
    <cfRule type="cellIs" dxfId="2359" priority="2504" stopIfTrue="1" operator="greaterThanOrEqual">
      <formula>7.5</formula>
    </cfRule>
    <cfRule type="cellIs" dxfId="2358" priority="2505" stopIfTrue="1" operator="between">
      <formula>3.51</formula>
      <formula>7.49</formula>
    </cfRule>
  </conditionalFormatting>
  <conditionalFormatting sqref="AA5300">
    <cfRule type="cellIs" dxfId="2357" priority="2500" stopIfTrue="1" operator="lessThanOrEqual">
      <formula>3.5</formula>
    </cfRule>
    <cfRule type="cellIs" dxfId="2356" priority="2501" stopIfTrue="1" operator="greaterThanOrEqual">
      <formula>7.5</formula>
    </cfRule>
    <cfRule type="cellIs" dxfId="2355" priority="2502" stopIfTrue="1" operator="between">
      <formula>3.51</formula>
      <formula>7.49</formula>
    </cfRule>
  </conditionalFormatting>
  <conditionalFormatting sqref="AA5229">
    <cfRule type="cellIs" dxfId="2354" priority="2497" stopIfTrue="1" operator="lessThanOrEqual">
      <formula>3.5</formula>
    </cfRule>
    <cfRule type="cellIs" dxfId="2353" priority="2498" stopIfTrue="1" operator="greaterThanOrEqual">
      <formula>7.5</formula>
    </cfRule>
    <cfRule type="cellIs" dxfId="2352" priority="2499" stopIfTrue="1" operator="between">
      <formula>3.51</formula>
      <formula>7.49</formula>
    </cfRule>
  </conditionalFormatting>
  <conditionalFormatting sqref="AA5227">
    <cfRule type="cellIs" dxfId="2351" priority="2494" stopIfTrue="1" operator="lessThanOrEqual">
      <formula>3.5</formula>
    </cfRule>
    <cfRule type="cellIs" dxfId="2350" priority="2495" stopIfTrue="1" operator="greaterThanOrEqual">
      <formula>7.5</formula>
    </cfRule>
    <cfRule type="cellIs" dxfId="2349" priority="2496" stopIfTrue="1" operator="between">
      <formula>3.51</formula>
      <formula>7.49</formula>
    </cfRule>
  </conditionalFormatting>
  <conditionalFormatting sqref="AA5226">
    <cfRule type="cellIs" dxfId="2348" priority="2491" stopIfTrue="1" operator="lessThanOrEqual">
      <formula>3.5</formula>
    </cfRule>
    <cfRule type="cellIs" dxfId="2347" priority="2492" stopIfTrue="1" operator="greaterThanOrEqual">
      <formula>7.5</formula>
    </cfRule>
    <cfRule type="cellIs" dxfId="2346" priority="2493" stopIfTrue="1" operator="between">
      <formula>3.51</formula>
      <formula>7.49</formula>
    </cfRule>
  </conditionalFormatting>
  <conditionalFormatting sqref="AA5225">
    <cfRule type="cellIs" dxfId="2345" priority="2488" stopIfTrue="1" operator="lessThanOrEqual">
      <formula>3.5</formula>
    </cfRule>
    <cfRule type="cellIs" dxfId="2344" priority="2489" stopIfTrue="1" operator="greaterThanOrEqual">
      <formula>7.5</formula>
    </cfRule>
    <cfRule type="cellIs" dxfId="2343" priority="2490" stopIfTrue="1" operator="between">
      <formula>3.51</formula>
      <formula>7.49</formula>
    </cfRule>
  </conditionalFormatting>
  <conditionalFormatting sqref="AA4738">
    <cfRule type="cellIs" dxfId="2342" priority="2485" stopIfTrue="1" operator="lessThanOrEqual">
      <formula>3.5</formula>
    </cfRule>
    <cfRule type="cellIs" dxfId="2341" priority="2486" stopIfTrue="1" operator="greaterThanOrEqual">
      <formula>7.5</formula>
    </cfRule>
    <cfRule type="cellIs" dxfId="2340" priority="2487" stopIfTrue="1" operator="between">
      <formula>3.51</formula>
      <formula>7.49</formula>
    </cfRule>
  </conditionalFormatting>
  <conditionalFormatting sqref="AA4904">
    <cfRule type="cellIs" dxfId="2339" priority="2482" stopIfTrue="1" operator="lessThanOrEqual">
      <formula>3.5</formula>
    </cfRule>
    <cfRule type="cellIs" dxfId="2338" priority="2483" stopIfTrue="1" operator="greaterThanOrEqual">
      <formula>7.5</formula>
    </cfRule>
    <cfRule type="cellIs" dxfId="2337" priority="2484" stopIfTrue="1" operator="between">
      <formula>3.51</formula>
      <formula>7.49</formula>
    </cfRule>
  </conditionalFormatting>
  <conditionalFormatting sqref="AA4934">
    <cfRule type="cellIs" dxfId="2336" priority="2479" stopIfTrue="1" operator="lessThanOrEqual">
      <formula>3.5</formula>
    </cfRule>
    <cfRule type="cellIs" dxfId="2335" priority="2480" stopIfTrue="1" operator="greaterThanOrEqual">
      <formula>7.5</formula>
    </cfRule>
    <cfRule type="cellIs" dxfId="2334" priority="2481" stopIfTrue="1" operator="between">
      <formula>3.51</formula>
      <formula>7.49</formula>
    </cfRule>
  </conditionalFormatting>
  <conditionalFormatting sqref="AA4942">
    <cfRule type="cellIs" dxfId="2333" priority="2476" stopIfTrue="1" operator="lessThanOrEqual">
      <formula>3.5</formula>
    </cfRule>
    <cfRule type="cellIs" dxfId="2332" priority="2477" stopIfTrue="1" operator="greaterThanOrEqual">
      <formula>7.5</formula>
    </cfRule>
    <cfRule type="cellIs" dxfId="2331" priority="2478" stopIfTrue="1" operator="between">
      <formula>3.51</formula>
      <formula>7.49</formula>
    </cfRule>
  </conditionalFormatting>
  <conditionalFormatting sqref="AA3161">
    <cfRule type="cellIs" dxfId="2330" priority="2473" stopIfTrue="1" operator="lessThanOrEqual">
      <formula>3.5</formula>
    </cfRule>
    <cfRule type="cellIs" dxfId="2329" priority="2474" stopIfTrue="1" operator="greaterThanOrEqual">
      <formula>7.5</formula>
    </cfRule>
    <cfRule type="cellIs" dxfId="2328" priority="2475" stopIfTrue="1" operator="between">
      <formula>3.51</formula>
      <formula>7.49</formula>
    </cfRule>
  </conditionalFormatting>
  <conditionalFormatting sqref="AA3451">
    <cfRule type="cellIs" dxfId="2327" priority="2470" stopIfTrue="1" operator="lessThanOrEqual">
      <formula>3.5</formula>
    </cfRule>
    <cfRule type="cellIs" dxfId="2326" priority="2471" stopIfTrue="1" operator="greaterThanOrEqual">
      <formula>7.5</formula>
    </cfRule>
    <cfRule type="cellIs" dxfId="2325" priority="2472" stopIfTrue="1" operator="between">
      <formula>3.51</formula>
      <formula>7.49</formula>
    </cfRule>
  </conditionalFormatting>
  <conditionalFormatting sqref="AA3403">
    <cfRule type="cellIs" dxfId="2324" priority="2467" stopIfTrue="1" operator="lessThanOrEqual">
      <formula>3.5</formula>
    </cfRule>
    <cfRule type="cellIs" dxfId="2323" priority="2468" stopIfTrue="1" operator="greaterThanOrEqual">
      <formula>7.5</formula>
    </cfRule>
    <cfRule type="cellIs" dxfId="2322" priority="2469" stopIfTrue="1" operator="between">
      <formula>3.51</formula>
      <formula>7.49</formula>
    </cfRule>
  </conditionalFormatting>
  <conditionalFormatting sqref="AA3460">
    <cfRule type="cellIs" dxfId="2321" priority="2464" stopIfTrue="1" operator="lessThanOrEqual">
      <formula>3.5</formula>
    </cfRule>
    <cfRule type="cellIs" dxfId="2320" priority="2465" stopIfTrue="1" operator="greaterThanOrEqual">
      <formula>7.5</formula>
    </cfRule>
    <cfRule type="cellIs" dxfId="2319" priority="2466" stopIfTrue="1" operator="between">
      <formula>3.51</formula>
      <formula>7.49</formula>
    </cfRule>
  </conditionalFormatting>
  <conditionalFormatting sqref="AA3459">
    <cfRule type="cellIs" dxfId="2318" priority="2461" stopIfTrue="1" operator="lessThanOrEqual">
      <formula>3.5</formula>
    </cfRule>
    <cfRule type="cellIs" dxfId="2317" priority="2462" stopIfTrue="1" operator="greaterThanOrEqual">
      <formula>7.5</formula>
    </cfRule>
    <cfRule type="cellIs" dxfId="2316" priority="2463" stopIfTrue="1" operator="between">
      <formula>3.51</formula>
      <formula>7.49</formula>
    </cfRule>
  </conditionalFormatting>
  <conditionalFormatting sqref="AA3458">
    <cfRule type="cellIs" dxfId="2315" priority="2458" stopIfTrue="1" operator="lessThanOrEqual">
      <formula>3.5</formula>
    </cfRule>
    <cfRule type="cellIs" dxfId="2314" priority="2459" stopIfTrue="1" operator="greaterThanOrEqual">
      <formula>7.5</formula>
    </cfRule>
    <cfRule type="cellIs" dxfId="2313" priority="2460" stopIfTrue="1" operator="between">
      <formula>3.51</formula>
      <formula>7.49</formula>
    </cfRule>
  </conditionalFormatting>
  <conditionalFormatting sqref="AA3453">
    <cfRule type="cellIs" dxfId="2312" priority="2455" stopIfTrue="1" operator="lessThanOrEqual">
      <formula>3.5</formula>
    </cfRule>
    <cfRule type="cellIs" dxfId="2311" priority="2456" stopIfTrue="1" operator="greaterThanOrEqual">
      <formula>7.5</formula>
    </cfRule>
    <cfRule type="cellIs" dxfId="2310" priority="2457" stopIfTrue="1" operator="between">
      <formula>3.51</formula>
      <formula>7.49</formula>
    </cfRule>
  </conditionalFormatting>
  <conditionalFormatting sqref="AA3452">
    <cfRule type="cellIs" dxfId="2309" priority="2452" stopIfTrue="1" operator="lessThanOrEqual">
      <formula>3.5</formula>
    </cfRule>
    <cfRule type="cellIs" dxfId="2308" priority="2453" stopIfTrue="1" operator="greaterThanOrEqual">
      <formula>7.5</formula>
    </cfRule>
    <cfRule type="cellIs" dxfId="2307" priority="2454" stopIfTrue="1" operator="between">
      <formula>3.51</formula>
      <formula>7.49</formula>
    </cfRule>
  </conditionalFormatting>
  <conditionalFormatting sqref="AA4868">
    <cfRule type="cellIs" dxfId="2306" priority="2449" stopIfTrue="1" operator="lessThanOrEqual">
      <formula>3.5</formula>
    </cfRule>
    <cfRule type="cellIs" dxfId="2305" priority="2450" stopIfTrue="1" operator="greaterThanOrEqual">
      <formula>7.5</formula>
    </cfRule>
    <cfRule type="cellIs" dxfId="2304" priority="2451" stopIfTrue="1" operator="between">
      <formula>3.51</formula>
      <formula>7.49</formula>
    </cfRule>
  </conditionalFormatting>
  <conditionalFormatting sqref="AA5070">
    <cfRule type="cellIs" dxfId="2303" priority="2446" stopIfTrue="1" operator="lessThanOrEqual">
      <formula>3.5</formula>
    </cfRule>
    <cfRule type="cellIs" dxfId="2302" priority="2447" stopIfTrue="1" operator="greaterThanOrEqual">
      <formula>7.5</formula>
    </cfRule>
    <cfRule type="cellIs" dxfId="2301" priority="2448" stopIfTrue="1" operator="between">
      <formula>3.51</formula>
      <formula>7.49</formula>
    </cfRule>
  </conditionalFormatting>
  <conditionalFormatting sqref="AA5082">
    <cfRule type="cellIs" dxfId="2300" priority="2443" stopIfTrue="1" operator="lessThanOrEqual">
      <formula>3.5</formula>
    </cfRule>
    <cfRule type="cellIs" dxfId="2299" priority="2444" stopIfTrue="1" operator="greaterThanOrEqual">
      <formula>7.5</formula>
    </cfRule>
    <cfRule type="cellIs" dxfId="2298" priority="2445" stopIfTrue="1" operator="between">
      <formula>3.51</formula>
      <formula>7.49</formula>
    </cfRule>
  </conditionalFormatting>
  <conditionalFormatting sqref="AA5320">
    <cfRule type="cellIs" dxfId="2297" priority="2440" stopIfTrue="1" operator="lessThanOrEqual">
      <formula>3.5</formula>
    </cfRule>
    <cfRule type="cellIs" dxfId="2296" priority="2441" stopIfTrue="1" operator="greaterThanOrEqual">
      <formula>7.5</formula>
    </cfRule>
    <cfRule type="cellIs" dxfId="2295" priority="2442" stopIfTrue="1" operator="between">
      <formula>3.51</formula>
      <formula>7.49</formula>
    </cfRule>
  </conditionalFormatting>
  <conditionalFormatting sqref="AA5351">
    <cfRule type="cellIs" dxfId="2294" priority="2437" stopIfTrue="1" operator="lessThanOrEqual">
      <formula>3.5</formula>
    </cfRule>
    <cfRule type="cellIs" dxfId="2293" priority="2438" stopIfTrue="1" operator="greaterThanOrEqual">
      <formula>7.5</formula>
    </cfRule>
    <cfRule type="cellIs" dxfId="2292" priority="2439" stopIfTrue="1" operator="between">
      <formula>3.51</formula>
      <formula>7.49</formula>
    </cfRule>
  </conditionalFormatting>
  <conditionalFormatting sqref="AA5382">
    <cfRule type="cellIs" dxfId="2291" priority="2434" stopIfTrue="1" operator="lessThanOrEqual">
      <formula>3.5</formula>
    </cfRule>
    <cfRule type="cellIs" dxfId="2290" priority="2435" stopIfTrue="1" operator="greaterThanOrEqual">
      <formula>7.5</formula>
    </cfRule>
    <cfRule type="cellIs" dxfId="2289" priority="2436" stopIfTrue="1" operator="between">
      <formula>3.51</formula>
      <formula>7.49</formula>
    </cfRule>
  </conditionalFormatting>
  <conditionalFormatting sqref="AA5292">
    <cfRule type="cellIs" dxfId="2288" priority="2431" stopIfTrue="1" operator="lessThanOrEqual">
      <formula>3.5</formula>
    </cfRule>
    <cfRule type="cellIs" dxfId="2287" priority="2432" stopIfTrue="1" operator="greaterThanOrEqual">
      <formula>7.5</formula>
    </cfRule>
    <cfRule type="cellIs" dxfId="2286" priority="2433" stopIfTrue="1" operator="between">
      <formula>3.51</formula>
      <formula>7.49</formula>
    </cfRule>
  </conditionalFormatting>
  <conditionalFormatting sqref="AA5199">
    <cfRule type="cellIs" dxfId="2285" priority="2428" stopIfTrue="1" operator="lessThanOrEqual">
      <formula>3.5</formula>
    </cfRule>
    <cfRule type="cellIs" dxfId="2284" priority="2429" stopIfTrue="1" operator="greaterThanOrEqual">
      <formula>7.5</formula>
    </cfRule>
    <cfRule type="cellIs" dxfId="2283" priority="2430" stopIfTrue="1" operator="between">
      <formula>3.51</formula>
      <formula>7.49</formula>
    </cfRule>
  </conditionalFormatting>
  <conditionalFormatting sqref="AA5192">
    <cfRule type="cellIs" dxfId="2282" priority="2425" stopIfTrue="1" operator="lessThanOrEqual">
      <formula>3.5</formula>
    </cfRule>
    <cfRule type="cellIs" dxfId="2281" priority="2426" stopIfTrue="1" operator="greaterThanOrEqual">
      <formula>7.5</formula>
    </cfRule>
    <cfRule type="cellIs" dxfId="2280" priority="2427" stopIfTrue="1" operator="between">
      <formula>3.51</formula>
      <formula>7.49</formula>
    </cfRule>
  </conditionalFormatting>
  <conditionalFormatting sqref="AA4983">
    <cfRule type="cellIs" dxfId="2279" priority="2422" stopIfTrue="1" operator="lessThanOrEqual">
      <formula>3.5</formula>
    </cfRule>
    <cfRule type="cellIs" dxfId="2278" priority="2423" stopIfTrue="1" operator="greaterThanOrEqual">
      <formula>7.5</formula>
    </cfRule>
    <cfRule type="cellIs" dxfId="2277" priority="2424" stopIfTrue="1" operator="between">
      <formula>3.51</formula>
      <formula>7.49</formula>
    </cfRule>
  </conditionalFormatting>
  <conditionalFormatting sqref="AA4152">
    <cfRule type="cellIs" dxfId="2276" priority="2419" stopIfTrue="1" operator="lessThanOrEqual">
      <formula>3.5</formula>
    </cfRule>
    <cfRule type="cellIs" dxfId="2275" priority="2420" stopIfTrue="1" operator="greaterThanOrEqual">
      <formula>7.5</formula>
    </cfRule>
    <cfRule type="cellIs" dxfId="2274" priority="2421" stopIfTrue="1" operator="between">
      <formula>3.51</formula>
      <formula>7.49</formula>
    </cfRule>
  </conditionalFormatting>
  <conditionalFormatting sqref="AA3869">
    <cfRule type="cellIs" dxfId="2273" priority="2416" stopIfTrue="1" operator="lessThanOrEqual">
      <formula>3.5</formula>
    </cfRule>
    <cfRule type="cellIs" dxfId="2272" priority="2417" stopIfTrue="1" operator="greaterThanOrEqual">
      <formula>7.5</formula>
    </cfRule>
    <cfRule type="cellIs" dxfId="2271" priority="2418" stopIfTrue="1" operator="between">
      <formula>3.51</formula>
      <formula>7.49</formula>
    </cfRule>
  </conditionalFormatting>
  <conditionalFormatting sqref="AA4117">
    <cfRule type="cellIs" dxfId="2270" priority="2413" stopIfTrue="1" operator="lessThanOrEqual">
      <formula>3.5</formula>
    </cfRule>
    <cfRule type="cellIs" dxfId="2269" priority="2414" stopIfTrue="1" operator="greaterThanOrEqual">
      <formula>7.5</formula>
    </cfRule>
    <cfRule type="cellIs" dxfId="2268" priority="2415" stopIfTrue="1" operator="between">
      <formula>3.51</formula>
      <formula>7.49</formula>
    </cfRule>
  </conditionalFormatting>
  <conditionalFormatting sqref="AA2198">
    <cfRule type="cellIs" dxfId="2267" priority="2410" stopIfTrue="1" operator="lessThanOrEqual">
      <formula>3.5</formula>
    </cfRule>
    <cfRule type="cellIs" dxfId="2266" priority="2411" stopIfTrue="1" operator="greaterThanOrEqual">
      <formula>7.5</formula>
    </cfRule>
    <cfRule type="cellIs" dxfId="2265" priority="2412" stopIfTrue="1" operator="between">
      <formula>3.51</formula>
      <formula>7.49</formula>
    </cfRule>
  </conditionalFormatting>
  <conditionalFormatting sqref="AA1304">
    <cfRule type="cellIs" dxfId="2264" priority="2407" stopIfTrue="1" operator="lessThanOrEqual">
      <formula>3.5</formula>
    </cfRule>
    <cfRule type="cellIs" dxfId="2263" priority="2408" stopIfTrue="1" operator="greaterThanOrEqual">
      <formula>7.5</formula>
    </cfRule>
    <cfRule type="cellIs" dxfId="2262" priority="2409" stopIfTrue="1" operator="between">
      <formula>3.51</formula>
      <formula>7.49</formula>
    </cfRule>
  </conditionalFormatting>
  <conditionalFormatting sqref="AA1253">
    <cfRule type="cellIs" dxfId="2261" priority="2404" stopIfTrue="1" operator="lessThanOrEqual">
      <formula>3.5</formula>
    </cfRule>
    <cfRule type="cellIs" dxfId="2260" priority="2405" stopIfTrue="1" operator="greaterThanOrEqual">
      <formula>7.5</formula>
    </cfRule>
    <cfRule type="cellIs" dxfId="2259" priority="2406" stopIfTrue="1" operator="between">
      <formula>3.51</formula>
      <formula>7.49</formula>
    </cfRule>
  </conditionalFormatting>
  <conditionalFormatting sqref="AA1470">
    <cfRule type="cellIs" dxfId="2258" priority="2401" stopIfTrue="1" operator="lessThanOrEqual">
      <formula>3.5</formula>
    </cfRule>
    <cfRule type="cellIs" dxfId="2257" priority="2402" stopIfTrue="1" operator="greaterThanOrEqual">
      <formula>7.5</formula>
    </cfRule>
    <cfRule type="cellIs" dxfId="2256" priority="2403" stopIfTrue="1" operator="between">
      <formula>3.51</formula>
      <formula>7.49</formula>
    </cfRule>
  </conditionalFormatting>
  <conditionalFormatting sqref="AA997">
    <cfRule type="cellIs" dxfId="2255" priority="2398" stopIfTrue="1" operator="lessThanOrEqual">
      <formula>3.5</formula>
    </cfRule>
    <cfRule type="cellIs" dxfId="2254" priority="2399" stopIfTrue="1" operator="greaterThanOrEqual">
      <formula>7.5</formula>
    </cfRule>
    <cfRule type="cellIs" dxfId="2253" priority="2400" stopIfTrue="1" operator="between">
      <formula>3.51</formula>
      <formula>7.49</formula>
    </cfRule>
  </conditionalFormatting>
  <conditionalFormatting sqref="AA3960">
    <cfRule type="cellIs" dxfId="2252" priority="2395" stopIfTrue="1" operator="lessThanOrEqual">
      <formula>3.5</formula>
    </cfRule>
    <cfRule type="cellIs" dxfId="2251" priority="2396" stopIfTrue="1" operator="greaterThanOrEqual">
      <formula>7.5</formula>
    </cfRule>
    <cfRule type="cellIs" dxfId="2250" priority="2397" stopIfTrue="1" operator="between">
      <formula>3.51</formula>
      <formula>7.49</formula>
    </cfRule>
  </conditionalFormatting>
  <conditionalFormatting sqref="AA636">
    <cfRule type="cellIs" dxfId="2249" priority="2392" stopIfTrue="1" operator="lessThanOrEqual">
      <formula>3.5</formula>
    </cfRule>
    <cfRule type="cellIs" dxfId="2248" priority="2393" stopIfTrue="1" operator="greaterThanOrEqual">
      <formula>7.5</formula>
    </cfRule>
    <cfRule type="cellIs" dxfId="2247" priority="2394" stopIfTrue="1" operator="between">
      <formula>3.51</formula>
      <formula>7.49</formula>
    </cfRule>
  </conditionalFormatting>
  <conditionalFormatting sqref="AA4145">
    <cfRule type="cellIs" dxfId="2246" priority="2389" stopIfTrue="1" operator="lessThanOrEqual">
      <formula>3.5</formula>
    </cfRule>
    <cfRule type="cellIs" dxfId="2245" priority="2390" stopIfTrue="1" operator="greaterThanOrEqual">
      <formula>7.5</formula>
    </cfRule>
    <cfRule type="cellIs" dxfId="2244" priority="2391" stopIfTrue="1" operator="between">
      <formula>3.51</formula>
      <formula>7.49</formula>
    </cfRule>
  </conditionalFormatting>
  <conditionalFormatting sqref="AA3815">
    <cfRule type="cellIs" dxfId="2243" priority="2386" stopIfTrue="1" operator="lessThanOrEqual">
      <formula>3.5</formula>
    </cfRule>
    <cfRule type="cellIs" dxfId="2242" priority="2387" stopIfTrue="1" operator="greaterThanOrEqual">
      <formula>7.5</formula>
    </cfRule>
    <cfRule type="cellIs" dxfId="2241" priority="2388" stopIfTrue="1" operator="between">
      <formula>3.51</formula>
      <formula>7.49</formula>
    </cfRule>
  </conditionalFormatting>
  <conditionalFormatting sqref="AA803">
    <cfRule type="cellIs" dxfId="2240" priority="2383" stopIfTrue="1" operator="lessThanOrEqual">
      <formula>3.5</formula>
    </cfRule>
    <cfRule type="cellIs" dxfId="2239" priority="2384" stopIfTrue="1" operator="greaterThanOrEqual">
      <formula>7.5</formula>
    </cfRule>
    <cfRule type="cellIs" dxfId="2238" priority="2385" stopIfTrue="1" operator="between">
      <formula>3.51</formula>
      <formula>7.49</formula>
    </cfRule>
  </conditionalFormatting>
  <conditionalFormatting sqref="AA4871">
    <cfRule type="cellIs" dxfId="2237" priority="2380" stopIfTrue="1" operator="lessThanOrEqual">
      <formula>3.5</formula>
    </cfRule>
    <cfRule type="cellIs" dxfId="2236" priority="2381" stopIfTrue="1" operator="greaterThanOrEqual">
      <formula>7.5</formula>
    </cfRule>
    <cfRule type="cellIs" dxfId="2235" priority="2382" stopIfTrue="1" operator="between">
      <formula>3.51</formula>
      <formula>7.49</formula>
    </cfRule>
  </conditionalFormatting>
  <conditionalFormatting sqref="AA4882">
    <cfRule type="cellIs" dxfId="2234" priority="2377" stopIfTrue="1" operator="lessThanOrEqual">
      <formula>3.5</formula>
    </cfRule>
    <cfRule type="cellIs" dxfId="2233" priority="2378" stopIfTrue="1" operator="greaterThanOrEqual">
      <formula>7.5</formula>
    </cfRule>
    <cfRule type="cellIs" dxfId="2232" priority="2379" stopIfTrue="1" operator="between">
      <formula>3.51</formula>
      <formula>7.49</formula>
    </cfRule>
  </conditionalFormatting>
  <conditionalFormatting sqref="AA4896">
    <cfRule type="cellIs" dxfId="2231" priority="2374" stopIfTrue="1" operator="lessThanOrEqual">
      <formula>3.5</formula>
    </cfRule>
    <cfRule type="cellIs" dxfId="2230" priority="2375" stopIfTrue="1" operator="greaterThanOrEqual">
      <formula>7.5</formula>
    </cfRule>
    <cfRule type="cellIs" dxfId="2229" priority="2376" stopIfTrue="1" operator="between">
      <formula>3.51</formula>
      <formula>7.49</formula>
    </cfRule>
  </conditionalFormatting>
  <conditionalFormatting sqref="AA4928">
    <cfRule type="cellIs" dxfId="2228" priority="2371" stopIfTrue="1" operator="lessThanOrEqual">
      <formula>3.5</formula>
    </cfRule>
    <cfRule type="cellIs" dxfId="2227" priority="2372" stopIfTrue="1" operator="greaterThanOrEqual">
      <formula>7.5</formula>
    </cfRule>
    <cfRule type="cellIs" dxfId="2226" priority="2373" stopIfTrue="1" operator="between">
      <formula>3.51</formula>
      <formula>7.49</formula>
    </cfRule>
  </conditionalFormatting>
  <conditionalFormatting sqref="AA4931">
    <cfRule type="cellIs" dxfId="2225" priority="2368" stopIfTrue="1" operator="lessThanOrEqual">
      <formula>3.5</formula>
    </cfRule>
    <cfRule type="cellIs" dxfId="2224" priority="2369" stopIfTrue="1" operator="greaterThanOrEqual">
      <formula>7.5</formula>
    </cfRule>
    <cfRule type="cellIs" dxfId="2223" priority="2370" stopIfTrue="1" operator="between">
      <formula>3.51</formula>
      <formula>7.49</formula>
    </cfRule>
  </conditionalFormatting>
  <conditionalFormatting sqref="AA4929">
    <cfRule type="cellIs" dxfId="2222" priority="2365" stopIfTrue="1" operator="lessThanOrEqual">
      <formula>3.5</formula>
    </cfRule>
    <cfRule type="cellIs" dxfId="2221" priority="2366" stopIfTrue="1" operator="greaterThanOrEqual">
      <formula>7.5</formula>
    </cfRule>
    <cfRule type="cellIs" dxfId="2220" priority="2367" stopIfTrue="1" operator="between">
      <formula>3.51</formula>
      <formula>7.49</formula>
    </cfRule>
  </conditionalFormatting>
  <conditionalFormatting sqref="AA4930">
    <cfRule type="cellIs" dxfId="2219" priority="2362" stopIfTrue="1" operator="lessThanOrEqual">
      <formula>3.5</formula>
    </cfRule>
    <cfRule type="cellIs" dxfId="2218" priority="2363" stopIfTrue="1" operator="greaterThanOrEqual">
      <formula>7.5</formula>
    </cfRule>
    <cfRule type="cellIs" dxfId="2217" priority="2364" stopIfTrue="1" operator="between">
      <formula>3.51</formula>
      <formula>7.49</formula>
    </cfRule>
  </conditionalFormatting>
  <conditionalFormatting sqref="AA5029">
    <cfRule type="cellIs" dxfId="2216" priority="2359" stopIfTrue="1" operator="lessThanOrEqual">
      <formula>3.5</formula>
    </cfRule>
    <cfRule type="cellIs" dxfId="2215" priority="2360" stopIfTrue="1" operator="greaterThanOrEqual">
      <formula>7.5</formula>
    </cfRule>
    <cfRule type="cellIs" dxfId="2214" priority="2361" stopIfTrue="1" operator="between">
      <formula>3.51</formula>
      <formula>7.49</formula>
    </cfRule>
  </conditionalFormatting>
  <conditionalFormatting sqref="AA5030">
    <cfRule type="cellIs" dxfId="2213" priority="2356" stopIfTrue="1" operator="lessThanOrEqual">
      <formula>3.5</formula>
    </cfRule>
    <cfRule type="cellIs" dxfId="2212" priority="2357" stopIfTrue="1" operator="greaterThanOrEqual">
      <formula>7.5</formula>
    </cfRule>
    <cfRule type="cellIs" dxfId="2211" priority="2358" stopIfTrue="1" operator="between">
      <formula>3.51</formula>
      <formula>7.49</formula>
    </cfRule>
  </conditionalFormatting>
  <conditionalFormatting sqref="AA5032">
    <cfRule type="cellIs" dxfId="2210" priority="2353" stopIfTrue="1" operator="lessThanOrEqual">
      <formula>3.5</formula>
    </cfRule>
    <cfRule type="cellIs" dxfId="2209" priority="2354" stopIfTrue="1" operator="greaterThanOrEqual">
      <formula>7.5</formula>
    </cfRule>
    <cfRule type="cellIs" dxfId="2208" priority="2355" stopIfTrue="1" operator="between">
      <formula>3.51</formula>
      <formula>7.49</formula>
    </cfRule>
  </conditionalFormatting>
  <conditionalFormatting sqref="AA4819">
    <cfRule type="cellIs" dxfId="2207" priority="2350" stopIfTrue="1" operator="lessThanOrEqual">
      <formula>3.5</formula>
    </cfRule>
    <cfRule type="cellIs" dxfId="2206" priority="2351" stopIfTrue="1" operator="greaterThanOrEqual">
      <formula>7.5</formula>
    </cfRule>
    <cfRule type="cellIs" dxfId="2205" priority="2352" stopIfTrue="1" operator="between">
      <formula>3.51</formula>
      <formula>7.49</formula>
    </cfRule>
  </conditionalFormatting>
  <conditionalFormatting sqref="AA4818">
    <cfRule type="cellIs" dxfId="2204" priority="2347" stopIfTrue="1" operator="lessThanOrEqual">
      <formula>3.5</formula>
    </cfRule>
    <cfRule type="cellIs" dxfId="2203" priority="2348" stopIfTrue="1" operator="greaterThanOrEqual">
      <formula>7.5</formula>
    </cfRule>
    <cfRule type="cellIs" dxfId="2202" priority="2349" stopIfTrue="1" operator="between">
      <formula>3.51</formula>
      <formula>7.49</formula>
    </cfRule>
  </conditionalFormatting>
  <conditionalFormatting sqref="AA4817">
    <cfRule type="cellIs" dxfId="2201" priority="2344" stopIfTrue="1" operator="lessThanOrEqual">
      <formula>3.5</formula>
    </cfRule>
    <cfRule type="cellIs" dxfId="2200" priority="2345" stopIfTrue="1" operator="greaterThanOrEqual">
      <formula>7.5</formula>
    </cfRule>
    <cfRule type="cellIs" dxfId="2199" priority="2346" stopIfTrue="1" operator="between">
      <formula>3.51</formula>
      <formula>7.49</formula>
    </cfRule>
  </conditionalFormatting>
  <conditionalFormatting sqref="AA4754">
    <cfRule type="cellIs" dxfId="2198" priority="2341" stopIfTrue="1" operator="lessThanOrEqual">
      <formula>3.5</formula>
    </cfRule>
    <cfRule type="cellIs" dxfId="2197" priority="2342" stopIfTrue="1" operator="greaterThanOrEqual">
      <formula>7.5</formula>
    </cfRule>
    <cfRule type="cellIs" dxfId="2196" priority="2343" stopIfTrue="1" operator="between">
      <formula>3.51</formula>
      <formula>7.49</formula>
    </cfRule>
  </conditionalFormatting>
  <conditionalFormatting sqref="AA4755">
    <cfRule type="cellIs" dxfId="2195" priority="2338" stopIfTrue="1" operator="lessThanOrEqual">
      <formula>3.5</formula>
    </cfRule>
    <cfRule type="cellIs" dxfId="2194" priority="2339" stopIfTrue="1" operator="greaterThanOrEqual">
      <formula>7.5</formula>
    </cfRule>
    <cfRule type="cellIs" dxfId="2193" priority="2340" stopIfTrue="1" operator="between">
      <formula>3.51</formula>
      <formula>7.49</formula>
    </cfRule>
  </conditionalFormatting>
  <conditionalFormatting sqref="AA4758">
    <cfRule type="cellIs" dxfId="2192" priority="2335" stopIfTrue="1" operator="lessThanOrEqual">
      <formula>3.5</formula>
    </cfRule>
    <cfRule type="cellIs" dxfId="2191" priority="2336" stopIfTrue="1" operator="greaterThanOrEqual">
      <formula>7.5</formula>
    </cfRule>
    <cfRule type="cellIs" dxfId="2190" priority="2337" stopIfTrue="1" operator="between">
      <formula>3.51</formula>
      <formula>7.49</formula>
    </cfRule>
  </conditionalFormatting>
  <conditionalFormatting sqref="AA4757">
    <cfRule type="cellIs" dxfId="2189" priority="2332" stopIfTrue="1" operator="lessThanOrEqual">
      <formula>3.5</formula>
    </cfRule>
    <cfRule type="cellIs" dxfId="2188" priority="2333" stopIfTrue="1" operator="greaterThanOrEqual">
      <formula>7.5</formula>
    </cfRule>
    <cfRule type="cellIs" dxfId="2187" priority="2334" stopIfTrue="1" operator="between">
      <formula>3.51</formula>
      <formula>7.49</formula>
    </cfRule>
  </conditionalFormatting>
  <conditionalFormatting sqref="AA4760">
    <cfRule type="cellIs" dxfId="2186" priority="2329" stopIfTrue="1" operator="lessThanOrEqual">
      <formula>3.5</formula>
    </cfRule>
    <cfRule type="cellIs" dxfId="2185" priority="2330" stopIfTrue="1" operator="greaterThanOrEqual">
      <formula>7.5</formula>
    </cfRule>
    <cfRule type="cellIs" dxfId="2184" priority="2331" stopIfTrue="1" operator="between">
      <formula>3.51</formula>
      <formula>7.49</formula>
    </cfRule>
  </conditionalFormatting>
  <conditionalFormatting sqref="AA4759">
    <cfRule type="cellIs" dxfId="2183" priority="2326" stopIfTrue="1" operator="lessThanOrEqual">
      <formula>3.5</formula>
    </cfRule>
    <cfRule type="cellIs" dxfId="2182" priority="2327" stopIfTrue="1" operator="greaterThanOrEqual">
      <formula>7.5</formula>
    </cfRule>
    <cfRule type="cellIs" dxfId="2181" priority="2328" stopIfTrue="1" operator="between">
      <formula>3.51</formula>
      <formula>7.49</formula>
    </cfRule>
  </conditionalFormatting>
  <conditionalFormatting sqref="AA5318">
    <cfRule type="cellIs" dxfId="2180" priority="2323" stopIfTrue="1" operator="lessThanOrEqual">
      <formula>3.5</formula>
    </cfRule>
    <cfRule type="cellIs" dxfId="2179" priority="2324" stopIfTrue="1" operator="greaterThanOrEqual">
      <formula>7.5</formula>
    </cfRule>
    <cfRule type="cellIs" dxfId="2178" priority="2325" stopIfTrue="1" operator="between">
      <formula>3.51</formula>
      <formula>7.49</formula>
    </cfRule>
  </conditionalFormatting>
  <conditionalFormatting sqref="AA5317">
    <cfRule type="cellIs" dxfId="2177" priority="2320" stopIfTrue="1" operator="lessThanOrEqual">
      <formula>3.5</formula>
    </cfRule>
    <cfRule type="cellIs" dxfId="2176" priority="2321" stopIfTrue="1" operator="greaterThanOrEqual">
      <formula>7.5</formula>
    </cfRule>
    <cfRule type="cellIs" dxfId="2175" priority="2322" stopIfTrue="1" operator="between">
      <formula>3.51</formula>
      <formula>7.49</formula>
    </cfRule>
  </conditionalFormatting>
  <conditionalFormatting sqref="AA4348">
    <cfRule type="cellIs" dxfId="2174" priority="2317" stopIfTrue="1" operator="lessThanOrEqual">
      <formula>3.5</formula>
    </cfRule>
    <cfRule type="cellIs" dxfId="2173" priority="2318" stopIfTrue="1" operator="greaterThanOrEqual">
      <formula>7.5</formula>
    </cfRule>
    <cfRule type="cellIs" dxfId="2172" priority="2319" stopIfTrue="1" operator="between">
      <formula>3.51</formula>
      <formula>7.49</formula>
    </cfRule>
  </conditionalFormatting>
  <conditionalFormatting sqref="AA4349">
    <cfRule type="cellIs" dxfId="2171" priority="2314" stopIfTrue="1" operator="lessThanOrEqual">
      <formula>3.5</formula>
    </cfRule>
    <cfRule type="cellIs" dxfId="2170" priority="2315" stopIfTrue="1" operator="greaterThanOrEqual">
      <formula>7.5</formula>
    </cfRule>
    <cfRule type="cellIs" dxfId="2169" priority="2316" stopIfTrue="1" operator="between">
      <formula>3.51</formula>
      <formula>7.49</formula>
    </cfRule>
  </conditionalFormatting>
  <conditionalFormatting sqref="AA4352">
    <cfRule type="cellIs" dxfId="2168" priority="2311" stopIfTrue="1" operator="lessThanOrEqual">
      <formula>3.5</formula>
    </cfRule>
    <cfRule type="cellIs" dxfId="2167" priority="2312" stopIfTrue="1" operator="greaterThanOrEqual">
      <formula>7.5</formula>
    </cfRule>
    <cfRule type="cellIs" dxfId="2166" priority="2313" stopIfTrue="1" operator="between">
      <formula>3.51</formula>
      <formula>7.49</formula>
    </cfRule>
  </conditionalFormatting>
  <conditionalFormatting sqref="AA4350">
    <cfRule type="cellIs" dxfId="2165" priority="2308" stopIfTrue="1" operator="lessThanOrEqual">
      <formula>3.5</formula>
    </cfRule>
    <cfRule type="cellIs" dxfId="2164" priority="2309" stopIfTrue="1" operator="greaterThanOrEqual">
      <formula>7.5</formula>
    </cfRule>
    <cfRule type="cellIs" dxfId="2163" priority="2310" stopIfTrue="1" operator="between">
      <formula>3.51</formula>
      <formula>7.49</formula>
    </cfRule>
  </conditionalFormatting>
  <conditionalFormatting sqref="AA4351">
    <cfRule type="cellIs" dxfId="2162" priority="2305" stopIfTrue="1" operator="lessThanOrEqual">
      <formula>3.5</formula>
    </cfRule>
    <cfRule type="cellIs" dxfId="2161" priority="2306" stopIfTrue="1" operator="greaterThanOrEqual">
      <formula>7.5</formula>
    </cfRule>
    <cfRule type="cellIs" dxfId="2160" priority="2307" stopIfTrue="1" operator="between">
      <formula>3.51</formula>
      <formula>7.49</formula>
    </cfRule>
  </conditionalFormatting>
  <conditionalFormatting sqref="AA976">
    <cfRule type="cellIs" dxfId="2159" priority="2302" stopIfTrue="1" operator="lessThanOrEqual">
      <formula>3.5</formula>
    </cfRule>
    <cfRule type="cellIs" dxfId="2158" priority="2303" stopIfTrue="1" operator="greaterThanOrEqual">
      <formula>7.5</formula>
    </cfRule>
    <cfRule type="cellIs" dxfId="2157" priority="2304" stopIfTrue="1" operator="between">
      <formula>3.51</formula>
      <formula>7.49</formula>
    </cfRule>
  </conditionalFormatting>
  <conditionalFormatting sqref="AA288">
    <cfRule type="cellIs" dxfId="2156" priority="2299" stopIfTrue="1" operator="lessThanOrEqual">
      <formula>3.5</formula>
    </cfRule>
    <cfRule type="cellIs" dxfId="2155" priority="2300" stopIfTrue="1" operator="greaterThanOrEqual">
      <formula>7.5</formula>
    </cfRule>
    <cfRule type="cellIs" dxfId="2154" priority="2301" stopIfTrue="1" operator="between">
      <formula>3.51</formula>
      <formula>7.49</formula>
    </cfRule>
  </conditionalFormatting>
  <conditionalFormatting sqref="AA975">
    <cfRule type="cellIs" dxfId="2153" priority="2296" stopIfTrue="1" operator="lessThanOrEqual">
      <formula>3.5</formula>
    </cfRule>
    <cfRule type="cellIs" dxfId="2152" priority="2297" stopIfTrue="1" operator="greaterThanOrEqual">
      <formula>7.5</formula>
    </cfRule>
    <cfRule type="cellIs" dxfId="2151" priority="2298" stopIfTrue="1" operator="between">
      <formula>3.51</formula>
      <formula>7.49</formula>
    </cfRule>
  </conditionalFormatting>
  <conditionalFormatting sqref="AA977">
    <cfRule type="cellIs" dxfId="2150" priority="2293" stopIfTrue="1" operator="lessThanOrEqual">
      <formula>3.5</formula>
    </cfRule>
    <cfRule type="cellIs" dxfId="2149" priority="2294" stopIfTrue="1" operator="greaterThanOrEqual">
      <formula>7.5</formula>
    </cfRule>
    <cfRule type="cellIs" dxfId="2148" priority="2295" stopIfTrue="1" operator="between">
      <formula>3.51</formula>
      <formula>7.49</formula>
    </cfRule>
  </conditionalFormatting>
  <conditionalFormatting sqref="AA3293">
    <cfRule type="cellIs" dxfId="2147" priority="2290" stopIfTrue="1" operator="lessThanOrEqual">
      <formula>3.5</formula>
    </cfRule>
    <cfRule type="cellIs" dxfId="2146" priority="2291" stopIfTrue="1" operator="greaterThanOrEqual">
      <formula>7.5</formula>
    </cfRule>
    <cfRule type="cellIs" dxfId="2145" priority="2292" stopIfTrue="1" operator="between">
      <formula>3.51</formula>
      <formula>7.49</formula>
    </cfRule>
  </conditionalFormatting>
  <conditionalFormatting sqref="AA974">
    <cfRule type="cellIs" dxfId="2144" priority="2287" stopIfTrue="1" operator="lessThanOrEqual">
      <formula>3.5</formula>
    </cfRule>
    <cfRule type="cellIs" dxfId="2143" priority="2288" stopIfTrue="1" operator="greaterThanOrEqual">
      <formula>7.5</formula>
    </cfRule>
    <cfRule type="cellIs" dxfId="2142" priority="2289" stopIfTrue="1" operator="between">
      <formula>3.51</formula>
      <formula>7.49</formula>
    </cfRule>
  </conditionalFormatting>
  <conditionalFormatting sqref="AA978">
    <cfRule type="cellIs" dxfId="2141" priority="2284" stopIfTrue="1" operator="lessThanOrEqual">
      <formula>3.5</formula>
    </cfRule>
    <cfRule type="cellIs" dxfId="2140" priority="2285" stopIfTrue="1" operator="greaterThanOrEqual">
      <formula>7.5</formula>
    </cfRule>
    <cfRule type="cellIs" dxfId="2139" priority="2286" stopIfTrue="1" operator="between">
      <formula>3.51</formula>
      <formula>7.49</formula>
    </cfRule>
  </conditionalFormatting>
  <conditionalFormatting sqref="AA3294">
    <cfRule type="cellIs" dxfId="2138" priority="2281" stopIfTrue="1" operator="lessThanOrEqual">
      <formula>3.5</formula>
    </cfRule>
    <cfRule type="cellIs" dxfId="2137" priority="2282" stopIfTrue="1" operator="greaterThanOrEqual">
      <formula>7.5</formula>
    </cfRule>
    <cfRule type="cellIs" dxfId="2136" priority="2283" stopIfTrue="1" operator="between">
      <formula>3.51</formula>
      <formula>7.49</formula>
    </cfRule>
  </conditionalFormatting>
  <conditionalFormatting sqref="AA411">
    <cfRule type="cellIs" dxfId="2135" priority="2278" stopIfTrue="1" operator="lessThanOrEqual">
      <formula>3.5</formula>
    </cfRule>
    <cfRule type="cellIs" dxfId="2134" priority="2279" stopIfTrue="1" operator="greaterThanOrEqual">
      <formula>7.5</formula>
    </cfRule>
    <cfRule type="cellIs" dxfId="2133" priority="2280" stopIfTrue="1" operator="between">
      <formula>3.51</formula>
      <formula>7.49</formula>
    </cfRule>
  </conditionalFormatting>
  <conditionalFormatting sqref="AA981">
    <cfRule type="cellIs" dxfId="2132" priority="2275" stopIfTrue="1" operator="lessThanOrEqual">
      <formula>3.5</formula>
    </cfRule>
    <cfRule type="cellIs" dxfId="2131" priority="2276" stopIfTrue="1" operator="greaterThanOrEqual">
      <formula>7.5</formula>
    </cfRule>
    <cfRule type="cellIs" dxfId="2130" priority="2277" stopIfTrue="1" operator="between">
      <formula>3.51</formula>
      <formula>7.49</formula>
    </cfRule>
  </conditionalFormatting>
  <conditionalFormatting sqref="AA979">
    <cfRule type="cellIs" dxfId="2129" priority="2272" stopIfTrue="1" operator="lessThanOrEqual">
      <formula>3.5</formula>
    </cfRule>
    <cfRule type="cellIs" dxfId="2128" priority="2273" stopIfTrue="1" operator="greaterThanOrEqual">
      <formula>7.5</formula>
    </cfRule>
    <cfRule type="cellIs" dxfId="2127" priority="2274" stopIfTrue="1" operator="between">
      <formula>3.51</formula>
      <formula>7.49</formula>
    </cfRule>
  </conditionalFormatting>
  <conditionalFormatting sqref="AA980">
    <cfRule type="cellIs" dxfId="2126" priority="2269" stopIfTrue="1" operator="lessThanOrEqual">
      <formula>3.5</formula>
    </cfRule>
    <cfRule type="cellIs" dxfId="2125" priority="2270" stopIfTrue="1" operator="greaterThanOrEqual">
      <formula>7.5</formula>
    </cfRule>
    <cfRule type="cellIs" dxfId="2124" priority="2271" stopIfTrue="1" operator="between">
      <formula>3.51</formula>
      <formula>7.49</formula>
    </cfRule>
  </conditionalFormatting>
  <conditionalFormatting sqref="AA984">
    <cfRule type="cellIs" dxfId="2123" priority="2266" stopIfTrue="1" operator="lessThanOrEqual">
      <formula>3.5</formula>
    </cfRule>
    <cfRule type="cellIs" dxfId="2122" priority="2267" stopIfTrue="1" operator="greaterThanOrEqual">
      <formula>7.5</formula>
    </cfRule>
    <cfRule type="cellIs" dxfId="2121" priority="2268" stopIfTrue="1" operator="between">
      <formula>3.51</formula>
      <formula>7.49</formula>
    </cfRule>
  </conditionalFormatting>
  <conditionalFormatting sqref="AA982">
    <cfRule type="cellIs" dxfId="2120" priority="2263" stopIfTrue="1" operator="lessThanOrEqual">
      <formula>3.5</formula>
    </cfRule>
    <cfRule type="cellIs" dxfId="2119" priority="2264" stopIfTrue="1" operator="greaterThanOrEqual">
      <formula>7.5</formula>
    </cfRule>
    <cfRule type="cellIs" dxfId="2118" priority="2265" stopIfTrue="1" operator="between">
      <formula>3.51</formula>
      <formula>7.49</formula>
    </cfRule>
  </conditionalFormatting>
  <conditionalFormatting sqref="AA983">
    <cfRule type="cellIs" dxfId="2117" priority="2260" stopIfTrue="1" operator="lessThanOrEqual">
      <formula>3.5</formula>
    </cfRule>
    <cfRule type="cellIs" dxfId="2116" priority="2261" stopIfTrue="1" operator="greaterThanOrEqual">
      <formula>7.5</formula>
    </cfRule>
    <cfRule type="cellIs" dxfId="2115" priority="2262" stopIfTrue="1" operator="between">
      <formula>3.51</formula>
      <formula>7.49</formula>
    </cfRule>
  </conditionalFormatting>
  <conditionalFormatting sqref="AA544">
    <cfRule type="cellIs" dxfId="2114" priority="2257" stopIfTrue="1" operator="lessThanOrEqual">
      <formula>3.5</formula>
    </cfRule>
    <cfRule type="cellIs" dxfId="2113" priority="2258" stopIfTrue="1" operator="greaterThanOrEqual">
      <formula>7.5</formula>
    </cfRule>
    <cfRule type="cellIs" dxfId="2112" priority="2259" stopIfTrue="1" operator="between">
      <formula>3.51</formula>
      <formula>7.49</formula>
    </cfRule>
  </conditionalFormatting>
  <conditionalFormatting sqref="AA985">
    <cfRule type="cellIs" dxfId="2111" priority="2254" stopIfTrue="1" operator="lessThanOrEqual">
      <formula>3.5</formula>
    </cfRule>
    <cfRule type="cellIs" dxfId="2110" priority="2255" stopIfTrue="1" operator="greaterThanOrEqual">
      <formula>7.5</formula>
    </cfRule>
    <cfRule type="cellIs" dxfId="2109" priority="2256" stopIfTrue="1" operator="between">
      <formula>3.51</formula>
      <formula>7.49</formula>
    </cfRule>
  </conditionalFormatting>
  <conditionalFormatting sqref="AA1098">
    <cfRule type="cellIs" dxfId="2108" priority="2251" stopIfTrue="1" operator="lessThanOrEqual">
      <formula>3.5</formula>
    </cfRule>
    <cfRule type="cellIs" dxfId="2107" priority="2252" stopIfTrue="1" operator="greaterThanOrEqual">
      <formula>7.5</formula>
    </cfRule>
    <cfRule type="cellIs" dxfId="2106" priority="2253" stopIfTrue="1" operator="between">
      <formula>3.51</formula>
      <formula>7.49</formula>
    </cfRule>
  </conditionalFormatting>
  <conditionalFormatting sqref="AA1096">
    <cfRule type="cellIs" dxfId="2105" priority="2248" stopIfTrue="1" operator="lessThanOrEqual">
      <formula>3.5</formula>
    </cfRule>
    <cfRule type="cellIs" dxfId="2104" priority="2249" stopIfTrue="1" operator="greaterThanOrEqual">
      <formula>7.5</formula>
    </cfRule>
    <cfRule type="cellIs" dxfId="2103" priority="2250" stopIfTrue="1" operator="between">
      <formula>3.51</formula>
      <formula>7.49</formula>
    </cfRule>
  </conditionalFormatting>
  <conditionalFormatting sqref="AA1095">
    <cfRule type="cellIs" dxfId="2102" priority="2245" stopIfTrue="1" operator="lessThanOrEqual">
      <formula>3.5</formula>
    </cfRule>
    <cfRule type="cellIs" dxfId="2101" priority="2246" stopIfTrue="1" operator="greaterThanOrEqual">
      <formula>7.5</formula>
    </cfRule>
    <cfRule type="cellIs" dxfId="2100" priority="2247" stopIfTrue="1" operator="between">
      <formula>3.51</formula>
      <formula>7.49</formula>
    </cfRule>
  </conditionalFormatting>
  <conditionalFormatting sqref="AA1094">
    <cfRule type="cellIs" dxfId="2099" priority="2242" stopIfTrue="1" operator="lessThanOrEqual">
      <formula>3.5</formula>
    </cfRule>
    <cfRule type="cellIs" dxfId="2098" priority="2243" stopIfTrue="1" operator="greaterThanOrEqual">
      <formula>7.5</formula>
    </cfRule>
    <cfRule type="cellIs" dxfId="2097" priority="2244" stopIfTrue="1" operator="between">
      <formula>3.51</formula>
      <formula>7.49</formula>
    </cfRule>
  </conditionalFormatting>
  <conditionalFormatting sqref="AA1097">
    <cfRule type="cellIs" dxfId="2096" priority="2239" stopIfTrue="1" operator="lessThanOrEqual">
      <formula>3.5</formula>
    </cfRule>
    <cfRule type="cellIs" dxfId="2095" priority="2240" stopIfTrue="1" operator="greaterThanOrEqual">
      <formula>7.5</formula>
    </cfRule>
    <cfRule type="cellIs" dxfId="2094" priority="2241" stopIfTrue="1" operator="between">
      <formula>3.51</formula>
      <formula>7.49</formula>
    </cfRule>
  </conditionalFormatting>
  <conditionalFormatting sqref="AA1851">
    <cfRule type="cellIs" dxfId="2093" priority="2227" stopIfTrue="1" operator="lessThanOrEqual">
      <formula>3.5</formula>
    </cfRule>
    <cfRule type="cellIs" dxfId="2092" priority="2228" stopIfTrue="1" operator="greaterThanOrEqual">
      <formula>7.5</formula>
    </cfRule>
    <cfRule type="cellIs" dxfId="2091" priority="2229" stopIfTrue="1" operator="between">
      <formula>3.51</formula>
      <formula>7.49</formula>
    </cfRule>
  </conditionalFormatting>
  <conditionalFormatting sqref="AA1878:AA1879">
    <cfRule type="cellIs" dxfId="2090" priority="2224" stopIfTrue="1" operator="lessThanOrEqual">
      <formula>3.5</formula>
    </cfRule>
    <cfRule type="cellIs" dxfId="2089" priority="2225" stopIfTrue="1" operator="greaterThanOrEqual">
      <formula>7.5</formula>
    </cfRule>
    <cfRule type="cellIs" dxfId="2088" priority="2226" stopIfTrue="1" operator="between">
      <formula>3.51</formula>
      <formula>7.49</formula>
    </cfRule>
  </conditionalFormatting>
  <conditionalFormatting sqref="AA1875:AA1877">
    <cfRule type="cellIs" dxfId="2087" priority="2221" stopIfTrue="1" operator="lessThanOrEqual">
      <formula>3.5</formula>
    </cfRule>
    <cfRule type="cellIs" dxfId="2086" priority="2222" stopIfTrue="1" operator="greaterThanOrEqual">
      <formula>7.5</formula>
    </cfRule>
    <cfRule type="cellIs" dxfId="2085" priority="2223" stopIfTrue="1" operator="between">
      <formula>3.51</formula>
      <formula>7.49</formula>
    </cfRule>
  </conditionalFormatting>
  <conditionalFormatting sqref="AA1855 AA1874">
    <cfRule type="cellIs" dxfId="2084" priority="2218" stopIfTrue="1" operator="lessThanOrEqual">
      <formula>3.5</formula>
    </cfRule>
    <cfRule type="cellIs" dxfId="2083" priority="2219" stopIfTrue="1" operator="greaterThanOrEqual">
      <formula>7.5</formula>
    </cfRule>
    <cfRule type="cellIs" dxfId="2082" priority="2220" stopIfTrue="1" operator="between">
      <formula>3.51</formula>
      <formula>7.49</formula>
    </cfRule>
  </conditionalFormatting>
  <conditionalFormatting sqref="AA1852:AA1854">
    <cfRule type="cellIs" dxfId="2081" priority="2215" stopIfTrue="1" operator="lessThanOrEqual">
      <formula>3.5</formula>
    </cfRule>
    <cfRule type="cellIs" dxfId="2080" priority="2216" stopIfTrue="1" operator="greaterThanOrEqual">
      <formula>7.5</formula>
    </cfRule>
    <cfRule type="cellIs" dxfId="2079" priority="2217" stopIfTrue="1" operator="between">
      <formula>3.51</formula>
      <formula>7.49</formula>
    </cfRule>
  </conditionalFormatting>
  <conditionalFormatting sqref="AA1884">
    <cfRule type="cellIs" dxfId="2078" priority="2212" stopIfTrue="1" operator="lessThanOrEqual">
      <formula>3.5</formula>
    </cfRule>
    <cfRule type="cellIs" dxfId="2077" priority="2213" stopIfTrue="1" operator="greaterThanOrEqual">
      <formula>7.5</formula>
    </cfRule>
    <cfRule type="cellIs" dxfId="2076" priority="2214" stopIfTrue="1" operator="between">
      <formula>3.51</formula>
      <formula>7.49</formula>
    </cfRule>
  </conditionalFormatting>
  <conditionalFormatting sqref="AA1881">
    <cfRule type="cellIs" dxfId="2075" priority="2209" stopIfTrue="1" operator="lessThanOrEqual">
      <formula>3.5</formula>
    </cfRule>
    <cfRule type="cellIs" dxfId="2074" priority="2210" stopIfTrue="1" operator="greaterThanOrEqual">
      <formula>7.5</formula>
    </cfRule>
    <cfRule type="cellIs" dxfId="2073" priority="2211" stopIfTrue="1" operator="between">
      <formula>3.51</formula>
      <formula>7.49</formula>
    </cfRule>
  </conditionalFormatting>
  <conditionalFormatting sqref="AA1880">
    <cfRule type="cellIs" dxfId="2072" priority="2203" stopIfTrue="1" operator="lessThanOrEqual">
      <formula>3.5</formula>
    </cfRule>
    <cfRule type="cellIs" dxfId="2071" priority="2204" stopIfTrue="1" operator="greaterThanOrEqual">
      <formula>7.5</formula>
    </cfRule>
    <cfRule type="cellIs" dxfId="2070" priority="2205" stopIfTrue="1" operator="between">
      <formula>3.51</formula>
      <formula>7.49</formula>
    </cfRule>
  </conditionalFormatting>
  <conditionalFormatting sqref="AA1882:AA1883">
    <cfRule type="cellIs" dxfId="2069" priority="2206" stopIfTrue="1" operator="lessThanOrEqual">
      <formula>3.5</formula>
    </cfRule>
    <cfRule type="cellIs" dxfId="2068" priority="2207" stopIfTrue="1" operator="greaterThanOrEqual">
      <formula>7.5</formula>
    </cfRule>
    <cfRule type="cellIs" dxfId="2067" priority="2208" stopIfTrue="1" operator="between">
      <formula>3.51</formula>
      <formula>7.49</formula>
    </cfRule>
  </conditionalFormatting>
  <conditionalFormatting sqref="AA1849">
    <cfRule type="cellIs" dxfId="2066" priority="2200" stopIfTrue="1" operator="lessThanOrEqual">
      <formula>3.5</formula>
    </cfRule>
    <cfRule type="cellIs" dxfId="2065" priority="2201" stopIfTrue="1" operator="greaterThanOrEqual">
      <formula>7.5</formula>
    </cfRule>
    <cfRule type="cellIs" dxfId="2064" priority="2202" stopIfTrue="1" operator="between">
      <formula>3.51</formula>
      <formula>7.49</formula>
    </cfRule>
  </conditionalFormatting>
  <conditionalFormatting sqref="AA1870">
    <cfRule type="cellIs" dxfId="2063" priority="2194" stopIfTrue="1" operator="lessThanOrEqual">
      <formula>3.5</formula>
    </cfRule>
    <cfRule type="cellIs" dxfId="2062" priority="2195" stopIfTrue="1" operator="greaterThanOrEqual">
      <formula>7.5</formula>
    </cfRule>
    <cfRule type="cellIs" dxfId="2061" priority="2196" stopIfTrue="1" operator="between">
      <formula>3.51</formula>
      <formula>7.49</formula>
    </cfRule>
  </conditionalFormatting>
  <conditionalFormatting sqref="AA1848">
    <cfRule type="cellIs" dxfId="2060" priority="2197" stopIfTrue="1" operator="lessThanOrEqual">
      <formula>3.5</formula>
    </cfRule>
    <cfRule type="cellIs" dxfId="2059" priority="2198" stopIfTrue="1" operator="greaterThanOrEqual">
      <formula>7.5</formula>
    </cfRule>
    <cfRule type="cellIs" dxfId="2058" priority="2199" stopIfTrue="1" operator="between">
      <formula>3.51</formula>
      <formula>7.49</formula>
    </cfRule>
  </conditionalFormatting>
  <conditionalFormatting sqref="AA1864:AA1866">
    <cfRule type="cellIs" dxfId="2057" priority="2188" stopIfTrue="1" operator="lessThanOrEqual">
      <formula>3.5</formula>
    </cfRule>
    <cfRule type="cellIs" dxfId="2056" priority="2189" stopIfTrue="1" operator="greaterThanOrEqual">
      <formula>7.5</formula>
    </cfRule>
    <cfRule type="cellIs" dxfId="2055" priority="2190" stopIfTrue="1" operator="between">
      <formula>3.51</formula>
      <formula>7.49</formula>
    </cfRule>
  </conditionalFormatting>
  <conditionalFormatting sqref="AA1863">
    <cfRule type="cellIs" dxfId="2054" priority="2185" stopIfTrue="1" operator="lessThanOrEqual">
      <formula>3.5</formula>
    </cfRule>
    <cfRule type="cellIs" dxfId="2053" priority="2186" stopIfTrue="1" operator="greaterThanOrEqual">
      <formula>7.5</formula>
    </cfRule>
    <cfRule type="cellIs" dxfId="2052" priority="2187" stopIfTrue="1" operator="between">
      <formula>3.51</formula>
      <formula>7.49</formula>
    </cfRule>
  </conditionalFormatting>
  <conditionalFormatting sqref="AA1860:AA1862">
    <cfRule type="cellIs" dxfId="2051" priority="2182" stopIfTrue="1" operator="lessThanOrEqual">
      <formula>3.5</formula>
    </cfRule>
    <cfRule type="cellIs" dxfId="2050" priority="2183" stopIfTrue="1" operator="greaterThanOrEqual">
      <formula>7.5</formula>
    </cfRule>
    <cfRule type="cellIs" dxfId="2049" priority="2184" stopIfTrue="1" operator="between">
      <formula>3.51</formula>
      <formula>7.49</formula>
    </cfRule>
  </conditionalFormatting>
  <conditionalFormatting sqref="AA1857:AA1859">
    <cfRule type="cellIs" dxfId="2048" priority="2179" stopIfTrue="1" operator="lessThanOrEqual">
      <formula>3.5</formula>
    </cfRule>
    <cfRule type="cellIs" dxfId="2047" priority="2180" stopIfTrue="1" operator="greaterThanOrEqual">
      <formula>7.5</formula>
    </cfRule>
    <cfRule type="cellIs" dxfId="2046" priority="2181" stopIfTrue="1" operator="between">
      <formula>3.51</formula>
      <formula>7.49</formula>
    </cfRule>
  </conditionalFormatting>
  <conditionalFormatting sqref="AA1856">
    <cfRule type="cellIs" dxfId="2045" priority="2176" stopIfTrue="1" operator="lessThanOrEqual">
      <formula>3.5</formula>
    </cfRule>
    <cfRule type="cellIs" dxfId="2044" priority="2177" stopIfTrue="1" operator="greaterThanOrEqual">
      <formula>7.5</formula>
    </cfRule>
    <cfRule type="cellIs" dxfId="2043" priority="2178" stopIfTrue="1" operator="between">
      <formula>3.51</formula>
      <formula>7.49</formula>
    </cfRule>
  </conditionalFormatting>
  <conditionalFormatting sqref="AA1867">
    <cfRule type="cellIs" dxfId="2042" priority="2173" stopIfTrue="1" operator="lessThanOrEqual">
      <formula>3.5</formula>
    </cfRule>
    <cfRule type="cellIs" dxfId="2041" priority="2174" stopIfTrue="1" operator="greaterThanOrEqual">
      <formula>7.5</formula>
    </cfRule>
    <cfRule type="cellIs" dxfId="2040" priority="2175" stopIfTrue="1" operator="between">
      <formula>3.51</formula>
      <formula>7.49</formula>
    </cfRule>
  </conditionalFormatting>
  <conditionalFormatting sqref="AA1871">
    <cfRule type="cellIs" dxfId="2039" priority="2170" stopIfTrue="1" operator="lessThanOrEqual">
      <formula>3.5</formula>
    </cfRule>
    <cfRule type="cellIs" dxfId="2038" priority="2171" stopIfTrue="1" operator="greaterThanOrEqual">
      <formula>7.5</formula>
    </cfRule>
    <cfRule type="cellIs" dxfId="2037" priority="2172" stopIfTrue="1" operator="between">
      <formula>3.51</formula>
      <formula>7.49</formula>
    </cfRule>
  </conditionalFormatting>
  <conditionalFormatting sqref="AA1868">
    <cfRule type="cellIs" dxfId="2036" priority="2167" stopIfTrue="1" operator="lessThanOrEqual">
      <formula>3.5</formula>
    </cfRule>
    <cfRule type="cellIs" dxfId="2035" priority="2168" stopIfTrue="1" operator="greaterThanOrEqual">
      <formula>7.5</formula>
    </cfRule>
    <cfRule type="cellIs" dxfId="2034" priority="2169" stopIfTrue="1" operator="between">
      <formula>3.51</formula>
      <formula>7.49</formula>
    </cfRule>
  </conditionalFormatting>
  <conditionalFormatting sqref="AA1885">
    <cfRule type="cellIs" dxfId="2033" priority="2164" stopIfTrue="1" operator="lessThanOrEqual">
      <formula>3.5</formula>
    </cfRule>
    <cfRule type="cellIs" dxfId="2032" priority="2165" stopIfTrue="1" operator="greaterThanOrEqual">
      <formula>7.5</formula>
    </cfRule>
    <cfRule type="cellIs" dxfId="2031" priority="2166" stopIfTrue="1" operator="between">
      <formula>3.51</formula>
      <formula>7.49</formula>
    </cfRule>
  </conditionalFormatting>
  <conditionalFormatting sqref="AA1850">
    <cfRule type="cellIs" dxfId="2030" priority="2161" stopIfTrue="1" operator="lessThanOrEqual">
      <formula>3.5</formula>
    </cfRule>
    <cfRule type="cellIs" dxfId="2029" priority="2162" stopIfTrue="1" operator="greaterThanOrEqual">
      <formula>7.5</formula>
    </cfRule>
    <cfRule type="cellIs" dxfId="2028" priority="2163" stopIfTrue="1" operator="between">
      <formula>3.51</formula>
      <formula>7.49</formula>
    </cfRule>
  </conditionalFormatting>
  <conditionalFormatting sqref="AA512">
    <cfRule type="cellIs" dxfId="2027" priority="2155" stopIfTrue="1" operator="lessThanOrEqual">
      <formula>3.5</formula>
    </cfRule>
    <cfRule type="cellIs" dxfId="2026" priority="2156" stopIfTrue="1" operator="greaterThanOrEqual">
      <formula>7.5</formula>
    </cfRule>
    <cfRule type="cellIs" dxfId="2025" priority="2157" stopIfTrue="1" operator="between">
      <formula>3.51</formula>
      <formula>7.49</formula>
    </cfRule>
  </conditionalFormatting>
  <conditionalFormatting sqref="AA522">
    <cfRule type="cellIs" dxfId="2024" priority="2128" stopIfTrue="1" operator="lessThanOrEqual">
      <formula>3.5</formula>
    </cfRule>
    <cfRule type="cellIs" dxfId="2023" priority="2129" stopIfTrue="1" operator="greaterThanOrEqual">
      <formula>7.5</formula>
    </cfRule>
    <cfRule type="cellIs" dxfId="2022" priority="2130" stopIfTrue="1" operator="between">
      <formula>3.51</formula>
      <formula>7.49</formula>
    </cfRule>
  </conditionalFormatting>
  <conditionalFormatting sqref="AA539">
    <cfRule type="cellIs" dxfId="2021" priority="2137" stopIfTrue="1" operator="lessThanOrEqual">
      <formula>3.5</formula>
    </cfRule>
    <cfRule type="cellIs" dxfId="2020" priority="2138" stopIfTrue="1" operator="greaterThanOrEqual">
      <formula>7.5</formula>
    </cfRule>
    <cfRule type="cellIs" dxfId="2019" priority="2139" stopIfTrue="1" operator="between">
      <formula>3.51</formula>
      <formula>7.49</formula>
    </cfRule>
  </conditionalFormatting>
  <conditionalFormatting sqref="AA506">
    <cfRule type="cellIs" dxfId="2018" priority="2131" stopIfTrue="1" operator="lessThanOrEqual">
      <formula>3.5</formula>
    </cfRule>
    <cfRule type="cellIs" dxfId="2017" priority="2132" stopIfTrue="1" operator="greaterThanOrEqual">
      <formula>7.5</formula>
    </cfRule>
    <cfRule type="cellIs" dxfId="2016" priority="2133" stopIfTrue="1" operator="between">
      <formula>3.51</formula>
      <formula>7.49</formula>
    </cfRule>
  </conditionalFormatting>
  <conditionalFormatting sqref="AA495">
    <cfRule type="cellIs" dxfId="2015" priority="2125" stopIfTrue="1" operator="lessThanOrEqual">
      <formula>3.5</formula>
    </cfRule>
    <cfRule type="cellIs" dxfId="2014" priority="2126" stopIfTrue="1" operator="greaterThanOrEqual">
      <formula>7.5</formula>
    </cfRule>
    <cfRule type="cellIs" dxfId="2013" priority="2127" stopIfTrue="1" operator="between">
      <formula>3.51</formula>
      <formula>7.49</formula>
    </cfRule>
  </conditionalFormatting>
  <conditionalFormatting sqref="AA489">
    <cfRule type="cellIs" dxfId="2012" priority="2122" stopIfTrue="1" operator="lessThanOrEqual">
      <formula>3.5</formula>
    </cfRule>
    <cfRule type="cellIs" dxfId="2011" priority="2123" stopIfTrue="1" operator="greaterThanOrEqual">
      <formula>7.5</formula>
    </cfRule>
    <cfRule type="cellIs" dxfId="2010" priority="2124" stopIfTrue="1" operator="between">
      <formula>3.51</formula>
      <formula>7.49</formula>
    </cfRule>
  </conditionalFormatting>
  <conditionalFormatting sqref="AA487">
    <cfRule type="cellIs" dxfId="2009" priority="2119" stopIfTrue="1" operator="lessThanOrEqual">
      <formula>3.5</formula>
    </cfRule>
    <cfRule type="cellIs" dxfId="2008" priority="2120" stopIfTrue="1" operator="greaterThanOrEqual">
      <formula>7.5</formula>
    </cfRule>
    <cfRule type="cellIs" dxfId="2007" priority="2121" stopIfTrue="1" operator="between">
      <formula>3.51</formula>
      <formula>7.49</formula>
    </cfRule>
  </conditionalFormatting>
  <conditionalFormatting sqref="AA517">
    <cfRule type="cellIs" dxfId="2006" priority="2116" stopIfTrue="1" operator="lessThanOrEqual">
      <formula>3.5</formula>
    </cfRule>
    <cfRule type="cellIs" dxfId="2005" priority="2117" stopIfTrue="1" operator="greaterThanOrEqual">
      <formula>7.5</formula>
    </cfRule>
    <cfRule type="cellIs" dxfId="2004" priority="2118" stopIfTrue="1" operator="between">
      <formula>3.51</formula>
      <formula>7.49</formula>
    </cfRule>
  </conditionalFormatting>
  <conditionalFormatting sqref="AA4424">
    <cfRule type="cellIs" dxfId="2003" priority="2113" stopIfTrue="1" operator="lessThanOrEqual">
      <formula>3.5</formula>
    </cfRule>
    <cfRule type="cellIs" dxfId="2002" priority="2114" stopIfTrue="1" operator="greaterThanOrEqual">
      <formula>7.5</formula>
    </cfRule>
    <cfRule type="cellIs" dxfId="2001" priority="2115" stopIfTrue="1" operator="between">
      <formula>3.51</formula>
      <formula>7.49</formula>
    </cfRule>
  </conditionalFormatting>
  <conditionalFormatting sqref="AA511">
    <cfRule type="cellIs" dxfId="2000" priority="2110" stopIfTrue="1" operator="lessThanOrEqual">
      <formula>3.5</formula>
    </cfRule>
    <cfRule type="cellIs" dxfId="1999" priority="2111" stopIfTrue="1" operator="greaterThanOrEqual">
      <formula>7.5</formula>
    </cfRule>
    <cfRule type="cellIs" dxfId="1998" priority="2112" stopIfTrue="1" operator="between">
      <formula>3.51</formula>
      <formula>7.49</formula>
    </cfRule>
  </conditionalFormatting>
  <conditionalFormatting sqref="AA482">
    <cfRule type="cellIs" dxfId="1997" priority="2107" stopIfTrue="1" operator="lessThanOrEqual">
      <formula>3.5</formula>
    </cfRule>
    <cfRule type="cellIs" dxfId="1996" priority="2108" stopIfTrue="1" operator="greaterThanOrEqual">
      <formula>7.5</formula>
    </cfRule>
    <cfRule type="cellIs" dxfId="1995" priority="2109" stopIfTrue="1" operator="between">
      <formula>3.51</formula>
      <formula>7.49</formula>
    </cfRule>
  </conditionalFormatting>
  <conditionalFormatting sqref="AA542">
    <cfRule type="cellIs" dxfId="1994" priority="2101" stopIfTrue="1" operator="lessThanOrEqual">
      <formula>3.5</formula>
    </cfRule>
    <cfRule type="cellIs" dxfId="1993" priority="2102" stopIfTrue="1" operator="greaterThanOrEqual">
      <formula>7.5</formula>
    </cfRule>
    <cfRule type="cellIs" dxfId="1992" priority="2103" stopIfTrue="1" operator="between">
      <formula>3.51</formula>
      <formula>7.49</formula>
    </cfRule>
  </conditionalFormatting>
  <conditionalFormatting sqref="AA555">
    <cfRule type="cellIs" dxfId="1991" priority="2098" stopIfTrue="1" operator="lessThanOrEqual">
      <formula>3.5</formula>
    </cfRule>
    <cfRule type="cellIs" dxfId="1990" priority="2099" stopIfTrue="1" operator="greaterThanOrEqual">
      <formula>7.5</formula>
    </cfRule>
    <cfRule type="cellIs" dxfId="1989" priority="2100" stopIfTrue="1" operator="between">
      <formula>3.51</formula>
      <formula>7.49</formula>
    </cfRule>
  </conditionalFormatting>
  <conditionalFormatting sqref="AA546">
    <cfRule type="cellIs" dxfId="1988" priority="2095" stopIfTrue="1" operator="lessThanOrEqual">
      <formula>3.5</formula>
    </cfRule>
    <cfRule type="cellIs" dxfId="1987" priority="2096" stopIfTrue="1" operator="greaterThanOrEqual">
      <formula>7.5</formula>
    </cfRule>
    <cfRule type="cellIs" dxfId="1986" priority="2097" stopIfTrue="1" operator="between">
      <formula>3.51</formula>
      <formula>7.49</formula>
    </cfRule>
  </conditionalFormatting>
  <conditionalFormatting sqref="AA538">
    <cfRule type="cellIs" dxfId="1985" priority="2092" stopIfTrue="1" operator="lessThanOrEqual">
      <formula>3.5</formula>
    </cfRule>
    <cfRule type="cellIs" dxfId="1984" priority="2093" stopIfTrue="1" operator="greaterThanOrEqual">
      <formula>7.5</formula>
    </cfRule>
    <cfRule type="cellIs" dxfId="1983" priority="2094" stopIfTrue="1" operator="between">
      <formula>3.51</formula>
      <formula>7.49</formula>
    </cfRule>
  </conditionalFormatting>
  <conditionalFormatting sqref="AA536">
    <cfRule type="cellIs" dxfId="1982" priority="2089" stopIfTrue="1" operator="lessThanOrEqual">
      <formula>3.5</formula>
    </cfRule>
    <cfRule type="cellIs" dxfId="1981" priority="2090" stopIfTrue="1" operator="greaterThanOrEqual">
      <formula>7.5</formula>
    </cfRule>
    <cfRule type="cellIs" dxfId="1980" priority="2091" stopIfTrue="1" operator="between">
      <formula>3.51</formula>
      <formula>7.49</formula>
    </cfRule>
  </conditionalFormatting>
  <conditionalFormatting sqref="AA543">
    <cfRule type="cellIs" dxfId="1979" priority="2086" stopIfTrue="1" operator="lessThanOrEqual">
      <formula>3.5</formula>
    </cfRule>
    <cfRule type="cellIs" dxfId="1978" priority="2087" stopIfTrue="1" operator="greaterThanOrEqual">
      <formula>7.5</formula>
    </cfRule>
    <cfRule type="cellIs" dxfId="1977" priority="2088" stopIfTrue="1" operator="between">
      <formula>3.51</formula>
      <formula>7.49</formula>
    </cfRule>
  </conditionalFormatting>
  <conditionalFormatting sqref="AA547">
    <cfRule type="cellIs" dxfId="1976" priority="2083" stopIfTrue="1" operator="lessThanOrEqual">
      <formula>3.5</formula>
    </cfRule>
    <cfRule type="cellIs" dxfId="1975" priority="2084" stopIfTrue="1" operator="greaterThanOrEqual">
      <formula>7.5</formula>
    </cfRule>
    <cfRule type="cellIs" dxfId="1974" priority="2085" stopIfTrue="1" operator="between">
      <formula>3.51</formula>
      <formula>7.49</formula>
    </cfRule>
  </conditionalFormatting>
  <conditionalFormatting sqref="AA518">
    <cfRule type="cellIs" dxfId="1973" priority="2077" stopIfTrue="1" operator="lessThanOrEqual">
      <formula>3.5</formula>
    </cfRule>
    <cfRule type="cellIs" dxfId="1972" priority="2078" stopIfTrue="1" operator="greaterThanOrEqual">
      <formula>7.5</formula>
    </cfRule>
    <cfRule type="cellIs" dxfId="1971" priority="2079" stopIfTrue="1" operator="between">
      <formula>3.51</formula>
      <formula>7.49</formula>
    </cfRule>
  </conditionalFormatting>
  <conditionalFormatting sqref="AA531">
    <cfRule type="cellIs" dxfId="1970" priority="2074" stopIfTrue="1" operator="lessThanOrEqual">
      <formula>3.5</formula>
    </cfRule>
    <cfRule type="cellIs" dxfId="1969" priority="2075" stopIfTrue="1" operator="greaterThanOrEqual">
      <formula>7.5</formula>
    </cfRule>
    <cfRule type="cellIs" dxfId="1968" priority="2076" stopIfTrue="1" operator="between">
      <formula>3.51</formula>
      <formula>7.49</formula>
    </cfRule>
  </conditionalFormatting>
  <conditionalFormatting sqref="AA452">
    <cfRule type="cellIs" dxfId="1967" priority="2071" stopIfTrue="1" operator="lessThanOrEqual">
      <formula>3.5</formula>
    </cfRule>
    <cfRule type="cellIs" dxfId="1966" priority="2072" stopIfTrue="1" operator="greaterThanOrEqual">
      <formula>7.5</formula>
    </cfRule>
    <cfRule type="cellIs" dxfId="1965" priority="2073" stopIfTrue="1" operator="between">
      <formula>3.51</formula>
      <formula>7.49</formula>
    </cfRule>
  </conditionalFormatting>
  <conditionalFormatting sqref="AA1078">
    <cfRule type="cellIs" dxfId="1964" priority="2068" stopIfTrue="1" operator="lessThanOrEqual">
      <formula>3.5</formula>
    </cfRule>
    <cfRule type="cellIs" dxfId="1963" priority="2069" stopIfTrue="1" operator="greaterThanOrEqual">
      <formula>7.5</formula>
    </cfRule>
    <cfRule type="cellIs" dxfId="1962" priority="2070" stopIfTrue="1" operator="between">
      <formula>3.51</formula>
      <formula>7.49</formula>
    </cfRule>
  </conditionalFormatting>
  <conditionalFormatting sqref="AA523">
    <cfRule type="cellIs" dxfId="1961" priority="2065" stopIfTrue="1" operator="lessThanOrEqual">
      <formula>3.5</formula>
    </cfRule>
    <cfRule type="cellIs" dxfId="1960" priority="2066" stopIfTrue="1" operator="greaterThanOrEqual">
      <formula>7.5</formula>
    </cfRule>
    <cfRule type="cellIs" dxfId="1959" priority="2067" stopIfTrue="1" operator="between">
      <formula>3.51</formula>
      <formula>7.49</formula>
    </cfRule>
  </conditionalFormatting>
  <conditionalFormatting sqref="AA525">
    <cfRule type="cellIs" dxfId="1958" priority="2062" stopIfTrue="1" operator="lessThanOrEqual">
      <formula>3.5</formula>
    </cfRule>
    <cfRule type="cellIs" dxfId="1957" priority="2063" stopIfTrue="1" operator="greaterThanOrEqual">
      <formula>7.5</formula>
    </cfRule>
    <cfRule type="cellIs" dxfId="1956" priority="2064" stopIfTrue="1" operator="between">
      <formula>3.51</formula>
      <formula>7.49</formula>
    </cfRule>
  </conditionalFormatting>
  <conditionalFormatting sqref="AA3174">
    <cfRule type="cellIs" dxfId="1955" priority="2059" stopIfTrue="1" operator="lessThanOrEqual">
      <formula>3.5</formula>
    </cfRule>
    <cfRule type="cellIs" dxfId="1954" priority="2060" stopIfTrue="1" operator="greaterThanOrEqual">
      <formula>7.5</formula>
    </cfRule>
    <cfRule type="cellIs" dxfId="1953" priority="2061" stopIfTrue="1" operator="between">
      <formula>3.51</formula>
      <formula>7.49</formula>
    </cfRule>
  </conditionalFormatting>
  <conditionalFormatting sqref="AA421">
    <cfRule type="cellIs" dxfId="1952" priority="2050" stopIfTrue="1" operator="lessThanOrEqual">
      <formula>3.5</formula>
    </cfRule>
    <cfRule type="cellIs" dxfId="1951" priority="2051" stopIfTrue="1" operator="greaterThanOrEqual">
      <formula>7.5</formula>
    </cfRule>
    <cfRule type="cellIs" dxfId="1950" priority="2052" stopIfTrue="1" operator="between">
      <formula>3.51</formula>
      <formula>7.49</formula>
    </cfRule>
  </conditionalFormatting>
  <conditionalFormatting sqref="AA2288">
    <cfRule type="cellIs" dxfId="1949" priority="2053" stopIfTrue="1" operator="lessThanOrEqual">
      <formula>3.5</formula>
    </cfRule>
    <cfRule type="cellIs" dxfId="1948" priority="2054" stopIfTrue="1" operator="greaterThanOrEqual">
      <formula>7.5</formula>
    </cfRule>
    <cfRule type="cellIs" dxfId="1947" priority="2055" stopIfTrue="1" operator="between">
      <formula>3.51</formula>
      <formula>7.49</formula>
    </cfRule>
  </conditionalFormatting>
  <conditionalFormatting sqref="AA514">
    <cfRule type="cellIs" dxfId="1946" priority="2044" stopIfTrue="1" operator="lessThanOrEqual">
      <formula>3.5</formula>
    </cfRule>
    <cfRule type="cellIs" dxfId="1945" priority="2045" stopIfTrue="1" operator="greaterThanOrEqual">
      <formula>7.5</formula>
    </cfRule>
    <cfRule type="cellIs" dxfId="1944" priority="2046" stopIfTrue="1" operator="between">
      <formula>3.51</formula>
      <formula>7.49</formula>
    </cfRule>
  </conditionalFormatting>
  <conditionalFormatting sqref="AA453">
    <cfRule type="cellIs" dxfId="1943" priority="2047" stopIfTrue="1" operator="lessThanOrEqual">
      <formula>3.5</formula>
    </cfRule>
    <cfRule type="cellIs" dxfId="1942" priority="2048" stopIfTrue="1" operator="greaterThanOrEqual">
      <formula>7.5</formula>
    </cfRule>
    <cfRule type="cellIs" dxfId="1941" priority="2049" stopIfTrue="1" operator="between">
      <formula>3.51</formula>
      <formula>7.49</formula>
    </cfRule>
  </conditionalFormatting>
  <conditionalFormatting sqref="AA490">
    <cfRule type="cellIs" dxfId="1940" priority="2038" stopIfTrue="1" operator="lessThanOrEqual">
      <formula>3.5</formula>
    </cfRule>
    <cfRule type="cellIs" dxfId="1939" priority="2039" stopIfTrue="1" operator="greaterThanOrEqual">
      <formula>7.5</formula>
    </cfRule>
    <cfRule type="cellIs" dxfId="1938" priority="2040" stopIfTrue="1" operator="between">
      <formula>3.51</formula>
      <formula>7.49</formula>
    </cfRule>
  </conditionalFormatting>
  <conditionalFormatting sqref="AA491">
    <cfRule type="cellIs" dxfId="1937" priority="2041" stopIfTrue="1" operator="lessThanOrEqual">
      <formula>3.5</formula>
    </cfRule>
    <cfRule type="cellIs" dxfId="1936" priority="2042" stopIfTrue="1" operator="greaterThanOrEqual">
      <formula>7.5</formula>
    </cfRule>
    <cfRule type="cellIs" dxfId="1935" priority="2043" stopIfTrue="1" operator="between">
      <formula>3.51</formula>
      <formula>7.49</formula>
    </cfRule>
  </conditionalFormatting>
  <conditionalFormatting sqref="AA485">
    <cfRule type="cellIs" dxfId="1934" priority="2035" stopIfTrue="1" operator="lessThanOrEqual">
      <formula>3.5</formula>
    </cfRule>
    <cfRule type="cellIs" dxfId="1933" priority="2036" stopIfTrue="1" operator="greaterThanOrEqual">
      <formula>7.5</formula>
    </cfRule>
    <cfRule type="cellIs" dxfId="1932" priority="2037" stopIfTrue="1" operator="between">
      <formula>3.51</formula>
      <formula>7.49</formula>
    </cfRule>
  </conditionalFormatting>
  <conditionalFormatting sqref="AA520">
    <cfRule type="cellIs" dxfId="1931" priority="2032" stopIfTrue="1" operator="lessThanOrEqual">
      <formula>3.5</formula>
    </cfRule>
    <cfRule type="cellIs" dxfId="1930" priority="2033" stopIfTrue="1" operator="greaterThanOrEqual">
      <formula>7.5</formula>
    </cfRule>
    <cfRule type="cellIs" dxfId="1929" priority="2034" stopIfTrue="1" operator="between">
      <formula>3.51</formula>
      <formula>7.49</formula>
    </cfRule>
  </conditionalFormatting>
  <conditionalFormatting sqref="AA534">
    <cfRule type="cellIs" dxfId="1928" priority="2029" stopIfTrue="1" operator="lessThanOrEqual">
      <formula>3.5</formula>
    </cfRule>
    <cfRule type="cellIs" dxfId="1927" priority="2030" stopIfTrue="1" operator="greaterThanOrEqual">
      <formula>7.5</formula>
    </cfRule>
    <cfRule type="cellIs" dxfId="1926" priority="2031" stopIfTrue="1" operator="between">
      <formula>3.51</formula>
      <formula>7.49</formula>
    </cfRule>
  </conditionalFormatting>
  <conditionalFormatting sqref="AA535">
    <cfRule type="cellIs" dxfId="1925" priority="2026" stopIfTrue="1" operator="lessThanOrEqual">
      <formula>3.5</formula>
    </cfRule>
    <cfRule type="cellIs" dxfId="1924" priority="2027" stopIfTrue="1" operator="greaterThanOrEqual">
      <formula>7.5</formula>
    </cfRule>
    <cfRule type="cellIs" dxfId="1923" priority="2028" stopIfTrue="1" operator="between">
      <formula>3.51</formula>
      <formula>7.49</formula>
    </cfRule>
  </conditionalFormatting>
  <conditionalFormatting sqref="AA540">
    <cfRule type="cellIs" dxfId="1922" priority="2023" stopIfTrue="1" operator="lessThanOrEqual">
      <formula>3.5</formula>
    </cfRule>
    <cfRule type="cellIs" dxfId="1921" priority="2024" stopIfTrue="1" operator="greaterThanOrEqual">
      <formula>7.5</formula>
    </cfRule>
    <cfRule type="cellIs" dxfId="1920" priority="2025" stopIfTrue="1" operator="between">
      <formula>3.51</formula>
      <formula>7.49</formula>
    </cfRule>
  </conditionalFormatting>
  <conditionalFormatting sqref="AA541">
    <cfRule type="cellIs" dxfId="1919" priority="2020" stopIfTrue="1" operator="lessThanOrEqual">
      <formula>3.5</formula>
    </cfRule>
    <cfRule type="cellIs" dxfId="1918" priority="2021" stopIfTrue="1" operator="greaterThanOrEqual">
      <formula>7.5</formula>
    </cfRule>
    <cfRule type="cellIs" dxfId="1917" priority="2022" stopIfTrue="1" operator="between">
      <formula>3.51</formula>
      <formula>7.49</formula>
    </cfRule>
  </conditionalFormatting>
  <conditionalFormatting sqref="AA550">
    <cfRule type="cellIs" dxfId="1916" priority="2017" stopIfTrue="1" operator="lessThanOrEqual">
      <formula>3.5</formula>
    </cfRule>
    <cfRule type="cellIs" dxfId="1915" priority="2018" stopIfTrue="1" operator="greaterThanOrEqual">
      <formula>7.5</formula>
    </cfRule>
    <cfRule type="cellIs" dxfId="1914" priority="2019" stopIfTrue="1" operator="between">
      <formula>3.51</formula>
      <formula>7.49</formula>
    </cfRule>
  </conditionalFormatting>
  <conditionalFormatting sqref="AA554">
    <cfRule type="cellIs" dxfId="1913" priority="2014" stopIfTrue="1" operator="lessThanOrEqual">
      <formula>3.5</formula>
    </cfRule>
    <cfRule type="cellIs" dxfId="1912" priority="2015" stopIfTrue="1" operator="greaterThanOrEqual">
      <formula>7.5</formula>
    </cfRule>
    <cfRule type="cellIs" dxfId="1911" priority="2016" stopIfTrue="1" operator="between">
      <formula>3.51</formula>
      <formula>7.49</formula>
    </cfRule>
  </conditionalFormatting>
  <conditionalFormatting sqref="AA537">
    <cfRule type="cellIs" dxfId="1910" priority="2011" stopIfTrue="1" operator="lessThanOrEqual">
      <formula>3.5</formula>
    </cfRule>
    <cfRule type="cellIs" dxfId="1909" priority="2012" stopIfTrue="1" operator="greaterThanOrEqual">
      <formula>7.5</formula>
    </cfRule>
    <cfRule type="cellIs" dxfId="1908" priority="2013" stopIfTrue="1" operator="between">
      <formula>3.51</formula>
      <formula>7.49</formula>
    </cfRule>
  </conditionalFormatting>
  <conditionalFormatting sqref="AA552">
    <cfRule type="cellIs" dxfId="1907" priority="2008" stopIfTrue="1" operator="lessThanOrEqual">
      <formula>3.5</formula>
    </cfRule>
    <cfRule type="cellIs" dxfId="1906" priority="2009" stopIfTrue="1" operator="greaterThanOrEqual">
      <formula>7.5</formula>
    </cfRule>
    <cfRule type="cellIs" dxfId="1905" priority="2010" stopIfTrue="1" operator="between">
      <formula>3.51</formula>
      <formula>7.49</formula>
    </cfRule>
  </conditionalFormatting>
  <conditionalFormatting sqref="AA551">
    <cfRule type="cellIs" dxfId="1904" priority="2005" stopIfTrue="1" operator="lessThanOrEqual">
      <formula>3.5</formula>
    </cfRule>
    <cfRule type="cellIs" dxfId="1903" priority="2006" stopIfTrue="1" operator="greaterThanOrEqual">
      <formula>7.5</formula>
    </cfRule>
    <cfRule type="cellIs" dxfId="1902" priority="2007" stopIfTrue="1" operator="between">
      <formula>3.51</formula>
      <formula>7.49</formula>
    </cfRule>
  </conditionalFormatting>
  <conditionalFormatting sqref="AA3559">
    <cfRule type="cellIs" dxfId="1901" priority="2002" stopIfTrue="1" operator="lessThanOrEqual">
      <formula>3.5</formula>
    </cfRule>
    <cfRule type="cellIs" dxfId="1900" priority="2003" stopIfTrue="1" operator="greaterThanOrEqual">
      <formula>7.5</formula>
    </cfRule>
    <cfRule type="cellIs" dxfId="1899" priority="2004" stopIfTrue="1" operator="between">
      <formula>3.51</formula>
      <formula>7.49</formula>
    </cfRule>
  </conditionalFormatting>
  <conditionalFormatting sqref="AA3558">
    <cfRule type="cellIs" dxfId="1898" priority="1999" stopIfTrue="1" operator="lessThanOrEqual">
      <formula>3.5</formula>
    </cfRule>
    <cfRule type="cellIs" dxfId="1897" priority="2000" stopIfTrue="1" operator="greaterThanOrEqual">
      <formula>7.5</formula>
    </cfRule>
    <cfRule type="cellIs" dxfId="1896" priority="2001" stopIfTrue="1" operator="between">
      <formula>3.51</formula>
      <formula>7.49</formula>
    </cfRule>
  </conditionalFormatting>
  <conditionalFormatting sqref="AA3504">
    <cfRule type="cellIs" dxfId="1895" priority="1996" stopIfTrue="1" operator="lessThanOrEqual">
      <formula>3.5</formula>
    </cfRule>
    <cfRule type="cellIs" dxfId="1894" priority="1997" stopIfTrue="1" operator="greaterThanOrEqual">
      <formula>7.5</formula>
    </cfRule>
    <cfRule type="cellIs" dxfId="1893" priority="1998" stopIfTrue="1" operator="between">
      <formula>3.51</formula>
      <formula>7.49</formula>
    </cfRule>
  </conditionalFormatting>
  <conditionalFormatting sqref="AA3503">
    <cfRule type="cellIs" dxfId="1892" priority="1993" stopIfTrue="1" operator="lessThanOrEqual">
      <formula>3.5</formula>
    </cfRule>
    <cfRule type="cellIs" dxfId="1891" priority="1994" stopIfTrue="1" operator="greaterThanOrEqual">
      <formula>7.5</formula>
    </cfRule>
    <cfRule type="cellIs" dxfId="1890" priority="1995" stopIfTrue="1" operator="between">
      <formula>3.51</formula>
      <formula>7.49</formula>
    </cfRule>
  </conditionalFormatting>
  <conditionalFormatting sqref="AA3502">
    <cfRule type="cellIs" dxfId="1889" priority="1990" stopIfTrue="1" operator="lessThanOrEqual">
      <formula>3.5</formula>
    </cfRule>
    <cfRule type="cellIs" dxfId="1888" priority="1991" stopIfTrue="1" operator="greaterThanOrEqual">
      <formula>7.5</formula>
    </cfRule>
    <cfRule type="cellIs" dxfId="1887" priority="1992" stopIfTrue="1" operator="between">
      <formula>3.51</formula>
      <formula>7.49</formula>
    </cfRule>
  </conditionalFormatting>
  <conditionalFormatting sqref="AA3501">
    <cfRule type="cellIs" dxfId="1886" priority="1987" stopIfTrue="1" operator="lessThanOrEqual">
      <formula>3.5</formula>
    </cfRule>
    <cfRule type="cellIs" dxfId="1885" priority="1988" stopIfTrue="1" operator="greaterThanOrEqual">
      <formula>7.5</formula>
    </cfRule>
    <cfRule type="cellIs" dxfId="1884" priority="1989" stopIfTrue="1" operator="between">
      <formula>3.51</formula>
      <formula>7.49</formula>
    </cfRule>
  </conditionalFormatting>
  <conditionalFormatting sqref="AA3506">
    <cfRule type="cellIs" dxfId="1883" priority="1984" stopIfTrue="1" operator="lessThanOrEqual">
      <formula>3.5</formula>
    </cfRule>
    <cfRule type="cellIs" dxfId="1882" priority="1985" stopIfTrue="1" operator="greaterThanOrEqual">
      <formula>7.5</formula>
    </cfRule>
    <cfRule type="cellIs" dxfId="1881" priority="1986" stopIfTrue="1" operator="between">
      <formula>3.51</formula>
      <formula>7.49</formula>
    </cfRule>
  </conditionalFormatting>
  <conditionalFormatting sqref="AA3517">
    <cfRule type="cellIs" dxfId="1880" priority="1981" stopIfTrue="1" operator="lessThanOrEqual">
      <formula>3.5</formula>
    </cfRule>
    <cfRule type="cellIs" dxfId="1879" priority="1982" stopIfTrue="1" operator="greaterThanOrEqual">
      <formula>7.5</formula>
    </cfRule>
    <cfRule type="cellIs" dxfId="1878" priority="1983" stopIfTrue="1" operator="between">
      <formula>3.51</formula>
      <formula>7.49</formula>
    </cfRule>
  </conditionalFormatting>
  <conditionalFormatting sqref="AA3515">
    <cfRule type="cellIs" dxfId="1877" priority="1978" stopIfTrue="1" operator="lessThanOrEqual">
      <formula>3.5</formula>
    </cfRule>
    <cfRule type="cellIs" dxfId="1876" priority="1979" stopIfTrue="1" operator="greaterThanOrEqual">
      <formula>7.5</formula>
    </cfRule>
    <cfRule type="cellIs" dxfId="1875" priority="1980" stopIfTrue="1" operator="between">
      <formula>3.51</formula>
      <formula>7.49</formula>
    </cfRule>
  </conditionalFormatting>
  <conditionalFormatting sqref="AA3512">
    <cfRule type="cellIs" dxfId="1874" priority="1975" stopIfTrue="1" operator="lessThanOrEqual">
      <formula>3.5</formula>
    </cfRule>
    <cfRule type="cellIs" dxfId="1873" priority="1976" stopIfTrue="1" operator="greaterThanOrEqual">
      <formula>7.5</formula>
    </cfRule>
    <cfRule type="cellIs" dxfId="1872" priority="1977" stopIfTrue="1" operator="between">
      <formula>3.51</formula>
      <formula>7.49</formula>
    </cfRule>
  </conditionalFormatting>
  <conditionalFormatting sqref="AA3510">
    <cfRule type="cellIs" dxfId="1871" priority="1972" stopIfTrue="1" operator="lessThanOrEqual">
      <formula>3.5</formula>
    </cfRule>
    <cfRule type="cellIs" dxfId="1870" priority="1973" stopIfTrue="1" operator="greaterThanOrEqual">
      <formula>7.5</formula>
    </cfRule>
    <cfRule type="cellIs" dxfId="1869" priority="1974" stopIfTrue="1" operator="between">
      <formula>3.51</formula>
      <formula>7.49</formula>
    </cfRule>
  </conditionalFormatting>
  <conditionalFormatting sqref="AA3505">
    <cfRule type="cellIs" dxfId="1868" priority="1969" stopIfTrue="1" operator="lessThanOrEqual">
      <formula>3.5</formula>
    </cfRule>
    <cfRule type="cellIs" dxfId="1867" priority="1970" stopIfTrue="1" operator="greaterThanOrEqual">
      <formula>7.5</formula>
    </cfRule>
    <cfRule type="cellIs" dxfId="1866" priority="1971" stopIfTrue="1" operator="between">
      <formula>3.51</formula>
      <formula>7.49</formula>
    </cfRule>
  </conditionalFormatting>
  <conditionalFormatting sqref="AA3509">
    <cfRule type="cellIs" dxfId="1865" priority="1966" stopIfTrue="1" operator="lessThanOrEqual">
      <formula>3.5</formula>
    </cfRule>
    <cfRule type="cellIs" dxfId="1864" priority="1967" stopIfTrue="1" operator="greaterThanOrEqual">
      <formula>7.5</formula>
    </cfRule>
    <cfRule type="cellIs" dxfId="1863" priority="1968" stopIfTrue="1" operator="between">
      <formula>3.51</formula>
      <formula>7.49</formula>
    </cfRule>
  </conditionalFormatting>
  <conditionalFormatting sqref="AA3518">
    <cfRule type="cellIs" dxfId="1862" priority="1963" stopIfTrue="1" operator="lessThanOrEqual">
      <formula>3.5</formula>
    </cfRule>
    <cfRule type="cellIs" dxfId="1861" priority="1964" stopIfTrue="1" operator="greaterThanOrEqual">
      <formula>7.5</formula>
    </cfRule>
    <cfRule type="cellIs" dxfId="1860" priority="1965" stopIfTrue="1" operator="between">
      <formula>3.51</formula>
      <formula>7.49</formula>
    </cfRule>
  </conditionalFormatting>
  <conditionalFormatting sqref="AA3507">
    <cfRule type="cellIs" dxfId="1859" priority="1960" stopIfTrue="1" operator="lessThanOrEqual">
      <formula>3.5</formula>
    </cfRule>
    <cfRule type="cellIs" dxfId="1858" priority="1961" stopIfTrue="1" operator="greaterThanOrEqual">
      <formula>7.5</formula>
    </cfRule>
    <cfRule type="cellIs" dxfId="1857" priority="1962" stopIfTrue="1" operator="between">
      <formula>3.51</formula>
      <formula>7.49</formula>
    </cfRule>
  </conditionalFormatting>
  <conditionalFormatting sqref="AA3508">
    <cfRule type="cellIs" dxfId="1856" priority="1957" stopIfTrue="1" operator="lessThanOrEqual">
      <formula>3.5</formula>
    </cfRule>
    <cfRule type="cellIs" dxfId="1855" priority="1958" stopIfTrue="1" operator="greaterThanOrEqual">
      <formula>7.5</formula>
    </cfRule>
    <cfRule type="cellIs" dxfId="1854" priority="1959" stopIfTrue="1" operator="between">
      <formula>3.51</formula>
      <formula>7.49</formula>
    </cfRule>
  </conditionalFormatting>
  <conditionalFormatting sqref="AA3511">
    <cfRule type="cellIs" dxfId="1853" priority="1954" stopIfTrue="1" operator="lessThanOrEqual">
      <formula>3.5</formula>
    </cfRule>
    <cfRule type="cellIs" dxfId="1852" priority="1955" stopIfTrue="1" operator="greaterThanOrEqual">
      <formula>7.5</formula>
    </cfRule>
    <cfRule type="cellIs" dxfId="1851" priority="1956" stopIfTrue="1" operator="between">
      <formula>3.51</formula>
      <formula>7.49</formula>
    </cfRule>
  </conditionalFormatting>
  <conditionalFormatting sqref="AA3514">
    <cfRule type="cellIs" dxfId="1850" priority="1951" stopIfTrue="1" operator="lessThanOrEqual">
      <formula>3.5</formula>
    </cfRule>
    <cfRule type="cellIs" dxfId="1849" priority="1952" stopIfTrue="1" operator="greaterThanOrEqual">
      <formula>7.5</formula>
    </cfRule>
    <cfRule type="cellIs" dxfId="1848" priority="1953" stopIfTrue="1" operator="between">
      <formula>3.51</formula>
      <formula>7.49</formula>
    </cfRule>
  </conditionalFormatting>
  <conditionalFormatting sqref="AA3513">
    <cfRule type="cellIs" dxfId="1847" priority="1948" stopIfTrue="1" operator="lessThanOrEqual">
      <formula>3.5</formula>
    </cfRule>
    <cfRule type="cellIs" dxfId="1846" priority="1949" stopIfTrue="1" operator="greaterThanOrEqual">
      <formula>7.5</formula>
    </cfRule>
    <cfRule type="cellIs" dxfId="1845" priority="1950" stopIfTrue="1" operator="between">
      <formula>3.51</formula>
      <formula>7.49</formula>
    </cfRule>
  </conditionalFormatting>
  <conditionalFormatting sqref="AA3516">
    <cfRule type="cellIs" dxfId="1844" priority="1945" stopIfTrue="1" operator="lessThanOrEqual">
      <formula>3.5</formula>
    </cfRule>
    <cfRule type="cellIs" dxfId="1843" priority="1946" stopIfTrue="1" operator="greaterThanOrEqual">
      <formula>7.5</formula>
    </cfRule>
    <cfRule type="cellIs" dxfId="1842" priority="1947" stopIfTrue="1" operator="between">
      <formula>3.51</formula>
      <formula>7.49</formula>
    </cfRule>
  </conditionalFormatting>
  <conditionalFormatting sqref="AA3533">
    <cfRule type="cellIs" dxfId="1841" priority="1942" stopIfTrue="1" operator="lessThanOrEqual">
      <formula>3.5</formula>
    </cfRule>
    <cfRule type="cellIs" dxfId="1840" priority="1943" stopIfTrue="1" operator="greaterThanOrEqual">
      <formula>7.5</formula>
    </cfRule>
    <cfRule type="cellIs" dxfId="1839" priority="1944" stopIfTrue="1" operator="between">
      <formula>3.51</formula>
      <formula>7.49</formula>
    </cfRule>
  </conditionalFormatting>
  <conditionalFormatting sqref="AA3531">
    <cfRule type="cellIs" dxfId="1838" priority="1939" stopIfTrue="1" operator="lessThanOrEqual">
      <formula>3.5</formula>
    </cfRule>
    <cfRule type="cellIs" dxfId="1837" priority="1940" stopIfTrue="1" operator="greaterThanOrEqual">
      <formula>7.5</formula>
    </cfRule>
    <cfRule type="cellIs" dxfId="1836" priority="1941" stopIfTrue="1" operator="between">
      <formula>3.51</formula>
      <formula>7.49</formula>
    </cfRule>
  </conditionalFormatting>
  <conditionalFormatting sqref="AA3532">
    <cfRule type="cellIs" dxfId="1835" priority="1936" stopIfTrue="1" operator="lessThanOrEqual">
      <formula>3.5</formula>
    </cfRule>
    <cfRule type="cellIs" dxfId="1834" priority="1937" stopIfTrue="1" operator="greaterThanOrEqual">
      <formula>7.5</formula>
    </cfRule>
    <cfRule type="cellIs" dxfId="1833" priority="1938" stopIfTrue="1" operator="between">
      <formula>3.51</formula>
      <formula>7.49</formula>
    </cfRule>
  </conditionalFormatting>
  <conditionalFormatting sqref="AA3536">
    <cfRule type="cellIs" dxfId="1832" priority="1933" stopIfTrue="1" operator="lessThanOrEqual">
      <formula>3.5</formula>
    </cfRule>
    <cfRule type="cellIs" dxfId="1831" priority="1934" stopIfTrue="1" operator="greaterThanOrEqual">
      <formula>7.5</formula>
    </cfRule>
    <cfRule type="cellIs" dxfId="1830" priority="1935" stopIfTrue="1" operator="between">
      <formula>3.51</formula>
      <formula>7.49</formula>
    </cfRule>
  </conditionalFormatting>
  <conditionalFormatting sqref="AA3534">
    <cfRule type="cellIs" dxfId="1829" priority="1930" stopIfTrue="1" operator="lessThanOrEqual">
      <formula>3.5</formula>
    </cfRule>
    <cfRule type="cellIs" dxfId="1828" priority="1931" stopIfTrue="1" operator="greaterThanOrEqual">
      <formula>7.5</formula>
    </cfRule>
    <cfRule type="cellIs" dxfId="1827" priority="1932" stopIfTrue="1" operator="between">
      <formula>3.51</formula>
      <formula>7.49</formula>
    </cfRule>
  </conditionalFormatting>
  <conditionalFormatting sqref="AA3535">
    <cfRule type="cellIs" dxfId="1826" priority="1927" stopIfTrue="1" operator="lessThanOrEqual">
      <formula>3.5</formula>
    </cfRule>
    <cfRule type="cellIs" dxfId="1825" priority="1928" stopIfTrue="1" operator="greaterThanOrEqual">
      <formula>7.5</formula>
    </cfRule>
    <cfRule type="cellIs" dxfId="1824" priority="1929" stopIfTrue="1" operator="between">
      <formula>3.51</formula>
      <formula>7.49</formula>
    </cfRule>
  </conditionalFormatting>
  <conditionalFormatting sqref="AA3538">
    <cfRule type="cellIs" dxfId="1823" priority="1924" stopIfTrue="1" operator="lessThanOrEqual">
      <formula>3.5</formula>
    </cfRule>
    <cfRule type="cellIs" dxfId="1822" priority="1925" stopIfTrue="1" operator="greaterThanOrEqual">
      <formula>7.5</formula>
    </cfRule>
    <cfRule type="cellIs" dxfId="1821" priority="1926" stopIfTrue="1" operator="between">
      <formula>3.51</formula>
      <formula>7.49</formula>
    </cfRule>
  </conditionalFormatting>
  <conditionalFormatting sqref="AA3537">
    <cfRule type="cellIs" dxfId="1820" priority="1921" stopIfTrue="1" operator="lessThanOrEqual">
      <formula>3.5</formula>
    </cfRule>
    <cfRule type="cellIs" dxfId="1819" priority="1922" stopIfTrue="1" operator="greaterThanOrEqual">
      <formula>7.5</formula>
    </cfRule>
    <cfRule type="cellIs" dxfId="1818" priority="1923" stopIfTrue="1" operator="between">
      <formula>3.51</formula>
      <formula>7.49</formula>
    </cfRule>
  </conditionalFormatting>
  <conditionalFormatting sqref="AA3612">
    <cfRule type="cellIs" dxfId="1817" priority="1918" stopIfTrue="1" operator="lessThanOrEqual">
      <formula>3.5</formula>
    </cfRule>
    <cfRule type="cellIs" dxfId="1816" priority="1919" stopIfTrue="1" operator="greaterThanOrEqual">
      <formula>7.5</formula>
    </cfRule>
    <cfRule type="cellIs" dxfId="1815" priority="1920" stopIfTrue="1" operator="between">
      <formula>3.51</formula>
      <formula>7.49</formula>
    </cfRule>
  </conditionalFormatting>
  <conditionalFormatting sqref="AA3577">
    <cfRule type="cellIs" dxfId="1814" priority="1915" stopIfTrue="1" operator="lessThanOrEqual">
      <formula>3.5</formula>
    </cfRule>
    <cfRule type="cellIs" dxfId="1813" priority="1916" stopIfTrue="1" operator="greaterThanOrEqual">
      <formula>7.5</formula>
    </cfRule>
    <cfRule type="cellIs" dxfId="1812" priority="1917" stopIfTrue="1" operator="between">
      <formula>3.51</formula>
      <formula>7.49</formula>
    </cfRule>
  </conditionalFormatting>
  <conditionalFormatting sqref="AA3588">
    <cfRule type="cellIs" dxfId="1811" priority="1912" stopIfTrue="1" operator="lessThanOrEqual">
      <formula>3.5</formula>
    </cfRule>
    <cfRule type="cellIs" dxfId="1810" priority="1913" stopIfTrue="1" operator="greaterThanOrEqual">
      <formula>7.5</formula>
    </cfRule>
    <cfRule type="cellIs" dxfId="1809" priority="1914" stopIfTrue="1" operator="between">
      <formula>3.51</formula>
      <formula>7.49</formula>
    </cfRule>
  </conditionalFormatting>
  <conditionalFormatting sqref="AA3589">
    <cfRule type="cellIs" dxfId="1808" priority="1909" stopIfTrue="1" operator="lessThanOrEqual">
      <formula>3.5</formula>
    </cfRule>
    <cfRule type="cellIs" dxfId="1807" priority="1910" stopIfTrue="1" operator="greaterThanOrEqual">
      <formula>7.5</formula>
    </cfRule>
    <cfRule type="cellIs" dxfId="1806" priority="1911" stopIfTrue="1" operator="between">
      <formula>3.51</formula>
      <formula>7.49</formula>
    </cfRule>
  </conditionalFormatting>
  <conditionalFormatting sqref="AA3611">
    <cfRule type="cellIs" dxfId="1805" priority="1906" stopIfTrue="1" operator="lessThanOrEqual">
      <formula>3.5</formula>
    </cfRule>
    <cfRule type="cellIs" dxfId="1804" priority="1907" stopIfTrue="1" operator="greaterThanOrEqual">
      <formula>7.5</formula>
    </cfRule>
    <cfRule type="cellIs" dxfId="1803" priority="1908" stopIfTrue="1" operator="between">
      <formula>3.51</formula>
      <formula>7.49</formula>
    </cfRule>
  </conditionalFormatting>
  <conditionalFormatting sqref="AA3610">
    <cfRule type="cellIs" dxfId="1802" priority="1903" stopIfTrue="1" operator="lessThanOrEqual">
      <formula>3.5</formula>
    </cfRule>
    <cfRule type="cellIs" dxfId="1801" priority="1904" stopIfTrue="1" operator="greaterThanOrEqual">
      <formula>7.5</formula>
    </cfRule>
    <cfRule type="cellIs" dxfId="1800" priority="1905" stopIfTrue="1" operator="between">
      <formula>3.51</formula>
      <formula>7.49</formula>
    </cfRule>
  </conditionalFormatting>
  <conditionalFormatting sqref="AA3576">
    <cfRule type="cellIs" dxfId="1799" priority="1900" stopIfTrue="1" operator="lessThanOrEqual">
      <formula>3.5</formula>
    </cfRule>
    <cfRule type="cellIs" dxfId="1798" priority="1901" stopIfTrue="1" operator="greaterThanOrEqual">
      <formula>7.5</formula>
    </cfRule>
    <cfRule type="cellIs" dxfId="1797" priority="1902" stopIfTrue="1" operator="between">
      <formula>3.51</formula>
      <formula>7.49</formula>
    </cfRule>
  </conditionalFormatting>
  <conditionalFormatting sqref="AA3675">
    <cfRule type="cellIs" dxfId="1796" priority="1897" stopIfTrue="1" operator="lessThanOrEqual">
      <formula>3.5</formula>
    </cfRule>
    <cfRule type="cellIs" dxfId="1795" priority="1898" stopIfTrue="1" operator="greaterThanOrEqual">
      <formula>7.5</formula>
    </cfRule>
    <cfRule type="cellIs" dxfId="1794" priority="1899" stopIfTrue="1" operator="between">
      <formula>3.51</formula>
      <formula>7.49</formula>
    </cfRule>
  </conditionalFormatting>
  <conditionalFormatting sqref="AA3580">
    <cfRule type="cellIs" dxfId="1793" priority="1894" stopIfTrue="1" operator="lessThanOrEqual">
      <formula>3.5</formula>
    </cfRule>
    <cfRule type="cellIs" dxfId="1792" priority="1895" stopIfTrue="1" operator="greaterThanOrEqual">
      <formula>7.5</formula>
    </cfRule>
    <cfRule type="cellIs" dxfId="1791" priority="1896" stopIfTrue="1" operator="between">
      <formula>3.51</formula>
      <formula>7.49</formula>
    </cfRule>
  </conditionalFormatting>
  <conditionalFormatting sqref="AA3574">
    <cfRule type="cellIs" dxfId="1790" priority="1891" stopIfTrue="1" operator="lessThanOrEqual">
      <formula>3.5</formula>
    </cfRule>
    <cfRule type="cellIs" dxfId="1789" priority="1892" stopIfTrue="1" operator="greaterThanOrEqual">
      <formula>7.5</formula>
    </cfRule>
    <cfRule type="cellIs" dxfId="1788" priority="1893" stopIfTrue="1" operator="between">
      <formula>3.51</formula>
      <formula>7.49</formula>
    </cfRule>
  </conditionalFormatting>
  <conditionalFormatting sqref="AA3573">
    <cfRule type="cellIs" dxfId="1787" priority="1888" stopIfTrue="1" operator="lessThanOrEqual">
      <formula>3.5</formula>
    </cfRule>
    <cfRule type="cellIs" dxfId="1786" priority="1889" stopIfTrue="1" operator="greaterThanOrEqual">
      <formula>7.5</formula>
    </cfRule>
    <cfRule type="cellIs" dxfId="1785" priority="1890" stopIfTrue="1" operator="between">
      <formula>3.51</formula>
      <formula>7.49</formula>
    </cfRule>
  </conditionalFormatting>
  <conditionalFormatting sqref="AA3575">
    <cfRule type="cellIs" dxfId="1784" priority="1885" stopIfTrue="1" operator="lessThanOrEqual">
      <formula>3.5</formula>
    </cfRule>
    <cfRule type="cellIs" dxfId="1783" priority="1886" stopIfTrue="1" operator="greaterThanOrEqual">
      <formula>7.5</formula>
    </cfRule>
    <cfRule type="cellIs" dxfId="1782" priority="1887" stopIfTrue="1" operator="between">
      <formula>3.51</formula>
      <formula>7.49</formula>
    </cfRule>
  </conditionalFormatting>
  <conditionalFormatting sqref="AA3561">
    <cfRule type="cellIs" dxfId="1781" priority="1882" stopIfTrue="1" operator="lessThanOrEqual">
      <formula>3.5</formula>
    </cfRule>
    <cfRule type="cellIs" dxfId="1780" priority="1883" stopIfTrue="1" operator="greaterThanOrEqual">
      <formula>7.5</formula>
    </cfRule>
    <cfRule type="cellIs" dxfId="1779" priority="1884" stopIfTrue="1" operator="between">
      <formula>3.51</formula>
      <formula>7.49</formula>
    </cfRule>
  </conditionalFormatting>
  <conditionalFormatting sqref="AA3579">
    <cfRule type="cellIs" dxfId="1778" priority="1879" stopIfTrue="1" operator="lessThanOrEqual">
      <formula>3.5</formula>
    </cfRule>
    <cfRule type="cellIs" dxfId="1777" priority="1880" stopIfTrue="1" operator="greaterThanOrEqual">
      <formula>7.5</formula>
    </cfRule>
    <cfRule type="cellIs" dxfId="1776" priority="1881" stopIfTrue="1" operator="between">
      <formula>3.51</formula>
      <formula>7.49</formula>
    </cfRule>
  </conditionalFormatting>
  <conditionalFormatting sqref="AA3578">
    <cfRule type="cellIs" dxfId="1775" priority="1876" stopIfTrue="1" operator="lessThanOrEqual">
      <formula>3.5</formula>
    </cfRule>
    <cfRule type="cellIs" dxfId="1774" priority="1877" stopIfTrue="1" operator="greaterThanOrEqual">
      <formula>7.5</formula>
    </cfRule>
    <cfRule type="cellIs" dxfId="1773" priority="1878" stopIfTrue="1" operator="between">
      <formula>3.51</formula>
      <formula>7.49</formula>
    </cfRule>
  </conditionalFormatting>
  <conditionalFormatting sqref="AA3567">
    <cfRule type="cellIs" dxfId="1772" priority="1873" stopIfTrue="1" operator="lessThanOrEqual">
      <formula>3.5</formula>
    </cfRule>
    <cfRule type="cellIs" dxfId="1771" priority="1874" stopIfTrue="1" operator="greaterThanOrEqual">
      <formula>7.5</formula>
    </cfRule>
    <cfRule type="cellIs" dxfId="1770" priority="1875" stopIfTrue="1" operator="between">
      <formula>3.51</formula>
      <formula>7.49</formula>
    </cfRule>
  </conditionalFormatting>
  <conditionalFormatting sqref="AA3566">
    <cfRule type="cellIs" dxfId="1769" priority="1870" stopIfTrue="1" operator="lessThanOrEqual">
      <formula>3.5</formula>
    </cfRule>
    <cfRule type="cellIs" dxfId="1768" priority="1871" stopIfTrue="1" operator="greaterThanOrEqual">
      <formula>7.5</formula>
    </cfRule>
    <cfRule type="cellIs" dxfId="1767" priority="1872" stopIfTrue="1" operator="between">
      <formula>3.51</formula>
      <formula>7.49</formula>
    </cfRule>
  </conditionalFormatting>
  <conditionalFormatting sqref="AA3572">
    <cfRule type="cellIs" dxfId="1766" priority="1867" stopIfTrue="1" operator="lessThanOrEqual">
      <formula>3.5</formula>
    </cfRule>
    <cfRule type="cellIs" dxfId="1765" priority="1868" stopIfTrue="1" operator="greaterThanOrEqual">
      <formula>7.5</formula>
    </cfRule>
    <cfRule type="cellIs" dxfId="1764" priority="1869" stopIfTrue="1" operator="between">
      <formula>3.51</formula>
      <formula>7.49</formula>
    </cfRule>
  </conditionalFormatting>
  <conditionalFormatting sqref="AA3571">
    <cfRule type="cellIs" dxfId="1763" priority="1864" stopIfTrue="1" operator="lessThanOrEqual">
      <formula>3.5</formula>
    </cfRule>
    <cfRule type="cellIs" dxfId="1762" priority="1865" stopIfTrue="1" operator="greaterThanOrEqual">
      <formula>7.5</formula>
    </cfRule>
    <cfRule type="cellIs" dxfId="1761" priority="1866" stopIfTrue="1" operator="between">
      <formula>3.51</formula>
      <formula>7.49</formula>
    </cfRule>
  </conditionalFormatting>
  <conditionalFormatting sqref="AA3563">
    <cfRule type="cellIs" dxfId="1760" priority="1861" stopIfTrue="1" operator="lessThanOrEqual">
      <formula>3.5</formula>
    </cfRule>
    <cfRule type="cellIs" dxfId="1759" priority="1862" stopIfTrue="1" operator="greaterThanOrEqual">
      <formula>7.5</formula>
    </cfRule>
    <cfRule type="cellIs" dxfId="1758" priority="1863" stopIfTrue="1" operator="between">
      <formula>3.51</formula>
      <formula>7.49</formula>
    </cfRule>
  </conditionalFormatting>
  <conditionalFormatting sqref="AA3562">
    <cfRule type="cellIs" dxfId="1757" priority="1858" stopIfTrue="1" operator="lessThanOrEqual">
      <formula>3.5</formula>
    </cfRule>
    <cfRule type="cellIs" dxfId="1756" priority="1859" stopIfTrue="1" operator="greaterThanOrEqual">
      <formula>7.5</formula>
    </cfRule>
    <cfRule type="cellIs" dxfId="1755" priority="1860" stopIfTrue="1" operator="between">
      <formula>3.51</formula>
      <formula>7.49</formula>
    </cfRule>
  </conditionalFormatting>
  <conditionalFormatting sqref="AA3565">
    <cfRule type="cellIs" dxfId="1754" priority="1855" stopIfTrue="1" operator="lessThanOrEqual">
      <formula>3.5</formula>
    </cfRule>
    <cfRule type="cellIs" dxfId="1753" priority="1856" stopIfTrue="1" operator="greaterThanOrEqual">
      <formula>7.5</formula>
    </cfRule>
    <cfRule type="cellIs" dxfId="1752" priority="1857" stopIfTrue="1" operator="between">
      <formula>3.51</formula>
      <formula>7.49</formula>
    </cfRule>
  </conditionalFormatting>
  <conditionalFormatting sqref="AA3564">
    <cfRule type="cellIs" dxfId="1751" priority="1852" stopIfTrue="1" operator="lessThanOrEqual">
      <formula>3.5</formula>
    </cfRule>
    <cfRule type="cellIs" dxfId="1750" priority="1853" stopIfTrue="1" operator="greaterThanOrEqual">
      <formula>7.5</formula>
    </cfRule>
    <cfRule type="cellIs" dxfId="1749" priority="1854" stopIfTrue="1" operator="between">
      <formula>3.51</formula>
      <formula>7.49</formula>
    </cfRule>
  </conditionalFormatting>
  <conditionalFormatting sqref="AA3570">
    <cfRule type="cellIs" dxfId="1748" priority="1849" stopIfTrue="1" operator="lessThanOrEqual">
      <formula>3.5</formula>
    </cfRule>
    <cfRule type="cellIs" dxfId="1747" priority="1850" stopIfTrue="1" operator="greaterThanOrEqual">
      <formula>7.5</formula>
    </cfRule>
    <cfRule type="cellIs" dxfId="1746" priority="1851" stopIfTrue="1" operator="between">
      <formula>3.51</formula>
      <formula>7.49</formula>
    </cfRule>
  </conditionalFormatting>
  <conditionalFormatting sqref="AA3568">
    <cfRule type="cellIs" dxfId="1745" priority="1846" stopIfTrue="1" operator="lessThanOrEqual">
      <formula>3.5</formula>
    </cfRule>
    <cfRule type="cellIs" dxfId="1744" priority="1847" stopIfTrue="1" operator="greaterThanOrEqual">
      <formula>7.5</formula>
    </cfRule>
    <cfRule type="cellIs" dxfId="1743" priority="1848" stopIfTrue="1" operator="between">
      <formula>3.51</formula>
      <formula>7.49</formula>
    </cfRule>
  </conditionalFormatting>
  <conditionalFormatting sqref="AA3609">
    <cfRule type="cellIs" dxfId="1742" priority="1843" stopIfTrue="1" operator="lessThanOrEqual">
      <formula>3.5</formula>
    </cfRule>
    <cfRule type="cellIs" dxfId="1741" priority="1844" stopIfTrue="1" operator="greaterThanOrEqual">
      <formula>7.5</formula>
    </cfRule>
    <cfRule type="cellIs" dxfId="1740" priority="1845" stopIfTrue="1" operator="between">
      <formula>3.51</formula>
      <formula>7.49</formula>
    </cfRule>
  </conditionalFormatting>
  <conditionalFormatting sqref="AA3608">
    <cfRule type="cellIs" dxfId="1739" priority="1840" stopIfTrue="1" operator="lessThanOrEqual">
      <formula>3.5</formula>
    </cfRule>
    <cfRule type="cellIs" dxfId="1738" priority="1841" stopIfTrue="1" operator="greaterThanOrEqual">
      <formula>7.5</formula>
    </cfRule>
    <cfRule type="cellIs" dxfId="1737" priority="1842" stopIfTrue="1" operator="between">
      <formula>3.51</formula>
      <formula>7.49</formula>
    </cfRule>
  </conditionalFormatting>
  <conditionalFormatting sqref="AA3616">
    <cfRule type="cellIs" dxfId="1736" priority="1837" stopIfTrue="1" operator="lessThanOrEqual">
      <formula>3.5</formula>
    </cfRule>
    <cfRule type="cellIs" dxfId="1735" priority="1838" stopIfTrue="1" operator="greaterThanOrEqual">
      <formula>7.5</formula>
    </cfRule>
    <cfRule type="cellIs" dxfId="1734" priority="1839" stopIfTrue="1" operator="between">
      <formula>3.51</formula>
      <formula>7.49</formula>
    </cfRule>
  </conditionalFormatting>
  <conditionalFormatting sqref="AA3615">
    <cfRule type="cellIs" dxfId="1733" priority="1834" stopIfTrue="1" operator="lessThanOrEqual">
      <formula>3.5</formula>
    </cfRule>
    <cfRule type="cellIs" dxfId="1732" priority="1835" stopIfTrue="1" operator="greaterThanOrEqual">
      <formula>7.5</formula>
    </cfRule>
    <cfRule type="cellIs" dxfId="1731" priority="1836" stopIfTrue="1" operator="between">
      <formula>3.51</formula>
      <formula>7.49</formula>
    </cfRule>
  </conditionalFormatting>
  <conditionalFormatting sqref="AA3605">
    <cfRule type="cellIs" dxfId="1730" priority="1831" stopIfTrue="1" operator="lessThanOrEqual">
      <formula>3.5</formula>
    </cfRule>
    <cfRule type="cellIs" dxfId="1729" priority="1832" stopIfTrue="1" operator="greaterThanOrEqual">
      <formula>7.5</formula>
    </cfRule>
    <cfRule type="cellIs" dxfId="1728" priority="1833" stopIfTrue="1" operator="between">
      <formula>3.51</formula>
      <formula>7.49</formula>
    </cfRule>
  </conditionalFormatting>
  <conditionalFormatting sqref="AA3604">
    <cfRule type="cellIs" dxfId="1727" priority="1828" stopIfTrue="1" operator="lessThanOrEqual">
      <formula>3.5</formula>
    </cfRule>
    <cfRule type="cellIs" dxfId="1726" priority="1829" stopIfTrue="1" operator="greaterThanOrEqual">
      <formula>7.5</formula>
    </cfRule>
    <cfRule type="cellIs" dxfId="1725" priority="1830" stopIfTrue="1" operator="between">
      <formula>3.51</formula>
      <formula>7.49</formula>
    </cfRule>
  </conditionalFormatting>
  <conditionalFormatting sqref="AA3607">
    <cfRule type="cellIs" dxfId="1724" priority="1825" stopIfTrue="1" operator="lessThanOrEqual">
      <formula>3.5</formula>
    </cfRule>
    <cfRule type="cellIs" dxfId="1723" priority="1826" stopIfTrue="1" operator="greaterThanOrEqual">
      <formula>7.5</formula>
    </cfRule>
    <cfRule type="cellIs" dxfId="1722" priority="1827" stopIfTrue="1" operator="between">
      <formula>3.51</formula>
      <formula>7.49</formula>
    </cfRule>
  </conditionalFormatting>
  <conditionalFormatting sqref="AA3606">
    <cfRule type="cellIs" dxfId="1721" priority="1822" stopIfTrue="1" operator="lessThanOrEqual">
      <formula>3.5</formula>
    </cfRule>
    <cfRule type="cellIs" dxfId="1720" priority="1823" stopIfTrue="1" operator="greaterThanOrEqual">
      <formula>7.5</formula>
    </cfRule>
    <cfRule type="cellIs" dxfId="1719" priority="1824" stopIfTrue="1" operator="between">
      <formula>3.51</formula>
      <formula>7.49</formula>
    </cfRule>
  </conditionalFormatting>
  <conditionalFormatting sqref="AA3614">
    <cfRule type="cellIs" dxfId="1718" priority="1819" stopIfTrue="1" operator="lessThanOrEqual">
      <formula>3.5</formula>
    </cfRule>
    <cfRule type="cellIs" dxfId="1717" priority="1820" stopIfTrue="1" operator="greaterThanOrEqual">
      <formula>7.5</formula>
    </cfRule>
    <cfRule type="cellIs" dxfId="1716" priority="1821" stopIfTrue="1" operator="between">
      <formula>3.51</formula>
      <formula>7.49</formula>
    </cfRule>
  </conditionalFormatting>
  <conditionalFormatting sqref="AA3613">
    <cfRule type="cellIs" dxfId="1715" priority="1816" stopIfTrue="1" operator="lessThanOrEqual">
      <formula>3.5</formula>
    </cfRule>
    <cfRule type="cellIs" dxfId="1714" priority="1817" stopIfTrue="1" operator="greaterThanOrEqual">
      <formula>7.5</formula>
    </cfRule>
    <cfRule type="cellIs" dxfId="1713" priority="1818" stopIfTrue="1" operator="between">
      <formula>3.51</formula>
      <formula>7.49</formula>
    </cfRule>
  </conditionalFormatting>
  <conditionalFormatting sqref="AA3586">
    <cfRule type="cellIs" dxfId="1712" priority="1813" stopIfTrue="1" operator="lessThanOrEqual">
      <formula>3.5</formula>
    </cfRule>
    <cfRule type="cellIs" dxfId="1711" priority="1814" stopIfTrue="1" operator="greaterThanOrEqual">
      <formula>7.5</formula>
    </cfRule>
    <cfRule type="cellIs" dxfId="1710" priority="1815" stopIfTrue="1" operator="between">
      <formula>3.51</formula>
      <formula>7.49</formula>
    </cfRule>
  </conditionalFormatting>
  <conditionalFormatting sqref="AA3585">
    <cfRule type="cellIs" dxfId="1709" priority="1810" stopIfTrue="1" operator="lessThanOrEqual">
      <formula>3.5</formula>
    </cfRule>
    <cfRule type="cellIs" dxfId="1708" priority="1811" stopIfTrue="1" operator="greaterThanOrEqual">
      <formula>7.5</formula>
    </cfRule>
    <cfRule type="cellIs" dxfId="1707" priority="1812" stopIfTrue="1" operator="between">
      <formula>3.51</formula>
      <formula>7.49</formula>
    </cfRule>
  </conditionalFormatting>
  <conditionalFormatting sqref="AA3603">
    <cfRule type="cellIs" dxfId="1706" priority="1807" stopIfTrue="1" operator="lessThanOrEqual">
      <formula>3.5</formula>
    </cfRule>
    <cfRule type="cellIs" dxfId="1705" priority="1808" stopIfTrue="1" operator="greaterThanOrEqual">
      <formula>7.5</formula>
    </cfRule>
    <cfRule type="cellIs" dxfId="1704" priority="1809" stopIfTrue="1" operator="between">
      <formula>3.51</formula>
      <formula>7.49</formula>
    </cfRule>
  </conditionalFormatting>
  <conditionalFormatting sqref="AA3602">
    <cfRule type="cellIs" dxfId="1703" priority="1804" stopIfTrue="1" operator="lessThanOrEqual">
      <formula>3.5</formula>
    </cfRule>
    <cfRule type="cellIs" dxfId="1702" priority="1805" stopIfTrue="1" operator="greaterThanOrEqual">
      <formula>7.5</formula>
    </cfRule>
    <cfRule type="cellIs" dxfId="1701" priority="1806" stopIfTrue="1" operator="between">
      <formula>3.51</formula>
      <formula>7.49</formula>
    </cfRule>
  </conditionalFormatting>
  <conditionalFormatting sqref="AA3582">
    <cfRule type="cellIs" dxfId="1700" priority="1801" stopIfTrue="1" operator="lessThanOrEqual">
      <formula>3.5</formula>
    </cfRule>
    <cfRule type="cellIs" dxfId="1699" priority="1802" stopIfTrue="1" operator="greaterThanOrEqual">
      <formula>7.5</formula>
    </cfRule>
    <cfRule type="cellIs" dxfId="1698" priority="1803" stopIfTrue="1" operator="between">
      <formula>3.51</formula>
      <formula>7.49</formula>
    </cfRule>
  </conditionalFormatting>
  <conditionalFormatting sqref="AA3581">
    <cfRule type="cellIs" dxfId="1697" priority="1798" stopIfTrue="1" operator="lessThanOrEqual">
      <formula>3.5</formula>
    </cfRule>
    <cfRule type="cellIs" dxfId="1696" priority="1799" stopIfTrue="1" operator="greaterThanOrEqual">
      <formula>7.5</formula>
    </cfRule>
    <cfRule type="cellIs" dxfId="1695" priority="1800" stopIfTrue="1" operator="between">
      <formula>3.51</formula>
      <formula>7.49</formula>
    </cfRule>
  </conditionalFormatting>
  <conditionalFormatting sqref="AA3584">
    <cfRule type="cellIs" dxfId="1694" priority="1795" stopIfTrue="1" operator="lessThanOrEqual">
      <formula>3.5</formula>
    </cfRule>
    <cfRule type="cellIs" dxfId="1693" priority="1796" stopIfTrue="1" operator="greaterThanOrEqual">
      <formula>7.5</formula>
    </cfRule>
    <cfRule type="cellIs" dxfId="1692" priority="1797" stopIfTrue="1" operator="between">
      <formula>3.51</formula>
      <formula>7.49</formula>
    </cfRule>
  </conditionalFormatting>
  <conditionalFormatting sqref="AA3583">
    <cfRule type="cellIs" dxfId="1691" priority="1792" stopIfTrue="1" operator="lessThanOrEqual">
      <formula>3.5</formula>
    </cfRule>
    <cfRule type="cellIs" dxfId="1690" priority="1793" stopIfTrue="1" operator="greaterThanOrEqual">
      <formula>7.5</formula>
    </cfRule>
    <cfRule type="cellIs" dxfId="1689" priority="1794" stopIfTrue="1" operator="between">
      <formula>3.51</formula>
      <formula>7.49</formula>
    </cfRule>
  </conditionalFormatting>
  <conditionalFormatting sqref="AA3601">
    <cfRule type="cellIs" dxfId="1688" priority="1789" stopIfTrue="1" operator="lessThanOrEqual">
      <formula>3.5</formula>
    </cfRule>
    <cfRule type="cellIs" dxfId="1687" priority="1790" stopIfTrue="1" operator="greaterThanOrEqual">
      <formula>7.5</formula>
    </cfRule>
    <cfRule type="cellIs" dxfId="1686" priority="1791" stopIfTrue="1" operator="between">
      <formula>3.51</formula>
      <formula>7.49</formula>
    </cfRule>
  </conditionalFormatting>
  <conditionalFormatting sqref="AA3587">
    <cfRule type="cellIs" dxfId="1685" priority="1786" stopIfTrue="1" operator="lessThanOrEqual">
      <formula>3.5</formula>
    </cfRule>
    <cfRule type="cellIs" dxfId="1684" priority="1787" stopIfTrue="1" operator="greaterThanOrEqual">
      <formula>7.5</formula>
    </cfRule>
    <cfRule type="cellIs" dxfId="1683" priority="1788" stopIfTrue="1" operator="between">
      <formula>3.51</formula>
      <formula>7.49</formula>
    </cfRule>
  </conditionalFormatting>
  <conditionalFormatting sqref="AA3628">
    <cfRule type="cellIs" dxfId="1682" priority="1783" stopIfTrue="1" operator="lessThanOrEqual">
      <formula>3.5</formula>
    </cfRule>
    <cfRule type="cellIs" dxfId="1681" priority="1784" stopIfTrue="1" operator="greaterThanOrEqual">
      <formula>7.5</formula>
    </cfRule>
    <cfRule type="cellIs" dxfId="1680" priority="1785" stopIfTrue="1" operator="between">
      <formula>3.51</formula>
      <formula>7.49</formula>
    </cfRule>
  </conditionalFormatting>
  <conditionalFormatting sqref="AA3627">
    <cfRule type="cellIs" dxfId="1679" priority="1780" stopIfTrue="1" operator="lessThanOrEqual">
      <formula>3.5</formula>
    </cfRule>
    <cfRule type="cellIs" dxfId="1678" priority="1781" stopIfTrue="1" operator="greaterThanOrEqual">
      <formula>7.5</formula>
    </cfRule>
    <cfRule type="cellIs" dxfId="1677" priority="1782" stopIfTrue="1" operator="between">
      <formula>3.51</formula>
      <formula>7.49</formula>
    </cfRule>
  </conditionalFormatting>
  <conditionalFormatting sqref="AA3629">
    <cfRule type="cellIs" dxfId="1676" priority="1777" stopIfTrue="1" operator="lessThanOrEqual">
      <formula>3.5</formula>
    </cfRule>
    <cfRule type="cellIs" dxfId="1675" priority="1778" stopIfTrue="1" operator="greaterThanOrEqual">
      <formula>7.5</formula>
    </cfRule>
    <cfRule type="cellIs" dxfId="1674" priority="1779" stopIfTrue="1" operator="between">
      <formula>3.51</formula>
      <formula>7.49</formula>
    </cfRule>
  </conditionalFormatting>
  <conditionalFormatting sqref="AA3622">
    <cfRule type="cellIs" dxfId="1673" priority="1774" stopIfTrue="1" operator="lessThanOrEqual">
      <formula>3.5</formula>
    </cfRule>
    <cfRule type="cellIs" dxfId="1672" priority="1775" stopIfTrue="1" operator="greaterThanOrEqual">
      <formula>7.5</formula>
    </cfRule>
    <cfRule type="cellIs" dxfId="1671" priority="1776" stopIfTrue="1" operator="between">
      <formula>3.51</formula>
      <formula>7.49</formula>
    </cfRule>
  </conditionalFormatting>
  <conditionalFormatting sqref="AA3621">
    <cfRule type="cellIs" dxfId="1670" priority="1771" stopIfTrue="1" operator="lessThanOrEqual">
      <formula>3.5</formula>
    </cfRule>
    <cfRule type="cellIs" dxfId="1669" priority="1772" stopIfTrue="1" operator="greaterThanOrEqual">
      <formula>7.5</formula>
    </cfRule>
    <cfRule type="cellIs" dxfId="1668" priority="1773" stopIfTrue="1" operator="between">
      <formula>3.51</formula>
      <formula>7.49</formula>
    </cfRule>
  </conditionalFormatting>
  <conditionalFormatting sqref="AA3626">
    <cfRule type="cellIs" dxfId="1667" priority="1768" stopIfTrue="1" operator="lessThanOrEqual">
      <formula>3.5</formula>
    </cfRule>
    <cfRule type="cellIs" dxfId="1666" priority="1769" stopIfTrue="1" operator="greaterThanOrEqual">
      <formula>7.5</formula>
    </cfRule>
    <cfRule type="cellIs" dxfId="1665" priority="1770" stopIfTrue="1" operator="between">
      <formula>3.51</formula>
      <formula>7.49</formula>
    </cfRule>
  </conditionalFormatting>
  <conditionalFormatting sqref="AA3625">
    <cfRule type="cellIs" dxfId="1664" priority="1765" stopIfTrue="1" operator="lessThanOrEqual">
      <formula>3.5</formula>
    </cfRule>
    <cfRule type="cellIs" dxfId="1663" priority="1766" stopIfTrue="1" operator="greaterThanOrEqual">
      <formula>7.5</formula>
    </cfRule>
    <cfRule type="cellIs" dxfId="1662" priority="1767" stopIfTrue="1" operator="between">
      <formula>3.51</formula>
      <formula>7.49</formula>
    </cfRule>
  </conditionalFormatting>
  <conditionalFormatting sqref="AA3618">
    <cfRule type="cellIs" dxfId="1661" priority="1762" stopIfTrue="1" operator="lessThanOrEqual">
      <formula>3.5</formula>
    </cfRule>
    <cfRule type="cellIs" dxfId="1660" priority="1763" stopIfTrue="1" operator="greaterThanOrEqual">
      <formula>7.5</formula>
    </cfRule>
    <cfRule type="cellIs" dxfId="1659" priority="1764" stopIfTrue="1" operator="between">
      <formula>3.51</formula>
      <formula>7.49</formula>
    </cfRule>
  </conditionalFormatting>
  <conditionalFormatting sqref="AA3617">
    <cfRule type="cellIs" dxfId="1658" priority="1759" stopIfTrue="1" operator="lessThanOrEqual">
      <formula>3.5</formula>
    </cfRule>
    <cfRule type="cellIs" dxfId="1657" priority="1760" stopIfTrue="1" operator="greaterThanOrEqual">
      <formula>7.5</formula>
    </cfRule>
    <cfRule type="cellIs" dxfId="1656" priority="1761" stopIfTrue="1" operator="between">
      <formula>3.51</formula>
      <formula>7.49</formula>
    </cfRule>
  </conditionalFormatting>
  <conditionalFormatting sqref="AA3620">
    <cfRule type="cellIs" dxfId="1655" priority="1756" stopIfTrue="1" operator="lessThanOrEqual">
      <formula>3.5</formula>
    </cfRule>
    <cfRule type="cellIs" dxfId="1654" priority="1757" stopIfTrue="1" operator="greaterThanOrEqual">
      <formula>7.5</formula>
    </cfRule>
    <cfRule type="cellIs" dxfId="1653" priority="1758" stopIfTrue="1" operator="between">
      <formula>3.51</formula>
      <formula>7.49</formula>
    </cfRule>
  </conditionalFormatting>
  <conditionalFormatting sqref="AA3619">
    <cfRule type="cellIs" dxfId="1652" priority="1753" stopIfTrue="1" operator="lessThanOrEqual">
      <formula>3.5</formula>
    </cfRule>
    <cfRule type="cellIs" dxfId="1651" priority="1754" stopIfTrue="1" operator="greaterThanOrEqual">
      <formula>7.5</formula>
    </cfRule>
    <cfRule type="cellIs" dxfId="1650" priority="1755" stopIfTrue="1" operator="between">
      <formula>3.51</formula>
      <formula>7.49</formula>
    </cfRule>
  </conditionalFormatting>
  <conditionalFormatting sqref="AA3624">
    <cfRule type="cellIs" dxfId="1649" priority="1750" stopIfTrue="1" operator="lessThanOrEqual">
      <formula>3.5</formula>
    </cfRule>
    <cfRule type="cellIs" dxfId="1648" priority="1751" stopIfTrue="1" operator="greaterThanOrEqual">
      <formula>7.5</formula>
    </cfRule>
    <cfRule type="cellIs" dxfId="1647" priority="1752" stopIfTrue="1" operator="between">
      <formula>3.51</formula>
      <formula>7.49</formula>
    </cfRule>
  </conditionalFormatting>
  <conditionalFormatting sqref="AA3623">
    <cfRule type="cellIs" dxfId="1646" priority="1747" stopIfTrue="1" operator="lessThanOrEqual">
      <formula>3.5</formula>
    </cfRule>
    <cfRule type="cellIs" dxfId="1645" priority="1748" stopIfTrue="1" operator="greaterThanOrEqual">
      <formula>7.5</formula>
    </cfRule>
    <cfRule type="cellIs" dxfId="1644" priority="1749" stopIfTrue="1" operator="between">
      <formula>3.51</formula>
      <formula>7.49</formula>
    </cfRule>
  </conditionalFormatting>
  <conditionalFormatting sqref="AA3692">
    <cfRule type="cellIs" dxfId="1643" priority="1693" stopIfTrue="1" operator="lessThanOrEqual">
      <formula>3.5</formula>
    </cfRule>
    <cfRule type="cellIs" dxfId="1642" priority="1694" stopIfTrue="1" operator="greaterThanOrEqual">
      <formula>7.5</formula>
    </cfRule>
    <cfRule type="cellIs" dxfId="1641" priority="1695" stopIfTrue="1" operator="between">
      <formula>3.51</formula>
      <formula>7.49</formula>
    </cfRule>
  </conditionalFormatting>
  <conditionalFormatting sqref="AA3691">
    <cfRule type="cellIs" dxfId="1640" priority="1690" stopIfTrue="1" operator="lessThanOrEqual">
      <formula>3.5</formula>
    </cfRule>
    <cfRule type="cellIs" dxfId="1639" priority="1691" stopIfTrue="1" operator="greaterThanOrEqual">
      <formula>7.5</formula>
    </cfRule>
    <cfRule type="cellIs" dxfId="1638" priority="1692" stopIfTrue="1" operator="between">
      <formula>3.51</formula>
      <formula>7.49</formula>
    </cfRule>
  </conditionalFormatting>
  <conditionalFormatting sqref="AA3690">
    <cfRule type="cellIs" dxfId="1637" priority="1687" stopIfTrue="1" operator="lessThanOrEqual">
      <formula>3.5</formula>
    </cfRule>
    <cfRule type="cellIs" dxfId="1636" priority="1688" stopIfTrue="1" operator="greaterThanOrEqual">
      <formula>7.5</formula>
    </cfRule>
    <cfRule type="cellIs" dxfId="1635" priority="1689" stopIfTrue="1" operator="between">
      <formula>3.51</formula>
      <formula>7.49</formula>
    </cfRule>
  </conditionalFormatting>
  <conditionalFormatting sqref="AA3689">
    <cfRule type="cellIs" dxfId="1634" priority="1684" stopIfTrue="1" operator="lessThanOrEqual">
      <formula>3.5</formula>
    </cfRule>
    <cfRule type="cellIs" dxfId="1633" priority="1685" stopIfTrue="1" operator="greaterThanOrEqual">
      <formula>7.5</formula>
    </cfRule>
    <cfRule type="cellIs" dxfId="1632" priority="1686" stopIfTrue="1" operator="between">
      <formula>3.51</formula>
      <formula>7.49</formula>
    </cfRule>
  </conditionalFormatting>
  <conditionalFormatting sqref="AA3688">
    <cfRule type="cellIs" dxfId="1631" priority="1681" stopIfTrue="1" operator="lessThanOrEqual">
      <formula>3.5</formula>
    </cfRule>
    <cfRule type="cellIs" dxfId="1630" priority="1682" stopIfTrue="1" operator="greaterThanOrEqual">
      <formula>7.5</formula>
    </cfRule>
    <cfRule type="cellIs" dxfId="1629" priority="1683" stopIfTrue="1" operator="between">
      <formula>3.51</formula>
      <formula>7.49</formula>
    </cfRule>
  </conditionalFormatting>
  <conditionalFormatting sqref="AA3687">
    <cfRule type="cellIs" dxfId="1628" priority="1678" stopIfTrue="1" operator="lessThanOrEqual">
      <formula>3.5</formula>
    </cfRule>
    <cfRule type="cellIs" dxfId="1627" priority="1679" stopIfTrue="1" operator="greaterThanOrEqual">
      <formula>7.5</formula>
    </cfRule>
    <cfRule type="cellIs" dxfId="1626" priority="1680" stopIfTrue="1" operator="between">
      <formula>3.51</formula>
      <formula>7.49</formula>
    </cfRule>
  </conditionalFormatting>
  <conditionalFormatting sqref="AA3686">
    <cfRule type="cellIs" dxfId="1625" priority="1675" stopIfTrue="1" operator="lessThanOrEqual">
      <formula>3.5</formula>
    </cfRule>
    <cfRule type="cellIs" dxfId="1624" priority="1676" stopIfTrue="1" operator="greaterThanOrEqual">
      <formula>7.5</formula>
    </cfRule>
    <cfRule type="cellIs" dxfId="1623" priority="1677" stopIfTrue="1" operator="between">
      <formula>3.51</formula>
      <formula>7.49</formula>
    </cfRule>
  </conditionalFormatting>
  <conditionalFormatting sqref="AA3685">
    <cfRule type="cellIs" dxfId="1622" priority="1672" stopIfTrue="1" operator="lessThanOrEqual">
      <formula>3.5</formula>
    </cfRule>
    <cfRule type="cellIs" dxfId="1621" priority="1673" stopIfTrue="1" operator="greaterThanOrEqual">
      <formula>7.5</formula>
    </cfRule>
    <cfRule type="cellIs" dxfId="1620" priority="1674" stopIfTrue="1" operator="between">
      <formula>3.51</formula>
      <formula>7.49</formula>
    </cfRule>
  </conditionalFormatting>
  <conditionalFormatting sqref="AA3684">
    <cfRule type="cellIs" dxfId="1619" priority="1669" stopIfTrue="1" operator="lessThanOrEqual">
      <formula>3.5</formula>
    </cfRule>
    <cfRule type="cellIs" dxfId="1618" priority="1670" stopIfTrue="1" operator="greaterThanOrEqual">
      <formula>7.5</formula>
    </cfRule>
    <cfRule type="cellIs" dxfId="1617" priority="1671" stopIfTrue="1" operator="between">
      <formula>3.51</formula>
      <formula>7.49</formula>
    </cfRule>
  </conditionalFormatting>
  <conditionalFormatting sqref="AA3683">
    <cfRule type="cellIs" dxfId="1616" priority="1666" stopIfTrue="1" operator="lessThanOrEqual">
      <formula>3.5</formula>
    </cfRule>
    <cfRule type="cellIs" dxfId="1615" priority="1667" stopIfTrue="1" operator="greaterThanOrEqual">
      <formula>7.5</formula>
    </cfRule>
    <cfRule type="cellIs" dxfId="1614" priority="1668" stopIfTrue="1" operator="between">
      <formula>3.51</formula>
      <formula>7.49</formula>
    </cfRule>
  </conditionalFormatting>
  <conditionalFormatting sqref="AA3682">
    <cfRule type="cellIs" dxfId="1613" priority="1663" stopIfTrue="1" operator="lessThanOrEqual">
      <formula>3.5</formula>
    </cfRule>
    <cfRule type="cellIs" dxfId="1612" priority="1664" stopIfTrue="1" operator="greaterThanOrEqual">
      <formula>7.5</formula>
    </cfRule>
    <cfRule type="cellIs" dxfId="1611" priority="1665" stopIfTrue="1" operator="between">
      <formula>3.51</formula>
      <formula>7.49</formula>
    </cfRule>
  </conditionalFormatting>
  <conditionalFormatting sqref="AA3681">
    <cfRule type="cellIs" dxfId="1610" priority="1660" stopIfTrue="1" operator="lessThanOrEqual">
      <formula>3.5</formula>
    </cfRule>
    <cfRule type="cellIs" dxfId="1609" priority="1661" stopIfTrue="1" operator="greaterThanOrEqual">
      <formula>7.5</formula>
    </cfRule>
    <cfRule type="cellIs" dxfId="1608" priority="1662" stopIfTrue="1" operator="between">
      <formula>3.51</formula>
      <formula>7.49</formula>
    </cfRule>
  </conditionalFormatting>
  <conditionalFormatting sqref="AA3680">
    <cfRule type="cellIs" dxfId="1607" priority="1657" stopIfTrue="1" operator="lessThanOrEqual">
      <formula>3.5</formula>
    </cfRule>
    <cfRule type="cellIs" dxfId="1606" priority="1658" stopIfTrue="1" operator="greaterThanOrEqual">
      <formula>7.5</formula>
    </cfRule>
    <cfRule type="cellIs" dxfId="1605" priority="1659" stopIfTrue="1" operator="between">
      <formula>3.51</formula>
      <formula>7.49</formula>
    </cfRule>
  </conditionalFormatting>
  <conditionalFormatting sqref="AA3679">
    <cfRule type="cellIs" dxfId="1604" priority="1654" stopIfTrue="1" operator="lessThanOrEqual">
      <formula>3.5</formula>
    </cfRule>
    <cfRule type="cellIs" dxfId="1603" priority="1655" stopIfTrue="1" operator="greaterThanOrEqual">
      <formula>7.5</formula>
    </cfRule>
    <cfRule type="cellIs" dxfId="1602" priority="1656" stopIfTrue="1" operator="between">
      <formula>3.51</formula>
      <formula>7.49</formula>
    </cfRule>
  </conditionalFormatting>
  <conditionalFormatting sqref="AA3678">
    <cfRule type="cellIs" dxfId="1601" priority="1651" stopIfTrue="1" operator="lessThanOrEqual">
      <formula>3.5</formula>
    </cfRule>
    <cfRule type="cellIs" dxfId="1600" priority="1652" stopIfTrue="1" operator="greaterThanOrEqual">
      <formula>7.5</formula>
    </cfRule>
    <cfRule type="cellIs" dxfId="1599" priority="1653" stopIfTrue="1" operator="between">
      <formula>3.51</formula>
      <formula>7.49</formula>
    </cfRule>
  </conditionalFormatting>
  <conditionalFormatting sqref="AA3677">
    <cfRule type="cellIs" dxfId="1598" priority="1648" stopIfTrue="1" operator="lessThanOrEqual">
      <formula>3.5</formula>
    </cfRule>
    <cfRule type="cellIs" dxfId="1597" priority="1649" stopIfTrue="1" operator="greaterThanOrEqual">
      <formula>7.5</formula>
    </cfRule>
    <cfRule type="cellIs" dxfId="1596" priority="1650" stopIfTrue="1" operator="between">
      <formula>3.51</formula>
      <formula>7.49</formula>
    </cfRule>
  </conditionalFormatting>
  <conditionalFormatting sqref="AA3676">
    <cfRule type="cellIs" dxfId="1595" priority="1645" stopIfTrue="1" operator="lessThanOrEqual">
      <formula>3.5</formula>
    </cfRule>
    <cfRule type="cellIs" dxfId="1594" priority="1646" stopIfTrue="1" operator="greaterThanOrEqual">
      <formula>7.5</formula>
    </cfRule>
    <cfRule type="cellIs" dxfId="1593" priority="1647" stopIfTrue="1" operator="between">
      <formula>3.51</formula>
      <formula>7.49</formula>
    </cfRule>
  </conditionalFormatting>
  <conditionalFormatting sqref="AA3674">
    <cfRule type="cellIs" dxfId="1592" priority="1642" stopIfTrue="1" operator="lessThanOrEqual">
      <formula>3.5</formula>
    </cfRule>
    <cfRule type="cellIs" dxfId="1591" priority="1643" stopIfTrue="1" operator="greaterThanOrEqual">
      <formula>7.5</formula>
    </cfRule>
    <cfRule type="cellIs" dxfId="1590" priority="1644" stopIfTrue="1" operator="between">
      <formula>3.51</formula>
      <formula>7.49</formula>
    </cfRule>
  </conditionalFormatting>
  <conditionalFormatting sqref="AA3672">
    <cfRule type="cellIs" dxfId="1589" priority="1636" stopIfTrue="1" operator="lessThanOrEqual">
      <formula>3.5</formula>
    </cfRule>
    <cfRule type="cellIs" dxfId="1588" priority="1637" stopIfTrue="1" operator="greaterThanOrEqual">
      <formula>7.5</formula>
    </cfRule>
    <cfRule type="cellIs" dxfId="1587" priority="1638" stopIfTrue="1" operator="between">
      <formula>3.51</formula>
      <formula>7.49</formula>
    </cfRule>
  </conditionalFormatting>
  <conditionalFormatting sqref="AA3673">
    <cfRule type="cellIs" dxfId="1586" priority="1639" stopIfTrue="1" operator="lessThanOrEqual">
      <formula>3.5</formula>
    </cfRule>
    <cfRule type="cellIs" dxfId="1585" priority="1640" stopIfTrue="1" operator="greaterThanOrEqual">
      <formula>7.5</formula>
    </cfRule>
    <cfRule type="cellIs" dxfId="1584" priority="1641" stopIfTrue="1" operator="between">
      <formula>3.51</formula>
      <formula>7.49</formula>
    </cfRule>
  </conditionalFormatting>
  <conditionalFormatting sqref="AA3671">
    <cfRule type="cellIs" dxfId="1583" priority="1633" stopIfTrue="1" operator="lessThanOrEqual">
      <formula>3.5</formula>
    </cfRule>
    <cfRule type="cellIs" dxfId="1582" priority="1634" stopIfTrue="1" operator="greaterThanOrEqual">
      <formula>7.5</formula>
    </cfRule>
    <cfRule type="cellIs" dxfId="1581" priority="1635" stopIfTrue="1" operator="between">
      <formula>3.51</formula>
      <formula>7.49</formula>
    </cfRule>
  </conditionalFormatting>
  <conditionalFormatting sqref="AA3668">
    <cfRule type="cellIs" dxfId="1580" priority="1630" stopIfTrue="1" operator="lessThanOrEqual">
      <formula>3.5</formula>
    </cfRule>
    <cfRule type="cellIs" dxfId="1579" priority="1631" stopIfTrue="1" operator="greaterThanOrEqual">
      <formula>7.5</formula>
    </cfRule>
    <cfRule type="cellIs" dxfId="1578" priority="1632" stopIfTrue="1" operator="between">
      <formula>3.51</formula>
      <formula>7.49</formula>
    </cfRule>
  </conditionalFormatting>
  <conditionalFormatting sqref="AA3664">
    <cfRule type="cellIs" dxfId="1577" priority="1618" stopIfTrue="1" operator="lessThanOrEqual">
      <formula>3.5</formula>
    </cfRule>
    <cfRule type="cellIs" dxfId="1576" priority="1619" stopIfTrue="1" operator="greaterThanOrEqual">
      <formula>7.5</formula>
    </cfRule>
    <cfRule type="cellIs" dxfId="1575" priority="1620" stopIfTrue="1" operator="between">
      <formula>3.51</formula>
      <formula>7.49</formula>
    </cfRule>
  </conditionalFormatting>
  <conditionalFormatting sqref="AA3667">
    <cfRule type="cellIs" dxfId="1574" priority="1627" stopIfTrue="1" operator="lessThanOrEqual">
      <formula>3.5</formula>
    </cfRule>
    <cfRule type="cellIs" dxfId="1573" priority="1628" stopIfTrue="1" operator="greaterThanOrEqual">
      <formula>7.5</formula>
    </cfRule>
    <cfRule type="cellIs" dxfId="1572" priority="1629" stopIfTrue="1" operator="between">
      <formula>3.51</formula>
      <formula>7.49</formula>
    </cfRule>
  </conditionalFormatting>
  <conditionalFormatting sqref="AA3663">
    <cfRule type="cellIs" dxfId="1571" priority="1615" stopIfTrue="1" operator="lessThanOrEqual">
      <formula>3.5</formula>
    </cfRule>
    <cfRule type="cellIs" dxfId="1570" priority="1616" stopIfTrue="1" operator="greaterThanOrEqual">
      <formula>7.5</formula>
    </cfRule>
    <cfRule type="cellIs" dxfId="1569" priority="1617" stopIfTrue="1" operator="between">
      <formula>3.51</formula>
      <formula>7.49</formula>
    </cfRule>
  </conditionalFormatting>
  <conditionalFormatting sqref="AA3666">
    <cfRule type="cellIs" dxfId="1568" priority="1624" stopIfTrue="1" operator="lessThanOrEqual">
      <formula>3.5</formula>
    </cfRule>
    <cfRule type="cellIs" dxfId="1567" priority="1625" stopIfTrue="1" operator="greaterThanOrEqual">
      <formula>7.5</formula>
    </cfRule>
    <cfRule type="cellIs" dxfId="1566" priority="1626" stopIfTrue="1" operator="between">
      <formula>3.51</formula>
      <formula>7.49</formula>
    </cfRule>
  </conditionalFormatting>
  <conditionalFormatting sqref="AA3662">
    <cfRule type="cellIs" dxfId="1565" priority="1612" stopIfTrue="1" operator="lessThanOrEqual">
      <formula>3.5</formula>
    </cfRule>
    <cfRule type="cellIs" dxfId="1564" priority="1613" stopIfTrue="1" operator="greaterThanOrEqual">
      <formula>7.5</formula>
    </cfRule>
    <cfRule type="cellIs" dxfId="1563" priority="1614" stopIfTrue="1" operator="between">
      <formula>3.51</formula>
      <formula>7.49</formula>
    </cfRule>
  </conditionalFormatting>
  <conditionalFormatting sqref="AA3665">
    <cfRule type="cellIs" dxfId="1562" priority="1621" stopIfTrue="1" operator="lessThanOrEqual">
      <formula>3.5</formula>
    </cfRule>
    <cfRule type="cellIs" dxfId="1561" priority="1622" stopIfTrue="1" operator="greaterThanOrEqual">
      <formula>7.5</formula>
    </cfRule>
    <cfRule type="cellIs" dxfId="1560" priority="1623" stopIfTrue="1" operator="between">
      <formula>3.51</formula>
      <formula>7.49</formula>
    </cfRule>
  </conditionalFormatting>
  <conditionalFormatting sqref="AA3661">
    <cfRule type="cellIs" dxfId="1559" priority="1609" stopIfTrue="1" operator="lessThanOrEqual">
      <formula>3.5</formula>
    </cfRule>
    <cfRule type="cellIs" dxfId="1558" priority="1610" stopIfTrue="1" operator="greaterThanOrEqual">
      <formula>7.5</formula>
    </cfRule>
    <cfRule type="cellIs" dxfId="1557" priority="1611" stopIfTrue="1" operator="between">
      <formula>3.51</formula>
      <formula>7.49</formula>
    </cfRule>
  </conditionalFormatting>
  <conditionalFormatting sqref="AA3660">
    <cfRule type="cellIs" dxfId="1556" priority="1606" stopIfTrue="1" operator="lessThanOrEqual">
      <formula>3.5</formula>
    </cfRule>
    <cfRule type="cellIs" dxfId="1555" priority="1607" stopIfTrue="1" operator="greaterThanOrEqual">
      <formula>7.5</formula>
    </cfRule>
    <cfRule type="cellIs" dxfId="1554" priority="1608" stopIfTrue="1" operator="between">
      <formula>3.51</formula>
      <formula>7.49</formula>
    </cfRule>
  </conditionalFormatting>
  <conditionalFormatting sqref="AA3659">
    <cfRule type="cellIs" dxfId="1553" priority="1603" stopIfTrue="1" operator="lessThanOrEqual">
      <formula>3.5</formula>
    </cfRule>
    <cfRule type="cellIs" dxfId="1552" priority="1604" stopIfTrue="1" operator="greaterThanOrEqual">
      <formula>7.5</formula>
    </cfRule>
    <cfRule type="cellIs" dxfId="1551" priority="1605" stopIfTrue="1" operator="between">
      <formula>3.51</formula>
      <formula>7.49</formula>
    </cfRule>
  </conditionalFormatting>
  <conditionalFormatting sqref="AA3658">
    <cfRule type="cellIs" dxfId="1550" priority="1600" stopIfTrue="1" operator="lessThanOrEqual">
      <formula>3.5</formula>
    </cfRule>
    <cfRule type="cellIs" dxfId="1549" priority="1601" stopIfTrue="1" operator="greaterThanOrEqual">
      <formula>7.5</formula>
    </cfRule>
    <cfRule type="cellIs" dxfId="1548" priority="1602" stopIfTrue="1" operator="between">
      <formula>3.51</formula>
      <formula>7.49</formula>
    </cfRule>
  </conditionalFormatting>
  <conditionalFormatting sqref="AA3657">
    <cfRule type="cellIs" dxfId="1547" priority="1597" stopIfTrue="1" operator="lessThanOrEqual">
      <formula>3.5</formula>
    </cfRule>
    <cfRule type="cellIs" dxfId="1546" priority="1598" stopIfTrue="1" operator="greaterThanOrEqual">
      <formula>7.5</formula>
    </cfRule>
    <cfRule type="cellIs" dxfId="1545" priority="1599" stopIfTrue="1" operator="between">
      <formula>3.51</formula>
      <formula>7.49</formula>
    </cfRule>
  </conditionalFormatting>
  <conditionalFormatting sqref="AA3656">
    <cfRule type="cellIs" dxfId="1544" priority="1594" stopIfTrue="1" operator="lessThanOrEqual">
      <formula>3.5</formula>
    </cfRule>
    <cfRule type="cellIs" dxfId="1543" priority="1595" stopIfTrue="1" operator="greaterThanOrEqual">
      <formula>7.5</formula>
    </cfRule>
    <cfRule type="cellIs" dxfId="1542" priority="1596" stopIfTrue="1" operator="between">
      <formula>3.51</formula>
      <formula>7.49</formula>
    </cfRule>
  </conditionalFormatting>
  <conditionalFormatting sqref="AA3655">
    <cfRule type="cellIs" dxfId="1541" priority="1591" stopIfTrue="1" operator="lessThanOrEqual">
      <formula>3.5</formula>
    </cfRule>
    <cfRule type="cellIs" dxfId="1540" priority="1592" stopIfTrue="1" operator="greaterThanOrEqual">
      <formula>7.5</formula>
    </cfRule>
    <cfRule type="cellIs" dxfId="1539" priority="1593" stopIfTrue="1" operator="between">
      <formula>3.51</formula>
      <formula>7.49</formula>
    </cfRule>
  </conditionalFormatting>
  <conditionalFormatting sqref="AA3654">
    <cfRule type="cellIs" dxfId="1538" priority="1588" stopIfTrue="1" operator="lessThanOrEqual">
      <formula>3.5</formula>
    </cfRule>
    <cfRule type="cellIs" dxfId="1537" priority="1589" stopIfTrue="1" operator="greaterThanOrEqual">
      <formula>7.5</formula>
    </cfRule>
    <cfRule type="cellIs" dxfId="1536" priority="1590" stopIfTrue="1" operator="between">
      <formula>3.51</formula>
      <formula>7.49</formula>
    </cfRule>
  </conditionalFormatting>
  <conditionalFormatting sqref="AA3653">
    <cfRule type="cellIs" dxfId="1535" priority="1585" stopIfTrue="1" operator="lessThanOrEqual">
      <formula>3.5</formula>
    </cfRule>
    <cfRule type="cellIs" dxfId="1534" priority="1586" stopIfTrue="1" operator="greaterThanOrEqual">
      <formula>7.5</formula>
    </cfRule>
    <cfRule type="cellIs" dxfId="1533" priority="1587" stopIfTrue="1" operator="between">
      <formula>3.51</formula>
      <formula>7.49</formula>
    </cfRule>
  </conditionalFormatting>
  <conditionalFormatting sqref="AA3651">
    <cfRule type="cellIs" dxfId="1532" priority="1579" stopIfTrue="1" operator="lessThanOrEqual">
      <formula>3.5</formula>
    </cfRule>
    <cfRule type="cellIs" dxfId="1531" priority="1580" stopIfTrue="1" operator="greaterThanOrEqual">
      <formula>7.5</formula>
    </cfRule>
    <cfRule type="cellIs" dxfId="1530" priority="1581" stopIfTrue="1" operator="between">
      <formula>3.51</formula>
      <formula>7.49</formula>
    </cfRule>
  </conditionalFormatting>
  <conditionalFormatting sqref="AA3652">
    <cfRule type="cellIs" dxfId="1529" priority="1582" stopIfTrue="1" operator="lessThanOrEqual">
      <formula>3.5</formula>
    </cfRule>
    <cfRule type="cellIs" dxfId="1528" priority="1583" stopIfTrue="1" operator="greaterThanOrEqual">
      <formula>7.5</formula>
    </cfRule>
    <cfRule type="cellIs" dxfId="1527" priority="1584" stopIfTrue="1" operator="between">
      <formula>3.51</formula>
      <formula>7.49</formula>
    </cfRule>
  </conditionalFormatting>
  <conditionalFormatting sqref="AA3650">
    <cfRule type="cellIs" dxfId="1526" priority="1576" stopIfTrue="1" operator="lessThanOrEqual">
      <formula>3.5</formula>
    </cfRule>
    <cfRule type="cellIs" dxfId="1525" priority="1577" stopIfTrue="1" operator="greaterThanOrEqual">
      <formula>7.5</formula>
    </cfRule>
    <cfRule type="cellIs" dxfId="1524" priority="1578" stopIfTrue="1" operator="between">
      <formula>3.51</formula>
      <formula>7.49</formula>
    </cfRule>
  </conditionalFormatting>
  <conditionalFormatting sqref="AA3649">
    <cfRule type="cellIs" dxfId="1523" priority="1573" stopIfTrue="1" operator="lessThanOrEqual">
      <formula>3.5</formula>
    </cfRule>
    <cfRule type="cellIs" dxfId="1522" priority="1574" stopIfTrue="1" operator="greaterThanOrEqual">
      <formula>7.5</formula>
    </cfRule>
    <cfRule type="cellIs" dxfId="1521" priority="1575" stopIfTrue="1" operator="between">
      <formula>3.51</formula>
      <formula>7.49</formula>
    </cfRule>
  </conditionalFormatting>
  <conditionalFormatting sqref="AA3643">
    <cfRule type="cellIs" dxfId="1520" priority="1555" stopIfTrue="1" operator="lessThanOrEqual">
      <formula>3.5</formula>
    </cfRule>
    <cfRule type="cellIs" dxfId="1519" priority="1556" stopIfTrue="1" operator="greaterThanOrEqual">
      <formula>7.5</formula>
    </cfRule>
    <cfRule type="cellIs" dxfId="1518" priority="1557" stopIfTrue="1" operator="between">
      <formula>3.51</formula>
      <formula>7.49</formula>
    </cfRule>
  </conditionalFormatting>
  <conditionalFormatting sqref="AA3648">
    <cfRule type="cellIs" dxfId="1517" priority="1570" stopIfTrue="1" operator="lessThanOrEqual">
      <formula>3.5</formula>
    </cfRule>
    <cfRule type="cellIs" dxfId="1516" priority="1571" stopIfTrue="1" operator="greaterThanOrEqual">
      <formula>7.5</formula>
    </cfRule>
    <cfRule type="cellIs" dxfId="1515" priority="1572" stopIfTrue="1" operator="between">
      <formula>3.51</formula>
      <formula>7.49</formula>
    </cfRule>
  </conditionalFormatting>
  <conditionalFormatting sqref="AA649">
    <cfRule type="cellIs" dxfId="1514" priority="1552" stopIfTrue="1" operator="lessThanOrEqual">
      <formula>3.5</formula>
    </cfRule>
    <cfRule type="cellIs" dxfId="1513" priority="1553" stopIfTrue="1" operator="greaterThanOrEqual">
      <formula>7.5</formula>
    </cfRule>
    <cfRule type="cellIs" dxfId="1512" priority="1554" stopIfTrue="1" operator="between">
      <formula>3.51</formula>
      <formula>7.49</formula>
    </cfRule>
  </conditionalFormatting>
  <conditionalFormatting sqref="AA3647">
    <cfRule type="cellIs" dxfId="1511" priority="1567" stopIfTrue="1" operator="lessThanOrEqual">
      <formula>3.5</formula>
    </cfRule>
    <cfRule type="cellIs" dxfId="1510" priority="1568" stopIfTrue="1" operator="greaterThanOrEqual">
      <formula>7.5</formula>
    </cfRule>
    <cfRule type="cellIs" dxfId="1509" priority="1569" stopIfTrue="1" operator="between">
      <formula>3.51</formula>
      <formula>7.49</formula>
    </cfRule>
  </conditionalFormatting>
  <conditionalFormatting sqref="AA2665">
    <cfRule type="cellIs" dxfId="1508" priority="1549" stopIfTrue="1" operator="lessThanOrEqual">
      <formula>3.5</formula>
    </cfRule>
    <cfRule type="cellIs" dxfId="1507" priority="1550" stopIfTrue="1" operator="greaterThanOrEqual">
      <formula>7.5</formula>
    </cfRule>
    <cfRule type="cellIs" dxfId="1506" priority="1551" stopIfTrue="1" operator="between">
      <formula>3.51</formula>
      <formula>7.49</formula>
    </cfRule>
  </conditionalFormatting>
  <conditionalFormatting sqref="AA3646">
    <cfRule type="cellIs" dxfId="1505" priority="1564" stopIfTrue="1" operator="lessThanOrEqual">
      <formula>3.5</formula>
    </cfRule>
    <cfRule type="cellIs" dxfId="1504" priority="1565" stopIfTrue="1" operator="greaterThanOrEqual">
      <formula>7.5</formula>
    </cfRule>
    <cfRule type="cellIs" dxfId="1503" priority="1566" stopIfTrue="1" operator="between">
      <formula>3.51</formula>
      <formula>7.49</formula>
    </cfRule>
  </conditionalFormatting>
  <conditionalFormatting sqref="AA2694">
    <cfRule type="cellIs" dxfId="1502" priority="1546" stopIfTrue="1" operator="lessThanOrEqual">
      <formula>3.5</formula>
    </cfRule>
    <cfRule type="cellIs" dxfId="1501" priority="1547" stopIfTrue="1" operator="greaterThanOrEqual">
      <formula>7.5</formula>
    </cfRule>
    <cfRule type="cellIs" dxfId="1500" priority="1548" stopIfTrue="1" operator="between">
      <formula>3.51</formula>
      <formula>7.49</formula>
    </cfRule>
  </conditionalFormatting>
  <conditionalFormatting sqref="AA3645">
    <cfRule type="cellIs" dxfId="1499" priority="1561" stopIfTrue="1" operator="lessThanOrEqual">
      <formula>3.5</formula>
    </cfRule>
    <cfRule type="cellIs" dxfId="1498" priority="1562" stopIfTrue="1" operator="greaterThanOrEqual">
      <formula>7.5</formula>
    </cfRule>
    <cfRule type="cellIs" dxfId="1497" priority="1563" stopIfTrue="1" operator="between">
      <formula>3.51</formula>
      <formula>7.49</formula>
    </cfRule>
  </conditionalFormatting>
  <conditionalFormatting sqref="AA2698">
    <cfRule type="cellIs" dxfId="1496" priority="1543" stopIfTrue="1" operator="lessThanOrEqual">
      <formula>3.5</formula>
    </cfRule>
    <cfRule type="cellIs" dxfId="1495" priority="1544" stopIfTrue="1" operator="greaterThanOrEqual">
      <formula>7.5</formula>
    </cfRule>
    <cfRule type="cellIs" dxfId="1494" priority="1545" stopIfTrue="1" operator="between">
      <formula>3.51</formula>
      <formula>7.49</formula>
    </cfRule>
  </conditionalFormatting>
  <conditionalFormatting sqref="AA3644">
    <cfRule type="cellIs" dxfId="1493" priority="1558" stopIfTrue="1" operator="lessThanOrEqual">
      <formula>3.5</formula>
    </cfRule>
    <cfRule type="cellIs" dxfId="1492" priority="1559" stopIfTrue="1" operator="greaterThanOrEqual">
      <formula>7.5</formula>
    </cfRule>
    <cfRule type="cellIs" dxfId="1491" priority="1560" stopIfTrue="1" operator="between">
      <formula>3.51</formula>
      <formula>7.49</formula>
    </cfRule>
  </conditionalFormatting>
  <conditionalFormatting sqref="AA2701">
    <cfRule type="cellIs" dxfId="1490" priority="1540" stopIfTrue="1" operator="lessThanOrEqual">
      <formula>3.5</formula>
    </cfRule>
    <cfRule type="cellIs" dxfId="1489" priority="1541" stopIfTrue="1" operator="greaterThanOrEqual">
      <formula>7.5</formula>
    </cfRule>
    <cfRule type="cellIs" dxfId="1488" priority="1542" stopIfTrue="1" operator="between">
      <formula>3.51</formula>
      <formula>7.49</formula>
    </cfRule>
  </conditionalFormatting>
  <conditionalFormatting sqref="AA2729">
    <cfRule type="cellIs" dxfId="1487" priority="1519" stopIfTrue="1" operator="lessThanOrEqual">
      <formula>3.5</formula>
    </cfRule>
    <cfRule type="cellIs" dxfId="1486" priority="1520" stopIfTrue="1" operator="greaterThanOrEqual">
      <formula>7.5</formula>
    </cfRule>
    <cfRule type="cellIs" dxfId="1485" priority="1521" stopIfTrue="1" operator="between">
      <formula>3.51</formula>
      <formula>7.49</formula>
    </cfRule>
  </conditionalFormatting>
  <conditionalFormatting sqref="AA2705">
    <cfRule type="cellIs" dxfId="1484" priority="1537" stopIfTrue="1" operator="lessThanOrEqual">
      <formula>3.5</formula>
    </cfRule>
    <cfRule type="cellIs" dxfId="1483" priority="1538" stopIfTrue="1" operator="greaterThanOrEqual">
      <formula>7.5</formula>
    </cfRule>
    <cfRule type="cellIs" dxfId="1482" priority="1539" stopIfTrue="1" operator="between">
      <formula>3.51</formula>
      <formula>7.49</formula>
    </cfRule>
  </conditionalFormatting>
  <conditionalFormatting sqref="AA2731">
    <cfRule type="cellIs" dxfId="1481" priority="1516" stopIfTrue="1" operator="lessThanOrEqual">
      <formula>3.5</formula>
    </cfRule>
    <cfRule type="cellIs" dxfId="1480" priority="1517" stopIfTrue="1" operator="greaterThanOrEqual">
      <formula>7.5</formula>
    </cfRule>
    <cfRule type="cellIs" dxfId="1479" priority="1518" stopIfTrue="1" operator="between">
      <formula>3.51</formula>
      <formula>7.49</formula>
    </cfRule>
  </conditionalFormatting>
  <conditionalFormatting sqref="AA2718">
    <cfRule type="cellIs" dxfId="1478" priority="1534" stopIfTrue="1" operator="lessThanOrEqual">
      <formula>3.5</formula>
    </cfRule>
    <cfRule type="cellIs" dxfId="1477" priority="1535" stopIfTrue="1" operator="greaterThanOrEqual">
      <formula>7.5</formula>
    </cfRule>
    <cfRule type="cellIs" dxfId="1476" priority="1536" stopIfTrue="1" operator="between">
      <formula>3.51</formula>
      <formula>7.49</formula>
    </cfRule>
  </conditionalFormatting>
  <conditionalFormatting sqref="AA2733">
    <cfRule type="cellIs" dxfId="1475" priority="1513" stopIfTrue="1" operator="lessThanOrEqual">
      <formula>3.5</formula>
    </cfRule>
    <cfRule type="cellIs" dxfId="1474" priority="1514" stopIfTrue="1" operator="greaterThanOrEqual">
      <formula>7.5</formula>
    </cfRule>
    <cfRule type="cellIs" dxfId="1473" priority="1515" stopIfTrue="1" operator="between">
      <formula>3.51</formula>
      <formula>7.49</formula>
    </cfRule>
  </conditionalFormatting>
  <conditionalFormatting sqref="AA2720">
    <cfRule type="cellIs" dxfId="1472" priority="1531" stopIfTrue="1" operator="lessThanOrEqual">
      <formula>3.5</formula>
    </cfRule>
    <cfRule type="cellIs" dxfId="1471" priority="1532" stopIfTrue="1" operator="greaterThanOrEqual">
      <formula>7.5</formula>
    </cfRule>
    <cfRule type="cellIs" dxfId="1470" priority="1533" stopIfTrue="1" operator="between">
      <formula>3.51</formula>
      <formula>7.49</formula>
    </cfRule>
  </conditionalFormatting>
  <conditionalFormatting sqref="AA2735">
    <cfRule type="cellIs" dxfId="1469" priority="1510" stopIfTrue="1" operator="lessThanOrEqual">
      <formula>3.5</formula>
    </cfRule>
    <cfRule type="cellIs" dxfId="1468" priority="1511" stopIfTrue="1" operator="greaterThanOrEqual">
      <formula>7.5</formula>
    </cfRule>
    <cfRule type="cellIs" dxfId="1467" priority="1512" stopIfTrue="1" operator="between">
      <formula>3.51</formula>
      <formula>7.49</formula>
    </cfRule>
  </conditionalFormatting>
  <conditionalFormatting sqref="AA718">
    <cfRule type="cellIs" dxfId="1466" priority="1528" stopIfTrue="1" operator="lessThanOrEqual">
      <formula>3.5</formula>
    </cfRule>
    <cfRule type="cellIs" dxfId="1465" priority="1529" stopIfTrue="1" operator="greaterThanOrEqual">
      <formula>7.5</formula>
    </cfRule>
    <cfRule type="cellIs" dxfId="1464" priority="1530" stopIfTrue="1" operator="between">
      <formula>3.51</formula>
      <formula>7.49</formula>
    </cfRule>
  </conditionalFormatting>
  <conditionalFormatting sqref="AA2737">
    <cfRule type="cellIs" dxfId="1463" priority="1507" stopIfTrue="1" operator="lessThanOrEqual">
      <formula>3.5</formula>
    </cfRule>
    <cfRule type="cellIs" dxfId="1462" priority="1508" stopIfTrue="1" operator="greaterThanOrEqual">
      <formula>7.5</formula>
    </cfRule>
    <cfRule type="cellIs" dxfId="1461" priority="1509" stopIfTrue="1" operator="between">
      <formula>3.51</formula>
      <formula>7.49</formula>
    </cfRule>
  </conditionalFormatting>
  <conditionalFormatting sqref="AA2723">
    <cfRule type="cellIs" dxfId="1460" priority="1525" stopIfTrue="1" operator="lessThanOrEqual">
      <formula>3.5</formula>
    </cfRule>
    <cfRule type="cellIs" dxfId="1459" priority="1526" stopIfTrue="1" operator="greaterThanOrEqual">
      <formula>7.5</formula>
    </cfRule>
    <cfRule type="cellIs" dxfId="1458" priority="1527" stopIfTrue="1" operator="between">
      <formula>3.51</formula>
      <formula>7.49</formula>
    </cfRule>
  </conditionalFormatting>
  <conditionalFormatting sqref="AA2740">
    <cfRule type="cellIs" dxfId="1457" priority="1504" stopIfTrue="1" operator="lessThanOrEqual">
      <formula>3.5</formula>
    </cfRule>
    <cfRule type="cellIs" dxfId="1456" priority="1505" stopIfTrue="1" operator="greaterThanOrEqual">
      <formula>7.5</formula>
    </cfRule>
    <cfRule type="cellIs" dxfId="1455" priority="1506" stopIfTrue="1" operator="between">
      <formula>3.51</formula>
      <formula>7.49</formula>
    </cfRule>
  </conditionalFormatting>
  <conditionalFormatting sqref="AA2727">
    <cfRule type="cellIs" dxfId="1454" priority="1522" stopIfTrue="1" operator="lessThanOrEqual">
      <formula>3.5</formula>
    </cfRule>
    <cfRule type="cellIs" dxfId="1453" priority="1523" stopIfTrue="1" operator="greaterThanOrEqual">
      <formula>7.5</formula>
    </cfRule>
    <cfRule type="cellIs" dxfId="1452" priority="1524" stopIfTrue="1" operator="between">
      <formula>3.51</formula>
      <formula>7.49</formula>
    </cfRule>
  </conditionalFormatting>
  <conditionalFormatting sqref="AA2742">
    <cfRule type="cellIs" dxfId="1451" priority="1501" stopIfTrue="1" operator="lessThanOrEqual">
      <formula>3.5</formula>
    </cfRule>
    <cfRule type="cellIs" dxfId="1450" priority="1502" stopIfTrue="1" operator="greaterThanOrEqual">
      <formula>7.5</formula>
    </cfRule>
    <cfRule type="cellIs" dxfId="1449" priority="1503" stopIfTrue="1" operator="between">
      <formula>3.51</formula>
      <formula>7.49</formula>
    </cfRule>
  </conditionalFormatting>
  <conditionalFormatting sqref="AA2747">
    <cfRule type="cellIs" dxfId="1448" priority="1498" stopIfTrue="1" operator="lessThanOrEqual">
      <formula>3.5</formula>
    </cfRule>
    <cfRule type="cellIs" dxfId="1447" priority="1499" stopIfTrue="1" operator="greaterThanOrEqual">
      <formula>7.5</formula>
    </cfRule>
    <cfRule type="cellIs" dxfId="1446" priority="1500" stopIfTrue="1" operator="between">
      <formula>3.51</formula>
      <formula>7.49</formula>
    </cfRule>
  </conditionalFormatting>
  <conditionalFormatting sqref="AA2749">
    <cfRule type="cellIs" dxfId="1445" priority="1495" stopIfTrue="1" operator="lessThanOrEqual">
      <formula>3.5</formula>
    </cfRule>
    <cfRule type="cellIs" dxfId="1444" priority="1496" stopIfTrue="1" operator="greaterThanOrEqual">
      <formula>7.5</formula>
    </cfRule>
    <cfRule type="cellIs" dxfId="1443" priority="1497" stopIfTrue="1" operator="between">
      <formula>3.51</formula>
      <formula>7.49</formula>
    </cfRule>
  </conditionalFormatting>
  <conditionalFormatting sqref="AA2752">
    <cfRule type="cellIs" dxfId="1442" priority="1492" stopIfTrue="1" operator="lessThanOrEqual">
      <formula>3.5</formula>
    </cfRule>
    <cfRule type="cellIs" dxfId="1441" priority="1493" stopIfTrue="1" operator="greaterThanOrEqual">
      <formula>7.5</formula>
    </cfRule>
    <cfRule type="cellIs" dxfId="1440" priority="1494" stopIfTrue="1" operator="between">
      <formula>3.51</formula>
      <formula>7.49</formula>
    </cfRule>
  </conditionalFormatting>
  <conditionalFormatting sqref="AA2760">
    <cfRule type="cellIs" dxfId="1439" priority="1489" stopIfTrue="1" operator="lessThanOrEqual">
      <formula>3.5</formula>
    </cfRule>
    <cfRule type="cellIs" dxfId="1438" priority="1490" stopIfTrue="1" operator="greaterThanOrEqual">
      <formula>7.5</formula>
    </cfRule>
    <cfRule type="cellIs" dxfId="1437" priority="1491" stopIfTrue="1" operator="between">
      <formula>3.51</formula>
      <formula>7.49</formula>
    </cfRule>
  </conditionalFormatting>
  <conditionalFormatting sqref="AA2762">
    <cfRule type="cellIs" dxfId="1436" priority="1486" stopIfTrue="1" operator="lessThanOrEqual">
      <formula>3.5</formula>
    </cfRule>
    <cfRule type="cellIs" dxfId="1435" priority="1487" stopIfTrue="1" operator="greaterThanOrEqual">
      <formula>7.5</formula>
    </cfRule>
    <cfRule type="cellIs" dxfId="1434" priority="1488" stopIfTrue="1" operator="between">
      <formula>3.51</formula>
      <formula>7.49</formula>
    </cfRule>
  </conditionalFormatting>
  <conditionalFormatting sqref="AA611">
    <cfRule type="cellIs" dxfId="1433" priority="1483" stopIfTrue="1" operator="lessThanOrEqual">
      <formula>3.5</formula>
    </cfRule>
    <cfRule type="cellIs" dxfId="1432" priority="1484" stopIfTrue="1" operator="greaterThanOrEqual">
      <formula>7.5</formula>
    </cfRule>
    <cfRule type="cellIs" dxfId="1431" priority="1485" stopIfTrue="1" operator="between">
      <formula>3.51</formula>
      <formula>7.49</formula>
    </cfRule>
  </conditionalFormatting>
  <conditionalFormatting sqref="AA2765">
    <cfRule type="cellIs" dxfId="1430" priority="1480" stopIfTrue="1" operator="lessThanOrEqual">
      <formula>3.5</formula>
    </cfRule>
    <cfRule type="cellIs" dxfId="1429" priority="1481" stopIfTrue="1" operator="greaterThanOrEqual">
      <formula>7.5</formula>
    </cfRule>
    <cfRule type="cellIs" dxfId="1428" priority="1482" stopIfTrue="1" operator="between">
      <formula>3.51</formula>
      <formula>7.49</formula>
    </cfRule>
  </conditionalFormatting>
  <conditionalFormatting sqref="AA1410">
    <cfRule type="cellIs" dxfId="1427" priority="1477" stopIfTrue="1" operator="lessThanOrEqual">
      <formula>3.5</formula>
    </cfRule>
    <cfRule type="cellIs" dxfId="1426" priority="1478" stopIfTrue="1" operator="greaterThanOrEqual">
      <formula>7.5</formula>
    </cfRule>
    <cfRule type="cellIs" dxfId="1425" priority="1479" stopIfTrue="1" operator="between">
      <formula>3.51</formula>
      <formula>7.49</formula>
    </cfRule>
  </conditionalFormatting>
  <conditionalFormatting sqref="AA2768">
    <cfRule type="cellIs" dxfId="1424" priority="1474" stopIfTrue="1" operator="lessThanOrEqual">
      <formula>3.5</formula>
    </cfRule>
    <cfRule type="cellIs" dxfId="1423" priority="1475" stopIfTrue="1" operator="greaterThanOrEqual">
      <formula>7.5</formula>
    </cfRule>
    <cfRule type="cellIs" dxfId="1422" priority="1476" stopIfTrue="1" operator="between">
      <formula>3.51</formula>
      <formula>7.49</formula>
    </cfRule>
  </conditionalFormatting>
  <conditionalFormatting sqref="AA2773">
    <cfRule type="cellIs" dxfId="1421" priority="1471" stopIfTrue="1" operator="lessThanOrEqual">
      <formula>3.5</formula>
    </cfRule>
    <cfRule type="cellIs" dxfId="1420" priority="1472" stopIfTrue="1" operator="greaterThanOrEqual">
      <formula>7.5</formula>
    </cfRule>
    <cfRule type="cellIs" dxfId="1419" priority="1473" stopIfTrue="1" operator="between">
      <formula>3.51</formula>
      <formula>7.49</formula>
    </cfRule>
  </conditionalFormatting>
  <conditionalFormatting sqref="AA2775">
    <cfRule type="cellIs" dxfId="1418" priority="1468" stopIfTrue="1" operator="lessThanOrEqual">
      <formula>3.5</formula>
    </cfRule>
    <cfRule type="cellIs" dxfId="1417" priority="1469" stopIfTrue="1" operator="greaterThanOrEqual">
      <formula>7.5</formula>
    </cfRule>
    <cfRule type="cellIs" dxfId="1416" priority="1470" stopIfTrue="1" operator="between">
      <formula>3.51</formula>
      <formula>7.49</formula>
    </cfRule>
  </conditionalFormatting>
  <conditionalFormatting sqref="AA2777">
    <cfRule type="cellIs" dxfId="1415" priority="1465" stopIfTrue="1" operator="lessThanOrEqual">
      <formula>3.5</formula>
    </cfRule>
    <cfRule type="cellIs" dxfId="1414" priority="1466" stopIfTrue="1" operator="greaterThanOrEqual">
      <formula>7.5</formula>
    </cfRule>
    <cfRule type="cellIs" dxfId="1413" priority="1467" stopIfTrue="1" operator="between">
      <formula>3.51</formula>
      <formula>7.49</formula>
    </cfRule>
  </conditionalFormatting>
  <conditionalFormatting sqref="AA2693">
    <cfRule type="cellIs" dxfId="1412" priority="1462" stopIfTrue="1" operator="lessThanOrEqual">
      <formula>3.5</formula>
    </cfRule>
    <cfRule type="cellIs" dxfId="1411" priority="1463" stopIfTrue="1" operator="greaterThanOrEqual">
      <formula>7.5</formula>
    </cfRule>
    <cfRule type="cellIs" dxfId="1410" priority="1464" stopIfTrue="1" operator="between">
      <formula>3.51</formula>
      <formula>7.49</formula>
    </cfRule>
  </conditionalFormatting>
  <conditionalFormatting sqref="AA2784">
    <cfRule type="cellIs" dxfId="1409" priority="1459" stopIfTrue="1" operator="lessThanOrEqual">
      <formula>3.5</formula>
    </cfRule>
    <cfRule type="cellIs" dxfId="1408" priority="1460" stopIfTrue="1" operator="greaterThanOrEqual">
      <formula>7.5</formula>
    </cfRule>
    <cfRule type="cellIs" dxfId="1407" priority="1461" stopIfTrue="1" operator="between">
      <formula>3.51</formula>
      <formula>7.49</formula>
    </cfRule>
  </conditionalFormatting>
  <conditionalFormatting sqref="AA2447">
    <cfRule type="cellIs" dxfId="1406" priority="1456" stopIfTrue="1" operator="lessThanOrEqual">
      <formula>3.5</formula>
    </cfRule>
    <cfRule type="cellIs" dxfId="1405" priority="1457" stopIfTrue="1" operator="greaterThanOrEqual">
      <formula>7.5</formula>
    </cfRule>
    <cfRule type="cellIs" dxfId="1404" priority="1458" stopIfTrue="1" operator="between">
      <formula>3.51</formula>
      <formula>7.49</formula>
    </cfRule>
  </conditionalFormatting>
  <conditionalFormatting sqref="AA2445">
    <cfRule type="cellIs" dxfId="1403" priority="1453" stopIfTrue="1" operator="lessThanOrEqual">
      <formula>3.5</formula>
    </cfRule>
    <cfRule type="cellIs" dxfId="1402" priority="1454" stopIfTrue="1" operator="greaterThanOrEqual">
      <formula>7.5</formula>
    </cfRule>
    <cfRule type="cellIs" dxfId="1401" priority="1455" stopIfTrue="1" operator="between">
      <formula>3.51</formula>
      <formula>7.49</formula>
    </cfRule>
  </conditionalFormatting>
  <conditionalFormatting sqref="AA2444">
    <cfRule type="cellIs" dxfId="1400" priority="1450" stopIfTrue="1" operator="lessThanOrEqual">
      <formula>3.5</formula>
    </cfRule>
    <cfRule type="cellIs" dxfId="1399" priority="1451" stopIfTrue="1" operator="greaterThanOrEqual">
      <formula>7.5</formula>
    </cfRule>
    <cfRule type="cellIs" dxfId="1398" priority="1452" stopIfTrue="1" operator="between">
      <formula>3.51</formula>
      <formula>7.49</formula>
    </cfRule>
  </conditionalFormatting>
  <conditionalFormatting sqref="AA2443">
    <cfRule type="cellIs" dxfId="1397" priority="1447" stopIfTrue="1" operator="lessThanOrEqual">
      <formula>3.5</formula>
    </cfRule>
    <cfRule type="cellIs" dxfId="1396" priority="1448" stopIfTrue="1" operator="greaterThanOrEqual">
      <formula>7.5</formula>
    </cfRule>
    <cfRule type="cellIs" dxfId="1395" priority="1449" stopIfTrue="1" operator="between">
      <formula>3.51</formula>
      <formula>7.49</formula>
    </cfRule>
  </conditionalFormatting>
  <conditionalFormatting sqref="AA2442">
    <cfRule type="cellIs" dxfId="1394" priority="1444" stopIfTrue="1" operator="lessThanOrEqual">
      <formula>3.5</formula>
    </cfRule>
    <cfRule type="cellIs" dxfId="1393" priority="1445" stopIfTrue="1" operator="greaterThanOrEqual">
      <formula>7.5</formula>
    </cfRule>
    <cfRule type="cellIs" dxfId="1392" priority="1446" stopIfTrue="1" operator="between">
      <formula>3.51</formula>
      <formula>7.49</formula>
    </cfRule>
  </conditionalFormatting>
  <conditionalFormatting sqref="AA2441">
    <cfRule type="cellIs" dxfId="1391" priority="1441" stopIfTrue="1" operator="lessThanOrEqual">
      <formula>3.5</formula>
    </cfRule>
    <cfRule type="cellIs" dxfId="1390" priority="1442" stopIfTrue="1" operator="greaterThanOrEqual">
      <formula>7.5</formula>
    </cfRule>
    <cfRule type="cellIs" dxfId="1389" priority="1443" stopIfTrue="1" operator="between">
      <formula>3.51</formula>
      <formula>7.49</formula>
    </cfRule>
  </conditionalFormatting>
  <conditionalFormatting sqref="AA2440">
    <cfRule type="cellIs" dxfId="1388" priority="1438" stopIfTrue="1" operator="lessThanOrEqual">
      <formula>3.5</formula>
    </cfRule>
    <cfRule type="cellIs" dxfId="1387" priority="1439" stopIfTrue="1" operator="greaterThanOrEqual">
      <formula>7.5</formula>
    </cfRule>
    <cfRule type="cellIs" dxfId="1386" priority="1440" stopIfTrue="1" operator="between">
      <formula>3.51</formula>
      <formula>7.49</formula>
    </cfRule>
  </conditionalFormatting>
  <conditionalFormatting sqref="AA2439">
    <cfRule type="cellIs" dxfId="1385" priority="1435" stopIfTrue="1" operator="lessThanOrEqual">
      <formula>3.5</formula>
    </cfRule>
    <cfRule type="cellIs" dxfId="1384" priority="1436" stopIfTrue="1" operator="greaterThanOrEqual">
      <formula>7.5</formula>
    </cfRule>
    <cfRule type="cellIs" dxfId="1383" priority="1437" stopIfTrue="1" operator="between">
      <formula>3.51</formula>
      <formula>7.49</formula>
    </cfRule>
  </conditionalFormatting>
  <conditionalFormatting sqref="AA2438">
    <cfRule type="cellIs" dxfId="1382" priority="1432" stopIfTrue="1" operator="lessThanOrEqual">
      <formula>3.5</formula>
    </cfRule>
    <cfRule type="cellIs" dxfId="1381" priority="1433" stopIfTrue="1" operator="greaterThanOrEqual">
      <formula>7.5</formula>
    </cfRule>
    <cfRule type="cellIs" dxfId="1380" priority="1434" stopIfTrue="1" operator="between">
      <formula>3.51</formula>
      <formula>7.49</formula>
    </cfRule>
  </conditionalFormatting>
  <conditionalFormatting sqref="AA2437">
    <cfRule type="cellIs" dxfId="1379" priority="1429" stopIfTrue="1" operator="lessThanOrEqual">
      <formula>3.5</formula>
    </cfRule>
    <cfRule type="cellIs" dxfId="1378" priority="1430" stopIfTrue="1" operator="greaterThanOrEqual">
      <formula>7.5</formula>
    </cfRule>
    <cfRule type="cellIs" dxfId="1377" priority="1431" stopIfTrue="1" operator="between">
      <formula>3.51</formula>
      <formula>7.49</formula>
    </cfRule>
  </conditionalFormatting>
  <conditionalFormatting sqref="AA5325">
    <cfRule type="cellIs" dxfId="1376" priority="1426" stopIfTrue="1" operator="lessThanOrEqual">
      <formula>3.5</formula>
    </cfRule>
    <cfRule type="cellIs" dxfId="1375" priority="1427" stopIfTrue="1" operator="greaterThanOrEqual">
      <formula>7.5</formula>
    </cfRule>
    <cfRule type="cellIs" dxfId="1374" priority="1428" stopIfTrue="1" operator="between">
      <formula>3.51</formula>
      <formula>7.49</formula>
    </cfRule>
  </conditionalFormatting>
  <conditionalFormatting sqref="AA2717">
    <cfRule type="cellIs" dxfId="1373" priority="1423" stopIfTrue="1" operator="lessThanOrEqual">
      <formula>3.5</formula>
    </cfRule>
    <cfRule type="cellIs" dxfId="1372" priority="1424" stopIfTrue="1" operator="greaterThanOrEqual">
      <formula>7.5</formula>
    </cfRule>
    <cfRule type="cellIs" dxfId="1371" priority="1425" stopIfTrue="1" operator="between">
      <formula>3.51</formula>
      <formula>7.49</formula>
    </cfRule>
  </conditionalFormatting>
  <conditionalFormatting sqref="AA2714">
    <cfRule type="cellIs" dxfId="1370" priority="1420" stopIfTrue="1" operator="lessThanOrEqual">
      <formula>3.5</formula>
    </cfRule>
    <cfRule type="cellIs" dxfId="1369" priority="1421" stopIfTrue="1" operator="greaterThanOrEqual">
      <formula>7.5</formula>
    </cfRule>
    <cfRule type="cellIs" dxfId="1368" priority="1422" stopIfTrue="1" operator="between">
      <formula>3.51</formula>
      <formula>7.49</formula>
    </cfRule>
  </conditionalFormatting>
  <conditionalFormatting sqref="AA2715">
    <cfRule type="cellIs" dxfId="1367" priority="1417" stopIfTrue="1" operator="lessThanOrEqual">
      <formula>3.5</formula>
    </cfRule>
    <cfRule type="cellIs" dxfId="1366" priority="1418" stopIfTrue="1" operator="greaterThanOrEqual">
      <formula>7.5</formula>
    </cfRule>
    <cfRule type="cellIs" dxfId="1365" priority="1419" stopIfTrue="1" operator="between">
      <formula>3.51</formula>
      <formula>7.49</formula>
    </cfRule>
  </conditionalFormatting>
  <conditionalFormatting sqref="AA2716">
    <cfRule type="cellIs" dxfId="1364" priority="1414" stopIfTrue="1" operator="lessThanOrEqual">
      <formula>3.5</formula>
    </cfRule>
    <cfRule type="cellIs" dxfId="1363" priority="1415" stopIfTrue="1" operator="greaterThanOrEqual">
      <formula>7.5</formula>
    </cfRule>
    <cfRule type="cellIs" dxfId="1362" priority="1416" stopIfTrue="1" operator="between">
      <formula>3.51</formula>
      <formula>7.49</formula>
    </cfRule>
  </conditionalFormatting>
  <conditionalFormatting sqref="AA3591">
    <cfRule type="cellIs" dxfId="1361" priority="1411" stopIfTrue="1" operator="lessThanOrEqual">
      <formula>3.5</formula>
    </cfRule>
    <cfRule type="cellIs" dxfId="1360" priority="1412" stopIfTrue="1" operator="greaterThanOrEqual">
      <formula>7.5</formula>
    </cfRule>
    <cfRule type="cellIs" dxfId="1359" priority="1413" stopIfTrue="1" operator="between">
      <formula>3.51</formula>
      <formula>7.49</formula>
    </cfRule>
  </conditionalFormatting>
  <conditionalFormatting sqref="AA1359">
    <cfRule type="cellIs" dxfId="1358" priority="1408" stopIfTrue="1" operator="lessThanOrEqual">
      <formula>3.5</formula>
    </cfRule>
    <cfRule type="cellIs" dxfId="1357" priority="1409" stopIfTrue="1" operator="greaterThanOrEqual">
      <formula>7.5</formula>
    </cfRule>
    <cfRule type="cellIs" dxfId="1356" priority="1410" stopIfTrue="1" operator="between">
      <formula>3.51</formula>
      <formula>7.49</formula>
    </cfRule>
  </conditionalFormatting>
  <conditionalFormatting sqref="AA1744">
    <cfRule type="cellIs" dxfId="1355" priority="1405" stopIfTrue="1" operator="lessThanOrEqual">
      <formula>3.5</formula>
    </cfRule>
    <cfRule type="cellIs" dxfId="1354" priority="1406" stopIfTrue="1" operator="greaterThanOrEqual">
      <formula>7.5</formula>
    </cfRule>
    <cfRule type="cellIs" dxfId="1353" priority="1407" stopIfTrue="1" operator="between">
      <formula>3.51</formula>
      <formula>7.49</formula>
    </cfRule>
  </conditionalFormatting>
  <conditionalFormatting sqref="AA3881">
    <cfRule type="cellIs" dxfId="1352" priority="1402" stopIfTrue="1" operator="lessThanOrEqual">
      <formula>3.5</formula>
    </cfRule>
    <cfRule type="cellIs" dxfId="1351" priority="1403" stopIfTrue="1" operator="greaterThanOrEqual">
      <formula>7.5</formula>
    </cfRule>
    <cfRule type="cellIs" dxfId="1350" priority="1404" stopIfTrue="1" operator="between">
      <formula>3.51</formula>
      <formula>7.49</formula>
    </cfRule>
  </conditionalFormatting>
  <conditionalFormatting sqref="AA5147">
    <cfRule type="cellIs" dxfId="1349" priority="1399" stopIfTrue="1" operator="lessThanOrEqual">
      <formula>3.5</formula>
    </cfRule>
    <cfRule type="cellIs" dxfId="1348" priority="1400" stopIfTrue="1" operator="greaterThanOrEqual">
      <formula>7.5</formula>
    </cfRule>
    <cfRule type="cellIs" dxfId="1347" priority="1401" stopIfTrue="1" operator="between">
      <formula>3.51</formula>
      <formula>7.49</formula>
    </cfRule>
  </conditionalFormatting>
  <conditionalFormatting sqref="AA5169">
    <cfRule type="cellIs" dxfId="1346" priority="1396" stopIfTrue="1" operator="lessThanOrEqual">
      <formula>3.5</formula>
    </cfRule>
    <cfRule type="cellIs" dxfId="1345" priority="1397" stopIfTrue="1" operator="greaterThanOrEqual">
      <formula>7.5</formula>
    </cfRule>
    <cfRule type="cellIs" dxfId="1344" priority="1398" stopIfTrue="1" operator="between">
      <formula>3.51</formula>
      <formula>7.49</formula>
    </cfRule>
  </conditionalFormatting>
  <conditionalFormatting sqref="AA5168">
    <cfRule type="cellIs" dxfId="1343" priority="1393" stopIfTrue="1" operator="lessThanOrEqual">
      <formula>3.5</formula>
    </cfRule>
    <cfRule type="cellIs" dxfId="1342" priority="1394" stopIfTrue="1" operator="greaterThanOrEqual">
      <formula>7.5</formula>
    </cfRule>
    <cfRule type="cellIs" dxfId="1341" priority="1395" stopIfTrue="1" operator="between">
      <formula>3.51</formula>
      <formula>7.49</formula>
    </cfRule>
  </conditionalFormatting>
  <conditionalFormatting sqref="AA5167">
    <cfRule type="cellIs" dxfId="1340" priority="1390" stopIfTrue="1" operator="lessThanOrEqual">
      <formula>3.5</formula>
    </cfRule>
    <cfRule type="cellIs" dxfId="1339" priority="1391" stopIfTrue="1" operator="greaterThanOrEqual">
      <formula>7.5</formula>
    </cfRule>
    <cfRule type="cellIs" dxfId="1338" priority="1392" stopIfTrue="1" operator="between">
      <formula>3.51</formula>
      <formula>7.49</formula>
    </cfRule>
  </conditionalFormatting>
  <conditionalFormatting sqref="AA5166">
    <cfRule type="cellIs" dxfId="1337" priority="1387" stopIfTrue="1" operator="lessThanOrEqual">
      <formula>3.5</formula>
    </cfRule>
    <cfRule type="cellIs" dxfId="1336" priority="1388" stopIfTrue="1" operator="greaterThanOrEqual">
      <formula>7.5</formula>
    </cfRule>
    <cfRule type="cellIs" dxfId="1335" priority="1389" stopIfTrue="1" operator="between">
      <formula>3.51</formula>
      <formula>7.49</formula>
    </cfRule>
  </conditionalFormatting>
  <conditionalFormatting sqref="AA5165">
    <cfRule type="cellIs" dxfId="1334" priority="1384" stopIfTrue="1" operator="lessThanOrEqual">
      <formula>3.5</formula>
    </cfRule>
    <cfRule type="cellIs" dxfId="1333" priority="1385" stopIfTrue="1" operator="greaterThanOrEqual">
      <formula>7.5</formula>
    </cfRule>
    <cfRule type="cellIs" dxfId="1332" priority="1386" stopIfTrue="1" operator="between">
      <formula>3.51</formula>
      <formula>7.49</formula>
    </cfRule>
  </conditionalFormatting>
  <conditionalFormatting sqref="AA5164">
    <cfRule type="cellIs" dxfId="1331" priority="1381" stopIfTrue="1" operator="lessThanOrEqual">
      <formula>3.5</formula>
    </cfRule>
    <cfRule type="cellIs" dxfId="1330" priority="1382" stopIfTrue="1" operator="greaterThanOrEqual">
      <formula>7.5</formula>
    </cfRule>
    <cfRule type="cellIs" dxfId="1329" priority="1383" stopIfTrue="1" operator="between">
      <formula>3.51</formula>
      <formula>7.49</formula>
    </cfRule>
  </conditionalFormatting>
  <conditionalFormatting sqref="AA5161">
    <cfRule type="cellIs" dxfId="1328" priority="1378" stopIfTrue="1" operator="lessThanOrEqual">
      <formula>3.5</formula>
    </cfRule>
    <cfRule type="cellIs" dxfId="1327" priority="1379" stopIfTrue="1" operator="greaterThanOrEqual">
      <formula>7.5</formula>
    </cfRule>
    <cfRule type="cellIs" dxfId="1326" priority="1380" stopIfTrue="1" operator="between">
      <formula>3.51</formula>
      <formula>7.49</formula>
    </cfRule>
  </conditionalFormatting>
  <conditionalFormatting sqref="AA5135">
    <cfRule type="cellIs" dxfId="1325" priority="1375" stopIfTrue="1" operator="lessThanOrEqual">
      <formula>3.5</formula>
    </cfRule>
    <cfRule type="cellIs" dxfId="1324" priority="1376" stopIfTrue="1" operator="greaterThanOrEqual">
      <formula>7.5</formula>
    </cfRule>
    <cfRule type="cellIs" dxfId="1323" priority="1377" stopIfTrue="1" operator="between">
      <formula>3.51</formula>
      <formula>7.49</formula>
    </cfRule>
  </conditionalFormatting>
  <conditionalFormatting sqref="AA5123">
    <cfRule type="cellIs" dxfId="1322" priority="1372" stopIfTrue="1" operator="lessThanOrEqual">
      <formula>3.5</formula>
    </cfRule>
    <cfRule type="cellIs" dxfId="1321" priority="1373" stopIfTrue="1" operator="greaterThanOrEqual">
      <formula>7.5</formula>
    </cfRule>
    <cfRule type="cellIs" dxfId="1320" priority="1374" stopIfTrue="1" operator="between">
      <formula>3.51</formula>
      <formula>7.49</formula>
    </cfRule>
  </conditionalFormatting>
  <conditionalFormatting sqref="AA5156">
    <cfRule type="cellIs" dxfId="1319" priority="1369" stopIfTrue="1" operator="lessThanOrEqual">
      <formula>3.5</formula>
    </cfRule>
    <cfRule type="cellIs" dxfId="1318" priority="1370" stopIfTrue="1" operator="greaterThanOrEqual">
      <formula>7.5</formula>
    </cfRule>
    <cfRule type="cellIs" dxfId="1317" priority="1371" stopIfTrue="1" operator="between">
      <formula>3.51</formula>
      <formula>7.49</formula>
    </cfRule>
  </conditionalFormatting>
  <conditionalFormatting sqref="AA5150">
    <cfRule type="cellIs" dxfId="1316" priority="1366" stopIfTrue="1" operator="lessThanOrEqual">
      <formula>3.5</formula>
    </cfRule>
    <cfRule type="cellIs" dxfId="1315" priority="1367" stopIfTrue="1" operator="greaterThanOrEqual">
      <formula>7.5</formula>
    </cfRule>
    <cfRule type="cellIs" dxfId="1314" priority="1368" stopIfTrue="1" operator="between">
      <formula>3.51</formula>
      <formula>7.49</formula>
    </cfRule>
  </conditionalFormatting>
  <conditionalFormatting sqref="AA5155">
    <cfRule type="cellIs" dxfId="1313" priority="1363" stopIfTrue="1" operator="lessThanOrEqual">
      <formula>3.5</formula>
    </cfRule>
    <cfRule type="cellIs" dxfId="1312" priority="1364" stopIfTrue="1" operator="greaterThanOrEqual">
      <formula>7.5</formula>
    </cfRule>
    <cfRule type="cellIs" dxfId="1311" priority="1365" stopIfTrue="1" operator="between">
      <formula>3.51</formula>
      <formula>7.49</formula>
    </cfRule>
  </conditionalFormatting>
  <conditionalFormatting sqref="AA5145">
    <cfRule type="cellIs" dxfId="1310" priority="1360" stopIfTrue="1" operator="lessThanOrEqual">
      <formula>3.5</formula>
    </cfRule>
    <cfRule type="cellIs" dxfId="1309" priority="1361" stopIfTrue="1" operator="greaterThanOrEqual">
      <formula>7.5</formula>
    </cfRule>
    <cfRule type="cellIs" dxfId="1308" priority="1362" stopIfTrue="1" operator="between">
      <formula>3.51</formula>
      <formula>7.49</formula>
    </cfRule>
  </conditionalFormatting>
  <conditionalFormatting sqref="AA5154">
    <cfRule type="cellIs" dxfId="1307" priority="1357" stopIfTrue="1" operator="lessThanOrEqual">
      <formula>3.5</formula>
    </cfRule>
    <cfRule type="cellIs" dxfId="1306" priority="1358" stopIfTrue="1" operator="greaterThanOrEqual">
      <formula>7.5</formula>
    </cfRule>
    <cfRule type="cellIs" dxfId="1305" priority="1359" stopIfTrue="1" operator="between">
      <formula>3.51</formula>
      <formula>7.49</formula>
    </cfRule>
  </conditionalFormatting>
  <conditionalFormatting sqref="AA5153">
    <cfRule type="cellIs" dxfId="1304" priority="1354" stopIfTrue="1" operator="lessThanOrEqual">
      <formula>3.5</formula>
    </cfRule>
    <cfRule type="cellIs" dxfId="1303" priority="1355" stopIfTrue="1" operator="greaterThanOrEqual">
      <formula>7.5</formula>
    </cfRule>
    <cfRule type="cellIs" dxfId="1302" priority="1356" stopIfTrue="1" operator="between">
      <formula>3.51</formula>
      <formula>7.49</formula>
    </cfRule>
  </conditionalFormatting>
  <conditionalFormatting sqref="AA5152">
    <cfRule type="cellIs" dxfId="1301" priority="1351" stopIfTrue="1" operator="lessThanOrEqual">
      <formula>3.5</formula>
    </cfRule>
    <cfRule type="cellIs" dxfId="1300" priority="1352" stopIfTrue="1" operator="greaterThanOrEqual">
      <formula>7.5</formula>
    </cfRule>
    <cfRule type="cellIs" dxfId="1299" priority="1353" stopIfTrue="1" operator="between">
      <formula>3.51</formula>
      <formula>7.49</formula>
    </cfRule>
  </conditionalFormatting>
  <conditionalFormatting sqref="AA5149">
    <cfRule type="cellIs" dxfId="1298" priority="1348" stopIfTrue="1" operator="lessThanOrEqual">
      <formula>3.5</formula>
    </cfRule>
    <cfRule type="cellIs" dxfId="1297" priority="1349" stopIfTrue="1" operator="greaterThanOrEqual">
      <formula>7.5</formula>
    </cfRule>
    <cfRule type="cellIs" dxfId="1296" priority="1350" stopIfTrue="1" operator="between">
      <formula>3.51</formula>
      <formula>7.49</formula>
    </cfRule>
  </conditionalFormatting>
  <conditionalFormatting sqref="AA5231">
    <cfRule type="cellIs" dxfId="1295" priority="1345" stopIfTrue="1" operator="lessThanOrEqual">
      <formula>3.5</formula>
    </cfRule>
    <cfRule type="cellIs" dxfId="1294" priority="1346" stopIfTrue="1" operator="greaterThanOrEqual">
      <formula>7.5</formula>
    </cfRule>
    <cfRule type="cellIs" dxfId="1293" priority="1347" stopIfTrue="1" operator="between">
      <formula>3.51</formula>
      <formula>7.49</formula>
    </cfRule>
  </conditionalFormatting>
  <conditionalFormatting sqref="AA5162">
    <cfRule type="cellIs" dxfId="1292" priority="1342" stopIfTrue="1" operator="lessThanOrEqual">
      <formula>3.5</formula>
    </cfRule>
    <cfRule type="cellIs" dxfId="1291" priority="1343" stopIfTrue="1" operator="greaterThanOrEqual">
      <formula>7.5</formula>
    </cfRule>
    <cfRule type="cellIs" dxfId="1290" priority="1344" stopIfTrue="1" operator="between">
      <formula>3.51</formula>
      <formula>7.49</formula>
    </cfRule>
  </conditionalFormatting>
  <conditionalFormatting sqref="AA5158">
    <cfRule type="cellIs" dxfId="1289" priority="1339" stopIfTrue="1" operator="lessThanOrEqual">
      <formula>3.5</formula>
    </cfRule>
    <cfRule type="cellIs" dxfId="1288" priority="1340" stopIfTrue="1" operator="greaterThanOrEqual">
      <formula>7.5</formula>
    </cfRule>
    <cfRule type="cellIs" dxfId="1287" priority="1341" stopIfTrue="1" operator="between">
      <formula>3.51</formula>
      <formula>7.49</formula>
    </cfRule>
  </conditionalFormatting>
  <conditionalFormatting sqref="AA5160">
    <cfRule type="cellIs" dxfId="1286" priority="1336" stopIfTrue="1" operator="lessThanOrEqual">
      <formula>3.5</formula>
    </cfRule>
    <cfRule type="cellIs" dxfId="1285" priority="1337" stopIfTrue="1" operator="greaterThanOrEqual">
      <formula>7.5</formula>
    </cfRule>
    <cfRule type="cellIs" dxfId="1284" priority="1338" stopIfTrue="1" operator="between">
      <formula>3.51</formula>
      <formula>7.49</formula>
    </cfRule>
  </conditionalFormatting>
  <conditionalFormatting sqref="AA5148">
    <cfRule type="cellIs" dxfId="1283" priority="1333" stopIfTrue="1" operator="lessThanOrEqual">
      <formula>3.5</formula>
    </cfRule>
    <cfRule type="cellIs" dxfId="1282" priority="1334" stopIfTrue="1" operator="greaterThanOrEqual">
      <formula>7.5</formula>
    </cfRule>
    <cfRule type="cellIs" dxfId="1281" priority="1335" stopIfTrue="1" operator="between">
      <formula>3.51</formula>
      <formula>7.49</formula>
    </cfRule>
  </conditionalFormatting>
  <conditionalFormatting sqref="AA5138">
    <cfRule type="cellIs" dxfId="1280" priority="1330" stopIfTrue="1" operator="lessThanOrEqual">
      <formula>3.5</formula>
    </cfRule>
    <cfRule type="cellIs" dxfId="1279" priority="1331" stopIfTrue="1" operator="greaterThanOrEqual">
      <formula>7.5</formula>
    </cfRule>
    <cfRule type="cellIs" dxfId="1278" priority="1332" stopIfTrue="1" operator="between">
      <formula>3.51</formula>
      <formula>7.49</formula>
    </cfRule>
  </conditionalFormatting>
  <conditionalFormatting sqref="AA3546">
    <cfRule type="cellIs" dxfId="1277" priority="1327" stopIfTrue="1" operator="lessThanOrEqual">
      <formula>3.5</formula>
    </cfRule>
    <cfRule type="cellIs" dxfId="1276" priority="1328" stopIfTrue="1" operator="greaterThanOrEqual">
      <formula>7.5</formula>
    </cfRule>
    <cfRule type="cellIs" dxfId="1275" priority="1329" stopIfTrue="1" operator="between">
      <formula>3.51</formula>
      <formula>7.49</formula>
    </cfRule>
  </conditionalFormatting>
  <conditionalFormatting sqref="AA2108">
    <cfRule type="cellIs" dxfId="1274" priority="1324" stopIfTrue="1" operator="lessThanOrEqual">
      <formula>3.5</formula>
    </cfRule>
    <cfRule type="cellIs" dxfId="1273" priority="1325" stopIfTrue="1" operator="greaterThanOrEqual">
      <formula>7.5</formula>
    </cfRule>
    <cfRule type="cellIs" dxfId="1272" priority="1326" stopIfTrue="1" operator="between">
      <formula>3.51</formula>
      <formula>7.49</formula>
    </cfRule>
  </conditionalFormatting>
  <conditionalFormatting sqref="AA2106">
    <cfRule type="cellIs" dxfId="1271" priority="1321" stopIfTrue="1" operator="lessThanOrEqual">
      <formula>3.5</formula>
    </cfRule>
    <cfRule type="cellIs" dxfId="1270" priority="1322" stopIfTrue="1" operator="greaterThanOrEqual">
      <formula>7.5</formula>
    </cfRule>
    <cfRule type="cellIs" dxfId="1269" priority="1323" stopIfTrue="1" operator="between">
      <formula>3.51</formula>
      <formula>7.49</formula>
    </cfRule>
  </conditionalFormatting>
  <conditionalFormatting sqref="AA2107">
    <cfRule type="cellIs" dxfId="1268" priority="1318" stopIfTrue="1" operator="lessThanOrEqual">
      <formula>3.5</formula>
    </cfRule>
    <cfRule type="cellIs" dxfId="1267" priority="1319" stopIfTrue="1" operator="greaterThanOrEqual">
      <formula>7.5</formula>
    </cfRule>
    <cfRule type="cellIs" dxfId="1266" priority="1320" stopIfTrue="1" operator="between">
      <formula>3.51</formula>
      <formula>7.49</formula>
    </cfRule>
  </conditionalFormatting>
  <conditionalFormatting sqref="AA414">
    <cfRule type="cellIs" dxfId="1265" priority="1309" stopIfTrue="1" operator="lessThanOrEqual">
      <formula>3.5</formula>
    </cfRule>
    <cfRule type="cellIs" dxfId="1264" priority="1310" stopIfTrue="1" operator="greaterThanOrEqual">
      <formula>7.5</formula>
    </cfRule>
    <cfRule type="cellIs" dxfId="1263" priority="1311" stopIfTrue="1" operator="between">
      <formula>3.51</formula>
      <formula>7.49</formula>
    </cfRule>
  </conditionalFormatting>
  <conditionalFormatting sqref="AA302">
    <cfRule type="cellIs" dxfId="1262" priority="1306" stopIfTrue="1" operator="lessThanOrEqual">
      <formula>3.5</formula>
    </cfRule>
    <cfRule type="cellIs" dxfId="1261" priority="1307" stopIfTrue="1" operator="greaterThanOrEqual">
      <formula>7.5</formula>
    </cfRule>
    <cfRule type="cellIs" dxfId="1260" priority="1308" stopIfTrue="1" operator="between">
      <formula>3.51</formula>
      <formula>7.49</formula>
    </cfRule>
  </conditionalFormatting>
  <conditionalFormatting sqref="AA302">
    <cfRule type="cellIs" dxfId="1259" priority="1303" stopIfTrue="1" operator="lessThanOrEqual">
      <formula>3.5</formula>
    </cfRule>
    <cfRule type="cellIs" dxfId="1258" priority="1304" stopIfTrue="1" operator="greaterThanOrEqual">
      <formula>7.5</formula>
    </cfRule>
    <cfRule type="cellIs" dxfId="1257" priority="1305" stopIfTrue="1" operator="between">
      <formula>3.51</formula>
      <formula>7.49</formula>
    </cfRule>
  </conditionalFormatting>
  <conditionalFormatting sqref="AA647">
    <cfRule type="cellIs" dxfId="1256" priority="1300" stopIfTrue="1" operator="lessThanOrEqual">
      <formula>3.5</formula>
    </cfRule>
    <cfRule type="cellIs" dxfId="1255" priority="1301" stopIfTrue="1" operator="greaterThanOrEqual">
      <formula>7.5</formula>
    </cfRule>
    <cfRule type="cellIs" dxfId="1254" priority="1302" stopIfTrue="1" operator="between">
      <formula>3.51</formula>
      <formula>7.49</formula>
    </cfRule>
  </conditionalFormatting>
  <conditionalFormatting sqref="AA688 AA690">
    <cfRule type="cellIs" dxfId="1253" priority="1297" stopIfTrue="1" operator="lessThanOrEqual">
      <formula>3.5</formula>
    </cfRule>
    <cfRule type="cellIs" dxfId="1252" priority="1298" stopIfTrue="1" operator="greaterThanOrEqual">
      <formula>7.5</formula>
    </cfRule>
    <cfRule type="cellIs" dxfId="1251" priority="1299" stopIfTrue="1" operator="between">
      <formula>3.51</formula>
      <formula>7.49</formula>
    </cfRule>
  </conditionalFormatting>
  <conditionalFormatting sqref="AA685">
    <cfRule type="cellIs" dxfId="1250" priority="1294" stopIfTrue="1" operator="lessThanOrEqual">
      <formula>3.5</formula>
    </cfRule>
    <cfRule type="cellIs" dxfId="1249" priority="1295" stopIfTrue="1" operator="greaterThanOrEqual">
      <formula>7.5</formula>
    </cfRule>
    <cfRule type="cellIs" dxfId="1248" priority="1296" stopIfTrue="1" operator="between">
      <formula>3.51</formula>
      <formula>7.49</formula>
    </cfRule>
  </conditionalFormatting>
  <conditionalFormatting sqref="AA684">
    <cfRule type="cellIs" dxfId="1247" priority="1291" stopIfTrue="1" operator="lessThanOrEqual">
      <formula>3.5</formula>
    </cfRule>
    <cfRule type="cellIs" dxfId="1246" priority="1292" stopIfTrue="1" operator="greaterThanOrEqual">
      <formula>7.5</formula>
    </cfRule>
    <cfRule type="cellIs" dxfId="1245" priority="1293" stopIfTrue="1" operator="between">
      <formula>3.51</formula>
      <formula>7.49</formula>
    </cfRule>
  </conditionalFormatting>
  <conditionalFormatting sqref="AA683">
    <cfRule type="cellIs" dxfId="1244" priority="1288" stopIfTrue="1" operator="lessThanOrEqual">
      <formula>3.5</formula>
    </cfRule>
    <cfRule type="cellIs" dxfId="1243" priority="1289" stopIfTrue="1" operator="greaterThanOrEqual">
      <formula>7.5</formula>
    </cfRule>
    <cfRule type="cellIs" dxfId="1242" priority="1290" stopIfTrue="1" operator="between">
      <formula>3.51</formula>
      <formula>7.49</formula>
    </cfRule>
  </conditionalFormatting>
  <conditionalFormatting sqref="AA492">
    <cfRule type="cellIs" dxfId="1241" priority="1282" stopIfTrue="1" operator="lessThanOrEqual">
      <formula>3.5</formula>
    </cfRule>
    <cfRule type="cellIs" dxfId="1240" priority="1283" stopIfTrue="1" operator="greaterThanOrEqual">
      <formula>7.5</formula>
    </cfRule>
    <cfRule type="cellIs" dxfId="1239" priority="1284" stopIfTrue="1" operator="between">
      <formula>3.51</formula>
      <formula>7.49</formula>
    </cfRule>
  </conditionalFormatting>
  <conditionalFormatting sqref="AA492">
    <cfRule type="cellIs" dxfId="1238" priority="1279" stopIfTrue="1" operator="lessThanOrEqual">
      <formula>3.5</formula>
    </cfRule>
    <cfRule type="cellIs" dxfId="1237" priority="1280" stopIfTrue="1" operator="greaterThanOrEqual">
      <formula>7.5</formula>
    </cfRule>
    <cfRule type="cellIs" dxfId="1236" priority="1281" stopIfTrue="1" operator="between">
      <formula>3.51</formula>
      <formula>7.49</formula>
    </cfRule>
  </conditionalFormatting>
  <conditionalFormatting sqref="AA497">
    <cfRule type="cellIs" dxfId="1235" priority="1276" stopIfTrue="1" operator="lessThanOrEqual">
      <formula>3.5</formula>
    </cfRule>
    <cfRule type="cellIs" dxfId="1234" priority="1277" stopIfTrue="1" operator="greaterThanOrEqual">
      <formula>7.5</formula>
    </cfRule>
    <cfRule type="cellIs" dxfId="1233" priority="1278" stopIfTrue="1" operator="between">
      <formula>3.51</formula>
      <formula>7.49</formula>
    </cfRule>
  </conditionalFormatting>
  <conditionalFormatting sqref="AA497">
    <cfRule type="cellIs" dxfId="1232" priority="1273" stopIfTrue="1" operator="lessThanOrEqual">
      <formula>3.5</formula>
    </cfRule>
    <cfRule type="cellIs" dxfId="1231" priority="1274" stopIfTrue="1" operator="greaterThanOrEqual">
      <formula>7.5</formula>
    </cfRule>
    <cfRule type="cellIs" dxfId="1230" priority="1275" stopIfTrue="1" operator="between">
      <formula>3.51</formula>
      <formula>7.49</formula>
    </cfRule>
  </conditionalFormatting>
  <conditionalFormatting sqref="AA2265">
    <cfRule type="cellIs" dxfId="1229" priority="1270" stopIfTrue="1" operator="lessThanOrEqual">
      <formula>3.5</formula>
    </cfRule>
    <cfRule type="cellIs" dxfId="1228" priority="1271" stopIfTrue="1" operator="greaterThanOrEqual">
      <formula>7.5</formula>
    </cfRule>
    <cfRule type="cellIs" dxfId="1227" priority="1272" stopIfTrue="1" operator="between">
      <formula>3.51</formula>
      <formula>7.49</formula>
    </cfRule>
  </conditionalFormatting>
  <conditionalFormatting sqref="AA2265">
    <cfRule type="cellIs" dxfId="1226" priority="1267" stopIfTrue="1" operator="lessThanOrEqual">
      <formula>3.5</formula>
    </cfRule>
    <cfRule type="cellIs" dxfId="1225" priority="1268" stopIfTrue="1" operator="greaterThanOrEqual">
      <formula>7.5</formula>
    </cfRule>
    <cfRule type="cellIs" dxfId="1224" priority="1269" stopIfTrue="1" operator="between">
      <formula>3.51</formula>
      <formula>7.49</formula>
    </cfRule>
  </conditionalFormatting>
  <conditionalFormatting sqref="AA315">
    <cfRule type="cellIs" dxfId="1223" priority="1264" stopIfTrue="1" operator="lessThanOrEqual">
      <formula>3.5</formula>
    </cfRule>
    <cfRule type="cellIs" dxfId="1222" priority="1265" stopIfTrue="1" operator="greaterThanOrEqual">
      <formula>7.5</formula>
    </cfRule>
    <cfRule type="cellIs" dxfId="1221" priority="1266" stopIfTrue="1" operator="between">
      <formula>3.51</formula>
      <formula>7.49</formula>
    </cfRule>
  </conditionalFormatting>
  <conditionalFormatting sqref="AA869">
    <cfRule type="cellIs" dxfId="1220" priority="1261" stopIfTrue="1" operator="lessThanOrEqual">
      <formula>3.5</formula>
    </cfRule>
    <cfRule type="cellIs" dxfId="1219" priority="1262" stopIfTrue="1" operator="greaterThanOrEqual">
      <formula>7.5</formula>
    </cfRule>
    <cfRule type="cellIs" dxfId="1218" priority="1263" stopIfTrue="1" operator="between">
      <formula>3.51</formula>
      <formula>7.49</formula>
    </cfRule>
  </conditionalFormatting>
  <conditionalFormatting sqref="AA850">
    <cfRule type="cellIs" dxfId="1217" priority="1258" stopIfTrue="1" operator="lessThanOrEqual">
      <formula>3.5</formula>
    </cfRule>
    <cfRule type="cellIs" dxfId="1216" priority="1259" stopIfTrue="1" operator="greaterThanOrEqual">
      <formula>7.5</formula>
    </cfRule>
    <cfRule type="cellIs" dxfId="1215" priority="1260" stopIfTrue="1" operator="between">
      <formula>3.51</formula>
      <formula>7.49</formula>
    </cfRule>
  </conditionalFormatting>
  <conditionalFormatting sqref="AA3785">
    <cfRule type="cellIs" dxfId="1214" priority="1255" stopIfTrue="1" operator="lessThanOrEqual">
      <formula>3.5</formula>
    </cfRule>
    <cfRule type="cellIs" dxfId="1213" priority="1256" stopIfTrue="1" operator="greaterThanOrEqual">
      <formula>7.5</formula>
    </cfRule>
    <cfRule type="cellIs" dxfId="1212" priority="1257" stopIfTrue="1" operator="between">
      <formula>3.51</formula>
      <formula>7.49</formula>
    </cfRule>
  </conditionalFormatting>
  <conditionalFormatting sqref="AA3786">
    <cfRule type="cellIs" dxfId="1211" priority="1252" stopIfTrue="1" operator="lessThanOrEqual">
      <formula>3.5</formula>
    </cfRule>
    <cfRule type="cellIs" dxfId="1210" priority="1253" stopIfTrue="1" operator="greaterThanOrEqual">
      <formula>7.5</formula>
    </cfRule>
    <cfRule type="cellIs" dxfId="1209" priority="1254" stopIfTrue="1" operator="between">
      <formula>3.51</formula>
      <formula>7.49</formula>
    </cfRule>
  </conditionalFormatting>
  <conditionalFormatting sqref="AA3788">
    <cfRule type="cellIs" dxfId="1208" priority="1249" stopIfTrue="1" operator="lessThanOrEqual">
      <formula>3.5</formula>
    </cfRule>
    <cfRule type="cellIs" dxfId="1207" priority="1250" stopIfTrue="1" operator="greaterThanOrEqual">
      <formula>7.5</formula>
    </cfRule>
    <cfRule type="cellIs" dxfId="1206" priority="1251" stopIfTrue="1" operator="between">
      <formula>3.51</formula>
      <formula>7.49</formula>
    </cfRule>
  </conditionalFormatting>
  <conditionalFormatting sqref="AA3787">
    <cfRule type="cellIs" dxfId="1205" priority="1246" stopIfTrue="1" operator="lessThanOrEqual">
      <formula>3.5</formula>
    </cfRule>
    <cfRule type="cellIs" dxfId="1204" priority="1247" stopIfTrue="1" operator="greaterThanOrEqual">
      <formula>7.5</formula>
    </cfRule>
    <cfRule type="cellIs" dxfId="1203" priority="1248" stopIfTrue="1" operator="between">
      <formula>3.51</formula>
      <formula>7.49</formula>
    </cfRule>
  </conditionalFormatting>
  <conditionalFormatting sqref="AA1766">
    <cfRule type="cellIs" dxfId="1202" priority="1243" stopIfTrue="1" operator="lessThanOrEqual">
      <formula>3.5</formula>
    </cfRule>
    <cfRule type="cellIs" dxfId="1201" priority="1244" stopIfTrue="1" operator="greaterThanOrEqual">
      <formula>7.5</formula>
    </cfRule>
    <cfRule type="cellIs" dxfId="1200" priority="1245" stopIfTrue="1" operator="between">
      <formula>3.51</formula>
      <formula>7.49</formula>
    </cfRule>
  </conditionalFormatting>
  <conditionalFormatting sqref="AA1620">
    <cfRule type="cellIs" dxfId="1199" priority="1240" stopIfTrue="1" operator="lessThanOrEqual">
      <formula>3.5</formula>
    </cfRule>
    <cfRule type="cellIs" dxfId="1198" priority="1241" stopIfTrue="1" operator="greaterThanOrEqual">
      <formula>7.5</formula>
    </cfRule>
    <cfRule type="cellIs" dxfId="1197" priority="1242" stopIfTrue="1" operator="between">
      <formula>3.51</formula>
      <formula>7.49</formula>
    </cfRule>
  </conditionalFormatting>
  <conditionalFormatting sqref="AA1576">
    <cfRule type="cellIs" dxfId="1196" priority="1237" stopIfTrue="1" operator="lessThanOrEqual">
      <formula>3.5</formula>
    </cfRule>
    <cfRule type="cellIs" dxfId="1195" priority="1238" stopIfTrue="1" operator="greaterThanOrEqual">
      <formula>7.5</formula>
    </cfRule>
    <cfRule type="cellIs" dxfId="1194" priority="1239" stopIfTrue="1" operator="between">
      <formula>3.51</formula>
      <formula>7.49</formula>
    </cfRule>
  </conditionalFormatting>
  <conditionalFormatting sqref="AA3351">
    <cfRule type="cellIs" dxfId="1193" priority="1234" stopIfTrue="1" operator="lessThanOrEqual">
      <formula>3.5</formula>
    </cfRule>
    <cfRule type="cellIs" dxfId="1192" priority="1235" stopIfTrue="1" operator="greaterThanOrEqual">
      <formula>7.5</formula>
    </cfRule>
    <cfRule type="cellIs" dxfId="1191" priority="1236" stopIfTrue="1" operator="between">
      <formula>3.51</formula>
      <formula>7.49</formula>
    </cfRule>
  </conditionalFormatting>
  <conditionalFormatting sqref="AA4540">
    <cfRule type="cellIs" dxfId="1190" priority="1231" stopIfTrue="1" operator="lessThanOrEqual">
      <formula>3.5</formula>
    </cfRule>
    <cfRule type="cellIs" dxfId="1189" priority="1232" stopIfTrue="1" operator="greaterThanOrEqual">
      <formula>7.5</formula>
    </cfRule>
    <cfRule type="cellIs" dxfId="1188" priority="1233" stopIfTrue="1" operator="between">
      <formula>3.51</formula>
      <formula>7.49</formula>
    </cfRule>
  </conditionalFormatting>
  <conditionalFormatting sqref="AA3993">
    <cfRule type="cellIs" dxfId="1187" priority="1228" stopIfTrue="1" operator="lessThanOrEqual">
      <formula>3.5</formula>
    </cfRule>
    <cfRule type="cellIs" dxfId="1186" priority="1229" stopIfTrue="1" operator="greaterThanOrEqual">
      <formula>7.5</formula>
    </cfRule>
    <cfRule type="cellIs" dxfId="1185" priority="1230" stopIfTrue="1" operator="between">
      <formula>3.51</formula>
      <formula>7.49</formula>
    </cfRule>
  </conditionalFormatting>
  <conditionalFormatting sqref="AA4057">
    <cfRule type="cellIs" dxfId="1184" priority="1225" stopIfTrue="1" operator="lessThanOrEqual">
      <formula>3.5</formula>
    </cfRule>
    <cfRule type="cellIs" dxfId="1183" priority="1226" stopIfTrue="1" operator="greaterThanOrEqual">
      <formula>7.5</formula>
    </cfRule>
    <cfRule type="cellIs" dxfId="1182" priority="1227" stopIfTrue="1" operator="between">
      <formula>3.51</formula>
      <formula>7.49</formula>
    </cfRule>
  </conditionalFormatting>
  <conditionalFormatting sqref="AA4260">
    <cfRule type="cellIs" dxfId="1181" priority="1222" stopIfTrue="1" operator="lessThanOrEqual">
      <formula>3.5</formula>
    </cfRule>
    <cfRule type="cellIs" dxfId="1180" priority="1223" stopIfTrue="1" operator="greaterThanOrEqual">
      <formula>7.5</formula>
    </cfRule>
    <cfRule type="cellIs" dxfId="1179" priority="1224" stopIfTrue="1" operator="between">
      <formula>3.51</formula>
      <formula>7.49</formula>
    </cfRule>
  </conditionalFormatting>
  <conditionalFormatting sqref="AA4038">
    <cfRule type="cellIs" dxfId="1178" priority="1219" stopIfTrue="1" operator="lessThanOrEqual">
      <formula>3.5</formula>
    </cfRule>
    <cfRule type="cellIs" dxfId="1177" priority="1220" stopIfTrue="1" operator="greaterThanOrEqual">
      <formula>7.5</formula>
    </cfRule>
    <cfRule type="cellIs" dxfId="1176" priority="1221" stopIfTrue="1" operator="between">
      <formula>3.51</formula>
      <formula>7.49</formula>
    </cfRule>
  </conditionalFormatting>
  <conditionalFormatting sqref="AA5021">
    <cfRule type="cellIs" dxfId="1175" priority="1216" stopIfTrue="1" operator="lessThanOrEqual">
      <formula>3.5</formula>
    </cfRule>
    <cfRule type="cellIs" dxfId="1174" priority="1217" stopIfTrue="1" operator="greaterThanOrEqual">
      <formula>7.5</formula>
    </cfRule>
    <cfRule type="cellIs" dxfId="1173" priority="1218" stopIfTrue="1" operator="between">
      <formula>3.51</formula>
      <formula>7.49</formula>
    </cfRule>
  </conditionalFormatting>
  <conditionalFormatting sqref="AA4208">
    <cfRule type="cellIs" dxfId="1172" priority="1213" stopIfTrue="1" operator="lessThanOrEqual">
      <formula>3.5</formula>
    </cfRule>
    <cfRule type="cellIs" dxfId="1171" priority="1214" stopIfTrue="1" operator="greaterThanOrEqual">
      <formula>7.5</formula>
    </cfRule>
    <cfRule type="cellIs" dxfId="1170" priority="1215" stopIfTrue="1" operator="between">
      <formula>3.51</formula>
      <formula>7.49</formula>
    </cfRule>
  </conditionalFormatting>
  <conditionalFormatting sqref="AA1299">
    <cfRule type="cellIs" dxfId="1169" priority="1210" stopIfTrue="1" operator="lessThanOrEqual">
      <formula>3.5</formula>
    </cfRule>
    <cfRule type="cellIs" dxfId="1168" priority="1211" stopIfTrue="1" operator="greaterThanOrEqual">
      <formula>7.5</formula>
    </cfRule>
    <cfRule type="cellIs" dxfId="1167" priority="1212" stopIfTrue="1" operator="between">
      <formula>3.51</formula>
      <formula>7.49</formula>
    </cfRule>
  </conditionalFormatting>
  <conditionalFormatting sqref="AA1292">
    <cfRule type="cellIs" dxfId="1166" priority="1207" stopIfTrue="1" operator="lessThanOrEqual">
      <formula>3.5</formula>
    </cfRule>
    <cfRule type="cellIs" dxfId="1165" priority="1208" stopIfTrue="1" operator="greaterThanOrEqual">
      <formula>7.5</formula>
    </cfRule>
    <cfRule type="cellIs" dxfId="1164" priority="1209" stopIfTrue="1" operator="between">
      <formula>3.51</formula>
      <formula>7.49</formula>
    </cfRule>
  </conditionalFormatting>
  <conditionalFormatting sqref="AA1293">
    <cfRule type="cellIs" dxfId="1163" priority="1204" stopIfTrue="1" operator="lessThanOrEqual">
      <formula>3.5</formula>
    </cfRule>
    <cfRule type="cellIs" dxfId="1162" priority="1205" stopIfTrue="1" operator="greaterThanOrEqual">
      <formula>7.5</formula>
    </cfRule>
    <cfRule type="cellIs" dxfId="1161" priority="1206" stopIfTrue="1" operator="between">
      <formula>3.51</formula>
      <formula>7.49</formula>
    </cfRule>
  </conditionalFormatting>
  <conditionalFormatting sqref="AA1294">
    <cfRule type="cellIs" dxfId="1160" priority="1201" stopIfTrue="1" operator="lessThanOrEqual">
      <formula>3.5</formula>
    </cfRule>
    <cfRule type="cellIs" dxfId="1159" priority="1202" stopIfTrue="1" operator="greaterThanOrEqual">
      <formula>7.5</formula>
    </cfRule>
    <cfRule type="cellIs" dxfId="1158" priority="1203" stopIfTrue="1" operator="between">
      <formula>3.51</formula>
      <formula>7.49</formula>
    </cfRule>
  </conditionalFormatting>
  <conditionalFormatting sqref="AA5099">
    <cfRule type="cellIs" dxfId="1157" priority="1198" stopIfTrue="1" operator="lessThanOrEqual">
      <formula>3.5</formula>
    </cfRule>
    <cfRule type="cellIs" dxfId="1156" priority="1199" stopIfTrue="1" operator="greaterThanOrEqual">
      <formula>7.5</formula>
    </cfRule>
    <cfRule type="cellIs" dxfId="1155" priority="1200" stopIfTrue="1" operator="between">
      <formula>3.51</formula>
      <formula>7.49</formula>
    </cfRule>
  </conditionalFormatting>
  <conditionalFormatting sqref="AA5095">
    <cfRule type="cellIs" dxfId="1154" priority="1195" stopIfTrue="1" operator="lessThanOrEqual">
      <formula>3.5</formula>
    </cfRule>
    <cfRule type="cellIs" dxfId="1153" priority="1196" stopIfTrue="1" operator="greaterThanOrEqual">
      <formula>7.5</formula>
    </cfRule>
    <cfRule type="cellIs" dxfId="1152" priority="1197" stopIfTrue="1" operator="between">
      <formula>3.51</formula>
      <formula>7.49</formula>
    </cfRule>
  </conditionalFormatting>
  <conditionalFormatting sqref="AA5083">
    <cfRule type="cellIs" dxfId="1151" priority="1192" stopIfTrue="1" operator="lessThanOrEqual">
      <formula>3.5</formula>
    </cfRule>
    <cfRule type="cellIs" dxfId="1150" priority="1193" stopIfTrue="1" operator="greaterThanOrEqual">
      <formula>7.5</formula>
    </cfRule>
    <cfRule type="cellIs" dxfId="1149" priority="1194" stopIfTrue="1" operator="between">
      <formula>3.51</formula>
      <formula>7.49</formula>
    </cfRule>
  </conditionalFormatting>
  <conditionalFormatting sqref="AA5087">
    <cfRule type="cellIs" dxfId="1148" priority="1189" stopIfTrue="1" operator="lessThanOrEqual">
      <formula>3.5</formula>
    </cfRule>
    <cfRule type="cellIs" dxfId="1147" priority="1190" stopIfTrue="1" operator="greaterThanOrEqual">
      <formula>7.5</formula>
    </cfRule>
    <cfRule type="cellIs" dxfId="1146" priority="1191" stopIfTrue="1" operator="between">
      <formula>3.51</formula>
      <formula>7.49</formula>
    </cfRule>
  </conditionalFormatting>
  <conditionalFormatting sqref="AA5086">
    <cfRule type="cellIs" dxfId="1145" priority="1186" stopIfTrue="1" operator="lessThanOrEqual">
      <formula>3.5</formula>
    </cfRule>
    <cfRule type="cellIs" dxfId="1144" priority="1187" stopIfTrue="1" operator="greaterThanOrEqual">
      <formula>7.5</formula>
    </cfRule>
    <cfRule type="cellIs" dxfId="1143" priority="1188" stopIfTrue="1" operator="between">
      <formula>3.51</formula>
      <formula>7.49</formula>
    </cfRule>
  </conditionalFormatting>
  <conditionalFormatting sqref="AA5098">
    <cfRule type="cellIs" dxfId="1142" priority="1183" stopIfTrue="1" operator="lessThanOrEqual">
      <formula>3.5</formula>
    </cfRule>
    <cfRule type="cellIs" dxfId="1141" priority="1184" stopIfTrue="1" operator="greaterThanOrEqual">
      <formula>7.5</formula>
    </cfRule>
    <cfRule type="cellIs" dxfId="1140" priority="1185" stopIfTrue="1" operator="between">
      <formula>3.51</formula>
      <formula>7.49</formula>
    </cfRule>
  </conditionalFormatting>
  <conditionalFormatting sqref="AA5097">
    <cfRule type="cellIs" dxfId="1139" priority="1180" stopIfTrue="1" operator="lessThanOrEqual">
      <formula>3.5</formula>
    </cfRule>
    <cfRule type="cellIs" dxfId="1138" priority="1181" stopIfTrue="1" operator="greaterThanOrEqual">
      <formula>7.5</formula>
    </cfRule>
    <cfRule type="cellIs" dxfId="1137" priority="1182" stopIfTrue="1" operator="between">
      <formula>3.51</formula>
      <formula>7.49</formula>
    </cfRule>
  </conditionalFormatting>
  <conditionalFormatting sqref="AA5096">
    <cfRule type="cellIs" dxfId="1136" priority="1177" stopIfTrue="1" operator="lessThanOrEqual">
      <formula>3.5</formula>
    </cfRule>
    <cfRule type="cellIs" dxfId="1135" priority="1178" stopIfTrue="1" operator="greaterThanOrEqual">
      <formula>7.5</formula>
    </cfRule>
    <cfRule type="cellIs" dxfId="1134" priority="1179" stopIfTrue="1" operator="between">
      <formula>3.51</formula>
      <formula>7.49</formula>
    </cfRule>
  </conditionalFormatting>
  <conditionalFormatting sqref="AA1295">
    <cfRule type="cellIs" dxfId="1133" priority="1174" stopIfTrue="1" operator="lessThanOrEqual">
      <formula>3.5</formula>
    </cfRule>
    <cfRule type="cellIs" dxfId="1132" priority="1175" stopIfTrue="1" operator="greaterThanOrEqual">
      <formula>7.5</formula>
    </cfRule>
    <cfRule type="cellIs" dxfId="1131" priority="1176" stopIfTrue="1" operator="between">
      <formula>3.51</formula>
      <formula>7.49</formula>
    </cfRule>
  </conditionalFormatting>
  <conditionalFormatting sqref="AA1298">
    <cfRule type="cellIs" dxfId="1130" priority="1171" stopIfTrue="1" operator="lessThanOrEqual">
      <formula>3.5</formula>
    </cfRule>
    <cfRule type="cellIs" dxfId="1129" priority="1172" stopIfTrue="1" operator="greaterThanOrEqual">
      <formula>7.5</formula>
    </cfRule>
    <cfRule type="cellIs" dxfId="1128" priority="1173" stopIfTrue="1" operator="between">
      <formula>3.51</formula>
      <formula>7.49</formula>
    </cfRule>
  </conditionalFormatting>
  <conditionalFormatting sqref="AA1297">
    <cfRule type="cellIs" dxfId="1127" priority="1168" stopIfTrue="1" operator="lessThanOrEqual">
      <formula>3.5</formula>
    </cfRule>
    <cfRule type="cellIs" dxfId="1126" priority="1169" stopIfTrue="1" operator="greaterThanOrEqual">
      <formula>7.5</formula>
    </cfRule>
    <cfRule type="cellIs" dxfId="1125" priority="1170" stopIfTrue="1" operator="between">
      <formula>3.51</formula>
      <formula>7.49</formula>
    </cfRule>
  </conditionalFormatting>
  <conditionalFormatting sqref="AA1296">
    <cfRule type="cellIs" dxfId="1124" priority="1165" stopIfTrue="1" operator="lessThanOrEqual">
      <formula>3.5</formula>
    </cfRule>
    <cfRule type="cellIs" dxfId="1123" priority="1166" stopIfTrue="1" operator="greaterThanOrEqual">
      <formula>7.5</formula>
    </cfRule>
    <cfRule type="cellIs" dxfId="1122" priority="1167" stopIfTrue="1" operator="between">
      <formula>3.51</formula>
      <formula>7.49</formula>
    </cfRule>
  </conditionalFormatting>
  <conditionalFormatting sqref="AA2092">
    <cfRule type="cellIs" dxfId="1121" priority="1162" stopIfTrue="1" operator="lessThanOrEqual">
      <formula>3.5</formula>
    </cfRule>
    <cfRule type="cellIs" dxfId="1120" priority="1163" stopIfTrue="1" operator="greaterThanOrEqual">
      <formula>7.5</formula>
    </cfRule>
    <cfRule type="cellIs" dxfId="1119" priority="1164" stopIfTrue="1" operator="between">
      <formula>3.51</formula>
      <formula>7.49</formula>
    </cfRule>
  </conditionalFormatting>
  <conditionalFormatting sqref="AA5322">
    <cfRule type="cellIs" dxfId="1118" priority="1159" stopIfTrue="1" operator="lessThanOrEqual">
      <formula>3.5</formula>
    </cfRule>
    <cfRule type="cellIs" dxfId="1117" priority="1160" stopIfTrue="1" operator="greaterThanOrEqual">
      <formula>7.5</formula>
    </cfRule>
    <cfRule type="cellIs" dxfId="1116" priority="1161" stopIfTrue="1" operator="between">
      <formula>3.51</formula>
      <formula>7.49</formula>
    </cfRule>
  </conditionalFormatting>
  <conditionalFormatting sqref="AA3829">
    <cfRule type="cellIs" dxfId="1115" priority="1156" stopIfTrue="1" operator="lessThanOrEqual">
      <formula>3.5</formula>
    </cfRule>
    <cfRule type="cellIs" dxfId="1114" priority="1157" stopIfTrue="1" operator="greaterThanOrEqual">
      <formula>7.5</formula>
    </cfRule>
    <cfRule type="cellIs" dxfId="1113" priority="1158" stopIfTrue="1" operator="between">
      <formula>3.51</formula>
      <formula>7.49</formula>
    </cfRule>
  </conditionalFormatting>
  <conditionalFormatting sqref="AA3833">
    <cfRule type="cellIs" dxfId="1112" priority="1153" stopIfTrue="1" operator="lessThanOrEqual">
      <formula>3.5</formula>
    </cfRule>
    <cfRule type="cellIs" dxfId="1111" priority="1154" stopIfTrue="1" operator="greaterThanOrEqual">
      <formula>7.5</formula>
    </cfRule>
    <cfRule type="cellIs" dxfId="1110" priority="1155" stopIfTrue="1" operator="between">
      <formula>3.51</formula>
      <formula>7.49</formula>
    </cfRule>
  </conditionalFormatting>
  <conditionalFormatting sqref="AA3832">
    <cfRule type="cellIs" dxfId="1109" priority="1150" stopIfTrue="1" operator="lessThanOrEqual">
      <formula>3.5</formula>
    </cfRule>
    <cfRule type="cellIs" dxfId="1108" priority="1151" stopIfTrue="1" operator="greaterThanOrEqual">
      <formula>7.5</formula>
    </cfRule>
    <cfRule type="cellIs" dxfId="1107" priority="1152" stopIfTrue="1" operator="between">
      <formula>3.51</formula>
      <formula>7.49</formula>
    </cfRule>
  </conditionalFormatting>
  <conditionalFormatting sqref="AA3831">
    <cfRule type="cellIs" dxfId="1106" priority="1147" stopIfTrue="1" operator="lessThanOrEqual">
      <formula>3.5</formula>
    </cfRule>
    <cfRule type="cellIs" dxfId="1105" priority="1148" stopIfTrue="1" operator="greaterThanOrEqual">
      <formula>7.5</formula>
    </cfRule>
    <cfRule type="cellIs" dxfId="1104" priority="1149" stopIfTrue="1" operator="between">
      <formula>3.51</formula>
      <formula>7.49</formula>
    </cfRule>
  </conditionalFormatting>
  <conditionalFormatting sqref="AA2239">
    <cfRule type="cellIs" dxfId="1103" priority="1144" stopIfTrue="1" operator="lessThanOrEqual">
      <formula>3.5</formula>
    </cfRule>
    <cfRule type="cellIs" dxfId="1102" priority="1145" stopIfTrue="1" operator="greaterThanOrEqual">
      <formula>7.5</formula>
    </cfRule>
    <cfRule type="cellIs" dxfId="1101" priority="1146" stopIfTrue="1" operator="between">
      <formula>3.51</formula>
      <formula>7.49</formula>
    </cfRule>
  </conditionalFormatting>
  <conditionalFormatting sqref="AA528">
    <cfRule type="cellIs" dxfId="1100" priority="1141" stopIfTrue="1" operator="lessThanOrEqual">
      <formula>3.5</formula>
    </cfRule>
    <cfRule type="cellIs" dxfId="1099" priority="1142" stopIfTrue="1" operator="greaterThanOrEqual">
      <formula>7.5</formula>
    </cfRule>
    <cfRule type="cellIs" dxfId="1098" priority="1143" stopIfTrue="1" operator="between">
      <formula>3.51</formula>
      <formula>7.49</formula>
    </cfRule>
  </conditionalFormatting>
  <conditionalFormatting sqref="AA529">
    <cfRule type="cellIs" dxfId="1097" priority="1138" stopIfTrue="1" operator="lessThanOrEqual">
      <formula>3.5</formula>
    </cfRule>
    <cfRule type="cellIs" dxfId="1096" priority="1139" stopIfTrue="1" operator="greaterThanOrEqual">
      <formula>7.5</formula>
    </cfRule>
    <cfRule type="cellIs" dxfId="1095" priority="1140" stopIfTrue="1" operator="between">
      <formula>3.51</formula>
      <formula>7.49</formula>
    </cfRule>
  </conditionalFormatting>
  <conditionalFormatting sqref="AA2266">
    <cfRule type="cellIs" dxfId="1094" priority="1135" stopIfTrue="1" operator="lessThanOrEqual">
      <formula>3.5</formula>
    </cfRule>
    <cfRule type="cellIs" dxfId="1093" priority="1136" stopIfTrue="1" operator="greaterThanOrEqual">
      <formula>7.5</formula>
    </cfRule>
    <cfRule type="cellIs" dxfId="1092" priority="1137" stopIfTrue="1" operator="between">
      <formula>3.51</formula>
      <formula>7.49</formula>
    </cfRule>
  </conditionalFormatting>
  <conditionalFormatting sqref="AA526">
    <cfRule type="cellIs" dxfId="1091" priority="1132" stopIfTrue="1" operator="lessThanOrEqual">
      <formula>3.5</formula>
    </cfRule>
    <cfRule type="cellIs" dxfId="1090" priority="1133" stopIfTrue="1" operator="greaterThanOrEqual">
      <formula>7.5</formula>
    </cfRule>
    <cfRule type="cellIs" dxfId="1089" priority="1134" stopIfTrue="1" operator="between">
      <formula>3.51</formula>
      <formula>7.49</formula>
    </cfRule>
  </conditionalFormatting>
  <conditionalFormatting sqref="AA524">
    <cfRule type="cellIs" dxfId="1088" priority="1129" stopIfTrue="1" operator="lessThanOrEqual">
      <formula>3.5</formula>
    </cfRule>
    <cfRule type="cellIs" dxfId="1087" priority="1130" stopIfTrue="1" operator="greaterThanOrEqual">
      <formula>7.5</formula>
    </cfRule>
    <cfRule type="cellIs" dxfId="1086" priority="1131" stopIfTrue="1" operator="between">
      <formula>3.51</formula>
      <formula>7.49</formula>
    </cfRule>
  </conditionalFormatting>
  <conditionalFormatting sqref="AA521">
    <cfRule type="cellIs" dxfId="1085" priority="1126" stopIfTrue="1" operator="lessThanOrEqual">
      <formula>3.5</formula>
    </cfRule>
    <cfRule type="cellIs" dxfId="1084" priority="1127" stopIfTrue="1" operator="greaterThanOrEqual">
      <formula>7.5</formula>
    </cfRule>
    <cfRule type="cellIs" dxfId="1083" priority="1128" stopIfTrue="1" operator="between">
      <formula>3.51</formula>
      <formula>7.49</formula>
    </cfRule>
  </conditionalFormatting>
  <conditionalFormatting sqref="AA486">
    <cfRule type="cellIs" dxfId="1082" priority="1123" stopIfTrue="1" operator="lessThanOrEqual">
      <formula>3.5</formula>
    </cfRule>
    <cfRule type="cellIs" dxfId="1081" priority="1124" stopIfTrue="1" operator="greaterThanOrEqual">
      <formula>7.5</formula>
    </cfRule>
    <cfRule type="cellIs" dxfId="1080" priority="1125" stopIfTrue="1" operator="between">
      <formula>3.51</formula>
      <formula>7.49</formula>
    </cfRule>
  </conditionalFormatting>
  <conditionalFormatting sqref="AA532">
    <cfRule type="cellIs" dxfId="1079" priority="1120" stopIfTrue="1" operator="lessThanOrEqual">
      <formula>3.5</formula>
    </cfRule>
    <cfRule type="cellIs" dxfId="1078" priority="1121" stopIfTrue="1" operator="greaterThanOrEqual">
      <formula>7.5</formula>
    </cfRule>
    <cfRule type="cellIs" dxfId="1077" priority="1122" stopIfTrue="1" operator="between">
      <formula>3.51</formula>
      <formula>7.49</formula>
    </cfRule>
  </conditionalFormatting>
  <conditionalFormatting sqref="AA5324">
    <cfRule type="cellIs" dxfId="1076" priority="1117" stopIfTrue="1" operator="lessThanOrEqual">
      <formula>3.5</formula>
    </cfRule>
    <cfRule type="cellIs" dxfId="1075" priority="1118" stopIfTrue="1" operator="greaterThanOrEqual">
      <formula>7.5</formula>
    </cfRule>
    <cfRule type="cellIs" dxfId="1074" priority="1119" stopIfTrue="1" operator="between">
      <formula>3.51</formula>
      <formula>7.49</formula>
    </cfRule>
  </conditionalFormatting>
  <conditionalFormatting sqref="AA2588">
    <cfRule type="cellIs" dxfId="1073" priority="1114" stopIfTrue="1" operator="lessThanOrEqual">
      <formula>3.5</formula>
    </cfRule>
    <cfRule type="cellIs" dxfId="1072" priority="1115" stopIfTrue="1" operator="greaterThanOrEqual">
      <formula>7.5</formula>
    </cfRule>
    <cfRule type="cellIs" dxfId="1071" priority="1116" stopIfTrue="1" operator="between">
      <formula>3.51</formula>
      <formula>7.49</formula>
    </cfRule>
  </conditionalFormatting>
  <conditionalFormatting sqref="AA4761">
    <cfRule type="cellIs" dxfId="1070" priority="1111" stopIfTrue="1" operator="lessThanOrEqual">
      <formula>3.5</formula>
    </cfRule>
    <cfRule type="cellIs" dxfId="1069" priority="1112" stopIfTrue="1" operator="greaterThanOrEqual">
      <formula>7.5</formula>
    </cfRule>
    <cfRule type="cellIs" dxfId="1068" priority="1113" stopIfTrue="1" operator="between">
      <formula>3.51</formula>
      <formula>7.49</formula>
    </cfRule>
  </conditionalFormatting>
  <conditionalFormatting sqref="AA5378">
    <cfRule type="cellIs" dxfId="1067" priority="1108" stopIfTrue="1" operator="lessThanOrEqual">
      <formula>3.5</formula>
    </cfRule>
    <cfRule type="cellIs" dxfId="1066" priority="1109" stopIfTrue="1" operator="greaterThanOrEqual">
      <formula>7.5</formula>
    </cfRule>
    <cfRule type="cellIs" dxfId="1065" priority="1110" stopIfTrue="1" operator="between">
      <formula>3.51</formula>
      <formula>7.49</formula>
    </cfRule>
  </conditionalFormatting>
  <conditionalFormatting sqref="AA5335">
    <cfRule type="cellIs" dxfId="1064" priority="1105" stopIfTrue="1" operator="lessThanOrEqual">
      <formula>3.5</formula>
    </cfRule>
    <cfRule type="cellIs" dxfId="1063" priority="1106" stopIfTrue="1" operator="greaterThanOrEqual">
      <formula>7.5</formula>
    </cfRule>
    <cfRule type="cellIs" dxfId="1062" priority="1107" stopIfTrue="1" operator="between">
      <formula>3.51</formula>
      <formula>7.49</formula>
    </cfRule>
  </conditionalFormatting>
  <conditionalFormatting sqref="AA5356">
    <cfRule type="cellIs" dxfId="1061" priority="1102" stopIfTrue="1" operator="lessThanOrEqual">
      <formula>3.5</formula>
    </cfRule>
    <cfRule type="cellIs" dxfId="1060" priority="1103" stopIfTrue="1" operator="greaterThanOrEqual">
      <formula>7.5</formula>
    </cfRule>
    <cfRule type="cellIs" dxfId="1059" priority="1104" stopIfTrue="1" operator="between">
      <formula>3.51</formula>
      <formula>7.49</formula>
    </cfRule>
  </conditionalFormatting>
  <conditionalFormatting sqref="AA5004">
    <cfRule type="cellIs" dxfId="1058" priority="1099" stopIfTrue="1" operator="lessThanOrEqual">
      <formula>3.5</formula>
    </cfRule>
    <cfRule type="cellIs" dxfId="1057" priority="1100" stopIfTrue="1" operator="greaterThanOrEqual">
      <formula>7.5</formula>
    </cfRule>
    <cfRule type="cellIs" dxfId="1056" priority="1101" stopIfTrue="1" operator="between">
      <formula>3.51</formula>
      <formula>7.49</formula>
    </cfRule>
  </conditionalFormatting>
  <conditionalFormatting sqref="AA3895">
    <cfRule type="cellIs" dxfId="1055" priority="1096" stopIfTrue="1" operator="lessThanOrEqual">
      <formula>3.5</formula>
    </cfRule>
    <cfRule type="cellIs" dxfId="1054" priority="1097" stopIfTrue="1" operator="greaterThanOrEqual">
      <formula>7.5</formula>
    </cfRule>
    <cfRule type="cellIs" dxfId="1053" priority="1098" stopIfTrue="1" operator="between">
      <formula>3.51</formula>
      <formula>7.49</formula>
    </cfRule>
  </conditionalFormatting>
  <conditionalFormatting sqref="AA1055">
    <cfRule type="cellIs" dxfId="1052" priority="1093" stopIfTrue="1" operator="lessThanOrEqual">
      <formula>3.5</formula>
    </cfRule>
    <cfRule type="cellIs" dxfId="1051" priority="1094" stopIfTrue="1" operator="greaterThanOrEqual">
      <formula>7.5</formula>
    </cfRule>
    <cfRule type="cellIs" dxfId="1050" priority="1095" stopIfTrue="1" operator="between">
      <formula>3.51</formula>
      <formula>7.49</formula>
    </cfRule>
  </conditionalFormatting>
  <conditionalFormatting sqref="AA4910">
    <cfRule type="cellIs" dxfId="1049" priority="1090" stopIfTrue="1" operator="lessThanOrEqual">
      <formula>3.5</formula>
    </cfRule>
    <cfRule type="cellIs" dxfId="1048" priority="1091" stopIfTrue="1" operator="greaterThanOrEqual">
      <formula>7.5</formula>
    </cfRule>
    <cfRule type="cellIs" dxfId="1047" priority="1092" stopIfTrue="1" operator="between">
      <formula>3.51</formula>
      <formula>7.49</formula>
    </cfRule>
  </conditionalFormatting>
  <conditionalFormatting sqref="AA4909">
    <cfRule type="cellIs" dxfId="1046" priority="1087" stopIfTrue="1" operator="lessThanOrEqual">
      <formula>3.5</formula>
    </cfRule>
    <cfRule type="cellIs" dxfId="1045" priority="1088" stopIfTrue="1" operator="greaterThanOrEqual">
      <formula>7.5</formula>
    </cfRule>
    <cfRule type="cellIs" dxfId="1044" priority="1089" stopIfTrue="1" operator="between">
      <formula>3.51</formula>
      <formula>7.49</formula>
    </cfRule>
  </conditionalFormatting>
  <conditionalFormatting sqref="AA427">
    <cfRule type="cellIs" dxfId="1043" priority="1084" stopIfTrue="1" operator="lessThanOrEqual">
      <formula>3.5</formula>
    </cfRule>
    <cfRule type="cellIs" dxfId="1042" priority="1085" stopIfTrue="1" operator="greaterThanOrEqual">
      <formula>7.5</formula>
    </cfRule>
    <cfRule type="cellIs" dxfId="1041" priority="1086" stopIfTrue="1" operator="between">
      <formula>3.51</formula>
      <formula>7.49</formula>
    </cfRule>
  </conditionalFormatting>
  <conditionalFormatting sqref="AA427">
    <cfRule type="cellIs" dxfId="1040" priority="1081" stopIfTrue="1" operator="lessThanOrEqual">
      <formula>3.5</formula>
    </cfRule>
    <cfRule type="cellIs" dxfId="1039" priority="1082" stopIfTrue="1" operator="greaterThanOrEqual">
      <formula>7.5</formula>
    </cfRule>
    <cfRule type="cellIs" dxfId="1038" priority="1083" stopIfTrue="1" operator="between">
      <formula>3.51</formula>
      <formula>7.49</formula>
    </cfRule>
  </conditionalFormatting>
  <conditionalFormatting sqref="AA1302">
    <cfRule type="cellIs" dxfId="1037" priority="1078" stopIfTrue="1" operator="lessThanOrEqual">
      <formula>3.5</formula>
    </cfRule>
    <cfRule type="cellIs" dxfId="1036" priority="1079" stopIfTrue="1" operator="greaterThanOrEqual">
      <formula>7.5</formula>
    </cfRule>
    <cfRule type="cellIs" dxfId="1035" priority="1080" stopIfTrue="1" operator="between">
      <formula>3.51</formula>
      <formula>7.49</formula>
    </cfRule>
  </conditionalFormatting>
  <conditionalFormatting sqref="AA5209">
    <cfRule type="cellIs" dxfId="1034" priority="1075" stopIfTrue="1" operator="lessThanOrEqual">
      <formula>3.5</formula>
    </cfRule>
    <cfRule type="cellIs" dxfId="1033" priority="1076" stopIfTrue="1" operator="greaterThanOrEqual">
      <formula>7.5</formula>
    </cfRule>
    <cfRule type="cellIs" dxfId="1032" priority="1077" stopIfTrue="1" operator="between">
      <formula>3.51</formula>
      <formula>7.49</formula>
    </cfRule>
  </conditionalFormatting>
  <conditionalFormatting sqref="AA4946">
    <cfRule type="cellIs" dxfId="1031" priority="1072" stopIfTrue="1" operator="lessThanOrEqual">
      <formula>3.5</formula>
    </cfRule>
    <cfRule type="cellIs" dxfId="1030" priority="1073" stopIfTrue="1" operator="greaterThanOrEqual">
      <formula>7.5</formula>
    </cfRule>
    <cfRule type="cellIs" dxfId="1029" priority="1074" stopIfTrue="1" operator="between">
      <formula>3.51</formula>
      <formula>7.49</formula>
    </cfRule>
  </conditionalFormatting>
  <conditionalFormatting sqref="AA4946">
    <cfRule type="cellIs" dxfId="1028" priority="1069" stopIfTrue="1" operator="lessThanOrEqual">
      <formula>3.5</formula>
    </cfRule>
    <cfRule type="cellIs" dxfId="1027" priority="1070" stopIfTrue="1" operator="greaterThanOrEqual">
      <formula>7.5</formula>
    </cfRule>
    <cfRule type="cellIs" dxfId="1026" priority="1071" stopIfTrue="1" operator="between">
      <formula>3.51</formula>
      <formula>7.49</formula>
    </cfRule>
  </conditionalFormatting>
  <conditionalFormatting sqref="AA4244">
    <cfRule type="cellIs" dxfId="1025" priority="1066" stopIfTrue="1" operator="lessThanOrEqual">
      <formula>3.5</formula>
    </cfRule>
    <cfRule type="cellIs" dxfId="1024" priority="1067" stopIfTrue="1" operator="greaterThanOrEqual">
      <formula>7.5</formula>
    </cfRule>
    <cfRule type="cellIs" dxfId="1023" priority="1068" stopIfTrue="1" operator="between">
      <formula>3.51</formula>
      <formula>7.49</formula>
    </cfRule>
  </conditionalFormatting>
  <conditionalFormatting sqref="AA4243">
    <cfRule type="cellIs" dxfId="1022" priority="1063" stopIfTrue="1" operator="lessThanOrEqual">
      <formula>3.5</formula>
    </cfRule>
    <cfRule type="cellIs" dxfId="1021" priority="1064" stopIfTrue="1" operator="greaterThanOrEqual">
      <formula>7.5</formula>
    </cfRule>
    <cfRule type="cellIs" dxfId="1020" priority="1065" stopIfTrue="1" operator="between">
      <formula>3.51</formula>
      <formula>7.49</formula>
    </cfRule>
  </conditionalFormatting>
  <conditionalFormatting sqref="AA4246">
    <cfRule type="cellIs" dxfId="1019" priority="1060" stopIfTrue="1" operator="lessThanOrEqual">
      <formula>3.5</formula>
    </cfRule>
    <cfRule type="cellIs" dxfId="1018" priority="1061" stopIfTrue="1" operator="greaterThanOrEqual">
      <formula>7.5</formula>
    </cfRule>
    <cfRule type="cellIs" dxfId="1017" priority="1062" stopIfTrue="1" operator="between">
      <formula>3.51</formula>
      <formula>7.49</formula>
    </cfRule>
  </conditionalFormatting>
  <conditionalFormatting sqref="AA4245">
    <cfRule type="cellIs" dxfId="1016" priority="1057" stopIfTrue="1" operator="lessThanOrEqual">
      <formula>3.5</formula>
    </cfRule>
    <cfRule type="cellIs" dxfId="1015" priority="1058" stopIfTrue="1" operator="greaterThanOrEqual">
      <formula>7.5</formula>
    </cfRule>
    <cfRule type="cellIs" dxfId="1014" priority="1059" stopIfTrue="1" operator="between">
      <formula>3.51</formula>
      <formula>7.49</formula>
    </cfRule>
  </conditionalFormatting>
  <conditionalFormatting sqref="AA443">
    <cfRule type="cellIs" dxfId="1013" priority="1054" stopIfTrue="1" operator="lessThanOrEqual">
      <formula>3.5</formula>
    </cfRule>
    <cfRule type="cellIs" dxfId="1012" priority="1055" stopIfTrue="1" operator="greaterThanOrEqual">
      <formula>7.5</formula>
    </cfRule>
    <cfRule type="cellIs" dxfId="1011" priority="1056" stopIfTrue="1" operator="between">
      <formula>3.51</formula>
      <formula>7.49</formula>
    </cfRule>
  </conditionalFormatting>
  <conditionalFormatting sqref="AA443">
    <cfRule type="cellIs" dxfId="1010" priority="1051" stopIfTrue="1" operator="lessThanOrEqual">
      <formula>3.5</formula>
    </cfRule>
    <cfRule type="cellIs" dxfId="1009" priority="1052" stopIfTrue="1" operator="greaterThanOrEqual">
      <formula>7.5</formula>
    </cfRule>
    <cfRule type="cellIs" dxfId="1008" priority="1053" stopIfTrue="1" operator="between">
      <formula>3.51</formula>
      <formula>7.49</formula>
    </cfRule>
  </conditionalFormatting>
  <conditionalFormatting sqref="AA375">
    <cfRule type="cellIs" dxfId="1007" priority="1048" stopIfTrue="1" operator="lessThanOrEqual">
      <formula>3.5</formula>
    </cfRule>
    <cfRule type="cellIs" dxfId="1006" priority="1049" stopIfTrue="1" operator="greaterThanOrEqual">
      <formula>7.5</formula>
    </cfRule>
    <cfRule type="cellIs" dxfId="1005" priority="1050" stopIfTrue="1" operator="between">
      <formula>3.51</formula>
      <formula>7.49</formula>
    </cfRule>
  </conditionalFormatting>
  <conditionalFormatting sqref="AA375">
    <cfRule type="cellIs" dxfId="1004" priority="1045" stopIfTrue="1" operator="lessThanOrEqual">
      <formula>3.5</formula>
    </cfRule>
    <cfRule type="cellIs" dxfId="1003" priority="1046" stopIfTrue="1" operator="greaterThanOrEqual">
      <formula>7.5</formula>
    </cfRule>
    <cfRule type="cellIs" dxfId="1002" priority="1047" stopIfTrue="1" operator="between">
      <formula>3.51</formula>
      <formula>7.49</formula>
    </cfRule>
  </conditionalFormatting>
  <conditionalFormatting sqref="AA617">
    <cfRule type="cellIs" dxfId="1001" priority="1042" stopIfTrue="1" operator="lessThanOrEqual">
      <formula>3.5</formula>
    </cfRule>
    <cfRule type="cellIs" dxfId="1000" priority="1043" stopIfTrue="1" operator="greaterThanOrEqual">
      <formula>7.5</formula>
    </cfRule>
    <cfRule type="cellIs" dxfId="999" priority="1044" stopIfTrue="1" operator="between">
      <formula>3.51</formula>
      <formula>7.49</formula>
    </cfRule>
  </conditionalFormatting>
  <conditionalFormatting sqref="AA617">
    <cfRule type="cellIs" dxfId="998" priority="1039" stopIfTrue="1" operator="lessThanOrEqual">
      <formula>3.5</formula>
    </cfRule>
    <cfRule type="cellIs" dxfId="997" priority="1040" stopIfTrue="1" operator="greaterThanOrEqual">
      <formula>7.5</formula>
    </cfRule>
    <cfRule type="cellIs" dxfId="996" priority="1041" stopIfTrue="1" operator="between">
      <formula>3.51</formula>
      <formula>7.49</formula>
    </cfRule>
  </conditionalFormatting>
  <conditionalFormatting sqref="AA570">
    <cfRule type="cellIs" dxfId="995" priority="1036" stopIfTrue="1" operator="lessThanOrEqual">
      <formula>3.5</formula>
    </cfRule>
    <cfRule type="cellIs" dxfId="994" priority="1037" stopIfTrue="1" operator="greaterThanOrEqual">
      <formula>7.5</formula>
    </cfRule>
    <cfRule type="cellIs" dxfId="993" priority="1038" stopIfTrue="1" operator="between">
      <formula>3.51</formula>
      <formula>7.49</formula>
    </cfRule>
  </conditionalFormatting>
  <conditionalFormatting sqref="AA570">
    <cfRule type="cellIs" dxfId="992" priority="1033" stopIfTrue="1" operator="lessThanOrEqual">
      <formula>3.5</formula>
    </cfRule>
    <cfRule type="cellIs" dxfId="991" priority="1034" stopIfTrue="1" operator="greaterThanOrEqual">
      <formula>7.5</formula>
    </cfRule>
    <cfRule type="cellIs" dxfId="990" priority="1035" stopIfTrue="1" operator="between">
      <formula>3.51</formula>
      <formula>7.49</formula>
    </cfRule>
  </conditionalFormatting>
  <conditionalFormatting sqref="AA2091">
    <cfRule type="cellIs" dxfId="989" priority="1030" stopIfTrue="1" operator="lessThanOrEqual">
      <formula>3.5</formula>
    </cfRule>
    <cfRule type="cellIs" dxfId="988" priority="1031" stopIfTrue="1" operator="greaterThanOrEqual">
      <formula>7.5</formula>
    </cfRule>
    <cfRule type="cellIs" dxfId="987" priority="1032" stopIfTrue="1" operator="between">
      <formula>3.51</formula>
      <formula>7.49</formula>
    </cfRule>
  </conditionalFormatting>
  <conditionalFormatting sqref="AA5323">
    <cfRule type="cellIs" dxfId="986" priority="1027" stopIfTrue="1" operator="lessThanOrEqual">
      <formula>3.5</formula>
    </cfRule>
    <cfRule type="cellIs" dxfId="985" priority="1028" stopIfTrue="1" operator="greaterThanOrEqual">
      <formula>7.5</formula>
    </cfRule>
    <cfRule type="cellIs" dxfId="984" priority="1029" stopIfTrue="1" operator="between">
      <formula>3.51</formula>
      <formula>7.49</formula>
    </cfRule>
  </conditionalFormatting>
  <conditionalFormatting sqref="AA1804">
    <cfRule type="cellIs" dxfId="983" priority="1021" stopIfTrue="1" operator="lessThanOrEqual">
      <formula>3.5</formula>
    </cfRule>
    <cfRule type="cellIs" dxfId="982" priority="1022" stopIfTrue="1" operator="greaterThanOrEqual">
      <formula>7.5</formula>
    </cfRule>
    <cfRule type="cellIs" dxfId="981" priority="1023" stopIfTrue="1" operator="between">
      <formula>3.51</formula>
      <formula>7.49</formula>
    </cfRule>
  </conditionalFormatting>
  <conditionalFormatting sqref="AA4309">
    <cfRule type="cellIs" dxfId="980" priority="1018" stopIfTrue="1" operator="lessThanOrEqual">
      <formula>3.5</formula>
    </cfRule>
    <cfRule type="cellIs" dxfId="979" priority="1019" stopIfTrue="1" operator="greaterThanOrEqual">
      <formula>7.5</formula>
    </cfRule>
    <cfRule type="cellIs" dxfId="978" priority="1020" stopIfTrue="1" operator="between">
      <formula>3.51</formula>
      <formula>7.49</formula>
    </cfRule>
  </conditionalFormatting>
  <conditionalFormatting sqref="AA2589">
    <cfRule type="cellIs" dxfId="977" priority="1015" stopIfTrue="1" operator="lessThanOrEqual">
      <formula>3.5</formula>
    </cfRule>
    <cfRule type="cellIs" dxfId="976" priority="1016" stopIfTrue="1" operator="greaterThanOrEqual">
      <formula>7.5</formula>
    </cfRule>
    <cfRule type="cellIs" dxfId="975" priority="1017" stopIfTrue="1" operator="between">
      <formula>3.51</formula>
      <formula>7.49</formula>
    </cfRule>
  </conditionalFormatting>
  <conditionalFormatting sqref="AA2453">
    <cfRule type="cellIs" dxfId="974" priority="1012" stopIfTrue="1" operator="lessThanOrEqual">
      <formula>3.5</formula>
    </cfRule>
    <cfRule type="cellIs" dxfId="973" priority="1013" stopIfTrue="1" operator="greaterThanOrEqual">
      <formula>7.5</formula>
    </cfRule>
    <cfRule type="cellIs" dxfId="972" priority="1014" stopIfTrue="1" operator="between">
      <formula>3.51</formula>
      <formula>7.49</formula>
    </cfRule>
  </conditionalFormatting>
  <conditionalFormatting sqref="AA394">
    <cfRule type="cellIs" dxfId="971" priority="1009" stopIfTrue="1" operator="lessThanOrEqual">
      <formula>3.5</formula>
    </cfRule>
    <cfRule type="cellIs" dxfId="970" priority="1010" stopIfTrue="1" operator="greaterThanOrEqual">
      <formula>7.5</formula>
    </cfRule>
    <cfRule type="cellIs" dxfId="969" priority="1011" stopIfTrue="1" operator="between">
      <formula>3.51</formula>
      <formula>7.49</formula>
    </cfRule>
  </conditionalFormatting>
  <conditionalFormatting sqref="AA3821">
    <cfRule type="cellIs" dxfId="968" priority="1006" stopIfTrue="1" operator="lessThanOrEqual">
      <formula>3.5</formula>
    </cfRule>
    <cfRule type="cellIs" dxfId="967" priority="1007" stopIfTrue="1" operator="greaterThanOrEqual">
      <formula>7.5</formula>
    </cfRule>
    <cfRule type="cellIs" dxfId="966" priority="1008" stopIfTrue="1" operator="between">
      <formula>3.51</formula>
      <formula>7.49</formula>
    </cfRule>
  </conditionalFormatting>
  <conditionalFormatting sqref="AA3824">
    <cfRule type="cellIs" dxfId="965" priority="1003" stopIfTrue="1" operator="lessThanOrEqual">
      <formula>3.5</formula>
    </cfRule>
    <cfRule type="cellIs" dxfId="964" priority="1004" stopIfTrue="1" operator="greaterThanOrEqual">
      <formula>7.5</formula>
    </cfRule>
    <cfRule type="cellIs" dxfId="963" priority="1005" stopIfTrue="1" operator="between">
      <formula>3.51</formula>
      <formula>7.49</formula>
    </cfRule>
  </conditionalFormatting>
  <conditionalFormatting sqref="AA3823">
    <cfRule type="cellIs" dxfId="962" priority="1000" stopIfTrue="1" operator="lessThanOrEqual">
      <formula>3.5</formula>
    </cfRule>
    <cfRule type="cellIs" dxfId="961" priority="1001" stopIfTrue="1" operator="greaterThanOrEqual">
      <formula>7.5</formula>
    </cfRule>
    <cfRule type="cellIs" dxfId="960" priority="1002" stopIfTrue="1" operator="between">
      <formula>3.51</formula>
      <formula>7.49</formula>
    </cfRule>
  </conditionalFormatting>
  <conditionalFormatting sqref="AA3822">
    <cfRule type="cellIs" dxfId="959" priority="997" stopIfTrue="1" operator="lessThanOrEqual">
      <formula>3.5</formula>
    </cfRule>
    <cfRule type="cellIs" dxfId="958" priority="998" stopIfTrue="1" operator="greaterThanOrEqual">
      <formula>7.5</formula>
    </cfRule>
    <cfRule type="cellIs" dxfId="957" priority="999" stopIfTrue="1" operator="between">
      <formula>3.51</formula>
      <formula>7.49</formula>
    </cfRule>
  </conditionalFormatting>
  <conditionalFormatting sqref="AA92">
    <cfRule type="cellIs" dxfId="956" priority="994" stopIfTrue="1" operator="lessThanOrEqual">
      <formula>3.5</formula>
    </cfRule>
    <cfRule type="cellIs" dxfId="955" priority="995" stopIfTrue="1" operator="greaterThanOrEqual">
      <formula>7.5</formula>
    </cfRule>
    <cfRule type="cellIs" dxfId="954" priority="996" stopIfTrue="1" operator="between">
      <formula>3.51</formula>
      <formula>7.49</formula>
    </cfRule>
  </conditionalFormatting>
  <conditionalFormatting sqref="AA93">
    <cfRule type="cellIs" dxfId="953" priority="991" stopIfTrue="1" operator="lessThanOrEqual">
      <formula>3.5</formula>
    </cfRule>
    <cfRule type="cellIs" dxfId="952" priority="992" stopIfTrue="1" operator="greaterThanOrEqual">
      <formula>7.5</formula>
    </cfRule>
    <cfRule type="cellIs" dxfId="951" priority="993" stopIfTrue="1" operator="between">
      <formula>3.51</formula>
      <formula>7.49</formula>
    </cfRule>
  </conditionalFormatting>
  <conditionalFormatting sqref="AA415">
    <cfRule type="cellIs" dxfId="950" priority="988" stopIfTrue="1" operator="lessThanOrEqual">
      <formula>3.5</formula>
    </cfRule>
    <cfRule type="cellIs" dxfId="949" priority="989" stopIfTrue="1" operator="greaterThanOrEqual">
      <formula>7.5</formula>
    </cfRule>
    <cfRule type="cellIs" dxfId="948" priority="990" stopIfTrue="1" operator="between">
      <formula>3.51</formula>
      <formula>7.49</formula>
    </cfRule>
  </conditionalFormatting>
  <conditionalFormatting sqref="AA105">
    <cfRule type="cellIs" dxfId="947" priority="985" stopIfTrue="1" operator="lessThanOrEqual">
      <formula>3.5</formula>
    </cfRule>
    <cfRule type="cellIs" dxfId="946" priority="986" stopIfTrue="1" operator="greaterThanOrEqual">
      <formula>7.5</formula>
    </cfRule>
    <cfRule type="cellIs" dxfId="945" priority="987" stopIfTrue="1" operator="between">
      <formula>3.51</formula>
      <formula>7.49</formula>
    </cfRule>
  </conditionalFormatting>
  <conditionalFormatting sqref="AA450">
    <cfRule type="cellIs" dxfId="944" priority="982" stopIfTrue="1" operator="lessThanOrEqual">
      <formula>3.5</formula>
    </cfRule>
    <cfRule type="cellIs" dxfId="943" priority="983" stopIfTrue="1" operator="greaterThanOrEqual">
      <formula>7.5</formula>
    </cfRule>
    <cfRule type="cellIs" dxfId="942" priority="984" stopIfTrue="1" operator="between">
      <formula>3.51</formula>
      <formula>7.49</formula>
    </cfRule>
  </conditionalFormatting>
  <conditionalFormatting sqref="AA416">
    <cfRule type="cellIs" dxfId="941" priority="979" stopIfTrue="1" operator="lessThanOrEqual">
      <formula>3.5</formula>
    </cfRule>
    <cfRule type="cellIs" dxfId="940" priority="980" stopIfTrue="1" operator="greaterThanOrEqual">
      <formula>7.5</formula>
    </cfRule>
    <cfRule type="cellIs" dxfId="939" priority="981" stopIfTrue="1" operator="between">
      <formula>3.51</formula>
      <formula>7.49</formula>
    </cfRule>
  </conditionalFormatting>
  <conditionalFormatting sqref="AA298">
    <cfRule type="cellIs" dxfId="938" priority="976" stopIfTrue="1" operator="lessThanOrEqual">
      <formula>3.5</formula>
    </cfRule>
    <cfRule type="cellIs" dxfId="937" priority="977" stopIfTrue="1" operator="greaterThanOrEqual">
      <formula>7.5</formula>
    </cfRule>
    <cfRule type="cellIs" dxfId="936" priority="978" stopIfTrue="1" operator="between">
      <formula>3.51</formula>
      <formula>7.49</formula>
    </cfRule>
  </conditionalFormatting>
  <conditionalFormatting sqref="AA295">
    <cfRule type="cellIs" dxfId="935" priority="973" stopIfTrue="1" operator="lessThanOrEqual">
      <formula>3.5</formula>
    </cfRule>
    <cfRule type="cellIs" dxfId="934" priority="974" stopIfTrue="1" operator="greaterThanOrEqual">
      <formula>7.5</formula>
    </cfRule>
    <cfRule type="cellIs" dxfId="933" priority="975" stopIfTrue="1" operator="between">
      <formula>3.51</formula>
      <formula>7.49</formula>
    </cfRule>
  </conditionalFormatting>
  <conditionalFormatting sqref="AA686">
    <cfRule type="cellIs" dxfId="932" priority="970" stopIfTrue="1" operator="lessThanOrEqual">
      <formula>3.5</formula>
    </cfRule>
    <cfRule type="cellIs" dxfId="931" priority="971" stopIfTrue="1" operator="greaterThanOrEqual">
      <formula>7.5</formula>
    </cfRule>
    <cfRule type="cellIs" dxfId="930" priority="972" stopIfTrue="1" operator="between">
      <formula>3.51</formula>
      <formula>7.49</formula>
    </cfRule>
  </conditionalFormatting>
  <conditionalFormatting sqref="AA474">
    <cfRule type="cellIs" dxfId="929" priority="967" stopIfTrue="1" operator="lessThanOrEqual">
      <formula>3.5</formula>
    </cfRule>
    <cfRule type="cellIs" dxfId="928" priority="968" stopIfTrue="1" operator="greaterThanOrEqual">
      <formula>7.5</formula>
    </cfRule>
    <cfRule type="cellIs" dxfId="927" priority="969" stopIfTrue="1" operator="between">
      <formula>3.51</formula>
      <formula>7.49</formula>
    </cfRule>
  </conditionalFormatting>
  <conditionalFormatting sqref="AA1189 AA1191:AA1201">
    <cfRule type="cellIs" dxfId="926" priority="964" stopIfTrue="1" operator="lessThanOrEqual">
      <formula>3.5</formula>
    </cfRule>
    <cfRule type="cellIs" dxfId="925" priority="965" stopIfTrue="1" operator="greaterThanOrEqual">
      <formula>7.5</formula>
    </cfRule>
    <cfRule type="cellIs" dxfId="924" priority="966" stopIfTrue="1" operator="between">
      <formula>3.51</formula>
      <formula>7.49</formula>
    </cfRule>
  </conditionalFormatting>
  <conditionalFormatting sqref="AA2369">
    <cfRule type="cellIs" dxfId="923" priority="955" stopIfTrue="1" operator="lessThanOrEqual">
      <formula>3.5</formula>
    </cfRule>
    <cfRule type="cellIs" dxfId="922" priority="956" stopIfTrue="1" operator="greaterThanOrEqual">
      <formula>7.5</formula>
    </cfRule>
    <cfRule type="cellIs" dxfId="921" priority="957" stopIfTrue="1" operator="between">
      <formula>3.51</formula>
      <formula>7.49</formula>
    </cfRule>
  </conditionalFormatting>
  <conditionalFormatting sqref="AA2368">
    <cfRule type="cellIs" dxfId="920" priority="952" stopIfTrue="1" operator="lessThanOrEqual">
      <formula>3.5</formula>
    </cfRule>
    <cfRule type="cellIs" dxfId="919" priority="953" stopIfTrue="1" operator="greaterThanOrEqual">
      <formula>7.5</formula>
    </cfRule>
    <cfRule type="cellIs" dxfId="918" priority="954" stopIfTrue="1" operator="between">
      <formula>3.51</formula>
      <formula>7.49</formula>
    </cfRule>
  </conditionalFormatting>
  <conditionalFormatting sqref="AA1202">
    <cfRule type="cellIs" dxfId="917" priority="949" stopIfTrue="1" operator="lessThanOrEqual">
      <formula>3.5</formula>
    </cfRule>
    <cfRule type="cellIs" dxfId="916" priority="950" stopIfTrue="1" operator="greaterThanOrEqual">
      <formula>7.5</formula>
    </cfRule>
    <cfRule type="cellIs" dxfId="915" priority="951" stopIfTrue="1" operator="between">
      <formula>3.51</formula>
      <formula>7.49</formula>
    </cfRule>
  </conditionalFormatting>
  <conditionalFormatting sqref="AA2312">
    <cfRule type="cellIs" dxfId="914" priority="946" stopIfTrue="1" operator="lessThanOrEqual">
      <formula>3.5</formula>
    </cfRule>
    <cfRule type="cellIs" dxfId="913" priority="947" stopIfTrue="1" operator="greaterThanOrEqual">
      <formula>7.5</formula>
    </cfRule>
    <cfRule type="cellIs" dxfId="912" priority="948" stopIfTrue="1" operator="between">
      <formula>3.51</formula>
      <formula>7.49</formula>
    </cfRule>
  </conditionalFormatting>
  <conditionalFormatting sqref="AA2149">
    <cfRule type="cellIs" dxfId="911" priority="943" stopIfTrue="1" operator="lessThanOrEqual">
      <formula>3.5</formula>
    </cfRule>
    <cfRule type="cellIs" dxfId="910" priority="944" stopIfTrue="1" operator="greaterThanOrEqual">
      <formula>7.5</formula>
    </cfRule>
    <cfRule type="cellIs" dxfId="909" priority="945" stopIfTrue="1" operator="between">
      <formula>3.51</formula>
      <formula>7.49</formula>
    </cfRule>
  </conditionalFormatting>
  <conditionalFormatting sqref="AA2149">
    <cfRule type="cellIs" dxfId="908" priority="940" stopIfTrue="1" operator="lessThanOrEqual">
      <formula>3.5</formula>
    </cfRule>
    <cfRule type="cellIs" dxfId="907" priority="941" stopIfTrue="1" operator="greaterThanOrEqual">
      <formula>7.5</formula>
    </cfRule>
    <cfRule type="cellIs" dxfId="906" priority="942" stopIfTrue="1" operator="between">
      <formula>3.51</formula>
      <formula>7.49</formula>
    </cfRule>
  </conditionalFormatting>
  <conditionalFormatting sqref="AA2148">
    <cfRule type="cellIs" dxfId="905" priority="937" stopIfTrue="1" operator="lessThanOrEqual">
      <formula>3.5</formula>
    </cfRule>
    <cfRule type="cellIs" dxfId="904" priority="938" stopIfTrue="1" operator="greaterThanOrEqual">
      <formula>7.5</formula>
    </cfRule>
    <cfRule type="cellIs" dxfId="903" priority="939" stopIfTrue="1" operator="between">
      <formula>3.51</formula>
      <formula>7.49</formula>
    </cfRule>
  </conditionalFormatting>
  <conditionalFormatting sqref="AA2148">
    <cfRule type="cellIs" dxfId="902" priority="934" stopIfTrue="1" operator="lessThanOrEqual">
      <formula>3.5</formula>
    </cfRule>
    <cfRule type="cellIs" dxfId="901" priority="935" stopIfTrue="1" operator="greaterThanOrEqual">
      <formula>7.5</formula>
    </cfRule>
    <cfRule type="cellIs" dxfId="900" priority="936" stopIfTrue="1" operator="between">
      <formula>3.51</formula>
      <formula>7.49</formula>
    </cfRule>
  </conditionalFormatting>
  <conditionalFormatting sqref="AA2300">
    <cfRule type="cellIs" dxfId="899" priority="931" stopIfTrue="1" operator="lessThanOrEqual">
      <formula>3.5</formula>
    </cfRule>
    <cfRule type="cellIs" dxfId="898" priority="932" stopIfTrue="1" operator="greaterThanOrEqual">
      <formula>7.5</formula>
    </cfRule>
    <cfRule type="cellIs" dxfId="897" priority="933" stopIfTrue="1" operator="between">
      <formula>3.51</formula>
      <formula>7.49</formula>
    </cfRule>
  </conditionalFormatting>
  <conditionalFormatting sqref="AA2302:AA2305 AA2310:AA2311">
    <cfRule type="cellIs" dxfId="896" priority="928" stopIfTrue="1" operator="lessThanOrEqual">
      <formula>3.5</formula>
    </cfRule>
    <cfRule type="cellIs" dxfId="895" priority="929" stopIfTrue="1" operator="greaterThanOrEqual">
      <formula>7.5</formula>
    </cfRule>
    <cfRule type="cellIs" dxfId="894" priority="930" stopIfTrue="1" operator="between">
      <formula>3.51</formula>
      <formula>7.49</formula>
    </cfRule>
  </conditionalFormatting>
  <conditionalFormatting sqref="AA2301:AA2305 AA2310:AA2311">
    <cfRule type="cellIs" dxfId="893" priority="925" stopIfTrue="1" operator="lessThanOrEqual">
      <formula>3.5</formula>
    </cfRule>
    <cfRule type="cellIs" dxfId="892" priority="926" stopIfTrue="1" operator="greaterThanOrEqual">
      <formula>7.5</formula>
    </cfRule>
    <cfRule type="cellIs" dxfId="891" priority="927" stopIfTrue="1" operator="between">
      <formula>3.51</formula>
      <formula>7.49</formula>
    </cfRule>
  </conditionalFormatting>
  <conditionalFormatting sqref="AA2314 AA2323:AA2327 AA2318:AA2321">
    <cfRule type="cellIs" dxfId="890" priority="922" stopIfTrue="1" operator="lessThanOrEqual">
      <formula>3.5</formula>
    </cfRule>
    <cfRule type="cellIs" dxfId="889" priority="923" stopIfTrue="1" operator="greaterThanOrEqual">
      <formula>7.5</formula>
    </cfRule>
    <cfRule type="cellIs" dxfId="888" priority="924" stopIfTrue="1" operator="between">
      <formula>3.51</formula>
      <formula>7.49</formula>
    </cfRule>
  </conditionalFormatting>
  <conditionalFormatting sqref="AA2313:AA2314 AA2323:AA2327 AA2318:AA2321">
    <cfRule type="cellIs" dxfId="887" priority="919" stopIfTrue="1" operator="lessThanOrEqual">
      <formula>3.5</formula>
    </cfRule>
    <cfRule type="cellIs" dxfId="886" priority="920" stopIfTrue="1" operator="greaterThanOrEqual">
      <formula>7.5</formula>
    </cfRule>
    <cfRule type="cellIs" dxfId="885" priority="921" stopIfTrue="1" operator="between">
      <formula>3.51</formula>
      <formula>7.49</formula>
    </cfRule>
  </conditionalFormatting>
  <conditionalFormatting sqref="AA2328">
    <cfRule type="cellIs" dxfId="884" priority="916" stopIfTrue="1" operator="lessThanOrEqual">
      <formula>3.5</formula>
    </cfRule>
    <cfRule type="cellIs" dxfId="883" priority="917" stopIfTrue="1" operator="greaterThanOrEqual">
      <formula>7.5</formula>
    </cfRule>
    <cfRule type="cellIs" dxfId="882" priority="918" stopIfTrue="1" operator="between">
      <formula>3.51</formula>
      <formula>7.49</formula>
    </cfRule>
  </conditionalFormatting>
  <conditionalFormatting sqref="AA2328">
    <cfRule type="cellIs" dxfId="881" priority="913" stopIfTrue="1" operator="lessThanOrEqual">
      <formula>3.5</formula>
    </cfRule>
    <cfRule type="cellIs" dxfId="880" priority="914" stopIfTrue="1" operator="greaterThanOrEqual">
      <formula>7.5</formula>
    </cfRule>
    <cfRule type="cellIs" dxfId="879" priority="915" stopIfTrue="1" operator="between">
      <formula>3.51</formula>
      <formula>7.49</formula>
    </cfRule>
  </conditionalFormatting>
  <conditionalFormatting sqref="AA2355">
    <cfRule type="cellIs" dxfId="878" priority="907" stopIfTrue="1" operator="lessThanOrEqual">
      <formula>3.5</formula>
    </cfRule>
    <cfRule type="cellIs" dxfId="877" priority="908" stopIfTrue="1" operator="greaterThanOrEqual">
      <formula>7.5</formula>
    </cfRule>
    <cfRule type="cellIs" dxfId="876" priority="909" stopIfTrue="1" operator="between">
      <formula>3.51</formula>
      <formula>7.49</formula>
    </cfRule>
  </conditionalFormatting>
  <conditionalFormatting sqref="AA2354">
    <cfRule type="cellIs" dxfId="875" priority="904" stopIfTrue="1" operator="lessThanOrEqual">
      <formula>3.5</formula>
    </cfRule>
    <cfRule type="cellIs" dxfId="874" priority="905" stopIfTrue="1" operator="greaterThanOrEqual">
      <formula>7.5</formula>
    </cfRule>
    <cfRule type="cellIs" dxfId="873" priority="906" stopIfTrue="1" operator="between">
      <formula>3.51</formula>
      <formula>7.49</formula>
    </cfRule>
  </conditionalFormatting>
  <conditionalFormatting sqref="AA1212">
    <cfRule type="cellIs" dxfId="872" priority="901" stopIfTrue="1" operator="lessThanOrEqual">
      <formula>3.5</formula>
    </cfRule>
    <cfRule type="cellIs" dxfId="871" priority="902" stopIfTrue="1" operator="greaterThanOrEqual">
      <formula>7.5</formula>
    </cfRule>
    <cfRule type="cellIs" dxfId="870" priority="903" stopIfTrue="1" operator="between">
      <formula>3.51</formula>
      <formula>7.49</formula>
    </cfRule>
  </conditionalFormatting>
  <conditionalFormatting sqref="AA2317">
    <cfRule type="cellIs" dxfId="869" priority="898" stopIfTrue="1" operator="lessThanOrEqual">
      <formula>3.5</formula>
    </cfRule>
    <cfRule type="cellIs" dxfId="868" priority="899" stopIfTrue="1" operator="greaterThanOrEqual">
      <formula>7.5</formula>
    </cfRule>
    <cfRule type="cellIs" dxfId="867" priority="900" stopIfTrue="1" operator="between">
      <formula>3.51</formula>
      <formula>7.49</formula>
    </cfRule>
  </conditionalFormatting>
  <conditionalFormatting sqref="AA1210">
    <cfRule type="cellIs" dxfId="866" priority="895" stopIfTrue="1" operator="lessThanOrEqual">
      <formula>3.5</formula>
    </cfRule>
    <cfRule type="cellIs" dxfId="865" priority="896" stopIfTrue="1" operator="greaterThanOrEqual">
      <formula>7.5</formula>
    </cfRule>
    <cfRule type="cellIs" dxfId="864" priority="897" stopIfTrue="1" operator="between">
      <formula>3.51</formula>
      <formula>7.49</formula>
    </cfRule>
  </conditionalFormatting>
  <conditionalFormatting sqref="AA2348">
    <cfRule type="cellIs" dxfId="863" priority="892" stopIfTrue="1" operator="lessThanOrEqual">
      <formula>3.5</formula>
    </cfRule>
    <cfRule type="cellIs" dxfId="862" priority="893" stopIfTrue="1" operator="greaterThanOrEqual">
      <formula>7.5</formula>
    </cfRule>
    <cfRule type="cellIs" dxfId="861" priority="894" stopIfTrue="1" operator="between">
      <formula>3.51</formula>
      <formula>7.49</formula>
    </cfRule>
  </conditionalFormatting>
  <conditionalFormatting sqref="AA2356">
    <cfRule type="cellIs" dxfId="860" priority="889" stopIfTrue="1" operator="lessThanOrEqual">
      <formula>3.5</formula>
    </cfRule>
    <cfRule type="cellIs" dxfId="859" priority="890" stopIfTrue="1" operator="greaterThanOrEqual">
      <formula>7.5</formula>
    </cfRule>
    <cfRule type="cellIs" dxfId="858" priority="891" stopIfTrue="1" operator="between">
      <formula>3.51</formula>
      <formula>7.49</formula>
    </cfRule>
  </conditionalFormatting>
  <conditionalFormatting sqref="AA2345">
    <cfRule type="cellIs" dxfId="857" priority="886" stopIfTrue="1" operator="lessThanOrEqual">
      <formula>3.5</formula>
    </cfRule>
    <cfRule type="cellIs" dxfId="856" priority="887" stopIfTrue="1" operator="greaterThanOrEqual">
      <formula>7.5</formula>
    </cfRule>
    <cfRule type="cellIs" dxfId="855" priority="888" stopIfTrue="1" operator="between">
      <formula>3.51</formula>
      <formula>7.49</formula>
    </cfRule>
  </conditionalFormatting>
  <conditionalFormatting sqref="AA2322">
    <cfRule type="cellIs" dxfId="854" priority="883" stopIfTrue="1" operator="lessThanOrEqual">
      <formula>3.5</formula>
    </cfRule>
    <cfRule type="cellIs" dxfId="853" priority="884" stopIfTrue="1" operator="greaterThanOrEqual">
      <formula>7.5</formula>
    </cfRule>
    <cfRule type="cellIs" dxfId="852" priority="885" stopIfTrue="1" operator="between">
      <formula>3.51</formula>
      <formula>7.49</formula>
    </cfRule>
  </conditionalFormatting>
  <conditionalFormatting sqref="AA1190">
    <cfRule type="cellIs" dxfId="851" priority="880" stopIfTrue="1" operator="lessThanOrEqual">
      <formula>3.5</formula>
    </cfRule>
    <cfRule type="cellIs" dxfId="850" priority="881" stopIfTrue="1" operator="greaterThanOrEqual">
      <formula>7.5</formula>
    </cfRule>
    <cfRule type="cellIs" dxfId="849" priority="882" stopIfTrue="1" operator="between">
      <formula>3.51</formula>
      <formula>7.49</formula>
    </cfRule>
  </conditionalFormatting>
  <conditionalFormatting sqref="AA2309">
    <cfRule type="cellIs" dxfId="848" priority="877" stopIfTrue="1" operator="lessThanOrEqual">
      <formula>3.5</formula>
    </cfRule>
    <cfRule type="cellIs" dxfId="847" priority="878" stopIfTrue="1" operator="greaterThanOrEqual">
      <formula>7.5</formula>
    </cfRule>
    <cfRule type="cellIs" dxfId="846" priority="879" stopIfTrue="1" operator="between">
      <formula>3.51</formula>
      <formula>7.49</formula>
    </cfRule>
  </conditionalFormatting>
  <conditionalFormatting sqref="AA2308">
    <cfRule type="cellIs" dxfId="845" priority="874" stopIfTrue="1" operator="lessThanOrEqual">
      <formula>3.5</formula>
    </cfRule>
    <cfRule type="cellIs" dxfId="844" priority="875" stopIfTrue="1" operator="greaterThanOrEqual">
      <formula>7.5</formula>
    </cfRule>
    <cfRule type="cellIs" dxfId="843" priority="876" stopIfTrue="1" operator="between">
      <formula>3.51</formula>
      <formula>7.49</formula>
    </cfRule>
  </conditionalFormatting>
  <conditionalFormatting sqref="AA2307">
    <cfRule type="cellIs" dxfId="842" priority="871" stopIfTrue="1" operator="lessThanOrEqual">
      <formula>3.5</formula>
    </cfRule>
    <cfRule type="cellIs" dxfId="841" priority="872" stopIfTrue="1" operator="greaterThanOrEqual">
      <formula>7.5</formula>
    </cfRule>
    <cfRule type="cellIs" dxfId="840" priority="873" stopIfTrue="1" operator="between">
      <formula>3.51</formula>
      <formula>7.49</formula>
    </cfRule>
  </conditionalFormatting>
  <conditionalFormatting sqref="AA2306">
    <cfRule type="cellIs" dxfId="839" priority="868" stopIfTrue="1" operator="lessThanOrEqual">
      <formula>3.5</formula>
    </cfRule>
    <cfRule type="cellIs" dxfId="838" priority="869" stopIfTrue="1" operator="greaterThanOrEqual">
      <formula>7.5</formula>
    </cfRule>
    <cfRule type="cellIs" dxfId="837" priority="870" stopIfTrue="1" operator="between">
      <formula>3.51</formula>
      <formula>7.49</formula>
    </cfRule>
  </conditionalFormatting>
  <conditionalFormatting sqref="AA2358">
    <cfRule type="cellIs" dxfId="836" priority="865" stopIfTrue="1" operator="lessThanOrEqual">
      <formula>3.5</formula>
    </cfRule>
    <cfRule type="cellIs" dxfId="835" priority="866" stopIfTrue="1" operator="greaterThanOrEqual">
      <formula>7.5</formula>
    </cfRule>
    <cfRule type="cellIs" dxfId="834" priority="867" stopIfTrue="1" operator="between">
      <formula>3.51</formula>
      <formula>7.49</formula>
    </cfRule>
  </conditionalFormatting>
  <conditionalFormatting sqref="AA2316">
    <cfRule type="cellIs" dxfId="833" priority="862" stopIfTrue="1" operator="lessThanOrEqual">
      <formula>3.5</formula>
    </cfRule>
    <cfRule type="cellIs" dxfId="832" priority="863" stopIfTrue="1" operator="greaterThanOrEqual">
      <formula>7.5</formula>
    </cfRule>
    <cfRule type="cellIs" dxfId="831" priority="864" stopIfTrue="1" operator="between">
      <formula>3.51</formula>
      <formula>7.49</formula>
    </cfRule>
  </conditionalFormatting>
  <conditionalFormatting sqref="AA2315">
    <cfRule type="cellIs" dxfId="830" priority="859" stopIfTrue="1" operator="lessThanOrEqual">
      <formula>3.5</formula>
    </cfRule>
    <cfRule type="cellIs" dxfId="829" priority="860" stopIfTrue="1" operator="greaterThanOrEqual">
      <formula>7.5</formula>
    </cfRule>
    <cfRule type="cellIs" dxfId="828" priority="861" stopIfTrue="1" operator="between">
      <formula>3.51</formula>
      <formula>7.49</formula>
    </cfRule>
  </conditionalFormatting>
  <conditionalFormatting sqref="AA2330">
    <cfRule type="cellIs" dxfId="827" priority="856" stopIfTrue="1" operator="lessThanOrEqual">
      <formula>3.5</formula>
    </cfRule>
    <cfRule type="cellIs" dxfId="826" priority="857" stopIfTrue="1" operator="greaterThanOrEqual">
      <formula>7.5</formula>
    </cfRule>
    <cfRule type="cellIs" dxfId="825" priority="858" stopIfTrue="1" operator="between">
      <formula>3.51</formula>
      <formula>7.49</formula>
    </cfRule>
  </conditionalFormatting>
  <conditionalFormatting sqref="AA2329">
    <cfRule type="cellIs" dxfId="824" priority="853" stopIfTrue="1" operator="lessThanOrEqual">
      <formula>3.5</formula>
    </cfRule>
    <cfRule type="cellIs" dxfId="823" priority="854" stopIfTrue="1" operator="greaterThanOrEqual">
      <formula>7.5</formula>
    </cfRule>
    <cfRule type="cellIs" dxfId="822" priority="855" stopIfTrue="1" operator="between">
      <formula>3.51</formula>
      <formula>7.49</formula>
    </cfRule>
  </conditionalFormatting>
  <conditionalFormatting sqref="AA2334">
    <cfRule type="cellIs" dxfId="821" priority="850" stopIfTrue="1" operator="lessThanOrEqual">
      <formula>3.5</formula>
    </cfRule>
    <cfRule type="cellIs" dxfId="820" priority="851" stopIfTrue="1" operator="greaterThanOrEqual">
      <formula>7.5</formula>
    </cfRule>
    <cfRule type="cellIs" dxfId="819" priority="852" stopIfTrue="1" operator="between">
      <formula>3.51</formula>
      <formula>7.49</formula>
    </cfRule>
  </conditionalFormatting>
  <conditionalFormatting sqref="AA3235">
    <cfRule type="cellIs" dxfId="818" priority="847" stopIfTrue="1" operator="lessThanOrEqual">
      <formula>3.5</formula>
    </cfRule>
    <cfRule type="cellIs" dxfId="817" priority="848" stopIfTrue="1" operator="greaterThanOrEqual">
      <formula>7.5</formula>
    </cfRule>
    <cfRule type="cellIs" dxfId="816" priority="849" stopIfTrue="1" operator="between">
      <formula>3.51</formula>
      <formula>7.49</formula>
    </cfRule>
  </conditionalFormatting>
  <conditionalFormatting sqref="AA3950">
    <cfRule type="cellIs" dxfId="815" priority="844" stopIfTrue="1" operator="lessThanOrEqual">
      <formula>3.5</formula>
    </cfRule>
    <cfRule type="cellIs" dxfId="814" priority="845" stopIfTrue="1" operator="greaterThanOrEqual">
      <formula>7.5</formula>
    </cfRule>
    <cfRule type="cellIs" dxfId="813" priority="846" stopIfTrue="1" operator="between">
      <formula>3.51</formula>
      <formula>7.49</formula>
    </cfRule>
  </conditionalFormatting>
  <conditionalFormatting sqref="AA3949">
    <cfRule type="cellIs" dxfId="812" priority="841" stopIfTrue="1" operator="lessThanOrEqual">
      <formula>3.5</formula>
    </cfRule>
    <cfRule type="cellIs" dxfId="811" priority="842" stopIfTrue="1" operator="greaterThanOrEqual">
      <formula>7.5</formula>
    </cfRule>
    <cfRule type="cellIs" dxfId="810" priority="843" stopIfTrue="1" operator="between">
      <formula>3.51</formula>
      <formula>7.49</formula>
    </cfRule>
  </conditionalFormatting>
  <conditionalFormatting sqref="AA3948">
    <cfRule type="cellIs" dxfId="809" priority="838" stopIfTrue="1" operator="lessThanOrEqual">
      <formula>3.5</formula>
    </cfRule>
    <cfRule type="cellIs" dxfId="808" priority="839" stopIfTrue="1" operator="greaterThanOrEqual">
      <formula>7.5</formula>
    </cfRule>
    <cfRule type="cellIs" dxfId="807" priority="840" stopIfTrue="1" operator="between">
      <formula>3.51</formula>
      <formula>7.49</formula>
    </cfRule>
  </conditionalFormatting>
  <conditionalFormatting sqref="AA4040">
    <cfRule type="cellIs" dxfId="806" priority="835" stopIfTrue="1" operator="lessThanOrEqual">
      <formula>3.5</formula>
    </cfRule>
    <cfRule type="cellIs" dxfId="805" priority="836" stopIfTrue="1" operator="greaterThanOrEqual">
      <formula>7.5</formula>
    </cfRule>
    <cfRule type="cellIs" dxfId="804" priority="837" stopIfTrue="1" operator="between">
      <formula>3.51</formula>
      <formula>7.49</formula>
    </cfRule>
  </conditionalFormatting>
  <conditionalFormatting sqref="AA4201">
    <cfRule type="cellIs" dxfId="803" priority="832" stopIfTrue="1" operator="lessThanOrEqual">
      <formula>3.5</formula>
    </cfRule>
    <cfRule type="cellIs" dxfId="802" priority="833" stopIfTrue="1" operator="greaterThanOrEqual">
      <formula>7.5</formula>
    </cfRule>
    <cfRule type="cellIs" dxfId="801" priority="834" stopIfTrue="1" operator="between">
      <formula>3.51</formula>
      <formula>7.49</formula>
    </cfRule>
  </conditionalFormatting>
  <conditionalFormatting sqref="AA2093">
    <cfRule type="cellIs" dxfId="800" priority="829" stopIfTrue="1" operator="lessThanOrEqual">
      <formula>3.5</formula>
    </cfRule>
    <cfRule type="cellIs" dxfId="799" priority="830" stopIfTrue="1" operator="greaterThanOrEqual">
      <formula>7.5</formula>
    </cfRule>
    <cfRule type="cellIs" dxfId="798" priority="831" stopIfTrue="1" operator="between">
      <formula>3.51</formula>
      <formula>7.49</formula>
    </cfRule>
  </conditionalFormatting>
  <conditionalFormatting sqref="AA2254">
    <cfRule type="cellIs" dxfId="797" priority="826" stopIfTrue="1" operator="lessThanOrEqual">
      <formula>3.5</formula>
    </cfRule>
    <cfRule type="cellIs" dxfId="796" priority="827" stopIfTrue="1" operator="greaterThanOrEqual">
      <formula>7.5</formula>
    </cfRule>
    <cfRule type="cellIs" dxfId="795" priority="828" stopIfTrue="1" operator="between">
      <formula>3.51</formula>
      <formula>7.49</formula>
    </cfRule>
  </conditionalFormatting>
  <conditionalFormatting sqref="AA4308">
    <cfRule type="cellIs" dxfId="794" priority="823" stopIfTrue="1" operator="lessThanOrEqual">
      <formula>3.5</formula>
    </cfRule>
    <cfRule type="cellIs" dxfId="793" priority="824" stopIfTrue="1" operator="greaterThanOrEqual">
      <formula>7.5</formula>
    </cfRule>
    <cfRule type="cellIs" dxfId="792" priority="825" stopIfTrue="1" operator="between">
      <formula>3.51</formula>
      <formula>7.49</formula>
    </cfRule>
  </conditionalFormatting>
  <conditionalFormatting sqref="AA2647">
    <cfRule type="cellIs" dxfId="791" priority="820" stopIfTrue="1" operator="lessThanOrEqual">
      <formula>3.5</formula>
    </cfRule>
    <cfRule type="cellIs" dxfId="790" priority="821" stopIfTrue="1" operator="greaterThanOrEqual">
      <formula>7.5</formula>
    </cfRule>
    <cfRule type="cellIs" dxfId="789" priority="822" stopIfTrue="1" operator="between">
      <formula>3.51</formula>
      <formula>7.49</formula>
    </cfRule>
  </conditionalFormatting>
  <conditionalFormatting sqref="AA4681">
    <cfRule type="cellIs" dxfId="788" priority="817" stopIfTrue="1" operator="lessThanOrEqual">
      <formula>3.5</formula>
    </cfRule>
    <cfRule type="cellIs" dxfId="787" priority="818" stopIfTrue="1" operator="greaterThanOrEqual">
      <formula>7.5</formula>
    </cfRule>
    <cfRule type="cellIs" dxfId="786" priority="819" stopIfTrue="1" operator="between">
      <formula>3.51</formula>
      <formula>7.49</formula>
    </cfRule>
  </conditionalFormatting>
  <conditionalFormatting sqref="AA4655">
    <cfRule type="cellIs" dxfId="785" priority="814" stopIfTrue="1" operator="lessThanOrEqual">
      <formula>3.5</formula>
    </cfRule>
    <cfRule type="cellIs" dxfId="784" priority="815" stopIfTrue="1" operator="greaterThanOrEqual">
      <formula>7.5</formula>
    </cfRule>
    <cfRule type="cellIs" dxfId="783" priority="816" stopIfTrue="1" operator="between">
      <formula>3.51</formula>
      <formula>7.49</formula>
    </cfRule>
  </conditionalFormatting>
  <conditionalFormatting sqref="AA4732">
    <cfRule type="cellIs" dxfId="782" priority="811" stopIfTrue="1" operator="lessThanOrEqual">
      <formula>3.5</formula>
    </cfRule>
    <cfRule type="cellIs" dxfId="781" priority="812" stopIfTrue="1" operator="greaterThanOrEqual">
      <formula>7.5</formula>
    </cfRule>
    <cfRule type="cellIs" dxfId="780" priority="813" stopIfTrue="1" operator="between">
      <formula>3.51</formula>
      <formula>7.49</formula>
    </cfRule>
  </conditionalFormatting>
  <conditionalFormatting sqref="AA5003">
    <cfRule type="cellIs" dxfId="779" priority="808" stopIfTrue="1" operator="lessThanOrEqual">
      <formula>3.5</formula>
    </cfRule>
    <cfRule type="cellIs" dxfId="778" priority="809" stopIfTrue="1" operator="greaterThanOrEqual">
      <formula>7.5</formula>
    </cfRule>
    <cfRule type="cellIs" dxfId="777" priority="810" stopIfTrue="1" operator="between">
      <formula>3.51</formula>
      <formula>7.49</formula>
    </cfRule>
  </conditionalFormatting>
  <conditionalFormatting sqref="AA1179">
    <cfRule type="cellIs" dxfId="776" priority="802" stopIfTrue="1" operator="lessThanOrEqual">
      <formula>3.5</formula>
    </cfRule>
    <cfRule type="cellIs" dxfId="775" priority="803" stopIfTrue="1" operator="greaterThanOrEqual">
      <formula>7.5</formula>
    </cfRule>
    <cfRule type="cellIs" dxfId="774" priority="804" stopIfTrue="1" operator="between">
      <formula>3.51</formula>
      <formula>7.49</formula>
    </cfRule>
  </conditionalFormatting>
  <conditionalFormatting sqref="AA1176">
    <cfRule type="cellIs" dxfId="773" priority="799" stopIfTrue="1" operator="lessThanOrEqual">
      <formula>3.5</formula>
    </cfRule>
    <cfRule type="cellIs" dxfId="772" priority="800" stopIfTrue="1" operator="greaterThanOrEqual">
      <formula>7.5</formula>
    </cfRule>
    <cfRule type="cellIs" dxfId="771" priority="801" stopIfTrue="1" operator="between">
      <formula>3.51</formula>
      <formula>7.49</formula>
    </cfRule>
  </conditionalFormatting>
  <conditionalFormatting sqref="AA1180">
    <cfRule type="cellIs" dxfId="770" priority="796" stopIfTrue="1" operator="lessThanOrEqual">
      <formula>3.5</formula>
    </cfRule>
    <cfRule type="cellIs" dxfId="769" priority="797" stopIfTrue="1" operator="greaterThanOrEqual">
      <formula>7.5</formula>
    </cfRule>
    <cfRule type="cellIs" dxfId="768" priority="798" stopIfTrue="1" operator="between">
      <formula>3.51</formula>
      <formula>7.49</formula>
    </cfRule>
  </conditionalFormatting>
  <conditionalFormatting sqref="AA5398">
    <cfRule type="cellIs" dxfId="767" priority="793" stopIfTrue="1" operator="lessThanOrEqual">
      <formula>3.5</formula>
    </cfRule>
    <cfRule type="cellIs" dxfId="766" priority="794" stopIfTrue="1" operator="greaterThanOrEqual">
      <formula>7.5</formula>
    </cfRule>
    <cfRule type="cellIs" dxfId="765" priority="795" stopIfTrue="1" operator="between">
      <formula>3.51</formula>
      <formula>7.49</formula>
    </cfRule>
  </conditionalFormatting>
  <conditionalFormatting sqref="AA1177">
    <cfRule type="cellIs" dxfId="764" priority="790" stopIfTrue="1" operator="lessThanOrEqual">
      <formula>3.5</formula>
    </cfRule>
    <cfRule type="cellIs" dxfId="763" priority="791" stopIfTrue="1" operator="greaterThanOrEqual">
      <formula>7.5</formula>
    </cfRule>
    <cfRule type="cellIs" dxfId="762" priority="792" stopIfTrue="1" operator="between">
      <formula>3.51</formula>
      <formula>7.49</formula>
    </cfRule>
  </conditionalFormatting>
  <conditionalFormatting sqref="AA5399">
    <cfRule type="cellIs" dxfId="761" priority="787" stopIfTrue="1" operator="lessThanOrEqual">
      <formula>3.5</formula>
    </cfRule>
    <cfRule type="cellIs" dxfId="760" priority="788" stopIfTrue="1" operator="greaterThanOrEqual">
      <formula>7.5</formula>
    </cfRule>
    <cfRule type="cellIs" dxfId="759" priority="789" stopIfTrue="1" operator="between">
      <formula>3.51</formula>
      <formula>7.49</formula>
    </cfRule>
  </conditionalFormatting>
  <conditionalFormatting sqref="AA1185">
    <cfRule type="cellIs" dxfId="758" priority="784" stopIfTrue="1" operator="lessThanOrEqual">
      <formula>3.5</formula>
    </cfRule>
    <cfRule type="cellIs" dxfId="757" priority="785" stopIfTrue="1" operator="greaterThanOrEqual">
      <formula>7.5</formula>
    </cfRule>
    <cfRule type="cellIs" dxfId="756" priority="786" stopIfTrue="1" operator="between">
      <formula>3.51</formula>
      <formula>7.49</formula>
    </cfRule>
  </conditionalFormatting>
  <conditionalFormatting sqref="AA1182">
    <cfRule type="cellIs" dxfId="755" priority="781" stopIfTrue="1" operator="lessThanOrEqual">
      <formula>3.5</formula>
    </cfRule>
    <cfRule type="cellIs" dxfId="754" priority="782" stopIfTrue="1" operator="greaterThanOrEqual">
      <formula>7.5</formula>
    </cfRule>
    <cfRule type="cellIs" dxfId="753" priority="783" stopIfTrue="1" operator="between">
      <formula>3.51</formula>
      <formula>7.49</formula>
    </cfRule>
  </conditionalFormatting>
  <conditionalFormatting sqref="AA1183:AA1184">
    <cfRule type="cellIs" dxfId="752" priority="778" stopIfTrue="1" operator="lessThanOrEqual">
      <formula>3.5</formula>
    </cfRule>
    <cfRule type="cellIs" dxfId="751" priority="779" stopIfTrue="1" operator="greaterThanOrEqual">
      <formula>7.5</formula>
    </cfRule>
    <cfRule type="cellIs" dxfId="750" priority="780" stopIfTrue="1" operator="between">
      <formula>3.51</formula>
      <formula>7.49</formula>
    </cfRule>
  </conditionalFormatting>
  <conditionalFormatting sqref="AA1181">
    <cfRule type="cellIs" dxfId="749" priority="775" stopIfTrue="1" operator="lessThanOrEqual">
      <formula>3.5</formula>
    </cfRule>
    <cfRule type="cellIs" dxfId="748" priority="776" stopIfTrue="1" operator="greaterThanOrEqual">
      <formula>7.5</formula>
    </cfRule>
    <cfRule type="cellIs" dxfId="747" priority="777" stopIfTrue="1" operator="between">
      <formula>3.51</formula>
      <formula>7.49</formula>
    </cfRule>
  </conditionalFormatting>
  <conditionalFormatting sqref="AA5298">
    <cfRule type="cellIs" dxfId="746" priority="772" stopIfTrue="1" operator="lessThanOrEqual">
      <formula>3.5</formula>
    </cfRule>
    <cfRule type="cellIs" dxfId="745" priority="773" stopIfTrue="1" operator="greaterThanOrEqual">
      <formula>7.5</formula>
    </cfRule>
    <cfRule type="cellIs" dxfId="744" priority="774" stopIfTrue="1" operator="between">
      <formula>3.51</formula>
      <formula>7.49</formula>
    </cfRule>
  </conditionalFormatting>
  <conditionalFormatting sqref="AA5297">
    <cfRule type="cellIs" dxfId="743" priority="769" stopIfTrue="1" operator="lessThanOrEqual">
      <formula>3.5</formula>
    </cfRule>
    <cfRule type="cellIs" dxfId="742" priority="770" stopIfTrue="1" operator="greaterThanOrEqual">
      <formula>7.5</formula>
    </cfRule>
    <cfRule type="cellIs" dxfId="741" priority="771" stopIfTrue="1" operator="between">
      <formula>3.51</formula>
      <formula>7.49</formula>
    </cfRule>
  </conditionalFormatting>
  <conditionalFormatting sqref="AA5295">
    <cfRule type="cellIs" dxfId="740" priority="766" stopIfTrue="1" operator="lessThanOrEqual">
      <formula>3.5</formula>
    </cfRule>
    <cfRule type="cellIs" dxfId="739" priority="767" stopIfTrue="1" operator="greaterThanOrEqual">
      <formula>7.5</formula>
    </cfRule>
    <cfRule type="cellIs" dxfId="738" priority="768" stopIfTrue="1" operator="between">
      <formula>3.51</formula>
      <formula>7.49</formula>
    </cfRule>
  </conditionalFormatting>
  <conditionalFormatting sqref="AA5286">
    <cfRule type="cellIs" dxfId="737" priority="763" stopIfTrue="1" operator="lessThanOrEqual">
      <formula>3.5</formula>
    </cfRule>
    <cfRule type="cellIs" dxfId="736" priority="764" stopIfTrue="1" operator="greaterThanOrEqual">
      <formula>7.5</formula>
    </cfRule>
    <cfRule type="cellIs" dxfId="735" priority="765" stopIfTrue="1" operator="between">
      <formula>3.51</formula>
      <formula>7.49</formula>
    </cfRule>
  </conditionalFormatting>
  <conditionalFormatting sqref="AA5281">
    <cfRule type="cellIs" dxfId="734" priority="760" stopIfTrue="1" operator="lessThanOrEqual">
      <formula>3.5</formula>
    </cfRule>
    <cfRule type="cellIs" dxfId="733" priority="761" stopIfTrue="1" operator="greaterThanOrEqual">
      <formula>7.5</formula>
    </cfRule>
    <cfRule type="cellIs" dxfId="732" priority="762" stopIfTrue="1" operator="between">
      <formula>3.51</formula>
      <formula>7.49</formula>
    </cfRule>
  </conditionalFormatting>
  <conditionalFormatting sqref="AA5085">
    <cfRule type="cellIs" dxfId="731" priority="754" stopIfTrue="1" operator="lessThanOrEqual">
      <formula>3.5</formula>
    </cfRule>
    <cfRule type="cellIs" dxfId="730" priority="755" stopIfTrue="1" operator="greaterThanOrEqual">
      <formula>7.5</formula>
    </cfRule>
    <cfRule type="cellIs" dxfId="729" priority="756" stopIfTrue="1" operator="between">
      <formula>3.51</formula>
      <formula>7.49</formula>
    </cfRule>
  </conditionalFormatting>
  <conditionalFormatting sqref="AA5084">
    <cfRule type="cellIs" dxfId="728" priority="751" stopIfTrue="1" operator="lessThanOrEqual">
      <formula>3.5</formula>
    </cfRule>
    <cfRule type="cellIs" dxfId="727" priority="752" stopIfTrue="1" operator="greaterThanOrEqual">
      <formula>7.5</formula>
    </cfRule>
    <cfRule type="cellIs" dxfId="726" priority="753" stopIfTrue="1" operator="between">
      <formula>3.51</formula>
      <formula>7.49</formula>
    </cfRule>
  </conditionalFormatting>
  <conditionalFormatting sqref="AA4433">
    <cfRule type="cellIs" dxfId="725" priority="748" stopIfTrue="1" operator="lessThanOrEqual">
      <formula>3.5</formula>
    </cfRule>
    <cfRule type="cellIs" dxfId="724" priority="749" stopIfTrue="1" operator="greaterThanOrEqual">
      <formula>7.5</formula>
    </cfRule>
    <cfRule type="cellIs" dxfId="723" priority="750" stopIfTrue="1" operator="between">
      <formula>3.51</formula>
      <formula>7.49</formula>
    </cfRule>
  </conditionalFormatting>
  <conditionalFormatting sqref="AA4435">
    <cfRule type="cellIs" dxfId="722" priority="745" stopIfTrue="1" operator="lessThanOrEqual">
      <formula>3.5</formula>
    </cfRule>
    <cfRule type="cellIs" dxfId="721" priority="746" stopIfTrue="1" operator="greaterThanOrEqual">
      <formula>7.5</formula>
    </cfRule>
    <cfRule type="cellIs" dxfId="720" priority="747" stopIfTrue="1" operator="between">
      <formula>3.51</formula>
      <formula>7.49</formula>
    </cfRule>
  </conditionalFormatting>
  <conditionalFormatting sqref="AA5349">
    <cfRule type="cellIs" dxfId="719" priority="742" stopIfTrue="1" operator="lessThanOrEqual">
      <formula>3.5</formula>
    </cfRule>
    <cfRule type="cellIs" dxfId="718" priority="743" stopIfTrue="1" operator="greaterThanOrEqual">
      <formula>7.5</formula>
    </cfRule>
    <cfRule type="cellIs" dxfId="717" priority="744" stopIfTrue="1" operator="between">
      <formula>3.51</formula>
      <formula>7.49</formula>
    </cfRule>
  </conditionalFormatting>
  <conditionalFormatting sqref="AA3995">
    <cfRule type="cellIs" dxfId="716" priority="739" stopIfTrue="1" operator="lessThanOrEqual">
      <formula>3.5</formula>
    </cfRule>
    <cfRule type="cellIs" dxfId="715" priority="740" stopIfTrue="1" operator="greaterThanOrEqual">
      <formula>7.5</formula>
    </cfRule>
    <cfRule type="cellIs" dxfId="714" priority="741" stopIfTrue="1" operator="between">
      <formula>3.51</formula>
      <formula>7.49</formula>
    </cfRule>
  </conditionalFormatting>
  <conditionalFormatting sqref="AA864">
    <cfRule type="cellIs" dxfId="713" priority="736" stopIfTrue="1" operator="lessThanOrEqual">
      <formula>3.5</formula>
    </cfRule>
    <cfRule type="cellIs" dxfId="712" priority="737" stopIfTrue="1" operator="greaterThanOrEqual">
      <formula>7.5</formula>
    </cfRule>
    <cfRule type="cellIs" dxfId="711" priority="738" stopIfTrue="1" operator="between">
      <formula>3.51</formula>
      <formula>7.49</formula>
    </cfRule>
  </conditionalFormatting>
  <conditionalFormatting sqref="AA3148">
    <cfRule type="cellIs" dxfId="710" priority="733" stopIfTrue="1" operator="lessThanOrEqual">
      <formula>3.5</formula>
    </cfRule>
    <cfRule type="cellIs" dxfId="709" priority="734" stopIfTrue="1" operator="greaterThanOrEqual">
      <formula>7.5</formula>
    </cfRule>
    <cfRule type="cellIs" dxfId="708" priority="735" stopIfTrue="1" operator="between">
      <formula>3.51</formula>
      <formula>7.49</formula>
    </cfRule>
  </conditionalFormatting>
  <conditionalFormatting sqref="AA3569">
    <cfRule type="cellIs" dxfId="707" priority="730" stopIfTrue="1" operator="lessThanOrEqual">
      <formula>3.5</formula>
    </cfRule>
    <cfRule type="cellIs" dxfId="706" priority="731" stopIfTrue="1" operator="greaterThanOrEqual">
      <formula>7.5</formula>
    </cfRule>
    <cfRule type="cellIs" dxfId="705" priority="732" stopIfTrue="1" operator="between">
      <formula>3.51</formula>
      <formula>7.49</formula>
    </cfRule>
  </conditionalFormatting>
  <conditionalFormatting sqref="AA2824">
    <cfRule type="cellIs" dxfId="704" priority="727" stopIfTrue="1" operator="lessThanOrEqual">
      <formula>3.5</formula>
    </cfRule>
    <cfRule type="cellIs" dxfId="703" priority="728" stopIfTrue="1" operator="greaterThanOrEqual">
      <formula>7.5</formula>
    </cfRule>
    <cfRule type="cellIs" dxfId="702" priority="729" stopIfTrue="1" operator="between">
      <formula>3.51</formula>
      <formula>7.49</formula>
    </cfRule>
  </conditionalFormatting>
  <conditionalFormatting sqref="AA2823">
    <cfRule type="cellIs" dxfId="701" priority="724" stopIfTrue="1" operator="lessThanOrEqual">
      <formula>3.5</formula>
    </cfRule>
    <cfRule type="cellIs" dxfId="700" priority="725" stopIfTrue="1" operator="greaterThanOrEqual">
      <formula>7.5</formula>
    </cfRule>
    <cfRule type="cellIs" dxfId="699" priority="726" stopIfTrue="1" operator="between">
      <formula>3.51</formula>
      <formula>7.49</formula>
    </cfRule>
  </conditionalFormatting>
  <conditionalFormatting sqref="AA2822">
    <cfRule type="cellIs" dxfId="698" priority="721" stopIfTrue="1" operator="lessThanOrEqual">
      <formula>3.5</formula>
    </cfRule>
    <cfRule type="cellIs" dxfId="697" priority="722" stopIfTrue="1" operator="greaterThanOrEqual">
      <formula>7.5</formula>
    </cfRule>
    <cfRule type="cellIs" dxfId="696" priority="723" stopIfTrue="1" operator="between">
      <formula>3.51</formula>
      <formula>7.49</formula>
    </cfRule>
  </conditionalFormatting>
  <conditionalFormatting sqref="AA2820">
    <cfRule type="cellIs" dxfId="695" priority="718" stopIfTrue="1" operator="lessThanOrEqual">
      <formula>3.5</formula>
    </cfRule>
    <cfRule type="cellIs" dxfId="694" priority="719" stopIfTrue="1" operator="greaterThanOrEqual">
      <formula>7.5</formula>
    </cfRule>
    <cfRule type="cellIs" dxfId="693" priority="720" stopIfTrue="1" operator="between">
      <formula>3.51</formula>
      <formula>7.49</formula>
    </cfRule>
  </conditionalFormatting>
  <conditionalFormatting sqref="AA2821">
    <cfRule type="cellIs" dxfId="692" priority="715" stopIfTrue="1" operator="lessThanOrEqual">
      <formula>3.5</formula>
    </cfRule>
    <cfRule type="cellIs" dxfId="691" priority="716" stopIfTrue="1" operator="greaterThanOrEqual">
      <formula>7.5</formula>
    </cfRule>
    <cfRule type="cellIs" dxfId="690" priority="717" stopIfTrue="1" operator="between">
      <formula>3.51</formula>
      <formula>7.49</formula>
    </cfRule>
  </conditionalFormatting>
  <conditionalFormatting sqref="AA2819">
    <cfRule type="cellIs" dxfId="689" priority="712" stopIfTrue="1" operator="lessThanOrEqual">
      <formula>3.5</formula>
    </cfRule>
    <cfRule type="cellIs" dxfId="688" priority="713" stopIfTrue="1" operator="greaterThanOrEqual">
      <formula>7.5</formula>
    </cfRule>
    <cfRule type="cellIs" dxfId="687" priority="714" stopIfTrue="1" operator="between">
      <formula>3.51</formula>
      <formula>7.49</formula>
    </cfRule>
  </conditionalFormatting>
  <conditionalFormatting sqref="AA2818">
    <cfRule type="cellIs" dxfId="686" priority="709" stopIfTrue="1" operator="lessThanOrEqual">
      <formula>3.5</formula>
    </cfRule>
    <cfRule type="cellIs" dxfId="685" priority="710" stopIfTrue="1" operator="greaterThanOrEqual">
      <formula>7.5</formula>
    </cfRule>
    <cfRule type="cellIs" dxfId="684" priority="711" stopIfTrue="1" operator="between">
      <formula>3.51</formula>
      <formula>7.49</formula>
    </cfRule>
  </conditionalFormatting>
  <conditionalFormatting sqref="AA2817">
    <cfRule type="cellIs" dxfId="683" priority="706" stopIfTrue="1" operator="lessThanOrEqual">
      <formula>3.5</formula>
    </cfRule>
    <cfRule type="cellIs" dxfId="682" priority="707" stopIfTrue="1" operator="greaterThanOrEqual">
      <formula>7.5</formula>
    </cfRule>
    <cfRule type="cellIs" dxfId="681" priority="708" stopIfTrue="1" operator="between">
      <formula>3.51</formula>
      <formula>7.49</formula>
    </cfRule>
  </conditionalFormatting>
  <conditionalFormatting sqref="AA2815">
    <cfRule type="cellIs" dxfId="680" priority="703" stopIfTrue="1" operator="lessThanOrEqual">
      <formula>3.5</formula>
    </cfRule>
    <cfRule type="cellIs" dxfId="679" priority="704" stopIfTrue="1" operator="greaterThanOrEqual">
      <formula>7.5</formula>
    </cfRule>
    <cfRule type="cellIs" dxfId="678" priority="705" stopIfTrue="1" operator="between">
      <formula>3.51</formula>
      <formula>7.49</formula>
    </cfRule>
  </conditionalFormatting>
  <conditionalFormatting sqref="AA2816">
    <cfRule type="cellIs" dxfId="677" priority="700" stopIfTrue="1" operator="lessThanOrEqual">
      <formula>3.5</formula>
    </cfRule>
    <cfRule type="cellIs" dxfId="676" priority="701" stopIfTrue="1" operator="greaterThanOrEqual">
      <formula>7.5</formula>
    </cfRule>
    <cfRule type="cellIs" dxfId="675" priority="702" stopIfTrue="1" operator="between">
      <formula>3.51</formula>
      <formula>7.49</formula>
    </cfRule>
  </conditionalFormatting>
  <conditionalFormatting sqref="AA5250">
    <cfRule type="cellIs" dxfId="674" priority="697" stopIfTrue="1" operator="lessThanOrEqual">
      <formula>3.5</formula>
    </cfRule>
    <cfRule type="cellIs" dxfId="673" priority="698" stopIfTrue="1" operator="greaterThanOrEqual">
      <formula>7.5</formula>
    </cfRule>
    <cfRule type="cellIs" dxfId="672" priority="699" stopIfTrue="1" operator="between">
      <formula>3.51</formula>
      <formula>7.49</formula>
    </cfRule>
  </conditionalFormatting>
  <conditionalFormatting sqref="AA5271">
    <cfRule type="cellIs" dxfId="671" priority="694" stopIfTrue="1" operator="lessThanOrEqual">
      <formula>3.5</formula>
    </cfRule>
    <cfRule type="cellIs" dxfId="670" priority="695" stopIfTrue="1" operator="greaterThanOrEqual">
      <formula>7.5</formula>
    </cfRule>
    <cfRule type="cellIs" dxfId="669" priority="696" stopIfTrue="1" operator="between">
      <formula>3.51</formula>
      <formula>7.49</formula>
    </cfRule>
  </conditionalFormatting>
  <conditionalFormatting sqref="AA5238">
    <cfRule type="cellIs" dxfId="668" priority="691" stopIfTrue="1" operator="lessThanOrEqual">
      <formula>3.5</formula>
    </cfRule>
    <cfRule type="cellIs" dxfId="667" priority="692" stopIfTrue="1" operator="greaterThanOrEqual">
      <formula>7.5</formula>
    </cfRule>
    <cfRule type="cellIs" dxfId="666" priority="693" stopIfTrue="1" operator="between">
      <formula>3.51</formula>
      <formula>7.49</formula>
    </cfRule>
  </conditionalFormatting>
  <conditionalFormatting sqref="AA5237">
    <cfRule type="cellIs" dxfId="665" priority="688" stopIfTrue="1" operator="lessThanOrEqual">
      <formula>3.5</formula>
    </cfRule>
    <cfRule type="cellIs" dxfId="664" priority="689" stopIfTrue="1" operator="greaterThanOrEqual">
      <formula>7.5</formula>
    </cfRule>
    <cfRule type="cellIs" dxfId="663" priority="690" stopIfTrue="1" operator="between">
      <formula>3.51</formula>
      <formula>7.49</formula>
    </cfRule>
  </conditionalFormatting>
  <conditionalFormatting sqref="AA5236">
    <cfRule type="cellIs" dxfId="662" priority="685" stopIfTrue="1" operator="lessThanOrEqual">
      <formula>3.5</formula>
    </cfRule>
    <cfRule type="cellIs" dxfId="661" priority="686" stopIfTrue="1" operator="greaterThanOrEqual">
      <formula>7.5</formula>
    </cfRule>
    <cfRule type="cellIs" dxfId="660" priority="687" stopIfTrue="1" operator="between">
      <formula>3.51</formula>
      <formula>7.49</formula>
    </cfRule>
  </conditionalFormatting>
  <conditionalFormatting sqref="AA5239">
    <cfRule type="cellIs" dxfId="659" priority="682" stopIfTrue="1" operator="lessThanOrEqual">
      <formula>3.5</formula>
    </cfRule>
    <cfRule type="cellIs" dxfId="658" priority="683" stopIfTrue="1" operator="greaterThanOrEqual">
      <formula>7.5</formula>
    </cfRule>
    <cfRule type="cellIs" dxfId="657" priority="684" stopIfTrue="1" operator="between">
      <formula>3.51</formula>
      <formula>7.49</formula>
    </cfRule>
  </conditionalFormatting>
  <conditionalFormatting sqref="AA5249">
    <cfRule type="cellIs" dxfId="656" priority="679" stopIfTrue="1" operator="lessThanOrEqual">
      <formula>3.5</formula>
    </cfRule>
    <cfRule type="cellIs" dxfId="655" priority="680" stopIfTrue="1" operator="greaterThanOrEqual">
      <formula>7.5</formula>
    </cfRule>
    <cfRule type="cellIs" dxfId="654" priority="681" stopIfTrue="1" operator="between">
      <formula>3.51</formula>
      <formula>7.49</formula>
    </cfRule>
  </conditionalFormatting>
  <conditionalFormatting sqref="AA5248">
    <cfRule type="cellIs" dxfId="653" priority="676" stopIfTrue="1" operator="lessThanOrEqual">
      <formula>3.5</formula>
    </cfRule>
    <cfRule type="cellIs" dxfId="652" priority="677" stopIfTrue="1" operator="greaterThanOrEqual">
      <formula>7.5</formula>
    </cfRule>
    <cfRule type="cellIs" dxfId="651" priority="678" stopIfTrue="1" operator="between">
      <formula>3.51</formula>
      <formula>7.49</formula>
    </cfRule>
  </conditionalFormatting>
  <conditionalFormatting sqref="AA5247">
    <cfRule type="cellIs" dxfId="650" priority="673" stopIfTrue="1" operator="lessThanOrEqual">
      <formula>3.5</formula>
    </cfRule>
    <cfRule type="cellIs" dxfId="649" priority="674" stopIfTrue="1" operator="greaterThanOrEqual">
      <formula>7.5</formula>
    </cfRule>
    <cfRule type="cellIs" dxfId="648" priority="675" stopIfTrue="1" operator="between">
      <formula>3.51</formula>
      <formula>7.49</formula>
    </cfRule>
  </conditionalFormatting>
  <conditionalFormatting sqref="AA5246">
    <cfRule type="cellIs" dxfId="647" priority="670" stopIfTrue="1" operator="lessThanOrEqual">
      <formula>3.5</formula>
    </cfRule>
    <cfRule type="cellIs" dxfId="646" priority="671" stopIfTrue="1" operator="greaterThanOrEqual">
      <formula>7.5</formula>
    </cfRule>
    <cfRule type="cellIs" dxfId="645" priority="672" stopIfTrue="1" operator="between">
      <formula>3.51</formula>
      <formula>7.49</formula>
    </cfRule>
  </conditionalFormatting>
  <conditionalFormatting sqref="AA5241">
    <cfRule type="cellIs" dxfId="644" priority="667" stopIfTrue="1" operator="lessThanOrEqual">
      <formula>3.5</formula>
    </cfRule>
    <cfRule type="cellIs" dxfId="643" priority="668" stopIfTrue="1" operator="greaterThanOrEqual">
      <formula>7.5</formula>
    </cfRule>
    <cfRule type="cellIs" dxfId="642" priority="669" stopIfTrue="1" operator="between">
      <formula>3.51</formula>
      <formula>7.49</formula>
    </cfRule>
  </conditionalFormatting>
  <conditionalFormatting sqref="AA5240">
    <cfRule type="cellIs" dxfId="641" priority="664" stopIfTrue="1" operator="lessThanOrEqual">
      <formula>3.5</formula>
    </cfRule>
    <cfRule type="cellIs" dxfId="640" priority="665" stopIfTrue="1" operator="greaterThanOrEqual">
      <formula>7.5</formula>
    </cfRule>
    <cfRule type="cellIs" dxfId="639" priority="666" stopIfTrue="1" operator="between">
      <formula>3.51</formula>
      <formula>7.49</formula>
    </cfRule>
  </conditionalFormatting>
  <conditionalFormatting sqref="AA3701:AA3703">
    <cfRule type="cellIs" dxfId="638" priority="661" stopIfTrue="1" operator="lessThanOrEqual">
      <formula>3.5</formula>
    </cfRule>
    <cfRule type="cellIs" dxfId="637" priority="662" stopIfTrue="1" operator="greaterThanOrEqual">
      <formula>7.5</formula>
    </cfRule>
    <cfRule type="cellIs" dxfId="636" priority="663" stopIfTrue="1" operator="between">
      <formula>3.51</formula>
      <formula>7.49</formula>
    </cfRule>
  </conditionalFormatting>
  <conditionalFormatting sqref="AA3704">
    <cfRule type="cellIs" dxfId="635" priority="658" stopIfTrue="1" operator="lessThanOrEqual">
      <formula>3.5</formula>
    </cfRule>
    <cfRule type="cellIs" dxfId="634" priority="659" stopIfTrue="1" operator="greaterThanOrEqual">
      <formula>7.5</formula>
    </cfRule>
    <cfRule type="cellIs" dxfId="633" priority="660" stopIfTrue="1" operator="between">
      <formula>3.51</formula>
      <formula>7.49</formula>
    </cfRule>
  </conditionalFormatting>
  <conditionalFormatting sqref="AA3136">
    <cfRule type="cellIs" dxfId="632" priority="655" stopIfTrue="1" operator="lessThanOrEqual">
      <formula>3.5</formula>
    </cfRule>
    <cfRule type="cellIs" dxfId="631" priority="656" stopIfTrue="1" operator="greaterThanOrEqual">
      <formula>7.5</formula>
    </cfRule>
    <cfRule type="cellIs" dxfId="630" priority="657" stopIfTrue="1" operator="between">
      <formula>3.51</formula>
      <formula>7.49</formula>
    </cfRule>
  </conditionalFormatting>
  <conditionalFormatting sqref="AA2648">
    <cfRule type="cellIs" dxfId="629" priority="652" stopIfTrue="1" operator="lessThanOrEqual">
      <formula>3.5</formula>
    </cfRule>
    <cfRule type="cellIs" dxfId="628" priority="653" stopIfTrue="1" operator="greaterThanOrEqual">
      <formula>7.5</formula>
    </cfRule>
    <cfRule type="cellIs" dxfId="627" priority="654" stopIfTrue="1" operator="between">
      <formula>3.51</formula>
      <formula>7.49</formula>
    </cfRule>
  </conditionalFormatting>
  <conditionalFormatting sqref="AA1132">
    <cfRule type="cellIs" dxfId="626" priority="649" stopIfTrue="1" operator="lessThanOrEqual">
      <formula>3.5</formula>
    </cfRule>
    <cfRule type="cellIs" dxfId="625" priority="650" stopIfTrue="1" operator="greaterThanOrEqual">
      <formula>7.5</formula>
    </cfRule>
    <cfRule type="cellIs" dxfId="624" priority="651" stopIfTrue="1" operator="between">
      <formula>3.51</formula>
      <formula>7.49</formula>
    </cfRule>
  </conditionalFormatting>
  <conditionalFormatting sqref="AA1134">
    <cfRule type="cellIs" dxfId="623" priority="646" stopIfTrue="1" operator="lessThanOrEqual">
      <formula>3.5</formula>
    </cfRule>
    <cfRule type="cellIs" dxfId="622" priority="647" stopIfTrue="1" operator="greaterThanOrEqual">
      <formula>7.5</formula>
    </cfRule>
    <cfRule type="cellIs" dxfId="621" priority="648" stopIfTrue="1" operator="between">
      <formula>3.51</formula>
      <formula>7.49</formula>
    </cfRule>
  </conditionalFormatting>
  <conditionalFormatting sqref="AA1133">
    <cfRule type="cellIs" dxfId="620" priority="643" stopIfTrue="1" operator="lessThanOrEqual">
      <formula>3.5</formula>
    </cfRule>
    <cfRule type="cellIs" dxfId="619" priority="644" stopIfTrue="1" operator="greaterThanOrEqual">
      <formula>7.5</formula>
    </cfRule>
    <cfRule type="cellIs" dxfId="618" priority="645" stopIfTrue="1" operator="between">
      <formula>3.51</formula>
      <formula>7.49</formula>
    </cfRule>
  </conditionalFormatting>
  <conditionalFormatting sqref="AA1135">
    <cfRule type="cellIs" dxfId="617" priority="640" stopIfTrue="1" operator="lessThanOrEqual">
      <formula>3.5</formula>
    </cfRule>
    <cfRule type="cellIs" dxfId="616" priority="641" stopIfTrue="1" operator="greaterThanOrEqual">
      <formula>7.5</formula>
    </cfRule>
    <cfRule type="cellIs" dxfId="615" priority="642" stopIfTrue="1" operator="between">
      <formula>3.51</formula>
      <formula>7.49</formula>
    </cfRule>
  </conditionalFormatting>
  <conditionalFormatting sqref="AA4326">
    <cfRule type="cellIs" dxfId="614" priority="637" stopIfTrue="1" operator="lessThanOrEqual">
      <formula>3.5</formula>
    </cfRule>
    <cfRule type="cellIs" dxfId="613" priority="638" stopIfTrue="1" operator="greaterThanOrEqual">
      <formula>7.5</formula>
    </cfRule>
    <cfRule type="cellIs" dxfId="612" priority="639" stopIfTrue="1" operator="between">
      <formula>3.51</formula>
      <formula>7.49</formula>
    </cfRule>
  </conditionalFormatting>
  <conditionalFormatting sqref="AA4743">
    <cfRule type="cellIs" dxfId="611" priority="634" stopIfTrue="1" operator="lessThanOrEqual">
      <formula>3.5</formula>
    </cfRule>
    <cfRule type="cellIs" dxfId="610" priority="635" stopIfTrue="1" operator="greaterThanOrEqual">
      <formula>7.5</formula>
    </cfRule>
    <cfRule type="cellIs" dxfId="609" priority="636" stopIfTrue="1" operator="between">
      <formula>3.51</formula>
      <formula>7.49</formula>
    </cfRule>
  </conditionalFormatting>
  <conditionalFormatting sqref="AA177">
    <cfRule type="cellIs" dxfId="608" priority="628" stopIfTrue="1" operator="lessThanOrEqual">
      <formula>3.5</formula>
    </cfRule>
    <cfRule type="cellIs" dxfId="607" priority="629" stopIfTrue="1" operator="greaterThanOrEqual">
      <formula>7.5</formula>
    </cfRule>
    <cfRule type="cellIs" dxfId="606" priority="630" stopIfTrue="1" operator="between">
      <formula>3.51</formula>
      <formula>7.49</formula>
    </cfRule>
  </conditionalFormatting>
  <conditionalFormatting sqref="AA179">
    <cfRule type="cellIs" dxfId="605" priority="625" stopIfTrue="1" operator="lessThanOrEqual">
      <formula>3.5</formula>
    </cfRule>
    <cfRule type="cellIs" dxfId="604" priority="626" stopIfTrue="1" operator="greaterThanOrEqual">
      <formula>7.5</formula>
    </cfRule>
    <cfRule type="cellIs" dxfId="603" priority="627" stopIfTrue="1" operator="between">
      <formula>3.51</formula>
      <formula>7.49</formula>
    </cfRule>
  </conditionalFormatting>
  <conditionalFormatting sqref="AA181">
    <cfRule type="cellIs" dxfId="602" priority="622" stopIfTrue="1" operator="lessThanOrEqual">
      <formula>3.5</formula>
    </cfRule>
    <cfRule type="cellIs" dxfId="601" priority="623" stopIfTrue="1" operator="greaterThanOrEqual">
      <formula>7.5</formula>
    </cfRule>
    <cfRule type="cellIs" dxfId="600" priority="624" stopIfTrue="1" operator="between">
      <formula>3.51</formula>
      <formula>7.49</formula>
    </cfRule>
  </conditionalFormatting>
  <conditionalFormatting sqref="AA180">
    <cfRule type="cellIs" dxfId="599" priority="619" stopIfTrue="1" operator="lessThanOrEqual">
      <formula>3.5</formula>
    </cfRule>
    <cfRule type="cellIs" dxfId="598" priority="620" stopIfTrue="1" operator="greaterThanOrEqual">
      <formula>7.5</formula>
    </cfRule>
    <cfRule type="cellIs" dxfId="597" priority="621" stopIfTrue="1" operator="between">
      <formula>3.51</formula>
      <formula>7.49</formula>
    </cfRule>
  </conditionalFormatting>
  <conditionalFormatting sqref="AA82">
    <cfRule type="cellIs" dxfId="596" priority="616" stopIfTrue="1" operator="lessThanOrEqual">
      <formula>3.5</formula>
    </cfRule>
    <cfRule type="cellIs" dxfId="595" priority="617" stopIfTrue="1" operator="greaterThanOrEqual">
      <formula>7.5</formula>
    </cfRule>
    <cfRule type="cellIs" dxfId="594" priority="618" stopIfTrue="1" operator="between">
      <formula>3.51</formula>
      <formula>7.49</formula>
    </cfRule>
  </conditionalFormatting>
  <conditionalFormatting sqref="AA5387">
    <cfRule type="cellIs" dxfId="593" priority="613" stopIfTrue="1" operator="lessThanOrEqual">
      <formula>3.5</formula>
    </cfRule>
    <cfRule type="cellIs" dxfId="592" priority="614" stopIfTrue="1" operator="greaterThanOrEqual">
      <formula>7.5</formula>
    </cfRule>
    <cfRule type="cellIs" dxfId="591" priority="615" stopIfTrue="1" operator="between">
      <formula>3.51</formula>
      <formula>7.49</formula>
    </cfRule>
  </conditionalFormatting>
  <conditionalFormatting sqref="AA5381">
    <cfRule type="cellIs" dxfId="590" priority="610" stopIfTrue="1" operator="lessThanOrEqual">
      <formula>3.5</formula>
    </cfRule>
    <cfRule type="cellIs" dxfId="589" priority="611" stopIfTrue="1" operator="greaterThanOrEqual">
      <formula>7.5</formula>
    </cfRule>
    <cfRule type="cellIs" dxfId="588" priority="612" stopIfTrue="1" operator="between">
      <formula>3.51</formula>
      <formula>7.49</formula>
    </cfRule>
  </conditionalFormatting>
  <conditionalFormatting sqref="AA5396">
    <cfRule type="cellIs" dxfId="587" priority="607" stopIfTrue="1" operator="lessThanOrEqual">
      <formula>3.5</formula>
    </cfRule>
    <cfRule type="cellIs" dxfId="586" priority="608" stopIfTrue="1" operator="greaterThanOrEqual">
      <formula>7.5</formula>
    </cfRule>
    <cfRule type="cellIs" dxfId="585" priority="609" stopIfTrue="1" operator="between">
      <formula>3.51</formula>
      <formula>7.49</formula>
    </cfRule>
  </conditionalFormatting>
  <conditionalFormatting sqref="AA5395">
    <cfRule type="cellIs" dxfId="584" priority="604" stopIfTrue="1" operator="lessThanOrEqual">
      <formula>3.5</formula>
    </cfRule>
    <cfRule type="cellIs" dxfId="583" priority="605" stopIfTrue="1" operator="greaterThanOrEqual">
      <formula>7.5</formula>
    </cfRule>
    <cfRule type="cellIs" dxfId="582" priority="606" stopIfTrue="1" operator="between">
      <formula>3.51</formula>
      <formula>7.49</formula>
    </cfRule>
  </conditionalFormatting>
  <conditionalFormatting sqref="AA5394">
    <cfRule type="cellIs" dxfId="581" priority="601" stopIfTrue="1" operator="lessThanOrEqual">
      <formula>3.5</formula>
    </cfRule>
    <cfRule type="cellIs" dxfId="580" priority="602" stopIfTrue="1" operator="greaterThanOrEqual">
      <formula>7.5</formula>
    </cfRule>
    <cfRule type="cellIs" dxfId="579" priority="603" stopIfTrue="1" operator="between">
      <formula>3.51</formula>
      <formula>7.49</formula>
    </cfRule>
  </conditionalFormatting>
  <conditionalFormatting sqref="AA5393">
    <cfRule type="cellIs" dxfId="578" priority="598" stopIfTrue="1" operator="lessThanOrEqual">
      <formula>3.5</formula>
    </cfRule>
    <cfRule type="cellIs" dxfId="577" priority="599" stopIfTrue="1" operator="greaterThanOrEqual">
      <formula>7.5</formula>
    </cfRule>
    <cfRule type="cellIs" dxfId="576" priority="600" stopIfTrue="1" operator="between">
      <formula>3.51</formula>
      <formula>7.49</formula>
    </cfRule>
  </conditionalFormatting>
  <conditionalFormatting sqref="AA5392">
    <cfRule type="cellIs" dxfId="575" priority="589" stopIfTrue="1" operator="lessThanOrEqual">
      <formula>3.5</formula>
    </cfRule>
    <cfRule type="cellIs" dxfId="574" priority="590" stopIfTrue="1" operator="greaterThanOrEqual">
      <formula>7.5</formula>
    </cfRule>
    <cfRule type="cellIs" dxfId="573" priority="591" stopIfTrue="1" operator="between">
      <formula>3.51</formula>
      <formula>7.49</formula>
    </cfRule>
  </conditionalFormatting>
  <conditionalFormatting sqref="AA5391">
    <cfRule type="cellIs" dxfId="572" priority="586" stopIfTrue="1" operator="lessThanOrEqual">
      <formula>3.5</formula>
    </cfRule>
    <cfRule type="cellIs" dxfId="571" priority="587" stopIfTrue="1" operator="greaterThanOrEqual">
      <formula>7.5</formula>
    </cfRule>
    <cfRule type="cellIs" dxfId="570" priority="588" stopIfTrue="1" operator="between">
      <formula>3.51</formula>
      <formula>7.49</formula>
    </cfRule>
  </conditionalFormatting>
  <conditionalFormatting sqref="AA5390">
    <cfRule type="cellIs" dxfId="569" priority="583" stopIfTrue="1" operator="lessThanOrEqual">
      <formula>3.5</formula>
    </cfRule>
    <cfRule type="cellIs" dxfId="568" priority="584" stopIfTrue="1" operator="greaterThanOrEqual">
      <formula>7.5</formula>
    </cfRule>
    <cfRule type="cellIs" dxfId="567" priority="585" stopIfTrue="1" operator="between">
      <formula>3.51</formula>
      <formula>7.49</formula>
    </cfRule>
  </conditionalFormatting>
  <conditionalFormatting sqref="AA5389">
    <cfRule type="cellIs" dxfId="566" priority="580" stopIfTrue="1" operator="lessThanOrEqual">
      <formula>3.5</formula>
    </cfRule>
    <cfRule type="cellIs" dxfId="565" priority="581" stopIfTrue="1" operator="greaterThanOrEqual">
      <formula>7.5</formula>
    </cfRule>
    <cfRule type="cellIs" dxfId="564" priority="582" stopIfTrue="1" operator="between">
      <formula>3.51</formula>
      <formula>7.49</formula>
    </cfRule>
  </conditionalFormatting>
  <conditionalFormatting sqref="AA3767 AA3769:AA3770">
    <cfRule type="cellIs" dxfId="563" priority="574" stopIfTrue="1" operator="lessThanOrEqual">
      <formula>3.5</formula>
    </cfRule>
    <cfRule type="cellIs" dxfId="562" priority="575" stopIfTrue="1" operator="greaterThanOrEqual">
      <formula>7.5</formula>
    </cfRule>
    <cfRule type="cellIs" dxfId="561" priority="576" stopIfTrue="1" operator="between">
      <formula>3.51</formula>
      <formula>7.49</formula>
    </cfRule>
  </conditionalFormatting>
  <conditionalFormatting sqref="AA5397">
    <cfRule type="cellIs" dxfId="560" priority="577" stopIfTrue="1" operator="lessThanOrEqual">
      <formula>3.5</formula>
    </cfRule>
    <cfRule type="cellIs" dxfId="559" priority="578" stopIfTrue="1" operator="greaterThanOrEqual">
      <formula>7.5</formula>
    </cfRule>
    <cfRule type="cellIs" dxfId="558" priority="579" stopIfTrue="1" operator="between">
      <formula>3.51</formula>
      <formula>7.49</formula>
    </cfRule>
  </conditionalFormatting>
  <conditionalFormatting sqref="AA3768">
    <cfRule type="cellIs" dxfId="557" priority="571" stopIfTrue="1" operator="lessThanOrEqual">
      <formula>3.5</formula>
    </cfRule>
    <cfRule type="cellIs" dxfId="556" priority="572" stopIfTrue="1" operator="greaterThanOrEqual">
      <formula>7.5</formula>
    </cfRule>
    <cfRule type="cellIs" dxfId="555" priority="573" stopIfTrue="1" operator="between">
      <formula>3.51</formula>
      <formula>7.49</formula>
    </cfRule>
  </conditionalFormatting>
  <conditionalFormatting sqref="AA2649">
    <cfRule type="cellIs" dxfId="554" priority="568" stopIfTrue="1" operator="lessThanOrEqual">
      <formula>3.5</formula>
    </cfRule>
    <cfRule type="cellIs" dxfId="553" priority="569" stopIfTrue="1" operator="greaterThanOrEqual">
      <formula>7.5</formula>
    </cfRule>
    <cfRule type="cellIs" dxfId="552" priority="570" stopIfTrue="1" operator="between">
      <formula>3.51</formula>
      <formula>7.49</formula>
    </cfRule>
  </conditionalFormatting>
  <conditionalFormatting sqref="AA2980">
    <cfRule type="cellIs" dxfId="551" priority="565" stopIfTrue="1" operator="lessThanOrEqual">
      <formula>3.5</formula>
    </cfRule>
    <cfRule type="cellIs" dxfId="550" priority="566" stopIfTrue="1" operator="greaterThanOrEqual">
      <formula>7.5</formula>
    </cfRule>
    <cfRule type="cellIs" dxfId="549" priority="567" stopIfTrue="1" operator="between">
      <formula>3.51</formula>
      <formula>7.49</formula>
    </cfRule>
  </conditionalFormatting>
  <conditionalFormatting sqref="AA2866">
    <cfRule type="cellIs" dxfId="548" priority="562" stopIfTrue="1" operator="lessThanOrEqual">
      <formula>3.5</formula>
    </cfRule>
    <cfRule type="cellIs" dxfId="547" priority="563" stopIfTrue="1" operator="greaterThanOrEqual">
      <formula>7.5</formula>
    </cfRule>
    <cfRule type="cellIs" dxfId="546" priority="564" stopIfTrue="1" operator="between">
      <formula>3.51</formula>
      <formula>7.49</formula>
    </cfRule>
  </conditionalFormatting>
  <conditionalFormatting sqref="AA2944">
    <cfRule type="cellIs" dxfId="545" priority="559" stopIfTrue="1" operator="lessThanOrEqual">
      <formula>3.5</formula>
    </cfRule>
    <cfRule type="cellIs" dxfId="544" priority="560" stopIfTrue="1" operator="greaterThanOrEqual">
      <formula>7.5</formula>
    </cfRule>
    <cfRule type="cellIs" dxfId="543" priority="561" stopIfTrue="1" operator="between">
      <formula>3.51</formula>
      <formula>7.49</formula>
    </cfRule>
  </conditionalFormatting>
  <conditionalFormatting sqref="AA3039">
    <cfRule type="cellIs" dxfId="542" priority="556" stopIfTrue="1" operator="lessThanOrEqual">
      <formula>3.5</formula>
    </cfRule>
    <cfRule type="cellIs" dxfId="541" priority="557" stopIfTrue="1" operator="greaterThanOrEqual">
      <formula>7.5</formula>
    </cfRule>
    <cfRule type="cellIs" dxfId="540" priority="558" stopIfTrue="1" operator="between">
      <formula>3.51</formula>
      <formula>7.49</formula>
    </cfRule>
  </conditionalFormatting>
  <conditionalFormatting sqref="AA3131">
    <cfRule type="cellIs" dxfId="539" priority="553" stopIfTrue="1" operator="lessThanOrEqual">
      <formula>3.5</formula>
    </cfRule>
    <cfRule type="cellIs" dxfId="538" priority="554" stopIfTrue="1" operator="greaterThanOrEqual">
      <formula>7.5</formula>
    </cfRule>
    <cfRule type="cellIs" dxfId="537" priority="555" stopIfTrue="1" operator="between">
      <formula>3.51</formula>
      <formula>7.49</formula>
    </cfRule>
  </conditionalFormatting>
  <conditionalFormatting sqref="AA3212">
    <cfRule type="cellIs" dxfId="536" priority="550" stopIfTrue="1" operator="lessThanOrEqual">
      <formula>3.5</formula>
    </cfRule>
    <cfRule type="cellIs" dxfId="535" priority="551" stopIfTrue="1" operator="greaterThanOrEqual">
      <formula>7.5</formula>
    </cfRule>
    <cfRule type="cellIs" dxfId="534" priority="552" stopIfTrue="1" operator="between">
      <formula>3.51</formula>
      <formula>7.49</formula>
    </cfRule>
  </conditionalFormatting>
  <conditionalFormatting sqref="AA4411">
    <cfRule type="cellIs" dxfId="533" priority="547" stopIfTrue="1" operator="lessThanOrEqual">
      <formula>3.5</formula>
    </cfRule>
    <cfRule type="cellIs" dxfId="532" priority="548" stopIfTrue="1" operator="greaterThanOrEqual">
      <formula>7.5</formula>
    </cfRule>
    <cfRule type="cellIs" dxfId="531" priority="549" stopIfTrue="1" operator="between">
      <formula>3.51</formula>
      <formula>7.49</formula>
    </cfRule>
  </conditionalFormatting>
  <conditionalFormatting sqref="AA862">
    <cfRule type="cellIs" dxfId="530" priority="544" stopIfTrue="1" operator="lessThanOrEqual">
      <formula>3.5</formula>
    </cfRule>
    <cfRule type="cellIs" dxfId="529" priority="545" stopIfTrue="1" operator="greaterThanOrEqual">
      <formula>7.5</formula>
    </cfRule>
    <cfRule type="cellIs" dxfId="528" priority="546" stopIfTrue="1" operator="between">
      <formula>3.51</formula>
      <formula>7.49</formula>
    </cfRule>
  </conditionalFormatting>
  <conditionalFormatting sqref="AA244">
    <cfRule type="cellIs" dxfId="527" priority="541" stopIfTrue="1" operator="lessThanOrEqual">
      <formula>3.5</formula>
    </cfRule>
    <cfRule type="cellIs" dxfId="526" priority="542" stopIfTrue="1" operator="greaterThanOrEqual">
      <formula>7.5</formula>
    </cfRule>
    <cfRule type="cellIs" dxfId="525" priority="543" stopIfTrue="1" operator="between">
      <formula>3.51</formula>
      <formula>7.49</formula>
    </cfRule>
  </conditionalFormatting>
  <conditionalFormatting sqref="AA244">
    <cfRule type="cellIs" dxfId="524" priority="538" stopIfTrue="1" operator="lessThanOrEqual">
      <formula>3.5</formula>
    </cfRule>
    <cfRule type="cellIs" dxfId="523" priority="539" stopIfTrue="1" operator="greaterThanOrEqual">
      <formula>7.5</formula>
    </cfRule>
    <cfRule type="cellIs" dxfId="522" priority="540" stopIfTrue="1" operator="between">
      <formula>3.51</formula>
      <formula>7.49</formula>
    </cfRule>
  </conditionalFormatting>
  <conditionalFormatting sqref="AA728">
    <cfRule type="cellIs" dxfId="521" priority="535" stopIfTrue="1" operator="lessThanOrEqual">
      <formula>3.5</formula>
    </cfRule>
    <cfRule type="cellIs" dxfId="520" priority="536" stopIfTrue="1" operator="greaterThanOrEqual">
      <formula>7.5</formula>
    </cfRule>
    <cfRule type="cellIs" dxfId="519" priority="537" stopIfTrue="1" operator="between">
      <formula>3.51</formula>
      <formula>7.49</formula>
    </cfRule>
  </conditionalFormatting>
  <conditionalFormatting sqref="AA728">
    <cfRule type="cellIs" dxfId="518" priority="532" stopIfTrue="1" operator="lessThanOrEqual">
      <formula>3.5</formula>
    </cfRule>
    <cfRule type="cellIs" dxfId="517" priority="533" stopIfTrue="1" operator="greaterThanOrEqual">
      <formula>7.5</formula>
    </cfRule>
    <cfRule type="cellIs" dxfId="516" priority="534" stopIfTrue="1" operator="between">
      <formula>3.51</formula>
      <formula>7.49</formula>
    </cfRule>
  </conditionalFormatting>
  <conditionalFormatting sqref="AA2080">
    <cfRule type="cellIs" dxfId="515" priority="529" stopIfTrue="1" operator="lessThanOrEqual">
      <formula>3.5</formula>
    </cfRule>
    <cfRule type="cellIs" dxfId="514" priority="530" stopIfTrue="1" operator="greaterThanOrEqual">
      <formula>7.5</formula>
    </cfRule>
    <cfRule type="cellIs" dxfId="513" priority="531" stopIfTrue="1" operator="between">
      <formula>3.51</formula>
      <formula>7.49</formula>
    </cfRule>
  </conditionalFormatting>
  <conditionalFormatting sqref="AA2080">
    <cfRule type="cellIs" dxfId="512" priority="526" stopIfTrue="1" operator="lessThanOrEqual">
      <formula>3.5</formula>
    </cfRule>
    <cfRule type="cellIs" dxfId="511" priority="527" stopIfTrue="1" operator="greaterThanOrEqual">
      <formula>7.5</formula>
    </cfRule>
    <cfRule type="cellIs" dxfId="510" priority="528" stopIfTrue="1" operator="between">
      <formula>3.51</formula>
      <formula>7.49</formula>
    </cfRule>
  </conditionalFormatting>
  <conditionalFormatting sqref="AA69">
    <cfRule type="cellIs" dxfId="509" priority="523" stopIfTrue="1" operator="lessThanOrEqual">
      <formula>3.5</formula>
    </cfRule>
    <cfRule type="cellIs" dxfId="508" priority="524" stopIfTrue="1" operator="greaterThanOrEqual">
      <formula>7.5</formula>
    </cfRule>
    <cfRule type="cellIs" dxfId="507" priority="525" stopIfTrue="1" operator="between">
      <formula>3.51</formula>
      <formula>7.49</formula>
    </cfRule>
  </conditionalFormatting>
  <conditionalFormatting sqref="AA390">
    <cfRule type="cellIs" dxfId="506" priority="520" stopIfTrue="1" operator="lessThanOrEqual">
      <formula>3.5</formula>
    </cfRule>
    <cfRule type="cellIs" dxfId="505" priority="521" stopIfTrue="1" operator="greaterThanOrEqual">
      <formula>7.5</formula>
    </cfRule>
    <cfRule type="cellIs" dxfId="504" priority="522" stopIfTrue="1" operator="between">
      <formula>3.51</formula>
      <formula>7.49</formula>
    </cfRule>
  </conditionalFormatting>
  <conditionalFormatting sqref="AA947">
    <cfRule type="cellIs" dxfId="503" priority="517" stopIfTrue="1" operator="lessThanOrEqual">
      <formula>3.5</formula>
    </cfRule>
    <cfRule type="cellIs" dxfId="502" priority="518" stopIfTrue="1" operator="greaterThanOrEqual">
      <formula>7.5</formula>
    </cfRule>
    <cfRule type="cellIs" dxfId="501" priority="519" stopIfTrue="1" operator="between">
      <formula>3.51</formula>
      <formula>7.49</formula>
    </cfRule>
  </conditionalFormatting>
  <conditionalFormatting sqref="AA1458">
    <cfRule type="cellIs" dxfId="500" priority="514" stopIfTrue="1" operator="lessThanOrEqual">
      <formula>3.5</formula>
    </cfRule>
    <cfRule type="cellIs" dxfId="499" priority="515" stopIfTrue="1" operator="greaterThanOrEqual">
      <formula>7.5</formula>
    </cfRule>
    <cfRule type="cellIs" dxfId="498" priority="516" stopIfTrue="1" operator="between">
      <formula>3.51</formula>
      <formula>7.49</formula>
    </cfRule>
  </conditionalFormatting>
  <conditionalFormatting sqref="AA1701">
    <cfRule type="cellIs" dxfId="497" priority="511" stopIfTrue="1" operator="lessThanOrEqual">
      <formula>3.5</formula>
    </cfRule>
    <cfRule type="cellIs" dxfId="496" priority="512" stopIfTrue="1" operator="greaterThanOrEqual">
      <formula>7.5</formula>
    </cfRule>
    <cfRule type="cellIs" dxfId="495" priority="513" stopIfTrue="1" operator="between">
      <formula>3.51</formula>
      <formula>7.49</formula>
    </cfRule>
  </conditionalFormatting>
  <conditionalFormatting sqref="AA1972">
    <cfRule type="cellIs" dxfId="494" priority="508" stopIfTrue="1" operator="lessThanOrEqual">
      <formula>3.5</formula>
    </cfRule>
    <cfRule type="cellIs" dxfId="493" priority="509" stopIfTrue="1" operator="greaterThanOrEqual">
      <formula>7.5</formula>
    </cfRule>
    <cfRule type="cellIs" dxfId="492" priority="510" stopIfTrue="1" operator="between">
      <formula>3.51</formula>
      <formula>7.49</formula>
    </cfRule>
  </conditionalFormatting>
  <conditionalFormatting sqref="AA2563">
    <cfRule type="cellIs" dxfId="491" priority="505" stopIfTrue="1" operator="lessThanOrEqual">
      <formula>3.5</formula>
    </cfRule>
    <cfRule type="cellIs" dxfId="490" priority="506" stopIfTrue="1" operator="greaterThanOrEqual">
      <formula>7.5</formula>
    </cfRule>
    <cfRule type="cellIs" dxfId="489" priority="507" stopIfTrue="1" operator="between">
      <formula>3.51</formula>
      <formula>7.49</formula>
    </cfRule>
  </conditionalFormatting>
  <conditionalFormatting sqref="AA3776">
    <cfRule type="cellIs" dxfId="488" priority="502" stopIfTrue="1" operator="lessThanOrEqual">
      <formula>3.5</formula>
    </cfRule>
    <cfRule type="cellIs" dxfId="487" priority="503" stopIfTrue="1" operator="greaterThanOrEqual">
      <formula>7.5</formula>
    </cfRule>
    <cfRule type="cellIs" dxfId="486" priority="504" stopIfTrue="1" operator="between">
      <formula>3.51</formula>
      <formula>7.49</formula>
    </cfRule>
  </conditionalFormatting>
  <conditionalFormatting sqref="AA3835">
    <cfRule type="cellIs" dxfId="485" priority="499" stopIfTrue="1" operator="lessThanOrEqual">
      <formula>3.5</formula>
    </cfRule>
    <cfRule type="cellIs" dxfId="484" priority="500" stopIfTrue="1" operator="greaterThanOrEqual">
      <formula>7.5</formula>
    </cfRule>
    <cfRule type="cellIs" dxfId="483" priority="501" stopIfTrue="1" operator="between">
      <formula>3.51</formula>
      <formula>7.49</formula>
    </cfRule>
  </conditionalFormatting>
  <conditionalFormatting sqref="AA3896">
    <cfRule type="cellIs" dxfId="482" priority="496" stopIfTrue="1" operator="lessThanOrEqual">
      <formula>3.5</formula>
    </cfRule>
    <cfRule type="cellIs" dxfId="481" priority="497" stopIfTrue="1" operator="greaterThanOrEqual">
      <formula>7.5</formula>
    </cfRule>
    <cfRule type="cellIs" dxfId="480" priority="498" stopIfTrue="1" operator="between">
      <formula>3.51</formula>
      <formula>7.49</formula>
    </cfRule>
  </conditionalFormatting>
  <conditionalFormatting sqref="AA4327">
    <cfRule type="cellIs" dxfId="479" priority="493" stopIfTrue="1" operator="lessThanOrEqual">
      <formula>3.5</formula>
    </cfRule>
    <cfRule type="cellIs" dxfId="478" priority="494" stopIfTrue="1" operator="greaterThanOrEqual">
      <formula>7.5</formula>
    </cfRule>
    <cfRule type="cellIs" dxfId="477" priority="495" stopIfTrue="1" operator="between">
      <formula>3.51</formula>
      <formula>7.49</formula>
    </cfRule>
  </conditionalFormatting>
  <conditionalFormatting sqref="AA4744">
    <cfRule type="cellIs" dxfId="476" priority="490" stopIfTrue="1" operator="lessThanOrEqual">
      <formula>3.5</formula>
    </cfRule>
    <cfRule type="cellIs" dxfId="475" priority="491" stopIfTrue="1" operator="greaterThanOrEqual">
      <formula>7.5</formula>
    </cfRule>
    <cfRule type="cellIs" dxfId="474" priority="492" stopIfTrue="1" operator="between">
      <formula>3.51</formula>
      <formula>7.49</formula>
    </cfRule>
  </conditionalFormatting>
  <conditionalFormatting sqref="AA5354">
    <cfRule type="cellIs" dxfId="473" priority="487" stopIfTrue="1" operator="lessThanOrEqual">
      <formula>3.5</formula>
    </cfRule>
    <cfRule type="cellIs" dxfId="472" priority="488" stopIfTrue="1" operator="greaterThanOrEqual">
      <formula>7.5</formula>
    </cfRule>
    <cfRule type="cellIs" dxfId="471" priority="489" stopIfTrue="1" operator="between">
      <formula>3.51</formula>
      <formula>7.49</formula>
    </cfRule>
  </conditionalFormatting>
  <conditionalFormatting sqref="AA5384">
    <cfRule type="cellIs" dxfId="470" priority="484" stopIfTrue="1" operator="lessThanOrEqual">
      <formula>3.5</formula>
    </cfRule>
    <cfRule type="cellIs" dxfId="469" priority="485" stopIfTrue="1" operator="greaterThanOrEqual">
      <formula>7.5</formula>
    </cfRule>
    <cfRule type="cellIs" dxfId="468" priority="486" stopIfTrue="1" operator="between">
      <formula>3.51</formula>
      <formula>7.49</formula>
    </cfRule>
  </conditionalFormatting>
  <conditionalFormatting sqref="AA711">
    <cfRule type="cellIs" dxfId="467" priority="481" stopIfTrue="1" operator="lessThanOrEqual">
      <formula>3.5</formula>
    </cfRule>
    <cfRule type="cellIs" dxfId="466" priority="482" stopIfTrue="1" operator="greaterThanOrEqual">
      <formula>7.5</formula>
    </cfRule>
    <cfRule type="cellIs" dxfId="465" priority="483" stopIfTrue="1" operator="between">
      <formula>3.51</formula>
      <formula>7.49</formula>
    </cfRule>
  </conditionalFormatting>
  <conditionalFormatting sqref="AA2126">
    <cfRule type="cellIs" dxfId="464" priority="478" stopIfTrue="1" operator="lessThanOrEqual">
      <formula>3.5</formula>
    </cfRule>
    <cfRule type="cellIs" dxfId="463" priority="479" stopIfTrue="1" operator="greaterThanOrEqual">
      <formula>7.5</formula>
    </cfRule>
    <cfRule type="cellIs" dxfId="462" priority="480" stopIfTrue="1" operator="between">
      <formula>3.51</formula>
      <formula>7.49</formula>
    </cfRule>
  </conditionalFormatting>
  <conditionalFormatting sqref="AA1237">
    <cfRule type="cellIs" dxfId="461" priority="475" stopIfTrue="1" operator="lessThanOrEqual">
      <formula>3.5</formula>
    </cfRule>
    <cfRule type="cellIs" dxfId="460" priority="476" stopIfTrue="1" operator="greaterThanOrEqual">
      <formula>7.5</formula>
    </cfRule>
    <cfRule type="cellIs" dxfId="459" priority="477" stopIfTrue="1" operator="between">
      <formula>3.51</formula>
      <formula>7.49</formula>
    </cfRule>
  </conditionalFormatting>
  <conditionalFormatting sqref="AA5353">
    <cfRule type="cellIs" dxfId="458" priority="472" stopIfTrue="1" operator="lessThanOrEqual">
      <formula>3.5</formula>
    </cfRule>
    <cfRule type="cellIs" dxfId="457" priority="473" stopIfTrue="1" operator="greaterThanOrEqual">
      <formula>7.5</formula>
    </cfRule>
    <cfRule type="cellIs" dxfId="456" priority="474" stopIfTrue="1" operator="between">
      <formula>3.51</formula>
      <formula>7.49</formula>
    </cfRule>
  </conditionalFormatting>
  <conditionalFormatting sqref="AA5333">
    <cfRule type="cellIs" dxfId="455" priority="469" stopIfTrue="1" operator="lessThanOrEqual">
      <formula>3.5</formula>
    </cfRule>
    <cfRule type="cellIs" dxfId="454" priority="470" stopIfTrue="1" operator="greaterThanOrEqual">
      <formula>7.5</formula>
    </cfRule>
    <cfRule type="cellIs" dxfId="453" priority="471" stopIfTrue="1" operator="between">
      <formula>3.51</formula>
      <formula>7.49</formula>
    </cfRule>
  </conditionalFormatting>
  <conditionalFormatting sqref="AA5336">
    <cfRule type="cellIs" dxfId="452" priority="463" stopIfTrue="1" operator="lessThanOrEqual">
      <formula>3.5</formula>
    </cfRule>
    <cfRule type="cellIs" dxfId="451" priority="464" stopIfTrue="1" operator="greaterThanOrEqual">
      <formula>7.5</formula>
    </cfRule>
    <cfRule type="cellIs" dxfId="450" priority="465" stopIfTrue="1" operator="between">
      <formula>3.51</formula>
      <formula>7.49</formula>
    </cfRule>
  </conditionalFormatting>
  <conditionalFormatting sqref="AA1564">
    <cfRule type="cellIs" dxfId="449" priority="460" stopIfTrue="1" operator="lessThanOrEqual">
      <formula>3.5</formula>
    </cfRule>
    <cfRule type="cellIs" dxfId="448" priority="461" stopIfTrue="1" operator="greaterThanOrEqual">
      <formula>7.5</formula>
    </cfRule>
    <cfRule type="cellIs" dxfId="447" priority="462" stopIfTrue="1" operator="between">
      <formula>3.51</formula>
      <formula>7.49</formula>
    </cfRule>
  </conditionalFormatting>
  <conditionalFormatting sqref="AA3178">
    <cfRule type="cellIs" dxfId="446" priority="457" stopIfTrue="1" operator="lessThanOrEqual">
      <formula>3.5</formula>
    </cfRule>
    <cfRule type="cellIs" dxfId="445" priority="458" stopIfTrue="1" operator="greaterThanOrEqual">
      <formula>7.5</formula>
    </cfRule>
    <cfRule type="cellIs" dxfId="444" priority="459" stopIfTrue="1" operator="between">
      <formula>3.51</formula>
      <formula>7.49</formula>
    </cfRule>
  </conditionalFormatting>
  <conditionalFormatting sqref="AA2446">
    <cfRule type="cellIs" dxfId="443" priority="454" stopIfTrue="1" operator="lessThanOrEqual">
      <formula>3.5</formula>
    </cfRule>
    <cfRule type="cellIs" dxfId="442" priority="455" stopIfTrue="1" operator="greaterThanOrEqual">
      <formula>7.5</formula>
    </cfRule>
    <cfRule type="cellIs" dxfId="441" priority="456" stopIfTrue="1" operator="between">
      <formula>3.51</formula>
      <formula>7.49</formula>
    </cfRule>
  </conditionalFormatting>
  <conditionalFormatting sqref="AA5372">
    <cfRule type="cellIs" dxfId="440" priority="451" stopIfTrue="1" operator="lessThanOrEqual">
      <formula>3.5</formula>
    </cfRule>
    <cfRule type="cellIs" dxfId="439" priority="452" stopIfTrue="1" operator="greaterThanOrEqual">
      <formula>7.5</formula>
    </cfRule>
    <cfRule type="cellIs" dxfId="438" priority="453" stopIfTrue="1" operator="between">
      <formula>3.51</formula>
      <formula>7.49</formula>
    </cfRule>
  </conditionalFormatting>
  <conditionalFormatting sqref="AA5379">
    <cfRule type="cellIs" dxfId="437" priority="448" stopIfTrue="1" operator="lessThanOrEqual">
      <formula>3.5</formula>
    </cfRule>
    <cfRule type="cellIs" dxfId="436" priority="449" stopIfTrue="1" operator="greaterThanOrEqual">
      <formula>7.5</formula>
    </cfRule>
    <cfRule type="cellIs" dxfId="435" priority="450" stopIfTrue="1" operator="between">
      <formula>3.51</formula>
      <formula>7.49</formula>
    </cfRule>
  </conditionalFormatting>
  <conditionalFormatting sqref="AA5370">
    <cfRule type="cellIs" dxfId="434" priority="445" stopIfTrue="1" operator="lessThanOrEqual">
      <formula>3.5</formula>
    </cfRule>
    <cfRule type="cellIs" dxfId="433" priority="446" stopIfTrue="1" operator="greaterThanOrEqual">
      <formula>7.5</formula>
    </cfRule>
    <cfRule type="cellIs" dxfId="432" priority="447" stopIfTrue="1" operator="between">
      <formula>3.51</formula>
      <formula>7.49</formula>
    </cfRule>
  </conditionalFormatting>
  <conditionalFormatting sqref="AA5380">
    <cfRule type="cellIs" dxfId="431" priority="442" stopIfTrue="1" operator="lessThanOrEqual">
      <formula>3.5</formula>
    </cfRule>
    <cfRule type="cellIs" dxfId="430" priority="443" stopIfTrue="1" operator="greaterThanOrEqual">
      <formula>7.5</formula>
    </cfRule>
    <cfRule type="cellIs" dxfId="429" priority="444" stopIfTrue="1" operator="between">
      <formula>3.51</formula>
      <formula>7.49</formula>
    </cfRule>
  </conditionalFormatting>
  <conditionalFormatting sqref="AA5383">
    <cfRule type="cellIs" dxfId="428" priority="439" stopIfTrue="1" operator="lessThanOrEqual">
      <formula>3.5</formula>
    </cfRule>
    <cfRule type="cellIs" dxfId="427" priority="440" stopIfTrue="1" operator="greaterThanOrEqual">
      <formula>7.5</formula>
    </cfRule>
    <cfRule type="cellIs" dxfId="426" priority="441" stopIfTrue="1" operator="between">
      <formula>3.51</formula>
      <formula>7.49</formula>
    </cfRule>
  </conditionalFormatting>
  <conditionalFormatting sqref="AA5388">
    <cfRule type="cellIs" dxfId="425" priority="436" stopIfTrue="1" operator="lessThanOrEqual">
      <formula>3.5</formula>
    </cfRule>
    <cfRule type="cellIs" dxfId="424" priority="437" stopIfTrue="1" operator="greaterThanOrEqual">
      <formula>7.5</formula>
    </cfRule>
    <cfRule type="cellIs" dxfId="423" priority="438" stopIfTrue="1" operator="between">
      <formula>3.51</formula>
      <formula>7.49</formula>
    </cfRule>
  </conditionalFormatting>
  <conditionalFormatting sqref="AA5385">
    <cfRule type="cellIs" dxfId="422" priority="433" stopIfTrue="1" operator="lessThanOrEqual">
      <formula>3.5</formula>
    </cfRule>
    <cfRule type="cellIs" dxfId="421" priority="434" stopIfTrue="1" operator="greaterThanOrEqual">
      <formula>7.5</formula>
    </cfRule>
    <cfRule type="cellIs" dxfId="420" priority="435" stopIfTrue="1" operator="between">
      <formula>3.51</formula>
      <formula>7.49</formula>
    </cfRule>
  </conditionalFormatting>
  <conditionalFormatting sqref="AA5293">
    <cfRule type="cellIs" dxfId="419" priority="430" stopIfTrue="1" operator="lessThanOrEqual">
      <formula>3.5</formula>
    </cfRule>
    <cfRule type="cellIs" dxfId="418" priority="431" stopIfTrue="1" operator="greaterThanOrEqual">
      <formula>7.5</formula>
    </cfRule>
    <cfRule type="cellIs" dxfId="417" priority="432" stopIfTrue="1" operator="between">
      <formula>3.51</formula>
      <formula>7.49</formula>
    </cfRule>
  </conditionalFormatting>
  <conditionalFormatting sqref="AA4700">
    <cfRule type="cellIs" dxfId="416" priority="427" stopIfTrue="1" operator="lessThanOrEqual">
      <formula>3.5</formula>
    </cfRule>
    <cfRule type="cellIs" dxfId="415" priority="428" stopIfTrue="1" operator="greaterThanOrEqual">
      <formula>7.5</formula>
    </cfRule>
    <cfRule type="cellIs" dxfId="414" priority="429" stopIfTrue="1" operator="between">
      <formula>3.51</formula>
      <formula>7.49</formula>
    </cfRule>
  </conditionalFormatting>
  <conditionalFormatting sqref="AA4884">
    <cfRule type="cellIs" dxfId="413" priority="424" stopIfTrue="1" operator="lessThanOrEqual">
      <formula>3.5</formula>
    </cfRule>
    <cfRule type="cellIs" dxfId="412" priority="425" stopIfTrue="1" operator="greaterThanOrEqual">
      <formula>7.5</formula>
    </cfRule>
    <cfRule type="cellIs" dxfId="411" priority="426" stopIfTrue="1" operator="between">
      <formula>3.51</formula>
      <formula>7.49</formula>
    </cfRule>
  </conditionalFormatting>
  <conditionalFormatting sqref="AA4838">
    <cfRule type="cellIs" dxfId="410" priority="421" stopIfTrue="1" operator="lessThanOrEqual">
      <formula>3.5</formula>
    </cfRule>
    <cfRule type="cellIs" dxfId="409" priority="422" stopIfTrue="1" operator="greaterThanOrEqual">
      <formula>7.5</formula>
    </cfRule>
    <cfRule type="cellIs" dxfId="408" priority="423" stopIfTrue="1" operator="between">
      <formula>3.51</formula>
      <formula>7.49</formula>
    </cfRule>
  </conditionalFormatting>
  <conditionalFormatting sqref="AA5163">
    <cfRule type="cellIs" dxfId="407" priority="418" stopIfTrue="1" operator="lessThanOrEqual">
      <formula>3.5</formula>
    </cfRule>
    <cfRule type="cellIs" dxfId="406" priority="419" stopIfTrue="1" operator="greaterThanOrEqual">
      <formula>7.5</formula>
    </cfRule>
    <cfRule type="cellIs" dxfId="405" priority="420" stopIfTrue="1" operator="between">
      <formula>3.51</formula>
      <formula>7.49</formula>
    </cfRule>
  </conditionalFormatting>
  <conditionalFormatting sqref="AA4661">
    <cfRule type="cellIs" dxfId="404" priority="415" stopIfTrue="1" operator="lessThanOrEqual">
      <formula>3.5</formula>
    </cfRule>
    <cfRule type="cellIs" dxfId="403" priority="416" stopIfTrue="1" operator="greaterThanOrEqual">
      <formula>7.5</formula>
    </cfRule>
    <cfRule type="cellIs" dxfId="402" priority="417" stopIfTrue="1" operator="between">
      <formula>3.51</formula>
      <formula>7.49</formula>
    </cfRule>
  </conditionalFormatting>
  <conditionalFormatting sqref="AA4781">
    <cfRule type="cellIs" dxfId="401" priority="412" stopIfTrue="1" operator="lessThanOrEqual">
      <formula>3.5</formula>
    </cfRule>
    <cfRule type="cellIs" dxfId="400" priority="413" stopIfTrue="1" operator="greaterThanOrEqual">
      <formula>7.5</formula>
    </cfRule>
    <cfRule type="cellIs" dxfId="399" priority="414" stopIfTrue="1" operator="between">
      <formula>3.51</formula>
      <formula>7.49</formula>
    </cfRule>
  </conditionalFormatting>
  <conditionalFormatting sqref="AA4913">
    <cfRule type="cellIs" dxfId="398" priority="409" stopIfTrue="1" operator="lessThanOrEqual">
      <formula>3.5</formula>
    </cfRule>
    <cfRule type="cellIs" dxfId="397" priority="410" stopIfTrue="1" operator="greaterThanOrEqual">
      <formula>7.5</formula>
    </cfRule>
    <cfRule type="cellIs" dxfId="396" priority="411" stopIfTrue="1" operator="between">
      <formula>3.51</formula>
      <formula>7.49</formula>
    </cfRule>
  </conditionalFormatting>
  <conditionalFormatting sqref="AA4226">
    <cfRule type="cellIs" dxfId="395" priority="406" stopIfTrue="1" operator="lessThanOrEqual">
      <formula>3.5</formula>
    </cfRule>
    <cfRule type="cellIs" dxfId="394" priority="407" stopIfTrue="1" operator="greaterThanOrEqual">
      <formula>7.5</formula>
    </cfRule>
    <cfRule type="cellIs" dxfId="393" priority="408" stopIfTrue="1" operator="between">
      <formula>3.51</formula>
      <formula>7.49</formula>
    </cfRule>
  </conditionalFormatting>
  <conditionalFormatting sqref="AA21">
    <cfRule type="cellIs" dxfId="392" priority="403" stopIfTrue="1" operator="lessThanOrEqual">
      <formula>3.5</formula>
    </cfRule>
    <cfRule type="cellIs" dxfId="391" priority="404" stopIfTrue="1" operator="greaterThanOrEqual">
      <formula>7.5</formula>
    </cfRule>
    <cfRule type="cellIs" dxfId="390" priority="405" stopIfTrue="1" operator="between">
      <formula>3.51</formula>
      <formula>7.49</formula>
    </cfRule>
  </conditionalFormatting>
  <conditionalFormatting sqref="AA1221">
    <cfRule type="cellIs" dxfId="389" priority="400" stopIfTrue="1" operator="lessThanOrEqual">
      <formula>3.5</formula>
    </cfRule>
    <cfRule type="cellIs" dxfId="388" priority="401" stopIfTrue="1" operator="greaterThanOrEqual">
      <formula>7.5</formula>
    </cfRule>
    <cfRule type="cellIs" dxfId="387" priority="402" stopIfTrue="1" operator="between">
      <formula>3.51</formula>
      <formula>7.49</formula>
    </cfRule>
  </conditionalFormatting>
  <conditionalFormatting sqref="AA1759">
    <cfRule type="cellIs" dxfId="386" priority="397" stopIfTrue="1" operator="lessThanOrEqual">
      <formula>3.5</formula>
    </cfRule>
    <cfRule type="cellIs" dxfId="385" priority="398" stopIfTrue="1" operator="greaterThanOrEqual">
      <formula>7.5</formula>
    </cfRule>
    <cfRule type="cellIs" dxfId="384" priority="399" stopIfTrue="1" operator="between">
      <formula>3.51</formula>
      <formula>7.49</formula>
    </cfRule>
  </conditionalFormatting>
  <conditionalFormatting sqref="AA1988">
    <cfRule type="cellIs" dxfId="383" priority="394" stopIfTrue="1" operator="lessThanOrEqual">
      <formula>3.5</formula>
    </cfRule>
    <cfRule type="cellIs" dxfId="382" priority="395" stopIfTrue="1" operator="greaterThanOrEqual">
      <formula>7.5</formula>
    </cfRule>
    <cfRule type="cellIs" dxfId="381" priority="396" stopIfTrue="1" operator="between">
      <formula>3.51</formula>
      <formula>7.49</formula>
    </cfRule>
  </conditionalFormatting>
  <conditionalFormatting sqref="AA3820">
    <cfRule type="cellIs" dxfId="380" priority="391" stopIfTrue="1" operator="lessThanOrEqual">
      <formula>3.5</formula>
    </cfRule>
    <cfRule type="cellIs" dxfId="379" priority="392" stopIfTrue="1" operator="greaterThanOrEqual">
      <formula>7.5</formula>
    </cfRule>
    <cfRule type="cellIs" dxfId="378" priority="393" stopIfTrue="1" operator="between">
      <formula>3.51</formula>
      <formula>7.49</formula>
    </cfRule>
  </conditionalFormatting>
  <conditionalFormatting sqref="AA4434">
    <cfRule type="cellIs" dxfId="377" priority="388" stopIfTrue="1" operator="lessThanOrEqual">
      <formula>3.5</formula>
    </cfRule>
    <cfRule type="cellIs" dxfId="376" priority="389" stopIfTrue="1" operator="greaterThanOrEqual">
      <formula>7.5</formula>
    </cfRule>
    <cfRule type="cellIs" dxfId="375" priority="390" stopIfTrue="1" operator="between">
      <formula>3.51</formula>
      <formula>7.49</formula>
    </cfRule>
  </conditionalFormatting>
  <conditionalFormatting sqref="AA95">
    <cfRule type="cellIs" dxfId="374" priority="385" stopIfTrue="1" operator="lessThanOrEqual">
      <formula>3.5</formula>
    </cfRule>
    <cfRule type="cellIs" dxfId="373" priority="386" stopIfTrue="1" operator="greaterThanOrEqual">
      <formula>7.5</formula>
    </cfRule>
    <cfRule type="cellIs" dxfId="372" priority="387" stopIfTrue="1" operator="between">
      <formula>3.51</formula>
      <formula>7.49</formula>
    </cfRule>
  </conditionalFormatting>
  <conditionalFormatting sqref="AA1040">
    <cfRule type="cellIs" dxfId="371" priority="382" stopIfTrue="1" operator="lessThanOrEqual">
      <formula>3.5</formula>
    </cfRule>
    <cfRule type="cellIs" dxfId="370" priority="383" stopIfTrue="1" operator="greaterThanOrEqual">
      <formula>7.5</formula>
    </cfRule>
    <cfRule type="cellIs" dxfId="369" priority="384" stopIfTrue="1" operator="between">
      <formula>3.51</formula>
      <formula>7.49</formula>
    </cfRule>
  </conditionalFormatting>
  <conditionalFormatting sqref="AA2047">
    <cfRule type="cellIs" dxfId="368" priority="379" stopIfTrue="1" operator="lessThanOrEqual">
      <formula>3.5</formula>
    </cfRule>
    <cfRule type="cellIs" dxfId="367" priority="380" stopIfTrue="1" operator="greaterThanOrEqual">
      <formula>7.5</formula>
    </cfRule>
    <cfRule type="cellIs" dxfId="366" priority="381" stopIfTrue="1" operator="between">
      <formula>3.51</formula>
      <formula>7.49</formula>
    </cfRule>
  </conditionalFormatting>
  <conditionalFormatting sqref="AA2019">
    <cfRule type="cellIs" dxfId="365" priority="376" stopIfTrue="1" operator="lessThanOrEqual">
      <formula>3.5</formula>
    </cfRule>
    <cfRule type="cellIs" dxfId="364" priority="377" stopIfTrue="1" operator="greaterThanOrEqual">
      <formula>7.5</formula>
    </cfRule>
    <cfRule type="cellIs" dxfId="363" priority="378" stopIfTrue="1" operator="between">
      <formula>3.51</formula>
      <formula>7.49</formula>
    </cfRule>
  </conditionalFormatting>
  <conditionalFormatting sqref="AA1967">
    <cfRule type="cellIs" dxfId="362" priority="373" stopIfTrue="1" operator="lessThanOrEqual">
      <formula>3.5</formula>
    </cfRule>
    <cfRule type="cellIs" dxfId="361" priority="374" stopIfTrue="1" operator="greaterThanOrEqual">
      <formula>7.5</formula>
    </cfRule>
    <cfRule type="cellIs" dxfId="360" priority="375" stopIfTrue="1" operator="between">
      <formula>3.51</formula>
      <formula>7.49</formula>
    </cfRule>
  </conditionalFormatting>
  <conditionalFormatting sqref="AA2261">
    <cfRule type="cellIs" dxfId="359" priority="370" stopIfTrue="1" operator="lessThanOrEqual">
      <formula>3.5</formula>
    </cfRule>
    <cfRule type="cellIs" dxfId="358" priority="371" stopIfTrue="1" operator="greaterThanOrEqual">
      <formula>7.5</formula>
    </cfRule>
    <cfRule type="cellIs" dxfId="357" priority="372" stopIfTrue="1" operator="between">
      <formula>3.51</formula>
      <formula>7.49</formula>
    </cfRule>
  </conditionalFormatting>
  <conditionalFormatting sqref="AA2051">
    <cfRule type="cellIs" dxfId="356" priority="367" stopIfTrue="1" operator="lessThanOrEqual">
      <formula>3.5</formula>
    </cfRule>
    <cfRule type="cellIs" dxfId="355" priority="368" stopIfTrue="1" operator="greaterThanOrEqual">
      <formula>7.5</formula>
    </cfRule>
    <cfRule type="cellIs" dxfId="354" priority="369" stopIfTrue="1" operator="between">
      <formula>3.51</formula>
      <formula>7.49</formula>
    </cfRule>
  </conditionalFormatting>
  <conditionalFormatting sqref="AA2073">
    <cfRule type="cellIs" dxfId="353" priority="364" stopIfTrue="1" operator="lessThanOrEqual">
      <formula>3.5</formula>
    </cfRule>
    <cfRule type="cellIs" dxfId="352" priority="365" stopIfTrue="1" operator="greaterThanOrEqual">
      <formula>7.5</formula>
    </cfRule>
    <cfRule type="cellIs" dxfId="351" priority="366" stopIfTrue="1" operator="between">
      <formula>3.51</formula>
      <formula>7.49</formula>
    </cfRule>
  </conditionalFormatting>
  <conditionalFormatting sqref="AA1983">
    <cfRule type="cellIs" dxfId="350" priority="361" stopIfTrue="1" operator="lessThanOrEqual">
      <formula>3.5</formula>
    </cfRule>
    <cfRule type="cellIs" dxfId="349" priority="362" stopIfTrue="1" operator="greaterThanOrEqual">
      <formula>7.5</formula>
    </cfRule>
    <cfRule type="cellIs" dxfId="348" priority="363" stopIfTrue="1" operator="between">
      <formula>3.51</formula>
      <formula>7.49</formula>
    </cfRule>
  </conditionalFormatting>
  <conditionalFormatting sqref="AA4561">
    <cfRule type="cellIs" dxfId="347" priority="358" stopIfTrue="1" operator="lessThanOrEqual">
      <formula>3.5</formula>
    </cfRule>
    <cfRule type="cellIs" dxfId="346" priority="359" stopIfTrue="1" operator="greaterThanOrEqual">
      <formula>7.5</formula>
    </cfRule>
    <cfRule type="cellIs" dxfId="345" priority="360" stopIfTrue="1" operator="between">
      <formula>3.51</formula>
      <formula>7.49</formula>
    </cfRule>
  </conditionalFormatting>
  <conditionalFormatting sqref="AA4564">
    <cfRule type="cellIs" dxfId="344" priority="355" stopIfTrue="1" operator="lessThanOrEqual">
      <formula>3.5</formula>
    </cfRule>
    <cfRule type="cellIs" dxfId="343" priority="356" stopIfTrue="1" operator="greaterThanOrEqual">
      <formula>7.5</formula>
    </cfRule>
    <cfRule type="cellIs" dxfId="342" priority="357" stopIfTrue="1" operator="between">
      <formula>3.51</formula>
      <formula>7.49</formula>
    </cfRule>
  </conditionalFormatting>
  <conditionalFormatting sqref="AA4676">
    <cfRule type="cellIs" dxfId="341" priority="352" stopIfTrue="1" operator="lessThanOrEqual">
      <formula>3.5</formula>
    </cfRule>
    <cfRule type="cellIs" dxfId="340" priority="353" stopIfTrue="1" operator="greaterThanOrEqual">
      <formula>7.5</formula>
    </cfRule>
    <cfRule type="cellIs" dxfId="339" priority="354" stopIfTrue="1" operator="between">
      <formula>3.51</formula>
      <formula>7.49</formula>
    </cfRule>
  </conditionalFormatting>
  <conditionalFormatting sqref="AA4621">
    <cfRule type="cellIs" dxfId="338" priority="349" stopIfTrue="1" operator="lessThanOrEqual">
      <formula>3.5</formula>
    </cfRule>
    <cfRule type="cellIs" dxfId="337" priority="350" stopIfTrue="1" operator="greaterThanOrEqual">
      <formula>7.5</formula>
    </cfRule>
    <cfRule type="cellIs" dxfId="336" priority="351" stopIfTrue="1" operator="between">
      <formula>3.51</formula>
      <formula>7.49</formula>
    </cfRule>
  </conditionalFormatting>
  <conditionalFormatting sqref="AA5212">
    <cfRule type="cellIs" dxfId="335" priority="346" stopIfTrue="1" operator="lessThanOrEqual">
      <formula>3.5</formula>
    </cfRule>
    <cfRule type="cellIs" dxfId="334" priority="347" stopIfTrue="1" operator="greaterThanOrEqual">
      <formula>7.5</formula>
    </cfRule>
    <cfRule type="cellIs" dxfId="333" priority="348" stopIfTrue="1" operator="between">
      <formula>3.51</formula>
      <formula>7.49</formula>
    </cfRule>
  </conditionalFormatting>
  <conditionalFormatting sqref="AA5232">
    <cfRule type="cellIs" dxfId="332" priority="343" stopIfTrue="1" operator="lessThanOrEqual">
      <formula>3.5</formula>
    </cfRule>
    <cfRule type="cellIs" dxfId="331" priority="344" stopIfTrue="1" operator="greaterThanOrEqual">
      <formula>7.5</formula>
    </cfRule>
    <cfRule type="cellIs" dxfId="330" priority="345" stopIfTrue="1" operator="between">
      <formula>3.51</formula>
      <formula>7.49</formula>
    </cfRule>
  </conditionalFormatting>
  <conditionalFormatting sqref="AA4050">
    <cfRule type="cellIs" dxfId="329" priority="340" stopIfTrue="1" operator="lessThanOrEqual">
      <formula>3.5</formula>
    </cfRule>
    <cfRule type="cellIs" dxfId="328" priority="341" stopIfTrue="1" operator="greaterThanOrEqual">
      <formula>7.5</formula>
    </cfRule>
    <cfRule type="cellIs" dxfId="327" priority="342" stopIfTrue="1" operator="between">
      <formula>3.51</formula>
      <formula>7.49</formula>
    </cfRule>
  </conditionalFormatting>
  <conditionalFormatting sqref="AA4056">
    <cfRule type="cellIs" dxfId="326" priority="337" stopIfTrue="1" operator="lessThanOrEqual">
      <formula>3.5</formula>
    </cfRule>
    <cfRule type="cellIs" dxfId="325" priority="338" stopIfTrue="1" operator="greaterThanOrEqual">
      <formula>7.5</formula>
    </cfRule>
    <cfRule type="cellIs" dxfId="324" priority="339" stopIfTrue="1" operator="between">
      <formula>3.51</formula>
      <formula>7.49</formula>
    </cfRule>
  </conditionalFormatting>
  <conditionalFormatting sqref="AA4060">
    <cfRule type="cellIs" dxfId="323" priority="334" stopIfTrue="1" operator="lessThanOrEqual">
      <formula>3.5</formula>
    </cfRule>
    <cfRule type="cellIs" dxfId="322" priority="335" stopIfTrue="1" operator="greaterThanOrEqual">
      <formula>7.5</formula>
    </cfRule>
    <cfRule type="cellIs" dxfId="321" priority="336" stopIfTrue="1" operator="between">
      <formula>3.51</formula>
      <formula>7.49</formula>
    </cfRule>
  </conditionalFormatting>
  <conditionalFormatting sqref="AA4068">
    <cfRule type="cellIs" dxfId="320" priority="331" stopIfTrue="1" operator="lessThanOrEqual">
      <formula>3.5</formula>
    </cfRule>
    <cfRule type="cellIs" dxfId="319" priority="332" stopIfTrue="1" operator="greaterThanOrEqual">
      <formula>7.5</formula>
    </cfRule>
    <cfRule type="cellIs" dxfId="318" priority="333" stopIfTrue="1" operator="between">
      <formula>3.51</formula>
      <formula>7.49</formula>
    </cfRule>
  </conditionalFormatting>
  <conditionalFormatting sqref="AA4076">
    <cfRule type="cellIs" dxfId="317" priority="328" stopIfTrue="1" operator="lessThanOrEqual">
      <formula>3.5</formula>
    </cfRule>
    <cfRule type="cellIs" dxfId="316" priority="329" stopIfTrue="1" operator="greaterThanOrEqual">
      <formula>7.5</formula>
    </cfRule>
    <cfRule type="cellIs" dxfId="315" priority="330" stopIfTrue="1" operator="between">
      <formula>3.51</formula>
      <formula>7.49</formula>
    </cfRule>
  </conditionalFormatting>
  <conditionalFormatting sqref="AA4082">
    <cfRule type="cellIs" dxfId="314" priority="325" stopIfTrue="1" operator="lessThanOrEqual">
      <formula>3.5</formula>
    </cfRule>
    <cfRule type="cellIs" dxfId="313" priority="326" stopIfTrue="1" operator="greaterThanOrEqual">
      <formula>7.5</formula>
    </cfRule>
    <cfRule type="cellIs" dxfId="312" priority="327" stopIfTrue="1" operator="between">
      <formula>3.51</formula>
      <formula>7.49</formula>
    </cfRule>
  </conditionalFormatting>
  <conditionalFormatting sqref="AA4087">
    <cfRule type="cellIs" dxfId="311" priority="322" stopIfTrue="1" operator="lessThanOrEqual">
      <formula>3.5</formula>
    </cfRule>
    <cfRule type="cellIs" dxfId="310" priority="323" stopIfTrue="1" operator="greaterThanOrEqual">
      <formula>7.5</formula>
    </cfRule>
    <cfRule type="cellIs" dxfId="309" priority="324" stopIfTrue="1" operator="between">
      <formula>3.51</formula>
      <formula>7.49</formula>
    </cfRule>
  </conditionalFormatting>
  <conditionalFormatting sqref="AA4093">
    <cfRule type="cellIs" dxfId="308" priority="319" stopIfTrue="1" operator="lessThanOrEqual">
      <formula>3.5</formula>
    </cfRule>
    <cfRule type="cellIs" dxfId="307" priority="320" stopIfTrue="1" operator="greaterThanOrEqual">
      <formula>7.5</formula>
    </cfRule>
    <cfRule type="cellIs" dxfId="306" priority="321" stopIfTrue="1" operator="between">
      <formula>3.51</formula>
      <formula>7.49</formula>
    </cfRule>
  </conditionalFormatting>
  <conditionalFormatting sqref="AA4136">
    <cfRule type="cellIs" dxfId="305" priority="316" stopIfTrue="1" operator="lessThanOrEqual">
      <formula>3.5</formula>
    </cfRule>
    <cfRule type="cellIs" dxfId="304" priority="317" stopIfTrue="1" operator="greaterThanOrEqual">
      <formula>7.5</formula>
    </cfRule>
    <cfRule type="cellIs" dxfId="303" priority="318" stopIfTrue="1" operator="between">
      <formula>3.51</formula>
      <formula>7.49</formula>
    </cfRule>
  </conditionalFormatting>
  <conditionalFormatting sqref="AA4106">
    <cfRule type="cellIs" dxfId="302" priority="313" stopIfTrue="1" operator="lessThanOrEqual">
      <formula>3.5</formula>
    </cfRule>
    <cfRule type="cellIs" dxfId="301" priority="314" stopIfTrue="1" operator="greaterThanOrEqual">
      <formula>7.5</formula>
    </cfRule>
    <cfRule type="cellIs" dxfId="300" priority="315" stopIfTrue="1" operator="between">
      <formula>3.51</formula>
      <formula>7.49</formula>
    </cfRule>
  </conditionalFormatting>
  <conditionalFormatting sqref="AA4141">
    <cfRule type="cellIs" dxfId="299" priority="310" stopIfTrue="1" operator="lessThanOrEqual">
      <formula>3.5</formula>
    </cfRule>
    <cfRule type="cellIs" dxfId="298" priority="311" stopIfTrue="1" operator="greaterThanOrEqual">
      <formula>7.5</formula>
    </cfRule>
    <cfRule type="cellIs" dxfId="297" priority="312" stopIfTrue="1" operator="between">
      <formula>3.51</formula>
      <formula>7.49</formula>
    </cfRule>
  </conditionalFormatting>
  <conditionalFormatting sqref="AA4148">
    <cfRule type="cellIs" dxfId="296" priority="307" stopIfTrue="1" operator="lessThanOrEqual">
      <formula>3.5</formula>
    </cfRule>
    <cfRule type="cellIs" dxfId="295" priority="308" stopIfTrue="1" operator="greaterThanOrEqual">
      <formula>7.5</formula>
    </cfRule>
    <cfRule type="cellIs" dxfId="294" priority="309" stopIfTrue="1" operator="between">
      <formula>3.51</formula>
      <formula>7.49</formula>
    </cfRule>
  </conditionalFormatting>
  <conditionalFormatting sqref="AA4630">
    <cfRule type="cellIs" dxfId="293" priority="304" stopIfTrue="1" operator="lessThanOrEqual">
      <formula>3.5</formula>
    </cfRule>
    <cfRule type="cellIs" dxfId="292" priority="305" stopIfTrue="1" operator="greaterThanOrEqual">
      <formula>7.5</formula>
    </cfRule>
    <cfRule type="cellIs" dxfId="291" priority="306" stopIfTrue="1" operator="between">
      <formula>3.51</formula>
      <formula>7.49</formula>
    </cfRule>
  </conditionalFormatting>
  <conditionalFormatting sqref="AA4631">
    <cfRule type="cellIs" dxfId="290" priority="301" stopIfTrue="1" operator="lessThanOrEqual">
      <formula>3.5</formula>
    </cfRule>
    <cfRule type="cellIs" dxfId="289" priority="302" stopIfTrue="1" operator="greaterThanOrEqual">
      <formula>7.5</formula>
    </cfRule>
    <cfRule type="cellIs" dxfId="288" priority="303" stopIfTrue="1" operator="between">
      <formula>3.51</formula>
      <formula>7.49</formula>
    </cfRule>
  </conditionalFormatting>
  <conditionalFormatting sqref="AA4632">
    <cfRule type="cellIs" dxfId="287" priority="298" stopIfTrue="1" operator="lessThanOrEqual">
      <formula>3.5</formula>
    </cfRule>
    <cfRule type="cellIs" dxfId="286" priority="299" stopIfTrue="1" operator="greaterThanOrEqual">
      <formula>7.5</formula>
    </cfRule>
    <cfRule type="cellIs" dxfId="285" priority="300" stopIfTrue="1" operator="between">
      <formula>3.51</formula>
      <formula>7.49</formula>
    </cfRule>
  </conditionalFormatting>
  <conditionalFormatting sqref="AA4634">
    <cfRule type="cellIs" dxfId="284" priority="295" stopIfTrue="1" operator="lessThanOrEqual">
      <formula>3.5</formula>
    </cfRule>
    <cfRule type="cellIs" dxfId="283" priority="296" stopIfTrue="1" operator="greaterThanOrEqual">
      <formula>7.5</formula>
    </cfRule>
    <cfRule type="cellIs" dxfId="282" priority="297" stopIfTrue="1" operator="between">
      <formula>3.51</formula>
      <formula>7.49</formula>
    </cfRule>
  </conditionalFormatting>
  <conditionalFormatting sqref="AA4633">
    <cfRule type="cellIs" dxfId="281" priority="292" stopIfTrue="1" operator="lessThanOrEqual">
      <formula>3.5</formula>
    </cfRule>
    <cfRule type="cellIs" dxfId="280" priority="293" stopIfTrue="1" operator="greaterThanOrEqual">
      <formula>7.5</formula>
    </cfRule>
    <cfRule type="cellIs" dxfId="279" priority="294" stopIfTrue="1" operator="between">
      <formula>3.51</formula>
      <formula>7.49</formula>
    </cfRule>
  </conditionalFormatting>
  <conditionalFormatting sqref="AA4886">
    <cfRule type="cellIs" dxfId="278" priority="289" stopIfTrue="1" operator="lessThanOrEqual">
      <formula>3.5</formula>
    </cfRule>
    <cfRule type="cellIs" dxfId="277" priority="290" stopIfTrue="1" operator="greaterThanOrEqual">
      <formula>7.5</formula>
    </cfRule>
    <cfRule type="cellIs" dxfId="276" priority="291" stopIfTrue="1" operator="between">
      <formula>3.51</formula>
      <formula>7.49</formula>
    </cfRule>
  </conditionalFormatting>
  <conditionalFormatting sqref="AA2070">
    <cfRule type="cellIs" dxfId="275" priority="286" stopIfTrue="1" operator="lessThanOrEqual">
      <formula>3.5</formula>
    </cfRule>
    <cfRule type="cellIs" dxfId="274" priority="287" stopIfTrue="1" operator="greaterThanOrEqual">
      <formula>7.5</formula>
    </cfRule>
    <cfRule type="cellIs" dxfId="273" priority="288" stopIfTrue="1" operator="between">
      <formula>3.51</formula>
      <formula>7.49</formula>
    </cfRule>
  </conditionalFormatting>
  <conditionalFormatting sqref="AA2739">
    <cfRule type="cellIs" dxfId="272" priority="283" stopIfTrue="1" operator="lessThanOrEqual">
      <formula>3.5</formula>
    </cfRule>
    <cfRule type="cellIs" dxfId="271" priority="284" stopIfTrue="1" operator="greaterThanOrEqual">
      <formula>7.5</formula>
    </cfRule>
    <cfRule type="cellIs" dxfId="270" priority="285" stopIfTrue="1" operator="between">
      <formula>3.51</formula>
      <formula>7.49</formula>
    </cfRule>
  </conditionalFormatting>
  <conditionalFormatting sqref="AA3191">
    <cfRule type="cellIs" dxfId="269" priority="280" stopIfTrue="1" operator="lessThanOrEqual">
      <formula>3.5</formula>
    </cfRule>
    <cfRule type="cellIs" dxfId="268" priority="281" stopIfTrue="1" operator="greaterThanOrEqual">
      <formula>7.5</formula>
    </cfRule>
    <cfRule type="cellIs" dxfId="267" priority="282" stopIfTrue="1" operator="between">
      <formula>3.51</formula>
      <formula>7.49</formula>
    </cfRule>
  </conditionalFormatting>
  <conditionalFormatting sqref="AA1903">
    <cfRule type="cellIs" dxfId="266" priority="277" stopIfTrue="1" operator="lessThanOrEqual">
      <formula>3.5</formula>
    </cfRule>
    <cfRule type="cellIs" dxfId="265" priority="278" stopIfTrue="1" operator="greaterThanOrEqual">
      <formula>7.5</formula>
    </cfRule>
    <cfRule type="cellIs" dxfId="264" priority="279" stopIfTrue="1" operator="between">
      <formula>3.51</formula>
      <formula>7.49</formula>
    </cfRule>
  </conditionalFormatting>
  <conditionalFormatting sqref="AA2806">
    <cfRule type="cellIs" dxfId="263" priority="274" stopIfTrue="1" operator="lessThanOrEqual">
      <formula>3.5</formula>
    </cfRule>
    <cfRule type="cellIs" dxfId="262" priority="275" stopIfTrue="1" operator="greaterThanOrEqual">
      <formula>7.5</formula>
    </cfRule>
    <cfRule type="cellIs" dxfId="261" priority="276" stopIfTrue="1" operator="between">
      <formula>3.51</formula>
      <formula>7.49</formula>
    </cfRule>
  </conditionalFormatting>
  <conditionalFormatting sqref="AA2805">
    <cfRule type="cellIs" dxfId="260" priority="271" stopIfTrue="1" operator="lessThanOrEqual">
      <formula>3.5</formula>
    </cfRule>
    <cfRule type="cellIs" dxfId="259" priority="272" stopIfTrue="1" operator="greaterThanOrEqual">
      <formula>7.5</formula>
    </cfRule>
    <cfRule type="cellIs" dxfId="258" priority="273" stopIfTrue="1" operator="between">
      <formula>3.51</formula>
      <formula>7.49</formula>
    </cfRule>
  </conditionalFormatting>
  <conditionalFormatting sqref="AA2804">
    <cfRule type="cellIs" dxfId="257" priority="268" stopIfTrue="1" operator="lessThanOrEqual">
      <formula>3.5</formula>
    </cfRule>
    <cfRule type="cellIs" dxfId="256" priority="269" stopIfTrue="1" operator="greaterThanOrEqual">
      <formula>7.5</formula>
    </cfRule>
    <cfRule type="cellIs" dxfId="255" priority="270" stopIfTrue="1" operator="between">
      <formula>3.51</formula>
      <formula>7.49</formula>
    </cfRule>
  </conditionalFormatting>
  <conditionalFormatting sqref="AA2803">
    <cfRule type="cellIs" dxfId="254" priority="265" stopIfTrue="1" operator="lessThanOrEqual">
      <formula>3.5</formula>
    </cfRule>
    <cfRule type="cellIs" dxfId="253" priority="266" stopIfTrue="1" operator="greaterThanOrEqual">
      <formula>7.5</formula>
    </cfRule>
    <cfRule type="cellIs" dxfId="252" priority="267" stopIfTrue="1" operator="between">
      <formula>3.51</formula>
      <formula>7.49</formula>
    </cfRule>
  </conditionalFormatting>
  <conditionalFormatting sqref="AA5090">
    <cfRule type="cellIs" dxfId="251" priority="262" stopIfTrue="1" operator="lessThanOrEqual">
      <formula>3.5</formula>
    </cfRule>
    <cfRule type="cellIs" dxfId="250" priority="263" stopIfTrue="1" operator="greaterThanOrEqual">
      <formula>7.5</formula>
    </cfRule>
    <cfRule type="cellIs" dxfId="249" priority="264" stopIfTrue="1" operator="between">
      <formula>3.51</formula>
      <formula>7.49</formula>
    </cfRule>
  </conditionalFormatting>
  <conditionalFormatting sqref="AA5089">
    <cfRule type="cellIs" dxfId="248" priority="259" stopIfTrue="1" operator="lessThanOrEqual">
      <formula>3.5</formula>
    </cfRule>
    <cfRule type="cellIs" dxfId="247" priority="260" stopIfTrue="1" operator="greaterThanOrEqual">
      <formula>7.5</formula>
    </cfRule>
    <cfRule type="cellIs" dxfId="246" priority="261" stopIfTrue="1" operator="between">
      <formula>3.51</formula>
      <formula>7.49</formula>
    </cfRule>
  </conditionalFormatting>
  <conditionalFormatting sqref="AA5088">
    <cfRule type="cellIs" dxfId="245" priority="253" stopIfTrue="1" operator="lessThanOrEqual">
      <formula>3.5</formula>
    </cfRule>
    <cfRule type="cellIs" dxfId="244" priority="254" stopIfTrue="1" operator="greaterThanOrEqual">
      <formula>7.5</formula>
    </cfRule>
    <cfRule type="cellIs" dxfId="243" priority="255" stopIfTrue="1" operator="between">
      <formula>3.51</formula>
      <formula>7.49</formula>
    </cfRule>
  </conditionalFormatting>
  <conditionalFormatting sqref="AA3813">
    <cfRule type="cellIs" dxfId="242" priority="250" stopIfTrue="1" operator="lessThanOrEqual">
      <formula>3.5</formula>
    </cfRule>
    <cfRule type="cellIs" dxfId="241" priority="251" stopIfTrue="1" operator="greaterThanOrEqual">
      <formula>7.5</formula>
    </cfRule>
    <cfRule type="cellIs" dxfId="240" priority="252" stopIfTrue="1" operator="between">
      <formula>3.51</formula>
      <formula>7.49</formula>
    </cfRule>
  </conditionalFormatting>
  <conditionalFormatting sqref="AA3812">
    <cfRule type="cellIs" dxfId="239" priority="247" stopIfTrue="1" operator="lessThanOrEqual">
      <formula>3.5</formula>
    </cfRule>
    <cfRule type="cellIs" dxfId="238" priority="248" stopIfTrue="1" operator="greaterThanOrEqual">
      <formula>7.5</formula>
    </cfRule>
    <cfRule type="cellIs" dxfId="237" priority="249" stopIfTrue="1" operator="between">
      <formula>3.51</formula>
      <formula>7.49</formula>
    </cfRule>
  </conditionalFormatting>
  <conditionalFormatting sqref="AA3811">
    <cfRule type="cellIs" dxfId="236" priority="244" stopIfTrue="1" operator="lessThanOrEqual">
      <formula>3.5</formula>
    </cfRule>
    <cfRule type="cellIs" dxfId="235" priority="245" stopIfTrue="1" operator="greaterThanOrEqual">
      <formula>7.5</formula>
    </cfRule>
    <cfRule type="cellIs" dxfId="234" priority="246" stopIfTrue="1" operator="between">
      <formula>3.51</formula>
      <formula>7.49</formula>
    </cfRule>
  </conditionalFormatting>
  <conditionalFormatting sqref="AA3810">
    <cfRule type="cellIs" dxfId="233" priority="241" stopIfTrue="1" operator="lessThanOrEqual">
      <formula>3.5</formula>
    </cfRule>
    <cfRule type="cellIs" dxfId="232" priority="242" stopIfTrue="1" operator="greaterThanOrEqual">
      <formula>7.5</formula>
    </cfRule>
    <cfRule type="cellIs" dxfId="231" priority="243" stopIfTrue="1" operator="between">
      <formula>3.51</formula>
      <formula>7.49</formula>
    </cfRule>
  </conditionalFormatting>
  <conditionalFormatting sqref="AA5359">
    <cfRule type="cellIs" dxfId="230" priority="238" stopIfTrue="1" operator="lessThanOrEqual">
      <formula>3.5</formula>
    </cfRule>
    <cfRule type="cellIs" dxfId="229" priority="239" stopIfTrue="1" operator="greaterThanOrEqual">
      <formula>7.5</formula>
    </cfRule>
    <cfRule type="cellIs" dxfId="228" priority="240" stopIfTrue="1" operator="between">
      <formula>3.51</formula>
      <formula>7.49</formula>
    </cfRule>
  </conditionalFormatting>
  <conditionalFormatting sqref="AA5373">
    <cfRule type="cellIs" dxfId="227" priority="235" stopIfTrue="1" operator="lessThanOrEqual">
      <formula>3.5</formula>
    </cfRule>
    <cfRule type="cellIs" dxfId="226" priority="236" stopIfTrue="1" operator="greaterThanOrEqual">
      <formula>7.5</formula>
    </cfRule>
    <cfRule type="cellIs" dxfId="225" priority="237" stopIfTrue="1" operator="between">
      <formula>3.51</formula>
      <formula>7.49</formula>
    </cfRule>
  </conditionalFormatting>
  <conditionalFormatting sqref="AA4277">
    <cfRule type="cellIs" dxfId="224" priority="232" stopIfTrue="1" operator="lessThanOrEqual">
      <formula>3.5</formula>
    </cfRule>
    <cfRule type="cellIs" dxfId="223" priority="233" stopIfTrue="1" operator="greaterThanOrEqual">
      <formula>7.5</formula>
    </cfRule>
    <cfRule type="cellIs" dxfId="222" priority="234" stopIfTrue="1" operator="between">
      <formula>3.51</formula>
      <formula>7.49</formula>
    </cfRule>
  </conditionalFormatting>
  <conditionalFormatting sqref="AA4274">
    <cfRule type="cellIs" dxfId="221" priority="229" stopIfTrue="1" operator="lessThanOrEqual">
      <formula>3.5</formula>
    </cfRule>
    <cfRule type="cellIs" dxfId="220" priority="230" stopIfTrue="1" operator="greaterThanOrEqual">
      <formula>7.5</formula>
    </cfRule>
    <cfRule type="cellIs" dxfId="219" priority="231" stopIfTrue="1" operator="between">
      <formula>3.51</formula>
      <formula>7.49</formula>
    </cfRule>
  </conditionalFormatting>
  <conditionalFormatting sqref="AA4276">
    <cfRule type="cellIs" dxfId="218" priority="226" stopIfTrue="1" operator="lessThanOrEqual">
      <formula>3.5</formula>
    </cfRule>
    <cfRule type="cellIs" dxfId="217" priority="227" stopIfTrue="1" operator="greaterThanOrEqual">
      <formula>7.5</formula>
    </cfRule>
    <cfRule type="cellIs" dxfId="216" priority="228" stopIfTrue="1" operator="between">
      <formula>3.51</formula>
      <formula>7.49</formula>
    </cfRule>
  </conditionalFormatting>
  <conditionalFormatting sqref="AA4275">
    <cfRule type="cellIs" dxfId="215" priority="223" stopIfTrue="1" operator="lessThanOrEqual">
      <formula>3.5</formula>
    </cfRule>
    <cfRule type="cellIs" dxfId="214" priority="224" stopIfTrue="1" operator="greaterThanOrEqual">
      <formula>7.5</formula>
    </cfRule>
    <cfRule type="cellIs" dxfId="213" priority="225" stopIfTrue="1" operator="between">
      <formula>3.51</formula>
      <formula>7.49</formula>
    </cfRule>
  </conditionalFormatting>
  <conditionalFormatting sqref="AA1694">
    <cfRule type="cellIs" dxfId="212" priority="220" stopIfTrue="1" operator="lessThanOrEqual">
      <formula>3.5</formula>
    </cfRule>
    <cfRule type="cellIs" dxfId="211" priority="221" stopIfTrue="1" operator="greaterThanOrEqual">
      <formula>7.5</formula>
    </cfRule>
    <cfRule type="cellIs" dxfId="210" priority="222" stopIfTrue="1" operator="between">
      <formula>3.51</formula>
      <formula>7.49</formula>
    </cfRule>
  </conditionalFormatting>
  <conditionalFormatting sqref="AA1305:AA1307">
    <cfRule type="cellIs" dxfId="209" priority="217" stopIfTrue="1" operator="lessThanOrEqual">
      <formula>3.5</formula>
    </cfRule>
    <cfRule type="cellIs" dxfId="208" priority="218" stopIfTrue="1" operator="greaterThanOrEqual">
      <formula>7.5</formula>
    </cfRule>
    <cfRule type="cellIs" dxfId="207" priority="219" stopIfTrue="1" operator="between">
      <formula>3.51</formula>
      <formula>7.49</formula>
    </cfRule>
  </conditionalFormatting>
  <conditionalFormatting sqref="AA1308">
    <cfRule type="cellIs" dxfId="206" priority="214" stopIfTrue="1" operator="lessThanOrEqual">
      <formula>3.5</formula>
    </cfRule>
    <cfRule type="cellIs" dxfId="205" priority="215" stopIfTrue="1" operator="greaterThanOrEqual">
      <formula>7.5</formula>
    </cfRule>
    <cfRule type="cellIs" dxfId="204" priority="216" stopIfTrue="1" operator="between">
      <formula>3.51</formula>
      <formula>7.49</formula>
    </cfRule>
  </conditionalFormatting>
  <conditionalFormatting sqref="AA1309">
    <cfRule type="cellIs" dxfId="203" priority="211" stopIfTrue="1" operator="lessThanOrEqual">
      <formula>3.5</formula>
    </cfRule>
    <cfRule type="cellIs" dxfId="202" priority="212" stopIfTrue="1" operator="greaterThanOrEqual">
      <formula>7.5</formula>
    </cfRule>
    <cfRule type="cellIs" dxfId="201" priority="213" stopIfTrue="1" operator="between">
      <formula>3.51</formula>
      <formula>7.49</formula>
    </cfRule>
  </conditionalFormatting>
  <conditionalFormatting sqref="AA1310">
    <cfRule type="cellIs" dxfId="200" priority="208" stopIfTrue="1" operator="lessThanOrEqual">
      <formula>3.5</formula>
    </cfRule>
    <cfRule type="cellIs" dxfId="199" priority="209" stopIfTrue="1" operator="greaterThanOrEqual">
      <formula>7.5</formula>
    </cfRule>
    <cfRule type="cellIs" dxfId="198" priority="210" stopIfTrue="1" operator="between">
      <formula>3.51</formula>
      <formula>7.49</formula>
    </cfRule>
  </conditionalFormatting>
  <conditionalFormatting sqref="AA1311">
    <cfRule type="cellIs" dxfId="197" priority="205" stopIfTrue="1" operator="lessThanOrEqual">
      <formula>3.5</formula>
    </cfRule>
    <cfRule type="cellIs" dxfId="196" priority="206" stopIfTrue="1" operator="greaterThanOrEqual">
      <formula>7.5</formula>
    </cfRule>
    <cfRule type="cellIs" dxfId="195" priority="207" stopIfTrue="1" operator="between">
      <formula>3.51</formula>
      <formula>7.49</formula>
    </cfRule>
  </conditionalFormatting>
  <conditionalFormatting sqref="AA3803">
    <cfRule type="cellIs" dxfId="194" priority="202" stopIfTrue="1" operator="lessThanOrEqual">
      <formula>3.5</formula>
    </cfRule>
    <cfRule type="cellIs" dxfId="193" priority="203" stopIfTrue="1" operator="greaterThanOrEqual">
      <formula>7.5</formula>
    </cfRule>
    <cfRule type="cellIs" dxfId="192" priority="204" stopIfTrue="1" operator="between">
      <formula>3.51</formula>
      <formula>7.49</formula>
    </cfRule>
  </conditionalFormatting>
  <conditionalFormatting sqref="AA3802">
    <cfRule type="cellIs" dxfId="191" priority="199" stopIfTrue="1" operator="lessThanOrEqual">
      <formula>3.5</formula>
    </cfRule>
    <cfRule type="cellIs" dxfId="190" priority="200" stopIfTrue="1" operator="greaterThanOrEqual">
      <formula>7.5</formula>
    </cfRule>
    <cfRule type="cellIs" dxfId="189" priority="201" stopIfTrue="1" operator="between">
      <formula>3.51</formula>
      <formula>7.49</formula>
    </cfRule>
  </conditionalFormatting>
  <conditionalFormatting sqref="AA3801">
    <cfRule type="cellIs" dxfId="188" priority="196" stopIfTrue="1" operator="lessThanOrEqual">
      <formula>3.5</formula>
    </cfRule>
    <cfRule type="cellIs" dxfId="187" priority="197" stopIfTrue="1" operator="greaterThanOrEqual">
      <formula>7.5</formula>
    </cfRule>
    <cfRule type="cellIs" dxfId="186" priority="198" stopIfTrue="1" operator="between">
      <formula>3.51</formula>
      <formula>7.49</formula>
    </cfRule>
  </conditionalFormatting>
  <conditionalFormatting sqref="AA3800">
    <cfRule type="cellIs" dxfId="185" priority="193" stopIfTrue="1" operator="lessThanOrEqual">
      <formula>3.5</formula>
    </cfRule>
    <cfRule type="cellIs" dxfId="184" priority="194" stopIfTrue="1" operator="greaterThanOrEqual">
      <formula>7.5</formula>
    </cfRule>
    <cfRule type="cellIs" dxfId="183" priority="195" stopIfTrue="1" operator="between">
      <formula>3.51</formula>
      <formula>7.49</formula>
    </cfRule>
  </conditionalFormatting>
  <conditionalFormatting sqref="AA50">
    <cfRule type="cellIs" dxfId="182" priority="190" stopIfTrue="1" operator="lessThanOrEqual">
      <formula>3.5</formula>
    </cfRule>
    <cfRule type="cellIs" dxfId="181" priority="191" stopIfTrue="1" operator="greaterThanOrEqual">
      <formula>7.5</formula>
    </cfRule>
    <cfRule type="cellIs" dxfId="180" priority="192" stopIfTrue="1" operator="between">
      <formula>3.51</formula>
      <formula>7.49</formula>
    </cfRule>
  </conditionalFormatting>
  <conditionalFormatting sqref="AA435">
    <cfRule type="cellIs" dxfId="179" priority="187" stopIfTrue="1" operator="lessThanOrEqual">
      <formula>3.5</formula>
    </cfRule>
    <cfRule type="cellIs" dxfId="178" priority="188" stopIfTrue="1" operator="greaterThanOrEqual">
      <formula>7.5</formula>
    </cfRule>
    <cfRule type="cellIs" dxfId="177" priority="189" stopIfTrue="1" operator="between">
      <formula>3.51</formula>
      <formula>7.49</formula>
    </cfRule>
  </conditionalFormatting>
  <conditionalFormatting sqref="AA819">
    <cfRule type="cellIs" dxfId="176" priority="184" stopIfTrue="1" operator="lessThanOrEqual">
      <formula>3.5</formula>
    </cfRule>
    <cfRule type="cellIs" dxfId="175" priority="185" stopIfTrue="1" operator="greaterThanOrEqual">
      <formula>7.5</formula>
    </cfRule>
    <cfRule type="cellIs" dxfId="174" priority="186" stopIfTrue="1" operator="between">
      <formula>3.51</formula>
      <formula>7.49</formula>
    </cfRule>
  </conditionalFormatting>
  <conditionalFormatting sqref="AA1213">
    <cfRule type="cellIs" dxfId="173" priority="181" stopIfTrue="1" operator="lessThanOrEqual">
      <formula>3.5</formula>
    </cfRule>
    <cfRule type="cellIs" dxfId="172" priority="182" stopIfTrue="1" operator="greaterThanOrEqual">
      <formula>7.5</formula>
    </cfRule>
    <cfRule type="cellIs" dxfId="171" priority="183" stopIfTrue="1" operator="between">
      <formula>3.51</formula>
      <formula>7.49</formula>
    </cfRule>
  </conditionalFormatting>
  <conditionalFormatting sqref="AA5302">
    <cfRule type="cellIs" dxfId="170" priority="178" stopIfTrue="1" operator="lessThanOrEqual">
      <formula>3.5</formula>
    </cfRule>
    <cfRule type="cellIs" dxfId="169" priority="179" stopIfTrue="1" operator="greaterThanOrEqual">
      <formula>7.5</formula>
    </cfRule>
    <cfRule type="cellIs" dxfId="168" priority="180" stopIfTrue="1" operator="between">
      <formula>3.51</formula>
      <formula>7.49</formula>
    </cfRule>
  </conditionalFormatting>
  <conditionalFormatting sqref="AA3804">
    <cfRule type="cellIs" dxfId="167" priority="175" stopIfTrue="1" operator="lessThanOrEqual">
      <formula>3.5</formula>
    </cfRule>
    <cfRule type="cellIs" dxfId="166" priority="176" stopIfTrue="1" operator="greaterThanOrEqual">
      <formula>7.5</formula>
    </cfRule>
    <cfRule type="cellIs" dxfId="165" priority="177" stopIfTrue="1" operator="between">
      <formula>3.51</formula>
      <formula>7.49</formula>
    </cfRule>
  </conditionalFormatting>
  <conditionalFormatting sqref="AA3300">
    <cfRule type="cellIs" dxfId="164" priority="172" stopIfTrue="1" operator="lessThanOrEqual">
      <formula>3.5</formula>
    </cfRule>
    <cfRule type="cellIs" dxfId="163" priority="173" stopIfTrue="1" operator="greaterThanOrEqual">
      <formula>7.5</formula>
    </cfRule>
    <cfRule type="cellIs" dxfId="162" priority="174" stopIfTrue="1" operator="between">
      <formula>3.51</formula>
      <formula>7.49</formula>
    </cfRule>
  </conditionalFormatting>
  <conditionalFormatting sqref="AA1562">
    <cfRule type="cellIs" dxfId="161" priority="169" stopIfTrue="1" operator="lessThanOrEqual">
      <formula>3.5</formula>
    </cfRule>
    <cfRule type="cellIs" dxfId="160" priority="170" stopIfTrue="1" operator="greaterThanOrEqual">
      <formula>7.5</formula>
    </cfRule>
    <cfRule type="cellIs" dxfId="159" priority="171" stopIfTrue="1" operator="between">
      <formula>3.51</formula>
      <formula>7.49</formula>
    </cfRule>
  </conditionalFormatting>
  <conditionalFormatting sqref="AA2607">
    <cfRule type="cellIs" dxfId="158" priority="166" stopIfTrue="1" operator="lessThanOrEqual">
      <formula>3.5</formula>
    </cfRule>
    <cfRule type="cellIs" dxfId="157" priority="167" stopIfTrue="1" operator="greaterThanOrEqual">
      <formula>7.5</formula>
    </cfRule>
    <cfRule type="cellIs" dxfId="156" priority="168" stopIfTrue="1" operator="between">
      <formula>3.51</formula>
      <formula>7.49</formula>
    </cfRule>
  </conditionalFormatting>
  <conditionalFormatting sqref="AA2023">
    <cfRule type="cellIs" dxfId="155" priority="163" stopIfTrue="1" operator="lessThanOrEqual">
      <formula>3.5</formula>
    </cfRule>
    <cfRule type="cellIs" dxfId="154" priority="164" stopIfTrue="1" operator="greaterThanOrEqual">
      <formula>7.5</formula>
    </cfRule>
    <cfRule type="cellIs" dxfId="153" priority="165" stopIfTrue="1" operator="between">
      <formula>3.51</formula>
      <formula>7.49</formula>
    </cfRule>
  </conditionalFormatting>
  <conditionalFormatting sqref="AA2683">
    <cfRule type="cellIs" dxfId="152" priority="160" stopIfTrue="1" operator="lessThanOrEqual">
      <formula>3.5</formula>
    </cfRule>
    <cfRule type="cellIs" dxfId="151" priority="161" stopIfTrue="1" operator="greaterThanOrEqual">
      <formula>7.5</formula>
    </cfRule>
    <cfRule type="cellIs" dxfId="150" priority="162" stopIfTrue="1" operator="between">
      <formula>3.51</formula>
      <formula>7.49</formula>
    </cfRule>
  </conditionalFormatting>
  <conditionalFormatting sqref="AA2865">
    <cfRule type="cellIs" dxfId="149" priority="157" stopIfTrue="1" operator="lessThanOrEqual">
      <formula>3.5</formula>
    </cfRule>
    <cfRule type="cellIs" dxfId="148" priority="158" stopIfTrue="1" operator="greaterThanOrEqual">
      <formula>7.5</formula>
    </cfRule>
    <cfRule type="cellIs" dxfId="147" priority="159" stopIfTrue="1" operator="between">
      <formula>3.51</formula>
      <formula>7.49</formula>
    </cfRule>
  </conditionalFormatting>
  <conditionalFormatting sqref="AA2868">
    <cfRule type="cellIs" dxfId="146" priority="154" stopIfTrue="1" operator="lessThanOrEqual">
      <formula>3.5</formula>
    </cfRule>
    <cfRule type="cellIs" dxfId="145" priority="155" stopIfTrue="1" operator="greaterThanOrEqual">
      <formula>7.5</formula>
    </cfRule>
    <cfRule type="cellIs" dxfId="144" priority="156" stopIfTrue="1" operator="between">
      <formula>3.51</formula>
      <formula>7.49</formula>
    </cfRule>
  </conditionalFormatting>
  <conditionalFormatting sqref="AA3023">
    <cfRule type="cellIs" dxfId="143" priority="151" stopIfTrue="1" operator="lessThanOrEqual">
      <formula>3.5</formula>
    </cfRule>
    <cfRule type="cellIs" dxfId="142" priority="152" stopIfTrue="1" operator="greaterThanOrEqual">
      <formula>7.5</formula>
    </cfRule>
    <cfRule type="cellIs" dxfId="141" priority="153" stopIfTrue="1" operator="between">
      <formula>3.51</formula>
      <formula>7.49</formula>
    </cfRule>
  </conditionalFormatting>
  <conditionalFormatting sqref="AA3137">
    <cfRule type="cellIs" dxfId="140" priority="148" stopIfTrue="1" operator="lessThanOrEqual">
      <formula>3.5</formula>
    </cfRule>
    <cfRule type="cellIs" dxfId="139" priority="149" stopIfTrue="1" operator="greaterThanOrEqual">
      <formula>7.5</formula>
    </cfRule>
    <cfRule type="cellIs" dxfId="138" priority="150" stopIfTrue="1" operator="between">
      <formula>3.51</formula>
      <formula>7.49</formula>
    </cfRule>
  </conditionalFormatting>
  <conditionalFormatting sqref="AA3207">
    <cfRule type="cellIs" dxfId="137" priority="145" stopIfTrue="1" operator="lessThanOrEqual">
      <formula>3.5</formula>
    </cfRule>
    <cfRule type="cellIs" dxfId="136" priority="146" stopIfTrue="1" operator="greaterThanOrEqual">
      <formula>7.5</formula>
    </cfRule>
    <cfRule type="cellIs" dxfId="135" priority="147" stopIfTrue="1" operator="between">
      <formula>3.51</formula>
      <formula>7.49</formula>
    </cfRule>
  </conditionalFormatting>
  <conditionalFormatting sqref="AA3206">
    <cfRule type="cellIs" dxfId="134" priority="142" stopIfTrue="1" operator="lessThanOrEqual">
      <formula>3.5</formula>
    </cfRule>
    <cfRule type="cellIs" dxfId="133" priority="143" stopIfTrue="1" operator="greaterThanOrEqual">
      <formula>7.5</formula>
    </cfRule>
    <cfRule type="cellIs" dxfId="132" priority="144" stopIfTrue="1" operator="between">
      <formula>3.51</formula>
      <formula>7.49</formula>
    </cfRule>
  </conditionalFormatting>
  <conditionalFormatting sqref="AA3213">
    <cfRule type="cellIs" dxfId="131" priority="139" stopIfTrue="1" operator="lessThanOrEqual">
      <formula>3.5</formula>
    </cfRule>
    <cfRule type="cellIs" dxfId="130" priority="140" stopIfTrue="1" operator="greaterThanOrEqual">
      <formula>7.5</formula>
    </cfRule>
    <cfRule type="cellIs" dxfId="129" priority="141" stopIfTrue="1" operator="between">
      <formula>3.51</formula>
      <formula>7.49</formula>
    </cfRule>
  </conditionalFormatting>
  <conditionalFormatting sqref="AA2394">
    <cfRule type="cellIs" dxfId="128" priority="136" stopIfTrue="1" operator="lessThanOrEqual">
      <formula>3.5</formula>
    </cfRule>
    <cfRule type="cellIs" dxfId="127" priority="137" stopIfTrue="1" operator="greaterThanOrEqual">
      <formula>7.5</formula>
    </cfRule>
    <cfRule type="cellIs" dxfId="126" priority="138" stopIfTrue="1" operator="between">
      <formula>3.51</formula>
      <formula>7.49</formula>
    </cfRule>
  </conditionalFormatting>
  <conditionalFormatting sqref="AA4790">
    <cfRule type="cellIs" dxfId="125" priority="133" stopIfTrue="1" operator="lessThanOrEqual">
      <formula>3.5</formula>
    </cfRule>
    <cfRule type="cellIs" dxfId="124" priority="134" stopIfTrue="1" operator="greaterThanOrEqual">
      <formula>7.5</formula>
    </cfRule>
    <cfRule type="cellIs" dxfId="123" priority="135" stopIfTrue="1" operator="between">
      <formula>3.51</formula>
      <formula>7.49</formula>
    </cfRule>
  </conditionalFormatting>
  <conditionalFormatting sqref="AA434">
    <cfRule type="cellIs" dxfId="122" priority="124" stopIfTrue="1" operator="lessThanOrEqual">
      <formula>3.5</formula>
    </cfRule>
    <cfRule type="cellIs" dxfId="121" priority="125" stopIfTrue="1" operator="greaterThanOrEqual">
      <formula>7.5</formula>
    </cfRule>
    <cfRule type="cellIs" dxfId="120" priority="126" stopIfTrue="1" operator="between">
      <formula>3.51</formula>
      <formula>7.49</formula>
    </cfRule>
  </conditionalFormatting>
  <conditionalFormatting sqref="AA5386">
    <cfRule type="cellIs" dxfId="119" priority="118" stopIfTrue="1" operator="lessThanOrEqual">
      <formula>3.5</formula>
    </cfRule>
    <cfRule type="cellIs" dxfId="118" priority="119" stopIfTrue="1" operator="greaterThanOrEqual">
      <formula>7.5</formula>
    </cfRule>
    <cfRule type="cellIs" dxfId="117" priority="120" stopIfTrue="1" operator="between">
      <formula>3.51</formula>
      <formula>7.49</formula>
    </cfRule>
  </conditionalFormatting>
  <conditionalFormatting sqref="AA1729">
    <cfRule type="cellIs" dxfId="116" priority="115" stopIfTrue="1" operator="lessThanOrEqual">
      <formula>3.5</formula>
    </cfRule>
    <cfRule type="cellIs" dxfId="115" priority="116" stopIfTrue="1" operator="greaterThanOrEqual">
      <formula>7.5</formula>
    </cfRule>
    <cfRule type="cellIs" dxfId="114" priority="117" stopIfTrue="1" operator="between">
      <formula>3.51</formula>
      <formula>7.49</formula>
    </cfRule>
  </conditionalFormatting>
  <conditionalFormatting sqref="AA1726">
    <cfRule type="cellIs" dxfId="113" priority="112" stopIfTrue="1" operator="lessThanOrEqual">
      <formula>3.5</formula>
    </cfRule>
    <cfRule type="cellIs" dxfId="112" priority="113" stopIfTrue="1" operator="greaterThanOrEqual">
      <formula>7.5</formula>
    </cfRule>
    <cfRule type="cellIs" dxfId="111" priority="114" stopIfTrue="1" operator="between">
      <formula>3.51</formula>
      <formula>7.49</formula>
    </cfRule>
  </conditionalFormatting>
  <conditionalFormatting sqref="AA1728">
    <cfRule type="cellIs" dxfId="110" priority="109" stopIfTrue="1" operator="lessThanOrEqual">
      <formula>3.5</formula>
    </cfRule>
    <cfRule type="cellIs" dxfId="109" priority="110" stopIfTrue="1" operator="greaterThanOrEqual">
      <formula>7.5</formula>
    </cfRule>
    <cfRule type="cellIs" dxfId="108" priority="111" stopIfTrue="1" operator="between">
      <formula>3.51</formula>
      <formula>7.49</formula>
    </cfRule>
  </conditionalFormatting>
  <conditionalFormatting sqref="AA1727">
    <cfRule type="cellIs" dxfId="107" priority="106" stopIfTrue="1" operator="lessThanOrEqual">
      <formula>3.5</formula>
    </cfRule>
    <cfRule type="cellIs" dxfId="106" priority="107" stopIfTrue="1" operator="greaterThanOrEqual">
      <formula>7.5</formula>
    </cfRule>
    <cfRule type="cellIs" dxfId="105" priority="108" stopIfTrue="1" operator="between">
      <formula>3.51</formula>
      <formula>7.49</formula>
    </cfRule>
  </conditionalFormatting>
  <conditionalFormatting sqref="AA89">
    <cfRule type="cellIs" dxfId="104" priority="103" stopIfTrue="1" operator="lessThanOrEqual">
      <formula>3.5</formula>
    </cfRule>
    <cfRule type="cellIs" dxfId="103" priority="104" stopIfTrue="1" operator="greaterThanOrEqual">
      <formula>7.5</formula>
    </cfRule>
    <cfRule type="cellIs" dxfId="102" priority="105" stopIfTrue="1" operator="between">
      <formula>3.51</formula>
      <formula>7.49</formula>
    </cfRule>
  </conditionalFormatting>
  <conditionalFormatting sqref="AA90">
    <cfRule type="cellIs" dxfId="101" priority="100" stopIfTrue="1" operator="lessThanOrEqual">
      <formula>3.5</formula>
    </cfRule>
    <cfRule type="cellIs" dxfId="100" priority="101" stopIfTrue="1" operator="greaterThanOrEqual">
      <formula>7.5</formula>
    </cfRule>
    <cfRule type="cellIs" dxfId="99" priority="102" stopIfTrue="1" operator="between">
      <formula>3.51</formula>
      <formula>7.49</formula>
    </cfRule>
  </conditionalFormatting>
  <conditionalFormatting sqref="AA5306">
    <cfRule type="cellIs" dxfId="98" priority="97" stopIfTrue="1" operator="lessThanOrEqual">
      <formula>3.5</formula>
    </cfRule>
    <cfRule type="cellIs" dxfId="97" priority="98" stopIfTrue="1" operator="greaterThanOrEqual">
      <formula>7.5</formula>
    </cfRule>
    <cfRule type="cellIs" dxfId="96" priority="99" stopIfTrue="1" operator="between">
      <formula>3.51</formula>
      <formula>7.49</formula>
    </cfRule>
  </conditionalFormatting>
  <conditionalFormatting sqref="AA5305">
    <cfRule type="cellIs" dxfId="95" priority="94" stopIfTrue="1" operator="lessThanOrEqual">
      <formula>3.5</formula>
    </cfRule>
    <cfRule type="cellIs" dxfId="94" priority="95" stopIfTrue="1" operator="greaterThanOrEqual">
      <formula>7.5</formula>
    </cfRule>
    <cfRule type="cellIs" dxfId="93" priority="96" stopIfTrue="1" operator="between">
      <formula>3.51</formula>
      <formula>7.49</formula>
    </cfRule>
  </conditionalFormatting>
  <conditionalFormatting sqref="AA5304">
    <cfRule type="cellIs" dxfId="92" priority="91" stopIfTrue="1" operator="lessThanOrEqual">
      <formula>3.5</formula>
    </cfRule>
    <cfRule type="cellIs" dxfId="91" priority="92" stopIfTrue="1" operator="greaterThanOrEqual">
      <formula>7.5</formula>
    </cfRule>
    <cfRule type="cellIs" dxfId="90" priority="93" stopIfTrue="1" operator="between">
      <formula>3.51</formula>
      <formula>7.49</formula>
    </cfRule>
  </conditionalFormatting>
  <conditionalFormatting sqref="AA5303">
    <cfRule type="cellIs" dxfId="89" priority="88" stopIfTrue="1" operator="lessThanOrEqual">
      <formula>3.5</formula>
    </cfRule>
    <cfRule type="cellIs" dxfId="88" priority="89" stopIfTrue="1" operator="greaterThanOrEqual">
      <formula>7.5</formula>
    </cfRule>
    <cfRule type="cellIs" dxfId="87" priority="90" stopIfTrue="1" operator="between">
      <formula>3.51</formula>
      <formula>7.49</formula>
    </cfRule>
  </conditionalFormatting>
  <conditionalFormatting sqref="AA5093">
    <cfRule type="cellIs" dxfId="86" priority="85" stopIfTrue="1" operator="lessThanOrEqual">
      <formula>3.5</formula>
    </cfRule>
    <cfRule type="cellIs" dxfId="85" priority="86" stopIfTrue="1" operator="greaterThanOrEqual">
      <formula>7.5</formula>
    </cfRule>
    <cfRule type="cellIs" dxfId="84" priority="87" stopIfTrue="1" operator="between">
      <formula>3.51</formula>
      <formula>7.49</formula>
    </cfRule>
  </conditionalFormatting>
  <conditionalFormatting sqref="AA5092">
    <cfRule type="cellIs" dxfId="83" priority="82" stopIfTrue="1" operator="lessThanOrEqual">
      <formula>3.5</formula>
    </cfRule>
    <cfRule type="cellIs" dxfId="82" priority="83" stopIfTrue="1" operator="greaterThanOrEqual">
      <formula>7.5</formula>
    </cfRule>
    <cfRule type="cellIs" dxfId="81" priority="84" stopIfTrue="1" operator="between">
      <formula>3.51</formula>
      <formula>7.49</formula>
    </cfRule>
  </conditionalFormatting>
  <conditionalFormatting sqref="AA5091">
    <cfRule type="cellIs" dxfId="80" priority="79" stopIfTrue="1" operator="lessThanOrEqual">
      <formula>3.5</formula>
    </cfRule>
    <cfRule type="cellIs" dxfId="79" priority="80" stopIfTrue="1" operator="greaterThanOrEqual">
      <formula>7.5</formula>
    </cfRule>
    <cfRule type="cellIs" dxfId="78" priority="81" stopIfTrue="1" operator="between">
      <formula>3.51</formula>
      <formula>7.49</formula>
    </cfRule>
  </conditionalFormatting>
  <conditionalFormatting sqref="AA1157">
    <cfRule type="cellIs" dxfId="77" priority="76" stopIfTrue="1" operator="lessThanOrEqual">
      <formula>3.5</formula>
    </cfRule>
    <cfRule type="cellIs" dxfId="76" priority="77" stopIfTrue="1" operator="greaterThanOrEqual">
      <formula>7.5</formula>
    </cfRule>
    <cfRule type="cellIs" dxfId="75" priority="78" stopIfTrue="1" operator="between">
      <formula>3.51</formula>
      <formula>7.49</formula>
    </cfRule>
  </conditionalFormatting>
  <conditionalFormatting sqref="AA1037">
    <cfRule type="cellIs" dxfId="74" priority="73" stopIfTrue="1" operator="lessThanOrEqual">
      <formula>3.5</formula>
    </cfRule>
    <cfRule type="cellIs" dxfId="73" priority="74" stopIfTrue="1" operator="greaterThanOrEqual">
      <formula>7.5</formula>
    </cfRule>
    <cfRule type="cellIs" dxfId="72" priority="75" stopIfTrue="1" operator="between">
      <formula>3.51</formula>
      <formula>7.49</formula>
    </cfRule>
  </conditionalFormatting>
  <conditionalFormatting sqref="AA5377">
    <cfRule type="cellIs" dxfId="71" priority="70" stopIfTrue="1" operator="lessThanOrEqual">
      <formula>3.5</formula>
    </cfRule>
    <cfRule type="cellIs" dxfId="70" priority="71" stopIfTrue="1" operator="greaterThanOrEqual">
      <formula>7.5</formula>
    </cfRule>
    <cfRule type="cellIs" dxfId="69" priority="72" stopIfTrue="1" operator="between">
      <formula>3.51</formula>
      <formula>7.49</formula>
    </cfRule>
  </conditionalFormatting>
  <conditionalFormatting sqref="AA3247">
    <cfRule type="cellIs" dxfId="68" priority="67" stopIfTrue="1" operator="lessThanOrEqual">
      <formula>3.5</formula>
    </cfRule>
    <cfRule type="cellIs" dxfId="67" priority="68" stopIfTrue="1" operator="greaterThanOrEqual">
      <formula>7.5</formula>
    </cfRule>
    <cfRule type="cellIs" dxfId="66" priority="69" stopIfTrue="1" operator="between">
      <formula>3.51</formula>
      <formula>7.49</formula>
    </cfRule>
  </conditionalFormatting>
  <conditionalFormatting sqref="AA3242">
    <cfRule type="cellIs" dxfId="65" priority="64" stopIfTrue="1" operator="lessThanOrEqual">
      <formula>3.5</formula>
    </cfRule>
    <cfRule type="cellIs" dxfId="64" priority="65" stopIfTrue="1" operator="greaterThanOrEqual">
      <formula>7.5</formula>
    </cfRule>
    <cfRule type="cellIs" dxfId="63" priority="66" stopIfTrue="1" operator="between">
      <formula>3.51</formula>
      <formula>7.49</formula>
    </cfRule>
  </conditionalFormatting>
  <conditionalFormatting sqref="AA3241">
    <cfRule type="cellIs" dxfId="62" priority="61" stopIfTrue="1" operator="lessThanOrEqual">
      <formula>3.5</formula>
    </cfRule>
    <cfRule type="cellIs" dxfId="61" priority="62" stopIfTrue="1" operator="greaterThanOrEqual">
      <formula>7.5</formula>
    </cfRule>
    <cfRule type="cellIs" dxfId="60" priority="63" stopIfTrue="1" operator="between">
      <formula>3.51</formula>
      <formula>7.49</formula>
    </cfRule>
  </conditionalFormatting>
  <conditionalFormatting sqref="AA3240">
    <cfRule type="cellIs" dxfId="59" priority="58" stopIfTrue="1" operator="lessThanOrEqual">
      <formula>3.5</formula>
    </cfRule>
    <cfRule type="cellIs" dxfId="58" priority="59" stopIfTrue="1" operator="greaterThanOrEqual">
      <formula>7.5</formula>
    </cfRule>
    <cfRule type="cellIs" dxfId="57" priority="60" stopIfTrue="1" operator="between">
      <formula>3.51</formula>
      <formula>7.49</formula>
    </cfRule>
  </conditionalFormatting>
  <conditionalFormatting sqref="AA3243">
    <cfRule type="cellIs" dxfId="56" priority="55" stopIfTrue="1" operator="lessThanOrEqual">
      <formula>3.5</formula>
    </cfRule>
    <cfRule type="cellIs" dxfId="55" priority="56" stopIfTrue="1" operator="greaterThanOrEqual">
      <formula>7.5</formula>
    </cfRule>
    <cfRule type="cellIs" dxfId="54" priority="57" stopIfTrue="1" operator="between">
      <formula>3.51</formula>
      <formula>7.49</formula>
    </cfRule>
  </conditionalFormatting>
  <conditionalFormatting sqref="AA3246">
    <cfRule type="cellIs" dxfId="53" priority="52" stopIfTrue="1" operator="lessThanOrEqual">
      <formula>3.5</formula>
    </cfRule>
    <cfRule type="cellIs" dxfId="52" priority="53" stopIfTrue="1" operator="greaterThanOrEqual">
      <formula>7.5</formula>
    </cfRule>
    <cfRule type="cellIs" dxfId="51" priority="54" stopIfTrue="1" operator="between">
      <formula>3.51</formula>
      <formula>7.49</formula>
    </cfRule>
  </conditionalFormatting>
  <conditionalFormatting sqref="AA3245">
    <cfRule type="cellIs" dxfId="50" priority="49" stopIfTrue="1" operator="lessThanOrEqual">
      <formula>3.5</formula>
    </cfRule>
    <cfRule type="cellIs" dxfId="49" priority="50" stopIfTrue="1" operator="greaterThanOrEqual">
      <formula>7.5</formula>
    </cfRule>
    <cfRule type="cellIs" dxfId="48" priority="51" stopIfTrue="1" operator="between">
      <formula>3.51</formula>
      <formula>7.49</formula>
    </cfRule>
  </conditionalFormatting>
  <conditionalFormatting sqref="AA3244">
    <cfRule type="cellIs" dxfId="47" priority="46" stopIfTrue="1" operator="lessThanOrEqual">
      <formula>3.5</formula>
    </cfRule>
    <cfRule type="cellIs" dxfId="46" priority="47" stopIfTrue="1" operator="greaterThanOrEqual">
      <formula>7.5</formula>
    </cfRule>
    <cfRule type="cellIs" dxfId="45" priority="48" stopIfTrue="1" operator="between">
      <formula>3.51</formula>
      <formula>7.49</formula>
    </cfRule>
  </conditionalFormatting>
  <conditionalFormatting sqref="AA3313">
    <cfRule type="cellIs" dxfId="44" priority="43" stopIfTrue="1" operator="lessThanOrEqual">
      <formula>3.5</formula>
    </cfRule>
    <cfRule type="cellIs" dxfId="43" priority="44" stopIfTrue="1" operator="greaterThanOrEqual">
      <formula>7.5</formula>
    </cfRule>
    <cfRule type="cellIs" dxfId="42" priority="45" stopIfTrue="1" operator="between">
      <formula>3.51</formula>
      <formula>7.49</formula>
    </cfRule>
  </conditionalFormatting>
  <conditionalFormatting sqref="AA3309:AA3311">
    <cfRule type="cellIs" dxfId="41" priority="40" stopIfTrue="1" operator="lessThanOrEqual">
      <formula>3.5</formula>
    </cfRule>
    <cfRule type="cellIs" dxfId="40" priority="41" stopIfTrue="1" operator="greaterThanOrEqual">
      <formula>7.5</formula>
    </cfRule>
    <cfRule type="cellIs" dxfId="39" priority="42" stopIfTrue="1" operator="between">
      <formula>3.51</formula>
      <formula>7.49</formula>
    </cfRule>
  </conditionalFormatting>
  <conditionalFormatting sqref="AA4774">
    <cfRule type="cellIs" dxfId="38" priority="37" stopIfTrue="1" operator="lessThanOrEqual">
      <formula>3.5</formula>
    </cfRule>
    <cfRule type="cellIs" dxfId="37" priority="38" stopIfTrue="1" operator="greaterThanOrEqual">
      <formula>7.5</formula>
    </cfRule>
    <cfRule type="cellIs" dxfId="36" priority="39" stopIfTrue="1" operator="between">
      <formula>3.51</formula>
      <formula>7.49</formula>
    </cfRule>
  </conditionalFormatting>
  <conditionalFormatting sqref="AA4774">
    <cfRule type="cellIs" dxfId="35" priority="34" stopIfTrue="1" operator="lessThanOrEqual">
      <formula>3.5</formula>
    </cfRule>
    <cfRule type="cellIs" dxfId="34" priority="35" stopIfTrue="1" operator="greaterThanOrEqual">
      <formula>7.5</formula>
    </cfRule>
    <cfRule type="cellIs" dxfId="33" priority="36" stopIfTrue="1" operator="between">
      <formula>3.51</formula>
      <formula>7.49</formula>
    </cfRule>
  </conditionalFormatting>
  <conditionalFormatting sqref="AA4775">
    <cfRule type="cellIs" dxfId="32" priority="31" stopIfTrue="1" operator="lessThanOrEqual">
      <formula>3.5</formula>
    </cfRule>
    <cfRule type="cellIs" dxfId="31" priority="32" stopIfTrue="1" operator="greaterThanOrEqual">
      <formula>7.5</formula>
    </cfRule>
    <cfRule type="cellIs" dxfId="30" priority="33" stopIfTrue="1" operator="between">
      <formula>3.51</formula>
      <formula>7.49</formula>
    </cfRule>
  </conditionalFormatting>
  <conditionalFormatting sqref="AA4775">
    <cfRule type="cellIs" dxfId="29" priority="28" stopIfTrue="1" operator="lessThanOrEqual">
      <formula>3.5</formula>
    </cfRule>
    <cfRule type="cellIs" dxfId="28" priority="29" stopIfTrue="1" operator="greaterThanOrEqual">
      <formula>7.5</formula>
    </cfRule>
    <cfRule type="cellIs" dxfId="27" priority="30" stopIfTrue="1" operator="between">
      <formula>3.51</formula>
      <formula>7.49</formula>
    </cfRule>
  </conditionalFormatting>
  <conditionalFormatting sqref="AA4776">
    <cfRule type="cellIs" dxfId="26" priority="25" stopIfTrue="1" operator="lessThanOrEqual">
      <formula>3.5</formula>
    </cfRule>
    <cfRule type="cellIs" dxfId="25" priority="26" stopIfTrue="1" operator="greaterThanOrEqual">
      <formula>7.5</formula>
    </cfRule>
    <cfRule type="cellIs" dxfId="24" priority="27" stopIfTrue="1" operator="between">
      <formula>3.51</formula>
      <formula>7.49</formula>
    </cfRule>
  </conditionalFormatting>
  <conditionalFormatting sqref="AA4776">
    <cfRule type="cellIs" dxfId="23" priority="22" stopIfTrue="1" operator="lessThanOrEqual">
      <formula>3.5</formula>
    </cfRule>
    <cfRule type="cellIs" dxfId="22" priority="23" stopIfTrue="1" operator="greaterThanOrEqual">
      <formula>7.5</formula>
    </cfRule>
    <cfRule type="cellIs" dxfId="21" priority="24" stopIfTrue="1" operator="between">
      <formula>3.51</formula>
      <formula>7.49</formula>
    </cfRule>
  </conditionalFormatting>
  <conditionalFormatting sqref="AA4777">
    <cfRule type="cellIs" dxfId="20" priority="19" stopIfTrue="1" operator="lessThanOrEqual">
      <formula>3.5</formula>
    </cfRule>
    <cfRule type="cellIs" dxfId="19" priority="20" stopIfTrue="1" operator="greaterThanOrEqual">
      <formula>7.5</formula>
    </cfRule>
    <cfRule type="cellIs" dxfId="18" priority="21" stopIfTrue="1" operator="between">
      <formula>3.51</formula>
      <formula>7.49</formula>
    </cfRule>
  </conditionalFormatting>
  <conditionalFormatting sqref="AA4777">
    <cfRule type="cellIs" dxfId="17" priority="16" stopIfTrue="1" operator="lessThanOrEqual">
      <formula>3.5</formula>
    </cfRule>
    <cfRule type="cellIs" dxfId="16" priority="17" stopIfTrue="1" operator="greaterThanOrEqual">
      <formula>7.5</formula>
    </cfRule>
    <cfRule type="cellIs" dxfId="15" priority="18" stopIfTrue="1" operator="between">
      <formula>3.51</formula>
      <formula>7.49</formula>
    </cfRule>
  </conditionalFormatting>
  <conditionalFormatting sqref="AA5245">
    <cfRule type="cellIs" dxfId="14" priority="13" stopIfTrue="1" operator="lessThanOrEqual">
      <formula>3.5</formula>
    </cfRule>
    <cfRule type="cellIs" dxfId="13" priority="14" stopIfTrue="1" operator="greaterThanOrEqual">
      <formula>7.5</formula>
    </cfRule>
    <cfRule type="cellIs" dxfId="12" priority="15" stopIfTrue="1" operator="between">
      <formula>3.51</formula>
      <formula>7.49</formula>
    </cfRule>
  </conditionalFormatting>
  <conditionalFormatting sqref="AA3171">
    <cfRule type="cellIs" dxfId="11" priority="10" stopIfTrue="1" operator="lessThanOrEqual">
      <formula>3.5</formula>
    </cfRule>
    <cfRule type="cellIs" dxfId="10" priority="11" stopIfTrue="1" operator="greaterThanOrEqual">
      <formula>7.5</formula>
    </cfRule>
    <cfRule type="cellIs" dxfId="9" priority="12" stopIfTrue="1" operator="between">
      <formula>3.51</formula>
      <formula>7.49</formula>
    </cfRule>
  </conditionalFormatting>
  <conditionalFormatting sqref="AA5244">
    <cfRule type="cellIs" dxfId="8" priority="7" stopIfTrue="1" operator="lessThanOrEqual">
      <formula>3.5</formula>
    </cfRule>
    <cfRule type="cellIs" dxfId="7" priority="8" stopIfTrue="1" operator="greaterThanOrEqual">
      <formula>7.5</formula>
    </cfRule>
    <cfRule type="cellIs" dxfId="6" priority="9" stopIfTrue="1" operator="between">
      <formula>3.51</formula>
      <formula>7.49</formula>
    </cfRule>
  </conditionalFormatting>
  <conditionalFormatting sqref="AA3778">
    <cfRule type="cellIs" dxfId="5" priority="4" stopIfTrue="1" operator="lessThanOrEqual">
      <formula>3.5</formula>
    </cfRule>
    <cfRule type="cellIs" dxfId="4" priority="5" stopIfTrue="1" operator="greaterThanOrEqual">
      <formula>7.5</formula>
    </cfRule>
    <cfRule type="cellIs" dxfId="3" priority="6" stopIfTrue="1" operator="between">
      <formula>3.51</formula>
      <formula>7.49</formula>
    </cfRule>
  </conditionalFormatting>
  <conditionalFormatting sqref="AA5134">
    <cfRule type="cellIs" dxfId="2" priority="1" stopIfTrue="1" operator="lessThanOrEqual">
      <formula>3.5</formula>
    </cfRule>
    <cfRule type="cellIs" dxfId="1" priority="2" stopIfTrue="1" operator="greaterThanOrEqual">
      <formula>7.5</formula>
    </cfRule>
    <cfRule type="cellIs" dxfId="0" priority="3" stopIfTrue="1" operator="between">
      <formula>3.51</formula>
      <formula>7.49</formula>
    </cfRule>
  </conditionalFormatting>
  <hyperlinks>
    <hyperlink ref="P77" r:id="rId1" display="http://tardis.wikia.com/wiki/Special:BookSources/9781781780848"/>
    <hyperlink ref="P81" r:id="rId2" display="http://tardis.wikia.com/wiki/Special:BookSources/9781781780619"/>
    <hyperlink ref="P1238" r:id="rId3" display="http://tardis.wikia.com/wiki/Special:BookSources/9781844359516"/>
    <hyperlink ref="P358" r:id="rId4" display="http://tardis.wikia.com/wiki/Special:BookSources/9781781780633"/>
    <hyperlink ref="P524" r:id="rId5" display="http://tardis.wikia.com/wiki/Special:BookSources/9781781780664"/>
    <hyperlink ref="P807" r:id="rId6" display="http://tardis.wikia.com/wiki/Special:BookSources/9781781780640"/>
    <hyperlink ref="P2089" r:id="rId7" display="http://tardis.wikia.com/wiki/Special:BookSources/9781781780206"/>
    <hyperlink ref="P2086" r:id="rId8" display="http://tardis.wikia.com/wiki/Special:BookSources/9781781780190"/>
    <hyperlink ref="P3101" r:id="rId9" display="http://tardis.wikia.com/wiki/Special:BookSources/9781781780213"/>
    <hyperlink ref="P2631" r:id="rId10" display="http://tardis.wikia.com/wiki/Special:BookSources/9781844359431"/>
    <hyperlink ref="P2632" r:id="rId11" display="http://tardis.wikia.com/wiki/Special:BookSources/9781844359448"/>
    <hyperlink ref="P1657" r:id="rId12" display="http://tardis.wikia.com/wiki/Special:BookSources/9781781780503"/>
    <hyperlink ref="P2141" r:id="rId13" display="http://tardis.wikia.com/wiki/Special:BookSources/9781781780510"/>
    <hyperlink ref="P2285" r:id="rId14" display="http://tardis.wikia.com/wiki/Special:BookSources/9781781780527"/>
    <hyperlink ref="P2296" r:id="rId15" display="http://tardis.wikia.com/wiki/Special:BookSources/9781781780534"/>
    <hyperlink ref="P45" r:id="rId16" display="http://tardis.wikia.com/wiki/Special:BookSources/9781471311567"/>
    <hyperlink ref="P473" r:id="rId17" display="http://tardis.wikia.com/wiki/Special:BookSources/9781471311680"/>
    <hyperlink ref="P621" r:id="rId18" display="http://tardis.wikia.com/wiki/Special:BookSources/9781471311697"/>
    <hyperlink ref="P1462" r:id="rId19" display="http://tardis.wikia.com/wiki/Special:BookSources/9781471311703"/>
    <hyperlink ref="P1592" r:id="rId20" display="http://tardis.wikia.com/wiki/Special:BookSources/9781471311710"/>
    <hyperlink ref="P1957" r:id="rId21" display="http://tardis.wikia.com/wiki/Special:BookSources/9781471311697"/>
    <hyperlink ref="P4355" r:id="rId22" display="http://tardis.wikia.com/wiki/Special:BookSources/9781846077845"/>
    <hyperlink ref="P3919" r:id="rId23" display="http://tardis.wikia.com/wiki/Special:BookSources/9781846077845"/>
    <hyperlink ref="P4024" r:id="rId24" display="http://tardis.wikia.com/wiki/Special:BookSources/9781846077845"/>
    <hyperlink ref="P4208" r:id="rId25" display="http://tardis.wikia.com/wiki/Special:BookSources/9781846077845"/>
    <hyperlink ref="P4209" r:id="rId26" display="http://tardis.wikia.com/wiki/Special:BookSources/9781846077845"/>
    <hyperlink ref="P4174" r:id="rId27" display="http://tardis.wikia.com/wiki/Special:BookSources/9781845769369"/>
    <hyperlink ref="P4230" r:id="rId28" display="http://tardis.wikia.com/wiki/Special:BookSources/9781845769369"/>
    <hyperlink ref="P4186" r:id="rId29" display="http://tardis.wikia.com/wiki/Special:BookSources/9781845769369"/>
    <hyperlink ref="P4190" r:id="rId30" display="http://tardis.wikia.com/wiki/Special:BookSources/9781845769369"/>
    <hyperlink ref="P4380" r:id="rId31" display="http://tardis.wikia.com/wiki/Special:BookSources/9781445860954"/>
    <hyperlink ref="P4389" r:id="rId32" display="http://tardis.wikia.com/wiki/Special:BookSources/9781445860954"/>
    <hyperlink ref="P4382" r:id="rId33" display="http://tardis.wikia.com/wiki/Special:BookSources/140846666X"/>
    <hyperlink ref="P4383" r:id="rId34" display="http://tardis.wikia.com/wiki/Special:BookSources/1408466651"/>
    <hyperlink ref="P4774" r:id="rId35" display="http://tardis.wikia.com/wiki/Special:BookSources/1849902836"/>
    <hyperlink ref="P4775" r:id="rId36" display="http://tardis.wikia.com/wiki/Special:BookSources/1849902852"/>
    <hyperlink ref="P4787" r:id="rId37" display="http://tardis.wikia.com/wiki/Special:BookSources/9781445871929"/>
    <hyperlink ref="P4789" r:id="rId38" display="http://tardis.wikia.com/wiki/Special:BookSources/9781445871967"/>
    <hyperlink ref="P4788" r:id="rId39" display="http://tardis.wikia.com/wiki/Special:BookSources/9781445871943"/>
    <hyperlink ref="P4790" r:id="rId40" display="http://tardis.wikia.com/wiki/Special:BookSources/9781445871981"/>
    <hyperlink ref="P2838" r:id="rId41" display="http://tardis.wikia.com/wiki/Special:BookSources/0426205073"/>
    <hyperlink ref="P2864" r:id="rId42" display="http://tardis.wikia.com/wiki/Special:BookSources/1903654300"/>
    <hyperlink ref="P2867" r:id="rId43" display="http://tardis.wikia.com/wiki/Special:BookSources/1903654343"/>
    <hyperlink ref="P2869" r:id="rId44" display="http://tardis.wikia.com/wiki/Special:BookSources/190365419X"/>
    <hyperlink ref="P2872" r:id="rId45" display="http://tardis.wikia.com/wiki/Special:BookSources/1903654033"/>
    <hyperlink ref="P2842" r:id="rId46" display="http://tardis.wikia.com/wiki/Special:BookSources/0426205154"/>
    <hyperlink ref="P2848" r:id="rId47" display="http://tardis.wikia.com/wiki/Special:BookSources/1903654351"/>
    <hyperlink ref="P2854" r:id="rId48" display="http://tardis.wikia.com/wiki/Special:BookSources/1903654351"/>
    <hyperlink ref="P2839" r:id="rId49" display="http://tardis.wikia.com/wiki/Special:BookSources/0426205081"/>
    <hyperlink ref="P2840" r:id="rId50" display="http://tardis.wikia.com/wiki/Special:BookSources/0426205111"/>
    <hyperlink ref="P2841" r:id="rId51" display="http://tardis.wikia.com/wiki/Special:BookSources/0426205103"/>
    <hyperlink ref="P2843" r:id="rId52" display="http://tardis.wikia.com/wiki/Special:BookSources/042620512X"/>
    <hyperlink ref="P2844" r:id="rId53" display="http://tardis.wikia.com/wiki/Special:BookSources/0426205138"/>
    <hyperlink ref="P2845" r:id="rId54" display="http://tardis.wikia.com/wiki/Special:BookSources/0426205146"/>
    <hyperlink ref="P2846" r:id="rId55" display="http://tardis.wikia.com/wiki/Special:BookSources/0426205197"/>
    <hyperlink ref="P2847" r:id="rId56" display="http://tardis.wikia.com/wiki/Special:BookSources/0426205235"/>
    <hyperlink ref="P2849" r:id="rId57" display="http://tardis.wikia.com/wiki/Special:BookSources/0426205219"/>
    <hyperlink ref="P2850" r:id="rId58" display="http://tardis.wikia.com/wiki/Special:BookSources/0426205227"/>
    <hyperlink ref="P2851" r:id="rId59" display="http://tardis.wikia.com/wiki/Special:BookSources/0426205243"/>
    <hyperlink ref="P2852" r:id="rId60" display="http://tardis.wikia.com/wiki/Special:BookSources/0426205251"/>
    <hyperlink ref="P2853" r:id="rId61" display="http://tardis.wikia.com/wiki/Special:BookSources/042620526X"/>
    <hyperlink ref="P2855" r:id="rId62" display="http://tardis.wikia.com/wiki/Special:BookSources/0426205286"/>
    <hyperlink ref="P2856" r:id="rId63" display="http://tardis.wikia.com/wiki/Special:BookSources/0426205294"/>
    <hyperlink ref="P2857" r:id="rId64" display="http://tardis.wikia.com/wiki/Special:BookSources/0426205308"/>
    <hyperlink ref="P2858" r:id="rId65" display="http://tardis.wikia.com/wiki/Special:BookSources/0426205316"/>
    <hyperlink ref="P2859" r:id="rId66" display="http://tardis.wikia.com/wiki/Special:BookSources/0426205324"/>
    <hyperlink ref="P2860" r:id="rId67" display="http://tardis.wikia.com/wiki/Special:BookSources/0426205332"/>
    <hyperlink ref="P2861" r:id="rId68" display="http://tardis.wikia.com/wiki/Special:BookSources/0426205340"/>
    <hyperlink ref="P2862" r:id="rId69" display="http://tardis.wikia.com/wiki/Special:BookSources/0426205359"/>
    <hyperlink ref="P2863" r:id="rId70" display="http://tardis.wikia.com/wiki/Special:BookSources/0426205367"/>
    <hyperlink ref="P2676" r:id="rId71" display="http://tardis.wikia.com/wiki/Special:BookSources/9781844352784"/>
    <hyperlink ref="P2677" r:id="rId72" display="http://tardis.wikia.com/wiki/Special:BookSources/9781844352784"/>
    <hyperlink ref="P2691" r:id="rId73" display="http://tardis.wikia.com/wiki/Special:BookSources/9781844352784"/>
    <hyperlink ref="P2692" r:id="rId74" display="http://tardis.wikia.com/wiki/Special:BookSources/9781844352784"/>
    <hyperlink ref="P2689" r:id="rId75" display="http://tardis.wikia.com/wiki/Special:BookSources/9781844352784"/>
    <hyperlink ref="P2690" r:id="rId76" display="http://tardis.wikia.com/wiki/Special:BookSources/9781844352784"/>
    <hyperlink ref="P2687" r:id="rId77" display="http://tardis.wikia.com/wiki/Special:BookSources/9781844352784"/>
    <hyperlink ref="P2688" r:id="rId78" display="http://tardis.wikia.com/wiki/Special:BookSources/9781844352784"/>
    <hyperlink ref="P2685" r:id="rId79" display="http://tardis.wikia.com/wiki/Special:BookSources/9781844352784"/>
    <hyperlink ref="P2686" r:id="rId80" display="http://tardis.wikia.com/wiki/Special:BookSources/9781844352784"/>
    <hyperlink ref="P2681" r:id="rId81" display="http://tardis.wikia.com/wiki/Special:BookSources/9781844352784"/>
    <hyperlink ref="P2684" r:id="rId82" display="http://tardis.wikia.com/wiki/Special:BookSources/9781844352784"/>
    <hyperlink ref="P2678" r:id="rId83" display="http://tardis.wikia.com/wiki/Special:BookSources/1844352390"/>
    <hyperlink ref="P2679" r:id="rId84" display="http://tardis.wikia.com/wiki/Special:BookSources/1844352420"/>
    <hyperlink ref="P2680" r:id="rId85" display="http://tardis.wikia.com/wiki/Special:BookSources/9781844353408"/>
    <hyperlink ref="P2870" r:id="rId86" display="http://tardis.wikia.com/wiki/Special:BookSources/190365436X"/>
    <hyperlink ref="P2871" r:id="rId87" display="http://tardis.wikia.com/wiki/Special:BookSources/1903654351"/>
    <hyperlink ref="P2882" r:id="rId88" display="http://tardis.wikia.com/wiki/Special:BookSources/1903654009"/>
    <hyperlink ref="P2881" r:id="rId89" display="http://tardis.wikia.com/wiki/Special:BookSources/1903654009"/>
    <hyperlink ref="P2880" r:id="rId90" display="http://tardis.wikia.com/wiki/Special:BookSources/1903654009"/>
    <hyperlink ref="P2879" r:id="rId91" display="http://tardis.wikia.com/wiki/Special:BookSources/1903654009"/>
    <hyperlink ref="P2878" r:id="rId92" display="http://tardis.wikia.com/wiki/Special:BookSources/1903654009"/>
    <hyperlink ref="P2877" r:id="rId93" display="http://tardis.wikia.com/wiki/Special:BookSources/1903654009"/>
    <hyperlink ref="P2876" r:id="rId94" display="http://tardis.wikia.com/wiki/Special:BookSources/1903654009"/>
    <hyperlink ref="P2875" r:id="rId95" display="http://tardis.wikia.com/wiki/Special:BookSources/1903654009"/>
    <hyperlink ref="P2874" r:id="rId96" display="http://tardis.wikia.com/wiki/Special:BookSources/1903654009"/>
    <hyperlink ref="P2873" r:id="rId97" display="http://tardis.wikia.com/wiki/Special:BookSources/1903654009"/>
    <hyperlink ref="P2883" r:id="rId98" display="http://tardis.wikia.com/wiki/Special:BookSources/1903654041"/>
    <hyperlink ref="P2886" r:id="rId99" display="http://tardis.wikia.com/wiki/Special:BookSources/1903654238"/>
    <hyperlink ref="P2885" r:id="rId100" display="http://tardis.wikia.com/wiki/Special:BookSources/1903654130"/>
    <hyperlink ref="P2889" r:id="rId101" display="http://tardis.wikia.com/wiki/Special:BookSources/1903654165"/>
    <hyperlink ref="P2891" r:id="rId102" display="http://tardis.wikia.com/wiki/Special:BookSources/1903645441"/>
    <hyperlink ref="P2884" r:id="rId103" display="http://tardis.wikia.com/wiki/Special:BookSources/1903654114"/>
    <hyperlink ref="P2887" r:id="rId104" display="http://tardis.wikia.com/wiki/Special:BookSources/190365422X"/>
    <hyperlink ref="P2888" r:id="rId105" display="http://tardis.wikia.com/wiki/Special:BookSources/1903654122"/>
    <hyperlink ref="P2890" r:id="rId106" display="http://tardis.wikia.com/wiki/Special:BookSources/1903654122"/>
    <hyperlink ref="P2945" r:id="rId107" display="http://tardis.wikia.com/wiki/Special:BookSources/1844351076"/>
    <hyperlink ref="P2892" r:id="rId108" display="http://tardis.wikia.com/wiki/Special:BookSources/1903654661"/>
    <hyperlink ref="P2893" r:id="rId109" display="http://tardis.wikia.com/wiki/Special:BookSources/1903654696"/>
    <hyperlink ref="P2894" r:id="rId110" display="http://tardis.wikia.com/wiki/Special:BookSources/190365470X"/>
    <hyperlink ref="P2895" r:id="rId111" display="http://tardis.wikia.com/wiki/Special:BookSources/1903654793"/>
    <hyperlink ref="P2917" r:id="rId112" display="http://tardis.wikia.com/wiki/Special:BookSources/1903654718"/>
    <hyperlink ref="P2918" r:id="rId113" display="http://tardis.wikia.com/wiki/Special:BookSources/1844350401"/>
    <hyperlink ref="P2919" r:id="rId114" display="http://tardis.wikia.com/wiki/Special:BookSources/1844350673"/>
    <hyperlink ref="P2920" r:id="rId115" display="http://tardis.wikia.com/wiki/Special:BookSources/1844350428"/>
    <hyperlink ref="P2943" r:id="rId116" display="http://tardis.wikia.com/wiki/Special:BookSources/1844350436"/>
    <hyperlink ref="P2946" r:id="rId117" display="http://tardis.wikia.com/wiki/Special:BookSources/184435041X"/>
    <hyperlink ref="P2961" r:id="rId118" display="http://tardis.wikia.com/wiki/Special:BookSources/1844350738"/>
    <hyperlink ref="P2962" r:id="rId119" display="http://tardis.wikia.com/wiki/Special:BookSources/1844350746"/>
    <hyperlink ref="P2964" r:id="rId120" display="http://tardis.wikia.com/wiki/Special:BookSources/1844350754"/>
    <hyperlink ref="P2960" r:id="rId121" display="http://tardis.wikia.com/wiki/Special:BookSources/1844351092"/>
    <hyperlink ref="P2959" r:id="rId122" display="http://tardis.wikia.com/wiki/Special:BookSources/1844351092"/>
    <hyperlink ref="P2958" r:id="rId123" display="http://tardis.wikia.com/wiki/Special:BookSources/1844351092"/>
    <hyperlink ref="P2957" r:id="rId124" display="http://tardis.wikia.com/wiki/Special:BookSources/1844351092"/>
    <hyperlink ref="P2956" r:id="rId125" display="http://tardis.wikia.com/wiki/Special:BookSources/1844351092"/>
    <hyperlink ref="P2955" r:id="rId126" display="http://tardis.wikia.com/wiki/Special:BookSources/1844351092"/>
    <hyperlink ref="P2954" r:id="rId127" display="http://tardis.wikia.com/wiki/Special:BookSources/1844351092"/>
    <hyperlink ref="P2953" r:id="rId128" display="http://tardis.wikia.com/wiki/Special:BookSources/1844351092"/>
    <hyperlink ref="P2952" r:id="rId129" display="http://tardis.wikia.com/wiki/Special:BookSources/1844351092"/>
    <hyperlink ref="P2951" r:id="rId130" display="http://tardis.wikia.com/wiki/Special:BookSources/1844351092"/>
    <hyperlink ref="P2950" r:id="rId131" display="http://tardis.wikia.com/wiki/Special:BookSources/1844351092"/>
    <hyperlink ref="P2949" r:id="rId132" display="http://tardis.wikia.com/wiki/Special:BookSources/1844351092"/>
    <hyperlink ref="P2948" r:id="rId133" display="http://tardis.wikia.com/wiki/Special:BookSources/1844351092"/>
    <hyperlink ref="P2947" r:id="rId134" display="http://tardis.wikia.com/wiki/Special:BookSources/1844351092"/>
    <hyperlink ref="P2969" r:id="rId135" display="http://tardis.wikia.com/wiki/Special:BookSources/1844351084"/>
    <hyperlink ref="P2968" r:id="rId136" display="http://tardis.wikia.com/wiki/Special:BookSources/1844351084"/>
    <hyperlink ref="P2967" r:id="rId137" display="http://tardis.wikia.com/wiki/Special:BookSources/1844351084"/>
    <hyperlink ref="P2965" r:id="rId138" display="http://tardis.wikia.com/wiki/Special:BookSources/1844351521"/>
    <hyperlink ref="P2966" r:id="rId139" display="http://tardis.wikia.com/wiki/Special:BookSources/1844351300"/>
    <hyperlink ref="P2970" r:id="rId140" display="http://tardis.wikia.com/wiki/Special:BookSources/1844351319"/>
    <hyperlink ref="P2992" r:id="rId141" display="http://tardis.wikia.com/wiki/Special:BookSources/1844351335"/>
    <hyperlink ref="P2971" r:id="rId142" display="http://tardis.wikia.com/wiki/Special:BookSources/1844351270"/>
    <hyperlink ref="P2993" r:id="rId143" display="http://tardis.wikia.com/wiki/Special:BookSources/1844351327"/>
    <hyperlink ref="P2994" r:id="rId144" display="http://tardis.wikia.com/wiki/Special:BookSources/1844351297"/>
    <hyperlink ref="P2995" r:id="rId145" display="http://tardis.wikia.com/wiki/Special:BookSources/1844351908"/>
    <hyperlink ref="P2996" r:id="rId146" display="http://tardis.wikia.com/wiki/Special:BookSources/1844350592"/>
    <hyperlink ref="P3020" r:id="rId147" display="http://tardis.wikia.com/wiki/Special:BookSources/1844351289"/>
    <hyperlink ref="P3024" r:id="rId148" display="http://tardis.wikia.com/wiki/Special:BookSources/1844351890"/>
    <hyperlink ref="P3025" r:id="rId149" display="http://tardis.wikia.com/wiki/Special:BookSources/1844352544"/>
    <hyperlink ref="P3019" r:id="rId150" display="http://tardis.wikia.com/wiki/Special:BookSources/1844352412"/>
    <hyperlink ref="P3018" r:id="rId151" display="http://tardis.wikia.com/wiki/Special:BookSources/1844352412"/>
    <hyperlink ref="P3017" r:id="rId152" display="http://tardis.wikia.com/wiki/Special:BookSources/1844352412"/>
    <hyperlink ref="P3016" r:id="rId153" display="http://tardis.wikia.com/wiki/Special:BookSources/1844352412"/>
    <hyperlink ref="P3015" r:id="rId154" display="http://tardis.wikia.com/wiki/Special:BookSources/1844352412"/>
    <hyperlink ref="P3014" r:id="rId155" display="http://tardis.wikia.com/wiki/Special:BookSources/1844352412"/>
    <hyperlink ref="P3013" r:id="rId156" display="http://tardis.wikia.com/wiki/Special:BookSources/1844352412"/>
    <hyperlink ref="P3012" r:id="rId157" display="http://tardis.wikia.com/wiki/Special:BookSources/1844352412"/>
    <hyperlink ref="P3011" r:id="rId158" display="http://tardis.wikia.com/wiki/Special:BookSources/1844352412"/>
    <hyperlink ref="P3010" r:id="rId159" display="http://tardis.wikia.com/wiki/Special:BookSources/1844352412"/>
    <hyperlink ref="P3009" r:id="rId160" display="http://tardis.wikia.com/wiki/Special:BookSources/1844352412"/>
    <hyperlink ref="P3008" r:id="rId161" display="http://tardis.wikia.com/wiki/Special:BookSources/1844352412"/>
    <hyperlink ref="P3007" r:id="rId162" display="http://tardis.wikia.com/wiki/Special:BookSources/1844352412"/>
    <hyperlink ref="P3006" r:id="rId163" display="http://tardis.wikia.com/wiki/Special:BookSources/1844352412"/>
    <hyperlink ref="P3005" r:id="rId164" display="http://tardis.wikia.com/wiki/Special:BookSources/1844352412"/>
    <hyperlink ref="P3004" r:id="rId165" display="http://tardis.wikia.com/wiki/Special:BookSources/1844352412"/>
    <hyperlink ref="P3003" r:id="rId166" display="http://tardis.wikia.com/wiki/Special:BookSources/1844352412"/>
    <hyperlink ref="P3002" r:id="rId167" display="http://tardis.wikia.com/wiki/Special:BookSources/1844352412"/>
    <hyperlink ref="P3001" r:id="rId168" display="http://tardis.wikia.com/wiki/Special:BookSources/1844352412"/>
    <hyperlink ref="P3000" r:id="rId169" display="http://tardis.wikia.com/wiki/Special:BookSources/1844352412"/>
    <hyperlink ref="P2999" r:id="rId170" display="http://tardis.wikia.com/wiki/Special:BookSources/1844352412"/>
    <hyperlink ref="P2998" r:id="rId171" display="http://tardis.wikia.com/wiki/Special:BookSources/1844352412"/>
    <hyperlink ref="P2997" r:id="rId172" display="http://tardis.wikia.com/wiki/Special:BookSources/1844352412"/>
    <hyperlink ref="P3022" r:id="rId173" display="http://tardis.wikia.com/wiki/Special:BookSources/1844352420"/>
    <hyperlink ref="P3021" r:id="rId174" display="http://tardis.wikia.com/wiki/Special:BookSources/1844352420"/>
    <hyperlink ref="P2991" r:id="rId175" display="http://tardis.wikia.com/wiki/Special:BookSources/184435153X"/>
    <hyperlink ref="P2990" r:id="rId176" display="http://tardis.wikia.com/wiki/Special:BookSources/184435153X"/>
    <hyperlink ref="P2989" r:id="rId177" display="http://tardis.wikia.com/wiki/Special:BookSources/184435153X"/>
    <hyperlink ref="P2988" r:id="rId178" display="http://tardis.wikia.com/wiki/Special:BookSources/184435153X"/>
    <hyperlink ref="P2987" r:id="rId179" display="http://tardis.wikia.com/wiki/Special:BookSources/184435153X"/>
    <hyperlink ref="P2986" r:id="rId180" display="http://tardis.wikia.com/wiki/Special:BookSources/184435153X"/>
    <hyperlink ref="P2985" r:id="rId181" display="http://tardis.wikia.com/wiki/Special:BookSources/184435153X"/>
    <hyperlink ref="P2984" r:id="rId182" display="http://tardis.wikia.com/wiki/Special:BookSources/184435153X"/>
    <hyperlink ref="P2983" r:id="rId183" display="http://tardis.wikia.com/wiki/Special:BookSources/184435153X"/>
    <hyperlink ref="P2982" r:id="rId184" display="http://tardis.wikia.com/wiki/Special:BookSources/184435153X"/>
    <hyperlink ref="P2981" r:id="rId185" display="http://tardis.wikia.com/wiki/Special:BookSources/184435153X"/>
    <hyperlink ref="P2682" r:id="rId186" display="http://tardis.wikia.com/wiki/Special:BookSources/184435153X"/>
    <hyperlink ref="P2979" r:id="rId187" display="http://tardis.wikia.com/wiki/Special:BookSources/184435153X"/>
    <hyperlink ref="P2978" r:id="rId188" display="http://tardis.wikia.com/wiki/Special:BookSources/184435153X"/>
    <hyperlink ref="P2977" r:id="rId189" display="http://tardis.wikia.com/wiki/Special:BookSources/184435153X"/>
    <hyperlink ref="P2976" r:id="rId190" display="http://tardis.wikia.com/wiki/Special:BookSources/184435153X"/>
    <hyperlink ref="P860" r:id="rId191" display="http://tardis.wikia.com/wiki/Special:BookSources/9781781780671"/>
    <hyperlink ref="P2188" r:id="rId192" display="http://tardis.wikia.com/wiki/Special:BookSources/9781781780831"/>
    <hyperlink ref="P33" r:id="rId193" display="http://tardis.wikia.com/wiki/Special:BookSources/9781844359462"/>
    <hyperlink ref="P2454" r:id="rId194" display="http://tardis.wikia.com/wiki/Special:BookSources/9781471311567"/>
    <hyperlink ref="P530" r:id="rId195" display="http://tardis.wikia.com/wiki/Special:BookSources/9781781780664"/>
    <hyperlink ref="P3034" r:id="rId196" display="http://tardis.wikia.com/wiki/Special:BookSources/1844352544"/>
    <hyperlink ref="P3026" r:id="rId197" display="http://tardis.wikia.com/wiki/Special:BookSources/1844352544"/>
    <hyperlink ref="P3035" r:id="rId198" display="http://tardis.wikia.com/wiki/Special:BookSources/1844352544"/>
    <hyperlink ref="P3027" r:id="rId199" display="http://tardis.wikia.com/wiki/Special:BookSources/1844352544"/>
    <hyperlink ref="P3028" r:id="rId200" display="http://tardis.wikia.com/wiki/Special:BookSources/1844352544"/>
    <hyperlink ref="P3033" r:id="rId201" display="http://tardis.wikia.com/wiki/Special:BookSources/1844352544"/>
    <hyperlink ref="P3032" r:id="rId202" display="http://tardis.wikia.com/wiki/Special:BookSources/1844351521"/>
    <hyperlink ref="P3031" r:id="rId203" display="http://tardis.wikia.com/wiki/Special:BookSources/1844352420"/>
    <hyperlink ref="P3030" r:id="rId204" display="http://tardis.wikia.com/wiki/Special:BookSources/1844352420"/>
    <hyperlink ref="P3029" r:id="rId205" display="http://tardis.wikia.com/wiki/Special:BookSources/1844352420"/>
    <hyperlink ref="P3211" r:id="rId206" display="http://tardis.wikia.com/wiki/Special:BookSources/9781844353408"/>
    <hyperlink ref="P3041" r:id="rId207" display="http://tardis.wikia.com/wiki/Special:BookSources/9781844353408"/>
    <hyperlink ref="P3054" r:id="rId208" display="http://tardis.wikia.com/wiki/Special:BookSources/1844352412"/>
    <hyperlink ref="P3053" r:id="rId209" display="http://tardis.wikia.com/wiki/Special:BookSources/1844352412"/>
    <hyperlink ref="P3052" r:id="rId210" display="http://tardis.wikia.com/wiki/Special:BookSources/1844352412"/>
    <hyperlink ref="P3051" r:id="rId211" display="http://tardis.wikia.com/wiki/Special:BookSources/1844352412"/>
    <hyperlink ref="P3050" r:id="rId212" display="http://tardis.wikia.com/wiki/Special:BookSources/1844352412"/>
    <hyperlink ref="P3049" r:id="rId213" display="http://tardis.wikia.com/wiki/Special:BookSources/1844352412"/>
    <hyperlink ref="P3048" r:id="rId214" display="http://tardis.wikia.com/wiki/Special:BookSources/1844352412"/>
    <hyperlink ref="P3047" r:id="rId215" display="http://tardis.wikia.com/wiki/Special:BookSources/1844352412"/>
    <hyperlink ref="P3046" r:id="rId216" display="http://tardis.wikia.com/wiki/Special:BookSources/1844352412"/>
    <hyperlink ref="P3130" r:id="rId217" display="http://tardis.wikia.com/wiki/Special:BookSources/1844351521"/>
    <hyperlink ref="P3136" r:id="rId218" display="http://tardis.wikia.com/wiki/Special:BookSources/1844351521"/>
    <hyperlink ref="P3140" r:id="rId219" display="http://tardis.wikia.com/wiki/Special:BookSources/1844351521"/>
    <hyperlink ref="P3148" r:id="rId220" display="http://tardis.wikia.com/wiki/Special:BookSources/1844351521"/>
    <hyperlink ref="P3558" r:id="rId221" display="http://tardis.wikia.com/wiki/Special:BookSources/0426205154"/>
    <hyperlink ref="P2824" r:id="rId222" display="http://tardis.wikia.com/wiki/Special:BookSources/0426205154"/>
    <hyperlink ref="P2823" r:id="rId223" display="http://tardis.wikia.com/wiki/Special:BookSources/0426205154"/>
    <hyperlink ref="P2822" r:id="rId224" display="http://tardis.wikia.com/wiki/Special:BookSources/0426205154"/>
    <hyperlink ref="P2820" r:id="rId225" display="http://tardis.wikia.com/wiki/Special:BookSources/0426205154"/>
    <hyperlink ref="P2821" r:id="rId226" display="http://tardis.wikia.com/wiki/Special:BookSources/0426205154"/>
    <hyperlink ref="P2819" r:id="rId227" display="http://tardis.wikia.com/wiki/Special:BookSources/0426205154"/>
    <hyperlink ref="P2818" r:id="rId228" display="http://tardis.wikia.com/wiki/Special:BookSources/0426205154"/>
    <hyperlink ref="P2817" r:id="rId229" display="http://tardis.wikia.com/wiki/Special:BookSources/0426205154"/>
    <hyperlink ref="P2815" r:id="rId230" display="http://tardis.wikia.com/wiki/Special:BookSources/0426205154"/>
    <hyperlink ref="P2816" r:id="rId231" display="http://tardis.wikia.com/wiki/Special:BookSources/0426205154"/>
    <hyperlink ref="P2980" r:id="rId232" display="http://tardis.wikia.com/wiki/Special:BookSources/184435153X"/>
    <hyperlink ref="P2866" r:id="rId233" display="http://tardis.wikia.com/wiki/Special:BookSources/184435153X"/>
    <hyperlink ref="P2944" r:id="rId234" display="http://tardis.wikia.com/wiki/Special:BookSources/184435153X"/>
    <hyperlink ref="P3039" r:id="rId235" display="http://tardis.wikia.com/wiki/Special:BookSources/184435153X"/>
    <hyperlink ref="P3131" r:id="rId236" display="http://tardis.wikia.com/wiki/Special:BookSources/184435153X"/>
    <hyperlink ref="P3209" r:id="rId237" display="http://tardis.wikia.com/wiki/Special:BookSources/184435153X"/>
    <hyperlink ref="P2023" r:id="rId238" display="http://tardis.wikia.com/wiki/Special:BookSources/9781781780510"/>
    <hyperlink ref="P2683" r:id="rId239" display="http://tardis.wikia.com/wiki/Special:BookSources/9781844352784"/>
    <hyperlink ref="P2865" r:id="rId240" display="http://tardis.wikia.com/wiki/Special:BookSources/9781844352784"/>
    <hyperlink ref="P2868" r:id="rId241" display="http://tardis.wikia.com/wiki/Special:BookSources/9781844352784"/>
    <hyperlink ref="P3023" r:id="rId242" display="http://tardis.wikia.com/wiki/Special:BookSources/9781844352784"/>
    <hyperlink ref="P3137" r:id="rId243" display="http://tardis.wikia.com/wiki/Special:BookSources/9781844352784"/>
    <hyperlink ref="P3204" r:id="rId244" display="http://tardis.wikia.com/wiki/Special:BookSources/9781844352784"/>
    <hyperlink ref="P3203" r:id="rId245" display="http://tardis.wikia.com/wiki/Special:BookSources/9781844352784"/>
    <hyperlink ref="P3210" r:id="rId246" display="http://tardis.wikia.com/wiki/Special:BookSources/9781844352784"/>
  </hyperlinks>
  <pageMargins left="0.11811023622047245" right="0.11811023622047245" top="0.11811023622047245" bottom="0.11811023622047245" header="0" footer="0"/>
  <pageSetup paperSize="9" scale="65" fitToHeight="1000" pageOrder="overThenDown" orientation="portrait" horizontalDpi="4294967293" r:id="rId247"/>
  <headerFooter alignWithMargins="0"/>
  <rowBreaks count="10" manualBreakCount="10">
    <brk id="559" max="16383" man="1"/>
    <brk id="639" max="16383" man="1"/>
    <brk id="963" max="16383" man="1"/>
    <brk id="1247" max="16383" man="1"/>
    <brk id="1627" max="16383" man="1"/>
    <brk id="1907" max="16383" man="1"/>
    <brk id="2407" max="16383" man="1"/>
    <brk id="3382" max="16383" man="1"/>
    <brk id="4080" max="16383" man="1"/>
    <brk id="482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5500"/>
  <sheetViews>
    <sheetView topLeftCell="A5368" workbookViewId="0">
      <selection sqref="A1:A5399"/>
    </sheetView>
  </sheetViews>
  <sheetFormatPr defaultRowHeight="13.2" x14ac:dyDescent="0.25"/>
  <cols>
    <col min="1" max="1" width="5" customWidth="1"/>
  </cols>
  <sheetData>
    <row r="1" spans="1:1" x14ac:dyDescent="0.25">
      <c r="A1" s="23" t="s">
        <v>3204</v>
      </c>
    </row>
    <row r="2" spans="1:1" x14ac:dyDescent="0.25">
      <c r="A2">
        <v>1</v>
      </c>
    </row>
    <row r="3" spans="1:1" x14ac:dyDescent="0.25">
      <c r="A3">
        <f>A2+1</f>
        <v>2</v>
      </c>
    </row>
    <row r="4" spans="1:1" x14ac:dyDescent="0.25">
      <c r="A4">
        <f t="shared" ref="A4:A67" si="0">A3+1</f>
        <v>3</v>
      </c>
    </row>
    <row r="5" spans="1:1" x14ac:dyDescent="0.25">
      <c r="A5">
        <f t="shared" si="0"/>
        <v>4</v>
      </c>
    </row>
    <row r="6" spans="1:1" x14ac:dyDescent="0.25">
      <c r="A6">
        <f t="shared" si="0"/>
        <v>5</v>
      </c>
    </row>
    <row r="7" spans="1:1" x14ac:dyDescent="0.25">
      <c r="A7">
        <f t="shared" si="0"/>
        <v>6</v>
      </c>
    </row>
    <row r="8" spans="1:1" x14ac:dyDescent="0.25">
      <c r="A8">
        <f t="shared" si="0"/>
        <v>7</v>
      </c>
    </row>
    <row r="9" spans="1:1" x14ac:dyDescent="0.25">
      <c r="A9">
        <f t="shared" si="0"/>
        <v>8</v>
      </c>
    </row>
    <row r="10" spans="1:1" x14ac:dyDescent="0.25">
      <c r="A10">
        <f t="shared" si="0"/>
        <v>9</v>
      </c>
    </row>
    <row r="11" spans="1:1" x14ac:dyDescent="0.25">
      <c r="A11">
        <f t="shared" si="0"/>
        <v>10</v>
      </c>
    </row>
    <row r="12" spans="1:1" x14ac:dyDescent="0.25">
      <c r="A12">
        <f t="shared" si="0"/>
        <v>11</v>
      </c>
    </row>
    <row r="13" spans="1:1" x14ac:dyDescent="0.25">
      <c r="A13">
        <f t="shared" si="0"/>
        <v>12</v>
      </c>
    </row>
    <row r="14" spans="1:1" x14ac:dyDescent="0.25">
      <c r="A14">
        <f t="shared" si="0"/>
        <v>13</v>
      </c>
    </row>
    <row r="15" spans="1:1" x14ac:dyDescent="0.25">
      <c r="A15">
        <f t="shared" si="0"/>
        <v>14</v>
      </c>
    </row>
    <row r="16" spans="1:1" x14ac:dyDescent="0.25">
      <c r="A16">
        <f t="shared" si="0"/>
        <v>15</v>
      </c>
    </row>
    <row r="17" spans="1:1" x14ac:dyDescent="0.25">
      <c r="A17">
        <f t="shared" si="0"/>
        <v>16</v>
      </c>
    </row>
    <row r="18" spans="1:1" x14ac:dyDescent="0.25">
      <c r="A18">
        <f t="shared" si="0"/>
        <v>17</v>
      </c>
    </row>
    <row r="19" spans="1:1" x14ac:dyDescent="0.25">
      <c r="A19">
        <f t="shared" si="0"/>
        <v>18</v>
      </c>
    </row>
    <row r="20" spans="1:1" x14ac:dyDescent="0.25">
      <c r="A20">
        <f t="shared" si="0"/>
        <v>19</v>
      </c>
    </row>
    <row r="21" spans="1:1" x14ac:dyDescent="0.25">
      <c r="A21">
        <f t="shared" si="0"/>
        <v>20</v>
      </c>
    </row>
    <row r="22" spans="1:1" x14ac:dyDescent="0.25">
      <c r="A22">
        <f t="shared" si="0"/>
        <v>21</v>
      </c>
    </row>
    <row r="23" spans="1:1" x14ac:dyDescent="0.25">
      <c r="A23">
        <f t="shared" si="0"/>
        <v>22</v>
      </c>
    </row>
    <row r="24" spans="1:1" x14ac:dyDescent="0.25">
      <c r="A24">
        <f t="shared" si="0"/>
        <v>23</v>
      </c>
    </row>
    <row r="25" spans="1:1" x14ac:dyDescent="0.25">
      <c r="A25">
        <f t="shared" si="0"/>
        <v>24</v>
      </c>
    </row>
    <row r="26" spans="1:1" x14ac:dyDescent="0.25">
      <c r="A26">
        <f t="shared" si="0"/>
        <v>25</v>
      </c>
    </row>
    <row r="27" spans="1:1" x14ac:dyDescent="0.25">
      <c r="A27">
        <f t="shared" si="0"/>
        <v>26</v>
      </c>
    </row>
    <row r="28" spans="1:1" x14ac:dyDescent="0.25">
      <c r="A28">
        <f t="shared" si="0"/>
        <v>27</v>
      </c>
    </row>
    <row r="29" spans="1:1" x14ac:dyDescent="0.25">
      <c r="A29">
        <f t="shared" si="0"/>
        <v>28</v>
      </c>
    </row>
    <row r="30" spans="1:1" x14ac:dyDescent="0.25">
      <c r="A30">
        <f t="shared" si="0"/>
        <v>29</v>
      </c>
    </row>
    <row r="31" spans="1:1" x14ac:dyDescent="0.25">
      <c r="A31">
        <f t="shared" si="0"/>
        <v>30</v>
      </c>
    </row>
    <row r="32" spans="1:1" x14ac:dyDescent="0.25">
      <c r="A32">
        <f t="shared" si="0"/>
        <v>31</v>
      </c>
    </row>
    <row r="33" spans="1:1" x14ac:dyDescent="0.25">
      <c r="A33">
        <f t="shared" si="0"/>
        <v>32</v>
      </c>
    </row>
    <row r="34" spans="1:1" x14ac:dyDescent="0.25">
      <c r="A34">
        <f t="shared" si="0"/>
        <v>33</v>
      </c>
    </row>
    <row r="35" spans="1:1" x14ac:dyDescent="0.25">
      <c r="A35">
        <f t="shared" si="0"/>
        <v>34</v>
      </c>
    </row>
    <row r="36" spans="1:1" x14ac:dyDescent="0.25">
      <c r="A36">
        <f t="shared" si="0"/>
        <v>35</v>
      </c>
    </row>
    <row r="37" spans="1:1" x14ac:dyDescent="0.25">
      <c r="A37">
        <f t="shared" si="0"/>
        <v>36</v>
      </c>
    </row>
    <row r="38" spans="1:1" x14ac:dyDescent="0.25">
      <c r="A38">
        <f t="shared" si="0"/>
        <v>37</v>
      </c>
    </row>
    <row r="39" spans="1:1" x14ac:dyDescent="0.25">
      <c r="A39">
        <f t="shared" si="0"/>
        <v>38</v>
      </c>
    </row>
    <row r="40" spans="1:1" x14ac:dyDescent="0.25">
      <c r="A40">
        <f t="shared" si="0"/>
        <v>39</v>
      </c>
    </row>
    <row r="41" spans="1:1" x14ac:dyDescent="0.25">
      <c r="A41">
        <f t="shared" si="0"/>
        <v>40</v>
      </c>
    </row>
    <row r="42" spans="1:1" x14ac:dyDescent="0.25">
      <c r="A42">
        <f t="shared" si="0"/>
        <v>41</v>
      </c>
    </row>
    <row r="43" spans="1:1" x14ac:dyDescent="0.25">
      <c r="A43">
        <f t="shared" si="0"/>
        <v>42</v>
      </c>
    </row>
    <row r="44" spans="1:1" x14ac:dyDescent="0.25">
      <c r="A44">
        <f t="shared" si="0"/>
        <v>43</v>
      </c>
    </row>
    <row r="45" spans="1:1" x14ac:dyDescent="0.25">
      <c r="A45">
        <f t="shared" si="0"/>
        <v>44</v>
      </c>
    </row>
    <row r="46" spans="1:1" x14ac:dyDescent="0.25">
      <c r="A46">
        <f t="shared" si="0"/>
        <v>45</v>
      </c>
    </row>
    <row r="47" spans="1:1" x14ac:dyDescent="0.25">
      <c r="A47">
        <f t="shared" si="0"/>
        <v>46</v>
      </c>
    </row>
    <row r="48" spans="1:1" x14ac:dyDescent="0.25">
      <c r="A48">
        <f t="shared" si="0"/>
        <v>47</v>
      </c>
    </row>
    <row r="49" spans="1:1" x14ac:dyDescent="0.25">
      <c r="A49">
        <f t="shared" si="0"/>
        <v>48</v>
      </c>
    </row>
    <row r="50" spans="1:1" x14ac:dyDescent="0.25">
      <c r="A50">
        <f t="shared" si="0"/>
        <v>49</v>
      </c>
    </row>
    <row r="51" spans="1:1" x14ac:dyDescent="0.25">
      <c r="A51">
        <f t="shared" si="0"/>
        <v>50</v>
      </c>
    </row>
    <row r="52" spans="1:1" x14ac:dyDescent="0.25">
      <c r="A52">
        <f t="shared" si="0"/>
        <v>51</v>
      </c>
    </row>
    <row r="53" spans="1:1" x14ac:dyDescent="0.25">
      <c r="A53">
        <f t="shared" si="0"/>
        <v>52</v>
      </c>
    </row>
    <row r="54" spans="1:1" x14ac:dyDescent="0.25">
      <c r="A54">
        <f t="shared" si="0"/>
        <v>53</v>
      </c>
    </row>
    <row r="55" spans="1:1" x14ac:dyDescent="0.25">
      <c r="A55">
        <f t="shared" si="0"/>
        <v>54</v>
      </c>
    </row>
    <row r="56" spans="1:1" x14ac:dyDescent="0.25">
      <c r="A56">
        <f t="shared" si="0"/>
        <v>55</v>
      </c>
    </row>
    <row r="57" spans="1:1" x14ac:dyDescent="0.25">
      <c r="A57">
        <f t="shared" si="0"/>
        <v>56</v>
      </c>
    </row>
    <row r="58" spans="1:1" x14ac:dyDescent="0.25">
      <c r="A58">
        <f t="shared" si="0"/>
        <v>57</v>
      </c>
    </row>
    <row r="59" spans="1:1" x14ac:dyDescent="0.25">
      <c r="A59">
        <f t="shared" si="0"/>
        <v>58</v>
      </c>
    </row>
    <row r="60" spans="1:1" x14ac:dyDescent="0.25">
      <c r="A60">
        <f t="shared" si="0"/>
        <v>59</v>
      </c>
    </row>
    <row r="61" spans="1:1" x14ac:dyDescent="0.25">
      <c r="A61">
        <f t="shared" si="0"/>
        <v>60</v>
      </c>
    </row>
    <row r="62" spans="1:1" x14ac:dyDescent="0.25">
      <c r="A62">
        <f t="shared" si="0"/>
        <v>61</v>
      </c>
    </row>
    <row r="63" spans="1:1" x14ac:dyDescent="0.25">
      <c r="A63">
        <f t="shared" si="0"/>
        <v>62</v>
      </c>
    </row>
    <row r="64" spans="1:1" x14ac:dyDescent="0.25">
      <c r="A64">
        <f t="shared" si="0"/>
        <v>63</v>
      </c>
    </row>
    <row r="65" spans="1:1" x14ac:dyDescent="0.25">
      <c r="A65">
        <f t="shared" si="0"/>
        <v>64</v>
      </c>
    </row>
    <row r="66" spans="1:1" x14ac:dyDescent="0.25">
      <c r="A66">
        <f t="shared" si="0"/>
        <v>65</v>
      </c>
    </row>
    <row r="67" spans="1:1" x14ac:dyDescent="0.25">
      <c r="A67">
        <f t="shared" si="0"/>
        <v>66</v>
      </c>
    </row>
    <row r="68" spans="1:1" x14ac:dyDescent="0.25">
      <c r="A68">
        <f t="shared" ref="A68:A131" si="1">A67+1</f>
        <v>67</v>
      </c>
    </row>
    <row r="69" spans="1:1" x14ac:dyDescent="0.25">
      <c r="A69">
        <f t="shared" si="1"/>
        <v>68</v>
      </c>
    </row>
    <row r="70" spans="1:1" x14ac:dyDescent="0.25">
      <c r="A70">
        <f t="shared" si="1"/>
        <v>69</v>
      </c>
    </row>
    <row r="71" spans="1:1" x14ac:dyDescent="0.25">
      <c r="A71">
        <f t="shared" si="1"/>
        <v>70</v>
      </c>
    </row>
    <row r="72" spans="1:1" x14ac:dyDescent="0.25">
      <c r="A72">
        <f t="shared" si="1"/>
        <v>71</v>
      </c>
    </row>
    <row r="73" spans="1:1" x14ac:dyDescent="0.25">
      <c r="A73">
        <f t="shared" si="1"/>
        <v>72</v>
      </c>
    </row>
    <row r="74" spans="1:1" x14ac:dyDescent="0.25">
      <c r="A74">
        <f t="shared" si="1"/>
        <v>73</v>
      </c>
    </row>
    <row r="75" spans="1:1" x14ac:dyDescent="0.25">
      <c r="A75">
        <f t="shared" si="1"/>
        <v>74</v>
      </c>
    </row>
    <row r="76" spans="1:1" x14ac:dyDescent="0.25">
      <c r="A76">
        <f t="shared" si="1"/>
        <v>75</v>
      </c>
    </row>
    <row r="77" spans="1:1" x14ac:dyDescent="0.25">
      <c r="A77">
        <f t="shared" si="1"/>
        <v>76</v>
      </c>
    </row>
    <row r="78" spans="1:1" x14ac:dyDescent="0.25">
      <c r="A78">
        <f t="shared" si="1"/>
        <v>77</v>
      </c>
    </row>
    <row r="79" spans="1:1" x14ac:dyDescent="0.25">
      <c r="A79">
        <f t="shared" si="1"/>
        <v>78</v>
      </c>
    </row>
    <row r="80" spans="1:1" x14ac:dyDescent="0.25">
      <c r="A80">
        <f t="shared" si="1"/>
        <v>79</v>
      </c>
    </row>
    <row r="81" spans="1:1" x14ac:dyDescent="0.25">
      <c r="A81">
        <f t="shared" si="1"/>
        <v>80</v>
      </c>
    </row>
    <row r="82" spans="1:1" x14ac:dyDescent="0.25">
      <c r="A82">
        <f t="shared" si="1"/>
        <v>81</v>
      </c>
    </row>
    <row r="83" spans="1:1" x14ac:dyDescent="0.25">
      <c r="A83">
        <f t="shared" si="1"/>
        <v>82</v>
      </c>
    </row>
    <row r="84" spans="1:1" x14ac:dyDescent="0.25">
      <c r="A84">
        <f t="shared" si="1"/>
        <v>83</v>
      </c>
    </row>
    <row r="85" spans="1:1" x14ac:dyDescent="0.25">
      <c r="A85">
        <f t="shared" si="1"/>
        <v>84</v>
      </c>
    </row>
    <row r="86" spans="1:1" x14ac:dyDescent="0.25">
      <c r="A86">
        <f t="shared" si="1"/>
        <v>85</v>
      </c>
    </row>
    <row r="87" spans="1:1" x14ac:dyDescent="0.25">
      <c r="A87">
        <f t="shared" si="1"/>
        <v>86</v>
      </c>
    </row>
    <row r="88" spans="1:1" x14ac:dyDescent="0.25">
      <c r="A88">
        <f t="shared" si="1"/>
        <v>87</v>
      </c>
    </row>
    <row r="89" spans="1:1" x14ac:dyDescent="0.25">
      <c r="A89">
        <f t="shared" si="1"/>
        <v>88</v>
      </c>
    </row>
    <row r="90" spans="1:1" x14ac:dyDescent="0.25">
      <c r="A90">
        <f t="shared" si="1"/>
        <v>89</v>
      </c>
    </row>
    <row r="91" spans="1:1" x14ac:dyDescent="0.25">
      <c r="A91">
        <f t="shared" si="1"/>
        <v>90</v>
      </c>
    </row>
    <row r="92" spans="1:1" x14ac:dyDescent="0.25">
      <c r="A92">
        <f t="shared" si="1"/>
        <v>91</v>
      </c>
    </row>
    <row r="93" spans="1:1" x14ac:dyDescent="0.25">
      <c r="A93">
        <f t="shared" si="1"/>
        <v>92</v>
      </c>
    </row>
    <row r="94" spans="1:1" x14ac:dyDescent="0.25">
      <c r="A94">
        <f t="shared" si="1"/>
        <v>93</v>
      </c>
    </row>
    <row r="95" spans="1:1" x14ac:dyDescent="0.25">
      <c r="A95">
        <f t="shared" si="1"/>
        <v>94</v>
      </c>
    </row>
    <row r="96" spans="1:1" x14ac:dyDescent="0.25">
      <c r="A96">
        <f t="shared" si="1"/>
        <v>95</v>
      </c>
    </row>
    <row r="97" spans="1:1" x14ac:dyDescent="0.25">
      <c r="A97">
        <f t="shared" si="1"/>
        <v>96</v>
      </c>
    </row>
    <row r="98" spans="1:1" x14ac:dyDescent="0.25">
      <c r="A98">
        <f t="shared" si="1"/>
        <v>97</v>
      </c>
    </row>
    <row r="99" spans="1:1" x14ac:dyDescent="0.25">
      <c r="A99">
        <f t="shared" si="1"/>
        <v>98</v>
      </c>
    </row>
    <row r="100" spans="1:1" x14ac:dyDescent="0.25">
      <c r="A100">
        <f t="shared" si="1"/>
        <v>99</v>
      </c>
    </row>
    <row r="101" spans="1:1" x14ac:dyDescent="0.25">
      <c r="A101">
        <f t="shared" si="1"/>
        <v>100</v>
      </c>
    </row>
    <row r="102" spans="1:1" x14ac:dyDescent="0.25">
      <c r="A102">
        <f t="shared" si="1"/>
        <v>101</v>
      </c>
    </row>
    <row r="103" spans="1:1" x14ac:dyDescent="0.25">
      <c r="A103">
        <f t="shared" si="1"/>
        <v>102</v>
      </c>
    </row>
    <row r="104" spans="1:1" x14ac:dyDescent="0.25">
      <c r="A104">
        <f t="shared" si="1"/>
        <v>103</v>
      </c>
    </row>
    <row r="105" spans="1:1" x14ac:dyDescent="0.25">
      <c r="A105">
        <f t="shared" si="1"/>
        <v>104</v>
      </c>
    </row>
    <row r="106" spans="1:1" x14ac:dyDescent="0.25">
      <c r="A106">
        <f t="shared" si="1"/>
        <v>105</v>
      </c>
    </row>
    <row r="107" spans="1:1" x14ac:dyDescent="0.25">
      <c r="A107">
        <f t="shared" si="1"/>
        <v>106</v>
      </c>
    </row>
    <row r="108" spans="1:1" x14ac:dyDescent="0.25">
      <c r="A108">
        <f t="shared" si="1"/>
        <v>107</v>
      </c>
    </row>
    <row r="109" spans="1:1" x14ac:dyDescent="0.25">
      <c r="A109">
        <f t="shared" si="1"/>
        <v>108</v>
      </c>
    </row>
    <row r="110" spans="1:1" x14ac:dyDescent="0.25">
      <c r="A110">
        <f t="shared" si="1"/>
        <v>109</v>
      </c>
    </row>
    <row r="111" spans="1:1" x14ac:dyDescent="0.25">
      <c r="A111">
        <f t="shared" si="1"/>
        <v>110</v>
      </c>
    </row>
    <row r="112" spans="1:1" x14ac:dyDescent="0.25">
      <c r="A112">
        <f t="shared" si="1"/>
        <v>111</v>
      </c>
    </row>
    <row r="113" spans="1:1" x14ac:dyDescent="0.25">
      <c r="A113">
        <f t="shared" si="1"/>
        <v>112</v>
      </c>
    </row>
    <row r="114" spans="1:1" x14ac:dyDescent="0.25">
      <c r="A114">
        <f t="shared" si="1"/>
        <v>113</v>
      </c>
    </row>
    <row r="115" spans="1:1" x14ac:dyDescent="0.25">
      <c r="A115">
        <f t="shared" si="1"/>
        <v>114</v>
      </c>
    </row>
    <row r="116" spans="1:1" x14ac:dyDescent="0.25">
      <c r="A116">
        <f t="shared" si="1"/>
        <v>115</v>
      </c>
    </row>
    <row r="117" spans="1:1" x14ac:dyDescent="0.25">
      <c r="A117">
        <f t="shared" si="1"/>
        <v>116</v>
      </c>
    </row>
    <row r="118" spans="1:1" x14ac:dyDescent="0.25">
      <c r="A118">
        <f t="shared" si="1"/>
        <v>117</v>
      </c>
    </row>
    <row r="119" spans="1:1" x14ac:dyDescent="0.25">
      <c r="A119">
        <f t="shared" si="1"/>
        <v>118</v>
      </c>
    </row>
    <row r="120" spans="1:1" x14ac:dyDescent="0.25">
      <c r="A120">
        <f t="shared" si="1"/>
        <v>119</v>
      </c>
    </row>
    <row r="121" spans="1:1" x14ac:dyDescent="0.25">
      <c r="A121">
        <f t="shared" si="1"/>
        <v>120</v>
      </c>
    </row>
    <row r="122" spans="1:1" x14ac:dyDescent="0.25">
      <c r="A122">
        <f t="shared" si="1"/>
        <v>121</v>
      </c>
    </row>
    <row r="123" spans="1:1" x14ac:dyDescent="0.25">
      <c r="A123">
        <f t="shared" si="1"/>
        <v>122</v>
      </c>
    </row>
    <row r="124" spans="1:1" x14ac:dyDescent="0.25">
      <c r="A124">
        <f t="shared" si="1"/>
        <v>123</v>
      </c>
    </row>
    <row r="125" spans="1:1" x14ac:dyDescent="0.25">
      <c r="A125">
        <f t="shared" si="1"/>
        <v>124</v>
      </c>
    </row>
    <row r="126" spans="1:1" x14ac:dyDescent="0.25">
      <c r="A126">
        <f t="shared" si="1"/>
        <v>125</v>
      </c>
    </row>
    <row r="127" spans="1:1" x14ac:dyDescent="0.25">
      <c r="A127">
        <f t="shared" si="1"/>
        <v>126</v>
      </c>
    </row>
    <row r="128" spans="1:1" x14ac:dyDescent="0.25">
      <c r="A128">
        <f t="shared" si="1"/>
        <v>127</v>
      </c>
    </row>
    <row r="129" spans="1:1" x14ac:dyDescent="0.25">
      <c r="A129">
        <f t="shared" si="1"/>
        <v>128</v>
      </c>
    </row>
    <row r="130" spans="1:1" x14ac:dyDescent="0.25">
      <c r="A130">
        <f t="shared" si="1"/>
        <v>129</v>
      </c>
    </row>
    <row r="131" spans="1:1" x14ac:dyDescent="0.25">
      <c r="A131">
        <f t="shared" si="1"/>
        <v>130</v>
      </c>
    </row>
    <row r="132" spans="1:1" x14ac:dyDescent="0.25">
      <c r="A132">
        <f t="shared" ref="A132:A195" si="2">A131+1</f>
        <v>131</v>
      </c>
    </row>
    <row r="133" spans="1:1" x14ac:dyDescent="0.25">
      <c r="A133">
        <f t="shared" si="2"/>
        <v>132</v>
      </c>
    </row>
    <row r="134" spans="1:1" x14ac:dyDescent="0.25">
      <c r="A134">
        <f t="shared" si="2"/>
        <v>133</v>
      </c>
    </row>
    <row r="135" spans="1:1" x14ac:dyDescent="0.25">
      <c r="A135">
        <f t="shared" si="2"/>
        <v>134</v>
      </c>
    </row>
    <row r="136" spans="1:1" x14ac:dyDescent="0.25">
      <c r="A136">
        <f t="shared" si="2"/>
        <v>135</v>
      </c>
    </row>
    <row r="137" spans="1:1" x14ac:dyDescent="0.25">
      <c r="A137">
        <f t="shared" si="2"/>
        <v>136</v>
      </c>
    </row>
    <row r="138" spans="1:1" x14ac:dyDescent="0.25">
      <c r="A138">
        <f t="shared" si="2"/>
        <v>137</v>
      </c>
    </row>
    <row r="139" spans="1:1" x14ac:dyDescent="0.25">
      <c r="A139">
        <f t="shared" si="2"/>
        <v>138</v>
      </c>
    </row>
    <row r="140" spans="1:1" x14ac:dyDescent="0.25">
      <c r="A140">
        <f t="shared" si="2"/>
        <v>139</v>
      </c>
    </row>
    <row r="141" spans="1:1" x14ac:dyDescent="0.25">
      <c r="A141">
        <f t="shared" si="2"/>
        <v>140</v>
      </c>
    </row>
    <row r="142" spans="1:1" x14ac:dyDescent="0.25">
      <c r="A142">
        <f t="shared" si="2"/>
        <v>141</v>
      </c>
    </row>
    <row r="143" spans="1:1" x14ac:dyDescent="0.25">
      <c r="A143">
        <f t="shared" si="2"/>
        <v>142</v>
      </c>
    </row>
    <row r="144" spans="1:1" x14ac:dyDescent="0.25">
      <c r="A144">
        <f t="shared" si="2"/>
        <v>143</v>
      </c>
    </row>
    <row r="145" spans="1:1" x14ac:dyDescent="0.25">
      <c r="A145">
        <f t="shared" si="2"/>
        <v>144</v>
      </c>
    </row>
    <row r="146" spans="1:1" x14ac:dyDescent="0.25">
      <c r="A146">
        <f t="shared" si="2"/>
        <v>145</v>
      </c>
    </row>
    <row r="147" spans="1:1" x14ac:dyDescent="0.25">
      <c r="A147">
        <f t="shared" si="2"/>
        <v>146</v>
      </c>
    </row>
    <row r="148" spans="1:1" x14ac:dyDescent="0.25">
      <c r="A148">
        <f t="shared" si="2"/>
        <v>147</v>
      </c>
    </row>
    <row r="149" spans="1:1" x14ac:dyDescent="0.25">
      <c r="A149">
        <f t="shared" si="2"/>
        <v>148</v>
      </c>
    </row>
    <row r="150" spans="1:1" x14ac:dyDescent="0.25">
      <c r="A150">
        <f t="shared" si="2"/>
        <v>149</v>
      </c>
    </row>
    <row r="151" spans="1:1" x14ac:dyDescent="0.25">
      <c r="A151">
        <f t="shared" si="2"/>
        <v>150</v>
      </c>
    </row>
    <row r="152" spans="1:1" x14ac:dyDescent="0.25">
      <c r="A152">
        <f t="shared" si="2"/>
        <v>151</v>
      </c>
    </row>
    <row r="153" spans="1:1" x14ac:dyDescent="0.25">
      <c r="A153">
        <f t="shared" si="2"/>
        <v>152</v>
      </c>
    </row>
    <row r="154" spans="1:1" x14ac:dyDescent="0.25">
      <c r="A154">
        <f t="shared" si="2"/>
        <v>153</v>
      </c>
    </row>
    <row r="155" spans="1:1" x14ac:dyDescent="0.25">
      <c r="A155">
        <f t="shared" si="2"/>
        <v>154</v>
      </c>
    </row>
    <row r="156" spans="1:1" x14ac:dyDescent="0.25">
      <c r="A156">
        <f t="shared" si="2"/>
        <v>155</v>
      </c>
    </row>
    <row r="157" spans="1:1" x14ac:dyDescent="0.25">
      <c r="A157">
        <f t="shared" si="2"/>
        <v>156</v>
      </c>
    </row>
    <row r="158" spans="1:1" x14ac:dyDescent="0.25">
      <c r="A158">
        <f t="shared" si="2"/>
        <v>157</v>
      </c>
    </row>
    <row r="159" spans="1:1" x14ac:dyDescent="0.25">
      <c r="A159">
        <f t="shared" si="2"/>
        <v>158</v>
      </c>
    </row>
    <row r="160" spans="1:1" x14ac:dyDescent="0.25">
      <c r="A160">
        <f t="shared" si="2"/>
        <v>159</v>
      </c>
    </row>
    <row r="161" spans="1:1" x14ac:dyDescent="0.25">
      <c r="A161">
        <f t="shared" si="2"/>
        <v>160</v>
      </c>
    </row>
    <row r="162" spans="1:1" x14ac:dyDescent="0.25">
      <c r="A162">
        <f t="shared" si="2"/>
        <v>161</v>
      </c>
    </row>
    <row r="163" spans="1:1" x14ac:dyDescent="0.25">
      <c r="A163">
        <f t="shared" si="2"/>
        <v>162</v>
      </c>
    </row>
    <row r="164" spans="1:1" x14ac:dyDescent="0.25">
      <c r="A164">
        <f t="shared" si="2"/>
        <v>163</v>
      </c>
    </row>
    <row r="165" spans="1:1" x14ac:dyDescent="0.25">
      <c r="A165">
        <f t="shared" si="2"/>
        <v>164</v>
      </c>
    </row>
    <row r="166" spans="1:1" x14ac:dyDescent="0.25">
      <c r="A166">
        <f t="shared" si="2"/>
        <v>165</v>
      </c>
    </row>
    <row r="167" spans="1:1" x14ac:dyDescent="0.25">
      <c r="A167">
        <f t="shared" si="2"/>
        <v>166</v>
      </c>
    </row>
    <row r="168" spans="1:1" x14ac:dyDescent="0.25">
      <c r="A168">
        <f t="shared" si="2"/>
        <v>167</v>
      </c>
    </row>
    <row r="169" spans="1:1" x14ac:dyDescent="0.25">
      <c r="A169">
        <f t="shared" si="2"/>
        <v>168</v>
      </c>
    </row>
    <row r="170" spans="1:1" x14ac:dyDescent="0.25">
      <c r="A170">
        <f t="shared" si="2"/>
        <v>169</v>
      </c>
    </row>
    <row r="171" spans="1:1" x14ac:dyDescent="0.25">
      <c r="A171">
        <f t="shared" si="2"/>
        <v>170</v>
      </c>
    </row>
    <row r="172" spans="1:1" x14ac:dyDescent="0.25">
      <c r="A172">
        <f t="shared" si="2"/>
        <v>171</v>
      </c>
    </row>
    <row r="173" spans="1:1" x14ac:dyDescent="0.25">
      <c r="A173">
        <f t="shared" si="2"/>
        <v>172</v>
      </c>
    </row>
    <row r="174" spans="1:1" x14ac:dyDescent="0.25">
      <c r="A174">
        <f t="shared" si="2"/>
        <v>173</v>
      </c>
    </row>
    <row r="175" spans="1:1" x14ac:dyDescent="0.25">
      <c r="A175">
        <f t="shared" si="2"/>
        <v>174</v>
      </c>
    </row>
    <row r="176" spans="1:1" x14ac:dyDescent="0.25">
      <c r="A176">
        <f t="shared" si="2"/>
        <v>175</v>
      </c>
    </row>
    <row r="177" spans="1:1" x14ac:dyDescent="0.25">
      <c r="A177">
        <f t="shared" si="2"/>
        <v>176</v>
      </c>
    </row>
    <row r="178" spans="1:1" x14ac:dyDescent="0.25">
      <c r="A178">
        <f t="shared" si="2"/>
        <v>177</v>
      </c>
    </row>
    <row r="179" spans="1:1" x14ac:dyDescent="0.25">
      <c r="A179">
        <f t="shared" si="2"/>
        <v>178</v>
      </c>
    </row>
    <row r="180" spans="1:1" x14ac:dyDescent="0.25">
      <c r="A180">
        <f t="shared" si="2"/>
        <v>179</v>
      </c>
    </row>
    <row r="181" spans="1:1" x14ac:dyDescent="0.25">
      <c r="A181">
        <f t="shared" si="2"/>
        <v>180</v>
      </c>
    </row>
    <row r="182" spans="1:1" x14ac:dyDescent="0.25">
      <c r="A182">
        <f t="shared" si="2"/>
        <v>181</v>
      </c>
    </row>
    <row r="183" spans="1:1" x14ac:dyDescent="0.25">
      <c r="A183">
        <f t="shared" si="2"/>
        <v>182</v>
      </c>
    </row>
    <row r="184" spans="1:1" x14ac:dyDescent="0.25">
      <c r="A184">
        <f t="shared" si="2"/>
        <v>183</v>
      </c>
    </row>
    <row r="185" spans="1:1" x14ac:dyDescent="0.25">
      <c r="A185">
        <f t="shared" si="2"/>
        <v>184</v>
      </c>
    </row>
    <row r="186" spans="1:1" x14ac:dyDescent="0.25">
      <c r="A186">
        <f t="shared" si="2"/>
        <v>185</v>
      </c>
    </row>
    <row r="187" spans="1:1" x14ac:dyDescent="0.25">
      <c r="A187">
        <f t="shared" si="2"/>
        <v>186</v>
      </c>
    </row>
    <row r="188" spans="1:1" x14ac:dyDescent="0.25">
      <c r="A188">
        <f t="shared" si="2"/>
        <v>187</v>
      </c>
    </row>
    <row r="189" spans="1:1" x14ac:dyDescent="0.25">
      <c r="A189">
        <f t="shared" si="2"/>
        <v>188</v>
      </c>
    </row>
    <row r="190" spans="1:1" x14ac:dyDescent="0.25">
      <c r="A190">
        <f t="shared" si="2"/>
        <v>189</v>
      </c>
    </row>
    <row r="191" spans="1:1" x14ac:dyDescent="0.25">
      <c r="A191">
        <f t="shared" si="2"/>
        <v>190</v>
      </c>
    </row>
    <row r="192" spans="1:1" x14ac:dyDescent="0.25">
      <c r="A192">
        <f t="shared" si="2"/>
        <v>191</v>
      </c>
    </row>
    <row r="193" spans="1:1" x14ac:dyDescent="0.25">
      <c r="A193">
        <f t="shared" si="2"/>
        <v>192</v>
      </c>
    </row>
    <row r="194" spans="1:1" x14ac:dyDescent="0.25">
      <c r="A194">
        <f t="shared" si="2"/>
        <v>193</v>
      </c>
    </row>
    <row r="195" spans="1:1" x14ac:dyDescent="0.25">
      <c r="A195">
        <f t="shared" si="2"/>
        <v>194</v>
      </c>
    </row>
    <row r="196" spans="1:1" x14ac:dyDescent="0.25">
      <c r="A196">
        <f t="shared" ref="A196:A259" si="3">A195+1</f>
        <v>195</v>
      </c>
    </row>
    <row r="197" spans="1:1" x14ac:dyDescent="0.25">
      <c r="A197">
        <f t="shared" si="3"/>
        <v>196</v>
      </c>
    </row>
    <row r="198" spans="1:1" x14ac:dyDescent="0.25">
      <c r="A198">
        <f t="shared" si="3"/>
        <v>197</v>
      </c>
    </row>
    <row r="199" spans="1:1" x14ac:dyDescent="0.25">
      <c r="A199">
        <f t="shared" si="3"/>
        <v>198</v>
      </c>
    </row>
    <row r="200" spans="1:1" x14ac:dyDescent="0.25">
      <c r="A200">
        <f t="shared" si="3"/>
        <v>199</v>
      </c>
    </row>
    <row r="201" spans="1:1" x14ac:dyDescent="0.25">
      <c r="A201">
        <f t="shared" si="3"/>
        <v>200</v>
      </c>
    </row>
    <row r="202" spans="1:1" x14ac:dyDescent="0.25">
      <c r="A202">
        <f t="shared" si="3"/>
        <v>201</v>
      </c>
    </row>
    <row r="203" spans="1:1" x14ac:dyDescent="0.25">
      <c r="A203">
        <f t="shared" si="3"/>
        <v>202</v>
      </c>
    </row>
    <row r="204" spans="1:1" x14ac:dyDescent="0.25">
      <c r="A204">
        <f t="shared" si="3"/>
        <v>203</v>
      </c>
    </row>
    <row r="205" spans="1:1" x14ac:dyDescent="0.25">
      <c r="A205">
        <f t="shared" si="3"/>
        <v>204</v>
      </c>
    </row>
    <row r="206" spans="1:1" x14ac:dyDescent="0.25">
      <c r="A206">
        <f t="shared" si="3"/>
        <v>205</v>
      </c>
    </row>
    <row r="207" spans="1:1" x14ac:dyDescent="0.25">
      <c r="A207">
        <f t="shared" si="3"/>
        <v>206</v>
      </c>
    </row>
    <row r="208" spans="1:1" x14ac:dyDescent="0.25">
      <c r="A208">
        <f t="shared" si="3"/>
        <v>207</v>
      </c>
    </row>
    <row r="209" spans="1:1" x14ac:dyDescent="0.25">
      <c r="A209">
        <f t="shared" si="3"/>
        <v>208</v>
      </c>
    </row>
    <row r="210" spans="1:1" x14ac:dyDescent="0.25">
      <c r="A210">
        <f t="shared" si="3"/>
        <v>209</v>
      </c>
    </row>
    <row r="211" spans="1:1" x14ac:dyDescent="0.25">
      <c r="A211">
        <f t="shared" si="3"/>
        <v>210</v>
      </c>
    </row>
    <row r="212" spans="1:1" x14ac:dyDescent="0.25">
      <c r="A212">
        <f t="shared" si="3"/>
        <v>211</v>
      </c>
    </row>
    <row r="213" spans="1:1" x14ac:dyDescent="0.25">
      <c r="A213">
        <f t="shared" si="3"/>
        <v>212</v>
      </c>
    </row>
    <row r="214" spans="1:1" x14ac:dyDescent="0.25">
      <c r="A214">
        <f t="shared" si="3"/>
        <v>213</v>
      </c>
    </row>
    <row r="215" spans="1:1" x14ac:dyDescent="0.25">
      <c r="A215">
        <f t="shared" si="3"/>
        <v>214</v>
      </c>
    </row>
    <row r="216" spans="1:1" x14ac:dyDescent="0.25">
      <c r="A216">
        <f t="shared" si="3"/>
        <v>215</v>
      </c>
    </row>
    <row r="217" spans="1:1" x14ac:dyDescent="0.25">
      <c r="A217">
        <f t="shared" si="3"/>
        <v>216</v>
      </c>
    </row>
    <row r="218" spans="1:1" x14ac:dyDescent="0.25">
      <c r="A218">
        <f t="shared" si="3"/>
        <v>217</v>
      </c>
    </row>
    <row r="219" spans="1:1" x14ac:dyDescent="0.25">
      <c r="A219">
        <f t="shared" si="3"/>
        <v>218</v>
      </c>
    </row>
    <row r="220" spans="1:1" x14ac:dyDescent="0.25">
      <c r="A220">
        <f t="shared" si="3"/>
        <v>219</v>
      </c>
    </row>
    <row r="221" spans="1:1" x14ac:dyDescent="0.25">
      <c r="A221">
        <f t="shared" si="3"/>
        <v>220</v>
      </c>
    </row>
    <row r="222" spans="1:1" x14ac:dyDescent="0.25">
      <c r="A222">
        <f t="shared" si="3"/>
        <v>221</v>
      </c>
    </row>
    <row r="223" spans="1:1" x14ac:dyDescent="0.25">
      <c r="A223">
        <f t="shared" si="3"/>
        <v>222</v>
      </c>
    </row>
    <row r="224" spans="1:1" x14ac:dyDescent="0.25">
      <c r="A224">
        <f t="shared" si="3"/>
        <v>223</v>
      </c>
    </row>
    <row r="225" spans="1:1" x14ac:dyDescent="0.25">
      <c r="A225">
        <f t="shared" si="3"/>
        <v>224</v>
      </c>
    </row>
    <row r="226" spans="1:1" x14ac:dyDescent="0.25">
      <c r="A226">
        <f t="shared" si="3"/>
        <v>225</v>
      </c>
    </row>
    <row r="227" spans="1:1" x14ac:dyDescent="0.25">
      <c r="A227">
        <f t="shared" si="3"/>
        <v>226</v>
      </c>
    </row>
    <row r="228" spans="1:1" x14ac:dyDescent="0.25">
      <c r="A228">
        <f t="shared" si="3"/>
        <v>227</v>
      </c>
    </row>
    <row r="229" spans="1:1" x14ac:dyDescent="0.25">
      <c r="A229">
        <f t="shared" si="3"/>
        <v>228</v>
      </c>
    </row>
    <row r="230" spans="1:1" x14ac:dyDescent="0.25">
      <c r="A230">
        <f t="shared" si="3"/>
        <v>229</v>
      </c>
    </row>
    <row r="231" spans="1:1" x14ac:dyDescent="0.25">
      <c r="A231">
        <f t="shared" si="3"/>
        <v>230</v>
      </c>
    </row>
    <row r="232" spans="1:1" x14ac:dyDescent="0.25">
      <c r="A232">
        <f t="shared" si="3"/>
        <v>231</v>
      </c>
    </row>
    <row r="233" spans="1:1" x14ac:dyDescent="0.25">
      <c r="A233">
        <f t="shared" si="3"/>
        <v>232</v>
      </c>
    </row>
    <row r="234" spans="1:1" x14ac:dyDescent="0.25">
      <c r="A234">
        <f t="shared" si="3"/>
        <v>233</v>
      </c>
    </row>
    <row r="235" spans="1:1" x14ac:dyDescent="0.25">
      <c r="A235">
        <f t="shared" si="3"/>
        <v>234</v>
      </c>
    </row>
    <row r="236" spans="1:1" x14ac:dyDescent="0.25">
      <c r="A236">
        <f t="shared" si="3"/>
        <v>235</v>
      </c>
    </row>
    <row r="237" spans="1:1" x14ac:dyDescent="0.25">
      <c r="A237">
        <f t="shared" si="3"/>
        <v>236</v>
      </c>
    </row>
    <row r="238" spans="1:1" x14ac:dyDescent="0.25">
      <c r="A238">
        <f t="shared" si="3"/>
        <v>237</v>
      </c>
    </row>
    <row r="239" spans="1:1" x14ac:dyDescent="0.25">
      <c r="A239">
        <f t="shared" si="3"/>
        <v>238</v>
      </c>
    </row>
    <row r="240" spans="1:1" x14ac:dyDescent="0.25">
      <c r="A240">
        <f t="shared" si="3"/>
        <v>239</v>
      </c>
    </row>
    <row r="241" spans="1:1" x14ac:dyDescent="0.25">
      <c r="A241">
        <f t="shared" si="3"/>
        <v>240</v>
      </c>
    </row>
    <row r="242" spans="1:1" x14ac:dyDescent="0.25">
      <c r="A242">
        <f t="shared" si="3"/>
        <v>241</v>
      </c>
    </row>
    <row r="243" spans="1:1" x14ac:dyDescent="0.25">
      <c r="A243">
        <f t="shared" si="3"/>
        <v>242</v>
      </c>
    </row>
    <row r="244" spans="1:1" x14ac:dyDescent="0.25">
      <c r="A244">
        <f t="shared" si="3"/>
        <v>243</v>
      </c>
    </row>
    <row r="245" spans="1:1" x14ac:dyDescent="0.25">
      <c r="A245">
        <f t="shared" si="3"/>
        <v>244</v>
      </c>
    </row>
    <row r="246" spans="1:1" x14ac:dyDescent="0.25">
      <c r="A246">
        <f t="shared" si="3"/>
        <v>245</v>
      </c>
    </row>
    <row r="247" spans="1:1" x14ac:dyDescent="0.25">
      <c r="A247">
        <f t="shared" si="3"/>
        <v>246</v>
      </c>
    </row>
    <row r="248" spans="1:1" x14ac:dyDescent="0.25">
      <c r="A248">
        <f t="shared" si="3"/>
        <v>247</v>
      </c>
    </row>
    <row r="249" spans="1:1" x14ac:dyDescent="0.25">
      <c r="A249">
        <f t="shared" si="3"/>
        <v>248</v>
      </c>
    </row>
    <row r="250" spans="1:1" x14ac:dyDescent="0.25">
      <c r="A250">
        <f t="shared" si="3"/>
        <v>249</v>
      </c>
    </row>
    <row r="251" spans="1:1" x14ac:dyDescent="0.25">
      <c r="A251">
        <f t="shared" si="3"/>
        <v>250</v>
      </c>
    </row>
    <row r="252" spans="1:1" x14ac:dyDescent="0.25">
      <c r="A252">
        <f t="shared" si="3"/>
        <v>251</v>
      </c>
    </row>
    <row r="253" spans="1:1" x14ac:dyDescent="0.25">
      <c r="A253">
        <f t="shared" si="3"/>
        <v>252</v>
      </c>
    </row>
    <row r="254" spans="1:1" x14ac:dyDescent="0.25">
      <c r="A254">
        <f t="shared" si="3"/>
        <v>253</v>
      </c>
    </row>
    <row r="255" spans="1:1" x14ac:dyDescent="0.25">
      <c r="A255">
        <f t="shared" si="3"/>
        <v>254</v>
      </c>
    </row>
    <row r="256" spans="1:1" x14ac:dyDescent="0.25">
      <c r="A256">
        <f t="shared" si="3"/>
        <v>255</v>
      </c>
    </row>
    <row r="257" spans="1:1" x14ac:dyDescent="0.25">
      <c r="A257">
        <f t="shared" si="3"/>
        <v>256</v>
      </c>
    </row>
    <row r="258" spans="1:1" x14ac:dyDescent="0.25">
      <c r="A258">
        <f t="shared" si="3"/>
        <v>257</v>
      </c>
    </row>
    <row r="259" spans="1:1" x14ac:dyDescent="0.25">
      <c r="A259">
        <f t="shared" si="3"/>
        <v>258</v>
      </c>
    </row>
    <row r="260" spans="1:1" x14ac:dyDescent="0.25">
      <c r="A260">
        <f t="shared" ref="A260:A323" si="4">A259+1</f>
        <v>259</v>
      </c>
    </row>
    <row r="261" spans="1:1" x14ac:dyDescent="0.25">
      <c r="A261">
        <f t="shared" si="4"/>
        <v>260</v>
      </c>
    </row>
    <row r="262" spans="1:1" x14ac:dyDescent="0.25">
      <c r="A262">
        <f t="shared" si="4"/>
        <v>261</v>
      </c>
    </row>
    <row r="263" spans="1:1" x14ac:dyDescent="0.25">
      <c r="A263">
        <f t="shared" si="4"/>
        <v>262</v>
      </c>
    </row>
    <row r="264" spans="1:1" x14ac:dyDescent="0.25">
      <c r="A264">
        <f t="shared" si="4"/>
        <v>263</v>
      </c>
    </row>
    <row r="265" spans="1:1" x14ac:dyDescent="0.25">
      <c r="A265">
        <f t="shared" si="4"/>
        <v>264</v>
      </c>
    </row>
    <row r="266" spans="1:1" x14ac:dyDescent="0.25">
      <c r="A266">
        <f t="shared" si="4"/>
        <v>265</v>
      </c>
    </row>
    <row r="267" spans="1:1" x14ac:dyDescent="0.25">
      <c r="A267">
        <f t="shared" si="4"/>
        <v>266</v>
      </c>
    </row>
    <row r="268" spans="1:1" x14ac:dyDescent="0.25">
      <c r="A268">
        <f t="shared" si="4"/>
        <v>267</v>
      </c>
    </row>
    <row r="269" spans="1:1" x14ac:dyDescent="0.25">
      <c r="A269">
        <f t="shared" si="4"/>
        <v>268</v>
      </c>
    </row>
    <row r="270" spans="1:1" x14ac:dyDescent="0.25">
      <c r="A270">
        <f t="shared" si="4"/>
        <v>269</v>
      </c>
    </row>
    <row r="271" spans="1:1" x14ac:dyDescent="0.25">
      <c r="A271">
        <f t="shared" si="4"/>
        <v>270</v>
      </c>
    </row>
    <row r="272" spans="1:1" x14ac:dyDescent="0.25">
      <c r="A272">
        <f t="shared" si="4"/>
        <v>271</v>
      </c>
    </row>
    <row r="273" spans="1:1" x14ac:dyDescent="0.25">
      <c r="A273">
        <f t="shared" si="4"/>
        <v>272</v>
      </c>
    </row>
    <row r="274" spans="1:1" x14ac:dyDescent="0.25">
      <c r="A274">
        <f t="shared" si="4"/>
        <v>273</v>
      </c>
    </row>
    <row r="275" spans="1:1" x14ac:dyDescent="0.25">
      <c r="A275">
        <f t="shared" si="4"/>
        <v>274</v>
      </c>
    </row>
    <row r="276" spans="1:1" x14ac:dyDescent="0.25">
      <c r="A276">
        <f t="shared" si="4"/>
        <v>275</v>
      </c>
    </row>
    <row r="277" spans="1:1" x14ac:dyDescent="0.25">
      <c r="A277">
        <f t="shared" si="4"/>
        <v>276</v>
      </c>
    </row>
    <row r="278" spans="1:1" x14ac:dyDescent="0.25">
      <c r="A278">
        <f t="shared" si="4"/>
        <v>277</v>
      </c>
    </row>
    <row r="279" spans="1:1" x14ac:dyDescent="0.25">
      <c r="A279">
        <f t="shared" si="4"/>
        <v>278</v>
      </c>
    </row>
    <row r="280" spans="1:1" x14ac:dyDescent="0.25">
      <c r="A280">
        <f t="shared" si="4"/>
        <v>279</v>
      </c>
    </row>
    <row r="281" spans="1:1" x14ac:dyDescent="0.25">
      <c r="A281">
        <f t="shared" si="4"/>
        <v>280</v>
      </c>
    </row>
    <row r="282" spans="1:1" x14ac:dyDescent="0.25">
      <c r="A282">
        <f t="shared" si="4"/>
        <v>281</v>
      </c>
    </row>
    <row r="283" spans="1:1" x14ac:dyDescent="0.25">
      <c r="A283">
        <f t="shared" si="4"/>
        <v>282</v>
      </c>
    </row>
    <row r="284" spans="1:1" x14ac:dyDescent="0.25">
      <c r="A284">
        <f t="shared" si="4"/>
        <v>283</v>
      </c>
    </row>
    <row r="285" spans="1:1" x14ac:dyDescent="0.25">
      <c r="A285">
        <f t="shared" si="4"/>
        <v>284</v>
      </c>
    </row>
    <row r="286" spans="1:1" x14ac:dyDescent="0.25">
      <c r="A286">
        <f t="shared" si="4"/>
        <v>285</v>
      </c>
    </row>
    <row r="287" spans="1:1" x14ac:dyDescent="0.25">
      <c r="A287">
        <f t="shared" si="4"/>
        <v>286</v>
      </c>
    </row>
    <row r="288" spans="1:1" x14ac:dyDescent="0.25">
      <c r="A288">
        <f t="shared" si="4"/>
        <v>287</v>
      </c>
    </row>
    <row r="289" spans="1:1" x14ac:dyDescent="0.25">
      <c r="A289">
        <f t="shared" si="4"/>
        <v>288</v>
      </c>
    </row>
    <row r="290" spans="1:1" x14ac:dyDescent="0.25">
      <c r="A290">
        <f t="shared" si="4"/>
        <v>289</v>
      </c>
    </row>
    <row r="291" spans="1:1" x14ac:dyDescent="0.25">
      <c r="A291">
        <f t="shared" si="4"/>
        <v>290</v>
      </c>
    </row>
    <row r="292" spans="1:1" x14ac:dyDescent="0.25">
      <c r="A292">
        <f t="shared" si="4"/>
        <v>291</v>
      </c>
    </row>
    <row r="293" spans="1:1" x14ac:dyDescent="0.25">
      <c r="A293">
        <f t="shared" si="4"/>
        <v>292</v>
      </c>
    </row>
    <row r="294" spans="1:1" x14ac:dyDescent="0.25">
      <c r="A294">
        <f t="shared" si="4"/>
        <v>293</v>
      </c>
    </row>
    <row r="295" spans="1:1" x14ac:dyDescent="0.25">
      <c r="A295">
        <f t="shared" si="4"/>
        <v>294</v>
      </c>
    </row>
    <row r="296" spans="1:1" x14ac:dyDescent="0.25">
      <c r="A296">
        <f t="shared" si="4"/>
        <v>295</v>
      </c>
    </row>
    <row r="297" spans="1:1" x14ac:dyDescent="0.25">
      <c r="A297">
        <f t="shared" si="4"/>
        <v>296</v>
      </c>
    </row>
    <row r="298" spans="1:1" x14ac:dyDescent="0.25">
      <c r="A298">
        <f t="shared" si="4"/>
        <v>297</v>
      </c>
    </row>
    <row r="299" spans="1:1" x14ac:dyDescent="0.25">
      <c r="A299">
        <f t="shared" si="4"/>
        <v>298</v>
      </c>
    </row>
    <row r="300" spans="1:1" x14ac:dyDescent="0.25">
      <c r="A300">
        <f t="shared" si="4"/>
        <v>299</v>
      </c>
    </row>
    <row r="301" spans="1:1" x14ac:dyDescent="0.25">
      <c r="A301">
        <f t="shared" si="4"/>
        <v>300</v>
      </c>
    </row>
    <row r="302" spans="1:1" x14ac:dyDescent="0.25">
      <c r="A302">
        <f t="shared" si="4"/>
        <v>301</v>
      </c>
    </row>
    <row r="303" spans="1:1" x14ac:dyDescent="0.25">
      <c r="A303">
        <f t="shared" si="4"/>
        <v>302</v>
      </c>
    </row>
    <row r="304" spans="1:1" x14ac:dyDescent="0.25">
      <c r="A304">
        <f t="shared" si="4"/>
        <v>303</v>
      </c>
    </row>
    <row r="305" spans="1:1" x14ac:dyDescent="0.25">
      <c r="A305">
        <f t="shared" si="4"/>
        <v>304</v>
      </c>
    </row>
    <row r="306" spans="1:1" x14ac:dyDescent="0.25">
      <c r="A306">
        <f t="shared" si="4"/>
        <v>305</v>
      </c>
    </row>
    <row r="307" spans="1:1" x14ac:dyDescent="0.25">
      <c r="A307">
        <f t="shared" si="4"/>
        <v>306</v>
      </c>
    </row>
    <row r="308" spans="1:1" x14ac:dyDescent="0.25">
      <c r="A308">
        <f t="shared" si="4"/>
        <v>307</v>
      </c>
    </row>
    <row r="309" spans="1:1" x14ac:dyDescent="0.25">
      <c r="A309">
        <f t="shared" si="4"/>
        <v>308</v>
      </c>
    </row>
    <row r="310" spans="1:1" x14ac:dyDescent="0.25">
      <c r="A310">
        <f t="shared" si="4"/>
        <v>309</v>
      </c>
    </row>
    <row r="311" spans="1:1" x14ac:dyDescent="0.25">
      <c r="A311">
        <f t="shared" si="4"/>
        <v>310</v>
      </c>
    </row>
    <row r="312" spans="1:1" x14ac:dyDescent="0.25">
      <c r="A312">
        <f t="shared" si="4"/>
        <v>311</v>
      </c>
    </row>
    <row r="313" spans="1:1" x14ac:dyDescent="0.25">
      <c r="A313">
        <f t="shared" si="4"/>
        <v>312</v>
      </c>
    </row>
    <row r="314" spans="1:1" x14ac:dyDescent="0.25">
      <c r="A314">
        <f t="shared" si="4"/>
        <v>313</v>
      </c>
    </row>
    <row r="315" spans="1:1" x14ac:dyDescent="0.25">
      <c r="A315">
        <f t="shared" si="4"/>
        <v>314</v>
      </c>
    </row>
    <row r="316" spans="1:1" x14ac:dyDescent="0.25">
      <c r="A316">
        <f t="shared" si="4"/>
        <v>315</v>
      </c>
    </row>
    <row r="317" spans="1:1" x14ac:dyDescent="0.25">
      <c r="A317">
        <f t="shared" si="4"/>
        <v>316</v>
      </c>
    </row>
    <row r="318" spans="1:1" x14ac:dyDescent="0.25">
      <c r="A318">
        <f t="shared" si="4"/>
        <v>317</v>
      </c>
    </row>
    <row r="319" spans="1:1" x14ac:dyDescent="0.25">
      <c r="A319">
        <f t="shared" si="4"/>
        <v>318</v>
      </c>
    </row>
    <row r="320" spans="1:1" x14ac:dyDescent="0.25">
      <c r="A320">
        <f t="shared" si="4"/>
        <v>319</v>
      </c>
    </row>
    <row r="321" spans="1:1" x14ac:dyDescent="0.25">
      <c r="A321">
        <f t="shared" si="4"/>
        <v>320</v>
      </c>
    </row>
    <row r="322" spans="1:1" x14ac:dyDescent="0.25">
      <c r="A322">
        <f t="shared" si="4"/>
        <v>321</v>
      </c>
    </row>
    <row r="323" spans="1:1" x14ac:dyDescent="0.25">
      <c r="A323">
        <f t="shared" si="4"/>
        <v>322</v>
      </c>
    </row>
    <row r="324" spans="1:1" x14ac:dyDescent="0.25">
      <c r="A324">
        <f t="shared" ref="A324:A387" si="5">A323+1</f>
        <v>323</v>
      </c>
    </row>
    <row r="325" spans="1:1" x14ac:dyDescent="0.25">
      <c r="A325">
        <f t="shared" si="5"/>
        <v>324</v>
      </c>
    </row>
    <row r="326" spans="1:1" x14ac:dyDescent="0.25">
      <c r="A326">
        <f t="shared" si="5"/>
        <v>325</v>
      </c>
    </row>
    <row r="327" spans="1:1" x14ac:dyDescent="0.25">
      <c r="A327">
        <f t="shared" si="5"/>
        <v>326</v>
      </c>
    </row>
    <row r="328" spans="1:1" x14ac:dyDescent="0.25">
      <c r="A328">
        <f t="shared" si="5"/>
        <v>327</v>
      </c>
    </row>
    <row r="329" spans="1:1" x14ac:dyDescent="0.25">
      <c r="A329">
        <f t="shared" si="5"/>
        <v>328</v>
      </c>
    </row>
    <row r="330" spans="1:1" x14ac:dyDescent="0.25">
      <c r="A330">
        <f t="shared" si="5"/>
        <v>329</v>
      </c>
    </row>
    <row r="331" spans="1:1" x14ac:dyDescent="0.25">
      <c r="A331">
        <f t="shared" si="5"/>
        <v>330</v>
      </c>
    </row>
    <row r="332" spans="1:1" x14ac:dyDescent="0.25">
      <c r="A332">
        <f t="shared" si="5"/>
        <v>331</v>
      </c>
    </row>
    <row r="333" spans="1:1" x14ac:dyDescent="0.25">
      <c r="A333">
        <f t="shared" si="5"/>
        <v>332</v>
      </c>
    </row>
    <row r="334" spans="1:1" x14ac:dyDescent="0.25">
      <c r="A334">
        <f t="shared" si="5"/>
        <v>333</v>
      </c>
    </row>
    <row r="335" spans="1:1" x14ac:dyDescent="0.25">
      <c r="A335">
        <f t="shared" si="5"/>
        <v>334</v>
      </c>
    </row>
    <row r="336" spans="1:1" x14ac:dyDescent="0.25">
      <c r="A336">
        <f t="shared" si="5"/>
        <v>335</v>
      </c>
    </row>
    <row r="337" spans="1:1" x14ac:dyDescent="0.25">
      <c r="A337">
        <f t="shared" si="5"/>
        <v>336</v>
      </c>
    </row>
    <row r="338" spans="1:1" x14ac:dyDescent="0.25">
      <c r="A338">
        <f t="shared" si="5"/>
        <v>337</v>
      </c>
    </row>
    <row r="339" spans="1:1" x14ac:dyDescent="0.25">
      <c r="A339">
        <f t="shared" si="5"/>
        <v>338</v>
      </c>
    </row>
    <row r="340" spans="1:1" x14ac:dyDescent="0.25">
      <c r="A340">
        <f t="shared" si="5"/>
        <v>339</v>
      </c>
    </row>
    <row r="341" spans="1:1" x14ac:dyDescent="0.25">
      <c r="A341">
        <f t="shared" si="5"/>
        <v>340</v>
      </c>
    </row>
    <row r="342" spans="1:1" x14ac:dyDescent="0.25">
      <c r="A342">
        <f t="shared" si="5"/>
        <v>341</v>
      </c>
    </row>
    <row r="343" spans="1:1" x14ac:dyDescent="0.25">
      <c r="A343">
        <f t="shared" si="5"/>
        <v>342</v>
      </c>
    </row>
    <row r="344" spans="1:1" x14ac:dyDescent="0.25">
      <c r="A344">
        <f t="shared" si="5"/>
        <v>343</v>
      </c>
    </row>
    <row r="345" spans="1:1" x14ac:dyDescent="0.25">
      <c r="A345">
        <f t="shared" si="5"/>
        <v>344</v>
      </c>
    </row>
    <row r="346" spans="1:1" x14ac:dyDescent="0.25">
      <c r="A346">
        <f t="shared" si="5"/>
        <v>345</v>
      </c>
    </row>
    <row r="347" spans="1:1" x14ac:dyDescent="0.25">
      <c r="A347">
        <f t="shared" si="5"/>
        <v>346</v>
      </c>
    </row>
    <row r="348" spans="1:1" x14ac:dyDescent="0.25">
      <c r="A348">
        <f t="shared" si="5"/>
        <v>347</v>
      </c>
    </row>
    <row r="349" spans="1:1" x14ac:dyDescent="0.25">
      <c r="A349">
        <f t="shared" si="5"/>
        <v>348</v>
      </c>
    </row>
    <row r="350" spans="1:1" x14ac:dyDescent="0.25">
      <c r="A350">
        <f t="shared" si="5"/>
        <v>349</v>
      </c>
    </row>
    <row r="351" spans="1:1" x14ac:dyDescent="0.25">
      <c r="A351">
        <f t="shared" si="5"/>
        <v>350</v>
      </c>
    </row>
    <row r="352" spans="1:1" x14ac:dyDescent="0.25">
      <c r="A352">
        <f t="shared" si="5"/>
        <v>351</v>
      </c>
    </row>
    <row r="353" spans="1:1" x14ac:dyDescent="0.25">
      <c r="A353">
        <f t="shared" si="5"/>
        <v>352</v>
      </c>
    </row>
    <row r="354" spans="1:1" x14ac:dyDescent="0.25">
      <c r="A354">
        <f t="shared" si="5"/>
        <v>353</v>
      </c>
    </row>
    <row r="355" spans="1:1" x14ac:dyDescent="0.25">
      <c r="A355">
        <f t="shared" si="5"/>
        <v>354</v>
      </c>
    </row>
    <row r="356" spans="1:1" x14ac:dyDescent="0.25">
      <c r="A356">
        <f t="shared" si="5"/>
        <v>355</v>
      </c>
    </row>
    <row r="357" spans="1:1" x14ac:dyDescent="0.25">
      <c r="A357">
        <f t="shared" si="5"/>
        <v>356</v>
      </c>
    </row>
    <row r="358" spans="1:1" x14ac:dyDescent="0.25">
      <c r="A358">
        <f t="shared" si="5"/>
        <v>357</v>
      </c>
    </row>
    <row r="359" spans="1:1" x14ac:dyDescent="0.25">
      <c r="A359">
        <f t="shared" si="5"/>
        <v>358</v>
      </c>
    </row>
    <row r="360" spans="1:1" x14ac:dyDescent="0.25">
      <c r="A360">
        <f t="shared" si="5"/>
        <v>359</v>
      </c>
    </row>
    <row r="361" spans="1:1" x14ac:dyDescent="0.25">
      <c r="A361">
        <f t="shared" si="5"/>
        <v>360</v>
      </c>
    </row>
    <row r="362" spans="1:1" x14ac:dyDescent="0.25">
      <c r="A362">
        <f t="shared" si="5"/>
        <v>361</v>
      </c>
    </row>
    <row r="363" spans="1:1" x14ac:dyDescent="0.25">
      <c r="A363">
        <f t="shared" si="5"/>
        <v>362</v>
      </c>
    </row>
    <row r="364" spans="1:1" x14ac:dyDescent="0.25">
      <c r="A364">
        <f t="shared" si="5"/>
        <v>363</v>
      </c>
    </row>
    <row r="365" spans="1:1" x14ac:dyDescent="0.25">
      <c r="A365">
        <f t="shared" si="5"/>
        <v>364</v>
      </c>
    </row>
    <row r="366" spans="1:1" x14ac:dyDescent="0.25">
      <c r="A366">
        <f t="shared" si="5"/>
        <v>365</v>
      </c>
    </row>
    <row r="367" spans="1:1" x14ac:dyDescent="0.25">
      <c r="A367">
        <f t="shared" si="5"/>
        <v>366</v>
      </c>
    </row>
    <row r="368" spans="1:1" x14ac:dyDescent="0.25">
      <c r="A368">
        <f t="shared" si="5"/>
        <v>367</v>
      </c>
    </row>
    <row r="369" spans="1:1" x14ac:dyDescent="0.25">
      <c r="A369">
        <f t="shared" si="5"/>
        <v>368</v>
      </c>
    </row>
    <row r="370" spans="1:1" x14ac:dyDescent="0.25">
      <c r="A370">
        <f t="shared" si="5"/>
        <v>369</v>
      </c>
    </row>
    <row r="371" spans="1:1" x14ac:dyDescent="0.25">
      <c r="A371">
        <f t="shared" si="5"/>
        <v>370</v>
      </c>
    </row>
    <row r="372" spans="1:1" x14ac:dyDescent="0.25">
      <c r="A372">
        <f t="shared" si="5"/>
        <v>371</v>
      </c>
    </row>
    <row r="373" spans="1:1" x14ac:dyDescent="0.25">
      <c r="A373">
        <f t="shared" si="5"/>
        <v>372</v>
      </c>
    </row>
    <row r="374" spans="1:1" x14ac:dyDescent="0.25">
      <c r="A374">
        <f t="shared" si="5"/>
        <v>373</v>
      </c>
    </row>
    <row r="375" spans="1:1" x14ac:dyDescent="0.25">
      <c r="A375">
        <f t="shared" si="5"/>
        <v>374</v>
      </c>
    </row>
    <row r="376" spans="1:1" x14ac:dyDescent="0.25">
      <c r="A376">
        <f t="shared" si="5"/>
        <v>375</v>
      </c>
    </row>
    <row r="377" spans="1:1" x14ac:dyDescent="0.25">
      <c r="A377">
        <f t="shared" si="5"/>
        <v>376</v>
      </c>
    </row>
    <row r="378" spans="1:1" x14ac:dyDescent="0.25">
      <c r="A378">
        <f t="shared" si="5"/>
        <v>377</v>
      </c>
    </row>
    <row r="379" spans="1:1" x14ac:dyDescent="0.25">
      <c r="A379">
        <f t="shared" si="5"/>
        <v>378</v>
      </c>
    </row>
    <row r="380" spans="1:1" x14ac:dyDescent="0.25">
      <c r="A380">
        <f t="shared" si="5"/>
        <v>379</v>
      </c>
    </row>
    <row r="381" spans="1:1" x14ac:dyDescent="0.25">
      <c r="A381">
        <f t="shared" si="5"/>
        <v>380</v>
      </c>
    </row>
    <row r="382" spans="1:1" x14ac:dyDescent="0.25">
      <c r="A382">
        <f t="shared" si="5"/>
        <v>381</v>
      </c>
    </row>
    <row r="383" spans="1:1" x14ac:dyDescent="0.25">
      <c r="A383">
        <f t="shared" si="5"/>
        <v>382</v>
      </c>
    </row>
    <row r="384" spans="1:1" x14ac:dyDescent="0.25">
      <c r="A384">
        <f t="shared" si="5"/>
        <v>383</v>
      </c>
    </row>
    <row r="385" spans="1:1" x14ac:dyDescent="0.25">
      <c r="A385">
        <f t="shared" si="5"/>
        <v>384</v>
      </c>
    </row>
    <row r="386" spans="1:1" x14ac:dyDescent="0.25">
      <c r="A386">
        <f t="shared" si="5"/>
        <v>385</v>
      </c>
    </row>
    <row r="387" spans="1:1" x14ac:dyDescent="0.25">
      <c r="A387">
        <f t="shared" si="5"/>
        <v>386</v>
      </c>
    </row>
    <row r="388" spans="1:1" x14ac:dyDescent="0.25">
      <c r="A388">
        <f t="shared" ref="A388:A451" si="6">A387+1</f>
        <v>387</v>
      </c>
    </row>
    <row r="389" spans="1:1" x14ac:dyDescent="0.25">
      <c r="A389">
        <f t="shared" si="6"/>
        <v>388</v>
      </c>
    </row>
    <row r="390" spans="1:1" x14ac:dyDescent="0.25">
      <c r="A390">
        <f t="shared" si="6"/>
        <v>389</v>
      </c>
    </row>
    <row r="391" spans="1:1" x14ac:dyDescent="0.25">
      <c r="A391">
        <f t="shared" si="6"/>
        <v>390</v>
      </c>
    </row>
    <row r="392" spans="1:1" x14ac:dyDescent="0.25">
      <c r="A392">
        <f t="shared" si="6"/>
        <v>391</v>
      </c>
    </row>
    <row r="393" spans="1:1" x14ac:dyDescent="0.25">
      <c r="A393">
        <f t="shared" si="6"/>
        <v>392</v>
      </c>
    </row>
    <row r="394" spans="1:1" x14ac:dyDescent="0.25">
      <c r="A394">
        <f t="shared" si="6"/>
        <v>393</v>
      </c>
    </row>
    <row r="395" spans="1:1" x14ac:dyDescent="0.25">
      <c r="A395">
        <f t="shared" si="6"/>
        <v>394</v>
      </c>
    </row>
    <row r="396" spans="1:1" x14ac:dyDescent="0.25">
      <c r="A396">
        <f t="shared" si="6"/>
        <v>395</v>
      </c>
    </row>
    <row r="397" spans="1:1" x14ac:dyDescent="0.25">
      <c r="A397">
        <f t="shared" si="6"/>
        <v>396</v>
      </c>
    </row>
    <row r="398" spans="1:1" x14ac:dyDescent="0.25">
      <c r="A398">
        <f t="shared" si="6"/>
        <v>397</v>
      </c>
    </row>
    <row r="399" spans="1:1" x14ac:dyDescent="0.25">
      <c r="A399">
        <f t="shared" si="6"/>
        <v>398</v>
      </c>
    </row>
    <row r="400" spans="1:1" x14ac:dyDescent="0.25">
      <c r="A400">
        <f t="shared" si="6"/>
        <v>399</v>
      </c>
    </row>
    <row r="401" spans="1:1" x14ac:dyDescent="0.25">
      <c r="A401">
        <f t="shared" si="6"/>
        <v>400</v>
      </c>
    </row>
    <row r="402" spans="1:1" x14ac:dyDescent="0.25">
      <c r="A402">
        <f t="shared" si="6"/>
        <v>401</v>
      </c>
    </row>
    <row r="403" spans="1:1" x14ac:dyDescent="0.25">
      <c r="A403">
        <f t="shared" si="6"/>
        <v>402</v>
      </c>
    </row>
    <row r="404" spans="1:1" x14ac:dyDescent="0.25">
      <c r="A404">
        <f t="shared" si="6"/>
        <v>403</v>
      </c>
    </row>
    <row r="405" spans="1:1" x14ac:dyDescent="0.25">
      <c r="A405">
        <f t="shared" si="6"/>
        <v>404</v>
      </c>
    </row>
    <row r="406" spans="1:1" x14ac:dyDescent="0.25">
      <c r="A406">
        <f t="shared" si="6"/>
        <v>405</v>
      </c>
    </row>
    <row r="407" spans="1:1" x14ac:dyDescent="0.25">
      <c r="A407">
        <f t="shared" si="6"/>
        <v>406</v>
      </c>
    </row>
    <row r="408" spans="1:1" x14ac:dyDescent="0.25">
      <c r="A408">
        <f t="shared" si="6"/>
        <v>407</v>
      </c>
    </row>
    <row r="409" spans="1:1" x14ac:dyDescent="0.25">
      <c r="A409">
        <f t="shared" si="6"/>
        <v>408</v>
      </c>
    </row>
    <row r="410" spans="1:1" x14ac:dyDescent="0.25">
      <c r="A410">
        <f t="shared" si="6"/>
        <v>409</v>
      </c>
    </row>
    <row r="411" spans="1:1" x14ac:dyDescent="0.25">
      <c r="A411">
        <f t="shared" si="6"/>
        <v>410</v>
      </c>
    </row>
    <row r="412" spans="1:1" x14ac:dyDescent="0.25">
      <c r="A412">
        <f t="shared" si="6"/>
        <v>411</v>
      </c>
    </row>
    <row r="413" spans="1:1" x14ac:dyDescent="0.25">
      <c r="A413">
        <f t="shared" si="6"/>
        <v>412</v>
      </c>
    </row>
    <row r="414" spans="1:1" x14ac:dyDescent="0.25">
      <c r="A414">
        <f t="shared" si="6"/>
        <v>413</v>
      </c>
    </row>
    <row r="415" spans="1:1" x14ac:dyDescent="0.25">
      <c r="A415">
        <f t="shared" si="6"/>
        <v>414</v>
      </c>
    </row>
    <row r="416" spans="1:1" x14ac:dyDescent="0.25">
      <c r="A416">
        <f t="shared" si="6"/>
        <v>415</v>
      </c>
    </row>
    <row r="417" spans="1:1" x14ac:dyDescent="0.25">
      <c r="A417">
        <f t="shared" si="6"/>
        <v>416</v>
      </c>
    </row>
    <row r="418" spans="1:1" x14ac:dyDescent="0.25">
      <c r="A418">
        <f t="shared" si="6"/>
        <v>417</v>
      </c>
    </row>
    <row r="419" spans="1:1" x14ac:dyDescent="0.25">
      <c r="A419">
        <f t="shared" si="6"/>
        <v>418</v>
      </c>
    </row>
    <row r="420" spans="1:1" x14ac:dyDescent="0.25">
      <c r="A420">
        <f t="shared" si="6"/>
        <v>419</v>
      </c>
    </row>
    <row r="421" spans="1:1" x14ac:dyDescent="0.25">
      <c r="A421">
        <f t="shared" si="6"/>
        <v>420</v>
      </c>
    </row>
    <row r="422" spans="1:1" x14ac:dyDescent="0.25">
      <c r="A422">
        <f t="shared" si="6"/>
        <v>421</v>
      </c>
    </row>
    <row r="423" spans="1:1" x14ac:dyDescent="0.25">
      <c r="A423">
        <f t="shared" si="6"/>
        <v>422</v>
      </c>
    </row>
    <row r="424" spans="1:1" x14ac:dyDescent="0.25">
      <c r="A424">
        <f t="shared" si="6"/>
        <v>423</v>
      </c>
    </row>
    <row r="425" spans="1:1" x14ac:dyDescent="0.25">
      <c r="A425">
        <f t="shared" si="6"/>
        <v>424</v>
      </c>
    </row>
    <row r="426" spans="1:1" x14ac:dyDescent="0.25">
      <c r="A426">
        <f t="shared" si="6"/>
        <v>425</v>
      </c>
    </row>
    <row r="427" spans="1:1" x14ac:dyDescent="0.25">
      <c r="A427">
        <f t="shared" si="6"/>
        <v>426</v>
      </c>
    </row>
    <row r="428" spans="1:1" x14ac:dyDescent="0.25">
      <c r="A428">
        <f t="shared" si="6"/>
        <v>427</v>
      </c>
    </row>
    <row r="429" spans="1:1" x14ac:dyDescent="0.25">
      <c r="A429">
        <f t="shared" si="6"/>
        <v>428</v>
      </c>
    </row>
    <row r="430" spans="1:1" x14ac:dyDescent="0.25">
      <c r="A430">
        <f t="shared" si="6"/>
        <v>429</v>
      </c>
    </row>
    <row r="431" spans="1:1" x14ac:dyDescent="0.25">
      <c r="A431">
        <f t="shared" si="6"/>
        <v>430</v>
      </c>
    </row>
    <row r="432" spans="1:1" x14ac:dyDescent="0.25">
      <c r="A432">
        <f t="shared" si="6"/>
        <v>431</v>
      </c>
    </row>
    <row r="433" spans="1:1" x14ac:dyDescent="0.25">
      <c r="A433">
        <f t="shared" si="6"/>
        <v>432</v>
      </c>
    </row>
    <row r="434" spans="1:1" x14ac:dyDescent="0.25">
      <c r="A434">
        <f t="shared" si="6"/>
        <v>433</v>
      </c>
    </row>
    <row r="435" spans="1:1" x14ac:dyDescent="0.25">
      <c r="A435">
        <f t="shared" si="6"/>
        <v>434</v>
      </c>
    </row>
    <row r="436" spans="1:1" x14ac:dyDescent="0.25">
      <c r="A436">
        <f t="shared" si="6"/>
        <v>435</v>
      </c>
    </row>
    <row r="437" spans="1:1" x14ac:dyDescent="0.25">
      <c r="A437">
        <f t="shared" si="6"/>
        <v>436</v>
      </c>
    </row>
    <row r="438" spans="1:1" x14ac:dyDescent="0.25">
      <c r="A438">
        <f t="shared" si="6"/>
        <v>437</v>
      </c>
    </row>
    <row r="439" spans="1:1" x14ac:dyDescent="0.25">
      <c r="A439">
        <f t="shared" si="6"/>
        <v>438</v>
      </c>
    </row>
    <row r="440" spans="1:1" x14ac:dyDescent="0.25">
      <c r="A440">
        <f t="shared" si="6"/>
        <v>439</v>
      </c>
    </row>
    <row r="441" spans="1:1" x14ac:dyDescent="0.25">
      <c r="A441">
        <f t="shared" si="6"/>
        <v>440</v>
      </c>
    </row>
    <row r="442" spans="1:1" x14ac:dyDescent="0.25">
      <c r="A442">
        <f t="shared" si="6"/>
        <v>441</v>
      </c>
    </row>
    <row r="443" spans="1:1" x14ac:dyDescent="0.25">
      <c r="A443">
        <f t="shared" si="6"/>
        <v>442</v>
      </c>
    </row>
    <row r="444" spans="1:1" x14ac:dyDescent="0.25">
      <c r="A444">
        <f t="shared" si="6"/>
        <v>443</v>
      </c>
    </row>
    <row r="445" spans="1:1" x14ac:dyDescent="0.25">
      <c r="A445">
        <f t="shared" si="6"/>
        <v>444</v>
      </c>
    </row>
    <row r="446" spans="1:1" x14ac:dyDescent="0.25">
      <c r="A446">
        <f t="shared" si="6"/>
        <v>445</v>
      </c>
    </row>
    <row r="447" spans="1:1" x14ac:dyDescent="0.25">
      <c r="A447">
        <f t="shared" si="6"/>
        <v>446</v>
      </c>
    </row>
    <row r="448" spans="1:1" x14ac:dyDescent="0.25">
      <c r="A448">
        <f t="shared" si="6"/>
        <v>447</v>
      </c>
    </row>
    <row r="449" spans="1:1" x14ac:dyDescent="0.25">
      <c r="A449">
        <f t="shared" si="6"/>
        <v>448</v>
      </c>
    </row>
    <row r="450" spans="1:1" x14ac:dyDescent="0.25">
      <c r="A450">
        <f t="shared" si="6"/>
        <v>449</v>
      </c>
    </row>
    <row r="451" spans="1:1" x14ac:dyDescent="0.25">
      <c r="A451">
        <f t="shared" si="6"/>
        <v>450</v>
      </c>
    </row>
    <row r="452" spans="1:1" x14ac:dyDescent="0.25">
      <c r="A452">
        <f t="shared" ref="A452:A515" si="7">A451+1</f>
        <v>451</v>
      </c>
    </row>
    <row r="453" spans="1:1" x14ac:dyDescent="0.25">
      <c r="A453">
        <f t="shared" si="7"/>
        <v>452</v>
      </c>
    </row>
    <row r="454" spans="1:1" x14ac:dyDescent="0.25">
      <c r="A454">
        <f t="shared" si="7"/>
        <v>453</v>
      </c>
    </row>
    <row r="455" spans="1:1" x14ac:dyDescent="0.25">
      <c r="A455">
        <f t="shared" si="7"/>
        <v>454</v>
      </c>
    </row>
    <row r="456" spans="1:1" x14ac:dyDescent="0.25">
      <c r="A456">
        <f t="shared" si="7"/>
        <v>455</v>
      </c>
    </row>
    <row r="457" spans="1:1" x14ac:dyDescent="0.25">
      <c r="A457">
        <f t="shared" si="7"/>
        <v>456</v>
      </c>
    </row>
    <row r="458" spans="1:1" x14ac:dyDescent="0.25">
      <c r="A458">
        <f t="shared" si="7"/>
        <v>457</v>
      </c>
    </row>
    <row r="459" spans="1:1" x14ac:dyDescent="0.25">
      <c r="A459">
        <f t="shared" si="7"/>
        <v>458</v>
      </c>
    </row>
    <row r="460" spans="1:1" x14ac:dyDescent="0.25">
      <c r="A460">
        <f t="shared" si="7"/>
        <v>459</v>
      </c>
    </row>
    <row r="461" spans="1:1" x14ac:dyDescent="0.25">
      <c r="A461">
        <f t="shared" si="7"/>
        <v>460</v>
      </c>
    </row>
    <row r="462" spans="1:1" x14ac:dyDescent="0.25">
      <c r="A462">
        <f t="shared" si="7"/>
        <v>461</v>
      </c>
    </row>
    <row r="463" spans="1:1" x14ac:dyDescent="0.25">
      <c r="A463">
        <f t="shared" si="7"/>
        <v>462</v>
      </c>
    </row>
    <row r="464" spans="1:1" x14ac:dyDescent="0.25">
      <c r="A464">
        <f t="shared" si="7"/>
        <v>463</v>
      </c>
    </row>
    <row r="465" spans="1:1" x14ac:dyDescent="0.25">
      <c r="A465">
        <f t="shared" si="7"/>
        <v>464</v>
      </c>
    </row>
    <row r="466" spans="1:1" x14ac:dyDescent="0.25">
      <c r="A466">
        <f t="shared" si="7"/>
        <v>465</v>
      </c>
    </row>
    <row r="467" spans="1:1" x14ac:dyDescent="0.25">
      <c r="A467">
        <f t="shared" si="7"/>
        <v>466</v>
      </c>
    </row>
    <row r="468" spans="1:1" x14ac:dyDescent="0.25">
      <c r="A468">
        <f t="shared" si="7"/>
        <v>467</v>
      </c>
    </row>
    <row r="469" spans="1:1" x14ac:dyDescent="0.25">
      <c r="A469">
        <f t="shared" si="7"/>
        <v>468</v>
      </c>
    </row>
    <row r="470" spans="1:1" x14ac:dyDescent="0.25">
      <c r="A470">
        <f t="shared" si="7"/>
        <v>469</v>
      </c>
    </row>
    <row r="471" spans="1:1" x14ac:dyDescent="0.25">
      <c r="A471">
        <f t="shared" si="7"/>
        <v>470</v>
      </c>
    </row>
    <row r="472" spans="1:1" x14ac:dyDescent="0.25">
      <c r="A472">
        <f t="shared" si="7"/>
        <v>471</v>
      </c>
    </row>
    <row r="473" spans="1:1" x14ac:dyDescent="0.25">
      <c r="A473">
        <f t="shared" si="7"/>
        <v>472</v>
      </c>
    </row>
    <row r="474" spans="1:1" x14ac:dyDescent="0.25">
      <c r="A474">
        <f t="shared" si="7"/>
        <v>473</v>
      </c>
    </row>
    <row r="475" spans="1:1" x14ac:dyDescent="0.25">
      <c r="A475">
        <f t="shared" si="7"/>
        <v>474</v>
      </c>
    </row>
    <row r="476" spans="1:1" x14ac:dyDescent="0.25">
      <c r="A476">
        <f t="shared" si="7"/>
        <v>475</v>
      </c>
    </row>
    <row r="477" spans="1:1" x14ac:dyDescent="0.25">
      <c r="A477">
        <f t="shared" si="7"/>
        <v>476</v>
      </c>
    </row>
    <row r="478" spans="1:1" x14ac:dyDescent="0.25">
      <c r="A478">
        <f t="shared" si="7"/>
        <v>477</v>
      </c>
    </row>
    <row r="479" spans="1:1" x14ac:dyDescent="0.25">
      <c r="A479">
        <f t="shared" si="7"/>
        <v>478</v>
      </c>
    </row>
    <row r="480" spans="1:1" x14ac:dyDescent="0.25">
      <c r="A480">
        <f t="shared" si="7"/>
        <v>479</v>
      </c>
    </row>
    <row r="481" spans="1:1" x14ac:dyDescent="0.25">
      <c r="A481">
        <f t="shared" si="7"/>
        <v>480</v>
      </c>
    </row>
    <row r="482" spans="1:1" x14ac:dyDescent="0.25">
      <c r="A482">
        <f t="shared" si="7"/>
        <v>481</v>
      </c>
    </row>
    <row r="483" spans="1:1" x14ac:dyDescent="0.25">
      <c r="A483">
        <f t="shared" si="7"/>
        <v>482</v>
      </c>
    </row>
    <row r="484" spans="1:1" x14ac:dyDescent="0.25">
      <c r="A484">
        <f t="shared" si="7"/>
        <v>483</v>
      </c>
    </row>
    <row r="485" spans="1:1" x14ac:dyDescent="0.25">
      <c r="A485">
        <f t="shared" si="7"/>
        <v>484</v>
      </c>
    </row>
    <row r="486" spans="1:1" x14ac:dyDescent="0.25">
      <c r="A486">
        <f t="shared" si="7"/>
        <v>485</v>
      </c>
    </row>
    <row r="487" spans="1:1" x14ac:dyDescent="0.25">
      <c r="A487">
        <f t="shared" si="7"/>
        <v>486</v>
      </c>
    </row>
    <row r="488" spans="1:1" x14ac:dyDescent="0.25">
      <c r="A488">
        <f t="shared" si="7"/>
        <v>487</v>
      </c>
    </row>
    <row r="489" spans="1:1" x14ac:dyDescent="0.25">
      <c r="A489">
        <f t="shared" si="7"/>
        <v>488</v>
      </c>
    </row>
    <row r="490" spans="1:1" x14ac:dyDescent="0.25">
      <c r="A490">
        <f t="shared" si="7"/>
        <v>489</v>
      </c>
    </row>
    <row r="491" spans="1:1" x14ac:dyDescent="0.25">
      <c r="A491">
        <f t="shared" si="7"/>
        <v>490</v>
      </c>
    </row>
    <row r="492" spans="1:1" x14ac:dyDescent="0.25">
      <c r="A492">
        <f t="shared" si="7"/>
        <v>491</v>
      </c>
    </row>
    <row r="493" spans="1:1" x14ac:dyDescent="0.25">
      <c r="A493">
        <f t="shared" si="7"/>
        <v>492</v>
      </c>
    </row>
    <row r="494" spans="1:1" x14ac:dyDescent="0.25">
      <c r="A494">
        <f t="shared" si="7"/>
        <v>493</v>
      </c>
    </row>
    <row r="495" spans="1:1" x14ac:dyDescent="0.25">
      <c r="A495">
        <f t="shared" si="7"/>
        <v>494</v>
      </c>
    </row>
    <row r="496" spans="1:1" x14ac:dyDescent="0.25">
      <c r="A496">
        <f t="shared" si="7"/>
        <v>495</v>
      </c>
    </row>
    <row r="497" spans="1:1" x14ac:dyDescent="0.25">
      <c r="A497">
        <f t="shared" si="7"/>
        <v>496</v>
      </c>
    </row>
    <row r="498" spans="1:1" x14ac:dyDescent="0.25">
      <c r="A498">
        <f t="shared" si="7"/>
        <v>497</v>
      </c>
    </row>
    <row r="499" spans="1:1" x14ac:dyDescent="0.25">
      <c r="A499">
        <f t="shared" si="7"/>
        <v>498</v>
      </c>
    </row>
    <row r="500" spans="1:1" x14ac:dyDescent="0.25">
      <c r="A500">
        <f t="shared" si="7"/>
        <v>499</v>
      </c>
    </row>
    <row r="501" spans="1:1" x14ac:dyDescent="0.25">
      <c r="A501">
        <f t="shared" si="7"/>
        <v>500</v>
      </c>
    </row>
    <row r="502" spans="1:1" x14ac:dyDescent="0.25">
      <c r="A502">
        <f t="shared" si="7"/>
        <v>501</v>
      </c>
    </row>
    <row r="503" spans="1:1" x14ac:dyDescent="0.25">
      <c r="A503">
        <f t="shared" si="7"/>
        <v>502</v>
      </c>
    </row>
    <row r="504" spans="1:1" x14ac:dyDescent="0.25">
      <c r="A504">
        <f t="shared" si="7"/>
        <v>503</v>
      </c>
    </row>
    <row r="505" spans="1:1" x14ac:dyDescent="0.25">
      <c r="A505">
        <f t="shared" si="7"/>
        <v>504</v>
      </c>
    </row>
    <row r="506" spans="1:1" x14ac:dyDescent="0.25">
      <c r="A506">
        <f t="shared" si="7"/>
        <v>505</v>
      </c>
    </row>
    <row r="507" spans="1:1" x14ac:dyDescent="0.25">
      <c r="A507">
        <f t="shared" si="7"/>
        <v>506</v>
      </c>
    </row>
    <row r="508" spans="1:1" x14ac:dyDescent="0.25">
      <c r="A508">
        <f t="shared" si="7"/>
        <v>507</v>
      </c>
    </row>
    <row r="509" spans="1:1" x14ac:dyDescent="0.25">
      <c r="A509">
        <f t="shared" si="7"/>
        <v>508</v>
      </c>
    </row>
    <row r="510" spans="1:1" x14ac:dyDescent="0.25">
      <c r="A510">
        <f t="shared" si="7"/>
        <v>509</v>
      </c>
    </row>
    <row r="511" spans="1:1" x14ac:dyDescent="0.25">
      <c r="A511">
        <f t="shared" si="7"/>
        <v>510</v>
      </c>
    </row>
    <row r="512" spans="1:1" x14ac:dyDescent="0.25">
      <c r="A512">
        <f t="shared" si="7"/>
        <v>511</v>
      </c>
    </row>
    <row r="513" spans="1:1" x14ac:dyDescent="0.25">
      <c r="A513">
        <f t="shared" si="7"/>
        <v>512</v>
      </c>
    </row>
    <row r="514" spans="1:1" x14ac:dyDescent="0.25">
      <c r="A514">
        <f t="shared" si="7"/>
        <v>513</v>
      </c>
    </row>
    <row r="515" spans="1:1" x14ac:dyDescent="0.25">
      <c r="A515">
        <f t="shared" si="7"/>
        <v>514</v>
      </c>
    </row>
    <row r="516" spans="1:1" x14ac:dyDescent="0.25">
      <c r="A516">
        <f t="shared" ref="A516:A579" si="8">A515+1</f>
        <v>515</v>
      </c>
    </row>
    <row r="517" spans="1:1" x14ac:dyDescent="0.25">
      <c r="A517">
        <f t="shared" si="8"/>
        <v>516</v>
      </c>
    </row>
    <row r="518" spans="1:1" x14ac:dyDescent="0.25">
      <c r="A518">
        <f t="shared" si="8"/>
        <v>517</v>
      </c>
    </row>
    <row r="519" spans="1:1" x14ac:dyDescent="0.25">
      <c r="A519">
        <f t="shared" si="8"/>
        <v>518</v>
      </c>
    </row>
    <row r="520" spans="1:1" x14ac:dyDescent="0.25">
      <c r="A520">
        <f t="shared" si="8"/>
        <v>519</v>
      </c>
    </row>
    <row r="521" spans="1:1" x14ac:dyDescent="0.25">
      <c r="A521">
        <f t="shared" si="8"/>
        <v>520</v>
      </c>
    </row>
    <row r="522" spans="1:1" x14ac:dyDescent="0.25">
      <c r="A522">
        <f t="shared" si="8"/>
        <v>521</v>
      </c>
    </row>
    <row r="523" spans="1:1" x14ac:dyDescent="0.25">
      <c r="A523">
        <f t="shared" si="8"/>
        <v>522</v>
      </c>
    </row>
    <row r="524" spans="1:1" x14ac:dyDescent="0.25">
      <c r="A524">
        <f t="shared" si="8"/>
        <v>523</v>
      </c>
    </row>
    <row r="525" spans="1:1" x14ac:dyDescent="0.25">
      <c r="A525">
        <f t="shared" si="8"/>
        <v>524</v>
      </c>
    </row>
    <row r="526" spans="1:1" x14ac:dyDescent="0.25">
      <c r="A526">
        <f t="shared" si="8"/>
        <v>525</v>
      </c>
    </row>
    <row r="527" spans="1:1" x14ac:dyDescent="0.25">
      <c r="A527">
        <f t="shared" si="8"/>
        <v>526</v>
      </c>
    </row>
    <row r="528" spans="1:1" x14ac:dyDescent="0.25">
      <c r="A528">
        <f t="shared" si="8"/>
        <v>527</v>
      </c>
    </row>
    <row r="529" spans="1:1" x14ac:dyDescent="0.25">
      <c r="A529">
        <f t="shared" si="8"/>
        <v>528</v>
      </c>
    </row>
    <row r="530" spans="1:1" x14ac:dyDescent="0.25">
      <c r="A530">
        <f t="shared" si="8"/>
        <v>529</v>
      </c>
    </row>
    <row r="531" spans="1:1" x14ac:dyDescent="0.25">
      <c r="A531">
        <f t="shared" si="8"/>
        <v>530</v>
      </c>
    </row>
    <row r="532" spans="1:1" x14ac:dyDescent="0.25">
      <c r="A532">
        <f t="shared" si="8"/>
        <v>531</v>
      </c>
    </row>
    <row r="533" spans="1:1" x14ac:dyDescent="0.25">
      <c r="A533">
        <f t="shared" si="8"/>
        <v>532</v>
      </c>
    </row>
    <row r="534" spans="1:1" x14ac:dyDescent="0.25">
      <c r="A534">
        <f t="shared" si="8"/>
        <v>533</v>
      </c>
    </row>
    <row r="535" spans="1:1" x14ac:dyDescent="0.25">
      <c r="A535">
        <f t="shared" si="8"/>
        <v>534</v>
      </c>
    </row>
    <row r="536" spans="1:1" x14ac:dyDescent="0.25">
      <c r="A536">
        <f t="shared" si="8"/>
        <v>535</v>
      </c>
    </row>
    <row r="537" spans="1:1" x14ac:dyDescent="0.25">
      <c r="A537">
        <f t="shared" si="8"/>
        <v>536</v>
      </c>
    </row>
    <row r="538" spans="1:1" x14ac:dyDescent="0.25">
      <c r="A538">
        <f t="shared" si="8"/>
        <v>537</v>
      </c>
    </row>
    <row r="539" spans="1:1" x14ac:dyDescent="0.25">
      <c r="A539">
        <f t="shared" si="8"/>
        <v>538</v>
      </c>
    </row>
    <row r="540" spans="1:1" x14ac:dyDescent="0.25">
      <c r="A540">
        <f t="shared" si="8"/>
        <v>539</v>
      </c>
    </row>
    <row r="541" spans="1:1" x14ac:dyDescent="0.25">
      <c r="A541">
        <f t="shared" si="8"/>
        <v>540</v>
      </c>
    </row>
    <row r="542" spans="1:1" x14ac:dyDescent="0.25">
      <c r="A542">
        <f t="shared" si="8"/>
        <v>541</v>
      </c>
    </row>
    <row r="543" spans="1:1" x14ac:dyDescent="0.25">
      <c r="A543">
        <f t="shared" si="8"/>
        <v>542</v>
      </c>
    </row>
    <row r="544" spans="1:1" x14ac:dyDescent="0.25">
      <c r="A544">
        <f t="shared" si="8"/>
        <v>543</v>
      </c>
    </row>
    <row r="545" spans="1:1" x14ac:dyDescent="0.25">
      <c r="A545">
        <f t="shared" si="8"/>
        <v>544</v>
      </c>
    </row>
    <row r="546" spans="1:1" x14ac:dyDescent="0.25">
      <c r="A546">
        <f t="shared" si="8"/>
        <v>545</v>
      </c>
    </row>
    <row r="547" spans="1:1" x14ac:dyDescent="0.25">
      <c r="A547">
        <f t="shared" si="8"/>
        <v>546</v>
      </c>
    </row>
    <row r="548" spans="1:1" x14ac:dyDescent="0.25">
      <c r="A548">
        <f t="shared" si="8"/>
        <v>547</v>
      </c>
    </row>
    <row r="549" spans="1:1" x14ac:dyDescent="0.25">
      <c r="A549">
        <f t="shared" si="8"/>
        <v>548</v>
      </c>
    </row>
    <row r="550" spans="1:1" x14ac:dyDescent="0.25">
      <c r="A550">
        <f t="shared" si="8"/>
        <v>549</v>
      </c>
    </row>
    <row r="551" spans="1:1" x14ac:dyDescent="0.25">
      <c r="A551">
        <f t="shared" si="8"/>
        <v>550</v>
      </c>
    </row>
    <row r="552" spans="1:1" x14ac:dyDescent="0.25">
      <c r="A552">
        <f t="shared" si="8"/>
        <v>551</v>
      </c>
    </row>
    <row r="553" spans="1:1" x14ac:dyDescent="0.25">
      <c r="A553">
        <f t="shared" si="8"/>
        <v>552</v>
      </c>
    </row>
    <row r="554" spans="1:1" x14ac:dyDescent="0.25">
      <c r="A554">
        <f t="shared" si="8"/>
        <v>553</v>
      </c>
    </row>
    <row r="555" spans="1:1" x14ac:dyDescent="0.25">
      <c r="A555">
        <f t="shared" si="8"/>
        <v>554</v>
      </c>
    </row>
    <row r="556" spans="1:1" x14ac:dyDescent="0.25">
      <c r="A556">
        <f t="shared" si="8"/>
        <v>555</v>
      </c>
    </row>
    <row r="557" spans="1:1" x14ac:dyDescent="0.25">
      <c r="A557">
        <f t="shared" si="8"/>
        <v>556</v>
      </c>
    </row>
    <row r="558" spans="1:1" x14ac:dyDescent="0.25">
      <c r="A558">
        <f t="shared" si="8"/>
        <v>557</v>
      </c>
    </row>
    <row r="559" spans="1:1" x14ac:dyDescent="0.25">
      <c r="A559">
        <f t="shared" si="8"/>
        <v>558</v>
      </c>
    </row>
    <row r="560" spans="1:1" x14ac:dyDescent="0.25">
      <c r="A560">
        <f t="shared" si="8"/>
        <v>559</v>
      </c>
    </row>
    <row r="561" spans="1:1" x14ac:dyDescent="0.25">
      <c r="A561">
        <f t="shared" si="8"/>
        <v>560</v>
      </c>
    </row>
    <row r="562" spans="1:1" x14ac:dyDescent="0.25">
      <c r="A562">
        <f t="shared" si="8"/>
        <v>561</v>
      </c>
    </row>
    <row r="563" spans="1:1" x14ac:dyDescent="0.25">
      <c r="A563">
        <f t="shared" si="8"/>
        <v>562</v>
      </c>
    </row>
    <row r="564" spans="1:1" x14ac:dyDescent="0.25">
      <c r="A564">
        <f t="shared" si="8"/>
        <v>563</v>
      </c>
    </row>
    <row r="565" spans="1:1" x14ac:dyDescent="0.25">
      <c r="A565">
        <f t="shared" si="8"/>
        <v>564</v>
      </c>
    </row>
    <row r="566" spans="1:1" x14ac:dyDescent="0.25">
      <c r="A566">
        <f t="shared" si="8"/>
        <v>565</v>
      </c>
    </row>
    <row r="567" spans="1:1" x14ac:dyDescent="0.25">
      <c r="A567">
        <f t="shared" si="8"/>
        <v>566</v>
      </c>
    </row>
    <row r="568" spans="1:1" x14ac:dyDescent="0.25">
      <c r="A568">
        <f t="shared" si="8"/>
        <v>567</v>
      </c>
    </row>
    <row r="569" spans="1:1" x14ac:dyDescent="0.25">
      <c r="A569">
        <f t="shared" si="8"/>
        <v>568</v>
      </c>
    </row>
    <row r="570" spans="1:1" x14ac:dyDescent="0.25">
      <c r="A570">
        <f t="shared" si="8"/>
        <v>569</v>
      </c>
    </row>
    <row r="571" spans="1:1" x14ac:dyDescent="0.25">
      <c r="A571">
        <f t="shared" si="8"/>
        <v>570</v>
      </c>
    </row>
    <row r="572" spans="1:1" x14ac:dyDescent="0.25">
      <c r="A572">
        <f t="shared" si="8"/>
        <v>571</v>
      </c>
    </row>
    <row r="573" spans="1:1" x14ac:dyDescent="0.25">
      <c r="A573">
        <f t="shared" si="8"/>
        <v>572</v>
      </c>
    </row>
    <row r="574" spans="1:1" x14ac:dyDescent="0.25">
      <c r="A574">
        <f t="shared" si="8"/>
        <v>573</v>
      </c>
    </row>
    <row r="575" spans="1:1" x14ac:dyDescent="0.25">
      <c r="A575">
        <f t="shared" si="8"/>
        <v>574</v>
      </c>
    </row>
    <row r="576" spans="1:1" x14ac:dyDescent="0.25">
      <c r="A576">
        <f t="shared" si="8"/>
        <v>575</v>
      </c>
    </row>
    <row r="577" spans="1:1" x14ac:dyDescent="0.25">
      <c r="A577">
        <f t="shared" si="8"/>
        <v>576</v>
      </c>
    </row>
    <row r="578" spans="1:1" x14ac:dyDescent="0.25">
      <c r="A578">
        <f t="shared" si="8"/>
        <v>577</v>
      </c>
    </row>
    <row r="579" spans="1:1" x14ac:dyDescent="0.25">
      <c r="A579">
        <f t="shared" si="8"/>
        <v>578</v>
      </c>
    </row>
    <row r="580" spans="1:1" x14ac:dyDescent="0.25">
      <c r="A580">
        <f t="shared" ref="A580:A643" si="9">A579+1</f>
        <v>579</v>
      </c>
    </row>
    <row r="581" spans="1:1" x14ac:dyDescent="0.25">
      <c r="A581">
        <f t="shared" si="9"/>
        <v>580</v>
      </c>
    </row>
    <row r="582" spans="1:1" x14ac:dyDescent="0.25">
      <c r="A582">
        <f t="shared" si="9"/>
        <v>581</v>
      </c>
    </row>
    <row r="583" spans="1:1" x14ac:dyDescent="0.25">
      <c r="A583">
        <f t="shared" si="9"/>
        <v>582</v>
      </c>
    </row>
    <row r="584" spans="1:1" x14ac:dyDescent="0.25">
      <c r="A584">
        <f t="shared" si="9"/>
        <v>583</v>
      </c>
    </row>
    <row r="585" spans="1:1" x14ac:dyDescent="0.25">
      <c r="A585">
        <f t="shared" si="9"/>
        <v>584</v>
      </c>
    </row>
    <row r="586" spans="1:1" x14ac:dyDescent="0.25">
      <c r="A586">
        <f t="shared" si="9"/>
        <v>585</v>
      </c>
    </row>
    <row r="587" spans="1:1" x14ac:dyDescent="0.25">
      <c r="A587">
        <f t="shared" si="9"/>
        <v>586</v>
      </c>
    </row>
    <row r="588" spans="1:1" x14ac:dyDescent="0.25">
      <c r="A588">
        <f t="shared" si="9"/>
        <v>587</v>
      </c>
    </row>
    <row r="589" spans="1:1" x14ac:dyDescent="0.25">
      <c r="A589">
        <f t="shared" si="9"/>
        <v>588</v>
      </c>
    </row>
    <row r="590" spans="1:1" x14ac:dyDescent="0.25">
      <c r="A590">
        <f t="shared" si="9"/>
        <v>589</v>
      </c>
    </row>
    <row r="591" spans="1:1" x14ac:dyDescent="0.25">
      <c r="A591">
        <f t="shared" si="9"/>
        <v>590</v>
      </c>
    </row>
    <row r="592" spans="1:1" x14ac:dyDescent="0.25">
      <c r="A592">
        <f t="shared" si="9"/>
        <v>591</v>
      </c>
    </row>
    <row r="593" spans="1:1" x14ac:dyDescent="0.25">
      <c r="A593">
        <f t="shared" si="9"/>
        <v>592</v>
      </c>
    </row>
    <row r="594" spans="1:1" x14ac:dyDescent="0.25">
      <c r="A594">
        <f t="shared" si="9"/>
        <v>593</v>
      </c>
    </row>
    <row r="595" spans="1:1" x14ac:dyDescent="0.25">
      <c r="A595">
        <f t="shared" si="9"/>
        <v>594</v>
      </c>
    </row>
    <row r="596" spans="1:1" x14ac:dyDescent="0.25">
      <c r="A596">
        <f t="shared" si="9"/>
        <v>595</v>
      </c>
    </row>
    <row r="597" spans="1:1" x14ac:dyDescent="0.25">
      <c r="A597">
        <f t="shared" si="9"/>
        <v>596</v>
      </c>
    </row>
    <row r="598" spans="1:1" x14ac:dyDescent="0.25">
      <c r="A598">
        <f t="shared" si="9"/>
        <v>597</v>
      </c>
    </row>
    <row r="599" spans="1:1" x14ac:dyDescent="0.25">
      <c r="A599">
        <f t="shared" si="9"/>
        <v>598</v>
      </c>
    </row>
    <row r="600" spans="1:1" x14ac:dyDescent="0.25">
      <c r="A600">
        <f t="shared" si="9"/>
        <v>599</v>
      </c>
    </row>
    <row r="601" spans="1:1" x14ac:dyDescent="0.25">
      <c r="A601">
        <f t="shared" si="9"/>
        <v>600</v>
      </c>
    </row>
    <row r="602" spans="1:1" x14ac:dyDescent="0.25">
      <c r="A602">
        <f t="shared" si="9"/>
        <v>601</v>
      </c>
    </row>
    <row r="603" spans="1:1" x14ac:dyDescent="0.25">
      <c r="A603">
        <f t="shared" si="9"/>
        <v>602</v>
      </c>
    </row>
    <row r="604" spans="1:1" x14ac:dyDescent="0.25">
      <c r="A604">
        <f t="shared" si="9"/>
        <v>603</v>
      </c>
    </row>
    <row r="605" spans="1:1" x14ac:dyDescent="0.25">
      <c r="A605">
        <f t="shared" si="9"/>
        <v>604</v>
      </c>
    </row>
    <row r="606" spans="1:1" x14ac:dyDescent="0.25">
      <c r="A606">
        <f t="shared" si="9"/>
        <v>605</v>
      </c>
    </row>
    <row r="607" spans="1:1" x14ac:dyDescent="0.25">
      <c r="A607">
        <f t="shared" si="9"/>
        <v>606</v>
      </c>
    </row>
    <row r="608" spans="1:1" x14ac:dyDescent="0.25">
      <c r="A608">
        <f t="shared" si="9"/>
        <v>607</v>
      </c>
    </row>
    <row r="609" spans="1:1" x14ac:dyDescent="0.25">
      <c r="A609">
        <f t="shared" si="9"/>
        <v>608</v>
      </c>
    </row>
    <row r="610" spans="1:1" x14ac:dyDescent="0.25">
      <c r="A610">
        <f t="shared" si="9"/>
        <v>609</v>
      </c>
    </row>
    <row r="611" spans="1:1" x14ac:dyDescent="0.25">
      <c r="A611">
        <f t="shared" si="9"/>
        <v>610</v>
      </c>
    </row>
    <row r="612" spans="1:1" x14ac:dyDescent="0.25">
      <c r="A612">
        <f t="shared" si="9"/>
        <v>611</v>
      </c>
    </row>
    <row r="613" spans="1:1" x14ac:dyDescent="0.25">
      <c r="A613">
        <f t="shared" si="9"/>
        <v>612</v>
      </c>
    </row>
    <row r="614" spans="1:1" x14ac:dyDescent="0.25">
      <c r="A614">
        <f t="shared" si="9"/>
        <v>613</v>
      </c>
    </row>
    <row r="615" spans="1:1" x14ac:dyDescent="0.25">
      <c r="A615">
        <f t="shared" si="9"/>
        <v>614</v>
      </c>
    </row>
    <row r="616" spans="1:1" x14ac:dyDescent="0.25">
      <c r="A616">
        <f t="shared" si="9"/>
        <v>615</v>
      </c>
    </row>
    <row r="617" spans="1:1" x14ac:dyDescent="0.25">
      <c r="A617">
        <f t="shared" si="9"/>
        <v>616</v>
      </c>
    </row>
    <row r="618" spans="1:1" x14ac:dyDescent="0.25">
      <c r="A618">
        <f t="shared" si="9"/>
        <v>617</v>
      </c>
    </row>
    <row r="619" spans="1:1" x14ac:dyDescent="0.25">
      <c r="A619">
        <f t="shared" si="9"/>
        <v>618</v>
      </c>
    </row>
    <row r="620" spans="1:1" x14ac:dyDescent="0.25">
      <c r="A620">
        <f t="shared" si="9"/>
        <v>619</v>
      </c>
    </row>
    <row r="621" spans="1:1" x14ac:dyDescent="0.25">
      <c r="A621">
        <f t="shared" si="9"/>
        <v>620</v>
      </c>
    </row>
    <row r="622" spans="1:1" x14ac:dyDescent="0.25">
      <c r="A622">
        <f t="shared" si="9"/>
        <v>621</v>
      </c>
    </row>
    <row r="623" spans="1:1" x14ac:dyDescent="0.25">
      <c r="A623">
        <f t="shared" si="9"/>
        <v>622</v>
      </c>
    </row>
    <row r="624" spans="1:1" x14ac:dyDescent="0.25">
      <c r="A624">
        <f t="shared" si="9"/>
        <v>623</v>
      </c>
    </row>
    <row r="625" spans="1:1" x14ac:dyDescent="0.25">
      <c r="A625">
        <f t="shared" si="9"/>
        <v>624</v>
      </c>
    </row>
    <row r="626" spans="1:1" x14ac:dyDescent="0.25">
      <c r="A626">
        <f t="shared" si="9"/>
        <v>625</v>
      </c>
    </row>
    <row r="627" spans="1:1" x14ac:dyDescent="0.25">
      <c r="A627">
        <f t="shared" si="9"/>
        <v>626</v>
      </c>
    </row>
    <row r="628" spans="1:1" x14ac:dyDescent="0.25">
      <c r="A628">
        <f t="shared" si="9"/>
        <v>627</v>
      </c>
    </row>
    <row r="629" spans="1:1" x14ac:dyDescent="0.25">
      <c r="A629">
        <f t="shared" si="9"/>
        <v>628</v>
      </c>
    </row>
    <row r="630" spans="1:1" x14ac:dyDescent="0.25">
      <c r="A630">
        <f t="shared" si="9"/>
        <v>629</v>
      </c>
    </row>
    <row r="631" spans="1:1" x14ac:dyDescent="0.25">
      <c r="A631">
        <f t="shared" si="9"/>
        <v>630</v>
      </c>
    </row>
    <row r="632" spans="1:1" x14ac:dyDescent="0.25">
      <c r="A632">
        <f t="shared" si="9"/>
        <v>631</v>
      </c>
    </row>
    <row r="633" spans="1:1" x14ac:dyDescent="0.25">
      <c r="A633">
        <f t="shared" si="9"/>
        <v>632</v>
      </c>
    </row>
    <row r="634" spans="1:1" x14ac:dyDescent="0.25">
      <c r="A634">
        <f t="shared" si="9"/>
        <v>633</v>
      </c>
    </row>
    <row r="635" spans="1:1" x14ac:dyDescent="0.25">
      <c r="A635">
        <f t="shared" si="9"/>
        <v>634</v>
      </c>
    </row>
    <row r="636" spans="1:1" x14ac:dyDescent="0.25">
      <c r="A636">
        <f t="shared" si="9"/>
        <v>635</v>
      </c>
    </row>
    <row r="637" spans="1:1" x14ac:dyDescent="0.25">
      <c r="A637">
        <f t="shared" si="9"/>
        <v>636</v>
      </c>
    </row>
    <row r="638" spans="1:1" x14ac:dyDescent="0.25">
      <c r="A638">
        <f t="shared" si="9"/>
        <v>637</v>
      </c>
    </row>
    <row r="639" spans="1:1" x14ac:dyDescent="0.25">
      <c r="A639">
        <f t="shared" si="9"/>
        <v>638</v>
      </c>
    </row>
    <row r="640" spans="1:1" x14ac:dyDescent="0.25">
      <c r="A640">
        <f t="shared" si="9"/>
        <v>639</v>
      </c>
    </row>
    <row r="641" spans="1:1" x14ac:dyDescent="0.25">
      <c r="A641">
        <f t="shared" si="9"/>
        <v>640</v>
      </c>
    </row>
    <row r="642" spans="1:1" x14ac:dyDescent="0.25">
      <c r="A642">
        <f t="shared" si="9"/>
        <v>641</v>
      </c>
    </row>
    <row r="643" spans="1:1" x14ac:dyDescent="0.25">
      <c r="A643">
        <f t="shared" si="9"/>
        <v>642</v>
      </c>
    </row>
    <row r="644" spans="1:1" x14ac:dyDescent="0.25">
      <c r="A644">
        <f t="shared" ref="A644:A707" si="10">A643+1</f>
        <v>643</v>
      </c>
    </row>
    <row r="645" spans="1:1" x14ac:dyDescent="0.25">
      <c r="A645">
        <f t="shared" si="10"/>
        <v>644</v>
      </c>
    </row>
    <row r="646" spans="1:1" x14ac:dyDescent="0.25">
      <c r="A646">
        <f t="shared" si="10"/>
        <v>645</v>
      </c>
    </row>
    <row r="647" spans="1:1" x14ac:dyDescent="0.25">
      <c r="A647">
        <f t="shared" si="10"/>
        <v>646</v>
      </c>
    </row>
    <row r="648" spans="1:1" x14ac:dyDescent="0.25">
      <c r="A648">
        <f t="shared" si="10"/>
        <v>647</v>
      </c>
    </row>
    <row r="649" spans="1:1" x14ac:dyDescent="0.25">
      <c r="A649">
        <f t="shared" si="10"/>
        <v>648</v>
      </c>
    </row>
    <row r="650" spans="1:1" x14ac:dyDescent="0.25">
      <c r="A650">
        <f t="shared" si="10"/>
        <v>649</v>
      </c>
    </row>
    <row r="651" spans="1:1" x14ac:dyDescent="0.25">
      <c r="A651">
        <f t="shared" si="10"/>
        <v>650</v>
      </c>
    </row>
    <row r="652" spans="1:1" x14ac:dyDescent="0.25">
      <c r="A652">
        <f t="shared" si="10"/>
        <v>651</v>
      </c>
    </row>
    <row r="653" spans="1:1" x14ac:dyDescent="0.25">
      <c r="A653">
        <f t="shared" si="10"/>
        <v>652</v>
      </c>
    </row>
    <row r="654" spans="1:1" x14ac:dyDescent="0.25">
      <c r="A654">
        <f t="shared" si="10"/>
        <v>653</v>
      </c>
    </row>
    <row r="655" spans="1:1" x14ac:dyDescent="0.25">
      <c r="A655">
        <f t="shared" si="10"/>
        <v>654</v>
      </c>
    </row>
    <row r="656" spans="1:1" x14ac:dyDescent="0.25">
      <c r="A656">
        <f t="shared" si="10"/>
        <v>655</v>
      </c>
    </row>
    <row r="657" spans="1:1" x14ac:dyDescent="0.25">
      <c r="A657">
        <f t="shared" si="10"/>
        <v>656</v>
      </c>
    </row>
    <row r="658" spans="1:1" x14ac:dyDescent="0.25">
      <c r="A658">
        <f t="shared" si="10"/>
        <v>657</v>
      </c>
    </row>
    <row r="659" spans="1:1" x14ac:dyDescent="0.25">
      <c r="A659">
        <f t="shared" si="10"/>
        <v>658</v>
      </c>
    </row>
    <row r="660" spans="1:1" x14ac:dyDescent="0.25">
      <c r="A660">
        <f t="shared" si="10"/>
        <v>659</v>
      </c>
    </row>
    <row r="661" spans="1:1" x14ac:dyDescent="0.25">
      <c r="A661">
        <f t="shared" si="10"/>
        <v>660</v>
      </c>
    </row>
    <row r="662" spans="1:1" x14ac:dyDescent="0.25">
      <c r="A662">
        <f t="shared" si="10"/>
        <v>661</v>
      </c>
    </row>
    <row r="663" spans="1:1" x14ac:dyDescent="0.25">
      <c r="A663">
        <f t="shared" si="10"/>
        <v>662</v>
      </c>
    </row>
    <row r="664" spans="1:1" x14ac:dyDescent="0.25">
      <c r="A664">
        <f t="shared" si="10"/>
        <v>663</v>
      </c>
    </row>
    <row r="665" spans="1:1" x14ac:dyDescent="0.25">
      <c r="A665">
        <f t="shared" si="10"/>
        <v>664</v>
      </c>
    </row>
    <row r="666" spans="1:1" x14ac:dyDescent="0.25">
      <c r="A666">
        <f t="shared" si="10"/>
        <v>665</v>
      </c>
    </row>
    <row r="667" spans="1:1" x14ac:dyDescent="0.25">
      <c r="A667">
        <f t="shared" si="10"/>
        <v>666</v>
      </c>
    </row>
    <row r="668" spans="1:1" x14ac:dyDescent="0.25">
      <c r="A668">
        <f t="shared" si="10"/>
        <v>667</v>
      </c>
    </row>
    <row r="669" spans="1:1" x14ac:dyDescent="0.25">
      <c r="A669">
        <f t="shared" si="10"/>
        <v>668</v>
      </c>
    </row>
    <row r="670" spans="1:1" x14ac:dyDescent="0.25">
      <c r="A670">
        <f t="shared" si="10"/>
        <v>669</v>
      </c>
    </row>
    <row r="671" spans="1:1" x14ac:dyDescent="0.25">
      <c r="A671">
        <f t="shared" si="10"/>
        <v>670</v>
      </c>
    </row>
    <row r="672" spans="1:1" x14ac:dyDescent="0.25">
      <c r="A672">
        <f t="shared" si="10"/>
        <v>671</v>
      </c>
    </row>
    <row r="673" spans="1:1" x14ac:dyDescent="0.25">
      <c r="A673">
        <f t="shared" si="10"/>
        <v>672</v>
      </c>
    </row>
    <row r="674" spans="1:1" x14ac:dyDescent="0.25">
      <c r="A674">
        <f t="shared" si="10"/>
        <v>673</v>
      </c>
    </row>
    <row r="675" spans="1:1" x14ac:dyDescent="0.25">
      <c r="A675">
        <f t="shared" si="10"/>
        <v>674</v>
      </c>
    </row>
    <row r="676" spans="1:1" x14ac:dyDescent="0.25">
      <c r="A676">
        <f t="shared" si="10"/>
        <v>675</v>
      </c>
    </row>
    <row r="677" spans="1:1" x14ac:dyDescent="0.25">
      <c r="A677">
        <f t="shared" si="10"/>
        <v>676</v>
      </c>
    </row>
    <row r="678" spans="1:1" x14ac:dyDescent="0.25">
      <c r="A678">
        <f t="shared" si="10"/>
        <v>677</v>
      </c>
    </row>
    <row r="679" spans="1:1" x14ac:dyDescent="0.25">
      <c r="A679">
        <f t="shared" si="10"/>
        <v>678</v>
      </c>
    </row>
    <row r="680" spans="1:1" x14ac:dyDescent="0.25">
      <c r="A680">
        <f t="shared" si="10"/>
        <v>679</v>
      </c>
    </row>
    <row r="681" spans="1:1" x14ac:dyDescent="0.25">
      <c r="A681">
        <f t="shared" si="10"/>
        <v>680</v>
      </c>
    </row>
    <row r="682" spans="1:1" x14ac:dyDescent="0.25">
      <c r="A682">
        <f t="shared" si="10"/>
        <v>681</v>
      </c>
    </row>
    <row r="683" spans="1:1" x14ac:dyDescent="0.25">
      <c r="A683">
        <f t="shared" si="10"/>
        <v>682</v>
      </c>
    </row>
    <row r="684" spans="1:1" x14ac:dyDescent="0.25">
      <c r="A684">
        <f t="shared" si="10"/>
        <v>683</v>
      </c>
    </row>
    <row r="685" spans="1:1" x14ac:dyDescent="0.25">
      <c r="A685">
        <f t="shared" si="10"/>
        <v>684</v>
      </c>
    </row>
    <row r="686" spans="1:1" x14ac:dyDescent="0.25">
      <c r="A686">
        <f t="shared" si="10"/>
        <v>685</v>
      </c>
    </row>
    <row r="687" spans="1:1" x14ac:dyDescent="0.25">
      <c r="A687">
        <f t="shared" si="10"/>
        <v>686</v>
      </c>
    </row>
    <row r="688" spans="1:1" x14ac:dyDescent="0.25">
      <c r="A688">
        <f t="shared" si="10"/>
        <v>687</v>
      </c>
    </row>
    <row r="689" spans="1:1" x14ac:dyDescent="0.25">
      <c r="A689">
        <f t="shared" si="10"/>
        <v>688</v>
      </c>
    </row>
    <row r="690" spans="1:1" x14ac:dyDescent="0.25">
      <c r="A690">
        <f t="shared" si="10"/>
        <v>689</v>
      </c>
    </row>
    <row r="691" spans="1:1" x14ac:dyDescent="0.25">
      <c r="A691">
        <f t="shared" si="10"/>
        <v>690</v>
      </c>
    </row>
    <row r="692" spans="1:1" x14ac:dyDescent="0.25">
      <c r="A692">
        <f t="shared" si="10"/>
        <v>691</v>
      </c>
    </row>
    <row r="693" spans="1:1" x14ac:dyDescent="0.25">
      <c r="A693">
        <f t="shared" si="10"/>
        <v>692</v>
      </c>
    </row>
    <row r="694" spans="1:1" x14ac:dyDescent="0.25">
      <c r="A694">
        <f t="shared" si="10"/>
        <v>693</v>
      </c>
    </row>
    <row r="695" spans="1:1" x14ac:dyDescent="0.25">
      <c r="A695">
        <f t="shared" si="10"/>
        <v>694</v>
      </c>
    </row>
    <row r="696" spans="1:1" x14ac:dyDescent="0.25">
      <c r="A696">
        <f t="shared" si="10"/>
        <v>695</v>
      </c>
    </row>
    <row r="697" spans="1:1" x14ac:dyDescent="0.25">
      <c r="A697">
        <f t="shared" si="10"/>
        <v>696</v>
      </c>
    </row>
    <row r="698" spans="1:1" x14ac:dyDescent="0.25">
      <c r="A698">
        <f t="shared" si="10"/>
        <v>697</v>
      </c>
    </row>
    <row r="699" spans="1:1" x14ac:dyDescent="0.25">
      <c r="A699">
        <f t="shared" si="10"/>
        <v>698</v>
      </c>
    </row>
    <row r="700" spans="1:1" x14ac:dyDescent="0.25">
      <c r="A700">
        <f t="shared" si="10"/>
        <v>699</v>
      </c>
    </row>
    <row r="701" spans="1:1" x14ac:dyDescent="0.25">
      <c r="A701">
        <f t="shared" si="10"/>
        <v>700</v>
      </c>
    </row>
    <row r="702" spans="1:1" x14ac:dyDescent="0.25">
      <c r="A702">
        <f t="shared" si="10"/>
        <v>701</v>
      </c>
    </row>
    <row r="703" spans="1:1" x14ac:dyDescent="0.25">
      <c r="A703">
        <f t="shared" si="10"/>
        <v>702</v>
      </c>
    </row>
    <row r="704" spans="1:1" x14ac:dyDescent="0.25">
      <c r="A704">
        <f t="shared" si="10"/>
        <v>703</v>
      </c>
    </row>
    <row r="705" spans="1:1" x14ac:dyDescent="0.25">
      <c r="A705">
        <f t="shared" si="10"/>
        <v>704</v>
      </c>
    </row>
    <row r="706" spans="1:1" x14ac:dyDescent="0.25">
      <c r="A706">
        <f t="shared" si="10"/>
        <v>705</v>
      </c>
    </row>
    <row r="707" spans="1:1" x14ac:dyDescent="0.25">
      <c r="A707">
        <f t="shared" si="10"/>
        <v>706</v>
      </c>
    </row>
    <row r="708" spans="1:1" x14ac:dyDescent="0.25">
      <c r="A708">
        <f t="shared" ref="A708:A771" si="11">A707+1</f>
        <v>707</v>
      </c>
    </row>
    <row r="709" spans="1:1" x14ac:dyDescent="0.25">
      <c r="A709">
        <f t="shared" si="11"/>
        <v>708</v>
      </c>
    </row>
    <row r="710" spans="1:1" x14ac:dyDescent="0.25">
      <c r="A710">
        <f t="shared" si="11"/>
        <v>709</v>
      </c>
    </row>
    <row r="711" spans="1:1" x14ac:dyDescent="0.25">
      <c r="A711">
        <f t="shared" si="11"/>
        <v>710</v>
      </c>
    </row>
    <row r="712" spans="1:1" x14ac:dyDescent="0.25">
      <c r="A712">
        <f t="shared" si="11"/>
        <v>711</v>
      </c>
    </row>
    <row r="713" spans="1:1" x14ac:dyDescent="0.25">
      <c r="A713">
        <f t="shared" si="11"/>
        <v>712</v>
      </c>
    </row>
    <row r="714" spans="1:1" x14ac:dyDescent="0.25">
      <c r="A714">
        <f t="shared" si="11"/>
        <v>713</v>
      </c>
    </row>
    <row r="715" spans="1:1" x14ac:dyDescent="0.25">
      <c r="A715">
        <f t="shared" si="11"/>
        <v>714</v>
      </c>
    </row>
    <row r="716" spans="1:1" x14ac:dyDescent="0.25">
      <c r="A716">
        <f t="shared" si="11"/>
        <v>715</v>
      </c>
    </row>
    <row r="717" spans="1:1" x14ac:dyDescent="0.25">
      <c r="A717">
        <f t="shared" si="11"/>
        <v>716</v>
      </c>
    </row>
    <row r="718" spans="1:1" x14ac:dyDescent="0.25">
      <c r="A718">
        <f t="shared" si="11"/>
        <v>717</v>
      </c>
    </row>
    <row r="719" spans="1:1" x14ac:dyDescent="0.25">
      <c r="A719">
        <f t="shared" si="11"/>
        <v>718</v>
      </c>
    </row>
    <row r="720" spans="1:1" x14ac:dyDescent="0.25">
      <c r="A720">
        <f t="shared" si="11"/>
        <v>719</v>
      </c>
    </row>
    <row r="721" spans="1:1" x14ac:dyDescent="0.25">
      <c r="A721">
        <f t="shared" si="11"/>
        <v>720</v>
      </c>
    </row>
    <row r="722" spans="1:1" x14ac:dyDescent="0.25">
      <c r="A722">
        <f t="shared" si="11"/>
        <v>721</v>
      </c>
    </row>
    <row r="723" spans="1:1" x14ac:dyDescent="0.25">
      <c r="A723">
        <f t="shared" si="11"/>
        <v>722</v>
      </c>
    </row>
    <row r="724" spans="1:1" x14ac:dyDescent="0.25">
      <c r="A724">
        <f t="shared" si="11"/>
        <v>723</v>
      </c>
    </row>
    <row r="725" spans="1:1" x14ac:dyDescent="0.25">
      <c r="A725">
        <f t="shared" si="11"/>
        <v>724</v>
      </c>
    </row>
    <row r="726" spans="1:1" x14ac:dyDescent="0.25">
      <c r="A726">
        <f t="shared" si="11"/>
        <v>725</v>
      </c>
    </row>
    <row r="727" spans="1:1" x14ac:dyDescent="0.25">
      <c r="A727">
        <f t="shared" si="11"/>
        <v>726</v>
      </c>
    </row>
    <row r="728" spans="1:1" x14ac:dyDescent="0.25">
      <c r="A728">
        <f t="shared" si="11"/>
        <v>727</v>
      </c>
    </row>
    <row r="729" spans="1:1" x14ac:dyDescent="0.25">
      <c r="A729">
        <f t="shared" si="11"/>
        <v>728</v>
      </c>
    </row>
    <row r="730" spans="1:1" x14ac:dyDescent="0.25">
      <c r="A730">
        <f t="shared" si="11"/>
        <v>729</v>
      </c>
    </row>
    <row r="731" spans="1:1" x14ac:dyDescent="0.25">
      <c r="A731">
        <f t="shared" si="11"/>
        <v>730</v>
      </c>
    </row>
    <row r="732" spans="1:1" x14ac:dyDescent="0.25">
      <c r="A732">
        <f t="shared" si="11"/>
        <v>731</v>
      </c>
    </row>
    <row r="733" spans="1:1" x14ac:dyDescent="0.25">
      <c r="A733">
        <f t="shared" si="11"/>
        <v>732</v>
      </c>
    </row>
    <row r="734" spans="1:1" x14ac:dyDescent="0.25">
      <c r="A734">
        <f t="shared" si="11"/>
        <v>733</v>
      </c>
    </row>
    <row r="735" spans="1:1" x14ac:dyDescent="0.25">
      <c r="A735">
        <f t="shared" si="11"/>
        <v>734</v>
      </c>
    </row>
    <row r="736" spans="1:1" x14ac:dyDescent="0.25">
      <c r="A736">
        <f t="shared" si="11"/>
        <v>735</v>
      </c>
    </row>
    <row r="737" spans="1:1" x14ac:dyDescent="0.25">
      <c r="A737">
        <f t="shared" si="11"/>
        <v>736</v>
      </c>
    </row>
    <row r="738" spans="1:1" x14ac:dyDescent="0.25">
      <c r="A738">
        <f t="shared" si="11"/>
        <v>737</v>
      </c>
    </row>
    <row r="739" spans="1:1" x14ac:dyDescent="0.25">
      <c r="A739">
        <f t="shared" si="11"/>
        <v>738</v>
      </c>
    </row>
    <row r="740" spans="1:1" x14ac:dyDescent="0.25">
      <c r="A740">
        <f t="shared" si="11"/>
        <v>739</v>
      </c>
    </row>
    <row r="741" spans="1:1" x14ac:dyDescent="0.25">
      <c r="A741">
        <f t="shared" si="11"/>
        <v>740</v>
      </c>
    </row>
    <row r="742" spans="1:1" x14ac:dyDescent="0.25">
      <c r="A742">
        <f t="shared" si="11"/>
        <v>741</v>
      </c>
    </row>
    <row r="743" spans="1:1" x14ac:dyDescent="0.25">
      <c r="A743">
        <f t="shared" si="11"/>
        <v>742</v>
      </c>
    </row>
    <row r="744" spans="1:1" x14ac:dyDescent="0.25">
      <c r="A744">
        <f t="shared" si="11"/>
        <v>743</v>
      </c>
    </row>
    <row r="745" spans="1:1" x14ac:dyDescent="0.25">
      <c r="A745">
        <f t="shared" si="11"/>
        <v>744</v>
      </c>
    </row>
    <row r="746" spans="1:1" x14ac:dyDescent="0.25">
      <c r="A746">
        <f t="shared" si="11"/>
        <v>745</v>
      </c>
    </row>
    <row r="747" spans="1:1" x14ac:dyDescent="0.25">
      <c r="A747">
        <f t="shared" si="11"/>
        <v>746</v>
      </c>
    </row>
    <row r="748" spans="1:1" x14ac:dyDescent="0.25">
      <c r="A748">
        <f t="shared" si="11"/>
        <v>747</v>
      </c>
    </row>
    <row r="749" spans="1:1" x14ac:dyDescent="0.25">
      <c r="A749">
        <f t="shared" si="11"/>
        <v>748</v>
      </c>
    </row>
    <row r="750" spans="1:1" x14ac:dyDescent="0.25">
      <c r="A750">
        <f t="shared" si="11"/>
        <v>749</v>
      </c>
    </row>
    <row r="751" spans="1:1" x14ac:dyDescent="0.25">
      <c r="A751">
        <f t="shared" si="11"/>
        <v>750</v>
      </c>
    </row>
    <row r="752" spans="1:1" x14ac:dyDescent="0.25">
      <c r="A752">
        <f t="shared" si="11"/>
        <v>751</v>
      </c>
    </row>
    <row r="753" spans="1:1" x14ac:dyDescent="0.25">
      <c r="A753">
        <f t="shared" si="11"/>
        <v>752</v>
      </c>
    </row>
    <row r="754" spans="1:1" x14ac:dyDescent="0.25">
      <c r="A754">
        <f t="shared" si="11"/>
        <v>753</v>
      </c>
    </row>
    <row r="755" spans="1:1" x14ac:dyDescent="0.25">
      <c r="A755">
        <f t="shared" si="11"/>
        <v>754</v>
      </c>
    </row>
    <row r="756" spans="1:1" x14ac:dyDescent="0.25">
      <c r="A756">
        <f t="shared" si="11"/>
        <v>755</v>
      </c>
    </row>
    <row r="757" spans="1:1" x14ac:dyDescent="0.25">
      <c r="A757">
        <f t="shared" si="11"/>
        <v>756</v>
      </c>
    </row>
    <row r="758" spans="1:1" x14ac:dyDescent="0.25">
      <c r="A758">
        <f t="shared" si="11"/>
        <v>757</v>
      </c>
    </row>
    <row r="759" spans="1:1" x14ac:dyDescent="0.25">
      <c r="A759">
        <f t="shared" si="11"/>
        <v>758</v>
      </c>
    </row>
    <row r="760" spans="1:1" x14ac:dyDescent="0.25">
      <c r="A760">
        <f t="shared" si="11"/>
        <v>759</v>
      </c>
    </row>
    <row r="761" spans="1:1" x14ac:dyDescent="0.25">
      <c r="A761">
        <f t="shared" si="11"/>
        <v>760</v>
      </c>
    </row>
    <row r="762" spans="1:1" x14ac:dyDescent="0.25">
      <c r="A762">
        <f t="shared" si="11"/>
        <v>761</v>
      </c>
    </row>
    <row r="763" spans="1:1" x14ac:dyDescent="0.25">
      <c r="A763">
        <f t="shared" si="11"/>
        <v>762</v>
      </c>
    </row>
    <row r="764" spans="1:1" x14ac:dyDescent="0.25">
      <c r="A764">
        <f t="shared" si="11"/>
        <v>763</v>
      </c>
    </row>
    <row r="765" spans="1:1" x14ac:dyDescent="0.25">
      <c r="A765">
        <f t="shared" si="11"/>
        <v>764</v>
      </c>
    </row>
    <row r="766" spans="1:1" x14ac:dyDescent="0.25">
      <c r="A766">
        <f t="shared" si="11"/>
        <v>765</v>
      </c>
    </row>
    <row r="767" spans="1:1" x14ac:dyDescent="0.25">
      <c r="A767">
        <f t="shared" si="11"/>
        <v>766</v>
      </c>
    </row>
    <row r="768" spans="1:1" x14ac:dyDescent="0.25">
      <c r="A768">
        <f t="shared" si="11"/>
        <v>767</v>
      </c>
    </row>
    <row r="769" spans="1:1" x14ac:dyDescent="0.25">
      <c r="A769">
        <f t="shared" si="11"/>
        <v>768</v>
      </c>
    </row>
    <row r="770" spans="1:1" x14ac:dyDescent="0.25">
      <c r="A770">
        <f t="shared" si="11"/>
        <v>769</v>
      </c>
    </row>
    <row r="771" spans="1:1" x14ac:dyDescent="0.25">
      <c r="A771">
        <f t="shared" si="11"/>
        <v>770</v>
      </c>
    </row>
    <row r="772" spans="1:1" x14ac:dyDescent="0.25">
      <c r="A772">
        <f t="shared" ref="A772:A835" si="12">A771+1</f>
        <v>771</v>
      </c>
    </row>
    <row r="773" spans="1:1" x14ac:dyDescent="0.25">
      <c r="A773">
        <f t="shared" si="12"/>
        <v>772</v>
      </c>
    </row>
    <row r="774" spans="1:1" x14ac:dyDescent="0.25">
      <c r="A774">
        <f t="shared" si="12"/>
        <v>773</v>
      </c>
    </row>
    <row r="775" spans="1:1" x14ac:dyDescent="0.25">
      <c r="A775">
        <f t="shared" si="12"/>
        <v>774</v>
      </c>
    </row>
    <row r="776" spans="1:1" x14ac:dyDescent="0.25">
      <c r="A776">
        <f t="shared" si="12"/>
        <v>775</v>
      </c>
    </row>
    <row r="777" spans="1:1" x14ac:dyDescent="0.25">
      <c r="A777">
        <f t="shared" si="12"/>
        <v>776</v>
      </c>
    </row>
    <row r="778" spans="1:1" x14ac:dyDescent="0.25">
      <c r="A778">
        <f t="shared" si="12"/>
        <v>777</v>
      </c>
    </row>
    <row r="779" spans="1:1" x14ac:dyDescent="0.25">
      <c r="A779">
        <f t="shared" si="12"/>
        <v>778</v>
      </c>
    </row>
    <row r="780" spans="1:1" x14ac:dyDescent="0.25">
      <c r="A780">
        <f t="shared" si="12"/>
        <v>779</v>
      </c>
    </row>
    <row r="781" spans="1:1" x14ac:dyDescent="0.25">
      <c r="A781">
        <f t="shared" si="12"/>
        <v>780</v>
      </c>
    </row>
    <row r="782" spans="1:1" x14ac:dyDescent="0.25">
      <c r="A782">
        <f t="shared" si="12"/>
        <v>781</v>
      </c>
    </row>
    <row r="783" spans="1:1" x14ac:dyDescent="0.25">
      <c r="A783">
        <f t="shared" si="12"/>
        <v>782</v>
      </c>
    </row>
    <row r="784" spans="1:1" x14ac:dyDescent="0.25">
      <c r="A784">
        <f t="shared" si="12"/>
        <v>783</v>
      </c>
    </row>
    <row r="785" spans="1:1" x14ac:dyDescent="0.25">
      <c r="A785">
        <f t="shared" si="12"/>
        <v>784</v>
      </c>
    </row>
    <row r="786" spans="1:1" x14ac:dyDescent="0.25">
      <c r="A786">
        <f t="shared" si="12"/>
        <v>785</v>
      </c>
    </row>
    <row r="787" spans="1:1" x14ac:dyDescent="0.25">
      <c r="A787">
        <f t="shared" si="12"/>
        <v>786</v>
      </c>
    </row>
    <row r="788" spans="1:1" x14ac:dyDescent="0.25">
      <c r="A788">
        <f t="shared" si="12"/>
        <v>787</v>
      </c>
    </row>
    <row r="789" spans="1:1" x14ac:dyDescent="0.25">
      <c r="A789">
        <f t="shared" si="12"/>
        <v>788</v>
      </c>
    </row>
    <row r="790" spans="1:1" x14ac:dyDescent="0.25">
      <c r="A790">
        <f t="shared" si="12"/>
        <v>789</v>
      </c>
    </row>
    <row r="791" spans="1:1" x14ac:dyDescent="0.25">
      <c r="A791">
        <f t="shared" si="12"/>
        <v>790</v>
      </c>
    </row>
    <row r="792" spans="1:1" x14ac:dyDescent="0.25">
      <c r="A792">
        <f t="shared" si="12"/>
        <v>791</v>
      </c>
    </row>
    <row r="793" spans="1:1" x14ac:dyDescent="0.25">
      <c r="A793">
        <f t="shared" si="12"/>
        <v>792</v>
      </c>
    </row>
    <row r="794" spans="1:1" x14ac:dyDescent="0.25">
      <c r="A794">
        <f t="shared" si="12"/>
        <v>793</v>
      </c>
    </row>
    <row r="795" spans="1:1" x14ac:dyDescent="0.25">
      <c r="A795">
        <f t="shared" si="12"/>
        <v>794</v>
      </c>
    </row>
    <row r="796" spans="1:1" x14ac:dyDescent="0.25">
      <c r="A796">
        <f t="shared" si="12"/>
        <v>795</v>
      </c>
    </row>
    <row r="797" spans="1:1" x14ac:dyDescent="0.25">
      <c r="A797">
        <f t="shared" si="12"/>
        <v>796</v>
      </c>
    </row>
    <row r="798" spans="1:1" x14ac:dyDescent="0.25">
      <c r="A798">
        <f t="shared" si="12"/>
        <v>797</v>
      </c>
    </row>
    <row r="799" spans="1:1" x14ac:dyDescent="0.25">
      <c r="A799">
        <f t="shared" si="12"/>
        <v>798</v>
      </c>
    </row>
    <row r="800" spans="1:1" x14ac:dyDescent="0.25">
      <c r="A800">
        <f t="shared" si="12"/>
        <v>799</v>
      </c>
    </row>
    <row r="801" spans="1:1" x14ac:dyDescent="0.25">
      <c r="A801">
        <f t="shared" si="12"/>
        <v>800</v>
      </c>
    </row>
    <row r="802" spans="1:1" x14ac:dyDescent="0.25">
      <c r="A802">
        <f t="shared" si="12"/>
        <v>801</v>
      </c>
    </row>
    <row r="803" spans="1:1" x14ac:dyDescent="0.25">
      <c r="A803">
        <f t="shared" si="12"/>
        <v>802</v>
      </c>
    </row>
    <row r="804" spans="1:1" x14ac:dyDescent="0.25">
      <c r="A804">
        <f t="shared" si="12"/>
        <v>803</v>
      </c>
    </row>
    <row r="805" spans="1:1" x14ac:dyDescent="0.25">
      <c r="A805">
        <f t="shared" si="12"/>
        <v>804</v>
      </c>
    </row>
    <row r="806" spans="1:1" x14ac:dyDescent="0.25">
      <c r="A806">
        <f t="shared" si="12"/>
        <v>805</v>
      </c>
    </row>
    <row r="807" spans="1:1" x14ac:dyDescent="0.25">
      <c r="A807">
        <f t="shared" si="12"/>
        <v>806</v>
      </c>
    </row>
    <row r="808" spans="1:1" x14ac:dyDescent="0.25">
      <c r="A808">
        <f t="shared" si="12"/>
        <v>807</v>
      </c>
    </row>
    <row r="809" spans="1:1" x14ac:dyDescent="0.25">
      <c r="A809">
        <f t="shared" si="12"/>
        <v>808</v>
      </c>
    </row>
    <row r="810" spans="1:1" x14ac:dyDescent="0.25">
      <c r="A810">
        <f t="shared" si="12"/>
        <v>809</v>
      </c>
    </row>
    <row r="811" spans="1:1" x14ac:dyDescent="0.25">
      <c r="A811">
        <f t="shared" si="12"/>
        <v>810</v>
      </c>
    </row>
    <row r="812" spans="1:1" x14ac:dyDescent="0.25">
      <c r="A812">
        <f t="shared" si="12"/>
        <v>811</v>
      </c>
    </row>
    <row r="813" spans="1:1" x14ac:dyDescent="0.25">
      <c r="A813">
        <f t="shared" si="12"/>
        <v>812</v>
      </c>
    </row>
    <row r="814" spans="1:1" x14ac:dyDescent="0.25">
      <c r="A814">
        <f t="shared" si="12"/>
        <v>813</v>
      </c>
    </row>
    <row r="815" spans="1:1" x14ac:dyDescent="0.25">
      <c r="A815">
        <f t="shared" si="12"/>
        <v>814</v>
      </c>
    </row>
    <row r="816" spans="1:1" x14ac:dyDescent="0.25">
      <c r="A816">
        <f t="shared" si="12"/>
        <v>815</v>
      </c>
    </row>
    <row r="817" spans="1:1" x14ac:dyDescent="0.25">
      <c r="A817">
        <f t="shared" si="12"/>
        <v>816</v>
      </c>
    </row>
    <row r="818" spans="1:1" x14ac:dyDescent="0.25">
      <c r="A818">
        <f t="shared" si="12"/>
        <v>817</v>
      </c>
    </row>
    <row r="819" spans="1:1" x14ac:dyDescent="0.25">
      <c r="A819">
        <f t="shared" si="12"/>
        <v>818</v>
      </c>
    </row>
    <row r="820" spans="1:1" x14ac:dyDescent="0.25">
      <c r="A820">
        <f t="shared" si="12"/>
        <v>819</v>
      </c>
    </row>
    <row r="821" spans="1:1" x14ac:dyDescent="0.25">
      <c r="A821">
        <f t="shared" si="12"/>
        <v>820</v>
      </c>
    </row>
    <row r="822" spans="1:1" x14ac:dyDescent="0.25">
      <c r="A822">
        <f t="shared" si="12"/>
        <v>821</v>
      </c>
    </row>
    <row r="823" spans="1:1" x14ac:dyDescent="0.25">
      <c r="A823">
        <f t="shared" si="12"/>
        <v>822</v>
      </c>
    </row>
    <row r="824" spans="1:1" x14ac:dyDescent="0.25">
      <c r="A824">
        <f t="shared" si="12"/>
        <v>823</v>
      </c>
    </row>
    <row r="825" spans="1:1" x14ac:dyDescent="0.25">
      <c r="A825">
        <f t="shared" si="12"/>
        <v>824</v>
      </c>
    </row>
    <row r="826" spans="1:1" x14ac:dyDescent="0.25">
      <c r="A826">
        <f t="shared" si="12"/>
        <v>825</v>
      </c>
    </row>
    <row r="827" spans="1:1" x14ac:dyDescent="0.25">
      <c r="A827">
        <f t="shared" si="12"/>
        <v>826</v>
      </c>
    </row>
    <row r="828" spans="1:1" x14ac:dyDescent="0.25">
      <c r="A828">
        <f t="shared" si="12"/>
        <v>827</v>
      </c>
    </row>
    <row r="829" spans="1:1" x14ac:dyDescent="0.25">
      <c r="A829">
        <f t="shared" si="12"/>
        <v>828</v>
      </c>
    </row>
    <row r="830" spans="1:1" x14ac:dyDescent="0.25">
      <c r="A830">
        <f t="shared" si="12"/>
        <v>829</v>
      </c>
    </row>
    <row r="831" spans="1:1" x14ac:dyDescent="0.25">
      <c r="A831">
        <f t="shared" si="12"/>
        <v>830</v>
      </c>
    </row>
    <row r="832" spans="1:1" x14ac:dyDescent="0.25">
      <c r="A832">
        <f t="shared" si="12"/>
        <v>831</v>
      </c>
    </row>
    <row r="833" spans="1:1" x14ac:dyDescent="0.25">
      <c r="A833">
        <f t="shared" si="12"/>
        <v>832</v>
      </c>
    </row>
    <row r="834" spans="1:1" x14ac:dyDescent="0.25">
      <c r="A834">
        <f t="shared" si="12"/>
        <v>833</v>
      </c>
    </row>
    <row r="835" spans="1:1" x14ac:dyDescent="0.25">
      <c r="A835">
        <f t="shared" si="12"/>
        <v>834</v>
      </c>
    </row>
    <row r="836" spans="1:1" x14ac:dyDescent="0.25">
      <c r="A836">
        <f t="shared" ref="A836:A899" si="13">A835+1</f>
        <v>835</v>
      </c>
    </row>
    <row r="837" spans="1:1" x14ac:dyDescent="0.25">
      <c r="A837">
        <f t="shared" si="13"/>
        <v>836</v>
      </c>
    </row>
    <row r="838" spans="1:1" x14ac:dyDescent="0.25">
      <c r="A838">
        <f t="shared" si="13"/>
        <v>837</v>
      </c>
    </row>
    <row r="839" spans="1:1" x14ac:dyDescent="0.25">
      <c r="A839">
        <f t="shared" si="13"/>
        <v>838</v>
      </c>
    </row>
    <row r="840" spans="1:1" x14ac:dyDescent="0.25">
      <c r="A840">
        <f t="shared" si="13"/>
        <v>839</v>
      </c>
    </row>
    <row r="841" spans="1:1" x14ac:dyDescent="0.25">
      <c r="A841">
        <f t="shared" si="13"/>
        <v>840</v>
      </c>
    </row>
    <row r="842" spans="1:1" x14ac:dyDescent="0.25">
      <c r="A842">
        <f t="shared" si="13"/>
        <v>841</v>
      </c>
    </row>
    <row r="843" spans="1:1" x14ac:dyDescent="0.25">
      <c r="A843">
        <f t="shared" si="13"/>
        <v>842</v>
      </c>
    </row>
    <row r="844" spans="1:1" x14ac:dyDescent="0.25">
      <c r="A844">
        <f t="shared" si="13"/>
        <v>843</v>
      </c>
    </row>
    <row r="845" spans="1:1" x14ac:dyDescent="0.25">
      <c r="A845">
        <f t="shared" si="13"/>
        <v>844</v>
      </c>
    </row>
    <row r="846" spans="1:1" x14ac:dyDescent="0.25">
      <c r="A846">
        <f t="shared" si="13"/>
        <v>845</v>
      </c>
    </row>
    <row r="847" spans="1:1" x14ac:dyDescent="0.25">
      <c r="A847">
        <f t="shared" si="13"/>
        <v>846</v>
      </c>
    </row>
    <row r="848" spans="1:1" x14ac:dyDescent="0.25">
      <c r="A848">
        <f t="shared" si="13"/>
        <v>847</v>
      </c>
    </row>
    <row r="849" spans="1:1" x14ac:dyDescent="0.25">
      <c r="A849">
        <f t="shared" si="13"/>
        <v>848</v>
      </c>
    </row>
    <row r="850" spans="1:1" x14ac:dyDescent="0.25">
      <c r="A850">
        <f t="shared" si="13"/>
        <v>849</v>
      </c>
    </row>
    <row r="851" spans="1:1" x14ac:dyDescent="0.25">
      <c r="A851">
        <f t="shared" si="13"/>
        <v>850</v>
      </c>
    </row>
    <row r="852" spans="1:1" x14ac:dyDescent="0.25">
      <c r="A852">
        <f t="shared" si="13"/>
        <v>851</v>
      </c>
    </row>
    <row r="853" spans="1:1" x14ac:dyDescent="0.25">
      <c r="A853">
        <f t="shared" si="13"/>
        <v>852</v>
      </c>
    </row>
    <row r="854" spans="1:1" x14ac:dyDescent="0.25">
      <c r="A854">
        <f t="shared" si="13"/>
        <v>853</v>
      </c>
    </row>
    <row r="855" spans="1:1" x14ac:dyDescent="0.25">
      <c r="A855">
        <f t="shared" si="13"/>
        <v>854</v>
      </c>
    </row>
    <row r="856" spans="1:1" x14ac:dyDescent="0.25">
      <c r="A856">
        <f t="shared" si="13"/>
        <v>855</v>
      </c>
    </row>
    <row r="857" spans="1:1" x14ac:dyDescent="0.25">
      <c r="A857">
        <f t="shared" si="13"/>
        <v>856</v>
      </c>
    </row>
    <row r="858" spans="1:1" x14ac:dyDescent="0.25">
      <c r="A858">
        <f t="shared" si="13"/>
        <v>857</v>
      </c>
    </row>
    <row r="859" spans="1:1" x14ac:dyDescent="0.25">
      <c r="A859">
        <f t="shared" si="13"/>
        <v>858</v>
      </c>
    </row>
    <row r="860" spans="1:1" x14ac:dyDescent="0.25">
      <c r="A860">
        <f t="shared" si="13"/>
        <v>859</v>
      </c>
    </row>
    <row r="861" spans="1:1" x14ac:dyDescent="0.25">
      <c r="A861">
        <f t="shared" si="13"/>
        <v>860</v>
      </c>
    </row>
    <row r="862" spans="1:1" x14ac:dyDescent="0.25">
      <c r="A862">
        <f t="shared" si="13"/>
        <v>861</v>
      </c>
    </row>
    <row r="863" spans="1:1" x14ac:dyDescent="0.25">
      <c r="A863">
        <f t="shared" si="13"/>
        <v>862</v>
      </c>
    </row>
    <row r="864" spans="1:1" x14ac:dyDescent="0.25">
      <c r="A864">
        <f t="shared" si="13"/>
        <v>863</v>
      </c>
    </row>
    <row r="865" spans="1:1" x14ac:dyDescent="0.25">
      <c r="A865">
        <f t="shared" si="13"/>
        <v>864</v>
      </c>
    </row>
    <row r="866" spans="1:1" x14ac:dyDescent="0.25">
      <c r="A866">
        <f t="shared" si="13"/>
        <v>865</v>
      </c>
    </row>
    <row r="867" spans="1:1" x14ac:dyDescent="0.25">
      <c r="A867">
        <f t="shared" si="13"/>
        <v>866</v>
      </c>
    </row>
    <row r="868" spans="1:1" x14ac:dyDescent="0.25">
      <c r="A868">
        <f t="shared" si="13"/>
        <v>867</v>
      </c>
    </row>
    <row r="869" spans="1:1" x14ac:dyDescent="0.25">
      <c r="A869">
        <f t="shared" si="13"/>
        <v>868</v>
      </c>
    </row>
    <row r="870" spans="1:1" x14ac:dyDescent="0.25">
      <c r="A870">
        <f t="shared" si="13"/>
        <v>869</v>
      </c>
    </row>
    <row r="871" spans="1:1" x14ac:dyDescent="0.25">
      <c r="A871">
        <f t="shared" si="13"/>
        <v>870</v>
      </c>
    </row>
    <row r="872" spans="1:1" x14ac:dyDescent="0.25">
      <c r="A872">
        <f t="shared" si="13"/>
        <v>871</v>
      </c>
    </row>
    <row r="873" spans="1:1" x14ac:dyDescent="0.25">
      <c r="A873">
        <f t="shared" si="13"/>
        <v>872</v>
      </c>
    </row>
    <row r="874" spans="1:1" x14ac:dyDescent="0.25">
      <c r="A874">
        <f t="shared" si="13"/>
        <v>873</v>
      </c>
    </row>
    <row r="875" spans="1:1" x14ac:dyDescent="0.25">
      <c r="A875">
        <f t="shared" si="13"/>
        <v>874</v>
      </c>
    </row>
    <row r="876" spans="1:1" x14ac:dyDescent="0.25">
      <c r="A876">
        <f t="shared" si="13"/>
        <v>875</v>
      </c>
    </row>
    <row r="877" spans="1:1" x14ac:dyDescent="0.25">
      <c r="A877">
        <f t="shared" si="13"/>
        <v>876</v>
      </c>
    </row>
    <row r="878" spans="1:1" x14ac:dyDescent="0.25">
      <c r="A878">
        <f t="shared" si="13"/>
        <v>877</v>
      </c>
    </row>
    <row r="879" spans="1:1" x14ac:dyDescent="0.25">
      <c r="A879">
        <f t="shared" si="13"/>
        <v>878</v>
      </c>
    </row>
    <row r="880" spans="1:1" x14ac:dyDescent="0.25">
      <c r="A880">
        <f t="shared" si="13"/>
        <v>879</v>
      </c>
    </row>
    <row r="881" spans="1:1" x14ac:dyDescent="0.25">
      <c r="A881">
        <f t="shared" si="13"/>
        <v>880</v>
      </c>
    </row>
    <row r="882" spans="1:1" x14ac:dyDescent="0.25">
      <c r="A882">
        <f t="shared" si="13"/>
        <v>881</v>
      </c>
    </row>
    <row r="883" spans="1:1" x14ac:dyDescent="0.25">
      <c r="A883">
        <f t="shared" si="13"/>
        <v>882</v>
      </c>
    </row>
    <row r="884" spans="1:1" x14ac:dyDescent="0.25">
      <c r="A884">
        <f t="shared" si="13"/>
        <v>883</v>
      </c>
    </row>
    <row r="885" spans="1:1" x14ac:dyDescent="0.25">
      <c r="A885">
        <f t="shared" si="13"/>
        <v>884</v>
      </c>
    </row>
    <row r="886" spans="1:1" x14ac:dyDescent="0.25">
      <c r="A886">
        <f t="shared" si="13"/>
        <v>885</v>
      </c>
    </row>
    <row r="887" spans="1:1" x14ac:dyDescent="0.25">
      <c r="A887">
        <f t="shared" si="13"/>
        <v>886</v>
      </c>
    </row>
    <row r="888" spans="1:1" x14ac:dyDescent="0.25">
      <c r="A888">
        <f t="shared" si="13"/>
        <v>887</v>
      </c>
    </row>
    <row r="889" spans="1:1" x14ac:dyDescent="0.25">
      <c r="A889">
        <f t="shared" si="13"/>
        <v>888</v>
      </c>
    </row>
    <row r="890" spans="1:1" x14ac:dyDescent="0.25">
      <c r="A890">
        <f t="shared" si="13"/>
        <v>889</v>
      </c>
    </row>
    <row r="891" spans="1:1" x14ac:dyDescent="0.25">
      <c r="A891">
        <f t="shared" si="13"/>
        <v>890</v>
      </c>
    </row>
    <row r="892" spans="1:1" x14ac:dyDescent="0.25">
      <c r="A892">
        <f t="shared" si="13"/>
        <v>891</v>
      </c>
    </row>
    <row r="893" spans="1:1" x14ac:dyDescent="0.25">
      <c r="A893">
        <f t="shared" si="13"/>
        <v>892</v>
      </c>
    </row>
    <row r="894" spans="1:1" x14ac:dyDescent="0.25">
      <c r="A894">
        <f t="shared" si="13"/>
        <v>893</v>
      </c>
    </row>
    <row r="895" spans="1:1" x14ac:dyDescent="0.25">
      <c r="A895">
        <f t="shared" si="13"/>
        <v>894</v>
      </c>
    </row>
    <row r="896" spans="1:1" x14ac:dyDescent="0.25">
      <c r="A896">
        <f t="shared" si="13"/>
        <v>895</v>
      </c>
    </row>
    <row r="897" spans="1:1" x14ac:dyDescent="0.25">
      <c r="A897">
        <f t="shared" si="13"/>
        <v>896</v>
      </c>
    </row>
    <row r="898" spans="1:1" x14ac:dyDescent="0.25">
      <c r="A898">
        <f t="shared" si="13"/>
        <v>897</v>
      </c>
    </row>
    <row r="899" spans="1:1" x14ac:dyDescent="0.25">
      <c r="A899">
        <f t="shared" si="13"/>
        <v>898</v>
      </c>
    </row>
    <row r="900" spans="1:1" x14ac:dyDescent="0.25">
      <c r="A900">
        <f t="shared" ref="A900:A963" si="14">A899+1</f>
        <v>899</v>
      </c>
    </row>
    <row r="901" spans="1:1" x14ac:dyDescent="0.25">
      <c r="A901">
        <f t="shared" si="14"/>
        <v>900</v>
      </c>
    </row>
    <row r="902" spans="1:1" x14ac:dyDescent="0.25">
      <c r="A902">
        <f t="shared" si="14"/>
        <v>901</v>
      </c>
    </row>
    <row r="903" spans="1:1" x14ac:dyDescent="0.25">
      <c r="A903">
        <f t="shared" si="14"/>
        <v>902</v>
      </c>
    </row>
    <row r="904" spans="1:1" x14ac:dyDescent="0.25">
      <c r="A904">
        <f t="shared" si="14"/>
        <v>903</v>
      </c>
    </row>
    <row r="905" spans="1:1" x14ac:dyDescent="0.25">
      <c r="A905">
        <f t="shared" si="14"/>
        <v>904</v>
      </c>
    </row>
    <row r="906" spans="1:1" x14ac:dyDescent="0.25">
      <c r="A906">
        <f t="shared" si="14"/>
        <v>905</v>
      </c>
    </row>
    <row r="907" spans="1:1" x14ac:dyDescent="0.25">
      <c r="A907">
        <f t="shared" si="14"/>
        <v>906</v>
      </c>
    </row>
    <row r="908" spans="1:1" x14ac:dyDescent="0.25">
      <c r="A908">
        <f t="shared" si="14"/>
        <v>907</v>
      </c>
    </row>
    <row r="909" spans="1:1" x14ac:dyDescent="0.25">
      <c r="A909">
        <f t="shared" si="14"/>
        <v>908</v>
      </c>
    </row>
    <row r="910" spans="1:1" x14ac:dyDescent="0.25">
      <c r="A910">
        <f t="shared" si="14"/>
        <v>909</v>
      </c>
    </row>
    <row r="911" spans="1:1" x14ac:dyDescent="0.25">
      <c r="A911">
        <f t="shared" si="14"/>
        <v>910</v>
      </c>
    </row>
    <row r="912" spans="1:1" x14ac:dyDescent="0.25">
      <c r="A912">
        <f t="shared" si="14"/>
        <v>911</v>
      </c>
    </row>
    <row r="913" spans="1:1" x14ac:dyDescent="0.25">
      <c r="A913">
        <f t="shared" si="14"/>
        <v>912</v>
      </c>
    </row>
    <row r="914" spans="1:1" x14ac:dyDescent="0.25">
      <c r="A914">
        <f t="shared" si="14"/>
        <v>913</v>
      </c>
    </row>
    <row r="915" spans="1:1" x14ac:dyDescent="0.25">
      <c r="A915">
        <f t="shared" si="14"/>
        <v>914</v>
      </c>
    </row>
    <row r="916" spans="1:1" x14ac:dyDescent="0.25">
      <c r="A916">
        <f t="shared" si="14"/>
        <v>915</v>
      </c>
    </row>
    <row r="917" spans="1:1" x14ac:dyDescent="0.25">
      <c r="A917">
        <f t="shared" si="14"/>
        <v>916</v>
      </c>
    </row>
    <row r="918" spans="1:1" x14ac:dyDescent="0.25">
      <c r="A918">
        <f t="shared" si="14"/>
        <v>917</v>
      </c>
    </row>
    <row r="919" spans="1:1" x14ac:dyDescent="0.25">
      <c r="A919">
        <f t="shared" si="14"/>
        <v>918</v>
      </c>
    </row>
    <row r="920" spans="1:1" x14ac:dyDescent="0.25">
      <c r="A920">
        <f t="shared" si="14"/>
        <v>919</v>
      </c>
    </row>
    <row r="921" spans="1:1" x14ac:dyDescent="0.25">
      <c r="A921">
        <f t="shared" si="14"/>
        <v>920</v>
      </c>
    </row>
    <row r="922" spans="1:1" x14ac:dyDescent="0.25">
      <c r="A922">
        <f t="shared" si="14"/>
        <v>921</v>
      </c>
    </row>
    <row r="923" spans="1:1" x14ac:dyDescent="0.25">
      <c r="A923">
        <f t="shared" si="14"/>
        <v>922</v>
      </c>
    </row>
    <row r="924" spans="1:1" x14ac:dyDescent="0.25">
      <c r="A924">
        <f t="shared" si="14"/>
        <v>923</v>
      </c>
    </row>
    <row r="925" spans="1:1" x14ac:dyDescent="0.25">
      <c r="A925">
        <f t="shared" si="14"/>
        <v>924</v>
      </c>
    </row>
    <row r="926" spans="1:1" x14ac:dyDescent="0.25">
      <c r="A926">
        <f t="shared" si="14"/>
        <v>925</v>
      </c>
    </row>
    <row r="927" spans="1:1" x14ac:dyDescent="0.25">
      <c r="A927">
        <f t="shared" si="14"/>
        <v>926</v>
      </c>
    </row>
    <row r="928" spans="1:1" x14ac:dyDescent="0.25">
      <c r="A928">
        <f t="shared" si="14"/>
        <v>927</v>
      </c>
    </row>
    <row r="929" spans="1:1" x14ac:dyDescent="0.25">
      <c r="A929">
        <f t="shared" si="14"/>
        <v>928</v>
      </c>
    </row>
    <row r="930" spans="1:1" x14ac:dyDescent="0.25">
      <c r="A930">
        <f t="shared" si="14"/>
        <v>929</v>
      </c>
    </row>
    <row r="931" spans="1:1" x14ac:dyDescent="0.25">
      <c r="A931">
        <f t="shared" si="14"/>
        <v>930</v>
      </c>
    </row>
    <row r="932" spans="1:1" x14ac:dyDescent="0.25">
      <c r="A932">
        <f t="shared" si="14"/>
        <v>931</v>
      </c>
    </row>
    <row r="933" spans="1:1" x14ac:dyDescent="0.25">
      <c r="A933">
        <f t="shared" si="14"/>
        <v>932</v>
      </c>
    </row>
    <row r="934" spans="1:1" x14ac:dyDescent="0.25">
      <c r="A934">
        <f t="shared" si="14"/>
        <v>933</v>
      </c>
    </row>
    <row r="935" spans="1:1" x14ac:dyDescent="0.25">
      <c r="A935">
        <f t="shared" si="14"/>
        <v>934</v>
      </c>
    </row>
    <row r="936" spans="1:1" x14ac:dyDescent="0.25">
      <c r="A936">
        <f t="shared" si="14"/>
        <v>935</v>
      </c>
    </row>
    <row r="937" spans="1:1" x14ac:dyDescent="0.25">
      <c r="A937">
        <f t="shared" si="14"/>
        <v>936</v>
      </c>
    </row>
    <row r="938" spans="1:1" x14ac:dyDescent="0.25">
      <c r="A938">
        <f t="shared" si="14"/>
        <v>937</v>
      </c>
    </row>
    <row r="939" spans="1:1" x14ac:dyDescent="0.25">
      <c r="A939">
        <f t="shared" si="14"/>
        <v>938</v>
      </c>
    </row>
    <row r="940" spans="1:1" x14ac:dyDescent="0.25">
      <c r="A940">
        <f t="shared" si="14"/>
        <v>939</v>
      </c>
    </row>
    <row r="941" spans="1:1" x14ac:dyDescent="0.25">
      <c r="A941">
        <f t="shared" si="14"/>
        <v>940</v>
      </c>
    </row>
    <row r="942" spans="1:1" x14ac:dyDescent="0.25">
      <c r="A942">
        <f t="shared" si="14"/>
        <v>941</v>
      </c>
    </row>
    <row r="943" spans="1:1" x14ac:dyDescent="0.25">
      <c r="A943">
        <f t="shared" si="14"/>
        <v>942</v>
      </c>
    </row>
    <row r="944" spans="1:1" x14ac:dyDescent="0.25">
      <c r="A944">
        <f t="shared" si="14"/>
        <v>943</v>
      </c>
    </row>
    <row r="945" spans="1:1" x14ac:dyDescent="0.25">
      <c r="A945">
        <f t="shared" si="14"/>
        <v>944</v>
      </c>
    </row>
    <row r="946" spans="1:1" x14ac:dyDescent="0.25">
      <c r="A946">
        <f t="shared" si="14"/>
        <v>945</v>
      </c>
    </row>
    <row r="947" spans="1:1" x14ac:dyDescent="0.25">
      <c r="A947">
        <f t="shared" si="14"/>
        <v>946</v>
      </c>
    </row>
    <row r="948" spans="1:1" x14ac:dyDescent="0.25">
      <c r="A948">
        <f t="shared" si="14"/>
        <v>947</v>
      </c>
    </row>
    <row r="949" spans="1:1" x14ac:dyDescent="0.25">
      <c r="A949">
        <f t="shared" si="14"/>
        <v>948</v>
      </c>
    </row>
    <row r="950" spans="1:1" x14ac:dyDescent="0.25">
      <c r="A950">
        <f t="shared" si="14"/>
        <v>949</v>
      </c>
    </row>
    <row r="951" spans="1:1" x14ac:dyDescent="0.25">
      <c r="A951">
        <f t="shared" si="14"/>
        <v>950</v>
      </c>
    </row>
    <row r="952" spans="1:1" x14ac:dyDescent="0.25">
      <c r="A952">
        <f t="shared" si="14"/>
        <v>951</v>
      </c>
    </row>
    <row r="953" spans="1:1" x14ac:dyDescent="0.25">
      <c r="A953">
        <f t="shared" si="14"/>
        <v>952</v>
      </c>
    </row>
    <row r="954" spans="1:1" x14ac:dyDescent="0.25">
      <c r="A954">
        <f t="shared" si="14"/>
        <v>953</v>
      </c>
    </row>
    <row r="955" spans="1:1" x14ac:dyDescent="0.25">
      <c r="A955">
        <f t="shared" si="14"/>
        <v>954</v>
      </c>
    </row>
    <row r="956" spans="1:1" x14ac:dyDescent="0.25">
      <c r="A956">
        <f t="shared" si="14"/>
        <v>955</v>
      </c>
    </row>
    <row r="957" spans="1:1" x14ac:dyDescent="0.25">
      <c r="A957">
        <f t="shared" si="14"/>
        <v>956</v>
      </c>
    </row>
    <row r="958" spans="1:1" x14ac:dyDescent="0.25">
      <c r="A958">
        <f t="shared" si="14"/>
        <v>957</v>
      </c>
    </row>
    <row r="959" spans="1:1" x14ac:dyDescent="0.25">
      <c r="A959">
        <f t="shared" si="14"/>
        <v>958</v>
      </c>
    </row>
    <row r="960" spans="1:1" x14ac:dyDescent="0.25">
      <c r="A960">
        <f t="shared" si="14"/>
        <v>959</v>
      </c>
    </row>
    <row r="961" spans="1:1" x14ac:dyDescent="0.25">
      <c r="A961">
        <f t="shared" si="14"/>
        <v>960</v>
      </c>
    </row>
    <row r="962" spans="1:1" x14ac:dyDescent="0.25">
      <c r="A962">
        <f t="shared" si="14"/>
        <v>961</v>
      </c>
    </row>
    <row r="963" spans="1:1" x14ac:dyDescent="0.25">
      <c r="A963">
        <f t="shared" si="14"/>
        <v>962</v>
      </c>
    </row>
    <row r="964" spans="1:1" x14ac:dyDescent="0.25">
      <c r="A964">
        <f t="shared" ref="A964:A1027" si="15">A963+1</f>
        <v>963</v>
      </c>
    </row>
    <row r="965" spans="1:1" x14ac:dyDescent="0.25">
      <c r="A965">
        <f t="shared" si="15"/>
        <v>964</v>
      </c>
    </row>
    <row r="966" spans="1:1" x14ac:dyDescent="0.25">
      <c r="A966">
        <f t="shared" si="15"/>
        <v>965</v>
      </c>
    </row>
    <row r="967" spans="1:1" x14ac:dyDescent="0.25">
      <c r="A967">
        <f t="shared" si="15"/>
        <v>966</v>
      </c>
    </row>
    <row r="968" spans="1:1" x14ac:dyDescent="0.25">
      <c r="A968">
        <f t="shared" si="15"/>
        <v>967</v>
      </c>
    </row>
    <row r="969" spans="1:1" x14ac:dyDescent="0.25">
      <c r="A969">
        <f t="shared" si="15"/>
        <v>968</v>
      </c>
    </row>
    <row r="970" spans="1:1" x14ac:dyDescent="0.25">
      <c r="A970">
        <f t="shared" si="15"/>
        <v>969</v>
      </c>
    </row>
    <row r="971" spans="1:1" x14ac:dyDescent="0.25">
      <c r="A971">
        <f t="shared" si="15"/>
        <v>970</v>
      </c>
    </row>
    <row r="972" spans="1:1" x14ac:dyDescent="0.25">
      <c r="A972">
        <f t="shared" si="15"/>
        <v>971</v>
      </c>
    </row>
    <row r="973" spans="1:1" x14ac:dyDescent="0.25">
      <c r="A973">
        <f t="shared" si="15"/>
        <v>972</v>
      </c>
    </row>
    <row r="974" spans="1:1" x14ac:dyDescent="0.25">
      <c r="A974">
        <f t="shared" si="15"/>
        <v>973</v>
      </c>
    </row>
    <row r="975" spans="1:1" x14ac:dyDescent="0.25">
      <c r="A975">
        <f t="shared" si="15"/>
        <v>974</v>
      </c>
    </row>
    <row r="976" spans="1:1" x14ac:dyDescent="0.25">
      <c r="A976">
        <f t="shared" si="15"/>
        <v>975</v>
      </c>
    </row>
    <row r="977" spans="1:1" x14ac:dyDescent="0.25">
      <c r="A977">
        <f t="shared" si="15"/>
        <v>976</v>
      </c>
    </row>
    <row r="978" spans="1:1" x14ac:dyDescent="0.25">
      <c r="A978">
        <f t="shared" si="15"/>
        <v>977</v>
      </c>
    </row>
    <row r="979" spans="1:1" x14ac:dyDescent="0.25">
      <c r="A979">
        <f t="shared" si="15"/>
        <v>978</v>
      </c>
    </row>
    <row r="980" spans="1:1" x14ac:dyDescent="0.25">
      <c r="A980">
        <f t="shared" si="15"/>
        <v>979</v>
      </c>
    </row>
    <row r="981" spans="1:1" x14ac:dyDescent="0.25">
      <c r="A981">
        <f t="shared" si="15"/>
        <v>980</v>
      </c>
    </row>
    <row r="982" spans="1:1" x14ac:dyDescent="0.25">
      <c r="A982">
        <f t="shared" si="15"/>
        <v>981</v>
      </c>
    </row>
    <row r="983" spans="1:1" x14ac:dyDescent="0.25">
      <c r="A983">
        <f t="shared" si="15"/>
        <v>982</v>
      </c>
    </row>
    <row r="984" spans="1:1" x14ac:dyDescent="0.25">
      <c r="A984">
        <f t="shared" si="15"/>
        <v>983</v>
      </c>
    </row>
    <row r="985" spans="1:1" x14ac:dyDescent="0.25">
      <c r="A985">
        <f t="shared" si="15"/>
        <v>984</v>
      </c>
    </row>
    <row r="986" spans="1:1" x14ac:dyDescent="0.25">
      <c r="A986">
        <f t="shared" si="15"/>
        <v>985</v>
      </c>
    </row>
    <row r="987" spans="1:1" x14ac:dyDescent="0.25">
      <c r="A987">
        <f t="shared" si="15"/>
        <v>986</v>
      </c>
    </row>
    <row r="988" spans="1:1" x14ac:dyDescent="0.25">
      <c r="A988">
        <f t="shared" si="15"/>
        <v>987</v>
      </c>
    </row>
    <row r="989" spans="1:1" x14ac:dyDescent="0.25">
      <c r="A989">
        <f t="shared" si="15"/>
        <v>988</v>
      </c>
    </row>
    <row r="990" spans="1:1" x14ac:dyDescent="0.25">
      <c r="A990">
        <f t="shared" si="15"/>
        <v>989</v>
      </c>
    </row>
    <row r="991" spans="1:1" x14ac:dyDescent="0.25">
      <c r="A991">
        <f t="shared" si="15"/>
        <v>990</v>
      </c>
    </row>
    <row r="992" spans="1:1" x14ac:dyDescent="0.25">
      <c r="A992">
        <f t="shared" si="15"/>
        <v>991</v>
      </c>
    </row>
    <row r="993" spans="1:1" x14ac:dyDescent="0.25">
      <c r="A993">
        <f t="shared" si="15"/>
        <v>992</v>
      </c>
    </row>
    <row r="994" spans="1:1" x14ac:dyDescent="0.25">
      <c r="A994">
        <f t="shared" si="15"/>
        <v>993</v>
      </c>
    </row>
    <row r="995" spans="1:1" x14ac:dyDescent="0.25">
      <c r="A995">
        <f t="shared" si="15"/>
        <v>994</v>
      </c>
    </row>
    <row r="996" spans="1:1" x14ac:dyDescent="0.25">
      <c r="A996">
        <f t="shared" si="15"/>
        <v>995</v>
      </c>
    </row>
    <row r="997" spans="1:1" x14ac:dyDescent="0.25">
      <c r="A997">
        <f t="shared" si="15"/>
        <v>996</v>
      </c>
    </row>
    <row r="998" spans="1:1" x14ac:dyDescent="0.25">
      <c r="A998">
        <f t="shared" si="15"/>
        <v>997</v>
      </c>
    </row>
    <row r="999" spans="1:1" x14ac:dyDescent="0.25">
      <c r="A999">
        <f t="shared" si="15"/>
        <v>998</v>
      </c>
    </row>
    <row r="1000" spans="1:1" x14ac:dyDescent="0.25">
      <c r="A1000">
        <f t="shared" si="15"/>
        <v>999</v>
      </c>
    </row>
    <row r="1001" spans="1:1" x14ac:dyDescent="0.25">
      <c r="A1001">
        <f t="shared" si="15"/>
        <v>1000</v>
      </c>
    </row>
    <row r="1002" spans="1:1" x14ac:dyDescent="0.25">
      <c r="A1002">
        <f t="shared" si="15"/>
        <v>1001</v>
      </c>
    </row>
    <row r="1003" spans="1:1" x14ac:dyDescent="0.25">
      <c r="A1003">
        <f t="shared" si="15"/>
        <v>1002</v>
      </c>
    </row>
    <row r="1004" spans="1:1" x14ac:dyDescent="0.25">
      <c r="A1004">
        <f t="shared" si="15"/>
        <v>1003</v>
      </c>
    </row>
    <row r="1005" spans="1:1" x14ac:dyDescent="0.25">
      <c r="A1005">
        <f t="shared" si="15"/>
        <v>1004</v>
      </c>
    </row>
    <row r="1006" spans="1:1" x14ac:dyDescent="0.25">
      <c r="A1006">
        <f t="shared" si="15"/>
        <v>1005</v>
      </c>
    </row>
    <row r="1007" spans="1:1" x14ac:dyDescent="0.25">
      <c r="A1007">
        <f t="shared" si="15"/>
        <v>1006</v>
      </c>
    </row>
    <row r="1008" spans="1:1" x14ac:dyDescent="0.25">
      <c r="A1008">
        <f t="shared" si="15"/>
        <v>1007</v>
      </c>
    </row>
    <row r="1009" spans="1:1" x14ac:dyDescent="0.25">
      <c r="A1009">
        <f t="shared" si="15"/>
        <v>1008</v>
      </c>
    </row>
    <row r="1010" spans="1:1" x14ac:dyDescent="0.25">
      <c r="A1010">
        <f t="shared" si="15"/>
        <v>1009</v>
      </c>
    </row>
    <row r="1011" spans="1:1" x14ac:dyDescent="0.25">
      <c r="A1011">
        <f t="shared" si="15"/>
        <v>1010</v>
      </c>
    </row>
    <row r="1012" spans="1:1" x14ac:dyDescent="0.25">
      <c r="A1012">
        <f t="shared" si="15"/>
        <v>1011</v>
      </c>
    </row>
    <row r="1013" spans="1:1" x14ac:dyDescent="0.25">
      <c r="A1013">
        <f t="shared" si="15"/>
        <v>1012</v>
      </c>
    </row>
    <row r="1014" spans="1:1" x14ac:dyDescent="0.25">
      <c r="A1014">
        <f t="shared" si="15"/>
        <v>1013</v>
      </c>
    </row>
    <row r="1015" spans="1:1" x14ac:dyDescent="0.25">
      <c r="A1015">
        <f t="shared" si="15"/>
        <v>1014</v>
      </c>
    </row>
    <row r="1016" spans="1:1" x14ac:dyDescent="0.25">
      <c r="A1016">
        <f t="shared" si="15"/>
        <v>1015</v>
      </c>
    </row>
    <row r="1017" spans="1:1" x14ac:dyDescent="0.25">
      <c r="A1017">
        <f t="shared" si="15"/>
        <v>1016</v>
      </c>
    </row>
    <row r="1018" spans="1:1" x14ac:dyDescent="0.25">
      <c r="A1018">
        <f t="shared" si="15"/>
        <v>1017</v>
      </c>
    </row>
    <row r="1019" spans="1:1" x14ac:dyDescent="0.25">
      <c r="A1019">
        <f t="shared" si="15"/>
        <v>1018</v>
      </c>
    </row>
    <row r="1020" spans="1:1" x14ac:dyDescent="0.25">
      <c r="A1020">
        <f t="shared" si="15"/>
        <v>1019</v>
      </c>
    </row>
    <row r="1021" spans="1:1" x14ac:dyDescent="0.25">
      <c r="A1021">
        <f t="shared" si="15"/>
        <v>1020</v>
      </c>
    </row>
    <row r="1022" spans="1:1" x14ac:dyDescent="0.25">
      <c r="A1022">
        <f t="shared" si="15"/>
        <v>1021</v>
      </c>
    </row>
    <row r="1023" spans="1:1" x14ac:dyDescent="0.25">
      <c r="A1023">
        <f t="shared" si="15"/>
        <v>1022</v>
      </c>
    </row>
    <row r="1024" spans="1:1" x14ac:dyDescent="0.25">
      <c r="A1024">
        <f t="shared" si="15"/>
        <v>1023</v>
      </c>
    </row>
    <row r="1025" spans="1:1" x14ac:dyDescent="0.25">
      <c r="A1025">
        <f t="shared" si="15"/>
        <v>1024</v>
      </c>
    </row>
    <row r="1026" spans="1:1" x14ac:dyDescent="0.25">
      <c r="A1026">
        <f t="shared" si="15"/>
        <v>1025</v>
      </c>
    </row>
    <row r="1027" spans="1:1" x14ac:dyDescent="0.25">
      <c r="A1027">
        <f t="shared" si="15"/>
        <v>1026</v>
      </c>
    </row>
    <row r="1028" spans="1:1" x14ac:dyDescent="0.25">
      <c r="A1028">
        <f t="shared" ref="A1028:A1091" si="16">A1027+1</f>
        <v>1027</v>
      </c>
    </row>
    <row r="1029" spans="1:1" x14ac:dyDescent="0.25">
      <c r="A1029">
        <f t="shared" si="16"/>
        <v>1028</v>
      </c>
    </row>
    <row r="1030" spans="1:1" x14ac:dyDescent="0.25">
      <c r="A1030">
        <f t="shared" si="16"/>
        <v>1029</v>
      </c>
    </row>
    <row r="1031" spans="1:1" x14ac:dyDescent="0.25">
      <c r="A1031">
        <f t="shared" si="16"/>
        <v>1030</v>
      </c>
    </row>
    <row r="1032" spans="1:1" x14ac:dyDescent="0.25">
      <c r="A1032">
        <f t="shared" si="16"/>
        <v>1031</v>
      </c>
    </row>
    <row r="1033" spans="1:1" x14ac:dyDescent="0.25">
      <c r="A1033">
        <f t="shared" si="16"/>
        <v>1032</v>
      </c>
    </row>
    <row r="1034" spans="1:1" x14ac:dyDescent="0.25">
      <c r="A1034">
        <f t="shared" si="16"/>
        <v>1033</v>
      </c>
    </row>
    <row r="1035" spans="1:1" x14ac:dyDescent="0.25">
      <c r="A1035">
        <f t="shared" si="16"/>
        <v>1034</v>
      </c>
    </row>
    <row r="1036" spans="1:1" x14ac:dyDescent="0.25">
      <c r="A1036">
        <f t="shared" si="16"/>
        <v>1035</v>
      </c>
    </row>
    <row r="1037" spans="1:1" x14ac:dyDescent="0.25">
      <c r="A1037">
        <f t="shared" si="16"/>
        <v>1036</v>
      </c>
    </row>
    <row r="1038" spans="1:1" x14ac:dyDescent="0.25">
      <c r="A1038">
        <f t="shared" si="16"/>
        <v>1037</v>
      </c>
    </row>
    <row r="1039" spans="1:1" x14ac:dyDescent="0.25">
      <c r="A1039">
        <f t="shared" si="16"/>
        <v>1038</v>
      </c>
    </row>
    <row r="1040" spans="1:1" x14ac:dyDescent="0.25">
      <c r="A1040">
        <f t="shared" si="16"/>
        <v>1039</v>
      </c>
    </row>
    <row r="1041" spans="1:1" x14ac:dyDescent="0.25">
      <c r="A1041">
        <f t="shared" si="16"/>
        <v>1040</v>
      </c>
    </row>
    <row r="1042" spans="1:1" x14ac:dyDescent="0.25">
      <c r="A1042">
        <f t="shared" si="16"/>
        <v>1041</v>
      </c>
    </row>
    <row r="1043" spans="1:1" x14ac:dyDescent="0.25">
      <c r="A1043">
        <f t="shared" si="16"/>
        <v>1042</v>
      </c>
    </row>
    <row r="1044" spans="1:1" x14ac:dyDescent="0.25">
      <c r="A1044">
        <f t="shared" si="16"/>
        <v>1043</v>
      </c>
    </row>
    <row r="1045" spans="1:1" x14ac:dyDescent="0.25">
      <c r="A1045">
        <f t="shared" si="16"/>
        <v>1044</v>
      </c>
    </row>
    <row r="1046" spans="1:1" x14ac:dyDescent="0.25">
      <c r="A1046">
        <f t="shared" si="16"/>
        <v>1045</v>
      </c>
    </row>
    <row r="1047" spans="1:1" x14ac:dyDescent="0.25">
      <c r="A1047">
        <f t="shared" si="16"/>
        <v>1046</v>
      </c>
    </row>
    <row r="1048" spans="1:1" x14ac:dyDescent="0.25">
      <c r="A1048">
        <f t="shared" si="16"/>
        <v>1047</v>
      </c>
    </row>
    <row r="1049" spans="1:1" x14ac:dyDescent="0.25">
      <c r="A1049">
        <f t="shared" si="16"/>
        <v>1048</v>
      </c>
    </row>
    <row r="1050" spans="1:1" x14ac:dyDescent="0.25">
      <c r="A1050">
        <f t="shared" si="16"/>
        <v>1049</v>
      </c>
    </row>
    <row r="1051" spans="1:1" x14ac:dyDescent="0.25">
      <c r="A1051">
        <f t="shared" si="16"/>
        <v>1050</v>
      </c>
    </row>
    <row r="1052" spans="1:1" x14ac:dyDescent="0.25">
      <c r="A1052">
        <f t="shared" si="16"/>
        <v>1051</v>
      </c>
    </row>
    <row r="1053" spans="1:1" x14ac:dyDescent="0.25">
      <c r="A1053">
        <f t="shared" si="16"/>
        <v>1052</v>
      </c>
    </row>
    <row r="1054" spans="1:1" x14ac:dyDescent="0.25">
      <c r="A1054">
        <f t="shared" si="16"/>
        <v>1053</v>
      </c>
    </row>
    <row r="1055" spans="1:1" x14ac:dyDescent="0.25">
      <c r="A1055">
        <f t="shared" si="16"/>
        <v>1054</v>
      </c>
    </row>
    <row r="1056" spans="1:1" x14ac:dyDescent="0.25">
      <c r="A1056">
        <f t="shared" si="16"/>
        <v>1055</v>
      </c>
    </row>
    <row r="1057" spans="1:1" x14ac:dyDescent="0.25">
      <c r="A1057">
        <f t="shared" si="16"/>
        <v>1056</v>
      </c>
    </row>
    <row r="1058" spans="1:1" x14ac:dyDescent="0.25">
      <c r="A1058">
        <f t="shared" si="16"/>
        <v>1057</v>
      </c>
    </row>
    <row r="1059" spans="1:1" x14ac:dyDescent="0.25">
      <c r="A1059">
        <f t="shared" si="16"/>
        <v>1058</v>
      </c>
    </row>
    <row r="1060" spans="1:1" x14ac:dyDescent="0.25">
      <c r="A1060">
        <f t="shared" si="16"/>
        <v>1059</v>
      </c>
    </row>
    <row r="1061" spans="1:1" x14ac:dyDescent="0.25">
      <c r="A1061">
        <f t="shared" si="16"/>
        <v>1060</v>
      </c>
    </row>
    <row r="1062" spans="1:1" x14ac:dyDescent="0.25">
      <c r="A1062">
        <f t="shared" si="16"/>
        <v>1061</v>
      </c>
    </row>
    <row r="1063" spans="1:1" x14ac:dyDescent="0.25">
      <c r="A1063">
        <f t="shared" si="16"/>
        <v>1062</v>
      </c>
    </row>
    <row r="1064" spans="1:1" x14ac:dyDescent="0.25">
      <c r="A1064">
        <f t="shared" si="16"/>
        <v>1063</v>
      </c>
    </row>
    <row r="1065" spans="1:1" x14ac:dyDescent="0.25">
      <c r="A1065">
        <f t="shared" si="16"/>
        <v>1064</v>
      </c>
    </row>
    <row r="1066" spans="1:1" x14ac:dyDescent="0.25">
      <c r="A1066">
        <f t="shared" si="16"/>
        <v>1065</v>
      </c>
    </row>
    <row r="1067" spans="1:1" x14ac:dyDescent="0.25">
      <c r="A1067">
        <f t="shared" si="16"/>
        <v>1066</v>
      </c>
    </row>
    <row r="1068" spans="1:1" x14ac:dyDescent="0.25">
      <c r="A1068">
        <f t="shared" si="16"/>
        <v>1067</v>
      </c>
    </row>
    <row r="1069" spans="1:1" x14ac:dyDescent="0.25">
      <c r="A1069">
        <f t="shared" si="16"/>
        <v>1068</v>
      </c>
    </row>
    <row r="1070" spans="1:1" x14ac:dyDescent="0.25">
      <c r="A1070">
        <f t="shared" si="16"/>
        <v>1069</v>
      </c>
    </row>
    <row r="1071" spans="1:1" x14ac:dyDescent="0.25">
      <c r="A1071">
        <f t="shared" si="16"/>
        <v>1070</v>
      </c>
    </row>
    <row r="1072" spans="1:1" x14ac:dyDescent="0.25">
      <c r="A1072">
        <f t="shared" si="16"/>
        <v>1071</v>
      </c>
    </row>
    <row r="1073" spans="1:1" x14ac:dyDescent="0.25">
      <c r="A1073">
        <f t="shared" si="16"/>
        <v>1072</v>
      </c>
    </row>
    <row r="1074" spans="1:1" x14ac:dyDescent="0.25">
      <c r="A1074">
        <f t="shared" si="16"/>
        <v>1073</v>
      </c>
    </row>
    <row r="1075" spans="1:1" x14ac:dyDescent="0.25">
      <c r="A1075">
        <f t="shared" si="16"/>
        <v>1074</v>
      </c>
    </row>
    <row r="1076" spans="1:1" x14ac:dyDescent="0.25">
      <c r="A1076">
        <f t="shared" si="16"/>
        <v>1075</v>
      </c>
    </row>
    <row r="1077" spans="1:1" x14ac:dyDescent="0.25">
      <c r="A1077">
        <f t="shared" si="16"/>
        <v>1076</v>
      </c>
    </row>
    <row r="1078" spans="1:1" x14ac:dyDescent="0.25">
      <c r="A1078">
        <f t="shared" si="16"/>
        <v>1077</v>
      </c>
    </row>
    <row r="1079" spans="1:1" x14ac:dyDescent="0.25">
      <c r="A1079">
        <f t="shared" si="16"/>
        <v>1078</v>
      </c>
    </row>
    <row r="1080" spans="1:1" x14ac:dyDescent="0.25">
      <c r="A1080">
        <f t="shared" si="16"/>
        <v>1079</v>
      </c>
    </row>
    <row r="1081" spans="1:1" x14ac:dyDescent="0.25">
      <c r="A1081">
        <f t="shared" si="16"/>
        <v>1080</v>
      </c>
    </row>
    <row r="1082" spans="1:1" x14ac:dyDescent="0.25">
      <c r="A1082">
        <f t="shared" si="16"/>
        <v>1081</v>
      </c>
    </row>
    <row r="1083" spans="1:1" x14ac:dyDescent="0.25">
      <c r="A1083">
        <f t="shared" si="16"/>
        <v>1082</v>
      </c>
    </row>
    <row r="1084" spans="1:1" x14ac:dyDescent="0.25">
      <c r="A1084">
        <f t="shared" si="16"/>
        <v>1083</v>
      </c>
    </row>
    <row r="1085" spans="1:1" x14ac:dyDescent="0.25">
      <c r="A1085">
        <f t="shared" si="16"/>
        <v>1084</v>
      </c>
    </row>
    <row r="1086" spans="1:1" x14ac:dyDescent="0.25">
      <c r="A1086">
        <f t="shared" si="16"/>
        <v>1085</v>
      </c>
    </row>
    <row r="1087" spans="1:1" x14ac:dyDescent="0.25">
      <c r="A1087">
        <f t="shared" si="16"/>
        <v>1086</v>
      </c>
    </row>
    <row r="1088" spans="1:1" x14ac:dyDescent="0.25">
      <c r="A1088">
        <f t="shared" si="16"/>
        <v>1087</v>
      </c>
    </row>
    <row r="1089" spans="1:1" x14ac:dyDescent="0.25">
      <c r="A1089">
        <f t="shared" si="16"/>
        <v>1088</v>
      </c>
    </row>
    <row r="1090" spans="1:1" x14ac:dyDescent="0.25">
      <c r="A1090">
        <f t="shared" si="16"/>
        <v>1089</v>
      </c>
    </row>
    <row r="1091" spans="1:1" x14ac:dyDescent="0.25">
      <c r="A1091">
        <f t="shared" si="16"/>
        <v>1090</v>
      </c>
    </row>
    <row r="1092" spans="1:1" x14ac:dyDescent="0.25">
      <c r="A1092">
        <f t="shared" ref="A1092:A1155" si="17">A1091+1</f>
        <v>1091</v>
      </c>
    </row>
    <row r="1093" spans="1:1" x14ac:dyDescent="0.25">
      <c r="A1093">
        <f t="shared" si="17"/>
        <v>1092</v>
      </c>
    </row>
    <row r="1094" spans="1:1" x14ac:dyDescent="0.25">
      <c r="A1094">
        <f t="shared" si="17"/>
        <v>1093</v>
      </c>
    </row>
    <row r="1095" spans="1:1" x14ac:dyDescent="0.25">
      <c r="A1095">
        <f t="shared" si="17"/>
        <v>1094</v>
      </c>
    </row>
    <row r="1096" spans="1:1" x14ac:dyDescent="0.25">
      <c r="A1096">
        <f t="shared" si="17"/>
        <v>1095</v>
      </c>
    </row>
    <row r="1097" spans="1:1" x14ac:dyDescent="0.25">
      <c r="A1097">
        <f t="shared" si="17"/>
        <v>1096</v>
      </c>
    </row>
    <row r="1098" spans="1:1" x14ac:dyDescent="0.25">
      <c r="A1098">
        <f t="shared" si="17"/>
        <v>1097</v>
      </c>
    </row>
    <row r="1099" spans="1:1" x14ac:dyDescent="0.25">
      <c r="A1099">
        <f t="shared" si="17"/>
        <v>1098</v>
      </c>
    </row>
    <row r="1100" spans="1:1" x14ac:dyDescent="0.25">
      <c r="A1100">
        <f t="shared" si="17"/>
        <v>1099</v>
      </c>
    </row>
    <row r="1101" spans="1:1" x14ac:dyDescent="0.25">
      <c r="A1101">
        <f t="shared" si="17"/>
        <v>1100</v>
      </c>
    </row>
    <row r="1102" spans="1:1" x14ac:dyDescent="0.25">
      <c r="A1102">
        <f t="shared" si="17"/>
        <v>1101</v>
      </c>
    </row>
    <row r="1103" spans="1:1" x14ac:dyDescent="0.25">
      <c r="A1103">
        <f t="shared" si="17"/>
        <v>1102</v>
      </c>
    </row>
    <row r="1104" spans="1:1" x14ac:dyDescent="0.25">
      <c r="A1104">
        <f t="shared" si="17"/>
        <v>1103</v>
      </c>
    </row>
    <row r="1105" spans="1:1" x14ac:dyDescent="0.25">
      <c r="A1105">
        <f t="shared" si="17"/>
        <v>1104</v>
      </c>
    </row>
    <row r="1106" spans="1:1" x14ac:dyDescent="0.25">
      <c r="A1106">
        <f t="shared" si="17"/>
        <v>1105</v>
      </c>
    </row>
    <row r="1107" spans="1:1" x14ac:dyDescent="0.25">
      <c r="A1107">
        <f t="shared" si="17"/>
        <v>1106</v>
      </c>
    </row>
    <row r="1108" spans="1:1" x14ac:dyDescent="0.25">
      <c r="A1108">
        <f t="shared" si="17"/>
        <v>1107</v>
      </c>
    </row>
    <row r="1109" spans="1:1" x14ac:dyDescent="0.25">
      <c r="A1109">
        <f t="shared" si="17"/>
        <v>1108</v>
      </c>
    </row>
    <row r="1110" spans="1:1" x14ac:dyDescent="0.25">
      <c r="A1110">
        <f t="shared" si="17"/>
        <v>1109</v>
      </c>
    </row>
    <row r="1111" spans="1:1" x14ac:dyDescent="0.25">
      <c r="A1111">
        <f t="shared" si="17"/>
        <v>1110</v>
      </c>
    </row>
    <row r="1112" spans="1:1" x14ac:dyDescent="0.25">
      <c r="A1112">
        <f t="shared" si="17"/>
        <v>1111</v>
      </c>
    </row>
    <row r="1113" spans="1:1" x14ac:dyDescent="0.25">
      <c r="A1113">
        <f t="shared" si="17"/>
        <v>1112</v>
      </c>
    </row>
    <row r="1114" spans="1:1" x14ac:dyDescent="0.25">
      <c r="A1114">
        <f t="shared" si="17"/>
        <v>1113</v>
      </c>
    </row>
    <row r="1115" spans="1:1" x14ac:dyDescent="0.25">
      <c r="A1115">
        <f t="shared" si="17"/>
        <v>1114</v>
      </c>
    </row>
    <row r="1116" spans="1:1" x14ac:dyDescent="0.25">
      <c r="A1116">
        <f t="shared" si="17"/>
        <v>1115</v>
      </c>
    </row>
    <row r="1117" spans="1:1" x14ac:dyDescent="0.25">
      <c r="A1117">
        <f t="shared" si="17"/>
        <v>1116</v>
      </c>
    </row>
    <row r="1118" spans="1:1" x14ac:dyDescent="0.25">
      <c r="A1118">
        <f t="shared" si="17"/>
        <v>1117</v>
      </c>
    </row>
    <row r="1119" spans="1:1" x14ac:dyDescent="0.25">
      <c r="A1119">
        <f t="shared" si="17"/>
        <v>1118</v>
      </c>
    </row>
    <row r="1120" spans="1:1" x14ac:dyDescent="0.25">
      <c r="A1120">
        <f t="shared" si="17"/>
        <v>1119</v>
      </c>
    </row>
    <row r="1121" spans="1:1" x14ac:dyDescent="0.25">
      <c r="A1121">
        <f t="shared" si="17"/>
        <v>1120</v>
      </c>
    </row>
    <row r="1122" spans="1:1" x14ac:dyDescent="0.25">
      <c r="A1122">
        <f t="shared" si="17"/>
        <v>1121</v>
      </c>
    </row>
    <row r="1123" spans="1:1" x14ac:dyDescent="0.25">
      <c r="A1123">
        <f t="shared" si="17"/>
        <v>1122</v>
      </c>
    </row>
    <row r="1124" spans="1:1" x14ac:dyDescent="0.25">
      <c r="A1124">
        <f t="shared" si="17"/>
        <v>1123</v>
      </c>
    </row>
    <row r="1125" spans="1:1" x14ac:dyDescent="0.25">
      <c r="A1125">
        <f t="shared" si="17"/>
        <v>1124</v>
      </c>
    </row>
    <row r="1126" spans="1:1" x14ac:dyDescent="0.25">
      <c r="A1126">
        <f t="shared" si="17"/>
        <v>1125</v>
      </c>
    </row>
    <row r="1127" spans="1:1" x14ac:dyDescent="0.25">
      <c r="A1127">
        <f t="shared" si="17"/>
        <v>1126</v>
      </c>
    </row>
    <row r="1128" spans="1:1" x14ac:dyDescent="0.25">
      <c r="A1128">
        <f t="shared" si="17"/>
        <v>1127</v>
      </c>
    </row>
    <row r="1129" spans="1:1" x14ac:dyDescent="0.25">
      <c r="A1129">
        <f t="shared" si="17"/>
        <v>1128</v>
      </c>
    </row>
    <row r="1130" spans="1:1" x14ac:dyDescent="0.25">
      <c r="A1130">
        <f t="shared" si="17"/>
        <v>1129</v>
      </c>
    </row>
    <row r="1131" spans="1:1" x14ac:dyDescent="0.25">
      <c r="A1131">
        <f t="shared" si="17"/>
        <v>1130</v>
      </c>
    </row>
    <row r="1132" spans="1:1" x14ac:dyDescent="0.25">
      <c r="A1132">
        <f t="shared" si="17"/>
        <v>1131</v>
      </c>
    </row>
    <row r="1133" spans="1:1" x14ac:dyDescent="0.25">
      <c r="A1133">
        <f t="shared" si="17"/>
        <v>1132</v>
      </c>
    </row>
    <row r="1134" spans="1:1" x14ac:dyDescent="0.25">
      <c r="A1134">
        <f t="shared" si="17"/>
        <v>1133</v>
      </c>
    </row>
    <row r="1135" spans="1:1" x14ac:dyDescent="0.25">
      <c r="A1135">
        <f t="shared" si="17"/>
        <v>1134</v>
      </c>
    </row>
    <row r="1136" spans="1:1" x14ac:dyDescent="0.25">
      <c r="A1136">
        <f t="shared" si="17"/>
        <v>1135</v>
      </c>
    </row>
    <row r="1137" spans="1:1" x14ac:dyDescent="0.25">
      <c r="A1137">
        <f t="shared" si="17"/>
        <v>1136</v>
      </c>
    </row>
    <row r="1138" spans="1:1" x14ac:dyDescent="0.25">
      <c r="A1138">
        <f t="shared" si="17"/>
        <v>1137</v>
      </c>
    </row>
    <row r="1139" spans="1:1" x14ac:dyDescent="0.25">
      <c r="A1139">
        <f t="shared" si="17"/>
        <v>1138</v>
      </c>
    </row>
    <row r="1140" spans="1:1" x14ac:dyDescent="0.25">
      <c r="A1140">
        <f t="shared" si="17"/>
        <v>1139</v>
      </c>
    </row>
    <row r="1141" spans="1:1" x14ac:dyDescent="0.25">
      <c r="A1141">
        <f t="shared" si="17"/>
        <v>1140</v>
      </c>
    </row>
    <row r="1142" spans="1:1" x14ac:dyDescent="0.25">
      <c r="A1142">
        <f t="shared" si="17"/>
        <v>1141</v>
      </c>
    </row>
    <row r="1143" spans="1:1" x14ac:dyDescent="0.25">
      <c r="A1143">
        <f t="shared" si="17"/>
        <v>1142</v>
      </c>
    </row>
    <row r="1144" spans="1:1" x14ac:dyDescent="0.25">
      <c r="A1144">
        <f t="shared" si="17"/>
        <v>1143</v>
      </c>
    </row>
    <row r="1145" spans="1:1" x14ac:dyDescent="0.25">
      <c r="A1145">
        <f t="shared" si="17"/>
        <v>1144</v>
      </c>
    </row>
    <row r="1146" spans="1:1" x14ac:dyDescent="0.25">
      <c r="A1146">
        <f t="shared" si="17"/>
        <v>1145</v>
      </c>
    </row>
    <row r="1147" spans="1:1" x14ac:dyDescent="0.25">
      <c r="A1147">
        <f t="shared" si="17"/>
        <v>1146</v>
      </c>
    </row>
    <row r="1148" spans="1:1" x14ac:dyDescent="0.25">
      <c r="A1148">
        <f t="shared" si="17"/>
        <v>1147</v>
      </c>
    </row>
    <row r="1149" spans="1:1" x14ac:dyDescent="0.25">
      <c r="A1149">
        <f t="shared" si="17"/>
        <v>1148</v>
      </c>
    </row>
    <row r="1150" spans="1:1" x14ac:dyDescent="0.25">
      <c r="A1150">
        <f t="shared" si="17"/>
        <v>1149</v>
      </c>
    </row>
    <row r="1151" spans="1:1" x14ac:dyDescent="0.25">
      <c r="A1151">
        <f t="shared" si="17"/>
        <v>1150</v>
      </c>
    </row>
    <row r="1152" spans="1:1" x14ac:dyDescent="0.25">
      <c r="A1152">
        <f t="shared" si="17"/>
        <v>1151</v>
      </c>
    </row>
    <row r="1153" spans="1:1" x14ac:dyDescent="0.25">
      <c r="A1153">
        <f t="shared" si="17"/>
        <v>1152</v>
      </c>
    </row>
    <row r="1154" spans="1:1" x14ac:dyDescent="0.25">
      <c r="A1154">
        <f t="shared" si="17"/>
        <v>1153</v>
      </c>
    </row>
    <row r="1155" spans="1:1" x14ac:dyDescent="0.25">
      <c r="A1155">
        <f t="shared" si="17"/>
        <v>1154</v>
      </c>
    </row>
    <row r="1156" spans="1:1" x14ac:dyDescent="0.25">
      <c r="A1156">
        <f t="shared" ref="A1156:A1219" si="18">A1155+1</f>
        <v>1155</v>
      </c>
    </row>
    <row r="1157" spans="1:1" x14ac:dyDescent="0.25">
      <c r="A1157">
        <f t="shared" si="18"/>
        <v>1156</v>
      </c>
    </row>
    <row r="1158" spans="1:1" x14ac:dyDescent="0.25">
      <c r="A1158">
        <f t="shared" si="18"/>
        <v>1157</v>
      </c>
    </row>
    <row r="1159" spans="1:1" x14ac:dyDescent="0.25">
      <c r="A1159">
        <f t="shared" si="18"/>
        <v>1158</v>
      </c>
    </row>
    <row r="1160" spans="1:1" x14ac:dyDescent="0.25">
      <c r="A1160">
        <f t="shared" si="18"/>
        <v>1159</v>
      </c>
    </row>
    <row r="1161" spans="1:1" x14ac:dyDescent="0.25">
      <c r="A1161">
        <f t="shared" si="18"/>
        <v>1160</v>
      </c>
    </row>
    <row r="1162" spans="1:1" x14ac:dyDescent="0.25">
      <c r="A1162">
        <f t="shared" si="18"/>
        <v>1161</v>
      </c>
    </row>
    <row r="1163" spans="1:1" x14ac:dyDescent="0.25">
      <c r="A1163">
        <f t="shared" si="18"/>
        <v>1162</v>
      </c>
    </row>
    <row r="1164" spans="1:1" x14ac:dyDescent="0.25">
      <c r="A1164">
        <f t="shared" si="18"/>
        <v>1163</v>
      </c>
    </row>
    <row r="1165" spans="1:1" x14ac:dyDescent="0.25">
      <c r="A1165">
        <f t="shared" si="18"/>
        <v>1164</v>
      </c>
    </row>
    <row r="1166" spans="1:1" x14ac:dyDescent="0.25">
      <c r="A1166">
        <f t="shared" si="18"/>
        <v>1165</v>
      </c>
    </row>
    <row r="1167" spans="1:1" x14ac:dyDescent="0.25">
      <c r="A1167">
        <f t="shared" si="18"/>
        <v>1166</v>
      </c>
    </row>
    <row r="1168" spans="1:1" x14ac:dyDescent="0.25">
      <c r="A1168">
        <f t="shared" si="18"/>
        <v>1167</v>
      </c>
    </row>
    <row r="1169" spans="1:1" x14ac:dyDescent="0.25">
      <c r="A1169">
        <f t="shared" si="18"/>
        <v>1168</v>
      </c>
    </row>
    <row r="1170" spans="1:1" x14ac:dyDescent="0.25">
      <c r="A1170">
        <f t="shared" si="18"/>
        <v>1169</v>
      </c>
    </row>
    <row r="1171" spans="1:1" x14ac:dyDescent="0.25">
      <c r="A1171">
        <f t="shared" si="18"/>
        <v>1170</v>
      </c>
    </row>
    <row r="1172" spans="1:1" x14ac:dyDescent="0.25">
      <c r="A1172">
        <f t="shared" si="18"/>
        <v>1171</v>
      </c>
    </row>
    <row r="1173" spans="1:1" x14ac:dyDescent="0.25">
      <c r="A1173">
        <f t="shared" si="18"/>
        <v>1172</v>
      </c>
    </row>
    <row r="1174" spans="1:1" x14ac:dyDescent="0.25">
      <c r="A1174">
        <f t="shared" si="18"/>
        <v>1173</v>
      </c>
    </row>
    <row r="1175" spans="1:1" x14ac:dyDescent="0.25">
      <c r="A1175">
        <f t="shared" si="18"/>
        <v>1174</v>
      </c>
    </row>
    <row r="1176" spans="1:1" x14ac:dyDescent="0.25">
      <c r="A1176">
        <f t="shared" si="18"/>
        <v>1175</v>
      </c>
    </row>
    <row r="1177" spans="1:1" x14ac:dyDescent="0.25">
      <c r="A1177">
        <f t="shared" si="18"/>
        <v>1176</v>
      </c>
    </row>
    <row r="1178" spans="1:1" x14ac:dyDescent="0.25">
      <c r="A1178">
        <f t="shared" si="18"/>
        <v>1177</v>
      </c>
    </row>
    <row r="1179" spans="1:1" x14ac:dyDescent="0.25">
      <c r="A1179">
        <f t="shared" si="18"/>
        <v>1178</v>
      </c>
    </row>
    <row r="1180" spans="1:1" x14ac:dyDescent="0.25">
      <c r="A1180">
        <f t="shared" si="18"/>
        <v>1179</v>
      </c>
    </row>
    <row r="1181" spans="1:1" x14ac:dyDescent="0.25">
      <c r="A1181">
        <f t="shared" si="18"/>
        <v>1180</v>
      </c>
    </row>
    <row r="1182" spans="1:1" x14ac:dyDescent="0.25">
      <c r="A1182">
        <f t="shared" si="18"/>
        <v>1181</v>
      </c>
    </row>
    <row r="1183" spans="1:1" x14ac:dyDescent="0.25">
      <c r="A1183">
        <f t="shared" si="18"/>
        <v>1182</v>
      </c>
    </row>
    <row r="1184" spans="1:1" x14ac:dyDescent="0.25">
      <c r="A1184">
        <f t="shared" si="18"/>
        <v>1183</v>
      </c>
    </row>
    <row r="1185" spans="1:1" x14ac:dyDescent="0.25">
      <c r="A1185">
        <f t="shared" si="18"/>
        <v>1184</v>
      </c>
    </row>
    <row r="1186" spans="1:1" x14ac:dyDescent="0.25">
      <c r="A1186">
        <f t="shared" si="18"/>
        <v>1185</v>
      </c>
    </row>
    <row r="1187" spans="1:1" x14ac:dyDescent="0.25">
      <c r="A1187">
        <f t="shared" si="18"/>
        <v>1186</v>
      </c>
    </row>
    <row r="1188" spans="1:1" x14ac:dyDescent="0.25">
      <c r="A1188">
        <f t="shared" si="18"/>
        <v>1187</v>
      </c>
    </row>
    <row r="1189" spans="1:1" x14ac:dyDescent="0.25">
      <c r="A1189">
        <f t="shared" si="18"/>
        <v>1188</v>
      </c>
    </row>
    <row r="1190" spans="1:1" x14ac:dyDescent="0.25">
      <c r="A1190">
        <f t="shared" si="18"/>
        <v>1189</v>
      </c>
    </row>
    <row r="1191" spans="1:1" x14ac:dyDescent="0.25">
      <c r="A1191">
        <f t="shared" si="18"/>
        <v>1190</v>
      </c>
    </row>
    <row r="1192" spans="1:1" x14ac:dyDescent="0.25">
      <c r="A1192">
        <f t="shared" si="18"/>
        <v>1191</v>
      </c>
    </row>
    <row r="1193" spans="1:1" x14ac:dyDescent="0.25">
      <c r="A1193">
        <f t="shared" si="18"/>
        <v>1192</v>
      </c>
    </row>
    <row r="1194" spans="1:1" x14ac:dyDescent="0.25">
      <c r="A1194">
        <f t="shared" si="18"/>
        <v>1193</v>
      </c>
    </row>
    <row r="1195" spans="1:1" x14ac:dyDescent="0.25">
      <c r="A1195">
        <f t="shared" si="18"/>
        <v>1194</v>
      </c>
    </row>
    <row r="1196" spans="1:1" x14ac:dyDescent="0.25">
      <c r="A1196">
        <f t="shared" si="18"/>
        <v>1195</v>
      </c>
    </row>
    <row r="1197" spans="1:1" x14ac:dyDescent="0.25">
      <c r="A1197">
        <f t="shared" si="18"/>
        <v>1196</v>
      </c>
    </row>
    <row r="1198" spans="1:1" x14ac:dyDescent="0.25">
      <c r="A1198">
        <f t="shared" si="18"/>
        <v>1197</v>
      </c>
    </row>
    <row r="1199" spans="1:1" x14ac:dyDescent="0.25">
      <c r="A1199">
        <f t="shared" si="18"/>
        <v>1198</v>
      </c>
    </row>
    <row r="1200" spans="1:1" x14ac:dyDescent="0.25">
      <c r="A1200">
        <f t="shared" si="18"/>
        <v>1199</v>
      </c>
    </row>
    <row r="1201" spans="1:1" x14ac:dyDescent="0.25">
      <c r="A1201">
        <f t="shared" si="18"/>
        <v>1200</v>
      </c>
    </row>
    <row r="1202" spans="1:1" x14ac:dyDescent="0.25">
      <c r="A1202">
        <f t="shared" si="18"/>
        <v>1201</v>
      </c>
    </row>
    <row r="1203" spans="1:1" x14ac:dyDescent="0.25">
      <c r="A1203">
        <f t="shared" si="18"/>
        <v>1202</v>
      </c>
    </row>
    <row r="1204" spans="1:1" x14ac:dyDescent="0.25">
      <c r="A1204">
        <f t="shared" si="18"/>
        <v>1203</v>
      </c>
    </row>
    <row r="1205" spans="1:1" x14ac:dyDescent="0.25">
      <c r="A1205">
        <f t="shared" si="18"/>
        <v>1204</v>
      </c>
    </row>
    <row r="1206" spans="1:1" x14ac:dyDescent="0.25">
      <c r="A1206">
        <f t="shared" si="18"/>
        <v>1205</v>
      </c>
    </row>
    <row r="1207" spans="1:1" x14ac:dyDescent="0.25">
      <c r="A1207">
        <f t="shared" si="18"/>
        <v>1206</v>
      </c>
    </row>
    <row r="1208" spans="1:1" x14ac:dyDescent="0.25">
      <c r="A1208">
        <f t="shared" si="18"/>
        <v>1207</v>
      </c>
    </row>
    <row r="1209" spans="1:1" x14ac:dyDescent="0.25">
      <c r="A1209">
        <f t="shared" si="18"/>
        <v>1208</v>
      </c>
    </row>
    <row r="1210" spans="1:1" x14ac:dyDescent="0.25">
      <c r="A1210">
        <f t="shared" si="18"/>
        <v>1209</v>
      </c>
    </row>
    <row r="1211" spans="1:1" x14ac:dyDescent="0.25">
      <c r="A1211">
        <f t="shared" si="18"/>
        <v>1210</v>
      </c>
    </row>
    <row r="1212" spans="1:1" x14ac:dyDescent="0.25">
      <c r="A1212">
        <f t="shared" si="18"/>
        <v>1211</v>
      </c>
    </row>
    <row r="1213" spans="1:1" x14ac:dyDescent="0.25">
      <c r="A1213">
        <f t="shared" si="18"/>
        <v>1212</v>
      </c>
    </row>
    <row r="1214" spans="1:1" x14ac:dyDescent="0.25">
      <c r="A1214">
        <f t="shared" si="18"/>
        <v>1213</v>
      </c>
    </row>
    <row r="1215" spans="1:1" x14ac:dyDescent="0.25">
      <c r="A1215">
        <f t="shared" si="18"/>
        <v>1214</v>
      </c>
    </row>
    <row r="1216" spans="1:1" x14ac:dyDescent="0.25">
      <c r="A1216">
        <f t="shared" si="18"/>
        <v>1215</v>
      </c>
    </row>
    <row r="1217" spans="1:1" x14ac:dyDescent="0.25">
      <c r="A1217">
        <f t="shared" si="18"/>
        <v>1216</v>
      </c>
    </row>
    <row r="1218" spans="1:1" x14ac:dyDescent="0.25">
      <c r="A1218">
        <f t="shared" si="18"/>
        <v>1217</v>
      </c>
    </row>
    <row r="1219" spans="1:1" x14ac:dyDescent="0.25">
      <c r="A1219">
        <f t="shared" si="18"/>
        <v>1218</v>
      </c>
    </row>
    <row r="1220" spans="1:1" x14ac:dyDescent="0.25">
      <c r="A1220">
        <f t="shared" ref="A1220:A1283" si="19">A1219+1</f>
        <v>1219</v>
      </c>
    </row>
    <row r="1221" spans="1:1" x14ac:dyDescent="0.25">
      <c r="A1221">
        <f t="shared" si="19"/>
        <v>1220</v>
      </c>
    </row>
    <row r="1222" spans="1:1" x14ac:dyDescent="0.25">
      <c r="A1222">
        <f t="shared" si="19"/>
        <v>1221</v>
      </c>
    </row>
    <row r="1223" spans="1:1" x14ac:dyDescent="0.25">
      <c r="A1223">
        <f t="shared" si="19"/>
        <v>1222</v>
      </c>
    </row>
    <row r="1224" spans="1:1" x14ac:dyDescent="0.25">
      <c r="A1224">
        <f t="shared" si="19"/>
        <v>1223</v>
      </c>
    </row>
    <row r="1225" spans="1:1" x14ac:dyDescent="0.25">
      <c r="A1225">
        <f t="shared" si="19"/>
        <v>1224</v>
      </c>
    </row>
    <row r="1226" spans="1:1" x14ac:dyDescent="0.25">
      <c r="A1226">
        <f t="shared" si="19"/>
        <v>1225</v>
      </c>
    </row>
    <row r="1227" spans="1:1" x14ac:dyDescent="0.25">
      <c r="A1227">
        <f t="shared" si="19"/>
        <v>1226</v>
      </c>
    </row>
    <row r="1228" spans="1:1" x14ac:dyDescent="0.25">
      <c r="A1228">
        <f t="shared" si="19"/>
        <v>1227</v>
      </c>
    </row>
    <row r="1229" spans="1:1" x14ac:dyDescent="0.25">
      <c r="A1229">
        <f t="shared" si="19"/>
        <v>1228</v>
      </c>
    </row>
    <row r="1230" spans="1:1" x14ac:dyDescent="0.25">
      <c r="A1230">
        <f t="shared" si="19"/>
        <v>1229</v>
      </c>
    </row>
    <row r="1231" spans="1:1" x14ac:dyDescent="0.25">
      <c r="A1231">
        <f t="shared" si="19"/>
        <v>1230</v>
      </c>
    </row>
    <row r="1232" spans="1:1" x14ac:dyDescent="0.25">
      <c r="A1232">
        <f t="shared" si="19"/>
        <v>1231</v>
      </c>
    </row>
    <row r="1233" spans="1:1" x14ac:dyDescent="0.25">
      <c r="A1233">
        <f t="shared" si="19"/>
        <v>1232</v>
      </c>
    </row>
    <row r="1234" spans="1:1" x14ac:dyDescent="0.25">
      <c r="A1234">
        <f t="shared" si="19"/>
        <v>1233</v>
      </c>
    </row>
    <row r="1235" spans="1:1" x14ac:dyDescent="0.25">
      <c r="A1235">
        <f t="shared" si="19"/>
        <v>1234</v>
      </c>
    </row>
    <row r="1236" spans="1:1" x14ac:dyDescent="0.25">
      <c r="A1236">
        <f t="shared" si="19"/>
        <v>1235</v>
      </c>
    </row>
    <row r="1237" spans="1:1" x14ac:dyDescent="0.25">
      <c r="A1237">
        <f t="shared" si="19"/>
        <v>1236</v>
      </c>
    </row>
    <row r="1238" spans="1:1" x14ac:dyDescent="0.25">
      <c r="A1238">
        <f t="shared" si="19"/>
        <v>1237</v>
      </c>
    </row>
    <row r="1239" spans="1:1" x14ac:dyDescent="0.25">
      <c r="A1239">
        <f t="shared" si="19"/>
        <v>1238</v>
      </c>
    </row>
    <row r="1240" spans="1:1" x14ac:dyDescent="0.25">
      <c r="A1240">
        <f t="shared" si="19"/>
        <v>1239</v>
      </c>
    </row>
    <row r="1241" spans="1:1" x14ac:dyDescent="0.25">
      <c r="A1241">
        <f t="shared" si="19"/>
        <v>1240</v>
      </c>
    </row>
    <row r="1242" spans="1:1" x14ac:dyDescent="0.25">
      <c r="A1242">
        <f t="shared" si="19"/>
        <v>1241</v>
      </c>
    </row>
    <row r="1243" spans="1:1" x14ac:dyDescent="0.25">
      <c r="A1243">
        <f t="shared" si="19"/>
        <v>1242</v>
      </c>
    </row>
    <row r="1244" spans="1:1" x14ac:dyDescent="0.25">
      <c r="A1244">
        <f t="shared" si="19"/>
        <v>1243</v>
      </c>
    </row>
    <row r="1245" spans="1:1" x14ac:dyDescent="0.25">
      <c r="A1245">
        <f t="shared" si="19"/>
        <v>1244</v>
      </c>
    </row>
    <row r="1246" spans="1:1" x14ac:dyDescent="0.25">
      <c r="A1246">
        <f t="shared" si="19"/>
        <v>1245</v>
      </c>
    </row>
    <row r="1247" spans="1:1" x14ac:dyDescent="0.25">
      <c r="A1247">
        <f t="shared" si="19"/>
        <v>1246</v>
      </c>
    </row>
    <row r="1248" spans="1:1" x14ac:dyDescent="0.25">
      <c r="A1248">
        <f t="shared" si="19"/>
        <v>1247</v>
      </c>
    </row>
    <row r="1249" spans="1:1" x14ac:dyDescent="0.25">
      <c r="A1249">
        <f t="shared" si="19"/>
        <v>1248</v>
      </c>
    </row>
    <row r="1250" spans="1:1" x14ac:dyDescent="0.25">
      <c r="A1250">
        <f t="shared" si="19"/>
        <v>1249</v>
      </c>
    </row>
    <row r="1251" spans="1:1" x14ac:dyDescent="0.25">
      <c r="A1251">
        <f t="shared" si="19"/>
        <v>1250</v>
      </c>
    </row>
    <row r="1252" spans="1:1" x14ac:dyDescent="0.25">
      <c r="A1252">
        <f t="shared" si="19"/>
        <v>1251</v>
      </c>
    </row>
    <row r="1253" spans="1:1" x14ac:dyDescent="0.25">
      <c r="A1253">
        <f t="shared" si="19"/>
        <v>1252</v>
      </c>
    </row>
    <row r="1254" spans="1:1" x14ac:dyDescent="0.25">
      <c r="A1254">
        <f t="shared" si="19"/>
        <v>1253</v>
      </c>
    </row>
    <row r="1255" spans="1:1" x14ac:dyDescent="0.25">
      <c r="A1255">
        <f t="shared" si="19"/>
        <v>1254</v>
      </c>
    </row>
    <row r="1256" spans="1:1" x14ac:dyDescent="0.25">
      <c r="A1256">
        <f t="shared" si="19"/>
        <v>1255</v>
      </c>
    </row>
    <row r="1257" spans="1:1" x14ac:dyDescent="0.25">
      <c r="A1257">
        <f t="shared" si="19"/>
        <v>1256</v>
      </c>
    </row>
    <row r="1258" spans="1:1" x14ac:dyDescent="0.25">
      <c r="A1258">
        <f t="shared" si="19"/>
        <v>1257</v>
      </c>
    </row>
    <row r="1259" spans="1:1" x14ac:dyDescent="0.25">
      <c r="A1259">
        <f t="shared" si="19"/>
        <v>1258</v>
      </c>
    </row>
    <row r="1260" spans="1:1" x14ac:dyDescent="0.25">
      <c r="A1260">
        <f t="shared" si="19"/>
        <v>1259</v>
      </c>
    </row>
    <row r="1261" spans="1:1" x14ac:dyDescent="0.25">
      <c r="A1261">
        <f t="shared" si="19"/>
        <v>1260</v>
      </c>
    </row>
    <row r="1262" spans="1:1" x14ac:dyDescent="0.25">
      <c r="A1262">
        <f t="shared" si="19"/>
        <v>1261</v>
      </c>
    </row>
    <row r="1263" spans="1:1" x14ac:dyDescent="0.25">
      <c r="A1263">
        <f t="shared" si="19"/>
        <v>1262</v>
      </c>
    </row>
    <row r="1264" spans="1:1" x14ac:dyDescent="0.25">
      <c r="A1264">
        <f t="shared" si="19"/>
        <v>1263</v>
      </c>
    </row>
    <row r="1265" spans="1:1" x14ac:dyDescent="0.25">
      <c r="A1265">
        <f t="shared" si="19"/>
        <v>1264</v>
      </c>
    </row>
    <row r="1266" spans="1:1" x14ac:dyDescent="0.25">
      <c r="A1266">
        <f t="shared" si="19"/>
        <v>1265</v>
      </c>
    </row>
    <row r="1267" spans="1:1" x14ac:dyDescent="0.25">
      <c r="A1267">
        <f t="shared" si="19"/>
        <v>1266</v>
      </c>
    </row>
    <row r="1268" spans="1:1" x14ac:dyDescent="0.25">
      <c r="A1268">
        <f t="shared" si="19"/>
        <v>1267</v>
      </c>
    </row>
    <row r="1269" spans="1:1" x14ac:dyDescent="0.25">
      <c r="A1269">
        <f t="shared" si="19"/>
        <v>1268</v>
      </c>
    </row>
    <row r="1270" spans="1:1" x14ac:dyDescent="0.25">
      <c r="A1270">
        <f t="shared" si="19"/>
        <v>1269</v>
      </c>
    </row>
    <row r="1271" spans="1:1" x14ac:dyDescent="0.25">
      <c r="A1271">
        <f t="shared" si="19"/>
        <v>1270</v>
      </c>
    </row>
    <row r="1272" spans="1:1" x14ac:dyDescent="0.25">
      <c r="A1272">
        <f t="shared" si="19"/>
        <v>1271</v>
      </c>
    </row>
    <row r="1273" spans="1:1" x14ac:dyDescent="0.25">
      <c r="A1273">
        <f t="shared" si="19"/>
        <v>1272</v>
      </c>
    </row>
    <row r="1274" spans="1:1" x14ac:dyDescent="0.25">
      <c r="A1274">
        <f t="shared" si="19"/>
        <v>1273</v>
      </c>
    </row>
    <row r="1275" spans="1:1" x14ac:dyDescent="0.25">
      <c r="A1275">
        <f t="shared" si="19"/>
        <v>1274</v>
      </c>
    </row>
    <row r="1276" spans="1:1" x14ac:dyDescent="0.25">
      <c r="A1276">
        <f t="shared" si="19"/>
        <v>1275</v>
      </c>
    </row>
    <row r="1277" spans="1:1" x14ac:dyDescent="0.25">
      <c r="A1277">
        <f t="shared" si="19"/>
        <v>1276</v>
      </c>
    </row>
    <row r="1278" spans="1:1" x14ac:dyDescent="0.25">
      <c r="A1278">
        <f t="shared" si="19"/>
        <v>1277</v>
      </c>
    </row>
    <row r="1279" spans="1:1" x14ac:dyDescent="0.25">
      <c r="A1279">
        <f t="shared" si="19"/>
        <v>1278</v>
      </c>
    </row>
    <row r="1280" spans="1:1" x14ac:dyDescent="0.25">
      <c r="A1280">
        <f t="shared" si="19"/>
        <v>1279</v>
      </c>
    </row>
    <row r="1281" spans="1:2" x14ac:dyDescent="0.25">
      <c r="A1281">
        <f t="shared" si="19"/>
        <v>1280</v>
      </c>
    </row>
    <row r="1282" spans="1:2" x14ac:dyDescent="0.25">
      <c r="A1282">
        <f t="shared" si="19"/>
        <v>1281</v>
      </c>
    </row>
    <row r="1283" spans="1:2" x14ac:dyDescent="0.25">
      <c r="A1283">
        <f t="shared" si="19"/>
        <v>1282</v>
      </c>
    </row>
    <row r="1284" spans="1:2" x14ac:dyDescent="0.25">
      <c r="A1284">
        <f t="shared" ref="A1284:A1347" si="20">A1283+1</f>
        <v>1283</v>
      </c>
    </row>
    <row r="1285" spans="1:2" x14ac:dyDescent="0.25">
      <c r="A1285">
        <f t="shared" si="20"/>
        <v>1284</v>
      </c>
    </row>
    <row r="1286" spans="1:2" x14ac:dyDescent="0.25">
      <c r="A1286">
        <f t="shared" si="20"/>
        <v>1285</v>
      </c>
    </row>
    <row r="1287" spans="1:2" x14ac:dyDescent="0.25">
      <c r="A1287">
        <f t="shared" si="20"/>
        <v>1286</v>
      </c>
      <c r="B1287" s="25">
        <v>40544</v>
      </c>
    </row>
    <row r="1288" spans="1:2" x14ac:dyDescent="0.25">
      <c r="A1288">
        <f t="shared" si="20"/>
        <v>1287</v>
      </c>
    </row>
    <row r="1289" spans="1:2" x14ac:dyDescent="0.25">
      <c r="A1289">
        <f t="shared" si="20"/>
        <v>1288</v>
      </c>
    </row>
    <row r="1290" spans="1:2" x14ac:dyDescent="0.25">
      <c r="A1290">
        <f t="shared" si="20"/>
        <v>1289</v>
      </c>
    </row>
    <row r="1291" spans="1:2" x14ac:dyDescent="0.25">
      <c r="A1291">
        <f t="shared" si="20"/>
        <v>1290</v>
      </c>
    </row>
    <row r="1292" spans="1:2" x14ac:dyDescent="0.25">
      <c r="A1292">
        <f t="shared" si="20"/>
        <v>1291</v>
      </c>
    </row>
    <row r="1293" spans="1:2" x14ac:dyDescent="0.25">
      <c r="A1293">
        <f t="shared" si="20"/>
        <v>1292</v>
      </c>
    </row>
    <row r="1294" spans="1:2" x14ac:dyDescent="0.25">
      <c r="A1294">
        <f t="shared" si="20"/>
        <v>1293</v>
      </c>
    </row>
    <row r="1295" spans="1:2" x14ac:dyDescent="0.25">
      <c r="A1295">
        <f t="shared" si="20"/>
        <v>1294</v>
      </c>
    </row>
    <row r="1296" spans="1:2" x14ac:dyDescent="0.25">
      <c r="A1296">
        <f t="shared" si="20"/>
        <v>1295</v>
      </c>
    </row>
    <row r="1297" spans="1:1" x14ac:dyDescent="0.25">
      <c r="A1297">
        <f t="shared" si="20"/>
        <v>1296</v>
      </c>
    </row>
    <row r="1298" spans="1:1" x14ac:dyDescent="0.25">
      <c r="A1298">
        <f t="shared" si="20"/>
        <v>1297</v>
      </c>
    </row>
    <row r="1299" spans="1:1" x14ac:dyDescent="0.25">
      <c r="A1299">
        <f t="shared" si="20"/>
        <v>1298</v>
      </c>
    </row>
    <row r="1300" spans="1:1" x14ac:dyDescent="0.25">
      <c r="A1300">
        <f t="shared" si="20"/>
        <v>1299</v>
      </c>
    </row>
    <row r="1301" spans="1:1" x14ac:dyDescent="0.25">
      <c r="A1301">
        <f t="shared" si="20"/>
        <v>1300</v>
      </c>
    </row>
    <row r="1302" spans="1:1" x14ac:dyDescent="0.25">
      <c r="A1302">
        <f t="shared" si="20"/>
        <v>1301</v>
      </c>
    </row>
    <row r="1303" spans="1:1" x14ac:dyDescent="0.25">
      <c r="A1303">
        <f t="shared" si="20"/>
        <v>1302</v>
      </c>
    </row>
    <row r="1304" spans="1:1" x14ac:dyDescent="0.25">
      <c r="A1304">
        <f t="shared" si="20"/>
        <v>1303</v>
      </c>
    </row>
    <row r="1305" spans="1:1" x14ac:dyDescent="0.25">
      <c r="A1305">
        <f t="shared" si="20"/>
        <v>1304</v>
      </c>
    </row>
    <row r="1306" spans="1:1" x14ac:dyDescent="0.25">
      <c r="A1306">
        <f t="shared" si="20"/>
        <v>1305</v>
      </c>
    </row>
    <row r="1307" spans="1:1" x14ac:dyDescent="0.25">
      <c r="A1307">
        <f t="shared" si="20"/>
        <v>1306</v>
      </c>
    </row>
    <row r="1308" spans="1:1" x14ac:dyDescent="0.25">
      <c r="A1308">
        <f t="shared" si="20"/>
        <v>1307</v>
      </c>
    </row>
    <row r="1309" spans="1:1" x14ac:dyDescent="0.25">
      <c r="A1309">
        <f t="shared" si="20"/>
        <v>1308</v>
      </c>
    </row>
    <row r="1310" spans="1:1" x14ac:dyDescent="0.25">
      <c r="A1310">
        <f t="shared" si="20"/>
        <v>1309</v>
      </c>
    </row>
    <row r="1311" spans="1:1" x14ac:dyDescent="0.25">
      <c r="A1311">
        <f t="shared" si="20"/>
        <v>1310</v>
      </c>
    </row>
    <row r="1312" spans="1:1" x14ac:dyDescent="0.25">
      <c r="A1312">
        <f t="shared" si="20"/>
        <v>1311</v>
      </c>
    </row>
    <row r="1313" spans="1:1" x14ac:dyDescent="0.25">
      <c r="A1313">
        <f t="shared" si="20"/>
        <v>1312</v>
      </c>
    </row>
    <row r="1314" spans="1:1" x14ac:dyDescent="0.25">
      <c r="A1314">
        <f t="shared" si="20"/>
        <v>1313</v>
      </c>
    </row>
    <row r="1315" spans="1:1" x14ac:dyDescent="0.25">
      <c r="A1315">
        <f t="shared" si="20"/>
        <v>1314</v>
      </c>
    </row>
    <row r="1316" spans="1:1" x14ac:dyDescent="0.25">
      <c r="A1316">
        <f t="shared" si="20"/>
        <v>1315</v>
      </c>
    </row>
    <row r="1317" spans="1:1" x14ac:dyDescent="0.25">
      <c r="A1317">
        <f t="shared" si="20"/>
        <v>1316</v>
      </c>
    </row>
    <row r="1318" spans="1:1" x14ac:dyDescent="0.25">
      <c r="A1318">
        <f t="shared" si="20"/>
        <v>1317</v>
      </c>
    </row>
    <row r="1319" spans="1:1" x14ac:dyDescent="0.25">
      <c r="A1319">
        <f t="shared" si="20"/>
        <v>1318</v>
      </c>
    </row>
    <row r="1320" spans="1:1" x14ac:dyDescent="0.25">
      <c r="A1320">
        <f t="shared" si="20"/>
        <v>1319</v>
      </c>
    </row>
    <row r="1321" spans="1:1" x14ac:dyDescent="0.25">
      <c r="A1321">
        <f t="shared" si="20"/>
        <v>1320</v>
      </c>
    </row>
    <row r="1322" spans="1:1" x14ac:dyDescent="0.25">
      <c r="A1322">
        <f t="shared" si="20"/>
        <v>1321</v>
      </c>
    </row>
    <row r="1323" spans="1:1" x14ac:dyDescent="0.25">
      <c r="A1323">
        <f t="shared" si="20"/>
        <v>1322</v>
      </c>
    </row>
    <row r="1324" spans="1:1" x14ac:dyDescent="0.25">
      <c r="A1324">
        <f t="shared" si="20"/>
        <v>1323</v>
      </c>
    </row>
    <row r="1325" spans="1:1" x14ac:dyDescent="0.25">
      <c r="A1325">
        <f t="shared" si="20"/>
        <v>1324</v>
      </c>
    </row>
    <row r="1326" spans="1:1" x14ac:dyDescent="0.25">
      <c r="A1326">
        <f t="shared" si="20"/>
        <v>1325</v>
      </c>
    </row>
    <row r="1327" spans="1:1" x14ac:dyDescent="0.25">
      <c r="A1327">
        <f t="shared" si="20"/>
        <v>1326</v>
      </c>
    </row>
    <row r="1328" spans="1:1" x14ac:dyDescent="0.25">
      <c r="A1328">
        <f t="shared" si="20"/>
        <v>1327</v>
      </c>
    </row>
    <row r="1329" spans="1:1" x14ac:dyDescent="0.25">
      <c r="A1329">
        <f t="shared" si="20"/>
        <v>1328</v>
      </c>
    </row>
    <row r="1330" spans="1:1" x14ac:dyDescent="0.25">
      <c r="A1330">
        <f t="shared" si="20"/>
        <v>1329</v>
      </c>
    </row>
    <row r="1331" spans="1:1" x14ac:dyDescent="0.25">
      <c r="A1331">
        <f t="shared" si="20"/>
        <v>1330</v>
      </c>
    </row>
    <row r="1332" spans="1:1" x14ac:dyDescent="0.25">
      <c r="A1332">
        <f t="shared" si="20"/>
        <v>1331</v>
      </c>
    </row>
    <row r="1333" spans="1:1" x14ac:dyDescent="0.25">
      <c r="A1333">
        <f t="shared" si="20"/>
        <v>1332</v>
      </c>
    </row>
    <row r="1334" spans="1:1" x14ac:dyDescent="0.25">
      <c r="A1334">
        <f t="shared" si="20"/>
        <v>1333</v>
      </c>
    </row>
    <row r="1335" spans="1:1" x14ac:dyDescent="0.25">
      <c r="A1335">
        <f t="shared" si="20"/>
        <v>1334</v>
      </c>
    </row>
    <row r="1336" spans="1:1" x14ac:dyDescent="0.25">
      <c r="A1336">
        <f t="shared" si="20"/>
        <v>1335</v>
      </c>
    </row>
    <row r="1337" spans="1:1" x14ac:dyDescent="0.25">
      <c r="A1337">
        <f t="shared" si="20"/>
        <v>1336</v>
      </c>
    </row>
    <row r="1338" spans="1:1" x14ac:dyDescent="0.25">
      <c r="A1338">
        <f t="shared" si="20"/>
        <v>1337</v>
      </c>
    </row>
    <row r="1339" spans="1:1" x14ac:dyDescent="0.25">
      <c r="A1339">
        <f t="shared" si="20"/>
        <v>1338</v>
      </c>
    </row>
    <row r="1340" spans="1:1" x14ac:dyDescent="0.25">
      <c r="A1340">
        <f t="shared" si="20"/>
        <v>1339</v>
      </c>
    </row>
    <row r="1341" spans="1:1" x14ac:dyDescent="0.25">
      <c r="A1341">
        <f t="shared" si="20"/>
        <v>1340</v>
      </c>
    </row>
    <row r="1342" spans="1:1" x14ac:dyDescent="0.25">
      <c r="A1342">
        <f t="shared" si="20"/>
        <v>1341</v>
      </c>
    </row>
    <row r="1343" spans="1:1" x14ac:dyDescent="0.25">
      <c r="A1343">
        <f t="shared" si="20"/>
        <v>1342</v>
      </c>
    </row>
    <row r="1344" spans="1:1" x14ac:dyDescent="0.25">
      <c r="A1344">
        <f t="shared" si="20"/>
        <v>1343</v>
      </c>
    </row>
    <row r="1345" spans="1:1" x14ac:dyDescent="0.25">
      <c r="A1345">
        <f t="shared" si="20"/>
        <v>1344</v>
      </c>
    </row>
    <row r="1346" spans="1:1" x14ac:dyDescent="0.25">
      <c r="A1346">
        <f t="shared" si="20"/>
        <v>1345</v>
      </c>
    </row>
    <row r="1347" spans="1:1" x14ac:dyDescent="0.25">
      <c r="A1347">
        <f t="shared" si="20"/>
        <v>1346</v>
      </c>
    </row>
    <row r="1348" spans="1:1" x14ac:dyDescent="0.25">
      <c r="A1348">
        <f t="shared" ref="A1348:A1411" si="21">A1347+1</f>
        <v>1347</v>
      </c>
    </row>
    <row r="1349" spans="1:1" x14ac:dyDescent="0.25">
      <c r="A1349">
        <f t="shared" si="21"/>
        <v>1348</v>
      </c>
    </row>
    <row r="1350" spans="1:1" x14ac:dyDescent="0.25">
      <c r="A1350">
        <f t="shared" si="21"/>
        <v>1349</v>
      </c>
    </row>
    <row r="1351" spans="1:1" x14ac:dyDescent="0.25">
      <c r="A1351">
        <f t="shared" si="21"/>
        <v>1350</v>
      </c>
    </row>
    <row r="1352" spans="1:1" x14ac:dyDescent="0.25">
      <c r="A1352">
        <f t="shared" si="21"/>
        <v>1351</v>
      </c>
    </row>
    <row r="1353" spans="1:1" x14ac:dyDescent="0.25">
      <c r="A1353">
        <f t="shared" si="21"/>
        <v>1352</v>
      </c>
    </row>
    <row r="1354" spans="1:1" x14ac:dyDescent="0.25">
      <c r="A1354">
        <f t="shared" si="21"/>
        <v>1353</v>
      </c>
    </row>
    <row r="1355" spans="1:1" x14ac:dyDescent="0.25">
      <c r="A1355">
        <f t="shared" si="21"/>
        <v>1354</v>
      </c>
    </row>
    <row r="1356" spans="1:1" x14ac:dyDescent="0.25">
      <c r="A1356">
        <f t="shared" si="21"/>
        <v>1355</v>
      </c>
    </row>
    <row r="1357" spans="1:1" x14ac:dyDescent="0.25">
      <c r="A1357">
        <f t="shared" si="21"/>
        <v>1356</v>
      </c>
    </row>
    <row r="1358" spans="1:1" x14ac:dyDescent="0.25">
      <c r="A1358">
        <f t="shared" si="21"/>
        <v>1357</v>
      </c>
    </row>
    <row r="1359" spans="1:1" x14ac:dyDescent="0.25">
      <c r="A1359">
        <f t="shared" si="21"/>
        <v>1358</v>
      </c>
    </row>
    <row r="1360" spans="1:1" x14ac:dyDescent="0.25">
      <c r="A1360">
        <f t="shared" si="21"/>
        <v>1359</v>
      </c>
    </row>
    <row r="1361" spans="1:1" x14ac:dyDescent="0.25">
      <c r="A1361">
        <f t="shared" si="21"/>
        <v>1360</v>
      </c>
    </row>
    <row r="1362" spans="1:1" x14ac:dyDescent="0.25">
      <c r="A1362">
        <f t="shared" si="21"/>
        <v>1361</v>
      </c>
    </row>
    <row r="1363" spans="1:1" x14ac:dyDescent="0.25">
      <c r="A1363">
        <f t="shared" si="21"/>
        <v>1362</v>
      </c>
    </row>
    <row r="1364" spans="1:1" x14ac:dyDescent="0.25">
      <c r="A1364">
        <f t="shared" si="21"/>
        <v>1363</v>
      </c>
    </row>
    <row r="1365" spans="1:1" x14ac:dyDescent="0.25">
      <c r="A1365">
        <f t="shared" si="21"/>
        <v>1364</v>
      </c>
    </row>
    <row r="1366" spans="1:1" x14ac:dyDescent="0.25">
      <c r="A1366">
        <f t="shared" si="21"/>
        <v>1365</v>
      </c>
    </row>
    <row r="1367" spans="1:1" x14ac:dyDescent="0.25">
      <c r="A1367">
        <f t="shared" si="21"/>
        <v>1366</v>
      </c>
    </row>
    <row r="1368" spans="1:1" x14ac:dyDescent="0.25">
      <c r="A1368">
        <f t="shared" si="21"/>
        <v>1367</v>
      </c>
    </row>
    <row r="1369" spans="1:1" x14ac:dyDescent="0.25">
      <c r="A1369">
        <f t="shared" si="21"/>
        <v>1368</v>
      </c>
    </row>
    <row r="1370" spans="1:1" x14ac:dyDescent="0.25">
      <c r="A1370">
        <f t="shared" si="21"/>
        <v>1369</v>
      </c>
    </row>
    <row r="1371" spans="1:1" x14ac:dyDescent="0.25">
      <c r="A1371">
        <f t="shared" si="21"/>
        <v>1370</v>
      </c>
    </row>
    <row r="1372" spans="1:1" x14ac:dyDescent="0.25">
      <c r="A1372">
        <f t="shared" si="21"/>
        <v>1371</v>
      </c>
    </row>
    <row r="1373" spans="1:1" x14ac:dyDescent="0.25">
      <c r="A1373">
        <f t="shared" si="21"/>
        <v>1372</v>
      </c>
    </row>
    <row r="1374" spans="1:1" x14ac:dyDescent="0.25">
      <c r="A1374">
        <f t="shared" si="21"/>
        <v>1373</v>
      </c>
    </row>
    <row r="1375" spans="1:1" x14ac:dyDescent="0.25">
      <c r="A1375">
        <f t="shared" si="21"/>
        <v>1374</v>
      </c>
    </row>
    <row r="1376" spans="1:1" x14ac:dyDescent="0.25">
      <c r="A1376">
        <f t="shared" si="21"/>
        <v>1375</v>
      </c>
    </row>
    <row r="1377" spans="1:1" x14ac:dyDescent="0.25">
      <c r="A1377">
        <f t="shared" si="21"/>
        <v>1376</v>
      </c>
    </row>
    <row r="1378" spans="1:1" x14ac:dyDescent="0.25">
      <c r="A1378">
        <f t="shared" si="21"/>
        <v>1377</v>
      </c>
    </row>
    <row r="1379" spans="1:1" x14ac:dyDescent="0.25">
      <c r="A1379">
        <f t="shared" si="21"/>
        <v>1378</v>
      </c>
    </row>
    <row r="1380" spans="1:1" x14ac:dyDescent="0.25">
      <c r="A1380">
        <f t="shared" si="21"/>
        <v>1379</v>
      </c>
    </row>
    <row r="1381" spans="1:1" x14ac:dyDescent="0.25">
      <c r="A1381">
        <f t="shared" si="21"/>
        <v>1380</v>
      </c>
    </row>
    <row r="1382" spans="1:1" x14ac:dyDescent="0.25">
      <c r="A1382">
        <f t="shared" si="21"/>
        <v>1381</v>
      </c>
    </row>
    <row r="1383" spans="1:1" x14ac:dyDescent="0.25">
      <c r="A1383">
        <f t="shared" si="21"/>
        <v>1382</v>
      </c>
    </row>
    <row r="1384" spans="1:1" x14ac:dyDescent="0.25">
      <c r="A1384">
        <f t="shared" si="21"/>
        <v>1383</v>
      </c>
    </row>
    <row r="1385" spans="1:1" x14ac:dyDescent="0.25">
      <c r="A1385">
        <f t="shared" si="21"/>
        <v>1384</v>
      </c>
    </row>
    <row r="1386" spans="1:1" x14ac:dyDescent="0.25">
      <c r="A1386">
        <f t="shared" si="21"/>
        <v>1385</v>
      </c>
    </row>
    <row r="1387" spans="1:1" x14ac:dyDescent="0.25">
      <c r="A1387">
        <f t="shared" si="21"/>
        <v>1386</v>
      </c>
    </row>
    <row r="1388" spans="1:1" x14ac:dyDescent="0.25">
      <c r="A1388">
        <f t="shared" si="21"/>
        <v>1387</v>
      </c>
    </row>
    <row r="1389" spans="1:1" x14ac:dyDescent="0.25">
      <c r="A1389">
        <f t="shared" si="21"/>
        <v>1388</v>
      </c>
    </row>
    <row r="1390" spans="1:1" x14ac:dyDescent="0.25">
      <c r="A1390">
        <f t="shared" si="21"/>
        <v>1389</v>
      </c>
    </row>
    <row r="1391" spans="1:1" x14ac:dyDescent="0.25">
      <c r="A1391">
        <f t="shared" si="21"/>
        <v>1390</v>
      </c>
    </row>
    <row r="1392" spans="1:1" x14ac:dyDescent="0.25">
      <c r="A1392">
        <f t="shared" si="21"/>
        <v>1391</v>
      </c>
    </row>
    <row r="1393" spans="1:1" x14ac:dyDescent="0.25">
      <c r="A1393">
        <f t="shared" si="21"/>
        <v>1392</v>
      </c>
    </row>
    <row r="1394" spans="1:1" x14ac:dyDescent="0.25">
      <c r="A1394">
        <f t="shared" si="21"/>
        <v>1393</v>
      </c>
    </row>
    <row r="1395" spans="1:1" x14ac:dyDescent="0.25">
      <c r="A1395">
        <f t="shared" si="21"/>
        <v>1394</v>
      </c>
    </row>
    <row r="1396" spans="1:1" x14ac:dyDescent="0.25">
      <c r="A1396">
        <f t="shared" si="21"/>
        <v>1395</v>
      </c>
    </row>
    <row r="1397" spans="1:1" x14ac:dyDescent="0.25">
      <c r="A1397">
        <f t="shared" si="21"/>
        <v>1396</v>
      </c>
    </row>
    <row r="1398" spans="1:1" x14ac:dyDescent="0.25">
      <c r="A1398">
        <f t="shared" si="21"/>
        <v>1397</v>
      </c>
    </row>
    <row r="1399" spans="1:1" x14ac:dyDescent="0.25">
      <c r="A1399">
        <f t="shared" si="21"/>
        <v>1398</v>
      </c>
    </row>
    <row r="1400" spans="1:1" x14ac:dyDescent="0.25">
      <c r="A1400">
        <f t="shared" si="21"/>
        <v>1399</v>
      </c>
    </row>
    <row r="1401" spans="1:1" x14ac:dyDescent="0.25">
      <c r="A1401">
        <f t="shared" si="21"/>
        <v>1400</v>
      </c>
    </row>
    <row r="1402" spans="1:1" x14ac:dyDescent="0.25">
      <c r="A1402">
        <f t="shared" si="21"/>
        <v>1401</v>
      </c>
    </row>
    <row r="1403" spans="1:1" x14ac:dyDescent="0.25">
      <c r="A1403">
        <f t="shared" si="21"/>
        <v>1402</v>
      </c>
    </row>
    <row r="1404" spans="1:1" x14ac:dyDescent="0.25">
      <c r="A1404">
        <f t="shared" si="21"/>
        <v>1403</v>
      </c>
    </row>
    <row r="1405" spans="1:1" x14ac:dyDescent="0.25">
      <c r="A1405">
        <f t="shared" si="21"/>
        <v>1404</v>
      </c>
    </row>
    <row r="1406" spans="1:1" x14ac:dyDescent="0.25">
      <c r="A1406">
        <f t="shared" si="21"/>
        <v>1405</v>
      </c>
    </row>
    <row r="1407" spans="1:1" x14ac:dyDescent="0.25">
      <c r="A1407">
        <f t="shared" si="21"/>
        <v>1406</v>
      </c>
    </row>
    <row r="1408" spans="1:1" x14ac:dyDescent="0.25">
      <c r="A1408">
        <f t="shared" si="21"/>
        <v>1407</v>
      </c>
    </row>
    <row r="1409" spans="1:1" x14ac:dyDescent="0.25">
      <c r="A1409">
        <f t="shared" si="21"/>
        <v>1408</v>
      </c>
    </row>
    <row r="1410" spans="1:1" x14ac:dyDescent="0.25">
      <c r="A1410">
        <f t="shared" si="21"/>
        <v>1409</v>
      </c>
    </row>
    <row r="1411" spans="1:1" x14ac:dyDescent="0.25">
      <c r="A1411">
        <f t="shared" si="21"/>
        <v>1410</v>
      </c>
    </row>
    <row r="1412" spans="1:1" x14ac:dyDescent="0.25">
      <c r="A1412">
        <f t="shared" ref="A1412:A1475" si="22">A1411+1</f>
        <v>1411</v>
      </c>
    </row>
    <row r="1413" spans="1:1" x14ac:dyDescent="0.25">
      <c r="A1413">
        <f t="shared" si="22"/>
        <v>1412</v>
      </c>
    </row>
    <row r="1414" spans="1:1" x14ac:dyDescent="0.25">
      <c r="A1414">
        <f t="shared" si="22"/>
        <v>1413</v>
      </c>
    </row>
    <row r="1415" spans="1:1" x14ac:dyDescent="0.25">
      <c r="A1415">
        <f t="shared" si="22"/>
        <v>1414</v>
      </c>
    </row>
    <row r="1416" spans="1:1" x14ac:dyDescent="0.25">
      <c r="A1416">
        <f t="shared" si="22"/>
        <v>1415</v>
      </c>
    </row>
    <row r="1417" spans="1:1" x14ac:dyDescent="0.25">
      <c r="A1417">
        <f t="shared" si="22"/>
        <v>1416</v>
      </c>
    </row>
    <row r="1418" spans="1:1" x14ac:dyDescent="0.25">
      <c r="A1418">
        <f t="shared" si="22"/>
        <v>1417</v>
      </c>
    </row>
    <row r="1419" spans="1:1" x14ac:dyDescent="0.25">
      <c r="A1419">
        <f t="shared" si="22"/>
        <v>1418</v>
      </c>
    </row>
    <row r="1420" spans="1:1" x14ac:dyDescent="0.25">
      <c r="A1420">
        <f t="shared" si="22"/>
        <v>1419</v>
      </c>
    </row>
    <row r="1421" spans="1:1" x14ac:dyDescent="0.25">
      <c r="A1421">
        <f t="shared" si="22"/>
        <v>1420</v>
      </c>
    </row>
    <row r="1422" spans="1:1" x14ac:dyDescent="0.25">
      <c r="A1422">
        <f t="shared" si="22"/>
        <v>1421</v>
      </c>
    </row>
    <row r="1423" spans="1:1" x14ac:dyDescent="0.25">
      <c r="A1423">
        <f t="shared" si="22"/>
        <v>1422</v>
      </c>
    </row>
    <row r="1424" spans="1:1" x14ac:dyDescent="0.25">
      <c r="A1424">
        <f t="shared" si="22"/>
        <v>1423</v>
      </c>
    </row>
    <row r="1425" spans="1:1" x14ac:dyDescent="0.25">
      <c r="A1425">
        <f t="shared" si="22"/>
        <v>1424</v>
      </c>
    </row>
    <row r="1426" spans="1:1" x14ac:dyDescent="0.25">
      <c r="A1426">
        <f t="shared" si="22"/>
        <v>1425</v>
      </c>
    </row>
    <row r="1427" spans="1:1" x14ac:dyDescent="0.25">
      <c r="A1427">
        <f t="shared" si="22"/>
        <v>1426</v>
      </c>
    </row>
    <row r="1428" spans="1:1" x14ac:dyDescent="0.25">
      <c r="A1428">
        <f t="shared" si="22"/>
        <v>1427</v>
      </c>
    </row>
    <row r="1429" spans="1:1" x14ac:dyDescent="0.25">
      <c r="A1429">
        <f t="shared" si="22"/>
        <v>1428</v>
      </c>
    </row>
    <row r="1430" spans="1:1" x14ac:dyDescent="0.25">
      <c r="A1430">
        <f t="shared" si="22"/>
        <v>1429</v>
      </c>
    </row>
    <row r="1431" spans="1:1" x14ac:dyDescent="0.25">
      <c r="A1431">
        <f t="shared" si="22"/>
        <v>1430</v>
      </c>
    </row>
    <row r="1432" spans="1:1" x14ac:dyDescent="0.25">
      <c r="A1432">
        <f t="shared" si="22"/>
        <v>1431</v>
      </c>
    </row>
    <row r="1433" spans="1:1" x14ac:dyDescent="0.25">
      <c r="A1433">
        <f t="shared" si="22"/>
        <v>1432</v>
      </c>
    </row>
    <row r="1434" spans="1:1" x14ac:dyDescent="0.25">
      <c r="A1434">
        <f t="shared" si="22"/>
        <v>1433</v>
      </c>
    </row>
    <row r="1435" spans="1:1" x14ac:dyDescent="0.25">
      <c r="A1435">
        <f t="shared" si="22"/>
        <v>1434</v>
      </c>
    </row>
    <row r="1436" spans="1:1" x14ac:dyDescent="0.25">
      <c r="A1436">
        <f t="shared" si="22"/>
        <v>1435</v>
      </c>
    </row>
    <row r="1437" spans="1:1" x14ac:dyDescent="0.25">
      <c r="A1437">
        <f t="shared" si="22"/>
        <v>1436</v>
      </c>
    </row>
    <row r="1438" spans="1:1" x14ac:dyDescent="0.25">
      <c r="A1438">
        <f t="shared" si="22"/>
        <v>1437</v>
      </c>
    </row>
    <row r="1439" spans="1:1" x14ac:dyDescent="0.25">
      <c r="A1439">
        <f t="shared" si="22"/>
        <v>1438</v>
      </c>
    </row>
    <row r="1440" spans="1:1" x14ac:dyDescent="0.25">
      <c r="A1440">
        <f t="shared" si="22"/>
        <v>1439</v>
      </c>
    </row>
    <row r="1441" spans="1:1" x14ac:dyDescent="0.25">
      <c r="A1441">
        <f t="shared" si="22"/>
        <v>1440</v>
      </c>
    </row>
    <row r="1442" spans="1:1" x14ac:dyDescent="0.25">
      <c r="A1442">
        <f t="shared" si="22"/>
        <v>1441</v>
      </c>
    </row>
    <row r="1443" spans="1:1" x14ac:dyDescent="0.25">
      <c r="A1443">
        <f t="shared" si="22"/>
        <v>1442</v>
      </c>
    </row>
    <row r="1444" spans="1:1" x14ac:dyDescent="0.25">
      <c r="A1444">
        <f t="shared" si="22"/>
        <v>1443</v>
      </c>
    </row>
    <row r="1445" spans="1:1" x14ac:dyDescent="0.25">
      <c r="A1445">
        <f t="shared" si="22"/>
        <v>1444</v>
      </c>
    </row>
    <row r="1446" spans="1:1" x14ac:dyDescent="0.25">
      <c r="A1446">
        <f t="shared" si="22"/>
        <v>1445</v>
      </c>
    </row>
    <row r="1447" spans="1:1" x14ac:dyDescent="0.25">
      <c r="A1447">
        <f t="shared" si="22"/>
        <v>1446</v>
      </c>
    </row>
    <row r="1448" spans="1:1" x14ac:dyDescent="0.25">
      <c r="A1448">
        <f t="shared" si="22"/>
        <v>1447</v>
      </c>
    </row>
    <row r="1449" spans="1:1" x14ac:dyDescent="0.25">
      <c r="A1449">
        <f t="shared" si="22"/>
        <v>1448</v>
      </c>
    </row>
    <row r="1450" spans="1:1" x14ac:dyDescent="0.25">
      <c r="A1450">
        <f t="shared" si="22"/>
        <v>1449</v>
      </c>
    </row>
    <row r="1451" spans="1:1" x14ac:dyDescent="0.25">
      <c r="A1451">
        <f t="shared" si="22"/>
        <v>1450</v>
      </c>
    </row>
    <row r="1452" spans="1:1" x14ac:dyDescent="0.25">
      <c r="A1452">
        <f t="shared" si="22"/>
        <v>1451</v>
      </c>
    </row>
    <row r="1453" spans="1:1" x14ac:dyDescent="0.25">
      <c r="A1453">
        <f t="shared" si="22"/>
        <v>1452</v>
      </c>
    </row>
    <row r="1454" spans="1:1" x14ac:dyDescent="0.25">
      <c r="A1454">
        <f t="shared" si="22"/>
        <v>1453</v>
      </c>
    </row>
    <row r="1455" spans="1:1" x14ac:dyDescent="0.25">
      <c r="A1455">
        <f t="shared" si="22"/>
        <v>1454</v>
      </c>
    </row>
    <row r="1456" spans="1:1" x14ac:dyDescent="0.25">
      <c r="A1456">
        <f t="shared" si="22"/>
        <v>1455</v>
      </c>
    </row>
    <row r="1457" spans="1:1" x14ac:dyDescent="0.25">
      <c r="A1457">
        <f t="shared" si="22"/>
        <v>1456</v>
      </c>
    </row>
    <row r="1458" spans="1:1" x14ac:dyDescent="0.25">
      <c r="A1458">
        <f t="shared" si="22"/>
        <v>1457</v>
      </c>
    </row>
    <row r="1459" spans="1:1" x14ac:dyDescent="0.25">
      <c r="A1459">
        <f t="shared" si="22"/>
        <v>1458</v>
      </c>
    </row>
    <row r="1460" spans="1:1" x14ac:dyDescent="0.25">
      <c r="A1460">
        <f t="shared" si="22"/>
        <v>1459</v>
      </c>
    </row>
    <row r="1461" spans="1:1" x14ac:dyDescent="0.25">
      <c r="A1461">
        <f t="shared" si="22"/>
        <v>1460</v>
      </c>
    </row>
    <row r="1462" spans="1:1" x14ac:dyDescent="0.25">
      <c r="A1462">
        <f t="shared" si="22"/>
        <v>1461</v>
      </c>
    </row>
    <row r="1463" spans="1:1" x14ac:dyDescent="0.25">
      <c r="A1463">
        <f t="shared" si="22"/>
        <v>1462</v>
      </c>
    </row>
    <row r="1464" spans="1:1" x14ac:dyDescent="0.25">
      <c r="A1464">
        <f t="shared" si="22"/>
        <v>1463</v>
      </c>
    </row>
    <row r="1465" spans="1:1" x14ac:dyDescent="0.25">
      <c r="A1465">
        <f t="shared" si="22"/>
        <v>1464</v>
      </c>
    </row>
    <row r="1466" spans="1:1" x14ac:dyDescent="0.25">
      <c r="A1466">
        <f t="shared" si="22"/>
        <v>1465</v>
      </c>
    </row>
    <row r="1467" spans="1:1" x14ac:dyDescent="0.25">
      <c r="A1467">
        <f t="shared" si="22"/>
        <v>1466</v>
      </c>
    </row>
    <row r="1468" spans="1:1" x14ac:dyDescent="0.25">
      <c r="A1468">
        <f t="shared" si="22"/>
        <v>1467</v>
      </c>
    </row>
    <row r="1469" spans="1:1" x14ac:dyDescent="0.25">
      <c r="A1469">
        <f t="shared" si="22"/>
        <v>1468</v>
      </c>
    </row>
    <row r="1470" spans="1:1" x14ac:dyDescent="0.25">
      <c r="A1470">
        <f t="shared" si="22"/>
        <v>1469</v>
      </c>
    </row>
    <row r="1471" spans="1:1" x14ac:dyDescent="0.25">
      <c r="A1471">
        <f t="shared" si="22"/>
        <v>1470</v>
      </c>
    </row>
    <row r="1472" spans="1:1" x14ac:dyDescent="0.25">
      <c r="A1472">
        <f t="shared" si="22"/>
        <v>1471</v>
      </c>
    </row>
    <row r="1473" spans="1:1" x14ac:dyDescent="0.25">
      <c r="A1473">
        <f t="shared" si="22"/>
        <v>1472</v>
      </c>
    </row>
    <row r="1474" spans="1:1" x14ac:dyDescent="0.25">
      <c r="A1474">
        <f t="shared" si="22"/>
        <v>1473</v>
      </c>
    </row>
    <row r="1475" spans="1:1" x14ac:dyDescent="0.25">
      <c r="A1475">
        <f t="shared" si="22"/>
        <v>1474</v>
      </c>
    </row>
    <row r="1476" spans="1:1" x14ac:dyDescent="0.25">
      <c r="A1476">
        <f t="shared" ref="A1476:A1539" si="23">A1475+1</f>
        <v>1475</v>
      </c>
    </row>
    <row r="1477" spans="1:1" x14ac:dyDescent="0.25">
      <c r="A1477">
        <f t="shared" si="23"/>
        <v>1476</v>
      </c>
    </row>
    <row r="1478" spans="1:1" x14ac:dyDescent="0.25">
      <c r="A1478">
        <f t="shared" si="23"/>
        <v>1477</v>
      </c>
    </row>
    <row r="1479" spans="1:1" x14ac:dyDescent="0.25">
      <c r="A1479">
        <f t="shared" si="23"/>
        <v>1478</v>
      </c>
    </row>
    <row r="1480" spans="1:1" x14ac:dyDescent="0.25">
      <c r="A1480">
        <f t="shared" si="23"/>
        <v>1479</v>
      </c>
    </row>
    <row r="1481" spans="1:1" x14ac:dyDescent="0.25">
      <c r="A1481">
        <f t="shared" si="23"/>
        <v>1480</v>
      </c>
    </row>
    <row r="1482" spans="1:1" x14ac:dyDescent="0.25">
      <c r="A1482">
        <f t="shared" si="23"/>
        <v>1481</v>
      </c>
    </row>
    <row r="1483" spans="1:1" x14ac:dyDescent="0.25">
      <c r="A1483">
        <f t="shared" si="23"/>
        <v>1482</v>
      </c>
    </row>
    <row r="1484" spans="1:1" x14ac:dyDescent="0.25">
      <c r="A1484">
        <f t="shared" si="23"/>
        <v>1483</v>
      </c>
    </row>
    <row r="1485" spans="1:1" x14ac:dyDescent="0.25">
      <c r="A1485">
        <f t="shared" si="23"/>
        <v>1484</v>
      </c>
    </row>
    <row r="1486" spans="1:1" x14ac:dyDescent="0.25">
      <c r="A1486">
        <f t="shared" si="23"/>
        <v>1485</v>
      </c>
    </row>
    <row r="1487" spans="1:1" x14ac:dyDescent="0.25">
      <c r="A1487">
        <f t="shared" si="23"/>
        <v>1486</v>
      </c>
    </row>
    <row r="1488" spans="1:1" x14ac:dyDescent="0.25">
      <c r="A1488">
        <f t="shared" si="23"/>
        <v>1487</v>
      </c>
    </row>
    <row r="1489" spans="1:1" x14ac:dyDescent="0.25">
      <c r="A1489">
        <f t="shared" si="23"/>
        <v>1488</v>
      </c>
    </row>
    <row r="1490" spans="1:1" x14ac:dyDescent="0.25">
      <c r="A1490">
        <f t="shared" si="23"/>
        <v>1489</v>
      </c>
    </row>
    <row r="1491" spans="1:1" x14ac:dyDescent="0.25">
      <c r="A1491">
        <f t="shared" si="23"/>
        <v>1490</v>
      </c>
    </row>
    <row r="1492" spans="1:1" x14ac:dyDescent="0.25">
      <c r="A1492">
        <f t="shared" si="23"/>
        <v>1491</v>
      </c>
    </row>
    <row r="1493" spans="1:1" x14ac:dyDescent="0.25">
      <c r="A1493">
        <f t="shared" si="23"/>
        <v>1492</v>
      </c>
    </row>
    <row r="1494" spans="1:1" x14ac:dyDescent="0.25">
      <c r="A1494">
        <f t="shared" si="23"/>
        <v>1493</v>
      </c>
    </row>
    <row r="1495" spans="1:1" x14ac:dyDescent="0.25">
      <c r="A1495">
        <f t="shared" si="23"/>
        <v>1494</v>
      </c>
    </row>
    <row r="1496" spans="1:1" x14ac:dyDescent="0.25">
      <c r="A1496">
        <f t="shared" si="23"/>
        <v>1495</v>
      </c>
    </row>
    <row r="1497" spans="1:1" x14ac:dyDescent="0.25">
      <c r="A1497">
        <f t="shared" si="23"/>
        <v>1496</v>
      </c>
    </row>
    <row r="1498" spans="1:1" x14ac:dyDescent="0.25">
      <c r="A1498">
        <f t="shared" si="23"/>
        <v>1497</v>
      </c>
    </row>
    <row r="1499" spans="1:1" x14ac:dyDescent="0.25">
      <c r="A1499">
        <f t="shared" si="23"/>
        <v>1498</v>
      </c>
    </row>
    <row r="1500" spans="1:1" x14ac:dyDescent="0.25">
      <c r="A1500">
        <f t="shared" si="23"/>
        <v>1499</v>
      </c>
    </row>
    <row r="1501" spans="1:1" x14ac:dyDescent="0.25">
      <c r="A1501">
        <f t="shared" si="23"/>
        <v>1500</v>
      </c>
    </row>
    <row r="1502" spans="1:1" x14ac:dyDescent="0.25">
      <c r="A1502">
        <f t="shared" si="23"/>
        <v>1501</v>
      </c>
    </row>
    <row r="1503" spans="1:1" x14ac:dyDescent="0.25">
      <c r="A1503">
        <f t="shared" si="23"/>
        <v>1502</v>
      </c>
    </row>
    <row r="1504" spans="1:1" x14ac:dyDescent="0.25">
      <c r="A1504">
        <f t="shared" si="23"/>
        <v>1503</v>
      </c>
    </row>
    <row r="1505" spans="1:1" x14ac:dyDescent="0.25">
      <c r="A1505">
        <f t="shared" si="23"/>
        <v>1504</v>
      </c>
    </row>
    <row r="1506" spans="1:1" x14ac:dyDescent="0.25">
      <c r="A1506">
        <f t="shared" si="23"/>
        <v>1505</v>
      </c>
    </row>
    <row r="1507" spans="1:1" x14ac:dyDescent="0.25">
      <c r="A1507">
        <f t="shared" si="23"/>
        <v>1506</v>
      </c>
    </row>
    <row r="1508" spans="1:1" x14ac:dyDescent="0.25">
      <c r="A1508">
        <f t="shared" si="23"/>
        <v>1507</v>
      </c>
    </row>
    <row r="1509" spans="1:1" x14ac:dyDescent="0.25">
      <c r="A1509">
        <f t="shared" si="23"/>
        <v>1508</v>
      </c>
    </row>
    <row r="1510" spans="1:1" x14ac:dyDescent="0.25">
      <c r="A1510">
        <f t="shared" si="23"/>
        <v>1509</v>
      </c>
    </row>
    <row r="1511" spans="1:1" x14ac:dyDescent="0.25">
      <c r="A1511">
        <f t="shared" si="23"/>
        <v>1510</v>
      </c>
    </row>
    <row r="1512" spans="1:1" x14ac:dyDescent="0.25">
      <c r="A1512">
        <f t="shared" si="23"/>
        <v>1511</v>
      </c>
    </row>
    <row r="1513" spans="1:1" x14ac:dyDescent="0.25">
      <c r="A1513">
        <f t="shared" si="23"/>
        <v>1512</v>
      </c>
    </row>
    <row r="1514" spans="1:1" x14ac:dyDescent="0.25">
      <c r="A1514">
        <f t="shared" si="23"/>
        <v>1513</v>
      </c>
    </row>
    <row r="1515" spans="1:1" x14ac:dyDescent="0.25">
      <c r="A1515">
        <f t="shared" si="23"/>
        <v>1514</v>
      </c>
    </row>
    <row r="1516" spans="1:1" x14ac:dyDescent="0.25">
      <c r="A1516">
        <f t="shared" si="23"/>
        <v>1515</v>
      </c>
    </row>
    <row r="1517" spans="1:1" x14ac:dyDescent="0.25">
      <c r="A1517">
        <f t="shared" si="23"/>
        <v>1516</v>
      </c>
    </row>
    <row r="1518" spans="1:1" x14ac:dyDescent="0.25">
      <c r="A1518">
        <f t="shared" si="23"/>
        <v>1517</v>
      </c>
    </row>
    <row r="1519" spans="1:1" x14ac:dyDescent="0.25">
      <c r="A1519">
        <f t="shared" si="23"/>
        <v>1518</v>
      </c>
    </row>
    <row r="1520" spans="1:1" x14ac:dyDescent="0.25">
      <c r="A1520">
        <f t="shared" si="23"/>
        <v>1519</v>
      </c>
    </row>
    <row r="1521" spans="1:1" x14ac:dyDescent="0.25">
      <c r="A1521">
        <f t="shared" si="23"/>
        <v>1520</v>
      </c>
    </row>
    <row r="1522" spans="1:1" x14ac:dyDescent="0.25">
      <c r="A1522">
        <f t="shared" si="23"/>
        <v>1521</v>
      </c>
    </row>
    <row r="1523" spans="1:1" x14ac:dyDescent="0.25">
      <c r="A1523">
        <f t="shared" si="23"/>
        <v>1522</v>
      </c>
    </row>
    <row r="1524" spans="1:1" x14ac:dyDescent="0.25">
      <c r="A1524">
        <f t="shared" si="23"/>
        <v>1523</v>
      </c>
    </row>
    <row r="1525" spans="1:1" x14ac:dyDescent="0.25">
      <c r="A1525">
        <f t="shared" si="23"/>
        <v>1524</v>
      </c>
    </row>
    <row r="1526" spans="1:1" x14ac:dyDescent="0.25">
      <c r="A1526">
        <f t="shared" si="23"/>
        <v>1525</v>
      </c>
    </row>
    <row r="1527" spans="1:1" x14ac:dyDescent="0.25">
      <c r="A1527">
        <f t="shared" si="23"/>
        <v>1526</v>
      </c>
    </row>
    <row r="1528" spans="1:1" x14ac:dyDescent="0.25">
      <c r="A1528">
        <f t="shared" si="23"/>
        <v>1527</v>
      </c>
    </row>
    <row r="1529" spans="1:1" x14ac:dyDescent="0.25">
      <c r="A1529">
        <f t="shared" si="23"/>
        <v>1528</v>
      </c>
    </row>
    <row r="1530" spans="1:1" x14ac:dyDescent="0.25">
      <c r="A1530">
        <f t="shared" si="23"/>
        <v>1529</v>
      </c>
    </row>
    <row r="1531" spans="1:1" x14ac:dyDescent="0.25">
      <c r="A1531">
        <f t="shared" si="23"/>
        <v>1530</v>
      </c>
    </row>
    <row r="1532" spans="1:1" x14ac:dyDescent="0.25">
      <c r="A1532">
        <f t="shared" si="23"/>
        <v>1531</v>
      </c>
    </row>
    <row r="1533" spans="1:1" x14ac:dyDescent="0.25">
      <c r="A1533">
        <f t="shared" si="23"/>
        <v>1532</v>
      </c>
    </row>
    <row r="1534" spans="1:1" x14ac:dyDescent="0.25">
      <c r="A1534">
        <f t="shared" si="23"/>
        <v>1533</v>
      </c>
    </row>
    <row r="1535" spans="1:1" x14ac:dyDescent="0.25">
      <c r="A1535">
        <f t="shared" si="23"/>
        <v>1534</v>
      </c>
    </row>
    <row r="1536" spans="1:1" x14ac:dyDescent="0.25">
      <c r="A1536">
        <f t="shared" si="23"/>
        <v>1535</v>
      </c>
    </row>
    <row r="1537" spans="1:1" x14ac:dyDescent="0.25">
      <c r="A1537">
        <f t="shared" si="23"/>
        <v>1536</v>
      </c>
    </row>
    <row r="1538" spans="1:1" x14ac:dyDescent="0.25">
      <c r="A1538">
        <f t="shared" si="23"/>
        <v>1537</v>
      </c>
    </row>
    <row r="1539" spans="1:1" x14ac:dyDescent="0.25">
      <c r="A1539">
        <f t="shared" si="23"/>
        <v>1538</v>
      </c>
    </row>
    <row r="1540" spans="1:1" x14ac:dyDescent="0.25">
      <c r="A1540">
        <f t="shared" ref="A1540:A1603" si="24">A1539+1</f>
        <v>1539</v>
      </c>
    </row>
    <row r="1541" spans="1:1" x14ac:dyDescent="0.25">
      <c r="A1541">
        <f t="shared" si="24"/>
        <v>1540</v>
      </c>
    </row>
    <row r="1542" spans="1:1" x14ac:dyDescent="0.25">
      <c r="A1542">
        <f t="shared" si="24"/>
        <v>1541</v>
      </c>
    </row>
    <row r="1543" spans="1:1" x14ac:dyDescent="0.25">
      <c r="A1543">
        <f t="shared" si="24"/>
        <v>1542</v>
      </c>
    </row>
    <row r="1544" spans="1:1" x14ac:dyDescent="0.25">
      <c r="A1544">
        <f t="shared" si="24"/>
        <v>1543</v>
      </c>
    </row>
    <row r="1545" spans="1:1" x14ac:dyDescent="0.25">
      <c r="A1545">
        <f t="shared" si="24"/>
        <v>1544</v>
      </c>
    </row>
    <row r="1546" spans="1:1" x14ac:dyDescent="0.25">
      <c r="A1546">
        <f t="shared" si="24"/>
        <v>1545</v>
      </c>
    </row>
    <row r="1547" spans="1:1" x14ac:dyDescent="0.25">
      <c r="A1547">
        <f t="shared" si="24"/>
        <v>1546</v>
      </c>
    </row>
    <row r="1548" spans="1:1" x14ac:dyDescent="0.25">
      <c r="A1548">
        <f t="shared" si="24"/>
        <v>1547</v>
      </c>
    </row>
    <row r="1549" spans="1:1" x14ac:dyDescent="0.25">
      <c r="A1549">
        <f t="shared" si="24"/>
        <v>1548</v>
      </c>
    </row>
    <row r="1550" spans="1:1" x14ac:dyDescent="0.25">
      <c r="A1550">
        <f t="shared" si="24"/>
        <v>1549</v>
      </c>
    </row>
    <row r="1551" spans="1:1" x14ac:dyDescent="0.25">
      <c r="A1551">
        <f t="shared" si="24"/>
        <v>1550</v>
      </c>
    </row>
    <row r="1552" spans="1:1" x14ac:dyDescent="0.25">
      <c r="A1552">
        <f t="shared" si="24"/>
        <v>1551</v>
      </c>
    </row>
    <row r="1553" spans="1:1" x14ac:dyDescent="0.25">
      <c r="A1553">
        <f t="shared" si="24"/>
        <v>1552</v>
      </c>
    </row>
    <row r="1554" spans="1:1" x14ac:dyDescent="0.25">
      <c r="A1554">
        <f t="shared" si="24"/>
        <v>1553</v>
      </c>
    </row>
    <row r="1555" spans="1:1" x14ac:dyDescent="0.25">
      <c r="A1555">
        <f t="shared" si="24"/>
        <v>1554</v>
      </c>
    </row>
    <row r="1556" spans="1:1" x14ac:dyDescent="0.25">
      <c r="A1556">
        <f t="shared" si="24"/>
        <v>1555</v>
      </c>
    </row>
    <row r="1557" spans="1:1" x14ac:dyDescent="0.25">
      <c r="A1557">
        <f t="shared" si="24"/>
        <v>1556</v>
      </c>
    </row>
    <row r="1558" spans="1:1" x14ac:dyDescent="0.25">
      <c r="A1558">
        <f t="shared" si="24"/>
        <v>1557</v>
      </c>
    </row>
    <row r="1559" spans="1:1" x14ac:dyDescent="0.25">
      <c r="A1559">
        <f t="shared" si="24"/>
        <v>1558</v>
      </c>
    </row>
    <row r="1560" spans="1:1" x14ac:dyDescent="0.25">
      <c r="A1560">
        <f t="shared" si="24"/>
        <v>1559</v>
      </c>
    </row>
    <row r="1561" spans="1:1" x14ac:dyDescent="0.25">
      <c r="A1561">
        <f t="shared" si="24"/>
        <v>1560</v>
      </c>
    </row>
    <row r="1562" spans="1:1" x14ac:dyDescent="0.25">
      <c r="A1562">
        <f t="shared" si="24"/>
        <v>1561</v>
      </c>
    </row>
    <row r="1563" spans="1:1" x14ac:dyDescent="0.25">
      <c r="A1563">
        <f t="shared" si="24"/>
        <v>1562</v>
      </c>
    </row>
    <row r="1564" spans="1:1" x14ac:dyDescent="0.25">
      <c r="A1564">
        <f t="shared" si="24"/>
        <v>1563</v>
      </c>
    </row>
    <row r="1565" spans="1:1" x14ac:dyDescent="0.25">
      <c r="A1565">
        <f t="shared" si="24"/>
        <v>1564</v>
      </c>
    </row>
    <row r="1566" spans="1:1" x14ac:dyDescent="0.25">
      <c r="A1566">
        <f t="shared" si="24"/>
        <v>1565</v>
      </c>
    </row>
    <row r="1567" spans="1:1" x14ac:dyDescent="0.25">
      <c r="A1567">
        <f t="shared" si="24"/>
        <v>1566</v>
      </c>
    </row>
    <row r="1568" spans="1:1" x14ac:dyDescent="0.25">
      <c r="A1568">
        <f t="shared" si="24"/>
        <v>1567</v>
      </c>
    </row>
    <row r="1569" spans="1:1" x14ac:dyDescent="0.25">
      <c r="A1569">
        <f t="shared" si="24"/>
        <v>1568</v>
      </c>
    </row>
    <row r="1570" spans="1:1" x14ac:dyDescent="0.25">
      <c r="A1570">
        <f t="shared" si="24"/>
        <v>1569</v>
      </c>
    </row>
    <row r="1571" spans="1:1" x14ac:dyDescent="0.25">
      <c r="A1571">
        <f t="shared" si="24"/>
        <v>1570</v>
      </c>
    </row>
    <row r="1572" spans="1:1" x14ac:dyDescent="0.25">
      <c r="A1572">
        <f t="shared" si="24"/>
        <v>1571</v>
      </c>
    </row>
    <row r="1573" spans="1:1" x14ac:dyDescent="0.25">
      <c r="A1573">
        <f t="shared" si="24"/>
        <v>1572</v>
      </c>
    </row>
    <row r="1574" spans="1:1" x14ac:dyDescent="0.25">
      <c r="A1574">
        <f t="shared" si="24"/>
        <v>1573</v>
      </c>
    </row>
    <row r="1575" spans="1:1" x14ac:dyDescent="0.25">
      <c r="A1575">
        <f t="shared" si="24"/>
        <v>1574</v>
      </c>
    </row>
    <row r="1576" spans="1:1" x14ac:dyDescent="0.25">
      <c r="A1576">
        <f t="shared" si="24"/>
        <v>1575</v>
      </c>
    </row>
    <row r="1577" spans="1:1" x14ac:dyDescent="0.25">
      <c r="A1577">
        <f t="shared" si="24"/>
        <v>1576</v>
      </c>
    </row>
    <row r="1578" spans="1:1" x14ac:dyDescent="0.25">
      <c r="A1578">
        <f t="shared" si="24"/>
        <v>1577</v>
      </c>
    </row>
    <row r="1579" spans="1:1" x14ac:dyDescent="0.25">
      <c r="A1579">
        <f t="shared" si="24"/>
        <v>1578</v>
      </c>
    </row>
    <row r="1580" spans="1:1" x14ac:dyDescent="0.25">
      <c r="A1580">
        <f t="shared" si="24"/>
        <v>1579</v>
      </c>
    </row>
    <row r="1581" spans="1:1" x14ac:dyDescent="0.25">
      <c r="A1581">
        <f t="shared" si="24"/>
        <v>1580</v>
      </c>
    </row>
    <row r="1582" spans="1:1" x14ac:dyDescent="0.25">
      <c r="A1582">
        <f t="shared" si="24"/>
        <v>1581</v>
      </c>
    </row>
    <row r="1583" spans="1:1" x14ac:dyDescent="0.25">
      <c r="A1583">
        <f t="shared" si="24"/>
        <v>1582</v>
      </c>
    </row>
    <row r="1584" spans="1:1" x14ac:dyDescent="0.25">
      <c r="A1584">
        <f t="shared" si="24"/>
        <v>1583</v>
      </c>
    </row>
    <row r="1585" spans="1:1" x14ac:dyDescent="0.25">
      <c r="A1585">
        <f t="shared" si="24"/>
        <v>1584</v>
      </c>
    </row>
    <row r="1586" spans="1:1" x14ac:dyDescent="0.25">
      <c r="A1586">
        <f t="shared" si="24"/>
        <v>1585</v>
      </c>
    </row>
    <row r="1587" spans="1:1" x14ac:dyDescent="0.25">
      <c r="A1587">
        <f t="shared" si="24"/>
        <v>1586</v>
      </c>
    </row>
    <row r="1588" spans="1:1" x14ac:dyDescent="0.25">
      <c r="A1588">
        <f t="shared" si="24"/>
        <v>1587</v>
      </c>
    </row>
    <row r="1589" spans="1:1" x14ac:dyDescent="0.25">
      <c r="A1589">
        <f t="shared" si="24"/>
        <v>1588</v>
      </c>
    </row>
    <row r="1590" spans="1:1" x14ac:dyDescent="0.25">
      <c r="A1590">
        <f t="shared" si="24"/>
        <v>1589</v>
      </c>
    </row>
    <row r="1591" spans="1:1" x14ac:dyDescent="0.25">
      <c r="A1591">
        <f t="shared" si="24"/>
        <v>1590</v>
      </c>
    </row>
    <row r="1592" spans="1:1" x14ac:dyDescent="0.25">
      <c r="A1592">
        <f t="shared" si="24"/>
        <v>1591</v>
      </c>
    </row>
    <row r="1593" spans="1:1" x14ac:dyDescent="0.25">
      <c r="A1593">
        <f t="shared" si="24"/>
        <v>1592</v>
      </c>
    </row>
    <row r="1594" spans="1:1" x14ac:dyDescent="0.25">
      <c r="A1594">
        <f t="shared" si="24"/>
        <v>1593</v>
      </c>
    </row>
    <row r="1595" spans="1:1" x14ac:dyDescent="0.25">
      <c r="A1595">
        <f t="shared" si="24"/>
        <v>1594</v>
      </c>
    </row>
    <row r="1596" spans="1:1" x14ac:dyDescent="0.25">
      <c r="A1596">
        <f t="shared" si="24"/>
        <v>1595</v>
      </c>
    </row>
    <row r="1597" spans="1:1" x14ac:dyDescent="0.25">
      <c r="A1597">
        <f t="shared" si="24"/>
        <v>1596</v>
      </c>
    </row>
    <row r="1598" spans="1:1" x14ac:dyDescent="0.25">
      <c r="A1598">
        <f t="shared" si="24"/>
        <v>1597</v>
      </c>
    </row>
    <row r="1599" spans="1:1" x14ac:dyDescent="0.25">
      <c r="A1599">
        <f t="shared" si="24"/>
        <v>1598</v>
      </c>
    </row>
    <row r="1600" spans="1:1" x14ac:dyDescent="0.25">
      <c r="A1600">
        <f t="shared" si="24"/>
        <v>1599</v>
      </c>
    </row>
    <row r="1601" spans="1:1" x14ac:dyDescent="0.25">
      <c r="A1601">
        <f t="shared" si="24"/>
        <v>1600</v>
      </c>
    </row>
    <row r="1602" spans="1:1" x14ac:dyDescent="0.25">
      <c r="A1602">
        <f t="shared" si="24"/>
        <v>1601</v>
      </c>
    </row>
    <row r="1603" spans="1:1" x14ac:dyDescent="0.25">
      <c r="A1603">
        <f t="shared" si="24"/>
        <v>1602</v>
      </c>
    </row>
    <row r="1604" spans="1:1" x14ac:dyDescent="0.25">
      <c r="A1604">
        <f t="shared" ref="A1604:A1667" si="25">A1603+1</f>
        <v>1603</v>
      </c>
    </row>
    <row r="1605" spans="1:1" x14ac:dyDescent="0.25">
      <c r="A1605">
        <f t="shared" si="25"/>
        <v>1604</v>
      </c>
    </row>
    <row r="1606" spans="1:1" x14ac:dyDescent="0.25">
      <c r="A1606">
        <f t="shared" si="25"/>
        <v>1605</v>
      </c>
    </row>
    <row r="1607" spans="1:1" x14ac:dyDescent="0.25">
      <c r="A1607">
        <f t="shared" si="25"/>
        <v>1606</v>
      </c>
    </row>
    <row r="1608" spans="1:1" x14ac:dyDescent="0.25">
      <c r="A1608">
        <f t="shared" si="25"/>
        <v>1607</v>
      </c>
    </row>
    <row r="1609" spans="1:1" x14ac:dyDescent="0.25">
      <c r="A1609">
        <f t="shared" si="25"/>
        <v>1608</v>
      </c>
    </row>
    <row r="1610" spans="1:1" x14ac:dyDescent="0.25">
      <c r="A1610">
        <f t="shared" si="25"/>
        <v>1609</v>
      </c>
    </row>
    <row r="1611" spans="1:1" x14ac:dyDescent="0.25">
      <c r="A1611">
        <f t="shared" si="25"/>
        <v>1610</v>
      </c>
    </row>
    <row r="1612" spans="1:1" x14ac:dyDescent="0.25">
      <c r="A1612">
        <f t="shared" si="25"/>
        <v>1611</v>
      </c>
    </row>
    <row r="1613" spans="1:1" x14ac:dyDescent="0.25">
      <c r="A1613">
        <f t="shared" si="25"/>
        <v>1612</v>
      </c>
    </row>
    <row r="1614" spans="1:1" x14ac:dyDescent="0.25">
      <c r="A1614">
        <f t="shared" si="25"/>
        <v>1613</v>
      </c>
    </row>
    <row r="1615" spans="1:1" x14ac:dyDescent="0.25">
      <c r="A1615">
        <f t="shared" si="25"/>
        <v>1614</v>
      </c>
    </row>
    <row r="1616" spans="1:1" x14ac:dyDescent="0.25">
      <c r="A1616">
        <f t="shared" si="25"/>
        <v>1615</v>
      </c>
    </row>
    <row r="1617" spans="1:1" x14ac:dyDescent="0.25">
      <c r="A1617">
        <f t="shared" si="25"/>
        <v>1616</v>
      </c>
    </row>
    <row r="1618" spans="1:1" x14ac:dyDescent="0.25">
      <c r="A1618">
        <f t="shared" si="25"/>
        <v>1617</v>
      </c>
    </row>
    <row r="1619" spans="1:1" x14ac:dyDescent="0.25">
      <c r="A1619">
        <f t="shared" si="25"/>
        <v>1618</v>
      </c>
    </row>
    <row r="1620" spans="1:1" x14ac:dyDescent="0.25">
      <c r="A1620">
        <f t="shared" si="25"/>
        <v>1619</v>
      </c>
    </row>
    <row r="1621" spans="1:1" x14ac:dyDescent="0.25">
      <c r="A1621">
        <f t="shared" si="25"/>
        <v>1620</v>
      </c>
    </row>
    <row r="1622" spans="1:1" x14ac:dyDescent="0.25">
      <c r="A1622">
        <f t="shared" si="25"/>
        <v>1621</v>
      </c>
    </row>
    <row r="1623" spans="1:1" x14ac:dyDescent="0.25">
      <c r="A1623">
        <f t="shared" si="25"/>
        <v>1622</v>
      </c>
    </row>
    <row r="1624" spans="1:1" x14ac:dyDescent="0.25">
      <c r="A1624">
        <f t="shared" si="25"/>
        <v>1623</v>
      </c>
    </row>
    <row r="1625" spans="1:1" x14ac:dyDescent="0.25">
      <c r="A1625">
        <f t="shared" si="25"/>
        <v>1624</v>
      </c>
    </row>
    <row r="1626" spans="1:1" x14ac:dyDescent="0.25">
      <c r="A1626">
        <f t="shared" si="25"/>
        <v>1625</v>
      </c>
    </row>
    <row r="1627" spans="1:1" x14ac:dyDescent="0.25">
      <c r="A1627">
        <f t="shared" si="25"/>
        <v>1626</v>
      </c>
    </row>
    <row r="1628" spans="1:1" x14ac:dyDescent="0.25">
      <c r="A1628">
        <f t="shared" si="25"/>
        <v>1627</v>
      </c>
    </row>
    <row r="1629" spans="1:1" x14ac:dyDescent="0.25">
      <c r="A1629">
        <f t="shared" si="25"/>
        <v>1628</v>
      </c>
    </row>
    <row r="1630" spans="1:1" x14ac:dyDescent="0.25">
      <c r="A1630">
        <f t="shared" si="25"/>
        <v>1629</v>
      </c>
    </row>
    <row r="1631" spans="1:1" x14ac:dyDescent="0.25">
      <c r="A1631">
        <f t="shared" si="25"/>
        <v>1630</v>
      </c>
    </row>
    <row r="1632" spans="1:1" x14ac:dyDescent="0.25">
      <c r="A1632">
        <f t="shared" si="25"/>
        <v>1631</v>
      </c>
    </row>
    <row r="1633" spans="1:1" x14ac:dyDescent="0.25">
      <c r="A1633">
        <f t="shared" si="25"/>
        <v>1632</v>
      </c>
    </row>
    <row r="1634" spans="1:1" x14ac:dyDescent="0.25">
      <c r="A1634">
        <f t="shared" si="25"/>
        <v>1633</v>
      </c>
    </row>
    <row r="1635" spans="1:1" x14ac:dyDescent="0.25">
      <c r="A1635">
        <f t="shared" si="25"/>
        <v>1634</v>
      </c>
    </row>
    <row r="1636" spans="1:1" x14ac:dyDescent="0.25">
      <c r="A1636">
        <f t="shared" si="25"/>
        <v>1635</v>
      </c>
    </row>
    <row r="1637" spans="1:1" x14ac:dyDescent="0.25">
      <c r="A1637">
        <f t="shared" si="25"/>
        <v>1636</v>
      </c>
    </row>
    <row r="1638" spans="1:1" x14ac:dyDescent="0.25">
      <c r="A1638">
        <f t="shared" si="25"/>
        <v>1637</v>
      </c>
    </row>
    <row r="1639" spans="1:1" x14ac:dyDescent="0.25">
      <c r="A1639">
        <f t="shared" si="25"/>
        <v>1638</v>
      </c>
    </row>
    <row r="1640" spans="1:1" x14ac:dyDescent="0.25">
      <c r="A1640">
        <f t="shared" si="25"/>
        <v>1639</v>
      </c>
    </row>
    <row r="1641" spans="1:1" x14ac:dyDescent="0.25">
      <c r="A1641">
        <f t="shared" si="25"/>
        <v>1640</v>
      </c>
    </row>
    <row r="1642" spans="1:1" x14ac:dyDescent="0.25">
      <c r="A1642">
        <f t="shared" si="25"/>
        <v>1641</v>
      </c>
    </row>
    <row r="1643" spans="1:1" x14ac:dyDescent="0.25">
      <c r="A1643">
        <f t="shared" si="25"/>
        <v>1642</v>
      </c>
    </row>
    <row r="1644" spans="1:1" x14ac:dyDescent="0.25">
      <c r="A1644">
        <f t="shared" si="25"/>
        <v>1643</v>
      </c>
    </row>
    <row r="1645" spans="1:1" x14ac:dyDescent="0.25">
      <c r="A1645">
        <f t="shared" si="25"/>
        <v>1644</v>
      </c>
    </row>
    <row r="1646" spans="1:1" x14ac:dyDescent="0.25">
      <c r="A1646">
        <f t="shared" si="25"/>
        <v>1645</v>
      </c>
    </row>
    <row r="1647" spans="1:1" x14ac:dyDescent="0.25">
      <c r="A1647">
        <f t="shared" si="25"/>
        <v>1646</v>
      </c>
    </row>
    <row r="1648" spans="1:1" x14ac:dyDescent="0.25">
      <c r="A1648">
        <f t="shared" si="25"/>
        <v>1647</v>
      </c>
    </row>
    <row r="1649" spans="1:1" x14ac:dyDescent="0.25">
      <c r="A1649">
        <f t="shared" si="25"/>
        <v>1648</v>
      </c>
    </row>
    <row r="1650" spans="1:1" x14ac:dyDescent="0.25">
      <c r="A1650">
        <f t="shared" si="25"/>
        <v>1649</v>
      </c>
    </row>
    <row r="1651" spans="1:1" x14ac:dyDescent="0.25">
      <c r="A1651">
        <f t="shared" si="25"/>
        <v>1650</v>
      </c>
    </row>
    <row r="1652" spans="1:1" x14ac:dyDescent="0.25">
      <c r="A1652">
        <f t="shared" si="25"/>
        <v>1651</v>
      </c>
    </row>
    <row r="1653" spans="1:1" x14ac:dyDescent="0.25">
      <c r="A1653">
        <f t="shared" si="25"/>
        <v>1652</v>
      </c>
    </row>
    <row r="1654" spans="1:1" x14ac:dyDescent="0.25">
      <c r="A1654">
        <f t="shared" si="25"/>
        <v>1653</v>
      </c>
    </row>
    <row r="1655" spans="1:1" x14ac:dyDescent="0.25">
      <c r="A1655">
        <f t="shared" si="25"/>
        <v>1654</v>
      </c>
    </row>
    <row r="1656" spans="1:1" x14ac:dyDescent="0.25">
      <c r="A1656">
        <f t="shared" si="25"/>
        <v>1655</v>
      </c>
    </row>
    <row r="1657" spans="1:1" x14ac:dyDescent="0.25">
      <c r="A1657">
        <f t="shared" si="25"/>
        <v>1656</v>
      </c>
    </row>
    <row r="1658" spans="1:1" x14ac:dyDescent="0.25">
      <c r="A1658">
        <f t="shared" si="25"/>
        <v>1657</v>
      </c>
    </row>
    <row r="1659" spans="1:1" x14ac:dyDescent="0.25">
      <c r="A1659">
        <f t="shared" si="25"/>
        <v>1658</v>
      </c>
    </row>
    <row r="1660" spans="1:1" x14ac:dyDescent="0.25">
      <c r="A1660">
        <f t="shared" si="25"/>
        <v>1659</v>
      </c>
    </row>
    <row r="1661" spans="1:1" x14ac:dyDescent="0.25">
      <c r="A1661">
        <f t="shared" si="25"/>
        <v>1660</v>
      </c>
    </row>
    <row r="1662" spans="1:1" x14ac:dyDescent="0.25">
      <c r="A1662">
        <f t="shared" si="25"/>
        <v>1661</v>
      </c>
    </row>
    <row r="1663" spans="1:1" x14ac:dyDescent="0.25">
      <c r="A1663">
        <f t="shared" si="25"/>
        <v>1662</v>
      </c>
    </row>
    <row r="1664" spans="1:1" x14ac:dyDescent="0.25">
      <c r="A1664">
        <f t="shared" si="25"/>
        <v>1663</v>
      </c>
    </row>
    <row r="1665" spans="1:1" x14ac:dyDescent="0.25">
      <c r="A1665">
        <f t="shared" si="25"/>
        <v>1664</v>
      </c>
    </row>
    <row r="1666" spans="1:1" x14ac:dyDescent="0.25">
      <c r="A1666">
        <f t="shared" si="25"/>
        <v>1665</v>
      </c>
    </row>
    <row r="1667" spans="1:1" x14ac:dyDescent="0.25">
      <c r="A1667">
        <f t="shared" si="25"/>
        <v>1666</v>
      </c>
    </row>
    <row r="1668" spans="1:1" x14ac:dyDescent="0.25">
      <c r="A1668">
        <f t="shared" ref="A1668:A1731" si="26">A1667+1</f>
        <v>1667</v>
      </c>
    </row>
    <row r="1669" spans="1:1" x14ac:dyDescent="0.25">
      <c r="A1669">
        <f t="shared" si="26"/>
        <v>1668</v>
      </c>
    </row>
    <row r="1670" spans="1:1" x14ac:dyDescent="0.25">
      <c r="A1670">
        <f t="shared" si="26"/>
        <v>1669</v>
      </c>
    </row>
    <row r="1671" spans="1:1" x14ac:dyDescent="0.25">
      <c r="A1671">
        <f t="shared" si="26"/>
        <v>1670</v>
      </c>
    </row>
    <row r="1672" spans="1:1" x14ac:dyDescent="0.25">
      <c r="A1672">
        <f t="shared" si="26"/>
        <v>1671</v>
      </c>
    </row>
    <row r="1673" spans="1:1" x14ac:dyDescent="0.25">
      <c r="A1673">
        <f t="shared" si="26"/>
        <v>1672</v>
      </c>
    </row>
    <row r="1674" spans="1:1" x14ac:dyDescent="0.25">
      <c r="A1674">
        <f t="shared" si="26"/>
        <v>1673</v>
      </c>
    </row>
    <row r="1675" spans="1:1" x14ac:dyDescent="0.25">
      <c r="A1675">
        <f t="shared" si="26"/>
        <v>1674</v>
      </c>
    </row>
    <row r="1676" spans="1:1" x14ac:dyDescent="0.25">
      <c r="A1676">
        <f t="shared" si="26"/>
        <v>1675</v>
      </c>
    </row>
    <row r="1677" spans="1:1" x14ac:dyDescent="0.25">
      <c r="A1677">
        <f t="shared" si="26"/>
        <v>1676</v>
      </c>
    </row>
    <row r="1678" spans="1:1" x14ac:dyDescent="0.25">
      <c r="A1678">
        <f t="shared" si="26"/>
        <v>1677</v>
      </c>
    </row>
    <row r="1679" spans="1:1" x14ac:dyDescent="0.25">
      <c r="A1679">
        <f t="shared" si="26"/>
        <v>1678</v>
      </c>
    </row>
    <row r="1680" spans="1:1" x14ac:dyDescent="0.25">
      <c r="A1680">
        <f t="shared" si="26"/>
        <v>1679</v>
      </c>
    </row>
    <row r="1681" spans="1:1" x14ac:dyDescent="0.25">
      <c r="A1681">
        <f t="shared" si="26"/>
        <v>1680</v>
      </c>
    </row>
    <row r="1682" spans="1:1" x14ac:dyDescent="0.25">
      <c r="A1682">
        <f t="shared" si="26"/>
        <v>1681</v>
      </c>
    </row>
    <row r="1683" spans="1:1" x14ac:dyDescent="0.25">
      <c r="A1683">
        <f t="shared" si="26"/>
        <v>1682</v>
      </c>
    </row>
    <row r="1684" spans="1:1" x14ac:dyDescent="0.25">
      <c r="A1684">
        <f t="shared" si="26"/>
        <v>1683</v>
      </c>
    </row>
    <row r="1685" spans="1:1" x14ac:dyDescent="0.25">
      <c r="A1685">
        <f t="shared" si="26"/>
        <v>1684</v>
      </c>
    </row>
    <row r="1686" spans="1:1" x14ac:dyDescent="0.25">
      <c r="A1686">
        <f t="shared" si="26"/>
        <v>1685</v>
      </c>
    </row>
    <row r="1687" spans="1:1" x14ac:dyDescent="0.25">
      <c r="A1687">
        <f t="shared" si="26"/>
        <v>1686</v>
      </c>
    </row>
    <row r="1688" spans="1:1" x14ac:dyDescent="0.25">
      <c r="A1688">
        <f t="shared" si="26"/>
        <v>1687</v>
      </c>
    </row>
    <row r="1689" spans="1:1" x14ac:dyDescent="0.25">
      <c r="A1689">
        <f t="shared" si="26"/>
        <v>1688</v>
      </c>
    </row>
    <row r="1690" spans="1:1" x14ac:dyDescent="0.25">
      <c r="A1690">
        <f t="shared" si="26"/>
        <v>1689</v>
      </c>
    </row>
    <row r="1691" spans="1:1" x14ac:dyDescent="0.25">
      <c r="A1691">
        <f t="shared" si="26"/>
        <v>1690</v>
      </c>
    </row>
    <row r="1692" spans="1:1" x14ac:dyDescent="0.25">
      <c r="A1692">
        <f t="shared" si="26"/>
        <v>1691</v>
      </c>
    </row>
    <row r="1693" spans="1:1" x14ac:dyDescent="0.25">
      <c r="A1693">
        <f t="shared" si="26"/>
        <v>1692</v>
      </c>
    </row>
    <row r="1694" spans="1:1" x14ac:dyDescent="0.25">
      <c r="A1694">
        <f t="shared" si="26"/>
        <v>1693</v>
      </c>
    </row>
    <row r="1695" spans="1:1" x14ac:dyDescent="0.25">
      <c r="A1695">
        <f t="shared" si="26"/>
        <v>1694</v>
      </c>
    </row>
    <row r="1696" spans="1:1" x14ac:dyDescent="0.25">
      <c r="A1696">
        <f t="shared" si="26"/>
        <v>1695</v>
      </c>
    </row>
    <row r="1697" spans="1:1" x14ac:dyDescent="0.25">
      <c r="A1697">
        <f t="shared" si="26"/>
        <v>1696</v>
      </c>
    </row>
    <row r="1698" spans="1:1" x14ac:dyDescent="0.25">
      <c r="A1698">
        <f t="shared" si="26"/>
        <v>1697</v>
      </c>
    </row>
    <row r="1699" spans="1:1" x14ac:dyDescent="0.25">
      <c r="A1699">
        <f t="shared" si="26"/>
        <v>1698</v>
      </c>
    </row>
    <row r="1700" spans="1:1" x14ac:dyDescent="0.25">
      <c r="A1700">
        <f t="shared" si="26"/>
        <v>1699</v>
      </c>
    </row>
    <row r="1701" spans="1:1" x14ac:dyDescent="0.25">
      <c r="A1701">
        <f t="shared" si="26"/>
        <v>1700</v>
      </c>
    </row>
    <row r="1702" spans="1:1" x14ac:dyDescent="0.25">
      <c r="A1702">
        <f t="shared" si="26"/>
        <v>1701</v>
      </c>
    </row>
    <row r="1703" spans="1:1" x14ac:dyDescent="0.25">
      <c r="A1703">
        <f t="shared" si="26"/>
        <v>1702</v>
      </c>
    </row>
    <row r="1704" spans="1:1" x14ac:dyDescent="0.25">
      <c r="A1704">
        <f t="shared" si="26"/>
        <v>1703</v>
      </c>
    </row>
    <row r="1705" spans="1:1" x14ac:dyDescent="0.25">
      <c r="A1705">
        <f t="shared" si="26"/>
        <v>1704</v>
      </c>
    </row>
    <row r="1706" spans="1:1" x14ac:dyDescent="0.25">
      <c r="A1706">
        <f t="shared" si="26"/>
        <v>1705</v>
      </c>
    </row>
    <row r="1707" spans="1:1" x14ac:dyDescent="0.25">
      <c r="A1707">
        <f t="shared" si="26"/>
        <v>1706</v>
      </c>
    </row>
    <row r="1708" spans="1:1" x14ac:dyDescent="0.25">
      <c r="A1708">
        <f t="shared" si="26"/>
        <v>1707</v>
      </c>
    </row>
    <row r="1709" spans="1:1" x14ac:dyDescent="0.25">
      <c r="A1709">
        <f t="shared" si="26"/>
        <v>1708</v>
      </c>
    </row>
    <row r="1710" spans="1:1" x14ac:dyDescent="0.25">
      <c r="A1710">
        <f t="shared" si="26"/>
        <v>1709</v>
      </c>
    </row>
    <row r="1711" spans="1:1" x14ac:dyDescent="0.25">
      <c r="A1711">
        <f t="shared" si="26"/>
        <v>1710</v>
      </c>
    </row>
    <row r="1712" spans="1:1" x14ac:dyDescent="0.25">
      <c r="A1712">
        <f t="shared" si="26"/>
        <v>1711</v>
      </c>
    </row>
    <row r="1713" spans="1:1" x14ac:dyDescent="0.25">
      <c r="A1713">
        <f t="shared" si="26"/>
        <v>1712</v>
      </c>
    </row>
    <row r="1714" spans="1:1" x14ac:dyDescent="0.25">
      <c r="A1714">
        <f t="shared" si="26"/>
        <v>1713</v>
      </c>
    </row>
    <row r="1715" spans="1:1" x14ac:dyDescent="0.25">
      <c r="A1715">
        <f t="shared" si="26"/>
        <v>1714</v>
      </c>
    </row>
    <row r="1716" spans="1:1" x14ac:dyDescent="0.25">
      <c r="A1716">
        <f t="shared" si="26"/>
        <v>1715</v>
      </c>
    </row>
    <row r="1717" spans="1:1" x14ac:dyDescent="0.25">
      <c r="A1717">
        <f t="shared" si="26"/>
        <v>1716</v>
      </c>
    </row>
    <row r="1718" spans="1:1" x14ac:dyDescent="0.25">
      <c r="A1718">
        <f t="shared" si="26"/>
        <v>1717</v>
      </c>
    </row>
    <row r="1719" spans="1:1" x14ac:dyDescent="0.25">
      <c r="A1719">
        <f t="shared" si="26"/>
        <v>1718</v>
      </c>
    </row>
    <row r="1720" spans="1:1" x14ac:dyDescent="0.25">
      <c r="A1720">
        <f t="shared" si="26"/>
        <v>1719</v>
      </c>
    </row>
    <row r="1721" spans="1:1" x14ac:dyDescent="0.25">
      <c r="A1721">
        <f t="shared" si="26"/>
        <v>1720</v>
      </c>
    </row>
    <row r="1722" spans="1:1" x14ac:dyDescent="0.25">
      <c r="A1722">
        <f t="shared" si="26"/>
        <v>1721</v>
      </c>
    </row>
    <row r="1723" spans="1:1" x14ac:dyDescent="0.25">
      <c r="A1723">
        <f t="shared" si="26"/>
        <v>1722</v>
      </c>
    </row>
    <row r="1724" spans="1:1" x14ac:dyDescent="0.25">
      <c r="A1724">
        <f t="shared" si="26"/>
        <v>1723</v>
      </c>
    </row>
    <row r="1725" spans="1:1" x14ac:dyDescent="0.25">
      <c r="A1725">
        <f t="shared" si="26"/>
        <v>1724</v>
      </c>
    </row>
    <row r="1726" spans="1:1" x14ac:dyDescent="0.25">
      <c r="A1726">
        <f t="shared" si="26"/>
        <v>1725</v>
      </c>
    </row>
    <row r="1727" spans="1:1" x14ac:dyDescent="0.25">
      <c r="A1727">
        <f t="shared" si="26"/>
        <v>1726</v>
      </c>
    </row>
    <row r="1728" spans="1:1" x14ac:dyDescent="0.25">
      <c r="A1728">
        <f t="shared" si="26"/>
        <v>1727</v>
      </c>
    </row>
    <row r="1729" spans="1:1" x14ac:dyDescent="0.25">
      <c r="A1729">
        <f t="shared" si="26"/>
        <v>1728</v>
      </c>
    </row>
    <row r="1730" spans="1:1" x14ac:dyDescent="0.25">
      <c r="A1730">
        <f t="shared" si="26"/>
        <v>1729</v>
      </c>
    </row>
    <row r="1731" spans="1:1" x14ac:dyDescent="0.25">
      <c r="A1731">
        <f t="shared" si="26"/>
        <v>1730</v>
      </c>
    </row>
    <row r="1732" spans="1:1" x14ac:dyDescent="0.25">
      <c r="A1732">
        <f t="shared" ref="A1732:A1795" si="27">A1731+1</f>
        <v>1731</v>
      </c>
    </row>
    <row r="1733" spans="1:1" x14ac:dyDescent="0.25">
      <c r="A1733">
        <f t="shared" si="27"/>
        <v>1732</v>
      </c>
    </row>
    <row r="1734" spans="1:1" x14ac:dyDescent="0.25">
      <c r="A1734">
        <f t="shared" si="27"/>
        <v>1733</v>
      </c>
    </row>
    <row r="1735" spans="1:1" x14ac:dyDescent="0.25">
      <c r="A1735">
        <f t="shared" si="27"/>
        <v>1734</v>
      </c>
    </row>
    <row r="1736" spans="1:1" x14ac:dyDescent="0.25">
      <c r="A1736">
        <f t="shared" si="27"/>
        <v>1735</v>
      </c>
    </row>
    <row r="1737" spans="1:1" x14ac:dyDescent="0.25">
      <c r="A1737">
        <f t="shared" si="27"/>
        <v>1736</v>
      </c>
    </row>
    <row r="1738" spans="1:1" x14ac:dyDescent="0.25">
      <c r="A1738">
        <f t="shared" si="27"/>
        <v>1737</v>
      </c>
    </row>
    <row r="1739" spans="1:1" x14ac:dyDescent="0.25">
      <c r="A1739">
        <f t="shared" si="27"/>
        <v>1738</v>
      </c>
    </row>
    <row r="1740" spans="1:1" x14ac:dyDescent="0.25">
      <c r="A1740">
        <f t="shared" si="27"/>
        <v>1739</v>
      </c>
    </row>
    <row r="1741" spans="1:1" x14ac:dyDescent="0.25">
      <c r="A1741">
        <f t="shared" si="27"/>
        <v>1740</v>
      </c>
    </row>
    <row r="1742" spans="1:1" x14ac:dyDescent="0.25">
      <c r="A1742">
        <f t="shared" si="27"/>
        <v>1741</v>
      </c>
    </row>
    <row r="1743" spans="1:1" x14ac:dyDescent="0.25">
      <c r="A1743">
        <f t="shared" si="27"/>
        <v>1742</v>
      </c>
    </row>
    <row r="1744" spans="1:1" x14ac:dyDescent="0.25">
      <c r="A1744">
        <f t="shared" si="27"/>
        <v>1743</v>
      </c>
    </row>
    <row r="1745" spans="1:1" x14ac:dyDescent="0.25">
      <c r="A1745">
        <f t="shared" si="27"/>
        <v>1744</v>
      </c>
    </row>
    <row r="1746" spans="1:1" x14ac:dyDescent="0.25">
      <c r="A1746">
        <f t="shared" si="27"/>
        <v>1745</v>
      </c>
    </row>
    <row r="1747" spans="1:1" x14ac:dyDescent="0.25">
      <c r="A1747">
        <f t="shared" si="27"/>
        <v>1746</v>
      </c>
    </row>
    <row r="1748" spans="1:1" x14ac:dyDescent="0.25">
      <c r="A1748">
        <f t="shared" si="27"/>
        <v>1747</v>
      </c>
    </row>
    <row r="1749" spans="1:1" x14ac:dyDescent="0.25">
      <c r="A1749">
        <f t="shared" si="27"/>
        <v>1748</v>
      </c>
    </row>
    <row r="1750" spans="1:1" x14ac:dyDescent="0.25">
      <c r="A1750">
        <f t="shared" si="27"/>
        <v>1749</v>
      </c>
    </row>
    <row r="1751" spans="1:1" x14ac:dyDescent="0.25">
      <c r="A1751">
        <f t="shared" si="27"/>
        <v>1750</v>
      </c>
    </row>
    <row r="1752" spans="1:1" x14ac:dyDescent="0.25">
      <c r="A1752">
        <f t="shared" si="27"/>
        <v>1751</v>
      </c>
    </row>
    <row r="1753" spans="1:1" x14ac:dyDescent="0.25">
      <c r="A1753">
        <f t="shared" si="27"/>
        <v>1752</v>
      </c>
    </row>
    <row r="1754" spans="1:1" x14ac:dyDescent="0.25">
      <c r="A1754">
        <f t="shared" si="27"/>
        <v>1753</v>
      </c>
    </row>
    <row r="1755" spans="1:1" x14ac:dyDescent="0.25">
      <c r="A1755">
        <f t="shared" si="27"/>
        <v>1754</v>
      </c>
    </row>
    <row r="1756" spans="1:1" x14ac:dyDescent="0.25">
      <c r="A1756">
        <f t="shared" si="27"/>
        <v>1755</v>
      </c>
    </row>
    <row r="1757" spans="1:1" x14ac:dyDescent="0.25">
      <c r="A1757">
        <f t="shared" si="27"/>
        <v>1756</v>
      </c>
    </row>
    <row r="1758" spans="1:1" x14ac:dyDescent="0.25">
      <c r="A1758">
        <f t="shared" si="27"/>
        <v>1757</v>
      </c>
    </row>
    <row r="1759" spans="1:1" x14ac:dyDescent="0.25">
      <c r="A1759">
        <f t="shared" si="27"/>
        <v>1758</v>
      </c>
    </row>
    <row r="1760" spans="1:1" x14ac:dyDescent="0.25">
      <c r="A1760">
        <f t="shared" si="27"/>
        <v>1759</v>
      </c>
    </row>
    <row r="1761" spans="1:1" x14ac:dyDescent="0.25">
      <c r="A1761">
        <f t="shared" si="27"/>
        <v>1760</v>
      </c>
    </row>
    <row r="1762" spans="1:1" x14ac:dyDescent="0.25">
      <c r="A1762">
        <f t="shared" si="27"/>
        <v>1761</v>
      </c>
    </row>
    <row r="1763" spans="1:1" x14ac:dyDescent="0.25">
      <c r="A1763">
        <f t="shared" si="27"/>
        <v>1762</v>
      </c>
    </row>
    <row r="1764" spans="1:1" x14ac:dyDescent="0.25">
      <c r="A1764">
        <f t="shared" si="27"/>
        <v>1763</v>
      </c>
    </row>
    <row r="1765" spans="1:1" x14ac:dyDescent="0.25">
      <c r="A1765">
        <f t="shared" si="27"/>
        <v>1764</v>
      </c>
    </row>
    <row r="1766" spans="1:1" x14ac:dyDescent="0.25">
      <c r="A1766">
        <f t="shared" si="27"/>
        <v>1765</v>
      </c>
    </row>
    <row r="1767" spans="1:1" x14ac:dyDescent="0.25">
      <c r="A1767">
        <f t="shared" si="27"/>
        <v>1766</v>
      </c>
    </row>
    <row r="1768" spans="1:1" x14ac:dyDescent="0.25">
      <c r="A1768">
        <f t="shared" si="27"/>
        <v>1767</v>
      </c>
    </row>
    <row r="1769" spans="1:1" x14ac:dyDescent="0.25">
      <c r="A1769">
        <f t="shared" si="27"/>
        <v>1768</v>
      </c>
    </row>
    <row r="1770" spans="1:1" x14ac:dyDescent="0.25">
      <c r="A1770">
        <f t="shared" si="27"/>
        <v>1769</v>
      </c>
    </row>
    <row r="1771" spans="1:1" x14ac:dyDescent="0.25">
      <c r="A1771">
        <f t="shared" si="27"/>
        <v>1770</v>
      </c>
    </row>
    <row r="1772" spans="1:1" x14ac:dyDescent="0.25">
      <c r="A1772">
        <f t="shared" si="27"/>
        <v>1771</v>
      </c>
    </row>
    <row r="1773" spans="1:1" x14ac:dyDescent="0.25">
      <c r="A1773">
        <f t="shared" si="27"/>
        <v>1772</v>
      </c>
    </row>
    <row r="1774" spans="1:1" x14ac:dyDescent="0.25">
      <c r="A1774">
        <f t="shared" si="27"/>
        <v>1773</v>
      </c>
    </row>
    <row r="1775" spans="1:1" x14ac:dyDescent="0.25">
      <c r="A1775">
        <f t="shared" si="27"/>
        <v>1774</v>
      </c>
    </row>
    <row r="1776" spans="1:1" x14ac:dyDescent="0.25">
      <c r="A1776">
        <f t="shared" si="27"/>
        <v>1775</v>
      </c>
    </row>
    <row r="1777" spans="1:1" x14ac:dyDescent="0.25">
      <c r="A1777">
        <f t="shared" si="27"/>
        <v>1776</v>
      </c>
    </row>
    <row r="1778" spans="1:1" x14ac:dyDescent="0.25">
      <c r="A1778">
        <f t="shared" si="27"/>
        <v>1777</v>
      </c>
    </row>
    <row r="1779" spans="1:1" x14ac:dyDescent="0.25">
      <c r="A1779">
        <f t="shared" si="27"/>
        <v>1778</v>
      </c>
    </row>
    <row r="1780" spans="1:1" x14ac:dyDescent="0.25">
      <c r="A1780">
        <f t="shared" si="27"/>
        <v>1779</v>
      </c>
    </row>
    <row r="1781" spans="1:1" x14ac:dyDescent="0.25">
      <c r="A1781">
        <f t="shared" si="27"/>
        <v>1780</v>
      </c>
    </row>
    <row r="1782" spans="1:1" x14ac:dyDescent="0.25">
      <c r="A1782">
        <f t="shared" si="27"/>
        <v>1781</v>
      </c>
    </row>
    <row r="1783" spans="1:1" x14ac:dyDescent="0.25">
      <c r="A1783">
        <f t="shared" si="27"/>
        <v>1782</v>
      </c>
    </row>
    <row r="1784" spans="1:1" x14ac:dyDescent="0.25">
      <c r="A1784">
        <f t="shared" si="27"/>
        <v>1783</v>
      </c>
    </row>
    <row r="1785" spans="1:1" x14ac:dyDescent="0.25">
      <c r="A1785">
        <f t="shared" si="27"/>
        <v>1784</v>
      </c>
    </row>
    <row r="1786" spans="1:1" x14ac:dyDescent="0.25">
      <c r="A1786">
        <f t="shared" si="27"/>
        <v>1785</v>
      </c>
    </row>
    <row r="1787" spans="1:1" x14ac:dyDescent="0.25">
      <c r="A1787">
        <f t="shared" si="27"/>
        <v>1786</v>
      </c>
    </row>
    <row r="1788" spans="1:1" x14ac:dyDescent="0.25">
      <c r="A1788">
        <f t="shared" si="27"/>
        <v>1787</v>
      </c>
    </row>
    <row r="1789" spans="1:1" x14ac:dyDescent="0.25">
      <c r="A1789">
        <f t="shared" si="27"/>
        <v>1788</v>
      </c>
    </row>
    <row r="1790" spans="1:1" x14ac:dyDescent="0.25">
      <c r="A1790">
        <f t="shared" si="27"/>
        <v>1789</v>
      </c>
    </row>
    <row r="1791" spans="1:1" x14ac:dyDescent="0.25">
      <c r="A1791">
        <f t="shared" si="27"/>
        <v>1790</v>
      </c>
    </row>
    <row r="1792" spans="1:1" x14ac:dyDescent="0.25">
      <c r="A1792">
        <f t="shared" si="27"/>
        <v>1791</v>
      </c>
    </row>
    <row r="1793" spans="1:1" x14ac:dyDescent="0.25">
      <c r="A1793">
        <f t="shared" si="27"/>
        <v>1792</v>
      </c>
    </row>
    <row r="1794" spans="1:1" x14ac:dyDescent="0.25">
      <c r="A1794">
        <f t="shared" si="27"/>
        <v>1793</v>
      </c>
    </row>
    <row r="1795" spans="1:1" x14ac:dyDescent="0.25">
      <c r="A1795">
        <f t="shared" si="27"/>
        <v>1794</v>
      </c>
    </row>
    <row r="1796" spans="1:1" x14ac:dyDescent="0.25">
      <c r="A1796">
        <f t="shared" ref="A1796:A1859" si="28">A1795+1</f>
        <v>1795</v>
      </c>
    </row>
    <row r="1797" spans="1:1" x14ac:dyDescent="0.25">
      <c r="A1797">
        <f t="shared" si="28"/>
        <v>1796</v>
      </c>
    </row>
    <row r="1798" spans="1:1" x14ac:dyDescent="0.25">
      <c r="A1798">
        <f t="shared" si="28"/>
        <v>1797</v>
      </c>
    </row>
    <row r="1799" spans="1:1" x14ac:dyDescent="0.25">
      <c r="A1799">
        <f t="shared" si="28"/>
        <v>1798</v>
      </c>
    </row>
    <row r="1800" spans="1:1" x14ac:dyDescent="0.25">
      <c r="A1800">
        <f t="shared" si="28"/>
        <v>1799</v>
      </c>
    </row>
    <row r="1801" spans="1:1" x14ac:dyDescent="0.25">
      <c r="A1801">
        <f t="shared" si="28"/>
        <v>1800</v>
      </c>
    </row>
    <row r="1802" spans="1:1" x14ac:dyDescent="0.25">
      <c r="A1802">
        <f t="shared" si="28"/>
        <v>1801</v>
      </c>
    </row>
    <row r="1803" spans="1:1" x14ac:dyDescent="0.25">
      <c r="A1803">
        <f t="shared" si="28"/>
        <v>1802</v>
      </c>
    </row>
    <row r="1804" spans="1:1" x14ac:dyDescent="0.25">
      <c r="A1804">
        <f t="shared" si="28"/>
        <v>1803</v>
      </c>
    </row>
    <row r="1805" spans="1:1" x14ac:dyDescent="0.25">
      <c r="A1805">
        <f t="shared" si="28"/>
        <v>1804</v>
      </c>
    </row>
    <row r="1806" spans="1:1" x14ac:dyDescent="0.25">
      <c r="A1806">
        <f t="shared" si="28"/>
        <v>1805</v>
      </c>
    </row>
    <row r="1807" spans="1:1" x14ac:dyDescent="0.25">
      <c r="A1807">
        <f t="shared" si="28"/>
        <v>1806</v>
      </c>
    </row>
    <row r="1808" spans="1:1" x14ac:dyDescent="0.25">
      <c r="A1808">
        <f t="shared" si="28"/>
        <v>1807</v>
      </c>
    </row>
    <row r="1809" spans="1:1" x14ac:dyDescent="0.25">
      <c r="A1809">
        <f t="shared" si="28"/>
        <v>1808</v>
      </c>
    </row>
    <row r="1810" spans="1:1" x14ac:dyDescent="0.25">
      <c r="A1810">
        <f t="shared" si="28"/>
        <v>1809</v>
      </c>
    </row>
    <row r="1811" spans="1:1" x14ac:dyDescent="0.25">
      <c r="A1811">
        <f t="shared" si="28"/>
        <v>1810</v>
      </c>
    </row>
    <row r="1812" spans="1:1" x14ac:dyDescent="0.25">
      <c r="A1812">
        <f t="shared" si="28"/>
        <v>1811</v>
      </c>
    </row>
    <row r="1813" spans="1:1" x14ac:dyDescent="0.25">
      <c r="A1813">
        <f t="shared" si="28"/>
        <v>1812</v>
      </c>
    </row>
    <row r="1814" spans="1:1" x14ac:dyDescent="0.25">
      <c r="A1814">
        <f t="shared" si="28"/>
        <v>1813</v>
      </c>
    </row>
    <row r="1815" spans="1:1" x14ac:dyDescent="0.25">
      <c r="A1815">
        <f t="shared" si="28"/>
        <v>1814</v>
      </c>
    </row>
    <row r="1816" spans="1:1" x14ac:dyDescent="0.25">
      <c r="A1816">
        <f t="shared" si="28"/>
        <v>1815</v>
      </c>
    </row>
    <row r="1817" spans="1:1" x14ac:dyDescent="0.25">
      <c r="A1817">
        <f t="shared" si="28"/>
        <v>1816</v>
      </c>
    </row>
    <row r="1818" spans="1:1" x14ac:dyDescent="0.25">
      <c r="A1818">
        <f t="shared" si="28"/>
        <v>1817</v>
      </c>
    </row>
    <row r="1819" spans="1:1" x14ac:dyDescent="0.25">
      <c r="A1819">
        <f t="shared" si="28"/>
        <v>1818</v>
      </c>
    </row>
    <row r="1820" spans="1:1" x14ac:dyDescent="0.25">
      <c r="A1820">
        <f t="shared" si="28"/>
        <v>1819</v>
      </c>
    </row>
    <row r="1821" spans="1:1" x14ac:dyDescent="0.25">
      <c r="A1821">
        <f t="shared" si="28"/>
        <v>1820</v>
      </c>
    </row>
    <row r="1822" spans="1:1" x14ac:dyDescent="0.25">
      <c r="A1822">
        <f t="shared" si="28"/>
        <v>1821</v>
      </c>
    </row>
    <row r="1823" spans="1:1" x14ac:dyDescent="0.25">
      <c r="A1823">
        <f t="shared" si="28"/>
        <v>1822</v>
      </c>
    </row>
    <row r="1824" spans="1:1" x14ac:dyDescent="0.25">
      <c r="A1824">
        <f t="shared" si="28"/>
        <v>1823</v>
      </c>
    </row>
    <row r="1825" spans="1:1" x14ac:dyDescent="0.25">
      <c r="A1825">
        <f t="shared" si="28"/>
        <v>1824</v>
      </c>
    </row>
    <row r="1826" spans="1:1" x14ac:dyDescent="0.25">
      <c r="A1826">
        <f t="shared" si="28"/>
        <v>1825</v>
      </c>
    </row>
    <row r="1827" spans="1:1" x14ac:dyDescent="0.25">
      <c r="A1827">
        <f t="shared" si="28"/>
        <v>1826</v>
      </c>
    </row>
    <row r="1828" spans="1:1" x14ac:dyDescent="0.25">
      <c r="A1828">
        <f t="shared" si="28"/>
        <v>1827</v>
      </c>
    </row>
    <row r="1829" spans="1:1" x14ac:dyDescent="0.25">
      <c r="A1829">
        <f t="shared" si="28"/>
        <v>1828</v>
      </c>
    </row>
    <row r="1830" spans="1:1" x14ac:dyDescent="0.25">
      <c r="A1830">
        <f t="shared" si="28"/>
        <v>1829</v>
      </c>
    </row>
    <row r="1831" spans="1:1" x14ac:dyDescent="0.25">
      <c r="A1831">
        <f t="shared" si="28"/>
        <v>1830</v>
      </c>
    </row>
    <row r="1832" spans="1:1" x14ac:dyDescent="0.25">
      <c r="A1832">
        <f t="shared" si="28"/>
        <v>1831</v>
      </c>
    </row>
    <row r="1833" spans="1:1" x14ac:dyDescent="0.25">
      <c r="A1833">
        <f t="shared" si="28"/>
        <v>1832</v>
      </c>
    </row>
    <row r="1834" spans="1:1" x14ac:dyDescent="0.25">
      <c r="A1834">
        <f t="shared" si="28"/>
        <v>1833</v>
      </c>
    </row>
    <row r="1835" spans="1:1" x14ac:dyDescent="0.25">
      <c r="A1835">
        <f t="shared" si="28"/>
        <v>1834</v>
      </c>
    </row>
    <row r="1836" spans="1:1" x14ac:dyDescent="0.25">
      <c r="A1836">
        <f t="shared" si="28"/>
        <v>1835</v>
      </c>
    </row>
    <row r="1837" spans="1:1" x14ac:dyDescent="0.25">
      <c r="A1837">
        <f t="shared" si="28"/>
        <v>1836</v>
      </c>
    </row>
    <row r="1838" spans="1:1" x14ac:dyDescent="0.25">
      <c r="A1838">
        <f t="shared" si="28"/>
        <v>1837</v>
      </c>
    </row>
    <row r="1839" spans="1:1" x14ac:dyDescent="0.25">
      <c r="A1839">
        <f t="shared" si="28"/>
        <v>1838</v>
      </c>
    </row>
    <row r="1840" spans="1:1" x14ac:dyDescent="0.25">
      <c r="A1840">
        <f t="shared" si="28"/>
        <v>1839</v>
      </c>
    </row>
    <row r="1841" spans="1:1" x14ac:dyDescent="0.25">
      <c r="A1841">
        <f t="shared" si="28"/>
        <v>1840</v>
      </c>
    </row>
    <row r="1842" spans="1:1" x14ac:dyDescent="0.25">
      <c r="A1842">
        <f t="shared" si="28"/>
        <v>1841</v>
      </c>
    </row>
    <row r="1843" spans="1:1" x14ac:dyDescent="0.25">
      <c r="A1843">
        <f t="shared" si="28"/>
        <v>1842</v>
      </c>
    </row>
    <row r="1844" spans="1:1" x14ac:dyDescent="0.25">
      <c r="A1844">
        <f t="shared" si="28"/>
        <v>1843</v>
      </c>
    </row>
    <row r="1845" spans="1:1" x14ac:dyDescent="0.25">
      <c r="A1845">
        <f t="shared" si="28"/>
        <v>1844</v>
      </c>
    </row>
    <row r="1846" spans="1:1" x14ac:dyDescent="0.25">
      <c r="A1846">
        <f t="shared" si="28"/>
        <v>1845</v>
      </c>
    </row>
    <row r="1847" spans="1:1" x14ac:dyDescent="0.25">
      <c r="A1847">
        <f t="shared" si="28"/>
        <v>1846</v>
      </c>
    </row>
    <row r="1848" spans="1:1" x14ac:dyDescent="0.25">
      <c r="A1848">
        <f t="shared" si="28"/>
        <v>1847</v>
      </c>
    </row>
    <row r="1849" spans="1:1" x14ac:dyDescent="0.25">
      <c r="A1849">
        <f t="shared" si="28"/>
        <v>1848</v>
      </c>
    </row>
    <row r="1850" spans="1:1" x14ac:dyDescent="0.25">
      <c r="A1850">
        <f t="shared" si="28"/>
        <v>1849</v>
      </c>
    </row>
    <row r="1851" spans="1:1" x14ac:dyDescent="0.25">
      <c r="A1851">
        <f t="shared" si="28"/>
        <v>1850</v>
      </c>
    </row>
    <row r="1852" spans="1:1" x14ac:dyDescent="0.25">
      <c r="A1852">
        <f t="shared" si="28"/>
        <v>1851</v>
      </c>
    </row>
    <row r="1853" spans="1:1" x14ac:dyDescent="0.25">
      <c r="A1853">
        <f t="shared" si="28"/>
        <v>1852</v>
      </c>
    </row>
    <row r="1854" spans="1:1" x14ac:dyDescent="0.25">
      <c r="A1854">
        <f t="shared" si="28"/>
        <v>1853</v>
      </c>
    </row>
    <row r="1855" spans="1:1" x14ac:dyDescent="0.25">
      <c r="A1855">
        <f t="shared" si="28"/>
        <v>1854</v>
      </c>
    </row>
    <row r="1856" spans="1:1" x14ac:dyDescent="0.25">
      <c r="A1856">
        <f t="shared" si="28"/>
        <v>1855</v>
      </c>
    </row>
    <row r="1857" spans="1:1" x14ac:dyDescent="0.25">
      <c r="A1857">
        <f t="shared" si="28"/>
        <v>1856</v>
      </c>
    </row>
    <row r="1858" spans="1:1" x14ac:dyDescent="0.25">
      <c r="A1858">
        <f t="shared" si="28"/>
        <v>1857</v>
      </c>
    </row>
    <row r="1859" spans="1:1" x14ac:dyDescent="0.25">
      <c r="A1859">
        <f t="shared" si="28"/>
        <v>1858</v>
      </c>
    </row>
    <row r="1860" spans="1:1" x14ac:dyDescent="0.25">
      <c r="A1860">
        <f t="shared" ref="A1860:A1923" si="29">A1859+1</f>
        <v>1859</v>
      </c>
    </row>
    <row r="1861" spans="1:1" x14ac:dyDescent="0.25">
      <c r="A1861">
        <f t="shared" si="29"/>
        <v>1860</v>
      </c>
    </row>
    <row r="1862" spans="1:1" x14ac:dyDescent="0.25">
      <c r="A1862">
        <f t="shared" si="29"/>
        <v>1861</v>
      </c>
    </row>
    <row r="1863" spans="1:1" x14ac:dyDescent="0.25">
      <c r="A1863">
        <f t="shared" si="29"/>
        <v>1862</v>
      </c>
    </row>
    <row r="1864" spans="1:1" x14ac:dyDescent="0.25">
      <c r="A1864">
        <f t="shared" si="29"/>
        <v>1863</v>
      </c>
    </row>
    <row r="1865" spans="1:1" x14ac:dyDescent="0.25">
      <c r="A1865">
        <f t="shared" si="29"/>
        <v>1864</v>
      </c>
    </row>
    <row r="1866" spans="1:1" x14ac:dyDescent="0.25">
      <c r="A1866">
        <f t="shared" si="29"/>
        <v>1865</v>
      </c>
    </row>
    <row r="1867" spans="1:1" x14ac:dyDescent="0.25">
      <c r="A1867">
        <f t="shared" si="29"/>
        <v>1866</v>
      </c>
    </row>
    <row r="1868" spans="1:1" x14ac:dyDescent="0.25">
      <c r="A1868">
        <f t="shared" si="29"/>
        <v>1867</v>
      </c>
    </row>
    <row r="1869" spans="1:1" x14ac:dyDescent="0.25">
      <c r="A1869">
        <f t="shared" si="29"/>
        <v>1868</v>
      </c>
    </row>
    <row r="1870" spans="1:1" x14ac:dyDescent="0.25">
      <c r="A1870">
        <f t="shared" si="29"/>
        <v>1869</v>
      </c>
    </row>
    <row r="1871" spans="1:1" x14ac:dyDescent="0.25">
      <c r="A1871">
        <f t="shared" si="29"/>
        <v>1870</v>
      </c>
    </row>
    <row r="1872" spans="1:1" x14ac:dyDescent="0.25">
      <c r="A1872">
        <f t="shared" si="29"/>
        <v>1871</v>
      </c>
    </row>
    <row r="1873" spans="1:1" x14ac:dyDescent="0.25">
      <c r="A1873">
        <f t="shared" si="29"/>
        <v>1872</v>
      </c>
    </row>
    <row r="1874" spans="1:1" x14ac:dyDescent="0.25">
      <c r="A1874">
        <f t="shared" si="29"/>
        <v>1873</v>
      </c>
    </row>
    <row r="1875" spans="1:1" x14ac:dyDescent="0.25">
      <c r="A1875">
        <f t="shared" si="29"/>
        <v>1874</v>
      </c>
    </row>
    <row r="1876" spans="1:1" x14ac:dyDescent="0.25">
      <c r="A1876">
        <f t="shared" si="29"/>
        <v>1875</v>
      </c>
    </row>
    <row r="1877" spans="1:1" x14ac:dyDescent="0.25">
      <c r="A1877">
        <f t="shared" si="29"/>
        <v>1876</v>
      </c>
    </row>
    <row r="1878" spans="1:1" x14ac:dyDescent="0.25">
      <c r="A1878">
        <f t="shared" si="29"/>
        <v>1877</v>
      </c>
    </row>
    <row r="1879" spans="1:1" x14ac:dyDescent="0.25">
      <c r="A1879">
        <f t="shared" si="29"/>
        <v>1878</v>
      </c>
    </row>
    <row r="1880" spans="1:1" x14ac:dyDescent="0.25">
      <c r="A1880">
        <f t="shared" si="29"/>
        <v>1879</v>
      </c>
    </row>
    <row r="1881" spans="1:1" x14ac:dyDescent="0.25">
      <c r="A1881">
        <f t="shared" si="29"/>
        <v>1880</v>
      </c>
    </row>
    <row r="1882" spans="1:1" x14ac:dyDescent="0.25">
      <c r="A1882">
        <f t="shared" si="29"/>
        <v>1881</v>
      </c>
    </row>
    <row r="1883" spans="1:1" x14ac:dyDescent="0.25">
      <c r="A1883">
        <f t="shared" si="29"/>
        <v>1882</v>
      </c>
    </row>
    <row r="1884" spans="1:1" x14ac:dyDescent="0.25">
      <c r="A1884">
        <f t="shared" si="29"/>
        <v>1883</v>
      </c>
    </row>
    <row r="1885" spans="1:1" x14ac:dyDescent="0.25">
      <c r="A1885">
        <f t="shared" si="29"/>
        <v>1884</v>
      </c>
    </row>
    <row r="1886" spans="1:1" x14ac:dyDescent="0.25">
      <c r="A1886">
        <f t="shared" si="29"/>
        <v>1885</v>
      </c>
    </row>
    <row r="1887" spans="1:1" x14ac:dyDescent="0.25">
      <c r="A1887">
        <f t="shared" si="29"/>
        <v>1886</v>
      </c>
    </row>
    <row r="1888" spans="1:1" x14ac:dyDescent="0.25">
      <c r="A1888">
        <f t="shared" si="29"/>
        <v>1887</v>
      </c>
    </row>
    <row r="1889" spans="1:1" x14ac:dyDescent="0.25">
      <c r="A1889">
        <f t="shared" si="29"/>
        <v>1888</v>
      </c>
    </row>
    <row r="1890" spans="1:1" x14ac:dyDescent="0.25">
      <c r="A1890">
        <f t="shared" si="29"/>
        <v>1889</v>
      </c>
    </row>
    <row r="1891" spans="1:1" x14ac:dyDescent="0.25">
      <c r="A1891">
        <f t="shared" si="29"/>
        <v>1890</v>
      </c>
    </row>
    <row r="1892" spans="1:1" x14ac:dyDescent="0.25">
      <c r="A1892">
        <f t="shared" si="29"/>
        <v>1891</v>
      </c>
    </row>
    <row r="1893" spans="1:1" x14ac:dyDescent="0.25">
      <c r="A1893">
        <f t="shared" si="29"/>
        <v>1892</v>
      </c>
    </row>
    <row r="1894" spans="1:1" x14ac:dyDescent="0.25">
      <c r="A1894">
        <f t="shared" si="29"/>
        <v>1893</v>
      </c>
    </row>
    <row r="1895" spans="1:1" x14ac:dyDescent="0.25">
      <c r="A1895">
        <f t="shared" si="29"/>
        <v>1894</v>
      </c>
    </row>
    <row r="1896" spans="1:1" x14ac:dyDescent="0.25">
      <c r="A1896">
        <f t="shared" si="29"/>
        <v>1895</v>
      </c>
    </row>
    <row r="1897" spans="1:1" x14ac:dyDescent="0.25">
      <c r="A1897">
        <f t="shared" si="29"/>
        <v>1896</v>
      </c>
    </row>
    <row r="1898" spans="1:1" x14ac:dyDescent="0.25">
      <c r="A1898">
        <f t="shared" si="29"/>
        <v>1897</v>
      </c>
    </row>
    <row r="1899" spans="1:1" x14ac:dyDescent="0.25">
      <c r="A1899">
        <f t="shared" si="29"/>
        <v>1898</v>
      </c>
    </row>
    <row r="1900" spans="1:1" x14ac:dyDescent="0.25">
      <c r="A1900">
        <f t="shared" si="29"/>
        <v>1899</v>
      </c>
    </row>
    <row r="1901" spans="1:1" x14ac:dyDescent="0.25">
      <c r="A1901">
        <f t="shared" si="29"/>
        <v>1900</v>
      </c>
    </row>
    <row r="1902" spans="1:1" x14ac:dyDescent="0.25">
      <c r="A1902">
        <f t="shared" si="29"/>
        <v>1901</v>
      </c>
    </row>
    <row r="1903" spans="1:1" x14ac:dyDescent="0.25">
      <c r="A1903">
        <f t="shared" si="29"/>
        <v>1902</v>
      </c>
    </row>
    <row r="1904" spans="1:1" x14ac:dyDescent="0.25">
      <c r="A1904">
        <f t="shared" si="29"/>
        <v>1903</v>
      </c>
    </row>
    <row r="1905" spans="1:1" x14ac:dyDescent="0.25">
      <c r="A1905">
        <f t="shared" si="29"/>
        <v>1904</v>
      </c>
    </row>
    <row r="1906" spans="1:1" x14ac:dyDescent="0.25">
      <c r="A1906">
        <f t="shared" si="29"/>
        <v>1905</v>
      </c>
    </row>
    <row r="1907" spans="1:1" x14ac:dyDescent="0.25">
      <c r="A1907">
        <f t="shared" si="29"/>
        <v>1906</v>
      </c>
    </row>
    <row r="1908" spans="1:1" x14ac:dyDescent="0.25">
      <c r="A1908">
        <f t="shared" si="29"/>
        <v>1907</v>
      </c>
    </row>
    <row r="1909" spans="1:1" x14ac:dyDescent="0.25">
      <c r="A1909">
        <f t="shared" si="29"/>
        <v>1908</v>
      </c>
    </row>
    <row r="1910" spans="1:1" x14ac:dyDescent="0.25">
      <c r="A1910">
        <f t="shared" si="29"/>
        <v>1909</v>
      </c>
    </row>
    <row r="1911" spans="1:1" x14ac:dyDescent="0.25">
      <c r="A1911">
        <f t="shared" si="29"/>
        <v>1910</v>
      </c>
    </row>
    <row r="1912" spans="1:1" x14ac:dyDescent="0.25">
      <c r="A1912">
        <f t="shared" si="29"/>
        <v>1911</v>
      </c>
    </row>
    <row r="1913" spans="1:1" x14ac:dyDescent="0.25">
      <c r="A1913">
        <f t="shared" si="29"/>
        <v>1912</v>
      </c>
    </row>
    <row r="1914" spans="1:1" x14ac:dyDescent="0.25">
      <c r="A1914">
        <f t="shared" si="29"/>
        <v>1913</v>
      </c>
    </row>
    <row r="1915" spans="1:1" x14ac:dyDescent="0.25">
      <c r="A1915">
        <f t="shared" si="29"/>
        <v>1914</v>
      </c>
    </row>
    <row r="1916" spans="1:1" x14ac:dyDescent="0.25">
      <c r="A1916">
        <f t="shared" si="29"/>
        <v>1915</v>
      </c>
    </row>
    <row r="1917" spans="1:1" x14ac:dyDescent="0.25">
      <c r="A1917">
        <f t="shared" si="29"/>
        <v>1916</v>
      </c>
    </row>
    <row r="1918" spans="1:1" x14ac:dyDescent="0.25">
      <c r="A1918">
        <f t="shared" si="29"/>
        <v>1917</v>
      </c>
    </row>
    <row r="1919" spans="1:1" x14ac:dyDescent="0.25">
      <c r="A1919">
        <f t="shared" si="29"/>
        <v>1918</v>
      </c>
    </row>
    <row r="1920" spans="1:1" x14ac:dyDescent="0.25">
      <c r="A1920">
        <f t="shared" si="29"/>
        <v>1919</v>
      </c>
    </row>
    <row r="1921" spans="1:1" x14ac:dyDescent="0.25">
      <c r="A1921">
        <f t="shared" si="29"/>
        <v>1920</v>
      </c>
    </row>
    <row r="1922" spans="1:1" x14ac:dyDescent="0.25">
      <c r="A1922">
        <f t="shared" si="29"/>
        <v>1921</v>
      </c>
    </row>
    <row r="1923" spans="1:1" x14ac:dyDescent="0.25">
      <c r="A1923">
        <f t="shared" si="29"/>
        <v>1922</v>
      </c>
    </row>
    <row r="1924" spans="1:1" x14ac:dyDescent="0.25">
      <c r="A1924">
        <f t="shared" ref="A1924:A1987" si="30">A1923+1</f>
        <v>1923</v>
      </c>
    </row>
    <row r="1925" spans="1:1" x14ac:dyDescent="0.25">
      <c r="A1925">
        <f t="shared" si="30"/>
        <v>1924</v>
      </c>
    </row>
    <row r="1926" spans="1:1" x14ac:dyDescent="0.25">
      <c r="A1926">
        <f t="shared" si="30"/>
        <v>1925</v>
      </c>
    </row>
    <row r="1927" spans="1:1" x14ac:dyDescent="0.25">
      <c r="A1927">
        <f t="shared" si="30"/>
        <v>1926</v>
      </c>
    </row>
    <row r="1928" spans="1:1" x14ac:dyDescent="0.25">
      <c r="A1928">
        <f t="shared" si="30"/>
        <v>1927</v>
      </c>
    </row>
    <row r="1929" spans="1:1" x14ac:dyDescent="0.25">
      <c r="A1929">
        <f t="shared" si="30"/>
        <v>1928</v>
      </c>
    </row>
    <row r="1930" spans="1:1" x14ac:dyDescent="0.25">
      <c r="A1930">
        <f t="shared" si="30"/>
        <v>1929</v>
      </c>
    </row>
    <row r="1931" spans="1:1" x14ac:dyDescent="0.25">
      <c r="A1931">
        <f t="shared" si="30"/>
        <v>1930</v>
      </c>
    </row>
    <row r="1932" spans="1:1" x14ac:dyDescent="0.25">
      <c r="A1932">
        <f t="shared" si="30"/>
        <v>1931</v>
      </c>
    </row>
    <row r="1933" spans="1:1" x14ac:dyDescent="0.25">
      <c r="A1933">
        <f t="shared" si="30"/>
        <v>1932</v>
      </c>
    </row>
    <row r="1934" spans="1:1" x14ac:dyDescent="0.25">
      <c r="A1934">
        <f t="shared" si="30"/>
        <v>1933</v>
      </c>
    </row>
    <row r="1935" spans="1:1" x14ac:dyDescent="0.25">
      <c r="A1935">
        <f t="shared" si="30"/>
        <v>1934</v>
      </c>
    </row>
    <row r="1936" spans="1:1" x14ac:dyDescent="0.25">
      <c r="A1936">
        <f t="shared" si="30"/>
        <v>1935</v>
      </c>
    </row>
    <row r="1937" spans="1:1" x14ac:dyDescent="0.25">
      <c r="A1937">
        <f t="shared" si="30"/>
        <v>1936</v>
      </c>
    </row>
    <row r="1938" spans="1:1" x14ac:dyDescent="0.25">
      <c r="A1938">
        <f t="shared" si="30"/>
        <v>1937</v>
      </c>
    </row>
    <row r="1939" spans="1:1" x14ac:dyDescent="0.25">
      <c r="A1939">
        <f t="shared" si="30"/>
        <v>1938</v>
      </c>
    </row>
    <row r="1940" spans="1:1" x14ac:dyDescent="0.25">
      <c r="A1940">
        <f t="shared" si="30"/>
        <v>1939</v>
      </c>
    </row>
    <row r="1941" spans="1:1" x14ac:dyDescent="0.25">
      <c r="A1941">
        <f t="shared" si="30"/>
        <v>1940</v>
      </c>
    </row>
    <row r="1942" spans="1:1" x14ac:dyDescent="0.25">
      <c r="A1942">
        <f t="shared" si="30"/>
        <v>1941</v>
      </c>
    </row>
    <row r="1943" spans="1:1" x14ac:dyDescent="0.25">
      <c r="A1943">
        <f t="shared" si="30"/>
        <v>1942</v>
      </c>
    </row>
    <row r="1944" spans="1:1" x14ac:dyDescent="0.25">
      <c r="A1944">
        <f t="shared" si="30"/>
        <v>1943</v>
      </c>
    </row>
    <row r="1945" spans="1:1" x14ac:dyDescent="0.25">
      <c r="A1945">
        <f t="shared" si="30"/>
        <v>1944</v>
      </c>
    </row>
    <row r="1946" spans="1:1" x14ac:dyDescent="0.25">
      <c r="A1946">
        <f t="shared" si="30"/>
        <v>1945</v>
      </c>
    </row>
    <row r="1947" spans="1:1" x14ac:dyDescent="0.25">
      <c r="A1947">
        <f t="shared" si="30"/>
        <v>1946</v>
      </c>
    </row>
    <row r="1948" spans="1:1" x14ac:dyDescent="0.25">
      <c r="A1948">
        <f t="shared" si="30"/>
        <v>1947</v>
      </c>
    </row>
    <row r="1949" spans="1:1" x14ac:dyDescent="0.25">
      <c r="A1949">
        <f t="shared" si="30"/>
        <v>1948</v>
      </c>
    </row>
    <row r="1950" spans="1:1" x14ac:dyDescent="0.25">
      <c r="A1950">
        <f t="shared" si="30"/>
        <v>1949</v>
      </c>
    </row>
    <row r="1951" spans="1:1" x14ac:dyDescent="0.25">
      <c r="A1951">
        <f t="shared" si="30"/>
        <v>1950</v>
      </c>
    </row>
    <row r="1952" spans="1:1" x14ac:dyDescent="0.25">
      <c r="A1952">
        <f t="shared" si="30"/>
        <v>1951</v>
      </c>
    </row>
    <row r="1953" spans="1:1" x14ac:dyDescent="0.25">
      <c r="A1953">
        <f t="shared" si="30"/>
        <v>1952</v>
      </c>
    </row>
    <row r="1954" spans="1:1" x14ac:dyDescent="0.25">
      <c r="A1954">
        <f t="shared" si="30"/>
        <v>1953</v>
      </c>
    </row>
    <row r="1955" spans="1:1" x14ac:dyDescent="0.25">
      <c r="A1955">
        <f t="shared" si="30"/>
        <v>1954</v>
      </c>
    </row>
    <row r="1956" spans="1:1" x14ac:dyDescent="0.25">
      <c r="A1956">
        <f t="shared" si="30"/>
        <v>1955</v>
      </c>
    </row>
    <row r="1957" spans="1:1" x14ac:dyDescent="0.25">
      <c r="A1957">
        <f t="shared" si="30"/>
        <v>1956</v>
      </c>
    </row>
    <row r="1958" spans="1:1" x14ac:dyDescent="0.25">
      <c r="A1958">
        <f t="shared" si="30"/>
        <v>1957</v>
      </c>
    </row>
    <row r="1959" spans="1:1" x14ac:dyDescent="0.25">
      <c r="A1959">
        <f t="shared" si="30"/>
        <v>1958</v>
      </c>
    </row>
    <row r="1960" spans="1:1" x14ac:dyDescent="0.25">
      <c r="A1960">
        <f t="shared" si="30"/>
        <v>1959</v>
      </c>
    </row>
    <row r="1961" spans="1:1" x14ac:dyDescent="0.25">
      <c r="A1961">
        <f t="shared" si="30"/>
        <v>1960</v>
      </c>
    </row>
    <row r="1962" spans="1:1" x14ac:dyDescent="0.25">
      <c r="A1962">
        <f t="shared" si="30"/>
        <v>1961</v>
      </c>
    </row>
    <row r="1963" spans="1:1" x14ac:dyDescent="0.25">
      <c r="A1963">
        <f t="shared" si="30"/>
        <v>1962</v>
      </c>
    </row>
    <row r="1964" spans="1:1" x14ac:dyDescent="0.25">
      <c r="A1964">
        <f t="shared" si="30"/>
        <v>1963</v>
      </c>
    </row>
    <row r="1965" spans="1:1" x14ac:dyDescent="0.25">
      <c r="A1965">
        <f t="shared" si="30"/>
        <v>1964</v>
      </c>
    </row>
    <row r="1966" spans="1:1" x14ac:dyDescent="0.25">
      <c r="A1966">
        <f t="shared" si="30"/>
        <v>1965</v>
      </c>
    </row>
    <row r="1967" spans="1:1" x14ac:dyDescent="0.25">
      <c r="A1967">
        <f t="shared" si="30"/>
        <v>1966</v>
      </c>
    </row>
    <row r="1968" spans="1:1" x14ac:dyDescent="0.25">
      <c r="A1968">
        <f t="shared" si="30"/>
        <v>1967</v>
      </c>
    </row>
    <row r="1969" spans="1:1" x14ac:dyDescent="0.25">
      <c r="A1969">
        <f t="shared" si="30"/>
        <v>1968</v>
      </c>
    </row>
    <row r="1970" spans="1:1" x14ac:dyDescent="0.25">
      <c r="A1970">
        <f t="shared" si="30"/>
        <v>1969</v>
      </c>
    </row>
    <row r="1971" spans="1:1" x14ac:dyDescent="0.25">
      <c r="A1971">
        <f t="shared" si="30"/>
        <v>1970</v>
      </c>
    </row>
    <row r="1972" spans="1:1" x14ac:dyDescent="0.25">
      <c r="A1972">
        <f t="shared" si="30"/>
        <v>1971</v>
      </c>
    </row>
    <row r="1973" spans="1:1" x14ac:dyDescent="0.25">
      <c r="A1973">
        <f t="shared" si="30"/>
        <v>1972</v>
      </c>
    </row>
    <row r="1974" spans="1:1" x14ac:dyDescent="0.25">
      <c r="A1974">
        <f t="shared" si="30"/>
        <v>1973</v>
      </c>
    </row>
    <row r="1975" spans="1:1" x14ac:dyDescent="0.25">
      <c r="A1975">
        <f t="shared" si="30"/>
        <v>1974</v>
      </c>
    </row>
    <row r="1976" spans="1:1" x14ac:dyDescent="0.25">
      <c r="A1976">
        <f t="shared" si="30"/>
        <v>1975</v>
      </c>
    </row>
    <row r="1977" spans="1:1" x14ac:dyDescent="0.25">
      <c r="A1977">
        <f t="shared" si="30"/>
        <v>1976</v>
      </c>
    </row>
    <row r="1978" spans="1:1" x14ac:dyDescent="0.25">
      <c r="A1978">
        <f t="shared" si="30"/>
        <v>1977</v>
      </c>
    </row>
    <row r="1979" spans="1:1" x14ac:dyDescent="0.25">
      <c r="A1979">
        <f t="shared" si="30"/>
        <v>1978</v>
      </c>
    </row>
    <row r="1980" spans="1:1" x14ac:dyDescent="0.25">
      <c r="A1980">
        <f t="shared" si="30"/>
        <v>1979</v>
      </c>
    </row>
    <row r="1981" spans="1:1" x14ac:dyDescent="0.25">
      <c r="A1981">
        <f t="shared" si="30"/>
        <v>1980</v>
      </c>
    </row>
    <row r="1982" spans="1:1" x14ac:dyDescent="0.25">
      <c r="A1982">
        <f t="shared" si="30"/>
        <v>1981</v>
      </c>
    </row>
    <row r="1983" spans="1:1" x14ac:dyDescent="0.25">
      <c r="A1983">
        <f t="shared" si="30"/>
        <v>1982</v>
      </c>
    </row>
    <row r="1984" spans="1:1" x14ac:dyDescent="0.25">
      <c r="A1984">
        <f t="shared" si="30"/>
        <v>1983</v>
      </c>
    </row>
    <row r="1985" spans="1:1" x14ac:dyDescent="0.25">
      <c r="A1985">
        <f t="shared" si="30"/>
        <v>1984</v>
      </c>
    </row>
    <row r="1986" spans="1:1" x14ac:dyDescent="0.25">
      <c r="A1986">
        <f t="shared" si="30"/>
        <v>1985</v>
      </c>
    </row>
    <row r="1987" spans="1:1" x14ac:dyDescent="0.25">
      <c r="A1987">
        <f t="shared" si="30"/>
        <v>1986</v>
      </c>
    </row>
    <row r="1988" spans="1:1" x14ac:dyDescent="0.25">
      <c r="A1988">
        <f t="shared" ref="A1988:A2051" si="31">A1987+1</f>
        <v>1987</v>
      </c>
    </row>
    <row r="1989" spans="1:1" x14ac:dyDescent="0.25">
      <c r="A1989">
        <f t="shared" si="31"/>
        <v>1988</v>
      </c>
    </row>
    <row r="1990" spans="1:1" x14ac:dyDescent="0.25">
      <c r="A1990">
        <f t="shared" si="31"/>
        <v>1989</v>
      </c>
    </row>
    <row r="1991" spans="1:1" x14ac:dyDescent="0.25">
      <c r="A1991">
        <f t="shared" si="31"/>
        <v>1990</v>
      </c>
    </row>
    <row r="1992" spans="1:1" x14ac:dyDescent="0.25">
      <c r="A1992">
        <f t="shared" si="31"/>
        <v>1991</v>
      </c>
    </row>
    <row r="1993" spans="1:1" x14ac:dyDescent="0.25">
      <c r="A1993">
        <f t="shared" si="31"/>
        <v>1992</v>
      </c>
    </row>
    <row r="1994" spans="1:1" x14ac:dyDescent="0.25">
      <c r="A1994">
        <f t="shared" si="31"/>
        <v>1993</v>
      </c>
    </row>
    <row r="1995" spans="1:1" x14ac:dyDescent="0.25">
      <c r="A1995">
        <f t="shared" si="31"/>
        <v>1994</v>
      </c>
    </row>
    <row r="1996" spans="1:1" x14ac:dyDescent="0.25">
      <c r="A1996">
        <f t="shared" si="31"/>
        <v>1995</v>
      </c>
    </row>
    <row r="1997" spans="1:1" x14ac:dyDescent="0.25">
      <c r="A1997">
        <f t="shared" si="31"/>
        <v>1996</v>
      </c>
    </row>
    <row r="1998" spans="1:1" x14ac:dyDescent="0.25">
      <c r="A1998">
        <f t="shared" si="31"/>
        <v>1997</v>
      </c>
    </row>
    <row r="1999" spans="1:1" x14ac:dyDescent="0.25">
      <c r="A1999">
        <f t="shared" si="31"/>
        <v>1998</v>
      </c>
    </row>
    <row r="2000" spans="1:1" x14ac:dyDescent="0.25">
      <c r="A2000">
        <f t="shared" si="31"/>
        <v>1999</v>
      </c>
    </row>
    <row r="2001" spans="1:1" x14ac:dyDescent="0.25">
      <c r="A2001">
        <f t="shared" si="31"/>
        <v>2000</v>
      </c>
    </row>
    <row r="2002" spans="1:1" x14ac:dyDescent="0.25">
      <c r="A2002">
        <f t="shared" si="31"/>
        <v>2001</v>
      </c>
    </row>
    <row r="2003" spans="1:1" x14ac:dyDescent="0.25">
      <c r="A2003">
        <f t="shared" si="31"/>
        <v>2002</v>
      </c>
    </row>
    <row r="2004" spans="1:1" x14ac:dyDescent="0.25">
      <c r="A2004">
        <f t="shared" si="31"/>
        <v>2003</v>
      </c>
    </row>
    <row r="2005" spans="1:1" x14ac:dyDescent="0.25">
      <c r="A2005">
        <f t="shared" si="31"/>
        <v>2004</v>
      </c>
    </row>
    <row r="2006" spans="1:1" x14ac:dyDescent="0.25">
      <c r="A2006">
        <f t="shared" si="31"/>
        <v>2005</v>
      </c>
    </row>
    <row r="2007" spans="1:1" x14ac:dyDescent="0.25">
      <c r="A2007">
        <f t="shared" si="31"/>
        <v>2006</v>
      </c>
    </row>
    <row r="2008" spans="1:1" x14ac:dyDescent="0.25">
      <c r="A2008">
        <f t="shared" si="31"/>
        <v>2007</v>
      </c>
    </row>
    <row r="2009" spans="1:1" x14ac:dyDescent="0.25">
      <c r="A2009">
        <f t="shared" si="31"/>
        <v>2008</v>
      </c>
    </row>
    <row r="2010" spans="1:1" x14ac:dyDescent="0.25">
      <c r="A2010">
        <f t="shared" si="31"/>
        <v>2009</v>
      </c>
    </row>
    <row r="2011" spans="1:1" x14ac:dyDescent="0.25">
      <c r="A2011">
        <f t="shared" si="31"/>
        <v>2010</v>
      </c>
    </row>
    <row r="2012" spans="1:1" x14ac:dyDescent="0.25">
      <c r="A2012">
        <f t="shared" si="31"/>
        <v>2011</v>
      </c>
    </row>
    <row r="2013" spans="1:1" x14ac:dyDescent="0.25">
      <c r="A2013">
        <f t="shared" si="31"/>
        <v>2012</v>
      </c>
    </row>
    <row r="2014" spans="1:1" x14ac:dyDescent="0.25">
      <c r="A2014">
        <f t="shared" si="31"/>
        <v>2013</v>
      </c>
    </row>
    <row r="2015" spans="1:1" x14ac:dyDescent="0.25">
      <c r="A2015">
        <f t="shared" si="31"/>
        <v>2014</v>
      </c>
    </row>
    <row r="2016" spans="1:1" x14ac:dyDescent="0.25">
      <c r="A2016">
        <f t="shared" si="31"/>
        <v>2015</v>
      </c>
    </row>
    <row r="2017" spans="1:1" x14ac:dyDescent="0.25">
      <c r="A2017">
        <f t="shared" si="31"/>
        <v>2016</v>
      </c>
    </row>
    <row r="2018" spans="1:1" x14ac:dyDescent="0.25">
      <c r="A2018">
        <f t="shared" si="31"/>
        <v>2017</v>
      </c>
    </row>
    <row r="2019" spans="1:1" x14ac:dyDescent="0.25">
      <c r="A2019">
        <f t="shared" si="31"/>
        <v>2018</v>
      </c>
    </row>
    <row r="2020" spans="1:1" x14ac:dyDescent="0.25">
      <c r="A2020">
        <f t="shared" si="31"/>
        <v>2019</v>
      </c>
    </row>
    <row r="2021" spans="1:1" x14ac:dyDescent="0.25">
      <c r="A2021">
        <f t="shared" si="31"/>
        <v>2020</v>
      </c>
    </row>
    <row r="2022" spans="1:1" x14ac:dyDescent="0.25">
      <c r="A2022">
        <f t="shared" si="31"/>
        <v>2021</v>
      </c>
    </row>
    <row r="2023" spans="1:1" x14ac:dyDescent="0.25">
      <c r="A2023">
        <f t="shared" si="31"/>
        <v>2022</v>
      </c>
    </row>
    <row r="2024" spans="1:1" x14ac:dyDescent="0.25">
      <c r="A2024">
        <f t="shared" si="31"/>
        <v>2023</v>
      </c>
    </row>
    <row r="2025" spans="1:1" x14ac:dyDescent="0.25">
      <c r="A2025">
        <f t="shared" si="31"/>
        <v>2024</v>
      </c>
    </row>
    <row r="2026" spans="1:1" x14ac:dyDescent="0.25">
      <c r="A2026">
        <f t="shared" si="31"/>
        <v>2025</v>
      </c>
    </row>
    <row r="2027" spans="1:1" x14ac:dyDescent="0.25">
      <c r="A2027">
        <f t="shared" si="31"/>
        <v>2026</v>
      </c>
    </row>
    <row r="2028" spans="1:1" x14ac:dyDescent="0.25">
      <c r="A2028">
        <f t="shared" si="31"/>
        <v>2027</v>
      </c>
    </row>
    <row r="2029" spans="1:1" x14ac:dyDescent="0.25">
      <c r="A2029">
        <f t="shared" si="31"/>
        <v>2028</v>
      </c>
    </row>
    <row r="2030" spans="1:1" x14ac:dyDescent="0.25">
      <c r="A2030">
        <f t="shared" si="31"/>
        <v>2029</v>
      </c>
    </row>
    <row r="2031" spans="1:1" x14ac:dyDescent="0.25">
      <c r="A2031">
        <f t="shared" si="31"/>
        <v>2030</v>
      </c>
    </row>
    <row r="2032" spans="1:1" x14ac:dyDescent="0.25">
      <c r="A2032">
        <f t="shared" si="31"/>
        <v>2031</v>
      </c>
    </row>
    <row r="2033" spans="1:1" x14ac:dyDescent="0.25">
      <c r="A2033">
        <f t="shared" si="31"/>
        <v>2032</v>
      </c>
    </row>
    <row r="2034" spans="1:1" x14ac:dyDescent="0.25">
      <c r="A2034">
        <f t="shared" si="31"/>
        <v>2033</v>
      </c>
    </row>
    <row r="2035" spans="1:1" x14ac:dyDescent="0.25">
      <c r="A2035">
        <f t="shared" si="31"/>
        <v>2034</v>
      </c>
    </row>
    <row r="2036" spans="1:1" x14ac:dyDescent="0.25">
      <c r="A2036">
        <f t="shared" si="31"/>
        <v>2035</v>
      </c>
    </row>
    <row r="2037" spans="1:1" x14ac:dyDescent="0.25">
      <c r="A2037">
        <f t="shared" si="31"/>
        <v>2036</v>
      </c>
    </row>
    <row r="2038" spans="1:1" x14ac:dyDescent="0.25">
      <c r="A2038">
        <f t="shared" si="31"/>
        <v>2037</v>
      </c>
    </row>
    <row r="2039" spans="1:1" x14ac:dyDescent="0.25">
      <c r="A2039">
        <f t="shared" si="31"/>
        <v>2038</v>
      </c>
    </row>
    <row r="2040" spans="1:1" x14ac:dyDescent="0.25">
      <c r="A2040">
        <f t="shared" si="31"/>
        <v>2039</v>
      </c>
    </row>
    <row r="2041" spans="1:1" x14ac:dyDescent="0.25">
      <c r="A2041">
        <f t="shared" si="31"/>
        <v>2040</v>
      </c>
    </row>
    <row r="2042" spans="1:1" x14ac:dyDescent="0.25">
      <c r="A2042">
        <f t="shared" si="31"/>
        <v>2041</v>
      </c>
    </row>
    <row r="2043" spans="1:1" x14ac:dyDescent="0.25">
      <c r="A2043">
        <f t="shared" si="31"/>
        <v>2042</v>
      </c>
    </row>
    <row r="2044" spans="1:1" x14ac:dyDescent="0.25">
      <c r="A2044">
        <f t="shared" si="31"/>
        <v>2043</v>
      </c>
    </row>
    <row r="2045" spans="1:1" x14ac:dyDescent="0.25">
      <c r="A2045">
        <f t="shared" si="31"/>
        <v>2044</v>
      </c>
    </row>
    <row r="2046" spans="1:1" x14ac:dyDescent="0.25">
      <c r="A2046">
        <f t="shared" si="31"/>
        <v>2045</v>
      </c>
    </row>
    <row r="2047" spans="1:1" x14ac:dyDescent="0.25">
      <c r="A2047">
        <f t="shared" si="31"/>
        <v>2046</v>
      </c>
    </row>
    <row r="2048" spans="1:1" x14ac:dyDescent="0.25">
      <c r="A2048">
        <f t="shared" si="31"/>
        <v>2047</v>
      </c>
    </row>
    <row r="2049" spans="1:1" x14ac:dyDescent="0.25">
      <c r="A2049">
        <f t="shared" si="31"/>
        <v>2048</v>
      </c>
    </row>
    <row r="2050" spans="1:1" x14ac:dyDescent="0.25">
      <c r="A2050">
        <f t="shared" si="31"/>
        <v>2049</v>
      </c>
    </row>
    <row r="2051" spans="1:1" x14ac:dyDescent="0.25">
      <c r="A2051">
        <f t="shared" si="31"/>
        <v>2050</v>
      </c>
    </row>
    <row r="2052" spans="1:1" x14ac:dyDescent="0.25">
      <c r="A2052">
        <f t="shared" ref="A2052:A2115" si="32">A2051+1</f>
        <v>2051</v>
      </c>
    </row>
    <row r="2053" spans="1:1" x14ac:dyDescent="0.25">
      <c r="A2053">
        <f t="shared" si="32"/>
        <v>2052</v>
      </c>
    </row>
    <row r="2054" spans="1:1" x14ac:dyDescent="0.25">
      <c r="A2054">
        <f t="shared" si="32"/>
        <v>2053</v>
      </c>
    </row>
    <row r="2055" spans="1:1" x14ac:dyDescent="0.25">
      <c r="A2055">
        <f t="shared" si="32"/>
        <v>2054</v>
      </c>
    </row>
    <row r="2056" spans="1:1" x14ac:dyDescent="0.25">
      <c r="A2056">
        <f t="shared" si="32"/>
        <v>2055</v>
      </c>
    </row>
    <row r="2057" spans="1:1" x14ac:dyDescent="0.25">
      <c r="A2057">
        <f t="shared" si="32"/>
        <v>2056</v>
      </c>
    </row>
    <row r="2058" spans="1:1" x14ac:dyDescent="0.25">
      <c r="A2058">
        <f t="shared" si="32"/>
        <v>2057</v>
      </c>
    </row>
    <row r="2059" spans="1:1" x14ac:dyDescent="0.25">
      <c r="A2059">
        <f t="shared" si="32"/>
        <v>2058</v>
      </c>
    </row>
    <row r="2060" spans="1:1" x14ac:dyDescent="0.25">
      <c r="A2060">
        <f t="shared" si="32"/>
        <v>2059</v>
      </c>
    </row>
    <row r="2061" spans="1:1" x14ac:dyDescent="0.25">
      <c r="A2061">
        <f t="shared" si="32"/>
        <v>2060</v>
      </c>
    </row>
    <row r="2062" spans="1:1" x14ac:dyDescent="0.25">
      <c r="A2062">
        <f t="shared" si="32"/>
        <v>2061</v>
      </c>
    </row>
    <row r="2063" spans="1:1" x14ac:dyDescent="0.25">
      <c r="A2063">
        <f t="shared" si="32"/>
        <v>2062</v>
      </c>
    </row>
    <row r="2064" spans="1:1" x14ac:dyDescent="0.25">
      <c r="A2064">
        <f t="shared" si="32"/>
        <v>2063</v>
      </c>
    </row>
    <row r="2065" spans="1:1" x14ac:dyDescent="0.25">
      <c r="A2065">
        <f t="shared" si="32"/>
        <v>2064</v>
      </c>
    </row>
    <row r="2066" spans="1:1" x14ac:dyDescent="0.25">
      <c r="A2066">
        <f t="shared" si="32"/>
        <v>2065</v>
      </c>
    </row>
    <row r="2067" spans="1:1" x14ac:dyDescent="0.25">
      <c r="A2067">
        <f t="shared" si="32"/>
        <v>2066</v>
      </c>
    </row>
    <row r="2068" spans="1:1" x14ac:dyDescent="0.25">
      <c r="A2068">
        <f t="shared" si="32"/>
        <v>2067</v>
      </c>
    </row>
    <row r="2069" spans="1:1" x14ac:dyDescent="0.25">
      <c r="A2069">
        <f t="shared" si="32"/>
        <v>2068</v>
      </c>
    </row>
    <row r="2070" spans="1:1" x14ac:dyDescent="0.25">
      <c r="A2070">
        <f t="shared" si="32"/>
        <v>2069</v>
      </c>
    </row>
    <row r="2071" spans="1:1" x14ac:dyDescent="0.25">
      <c r="A2071">
        <f t="shared" si="32"/>
        <v>2070</v>
      </c>
    </row>
    <row r="2072" spans="1:1" x14ac:dyDescent="0.25">
      <c r="A2072">
        <f t="shared" si="32"/>
        <v>2071</v>
      </c>
    </row>
    <row r="2073" spans="1:1" x14ac:dyDescent="0.25">
      <c r="A2073">
        <f t="shared" si="32"/>
        <v>2072</v>
      </c>
    </row>
    <row r="2074" spans="1:1" x14ac:dyDescent="0.25">
      <c r="A2074">
        <f t="shared" si="32"/>
        <v>2073</v>
      </c>
    </row>
    <row r="2075" spans="1:1" x14ac:dyDescent="0.25">
      <c r="A2075">
        <f t="shared" si="32"/>
        <v>2074</v>
      </c>
    </row>
    <row r="2076" spans="1:1" x14ac:dyDescent="0.25">
      <c r="A2076">
        <f t="shared" si="32"/>
        <v>2075</v>
      </c>
    </row>
    <row r="2077" spans="1:1" x14ac:dyDescent="0.25">
      <c r="A2077">
        <f t="shared" si="32"/>
        <v>2076</v>
      </c>
    </row>
    <row r="2078" spans="1:1" x14ac:dyDescent="0.25">
      <c r="A2078">
        <f t="shared" si="32"/>
        <v>2077</v>
      </c>
    </row>
    <row r="2079" spans="1:1" x14ac:dyDescent="0.25">
      <c r="A2079">
        <f t="shared" si="32"/>
        <v>2078</v>
      </c>
    </row>
    <row r="2080" spans="1:1" x14ac:dyDescent="0.25">
      <c r="A2080">
        <f t="shared" si="32"/>
        <v>2079</v>
      </c>
    </row>
    <row r="2081" spans="1:1" x14ac:dyDescent="0.25">
      <c r="A2081">
        <f t="shared" si="32"/>
        <v>2080</v>
      </c>
    </row>
    <row r="2082" spans="1:1" x14ac:dyDescent="0.25">
      <c r="A2082">
        <f t="shared" si="32"/>
        <v>2081</v>
      </c>
    </row>
    <row r="2083" spans="1:1" x14ac:dyDescent="0.25">
      <c r="A2083">
        <f t="shared" si="32"/>
        <v>2082</v>
      </c>
    </row>
    <row r="2084" spans="1:1" x14ac:dyDescent="0.25">
      <c r="A2084">
        <f t="shared" si="32"/>
        <v>2083</v>
      </c>
    </row>
    <row r="2085" spans="1:1" x14ac:dyDescent="0.25">
      <c r="A2085">
        <f t="shared" si="32"/>
        <v>2084</v>
      </c>
    </row>
    <row r="2086" spans="1:1" x14ac:dyDescent="0.25">
      <c r="A2086">
        <f t="shared" si="32"/>
        <v>2085</v>
      </c>
    </row>
    <row r="2087" spans="1:1" x14ac:dyDescent="0.25">
      <c r="A2087">
        <f t="shared" si="32"/>
        <v>2086</v>
      </c>
    </row>
    <row r="2088" spans="1:1" x14ac:dyDescent="0.25">
      <c r="A2088">
        <f t="shared" si="32"/>
        <v>2087</v>
      </c>
    </row>
    <row r="2089" spans="1:1" x14ac:dyDescent="0.25">
      <c r="A2089">
        <f t="shared" si="32"/>
        <v>2088</v>
      </c>
    </row>
    <row r="2090" spans="1:1" x14ac:dyDescent="0.25">
      <c r="A2090">
        <f t="shared" si="32"/>
        <v>2089</v>
      </c>
    </row>
    <row r="2091" spans="1:1" x14ac:dyDescent="0.25">
      <c r="A2091">
        <f t="shared" si="32"/>
        <v>2090</v>
      </c>
    </row>
    <row r="2092" spans="1:1" x14ac:dyDescent="0.25">
      <c r="A2092">
        <f t="shared" si="32"/>
        <v>2091</v>
      </c>
    </row>
    <row r="2093" spans="1:1" x14ac:dyDescent="0.25">
      <c r="A2093">
        <f t="shared" si="32"/>
        <v>2092</v>
      </c>
    </row>
    <row r="2094" spans="1:1" x14ac:dyDescent="0.25">
      <c r="A2094">
        <f t="shared" si="32"/>
        <v>2093</v>
      </c>
    </row>
    <row r="2095" spans="1:1" x14ac:dyDescent="0.25">
      <c r="A2095">
        <f t="shared" si="32"/>
        <v>2094</v>
      </c>
    </row>
    <row r="2096" spans="1:1" x14ac:dyDescent="0.25">
      <c r="A2096">
        <f t="shared" si="32"/>
        <v>2095</v>
      </c>
    </row>
    <row r="2097" spans="1:1" x14ac:dyDescent="0.25">
      <c r="A2097">
        <f t="shared" si="32"/>
        <v>2096</v>
      </c>
    </row>
    <row r="2098" spans="1:1" x14ac:dyDescent="0.25">
      <c r="A2098">
        <f t="shared" si="32"/>
        <v>2097</v>
      </c>
    </row>
    <row r="2099" spans="1:1" x14ac:dyDescent="0.25">
      <c r="A2099">
        <f t="shared" si="32"/>
        <v>2098</v>
      </c>
    </row>
    <row r="2100" spans="1:1" x14ac:dyDescent="0.25">
      <c r="A2100">
        <f t="shared" si="32"/>
        <v>2099</v>
      </c>
    </row>
    <row r="2101" spans="1:1" x14ac:dyDescent="0.25">
      <c r="A2101">
        <f t="shared" si="32"/>
        <v>2100</v>
      </c>
    </row>
    <row r="2102" spans="1:1" x14ac:dyDescent="0.25">
      <c r="A2102">
        <f t="shared" si="32"/>
        <v>2101</v>
      </c>
    </row>
    <row r="2103" spans="1:1" x14ac:dyDescent="0.25">
      <c r="A2103">
        <f t="shared" si="32"/>
        <v>2102</v>
      </c>
    </row>
    <row r="2104" spans="1:1" x14ac:dyDescent="0.25">
      <c r="A2104">
        <f t="shared" si="32"/>
        <v>2103</v>
      </c>
    </row>
    <row r="2105" spans="1:1" x14ac:dyDescent="0.25">
      <c r="A2105">
        <f t="shared" si="32"/>
        <v>2104</v>
      </c>
    </row>
    <row r="2106" spans="1:1" x14ac:dyDescent="0.25">
      <c r="A2106">
        <f t="shared" si="32"/>
        <v>2105</v>
      </c>
    </row>
    <row r="2107" spans="1:1" x14ac:dyDescent="0.25">
      <c r="A2107">
        <f t="shared" si="32"/>
        <v>2106</v>
      </c>
    </row>
    <row r="2108" spans="1:1" x14ac:dyDescent="0.25">
      <c r="A2108">
        <f t="shared" si="32"/>
        <v>2107</v>
      </c>
    </row>
    <row r="2109" spans="1:1" x14ac:dyDescent="0.25">
      <c r="A2109">
        <f t="shared" si="32"/>
        <v>2108</v>
      </c>
    </row>
    <row r="2110" spans="1:1" x14ac:dyDescent="0.25">
      <c r="A2110">
        <f t="shared" si="32"/>
        <v>2109</v>
      </c>
    </row>
    <row r="2111" spans="1:1" x14ac:dyDescent="0.25">
      <c r="A2111">
        <f t="shared" si="32"/>
        <v>2110</v>
      </c>
    </row>
    <row r="2112" spans="1:1" x14ac:dyDescent="0.25">
      <c r="A2112">
        <f t="shared" si="32"/>
        <v>2111</v>
      </c>
    </row>
    <row r="2113" spans="1:1" x14ac:dyDescent="0.25">
      <c r="A2113">
        <f t="shared" si="32"/>
        <v>2112</v>
      </c>
    </row>
    <row r="2114" spans="1:1" x14ac:dyDescent="0.25">
      <c r="A2114">
        <f t="shared" si="32"/>
        <v>2113</v>
      </c>
    </row>
    <row r="2115" spans="1:1" x14ac:dyDescent="0.25">
      <c r="A2115">
        <f t="shared" si="32"/>
        <v>2114</v>
      </c>
    </row>
    <row r="2116" spans="1:1" x14ac:dyDescent="0.25">
      <c r="A2116">
        <f t="shared" ref="A2116:A2179" si="33">A2115+1</f>
        <v>2115</v>
      </c>
    </row>
    <row r="2117" spans="1:1" x14ac:dyDescent="0.25">
      <c r="A2117">
        <f t="shared" si="33"/>
        <v>2116</v>
      </c>
    </row>
    <row r="2118" spans="1:1" x14ac:dyDescent="0.25">
      <c r="A2118">
        <f t="shared" si="33"/>
        <v>2117</v>
      </c>
    </row>
    <row r="2119" spans="1:1" x14ac:dyDescent="0.25">
      <c r="A2119">
        <f t="shared" si="33"/>
        <v>2118</v>
      </c>
    </row>
    <row r="2120" spans="1:1" x14ac:dyDescent="0.25">
      <c r="A2120">
        <f t="shared" si="33"/>
        <v>2119</v>
      </c>
    </row>
    <row r="2121" spans="1:1" x14ac:dyDescent="0.25">
      <c r="A2121">
        <f t="shared" si="33"/>
        <v>2120</v>
      </c>
    </row>
    <row r="2122" spans="1:1" x14ac:dyDescent="0.25">
      <c r="A2122">
        <f t="shared" si="33"/>
        <v>2121</v>
      </c>
    </row>
    <row r="2123" spans="1:1" x14ac:dyDescent="0.25">
      <c r="A2123">
        <f t="shared" si="33"/>
        <v>2122</v>
      </c>
    </row>
    <row r="2124" spans="1:1" x14ac:dyDescent="0.25">
      <c r="A2124">
        <f t="shared" si="33"/>
        <v>2123</v>
      </c>
    </row>
    <row r="2125" spans="1:1" x14ac:dyDescent="0.25">
      <c r="A2125">
        <f t="shared" si="33"/>
        <v>2124</v>
      </c>
    </row>
    <row r="2126" spans="1:1" x14ac:dyDescent="0.25">
      <c r="A2126">
        <f t="shared" si="33"/>
        <v>2125</v>
      </c>
    </row>
    <row r="2127" spans="1:1" x14ac:dyDescent="0.25">
      <c r="A2127">
        <f t="shared" si="33"/>
        <v>2126</v>
      </c>
    </row>
    <row r="2128" spans="1:1" x14ac:dyDescent="0.25">
      <c r="A2128">
        <f t="shared" si="33"/>
        <v>2127</v>
      </c>
    </row>
    <row r="2129" spans="1:1" x14ac:dyDescent="0.25">
      <c r="A2129">
        <f t="shared" si="33"/>
        <v>2128</v>
      </c>
    </row>
    <row r="2130" spans="1:1" x14ac:dyDescent="0.25">
      <c r="A2130">
        <f t="shared" si="33"/>
        <v>2129</v>
      </c>
    </row>
    <row r="2131" spans="1:1" x14ac:dyDescent="0.25">
      <c r="A2131">
        <f t="shared" si="33"/>
        <v>2130</v>
      </c>
    </row>
    <row r="2132" spans="1:1" x14ac:dyDescent="0.25">
      <c r="A2132">
        <f t="shared" si="33"/>
        <v>2131</v>
      </c>
    </row>
    <row r="2133" spans="1:1" x14ac:dyDescent="0.25">
      <c r="A2133">
        <f t="shared" si="33"/>
        <v>2132</v>
      </c>
    </row>
    <row r="2134" spans="1:1" x14ac:dyDescent="0.25">
      <c r="A2134">
        <f t="shared" si="33"/>
        <v>2133</v>
      </c>
    </row>
    <row r="2135" spans="1:1" x14ac:dyDescent="0.25">
      <c r="A2135">
        <f t="shared" si="33"/>
        <v>2134</v>
      </c>
    </row>
    <row r="2136" spans="1:1" x14ac:dyDescent="0.25">
      <c r="A2136">
        <f t="shared" si="33"/>
        <v>2135</v>
      </c>
    </row>
    <row r="2137" spans="1:1" x14ac:dyDescent="0.25">
      <c r="A2137">
        <f t="shared" si="33"/>
        <v>2136</v>
      </c>
    </row>
    <row r="2138" spans="1:1" x14ac:dyDescent="0.25">
      <c r="A2138">
        <f t="shared" si="33"/>
        <v>2137</v>
      </c>
    </row>
    <row r="2139" spans="1:1" x14ac:dyDescent="0.25">
      <c r="A2139">
        <f t="shared" si="33"/>
        <v>2138</v>
      </c>
    </row>
    <row r="2140" spans="1:1" x14ac:dyDescent="0.25">
      <c r="A2140">
        <f t="shared" si="33"/>
        <v>2139</v>
      </c>
    </row>
    <row r="2141" spans="1:1" x14ac:dyDescent="0.25">
      <c r="A2141">
        <f t="shared" si="33"/>
        <v>2140</v>
      </c>
    </row>
    <row r="2142" spans="1:1" x14ac:dyDescent="0.25">
      <c r="A2142">
        <f t="shared" si="33"/>
        <v>2141</v>
      </c>
    </row>
    <row r="2143" spans="1:1" x14ac:dyDescent="0.25">
      <c r="A2143">
        <f t="shared" si="33"/>
        <v>2142</v>
      </c>
    </row>
    <row r="2144" spans="1:1" x14ac:dyDescent="0.25">
      <c r="A2144">
        <f t="shared" si="33"/>
        <v>2143</v>
      </c>
    </row>
    <row r="2145" spans="1:1" x14ac:dyDescent="0.25">
      <c r="A2145">
        <f t="shared" si="33"/>
        <v>2144</v>
      </c>
    </row>
    <row r="2146" spans="1:1" x14ac:dyDescent="0.25">
      <c r="A2146">
        <f t="shared" si="33"/>
        <v>2145</v>
      </c>
    </row>
    <row r="2147" spans="1:1" x14ac:dyDescent="0.25">
      <c r="A2147">
        <f t="shared" si="33"/>
        <v>2146</v>
      </c>
    </row>
    <row r="2148" spans="1:1" x14ac:dyDescent="0.25">
      <c r="A2148">
        <f t="shared" si="33"/>
        <v>2147</v>
      </c>
    </row>
    <row r="2149" spans="1:1" x14ac:dyDescent="0.25">
      <c r="A2149">
        <f t="shared" si="33"/>
        <v>2148</v>
      </c>
    </row>
    <row r="2150" spans="1:1" x14ac:dyDescent="0.25">
      <c r="A2150">
        <f t="shared" si="33"/>
        <v>2149</v>
      </c>
    </row>
    <row r="2151" spans="1:1" x14ac:dyDescent="0.25">
      <c r="A2151">
        <f t="shared" si="33"/>
        <v>2150</v>
      </c>
    </row>
    <row r="2152" spans="1:1" x14ac:dyDescent="0.25">
      <c r="A2152">
        <f t="shared" si="33"/>
        <v>2151</v>
      </c>
    </row>
    <row r="2153" spans="1:1" x14ac:dyDescent="0.25">
      <c r="A2153">
        <f t="shared" si="33"/>
        <v>2152</v>
      </c>
    </row>
    <row r="2154" spans="1:1" x14ac:dyDescent="0.25">
      <c r="A2154">
        <f t="shared" si="33"/>
        <v>2153</v>
      </c>
    </row>
    <row r="2155" spans="1:1" x14ac:dyDescent="0.25">
      <c r="A2155">
        <f t="shared" si="33"/>
        <v>2154</v>
      </c>
    </row>
    <row r="2156" spans="1:1" x14ac:dyDescent="0.25">
      <c r="A2156">
        <f t="shared" si="33"/>
        <v>2155</v>
      </c>
    </row>
    <row r="2157" spans="1:1" x14ac:dyDescent="0.25">
      <c r="A2157">
        <f t="shared" si="33"/>
        <v>2156</v>
      </c>
    </row>
    <row r="2158" spans="1:1" x14ac:dyDescent="0.25">
      <c r="A2158">
        <f t="shared" si="33"/>
        <v>2157</v>
      </c>
    </row>
    <row r="2159" spans="1:1" x14ac:dyDescent="0.25">
      <c r="A2159">
        <f t="shared" si="33"/>
        <v>2158</v>
      </c>
    </row>
    <row r="2160" spans="1:1" x14ac:dyDescent="0.25">
      <c r="A2160">
        <f t="shared" si="33"/>
        <v>2159</v>
      </c>
    </row>
    <row r="2161" spans="1:1" x14ac:dyDescent="0.25">
      <c r="A2161">
        <f t="shared" si="33"/>
        <v>2160</v>
      </c>
    </row>
    <row r="2162" spans="1:1" x14ac:dyDescent="0.25">
      <c r="A2162">
        <f t="shared" si="33"/>
        <v>2161</v>
      </c>
    </row>
    <row r="2163" spans="1:1" x14ac:dyDescent="0.25">
      <c r="A2163">
        <f t="shared" si="33"/>
        <v>2162</v>
      </c>
    </row>
    <row r="2164" spans="1:1" x14ac:dyDescent="0.25">
      <c r="A2164">
        <f t="shared" si="33"/>
        <v>2163</v>
      </c>
    </row>
    <row r="2165" spans="1:1" x14ac:dyDescent="0.25">
      <c r="A2165">
        <f t="shared" si="33"/>
        <v>2164</v>
      </c>
    </row>
    <row r="2166" spans="1:1" x14ac:dyDescent="0.25">
      <c r="A2166">
        <f t="shared" si="33"/>
        <v>2165</v>
      </c>
    </row>
    <row r="2167" spans="1:1" x14ac:dyDescent="0.25">
      <c r="A2167">
        <f t="shared" si="33"/>
        <v>2166</v>
      </c>
    </row>
    <row r="2168" spans="1:1" x14ac:dyDescent="0.25">
      <c r="A2168">
        <f t="shared" si="33"/>
        <v>2167</v>
      </c>
    </row>
    <row r="2169" spans="1:1" x14ac:dyDescent="0.25">
      <c r="A2169">
        <f t="shared" si="33"/>
        <v>2168</v>
      </c>
    </row>
    <row r="2170" spans="1:1" x14ac:dyDescent="0.25">
      <c r="A2170">
        <f t="shared" si="33"/>
        <v>2169</v>
      </c>
    </row>
    <row r="2171" spans="1:1" x14ac:dyDescent="0.25">
      <c r="A2171">
        <f t="shared" si="33"/>
        <v>2170</v>
      </c>
    </row>
    <row r="2172" spans="1:1" x14ac:dyDescent="0.25">
      <c r="A2172">
        <f t="shared" si="33"/>
        <v>2171</v>
      </c>
    </row>
    <row r="2173" spans="1:1" x14ac:dyDescent="0.25">
      <c r="A2173">
        <f t="shared" si="33"/>
        <v>2172</v>
      </c>
    </row>
    <row r="2174" spans="1:1" x14ac:dyDescent="0.25">
      <c r="A2174">
        <f t="shared" si="33"/>
        <v>2173</v>
      </c>
    </row>
    <row r="2175" spans="1:1" x14ac:dyDescent="0.25">
      <c r="A2175">
        <f t="shared" si="33"/>
        <v>2174</v>
      </c>
    </row>
    <row r="2176" spans="1:1" x14ac:dyDescent="0.25">
      <c r="A2176">
        <f t="shared" si="33"/>
        <v>2175</v>
      </c>
    </row>
    <row r="2177" spans="1:1" x14ac:dyDescent="0.25">
      <c r="A2177">
        <f t="shared" si="33"/>
        <v>2176</v>
      </c>
    </row>
    <row r="2178" spans="1:1" x14ac:dyDescent="0.25">
      <c r="A2178">
        <f t="shared" si="33"/>
        <v>2177</v>
      </c>
    </row>
    <row r="2179" spans="1:1" x14ac:dyDescent="0.25">
      <c r="A2179">
        <f t="shared" si="33"/>
        <v>2178</v>
      </c>
    </row>
    <row r="2180" spans="1:1" x14ac:dyDescent="0.25">
      <c r="A2180">
        <f t="shared" ref="A2180:A2243" si="34">A2179+1</f>
        <v>2179</v>
      </c>
    </row>
    <row r="2181" spans="1:1" x14ac:dyDescent="0.25">
      <c r="A2181">
        <f t="shared" si="34"/>
        <v>2180</v>
      </c>
    </row>
    <row r="2182" spans="1:1" x14ac:dyDescent="0.25">
      <c r="A2182">
        <f t="shared" si="34"/>
        <v>2181</v>
      </c>
    </row>
    <row r="2183" spans="1:1" x14ac:dyDescent="0.25">
      <c r="A2183">
        <f t="shared" si="34"/>
        <v>2182</v>
      </c>
    </row>
    <row r="2184" spans="1:1" x14ac:dyDescent="0.25">
      <c r="A2184">
        <f t="shared" si="34"/>
        <v>2183</v>
      </c>
    </row>
    <row r="2185" spans="1:1" x14ac:dyDescent="0.25">
      <c r="A2185">
        <f t="shared" si="34"/>
        <v>2184</v>
      </c>
    </row>
    <row r="2186" spans="1:1" x14ac:dyDescent="0.25">
      <c r="A2186">
        <f t="shared" si="34"/>
        <v>2185</v>
      </c>
    </row>
    <row r="2187" spans="1:1" x14ac:dyDescent="0.25">
      <c r="A2187">
        <f t="shared" si="34"/>
        <v>2186</v>
      </c>
    </row>
    <row r="2188" spans="1:1" x14ac:dyDescent="0.25">
      <c r="A2188">
        <f t="shared" si="34"/>
        <v>2187</v>
      </c>
    </row>
    <row r="2189" spans="1:1" x14ac:dyDescent="0.25">
      <c r="A2189">
        <f t="shared" si="34"/>
        <v>2188</v>
      </c>
    </row>
    <row r="2190" spans="1:1" x14ac:dyDescent="0.25">
      <c r="A2190">
        <f t="shared" si="34"/>
        <v>2189</v>
      </c>
    </row>
    <row r="2191" spans="1:1" x14ac:dyDescent="0.25">
      <c r="A2191">
        <f t="shared" si="34"/>
        <v>2190</v>
      </c>
    </row>
    <row r="2192" spans="1:1" x14ac:dyDescent="0.25">
      <c r="A2192">
        <f t="shared" si="34"/>
        <v>2191</v>
      </c>
    </row>
    <row r="2193" spans="1:1" x14ac:dyDescent="0.25">
      <c r="A2193">
        <f t="shared" si="34"/>
        <v>2192</v>
      </c>
    </row>
    <row r="2194" spans="1:1" x14ac:dyDescent="0.25">
      <c r="A2194">
        <f t="shared" si="34"/>
        <v>2193</v>
      </c>
    </row>
    <row r="2195" spans="1:1" x14ac:dyDescent="0.25">
      <c r="A2195">
        <f t="shared" si="34"/>
        <v>2194</v>
      </c>
    </row>
    <row r="2196" spans="1:1" x14ac:dyDescent="0.25">
      <c r="A2196">
        <f t="shared" si="34"/>
        <v>2195</v>
      </c>
    </row>
    <row r="2197" spans="1:1" x14ac:dyDescent="0.25">
      <c r="A2197">
        <f t="shared" si="34"/>
        <v>2196</v>
      </c>
    </row>
    <row r="2198" spans="1:1" x14ac:dyDescent="0.25">
      <c r="A2198">
        <f t="shared" si="34"/>
        <v>2197</v>
      </c>
    </row>
    <row r="2199" spans="1:1" x14ac:dyDescent="0.25">
      <c r="A2199">
        <f t="shared" si="34"/>
        <v>2198</v>
      </c>
    </row>
    <row r="2200" spans="1:1" x14ac:dyDescent="0.25">
      <c r="A2200">
        <f t="shared" si="34"/>
        <v>2199</v>
      </c>
    </row>
    <row r="2201" spans="1:1" x14ac:dyDescent="0.25">
      <c r="A2201">
        <f t="shared" si="34"/>
        <v>2200</v>
      </c>
    </row>
    <row r="2202" spans="1:1" x14ac:dyDescent="0.25">
      <c r="A2202">
        <f t="shared" si="34"/>
        <v>2201</v>
      </c>
    </row>
    <row r="2203" spans="1:1" x14ac:dyDescent="0.25">
      <c r="A2203">
        <f t="shared" si="34"/>
        <v>2202</v>
      </c>
    </row>
    <row r="2204" spans="1:1" x14ac:dyDescent="0.25">
      <c r="A2204">
        <f t="shared" si="34"/>
        <v>2203</v>
      </c>
    </row>
    <row r="2205" spans="1:1" x14ac:dyDescent="0.25">
      <c r="A2205">
        <f t="shared" si="34"/>
        <v>2204</v>
      </c>
    </row>
    <row r="2206" spans="1:1" x14ac:dyDescent="0.25">
      <c r="A2206">
        <f t="shared" si="34"/>
        <v>2205</v>
      </c>
    </row>
    <row r="2207" spans="1:1" x14ac:dyDescent="0.25">
      <c r="A2207">
        <f t="shared" si="34"/>
        <v>2206</v>
      </c>
    </row>
    <row r="2208" spans="1:1" x14ac:dyDescent="0.25">
      <c r="A2208">
        <f t="shared" si="34"/>
        <v>2207</v>
      </c>
    </row>
    <row r="2209" spans="1:1" x14ac:dyDescent="0.25">
      <c r="A2209">
        <f t="shared" si="34"/>
        <v>2208</v>
      </c>
    </row>
    <row r="2210" spans="1:1" x14ac:dyDescent="0.25">
      <c r="A2210">
        <f t="shared" si="34"/>
        <v>2209</v>
      </c>
    </row>
    <row r="2211" spans="1:1" x14ac:dyDescent="0.25">
      <c r="A2211">
        <f t="shared" si="34"/>
        <v>2210</v>
      </c>
    </row>
    <row r="2212" spans="1:1" x14ac:dyDescent="0.25">
      <c r="A2212">
        <f t="shared" si="34"/>
        <v>2211</v>
      </c>
    </row>
    <row r="2213" spans="1:1" x14ac:dyDescent="0.25">
      <c r="A2213">
        <f t="shared" si="34"/>
        <v>2212</v>
      </c>
    </row>
    <row r="2214" spans="1:1" x14ac:dyDescent="0.25">
      <c r="A2214">
        <f t="shared" si="34"/>
        <v>2213</v>
      </c>
    </row>
    <row r="2215" spans="1:1" x14ac:dyDescent="0.25">
      <c r="A2215">
        <f t="shared" si="34"/>
        <v>2214</v>
      </c>
    </row>
    <row r="2216" spans="1:1" x14ac:dyDescent="0.25">
      <c r="A2216">
        <f t="shared" si="34"/>
        <v>2215</v>
      </c>
    </row>
    <row r="2217" spans="1:1" x14ac:dyDescent="0.25">
      <c r="A2217">
        <f t="shared" si="34"/>
        <v>2216</v>
      </c>
    </row>
    <row r="2218" spans="1:1" x14ac:dyDescent="0.25">
      <c r="A2218">
        <f t="shared" si="34"/>
        <v>2217</v>
      </c>
    </row>
    <row r="2219" spans="1:1" x14ac:dyDescent="0.25">
      <c r="A2219">
        <f t="shared" si="34"/>
        <v>2218</v>
      </c>
    </row>
    <row r="2220" spans="1:1" x14ac:dyDescent="0.25">
      <c r="A2220">
        <f t="shared" si="34"/>
        <v>2219</v>
      </c>
    </row>
    <row r="2221" spans="1:1" x14ac:dyDescent="0.25">
      <c r="A2221">
        <f t="shared" si="34"/>
        <v>2220</v>
      </c>
    </row>
    <row r="2222" spans="1:1" x14ac:dyDescent="0.25">
      <c r="A2222">
        <f t="shared" si="34"/>
        <v>2221</v>
      </c>
    </row>
    <row r="2223" spans="1:1" x14ac:dyDescent="0.25">
      <c r="A2223">
        <f t="shared" si="34"/>
        <v>2222</v>
      </c>
    </row>
    <row r="2224" spans="1:1" x14ac:dyDescent="0.25">
      <c r="A2224">
        <f t="shared" si="34"/>
        <v>2223</v>
      </c>
    </row>
    <row r="2225" spans="1:1" x14ac:dyDescent="0.25">
      <c r="A2225">
        <f t="shared" si="34"/>
        <v>2224</v>
      </c>
    </row>
    <row r="2226" spans="1:1" x14ac:dyDescent="0.25">
      <c r="A2226">
        <f t="shared" si="34"/>
        <v>2225</v>
      </c>
    </row>
    <row r="2227" spans="1:1" x14ac:dyDescent="0.25">
      <c r="A2227">
        <f t="shared" si="34"/>
        <v>2226</v>
      </c>
    </row>
    <row r="2228" spans="1:1" x14ac:dyDescent="0.25">
      <c r="A2228">
        <f t="shared" si="34"/>
        <v>2227</v>
      </c>
    </row>
    <row r="2229" spans="1:1" x14ac:dyDescent="0.25">
      <c r="A2229">
        <f t="shared" si="34"/>
        <v>2228</v>
      </c>
    </row>
    <row r="2230" spans="1:1" x14ac:dyDescent="0.25">
      <c r="A2230">
        <f t="shared" si="34"/>
        <v>2229</v>
      </c>
    </row>
    <row r="2231" spans="1:1" x14ac:dyDescent="0.25">
      <c r="A2231">
        <f t="shared" si="34"/>
        <v>2230</v>
      </c>
    </row>
    <row r="2232" spans="1:1" x14ac:dyDescent="0.25">
      <c r="A2232">
        <f t="shared" si="34"/>
        <v>2231</v>
      </c>
    </row>
    <row r="2233" spans="1:1" x14ac:dyDescent="0.25">
      <c r="A2233">
        <f t="shared" si="34"/>
        <v>2232</v>
      </c>
    </row>
    <row r="2234" spans="1:1" x14ac:dyDescent="0.25">
      <c r="A2234">
        <f t="shared" si="34"/>
        <v>2233</v>
      </c>
    </row>
    <row r="2235" spans="1:1" x14ac:dyDescent="0.25">
      <c r="A2235">
        <f t="shared" si="34"/>
        <v>2234</v>
      </c>
    </row>
    <row r="2236" spans="1:1" x14ac:dyDescent="0.25">
      <c r="A2236">
        <f t="shared" si="34"/>
        <v>2235</v>
      </c>
    </row>
    <row r="2237" spans="1:1" x14ac:dyDescent="0.25">
      <c r="A2237">
        <f t="shared" si="34"/>
        <v>2236</v>
      </c>
    </row>
    <row r="2238" spans="1:1" x14ac:dyDescent="0.25">
      <c r="A2238">
        <f t="shared" si="34"/>
        <v>2237</v>
      </c>
    </row>
    <row r="2239" spans="1:1" x14ac:dyDescent="0.25">
      <c r="A2239">
        <f t="shared" si="34"/>
        <v>2238</v>
      </c>
    </row>
    <row r="2240" spans="1:1" x14ac:dyDescent="0.25">
      <c r="A2240">
        <f t="shared" si="34"/>
        <v>2239</v>
      </c>
    </row>
    <row r="2241" spans="1:1" x14ac:dyDescent="0.25">
      <c r="A2241">
        <f t="shared" si="34"/>
        <v>2240</v>
      </c>
    </row>
    <row r="2242" spans="1:1" x14ac:dyDescent="0.25">
      <c r="A2242">
        <f t="shared" si="34"/>
        <v>2241</v>
      </c>
    </row>
    <row r="2243" spans="1:1" x14ac:dyDescent="0.25">
      <c r="A2243">
        <f t="shared" si="34"/>
        <v>2242</v>
      </c>
    </row>
    <row r="2244" spans="1:1" x14ac:dyDescent="0.25">
      <c r="A2244">
        <f t="shared" ref="A2244:A2307" si="35">A2243+1</f>
        <v>2243</v>
      </c>
    </row>
    <row r="2245" spans="1:1" x14ac:dyDescent="0.25">
      <c r="A2245">
        <f t="shared" si="35"/>
        <v>2244</v>
      </c>
    </row>
    <row r="2246" spans="1:1" x14ac:dyDescent="0.25">
      <c r="A2246">
        <f t="shared" si="35"/>
        <v>2245</v>
      </c>
    </row>
    <row r="2247" spans="1:1" x14ac:dyDescent="0.25">
      <c r="A2247">
        <f t="shared" si="35"/>
        <v>2246</v>
      </c>
    </row>
    <row r="2248" spans="1:1" x14ac:dyDescent="0.25">
      <c r="A2248">
        <f t="shared" si="35"/>
        <v>2247</v>
      </c>
    </row>
    <row r="2249" spans="1:1" x14ac:dyDescent="0.25">
      <c r="A2249">
        <f t="shared" si="35"/>
        <v>2248</v>
      </c>
    </row>
    <row r="2250" spans="1:1" x14ac:dyDescent="0.25">
      <c r="A2250">
        <f t="shared" si="35"/>
        <v>2249</v>
      </c>
    </row>
    <row r="2251" spans="1:1" x14ac:dyDescent="0.25">
      <c r="A2251">
        <f t="shared" si="35"/>
        <v>2250</v>
      </c>
    </row>
    <row r="2252" spans="1:1" x14ac:dyDescent="0.25">
      <c r="A2252">
        <f t="shared" si="35"/>
        <v>2251</v>
      </c>
    </row>
    <row r="2253" spans="1:1" x14ac:dyDescent="0.25">
      <c r="A2253">
        <f t="shared" si="35"/>
        <v>2252</v>
      </c>
    </row>
    <row r="2254" spans="1:1" x14ac:dyDescent="0.25">
      <c r="A2254">
        <f t="shared" si="35"/>
        <v>2253</v>
      </c>
    </row>
    <row r="2255" spans="1:1" x14ac:dyDescent="0.25">
      <c r="A2255">
        <f t="shared" si="35"/>
        <v>2254</v>
      </c>
    </row>
    <row r="2256" spans="1:1" x14ac:dyDescent="0.25">
      <c r="A2256">
        <f t="shared" si="35"/>
        <v>2255</v>
      </c>
    </row>
    <row r="2257" spans="1:1" x14ac:dyDescent="0.25">
      <c r="A2257">
        <f t="shared" si="35"/>
        <v>2256</v>
      </c>
    </row>
    <row r="2258" spans="1:1" x14ac:dyDescent="0.25">
      <c r="A2258">
        <f t="shared" si="35"/>
        <v>2257</v>
      </c>
    </row>
    <row r="2259" spans="1:1" x14ac:dyDescent="0.25">
      <c r="A2259">
        <f t="shared" si="35"/>
        <v>2258</v>
      </c>
    </row>
    <row r="2260" spans="1:1" x14ac:dyDescent="0.25">
      <c r="A2260">
        <f t="shared" si="35"/>
        <v>2259</v>
      </c>
    </row>
    <row r="2261" spans="1:1" x14ac:dyDescent="0.25">
      <c r="A2261">
        <f t="shared" si="35"/>
        <v>2260</v>
      </c>
    </row>
    <row r="2262" spans="1:1" x14ac:dyDescent="0.25">
      <c r="A2262">
        <f t="shared" si="35"/>
        <v>2261</v>
      </c>
    </row>
    <row r="2263" spans="1:1" x14ac:dyDescent="0.25">
      <c r="A2263">
        <f t="shared" si="35"/>
        <v>2262</v>
      </c>
    </row>
    <row r="2264" spans="1:1" x14ac:dyDescent="0.25">
      <c r="A2264">
        <f t="shared" si="35"/>
        <v>2263</v>
      </c>
    </row>
    <row r="2265" spans="1:1" x14ac:dyDescent="0.25">
      <c r="A2265">
        <f t="shared" si="35"/>
        <v>2264</v>
      </c>
    </row>
    <row r="2266" spans="1:1" x14ac:dyDescent="0.25">
      <c r="A2266">
        <f t="shared" si="35"/>
        <v>2265</v>
      </c>
    </row>
    <row r="2267" spans="1:1" x14ac:dyDescent="0.25">
      <c r="A2267">
        <f t="shared" si="35"/>
        <v>2266</v>
      </c>
    </row>
    <row r="2268" spans="1:1" x14ac:dyDescent="0.25">
      <c r="A2268">
        <f t="shared" si="35"/>
        <v>2267</v>
      </c>
    </row>
    <row r="2269" spans="1:1" x14ac:dyDescent="0.25">
      <c r="A2269">
        <f t="shared" si="35"/>
        <v>2268</v>
      </c>
    </row>
    <row r="2270" spans="1:1" x14ac:dyDescent="0.25">
      <c r="A2270">
        <f t="shared" si="35"/>
        <v>2269</v>
      </c>
    </row>
    <row r="2271" spans="1:1" x14ac:dyDescent="0.25">
      <c r="A2271">
        <f t="shared" si="35"/>
        <v>2270</v>
      </c>
    </row>
    <row r="2272" spans="1:1" x14ac:dyDescent="0.25">
      <c r="A2272">
        <f t="shared" si="35"/>
        <v>2271</v>
      </c>
    </row>
    <row r="2273" spans="1:1" x14ac:dyDescent="0.25">
      <c r="A2273">
        <f t="shared" si="35"/>
        <v>2272</v>
      </c>
    </row>
    <row r="2274" spans="1:1" x14ac:dyDescent="0.25">
      <c r="A2274">
        <f t="shared" si="35"/>
        <v>2273</v>
      </c>
    </row>
    <row r="2275" spans="1:1" x14ac:dyDescent="0.25">
      <c r="A2275">
        <f t="shared" si="35"/>
        <v>2274</v>
      </c>
    </row>
    <row r="2276" spans="1:1" x14ac:dyDescent="0.25">
      <c r="A2276">
        <f t="shared" si="35"/>
        <v>2275</v>
      </c>
    </row>
    <row r="2277" spans="1:1" x14ac:dyDescent="0.25">
      <c r="A2277">
        <f t="shared" si="35"/>
        <v>2276</v>
      </c>
    </row>
    <row r="2278" spans="1:1" x14ac:dyDescent="0.25">
      <c r="A2278">
        <f t="shared" si="35"/>
        <v>2277</v>
      </c>
    </row>
    <row r="2279" spans="1:1" x14ac:dyDescent="0.25">
      <c r="A2279">
        <f t="shared" si="35"/>
        <v>2278</v>
      </c>
    </row>
    <row r="2280" spans="1:1" x14ac:dyDescent="0.25">
      <c r="A2280">
        <f t="shared" si="35"/>
        <v>2279</v>
      </c>
    </row>
    <row r="2281" spans="1:1" x14ac:dyDescent="0.25">
      <c r="A2281">
        <f t="shared" si="35"/>
        <v>2280</v>
      </c>
    </row>
    <row r="2282" spans="1:1" x14ac:dyDescent="0.25">
      <c r="A2282">
        <f t="shared" si="35"/>
        <v>2281</v>
      </c>
    </row>
    <row r="2283" spans="1:1" x14ac:dyDescent="0.25">
      <c r="A2283">
        <f t="shared" si="35"/>
        <v>2282</v>
      </c>
    </row>
    <row r="2284" spans="1:1" x14ac:dyDescent="0.25">
      <c r="A2284">
        <f t="shared" si="35"/>
        <v>2283</v>
      </c>
    </row>
    <row r="2285" spans="1:1" x14ac:dyDescent="0.25">
      <c r="A2285">
        <f t="shared" si="35"/>
        <v>2284</v>
      </c>
    </row>
    <row r="2286" spans="1:1" x14ac:dyDescent="0.25">
      <c r="A2286">
        <f t="shared" si="35"/>
        <v>2285</v>
      </c>
    </row>
    <row r="2287" spans="1:1" x14ac:dyDescent="0.25">
      <c r="A2287">
        <f t="shared" si="35"/>
        <v>2286</v>
      </c>
    </row>
    <row r="2288" spans="1:1" x14ac:dyDescent="0.25">
      <c r="A2288">
        <f t="shared" si="35"/>
        <v>2287</v>
      </c>
    </row>
    <row r="2289" spans="1:1" x14ac:dyDescent="0.25">
      <c r="A2289">
        <f t="shared" si="35"/>
        <v>2288</v>
      </c>
    </row>
    <row r="2290" spans="1:1" x14ac:dyDescent="0.25">
      <c r="A2290">
        <f t="shared" si="35"/>
        <v>2289</v>
      </c>
    </row>
    <row r="2291" spans="1:1" x14ac:dyDescent="0.25">
      <c r="A2291">
        <f t="shared" si="35"/>
        <v>2290</v>
      </c>
    </row>
    <row r="2292" spans="1:1" x14ac:dyDescent="0.25">
      <c r="A2292">
        <f t="shared" si="35"/>
        <v>2291</v>
      </c>
    </row>
    <row r="2293" spans="1:1" x14ac:dyDescent="0.25">
      <c r="A2293">
        <f t="shared" si="35"/>
        <v>2292</v>
      </c>
    </row>
    <row r="2294" spans="1:1" x14ac:dyDescent="0.25">
      <c r="A2294">
        <f t="shared" si="35"/>
        <v>2293</v>
      </c>
    </row>
    <row r="2295" spans="1:1" x14ac:dyDescent="0.25">
      <c r="A2295">
        <f t="shared" si="35"/>
        <v>2294</v>
      </c>
    </row>
    <row r="2296" spans="1:1" x14ac:dyDescent="0.25">
      <c r="A2296">
        <f t="shared" si="35"/>
        <v>2295</v>
      </c>
    </row>
    <row r="2297" spans="1:1" x14ac:dyDescent="0.25">
      <c r="A2297">
        <f t="shared" si="35"/>
        <v>2296</v>
      </c>
    </row>
    <row r="2298" spans="1:1" x14ac:dyDescent="0.25">
      <c r="A2298">
        <f t="shared" si="35"/>
        <v>2297</v>
      </c>
    </row>
    <row r="2299" spans="1:1" x14ac:dyDescent="0.25">
      <c r="A2299">
        <f t="shared" si="35"/>
        <v>2298</v>
      </c>
    </row>
    <row r="2300" spans="1:1" x14ac:dyDescent="0.25">
      <c r="A2300">
        <f t="shared" si="35"/>
        <v>2299</v>
      </c>
    </row>
    <row r="2301" spans="1:1" x14ac:dyDescent="0.25">
      <c r="A2301">
        <f t="shared" si="35"/>
        <v>2300</v>
      </c>
    </row>
    <row r="2302" spans="1:1" x14ac:dyDescent="0.25">
      <c r="A2302">
        <f t="shared" si="35"/>
        <v>2301</v>
      </c>
    </row>
    <row r="2303" spans="1:1" x14ac:dyDescent="0.25">
      <c r="A2303">
        <f t="shared" si="35"/>
        <v>2302</v>
      </c>
    </row>
    <row r="2304" spans="1:1" x14ac:dyDescent="0.25">
      <c r="A2304">
        <f t="shared" si="35"/>
        <v>2303</v>
      </c>
    </row>
    <row r="2305" spans="1:1" x14ac:dyDescent="0.25">
      <c r="A2305">
        <f t="shared" si="35"/>
        <v>2304</v>
      </c>
    </row>
    <row r="2306" spans="1:1" x14ac:dyDescent="0.25">
      <c r="A2306">
        <f t="shared" si="35"/>
        <v>2305</v>
      </c>
    </row>
    <row r="2307" spans="1:1" x14ac:dyDescent="0.25">
      <c r="A2307">
        <f t="shared" si="35"/>
        <v>2306</v>
      </c>
    </row>
    <row r="2308" spans="1:1" x14ac:dyDescent="0.25">
      <c r="A2308">
        <f t="shared" ref="A2308:A2371" si="36">A2307+1</f>
        <v>2307</v>
      </c>
    </row>
    <row r="2309" spans="1:1" x14ac:dyDescent="0.25">
      <c r="A2309">
        <f t="shared" si="36"/>
        <v>2308</v>
      </c>
    </row>
    <row r="2310" spans="1:1" x14ac:dyDescent="0.25">
      <c r="A2310">
        <f t="shared" si="36"/>
        <v>2309</v>
      </c>
    </row>
    <row r="2311" spans="1:1" x14ac:dyDescent="0.25">
      <c r="A2311">
        <f t="shared" si="36"/>
        <v>2310</v>
      </c>
    </row>
    <row r="2312" spans="1:1" x14ac:dyDescent="0.25">
      <c r="A2312">
        <f t="shared" si="36"/>
        <v>2311</v>
      </c>
    </row>
    <row r="2313" spans="1:1" x14ac:dyDescent="0.25">
      <c r="A2313">
        <f t="shared" si="36"/>
        <v>2312</v>
      </c>
    </row>
    <row r="2314" spans="1:1" x14ac:dyDescent="0.25">
      <c r="A2314">
        <f t="shared" si="36"/>
        <v>2313</v>
      </c>
    </row>
    <row r="2315" spans="1:1" x14ac:dyDescent="0.25">
      <c r="A2315">
        <f t="shared" si="36"/>
        <v>2314</v>
      </c>
    </row>
    <row r="2316" spans="1:1" x14ac:dyDescent="0.25">
      <c r="A2316">
        <f t="shared" si="36"/>
        <v>2315</v>
      </c>
    </row>
    <row r="2317" spans="1:1" x14ac:dyDescent="0.25">
      <c r="A2317">
        <f t="shared" si="36"/>
        <v>2316</v>
      </c>
    </row>
    <row r="2318" spans="1:1" x14ac:dyDescent="0.25">
      <c r="A2318">
        <f t="shared" si="36"/>
        <v>2317</v>
      </c>
    </row>
    <row r="2319" spans="1:1" x14ac:dyDescent="0.25">
      <c r="A2319">
        <f t="shared" si="36"/>
        <v>2318</v>
      </c>
    </row>
    <row r="2320" spans="1:1" x14ac:dyDescent="0.25">
      <c r="A2320">
        <f t="shared" si="36"/>
        <v>2319</v>
      </c>
    </row>
    <row r="2321" spans="1:1" x14ac:dyDescent="0.25">
      <c r="A2321">
        <f t="shared" si="36"/>
        <v>2320</v>
      </c>
    </row>
    <row r="2322" spans="1:1" x14ac:dyDescent="0.25">
      <c r="A2322">
        <f t="shared" si="36"/>
        <v>2321</v>
      </c>
    </row>
    <row r="2323" spans="1:1" x14ac:dyDescent="0.25">
      <c r="A2323">
        <f t="shared" si="36"/>
        <v>2322</v>
      </c>
    </row>
    <row r="2324" spans="1:1" x14ac:dyDescent="0.25">
      <c r="A2324">
        <f t="shared" si="36"/>
        <v>2323</v>
      </c>
    </row>
    <row r="2325" spans="1:1" x14ac:dyDescent="0.25">
      <c r="A2325">
        <f t="shared" si="36"/>
        <v>2324</v>
      </c>
    </row>
    <row r="2326" spans="1:1" x14ac:dyDescent="0.25">
      <c r="A2326">
        <f t="shared" si="36"/>
        <v>2325</v>
      </c>
    </row>
    <row r="2327" spans="1:1" x14ac:dyDescent="0.25">
      <c r="A2327">
        <f t="shared" si="36"/>
        <v>2326</v>
      </c>
    </row>
    <row r="2328" spans="1:1" x14ac:dyDescent="0.25">
      <c r="A2328">
        <f t="shared" si="36"/>
        <v>2327</v>
      </c>
    </row>
    <row r="2329" spans="1:1" x14ac:dyDescent="0.25">
      <c r="A2329">
        <f t="shared" si="36"/>
        <v>2328</v>
      </c>
    </row>
    <row r="2330" spans="1:1" x14ac:dyDescent="0.25">
      <c r="A2330">
        <f t="shared" si="36"/>
        <v>2329</v>
      </c>
    </row>
    <row r="2331" spans="1:1" x14ac:dyDescent="0.25">
      <c r="A2331">
        <f t="shared" si="36"/>
        <v>2330</v>
      </c>
    </row>
    <row r="2332" spans="1:1" x14ac:dyDescent="0.25">
      <c r="A2332">
        <f t="shared" si="36"/>
        <v>2331</v>
      </c>
    </row>
    <row r="2333" spans="1:1" x14ac:dyDescent="0.25">
      <c r="A2333">
        <f t="shared" si="36"/>
        <v>2332</v>
      </c>
    </row>
    <row r="2334" spans="1:1" x14ac:dyDescent="0.25">
      <c r="A2334">
        <f t="shared" si="36"/>
        <v>2333</v>
      </c>
    </row>
    <row r="2335" spans="1:1" x14ac:dyDescent="0.25">
      <c r="A2335">
        <f t="shared" si="36"/>
        <v>2334</v>
      </c>
    </row>
    <row r="2336" spans="1:1" x14ac:dyDescent="0.25">
      <c r="A2336">
        <f t="shared" si="36"/>
        <v>2335</v>
      </c>
    </row>
    <row r="2337" spans="1:1" x14ac:dyDescent="0.25">
      <c r="A2337">
        <f t="shared" si="36"/>
        <v>2336</v>
      </c>
    </row>
    <row r="2338" spans="1:1" x14ac:dyDescent="0.25">
      <c r="A2338">
        <f t="shared" si="36"/>
        <v>2337</v>
      </c>
    </row>
    <row r="2339" spans="1:1" x14ac:dyDescent="0.25">
      <c r="A2339">
        <f t="shared" si="36"/>
        <v>2338</v>
      </c>
    </row>
    <row r="2340" spans="1:1" x14ac:dyDescent="0.25">
      <c r="A2340">
        <f t="shared" si="36"/>
        <v>2339</v>
      </c>
    </row>
    <row r="2341" spans="1:1" x14ac:dyDescent="0.25">
      <c r="A2341">
        <f t="shared" si="36"/>
        <v>2340</v>
      </c>
    </row>
    <row r="2342" spans="1:1" x14ac:dyDescent="0.25">
      <c r="A2342">
        <f t="shared" si="36"/>
        <v>2341</v>
      </c>
    </row>
    <row r="2343" spans="1:1" x14ac:dyDescent="0.25">
      <c r="A2343">
        <f t="shared" si="36"/>
        <v>2342</v>
      </c>
    </row>
    <row r="2344" spans="1:1" x14ac:dyDescent="0.25">
      <c r="A2344">
        <f t="shared" si="36"/>
        <v>2343</v>
      </c>
    </row>
    <row r="2345" spans="1:1" x14ac:dyDescent="0.25">
      <c r="A2345">
        <f t="shared" si="36"/>
        <v>2344</v>
      </c>
    </row>
    <row r="2346" spans="1:1" x14ac:dyDescent="0.25">
      <c r="A2346">
        <f t="shared" si="36"/>
        <v>2345</v>
      </c>
    </row>
    <row r="2347" spans="1:1" x14ac:dyDescent="0.25">
      <c r="A2347">
        <f t="shared" si="36"/>
        <v>2346</v>
      </c>
    </row>
    <row r="2348" spans="1:1" x14ac:dyDescent="0.25">
      <c r="A2348">
        <f t="shared" si="36"/>
        <v>2347</v>
      </c>
    </row>
    <row r="2349" spans="1:1" x14ac:dyDescent="0.25">
      <c r="A2349">
        <f t="shared" si="36"/>
        <v>2348</v>
      </c>
    </row>
    <row r="2350" spans="1:1" x14ac:dyDescent="0.25">
      <c r="A2350">
        <f t="shared" si="36"/>
        <v>2349</v>
      </c>
    </row>
    <row r="2351" spans="1:1" x14ac:dyDescent="0.25">
      <c r="A2351">
        <f t="shared" si="36"/>
        <v>2350</v>
      </c>
    </row>
    <row r="2352" spans="1:1" x14ac:dyDescent="0.25">
      <c r="A2352">
        <f t="shared" si="36"/>
        <v>2351</v>
      </c>
    </row>
    <row r="2353" spans="1:1" x14ac:dyDescent="0.25">
      <c r="A2353">
        <f t="shared" si="36"/>
        <v>2352</v>
      </c>
    </row>
    <row r="2354" spans="1:1" x14ac:dyDescent="0.25">
      <c r="A2354">
        <f t="shared" si="36"/>
        <v>2353</v>
      </c>
    </row>
    <row r="2355" spans="1:1" x14ac:dyDescent="0.25">
      <c r="A2355">
        <f t="shared" si="36"/>
        <v>2354</v>
      </c>
    </row>
    <row r="2356" spans="1:1" x14ac:dyDescent="0.25">
      <c r="A2356">
        <f t="shared" si="36"/>
        <v>2355</v>
      </c>
    </row>
    <row r="2357" spans="1:1" x14ac:dyDescent="0.25">
      <c r="A2357">
        <f t="shared" si="36"/>
        <v>2356</v>
      </c>
    </row>
    <row r="2358" spans="1:1" x14ac:dyDescent="0.25">
      <c r="A2358">
        <f t="shared" si="36"/>
        <v>2357</v>
      </c>
    </row>
    <row r="2359" spans="1:1" x14ac:dyDescent="0.25">
      <c r="A2359">
        <f t="shared" si="36"/>
        <v>2358</v>
      </c>
    </row>
    <row r="2360" spans="1:1" x14ac:dyDescent="0.25">
      <c r="A2360">
        <f t="shared" si="36"/>
        <v>2359</v>
      </c>
    </row>
    <row r="2361" spans="1:1" x14ac:dyDescent="0.25">
      <c r="A2361">
        <f t="shared" si="36"/>
        <v>2360</v>
      </c>
    </row>
    <row r="2362" spans="1:1" x14ac:dyDescent="0.25">
      <c r="A2362">
        <f t="shared" si="36"/>
        <v>2361</v>
      </c>
    </row>
    <row r="2363" spans="1:1" x14ac:dyDescent="0.25">
      <c r="A2363">
        <f t="shared" si="36"/>
        <v>2362</v>
      </c>
    </row>
    <row r="2364" spans="1:1" x14ac:dyDescent="0.25">
      <c r="A2364">
        <f t="shared" si="36"/>
        <v>2363</v>
      </c>
    </row>
    <row r="2365" spans="1:1" x14ac:dyDescent="0.25">
      <c r="A2365">
        <f t="shared" si="36"/>
        <v>2364</v>
      </c>
    </row>
    <row r="2366" spans="1:1" x14ac:dyDescent="0.25">
      <c r="A2366">
        <f t="shared" si="36"/>
        <v>2365</v>
      </c>
    </row>
    <row r="2367" spans="1:1" x14ac:dyDescent="0.25">
      <c r="A2367">
        <f t="shared" si="36"/>
        <v>2366</v>
      </c>
    </row>
    <row r="2368" spans="1:1" x14ac:dyDescent="0.25">
      <c r="A2368">
        <f t="shared" si="36"/>
        <v>2367</v>
      </c>
    </row>
    <row r="2369" spans="1:1" x14ac:dyDescent="0.25">
      <c r="A2369">
        <f t="shared" si="36"/>
        <v>2368</v>
      </c>
    </row>
    <row r="2370" spans="1:1" x14ac:dyDescent="0.25">
      <c r="A2370">
        <f t="shared" si="36"/>
        <v>2369</v>
      </c>
    </row>
    <row r="2371" spans="1:1" x14ac:dyDescent="0.25">
      <c r="A2371">
        <f t="shared" si="36"/>
        <v>2370</v>
      </c>
    </row>
    <row r="2372" spans="1:1" x14ac:dyDescent="0.25">
      <c r="A2372">
        <f t="shared" ref="A2372:A2435" si="37">A2371+1</f>
        <v>2371</v>
      </c>
    </row>
    <row r="2373" spans="1:1" x14ac:dyDescent="0.25">
      <c r="A2373">
        <f t="shared" si="37"/>
        <v>2372</v>
      </c>
    </row>
    <row r="2374" spans="1:1" x14ac:dyDescent="0.25">
      <c r="A2374">
        <f t="shared" si="37"/>
        <v>2373</v>
      </c>
    </row>
    <row r="2375" spans="1:1" x14ac:dyDescent="0.25">
      <c r="A2375">
        <f t="shared" si="37"/>
        <v>2374</v>
      </c>
    </row>
    <row r="2376" spans="1:1" x14ac:dyDescent="0.25">
      <c r="A2376">
        <f t="shared" si="37"/>
        <v>2375</v>
      </c>
    </row>
    <row r="2377" spans="1:1" x14ac:dyDescent="0.25">
      <c r="A2377">
        <f t="shared" si="37"/>
        <v>2376</v>
      </c>
    </row>
    <row r="2378" spans="1:1" x14ac:dyDescent="0.25">
      <c r="A2378">
        <f t="shared" si="37"/>
        <v>2377</v>
      </c>
    </row>
    <row r="2379" spans="1:1" x14ac:dyDescent="0.25">
      <c r="A2379">
        <f t="shared" si="37"/>
        <v>2378</v>
      </c>
    </row>
    <row r="2380" spans="1:1" x14ac:dyDescent="0.25">
      <c r="A2380">
        <f t="shared" si="37"/>
        <v>2379</v>
      </c>
    </row>
    <row r="2381" spans="1:1" x14ac:dyDescent="0.25">
      <c r="A2381">
        <f t="shared" si="37"/>
        <v>2380</v>
      </c>
    </row>
    <row r="2382" spans="1:1" x14ac:dyDescent="0.25">
      <c r="A2382">
        <f t="shared" si="37"/>
        <v>2381</v>
      </c>
    </row>
    <row r="2383" spans="1:1" x14ac:dyDescent="0.25">
      <c r="A2383">
        <f t="shared" si="37"/>
        <v>2382</v>
      </c>
    </row>
    <row r="2384" spans="1:1" x14ac:dyDescent="0.25">
      <c r="A2384">
        <f t="shared" si="37"/>
        <v>2383</v>
      </c>
    </row>
    <row r="2385" spans="1:1" x14ac:dyDescent="0.25">
      <c r="A2385">
        <f t="shared" si="37"/>
        <v>2384</v>
      </c>
    </row>
    <row r="2386" spans="1:1" x14ac:dyDescent="0.25">
      <c r="A2386">
        <f t="shared" si="37"/>
        <v>2385</v>
      </c>
    </row>
    <row r="2387" spans="1:1" x14ac:dyDescent="0.25">
      <c r="A2387">
        <f t="shared" si="37"/>
        <v>2386</v>
      </c>
    </row>
    <row r="2388" spans="1:1" x14ac:dyDescent="0.25">
      <c r="A2388">
        <f t="shared" si="37"/>
        <v>2387</v>
      </c>
    </row>
    <row r="2389" spans="1:1" x14ac:dyDescent="0.25">
      <c r="A2389">
        <f t="shared" si="37"/>
        <v>2388</v>
      </c>
    </row>
    <row r="2390" spans="1:1" x14ac:dyDescent="0.25">
      <c r="A2390">
        <f t="shared" si="37"/>
        <v>2389</v>
      </c>
    </row>
    <row r="2391" spans="1:1" x14ac:dyDescent="0.25">
      <c r="A2391">
        <f t="shared" si="37"/>
        <v>2390</v>
      </c>
    </row>
    <row r="2392" spans="1:1" x14ac:dyDescent="0.25">
      <c r="A2392">
        <f t="shared" si="37"/>
        <v>2391</v>
      </c>
    </row>
    <row r="2393" spans="1:1" x14ac:dyDescent="0.25">
      <c r="A2393">
        <f t="shared" si="37"/>
        <v>2392</v>
      </c>
    </row>
    <row r="2394" spans="1:1" x14ac:dyDescent="0.25">
      <c r="A2394">
        <f t="shared" si="37"/>
        <v>2393</v>
      </c>
    </row>
    <row r="2395" spans="1:1" x14ac:dyDescent="0.25">
      <c r="A2395">
        <f t="shared" si="37"/>
        <v>2394</v>
      </c>
    </row>
    <row r="2396" spans="1:1" x14ac:dyDescent="0.25">
      <c r="A2396">
        <f t="shared" si="37"/>
        <v>2395</v>
      </c>
    </row>
    <row r="2397" spans="1:1" x14ac:dyDescent="0.25">
      <c r="A2397">
        <f t="shared" si="37"/>
        <v>2396</v>
      </c>
    </row>
    <row r="2398" spans="1:1" x14ac:dyDescent="0.25">
      <c r="A2398">
        <f t="shared" si="37"/>
        <v>2397</v>
      </c>
    </row>
    <row r="2399" spans="1:1" x14ac:dyDescent="0.25">
      <c r="A2399">
        <f t="shared" si="37"/>
        <v>2398</v>
      </c>
    </row>
    <row r="2400" spans="1:1" x14ac:dyDescent="0.25">
      <c r="A2400">
        <f t="shared" si="37"/>
        <v>2399</v>
      </c>
    </row>
    <row r="2401" spans="1:1" x14ac:dyDescent="0.25">
      <c r="A2401">
        <f t="shared" si="37"/>
        <v>2400</v>
      </c>
    </row>
    <row r="2402" spans="1:1" x14ac:dyDescent="0.25">
      <c r="A2402">
        <f t="shared" si="37"/>
        <v>2401</v>
      </c>
    </row>
    <row r="2403" spans="1:1" x14ac:dyDescent="0.25">
      <c r="A2403">
        <f t="shared" si="37"/>
        <v>2402</v>
      </c>
    </row>
    <row r="2404" spans="1:1" x14ac:dyDescent="0.25">
      <c r="A2404">
        <f t="shared" si="37"/>
        <v>2403</v>
      </c>
    </row>
    <row r="2405" spans="1:1" x14ac:dyDescent="0.25">
      <c r="A2405">
        <f t="shared" si="37"/>
        <v>2404</v>
      </c>
    </row>
    <row r="2406" spans="1:1" x14ac:dyDescent="0.25">
      <c r="A2406">
        <f t="shared" si="37"/>
        <v>2405</v>
      </c>
    </row>
    <row r="2407" spans="1:1" x14ac:dyDescent="0.25">
      <c r="A2407">
        <f t="shared" si="37"/>
        <v>2406</v>
      </c>
    </row>
    <row r="2408" spans="1:1" x14ac:dyDescent="0.25">
      <c r="A2408">
        <f t="shared" si="37"/>
        <v>2407</v>
      </c>
    </row>
    <row r="2409" spans="1:1" x14ac:dyDescent="0.25">
      <c r="A2409">
        <f t="shared" si="37"/>
        <v>2408</v>
      </c>
    </row>
    <row r="2410" spans="1:1" x14ac:dyDescent="0.25">
      <c r="A2410">
        <f t="shared" si="37"/>
        <v>2409</v>
      </c>
    </row>
    <row r="2411" spans="1:1" x14ac:dyDescent="0.25">
      <c r="A2411">
        <f t="shared" si="37"/>
        <v>2410</v>
      </c>
    </row>
    <row r="2412" spans="1:1" x14ac:dyDescent="0.25">
      <c r="A2412">
        <f t="shared" si="37"/>
        <v>2411</v>
      </c>
    </row>
    <row r="2413" spans="1:1" x14ac:dyDescent="0.25">
      <c r="A2413">
        <f t="shared" si="37"/>
        <v>2412</v>
      </c>
    </row>
    <row r="2414" spans="1:1" x14ac:dyDescent="0.25">
      <c r="A2414">
        <f t="shared" si="37"/>
        <v>2413</v>
      </c>
    </row>
    <row r="2415" spans="1:1" x14ac:dyDescent="0.25">
      <c r="A2415">
        <f t="shared" si="37"/>
        <v>2414</v>
      </c>
    </row>
    <row r="2416" spans="1:1" x14ac:dyDescent="0.25">
      <c r="A2416">
        <f t="shared" si="37"/>
        <v>2415</v>
      </c>
    </row>
    <row r="2417" spans="1:1" x14ac:dyDescent="0.25">
      <c r="A2417">
        <f t="shared" si="37"/>
        <v>2416</v>
      </c>
    </row>
    <row r="2418" spans="1:1" x14ac:dyDescent="0.25">
      <c r="A2418">
        <f t="shared" si="37"/>
        <v>2417</v>
      </c>
    </row>
    <row r="2419" spans="1:1" x14ac:dyDescent="0.25">
      <c r="A2419">
        <f t="shared" si="37"/>
        <v>2418</v>
      </c>
    </row>
    <row r="2420" spans="1:1" x14ac:dyDescent="0.25">
      <c r="A2420">
        <f t="shared" si="37"/>
        <v>2419</v>
      </c>
    </row>
    <row r="2421" spans="1:1" x14ac:dyDescent="0.25">
      <c r="A2421">
        <f t="shared" si="37"/>
        <v>2420</v>
      </c>
    </row>
    <row r="2422" spans="1:1" x14ac:dyDescent="0.25">
      <c r="A2422">
        <f t="shared" si="37"/>
        <v>2421</v>
      </c>
    </row>
    <row r="2423" spans="1:1" x14ac:dyDescent="0.25">
      <c r="A2423">
        <f t="shared" si="37"/>
        <v>2422</v>
      </c>
    </row>
    <row r="2424" spans="1:1" x14ac:dyDescent="0.25">
      <c r="A2424">
        <f t="shared" si="37"/>
        <v>2423</v>
      </c>
    </row>
    <row r="2425" spans="1:1" x14ac:dyDescent="0.25">
      <c r="A2425">
        <f t="shared" si="37"/>
        <v>2424</v>
      </c>
    </row>
    <row r="2426" spans="1:1" x14ac:dyDescent="0.25">
      <c r="A2426">
        <f t="shared" si="37"/>
        <v>2425</v>
      </c>
    </row>
    <row r="2427" spans="1:1" x14ac:dyDescent="0.25">
      <c r="A2427">
        <f t="shared" si="37"/>
        <v>2426</v>
      </c>
    </row>
    <row r="2428" spans="1:1" x14ac:dyDescent="0.25">
      <c r="A2428">
        <f t="shared" si="37"/>
        <v>2427</v>
      </c>
    </row>
    <row r="2429" spans="1:1" x14ac:dyDescent="0.25">
      <c r="A2429">
        <f t="shared" si="37"/>
        <v>2428</v>
      </c>
    </row>
    <row r="2430" spans="1:1" x14ac:dyDescent="0.25">
      <c r="A2430">
        <f t="shared" si="37"/>
        <v>2429</v>
      </c>
    </row>
    <row r="2431" spans="1:1" x14ac:dyDescent="0.25">
      <c r="A2431">
        <f t="shared" si="37"/>
        <v>2430</v>
      </c>
    </row>
    <row r="2432" spans="1:1" x14ac:dyDescent="0.25">
      <c r="A2432">
        <f t="shared" si="37"/>
        <v>2431</v>
      </c>
    </row>
    <row r="2433" spans="1:1" x14ac:dyDescent="0.25">
      <c r="A2433">
        <f t="shared" si="37"/>
        <v>2432</v>
      </c>
    </row>
    <row r="2434" spans="1:1" x14ac:dyDescent="0.25">
      <c r="A2434">
        <f t="shared" si="37"/>
        <v>2433</v>
      </c>
    </row>
    <row r="2435" spans="1:1" x14ac:dyDescent="0.25">
      <c r="A2435">
        <f t="shared" si="37"/>
        <v>2434</v>
      </c>
    </row>
    <row r="2436" spans="1:1" x14ac:dyDescent="0.25">
      <c r="A2436">
        <f t="shared" ref="A2436:A2499" si="38">A2435+1</f>
        <v>2435</v>
      </c>
    </row>
    <row r="2437" spans="1:1" x14ac:dyDescent="0.25">
      <c r="A2437">
        <f t="shared" si="38"/>
        <v>2436</v>
      </c>
    </row>
    <row r="2438" spans="1:1" x14ac:dyDescent="0.25">
      <c r="A2438">
        <f t="shared" si="38"/>
        <v>2437</v>
      </c>
    </row>
    <row r="2439" spans="1:1" x14ac:dyDescent="0.25">
      <c r="A2439">
        <f t="shared" si="38"/>
        <v>2438</v>
      </c>
    </row>
    <row r="2440" spans="1:1" x14ac:dyDescent="0.25">
      <c r="A2440">
        <f t="shared" si="38"/>
        <v>2439</v>
      </c>
    </row>
    <row r="2441" spans="1:1" x14ac:dyDescent="0.25">
      <c r="A2441">
        <f t="shared" si="38"/>
        <v>2440</v>
      </c>
    </row>
    <row r="2442" spans="1:1" x14ac:dyDescent="0.25">
      <c r="A2442">
        <f t="shared" si="38"/>
        <v>2441</v>
      </c>
    </row>
    <row r="2443" spans="1:1" x14ac:dyDescent="0.25">
      <c r="A2443">
        <f t="shared" si="38"/>
        <v>2442</v>
      </c>
    </row>
    <row r="2444" spans="1:1" x14ac:dyDescent="0.25">
      <c r="A2444">
        <f t="shared" si="38"/>
        <v>2443</v>
      </c>
    </row>
    <row r="2445" spans="1:1" x14ac:dyDescent="0.25">
      <c r="A2445">
        <f t="shared" si="38"/>
        <v>2444</v>
      </c>
    </row>
    <row r="2446" spans="1:1" x14ac:dyDescent="0.25">
      <c r="A2446">
        <f t="shared" si="38"/>
        <v>2445</v>
      </c>
    </row>
    <row r="2447" spans="1:1" x14ac:dyDescent="0.25">
      <c r="A2447">
        <f t="shared" si="38"/>
        <v>2446</v>
      </c>
    </row>
    <row r="2448" spans="1:1" x14ac:dyDescent="0.25">
      <c r="A2448">
        <f t="shared" si="38"/>
        <v>2447</v>
      </c>
    </row>
    <row r="2449" spans="1:1" x14ac:dyDescent="0.25">
      <c r="A2449">
        <f t="shared" si="38"/>
        <v>2448</v>
      </c>
    </row>
    <row r="2450" spans="1:1" x14ac:dyDescent="0.25">
      <c r="A2450">
        <f t="shared" si="38"/>
        <v>2449</v>
      </c>
    </row>
    <row r="2451" spans="1:1" x14ac:dyDescent="0.25">
      <c r="A2451">
        <f t="shared" si="38"/>
        <v>2450</v>
      </c>
    </row>
    <row r="2452" spans="1:1" x14ac:dyDescent="0.25">
      <c r="A2452">
        <f t="shared" si="38"/>
        <v>2451</v>
      </c>
    </row>
    <row r="2453" spans="1:1" x14ac:dyDescent="0.25">
      <c r="A2453">
        <f t="shared" si="38"/>
        <v>2452</v>
      </c>
    </row>
    <row r="2454" spans="1:1" x14ac:dyDescent="0.25">
      <c r="A2454">
        <f t="shared" si="38"/>
        <v>2453</v>
      </c>
    </row>
    <row r="2455" spans="1:1" x14ac:dyDescent="0.25">
      <c r="A2455">
        <f t="shared" si="38"/>
        <v>2454</v>
      </c>
    </row>
    <row r="2456" spans="1:1" x14ac:dyDescent="0.25">
      <c r="A2456">
        <f t="shared" si="38"/>
        <v>2455</v>
      </c>
    </row>
    <row r="2457" spans="1:1" x14ac:dyDescent="0.25">
      <c r="A2457">
        <f t="shared" si="38"/>
        <v>2456</v>
      </c>
    </row>
    <row r="2458" spans="1:1" x14ac:dyDescent="0.25">
      <c r="A2458">
        <f t="shared" si="38"/>
        <v>2457</v>
      </c>
    </row>
    <row r="2459" spans="1:1" x14ac:dyDescent="0.25">
      <c r="A2459">
        <f t="shared" si="38"/>
        <v>2458</v>
      </c>
    </row>
    <row r="2460" spans="1:1" x14ac:dyDescent="0.25">
      <c r="A2460">
        <f t="shared" si="38"/>
        <v>2459</v>
      </c>
    </row>
    <row r="2461" spans="1:1" x14ac:dyDescent="0.25">
      <c r="A2461">
        <f t="shared" si="38"/>
        <v>2460</v>
      </c>
    </row>
    <row r="2462" spans="1:1" x14ac:dyDescent="0.25">
      <c r="A2462">
        <f t="shared" si="38"/>
        <v>2461</v>
      </c>
    </row>
    <row r="2463" spans="1:1" x14ac:dyDescent="0.25">
      <c r="A2463">
        <f t="shared" si="38"/>
        <v>2462</v>
      </c>
    </row>
    <row r="2464" spans="1:1" x14ac:dyDescent="0.25">
      <c r="A2464">
        <f t="shared" si="38"/>
        <v>2463</v>
      </c>
    </row>
    <row r="2465" spans="1:1" x14ac:dyDescent="0.25">
      <c r="A2465">
        <f t="shared" si="38"/>
        <v>2464</v>
      </c>
    </row>
    <row r="2466" spans="1:1" x14ac:dyDescent="0.25">
      <c r="A2466">
        <f t="shared" si="38"/>
        <v>2465</v>
      </c>
    </row>
    <row r="2467" spans="1:1" x14ac:dyDescent="0.25">
      <c r="A2467">
        <f t="shared" si="38"/>
        <v>2466</v>
      </c>
    </row>
    <row r="2468" spans="1:1" x14ac:dyDescent="0.25">
      <c r="A2468">
        <f t="shared" si="38"/>
        <v>2467</v>
      </c>
    </row>
    <row r="2469" spans="1:1" x14ac:dyDescent="0.25">
      <c r="A2469">
        <f t="shared" si="38"/>
        <v>2468</v>
      </c>
    </row>
    <row r="2470" spans="1:1" x14ac:dyDescent="0.25">
      <c r="A2470">
        <f t="shared" si="38"/>
        <v>2469</v>
      </c>
    </row>
    <row r="2471" spans="1:1" x14ac:dyDescent="0.25">
      <c r="A2471">
        <f t="shared" si="38"/>
        <v>2470</v>
      </c>
    </row>
    <row r="2472" spans="1:1" x14ac:dyDescent="0.25">
      <c r="A2472">
        <f t="shared" si="38"/>
        <v>2471</v>
      </c>
    </row>
    <row r="2473" spans="1:1" x14ac:dyDescent="0.25">
      <c r="A2473">
        <f t="shared" si="38"/>
        <v>2472</v>
      </c>
    </row>
    <row r="2474" spans="1:1" x14ac:dyDescent="0.25">
      <c r="A2474">
        <f t="shared" si="38"/>
        <v>2473</v>
      </c>
    </row>
    <row r="2475" spans="1:1" x14ac:dyDescent="0.25">
      <c r="A2475">
        <f t="shared" si="38"/>
        <v>2474</v>
      </c>
    </row>
    <row r="2476" spans="1:1" x14ac:dyDescent="0.25">
      <c r="A2476">
        <f t="shared" si="38"/>
        <v>2475</v>
      </c>
    </row>
    <row r="2477" spans="1:1" x14ac:dyDescent="0.25">
      <c r="A2477">
        <f t="shared" si="38"/>
        <v>2476</v>
      </c>
    </row>
    <row r="2478" spans="1:1" x14ac:dyDescent="0.25">
      <c r="A2478">
        <f t="shared" si="38"/>
        <v>2477</v>
      </c>
    </row>
    <row r="2479" spans="1:1" x14ac:dyDescent="0.25">
      <c r="A2479">
        <f t="shared" si="38"/>
        <v>2478</v>
      </c>
    </row>
    <row r="2480" spans="1:1" x14ac:dyDescent="0.25">
      <c r="A2480">
        <f t="shared" si="38"/>
        <v>2479</v>
      </c>
    </row>
    <row r="2481" spans="1:1" x14ac:dyDescent="0.25">
      <c r="A2481">
        <f t="shared" si="38"/>
        <v>2480</v>
      </c>
    </row>
    <row r="2482" spans="1:1" x14ac:dyDescent="0.25">
      <c r="A2482">
        <f t="shared" si="38"/>
        <v>2481</v>
      </c>
    </row>
    <row r="2483" spans="1:1" x14ac:dyDescent="0.25">
      <c r="A2483">
        <f t="shared" si="38"/>
        <v>2482</v>
      </c>
    </row>
    <row r="2484" spans="1:1" x14ac:dyDescent="0.25">
      <c r="A2484">
        <f t="shared" si="38"/>
        <v>2483</v>
      </c>
    </row>
    <row r="2485" spans="1:1" x14ac:dyDescent="0.25">
      <c r="A2485">
        <f t="shared" si="38"/>
        <v>2484</v>
      </c>
    </row>
    <row r="2486" spans="1:1" x14ac:dyDescent="0.25">
      <c r="A2486">
        <f t="shared" si="38"/>
        <v>2485</v>
      </c>
    </row>
    <row r="2487" spans="1:1" x14ac:dyDescent="0.25">
      <c r="A2487">
        <f t="shared" si="38"/>
        <v>2486</v>
      </c>
    </row>
    <row r="2488" spans="1:1" x14ac:dyDescent="0.25">
      <c r="A2488">
        <f t="shared" si="38"/>
        <v>2487</v>
      </c>
    </row>
    <row r="2489" spans="1:1" x14ac:dyDescent="0.25">
      <c r="A2489">
        <f t="shared" si="38"/>
        <v>2488</v>
      </c>
    </row>
    <row r="2490" spans="1:1" x14ac:dyDescent="0.25">
      <c r="A2490">
        <f t="shared" si="38"/>
        <v>2489</v>
      </c>
    </row>
    <row r="2491" spans="1:1" x14ac:dyDescent="0.25">
      <c r="A2491">
        <f t="shared" si="38"/>
        <v>2490</v>
      </c>
    </row>
    <row r="2492" spans="1:1" x14ac:dyDescent="0.25">
      <c r="A2492">
        <f t="shared" si="38"/>
        <v>2491</v>
      </c>
    </row>
    <row r="2493" spans="1:1" x14ac:dyDescent="0.25">
      <c r="A2493">
        <f t="shared" si="38"/>
        <v>2492</v>
      </c>
    </row>
    <row r="2494" spans="1:1" x14ac:dyDescent="0.25">
      <c r="A2494">
        <f t="shared" si="38"/>
        <v>2493</v>
      </c>
    </row>
    <row r="2495" spans="1:1" x14ac:dyDescent="0.25">
      <c r="A2495">
        <f t="shared" si="38"/>
        <v>2494</v>
      </c>
    </row>
    <row r="2496" spans="1:1" x14ac:dyDescent="0.25">
      <c r="A2496">
        <f t="shared" si="38"/>
        <v>2495</v>
      </c>
    </row>
    <row r="2497" spans="1:1" x14ac:dyDescent="0.25">
      <c r="A2497">
        <f t="shared" si="38"/>
        <v>2496</v>
      </c>
    </row>
    <row r="2498" spans="1:1" x14ac:dyDescent="0.25">
      <c r="A2498">
        <f t="shared" si="38"/>
        <v>2497</v>
      </c>
    </row>
    <row r="2499" spans="1:1" x14ac:dyDescent="0.25">
      <c r="A2499">
        <f t="shared" si="38"/>
        <v>2498</v>
      </c>
    </row>
    <row r="2500" spans="1:1" x14ac:dyDescent="0.25">
      <c r="A2500">
        <f t="shared" ref="A2500:A2563" si="39">A2499+1</f>
        <v>2499</v>
      </c>
    </row>
    <row r="2501" spans="1:1" x14ac:dyDescent="0.25">
      <c r="A2501">
        <f t="shared" si="39"/>
        <v>2500</v>
      </c>
    </row>
    <row r="2502" spans="1:1" x14ac:dyDescent="0.25">
      <c r="A2502">
        <f t="shared" si="39"/>
        <v>2501</v>
      </c>
    </row>
    <row r="2503" spans="1:1" x14ac:dyDescent="0.25">
      <c r="A2503">
        <f t="shared" si="39"/>
        <v>2502</v>
      </c>
    </row>
    <row r="2504" spans="1:1" x14ac:dyDescent="0.25">
      <c r="A2504">
        <f t="shared" si="39"/>
        <v>2503</v>
      </c>
    </row>
    <row r="2505" spans="1:1" x14ac:dyDescent="0.25">
      <c r="A2505">
        <f t="shared" si="39"/>
        <v>2504</v>
      </c>
    </row>
    <row r="2506" spans="1:1" x14ac:dyDescent="0.25">
      <c r="A2506">
        <f t="shared" si="39"/>
        <v>2505</v>
      </c>
    </row>
    <row r="2507" spans="1:1" x14ac:dyDescent="0.25">
      <c r="A2507">
        <f t="shared" si="39"/>
        <v>2506</v>
      </c>
    </row>
    <row r="2508" spans="1:1" x14ac:dyDescent="0.25">
      <c r="A2508">
        <f t="shared" si="39"/>
        <v>2507</v>
      </c>
    </row>
    <row r="2509" spans="1:1" x14ac:dyDescent="0.25">
      <c r="A2509">
        <f t="shared" si="39"/>
        <v>2508</v>
      </c>
    </row>
    <row r="2510" spans="1:1" x14ac:dyDescent="0.25">
      <c r="A2510">
        <f t="shared" si="39"/>
        <v>2509</v>
      </c>
    </row>
    <row r="2511" spans="1:1" x14ac:dyDescent="0.25">
      <c r="A2511">
        <f t="shared" si="39"/>
        <v>2510</v>
      </c>
    </row>
    <row r="2512" spans="1:1" x14ac:dyDescent="0.25">
      <c r="A2512">
        <f t="shared" si="39"/>
        <v>2511</v>
      </c>
    </row>
    <row r="2513" spans="1:1" x14ac:dyDescent="0.25">
      <c r="A2513">
        <f t="shared" si="39"/>
        <v>2512</v>
      </c>
    </row>
    <row r="2514" spans="1:1" x14ac:dyDescent="0.25">
      <c r="A2514">
        <f t="shared" si="39"/>
        <v>2513</v>
      </c>
    </row>
    <row r="2515" spans="1:1" x14ac:dyDescent="0.25">
      <c r="A2515">
        <f t="shared" si="39"/>
        <v>2514</v>
      </c>
    </row>
    <row r="2516" spans="1:1" x14ac:dyDescent="0.25">
      <c r="A2516">
        <f t="shared" si="39"/>
        <v>2515</v>
      </c>
    </row>
    <row r="2517" spans="1:1" x14ac:dyDescent="0.25">
      <c r="A2517">
        <f t="shared" si="39"/>
        <v>2516</v>
      </c>
    </row>
    <row r="2518" spans="1:1" x14ac:dyDescent="0.25">
      <c r="A2518">
        <f t="shared" si="39"/>
        <v>2517</v>
      </c>
    </row>
    <row r="2519" spans="1:1" x14ac:dyDescent="0.25">
      <c r="A2519">
        <f t="shared" si="39"/>
        <v>2518</v>
      </c>
    </row>
    <row r="2520" spans="1:1" x14ac:dyDescent="0.25">
      <c r="A2520">
        <f t="shared" si="39"/>
        <v>2519</v>
      </c>
    </row>
    <row r="2521" spans="1:1" x14ac:dyDescent="0.25">
      <c r="A2521">
        <f t="shared" si="39"/>
        <v>2520</v>
      </c>
    </row>
    <row r="2522" spans="1:1" x14ac:dyDescent="0.25">
      <c r="A2522">
        <f t="shared" si="39"/>
        <v>2521</v>
      </c>
    </row>
    <row r="2523" spans="1:1" x14ac:dyDescent="0.25">
      <c r="A2523">
        <f t="shared" si="39"/>
        <v>2522</v>
      </c>
    </row>
    <row r="2524" spans="1:1" x14ac:dyDescent="0.25">
      <c r="A2524">
        <f t="shared" si="39"/>
        <v>2523</v>
      </c>
    </row>
    <row r="2525" spans="1:1" x14ac:dyDescent="0.25">
      <c r="A2525">
        <f t="shared" si="39"/>
        <v>2524</v>
      </c>
    </row>
    <row r="2526" spans="1:1" x14ac:dyDescent="0.25">
      <c r="A2526">
        <f t="shared" si="39"/>
        <v>2525</v>
      </c>
    </row>
    <row r="2527" spans="1:1" x14ac:dyDescent="0.25">
      <c r="A2527">
        <f t="shared" si="39"/>
        <v>2526</v>
      </c>
    </row>
    <row r="2528" spans="1:1" x14ac:dyDescent="0.25">
      <c r="A2528">
        <f t="shared" si="39"/>
        <v>2527</v>
      </c>
    </row>
    <row r="2529" spans="1:1" x14ac:dyDescent="0.25">
      <c r="A2529">
        <f t="shared" si="39"/>
        <v>2528</v>
      </c>
    </row>
    <row r="2530" spans="1:1" x14ac:dyDescent="0.25">
      <c r="A2530">
        <f t="shared" si="39"/>
        <v>2529</v>
      </c>
    </row>
    <row r="2531" spans="1:1" x14ac:dyDescent="0.25">
      <c r="A2531">
        <f t="shared" si="39"/>
        <v>2530</v>
      </c>
    </row>
    <row r="2532" spans="1:1" x14ac:dyDescent="0.25">
      <c r="A2532">
        <f t="shared" si="39"/>
        <v>2531</v>
      </c>
    </row>
    <row r="2533" spans="1:1" x14ac:dyDescent="0.25">
      <c r="A2533">
        <f t="shared" si="39"/>
        <v>2532</v>
      </c>
    </row>
    <row r="2534" spans="1:1" x14ac:dyDescent="0.25">
      <c r="A2534">
        <f t="shared" si="39"/>
        <v>2533</v>
      </c>
    </row>
    <row r="2535" spans="1:1" x14ac:dyDescent="0.25">
      <c r="A2535">
        <f t="shared" si="39"/>
        <v>2534</v>
      </c>
    </row>
    <row r="2536" spans="1:1" x14ac:dyDescent="0.25">
      <c r="A2536">
        <f t="shared" si="39"/>
        <v>2535</v>
      </c>
    </row>
    <row r="2537" spans="1:1" x14ac:dyDescent="0.25">
      <c r="A2537">
        <f t="shared" si="39"/>
        <v>2536</v>
      </c>
    </row>
    <row r="2538" spans="1:1" x14ac:dyDescent="0.25">
      <c r="A2538">
        <f t="shared" si="39"/>
        <v>2537</v>
      </c>
    </row>
    <row r="2539" spans="1:1" x14ac:dyDescent="0.25">
      <c r="A2539">
        <f t="shared" si="39"/>
        <v>2538</v>
      </c>
    </row>
    <row r="2540" spans="1:1" x14ac:dyDescent="0.25">
      <c r="A2540">
        <f t="shared" si="39"/>
        <v>2539</v>
      </c>
    </row>
    <row r="2541" spans="1:1" x14ac:dyDescent="0.25">
      <c r="A2541">
        <f t="shared" si="39"/>
        <v>2540</v>
      </c>
    </row>
    <row r="2542" spans="1:1" x14ac:dyDescent="0.25">
      <c r="A2542">
        <f t="shared" si="39"/>
        <v>2541</v>
      </c>
    </row>
    <row r="2543" spans="1:1" x14ac:dyDescent="0.25">
      <c r="A2543">
        <f t="shared" si="39"/>
        <v>2542</v>
      </c>
    </row>
    <row r="2544" spans="1:1" x14ac:dyDescent="0.25">
      <c r="A2544">
        <f t="shared" si="39"/>
        <v>2543</v>
      </c>
    </row>
    <row r="2545" spans="1:1" x14ac:dyDescent="0.25">
      <c r="A2545">
        <f t="shared" si="39"/>
        <v>2544</v>
      </c>
    </row>
    <row r="2546" spans="1:1" x14ac:dyDescent="0.25">
      <c r="A2546">
        <f t="shared" si="39"/>
        <v>2545</v>
      </c>
    </row>
    <row r="2547" spans="1:1" x14ac:dyDescent="0.25">
      <c r="A2547">
        <f t="shared" si="39"/>
        <v>2546</v>
      </c>
    </row>
    <row r="2548" spans="1:1" x14ac:dyDescent="0.25">
      <c r="A2548">
        <f t="shared" si="39"/>
        <v>2547</v>
      </c>
    </row>
    <row r="2549" spans="1:1" x14ac:dyDescent="0.25">
      <c r="A2549">
        <f t="shared" si="39"/>
        <v>2548</v>
      </c>
    </row>
    <row r="2550" spans="1:1" x14ac:dyDescent="0.25">
      <c r="A2550">
        <f t="shared" si="39"/>
        <v>2549</v>
      </c>
    </row>
    <row r="2551" spans="1:1" x14ac:dyDescent="0.25">
      <c r="A2551">
        <f t="shared" si="39"/>
        <v>2550</v>
      </c>
    </row>
    <row r="2552" spans="1:1" x14ac:dyDescent="0.25">
      <c r="A2552">
        <f t="shared" si="39"/>
        <v>2551</v>
      </c>
    </row>
    <row r="2553" spans="1:1" x14ac:dyDescent="0.25">
      <c r="A2553">
        <f t="shared" si="39"/>
        <v>2552</v>
      </c>
    </row>
    <row r="2554" spans="1:1" x14ac:dyDescent="0.25">
      <c r="A2554">
        <f t="shared" si="39"/>
        <v>2553</v>
      </c>
    </row>
    <row r="2555" spans="1:1" x14ac:dyDescent="0.25">
      <c r="A2555">
        <f t="shared" si="39"/>
        <v>2554</v>
      </c>
    </row>
    <row r="2556" spans="1:1" x14ac:dyDescent="0.25">
      <c r="A2556">
        <f t="shared" si="39"/>
        <v>2555</v>
      </c>
    </row>
    <row r="2557" spans="1:1" x14ac:dyDescent="0.25">
      <c r="A2557">
        <f t="shared" si="39"/>
        <v>2556</v>
      </c>
    </row>
    <row r="2558" spans="1:1" x14ac:dyDescent="0.25">
      <c r="A2558">
        <f t="shared" si="39"/>
        <v>2557</v>
      </c>
    </row>
    <row r="2559" spans="1:1" x14ac:dyDescent="0.25">
      <c r="A2559">
        <f t="shared" si="39"/>
        <v>2558</v>
      </c>
    </row>
    <row r="2560" spans="1:1" x14ac:dyDescent="0.25">
      <c r="A2560">
        <f t="shared" si="39"/>
        <v>2559</v>
      </c>
    </row>
    <row r="2561" spans="1:1" x14ac:dyDescent="0.25">
      <c r="A2561">
        <f t="shared" si="39"/>
        <v>2560</v>
      </c>
    </row>
    <row r="2562" spans="1:1" x14ac:dyDescent="0.25">
      <c r="A2562">
        <f t="shared" si="39"/>
        <v>2561</v>
      </c>
    </row>
    <row r="2563" spans="1:1" x14ac:dyDescent="0.25">
      <c r="A2563">
        <f t="shared" si="39"/>
        <v>2562</v>
      </c>
    </row>
    <row r="2564" spans="1:1" x14ac:dyDescent="0.25">
      <c r="A2564">
        <f t="shared" ref="A2564:A2627" si="40">A2563+1</f>
        <v>2563</v>
      </c>
    </row>
    <row r="2565" spans="1:1" x14ac:dyDescent="0.25">
      <c r="A2565">
        <f t="shared" si="40"/>
        <v>2564</v>
      </c>
    </row>
    <row r="2566" spans="1:1" x14ac:dyDescent="0.25">
      <c r="A2566">
        <f t="shared" si="40"/>
        <v>2565</v>
      </c>
    </row>
    <row r="2567" spans="1:1" x14ac:dyDescent="0.25">
      <c r="A2567">
        <f t="shared" si="40"/>
        <v>2566</v>
      </c>
    </row>
    <row r="2568" spans="1:1" x14ac:dyDescent="0.25">
      <c r="A2568">
        <f t="shared" si="40"/>
        <v>2567</v>
      </c>
    </row>
    <row r="2569" spans="1:1" x14ac:dyDescent="0.25">
      <c r="A2569">
        <f t="shared" si="40"/>
        <v>2568</v>
      </c>
    </row>
    <row r="2570" spans="1:1" x14ac:dyDescent="0.25">
      <c r="A2570">
        <f t="shared" si="40"/>
        <v>2569</v>
      </c>
    </row>
    <row r="2571" spans="1:1" x14ac:dyDescent="0.25">
      <c r="A2571">
        <f t="shared" si="40"/>
        <v>2570</v>
      </c>
    </row>
    <row r="2572" spans="1:1" x14ac:dyDescent="0.25">
      <c r="A2572">
        <f t="shared" si="40"/>
        <v>2571</v>
      </c>
    </row>
    <row r="2573" spans="1:1" x14ac:dyDescent="0.25">
      <c r="A2573">
        <f t="shared" si="40"/>
        <v>2572</v>
      </c>
    </row>
    <row r="2574" spans="1:1" x14ac:dyDescent="0.25">
      <c r="A2574">
        <f t="shared" si="40"/>
        <v>2573</v>
      </c>
    </row>
    <row r="2575" spans="1:1" x14ac:dyDescent="0.25">
      <c r="A2575">
        <f t="shared" si="40"/>
        <v>2574</v>
      </c>
    </row>
    <row r="2576" spans="1:1" x14ac:dyDescent="0.25">
      <c r="A2576">
        <f t="shared" si="40"/>
        <v>2575</v>
      </c>
    </row>
    <row r="2577" spans="1:1" x14ac:dyDescent="0.25">
      <c r="A2577">
        <f t="shared" si="40"/>
        <v>2576</v>
      </c>
    </row>
    <row r="2578" spans="1:1" x14ac:dyDescent="0.25">
      <c r="A2578">
        <f t="shared" si="40"/>
        <v>2577</v>
      </c>
    </row>
    <row r="2579" spans="1:1" x14ac:dyDescent="0.25">
      <c r="A2579">
        <f t="shared" si="40"/>
        <v>2578</v>
      </c>
    </row>
    <row r="2580" spans="1:1" x14ac:dyDescent="0.25">
      <c r="A2580">
        <f t="shared" si="40"/>
        <v>2579</v>
      </c>
    </row>
    <row r="2581" spans="1:1" x14ac:dyDescent="0.25">
      <c r="A2581">
        <f t="shared" si="40"/>
        <v>2580</v>
      </c>
    </row>
    <row r="2582" spans="1:1" x14ac:dyDescent="0.25">
      <c r="A2582">
        <f t="shared" si="40"/>
        <v>2581</v>
      </c>
    </row>
    <row r="2583" spans="1:1" x14ac:dyDescent="0.25">
      <c r="A2583">
        <f t="shared" si="40"/>
        <v>2582</v>
      </c>
    </row>
    <row r="2584" spans="1:1" x14ac:dyDescent="0.25">
      <c r="A2584">
        <f t="shared" si="40"/>
        <v>2583</v>
      </c>
    </row>
    <row r="2585" spans="1:1" x14ac:dyDescent="0.25">
      <c r="A2585">
        <f t="shared" si="40"/>
        <v>2584</v>
      </c>
    </row>
    <row r="2586" spans="1:1" x14ac:dyDescent="0.25">
      <c r="A2586">
        <f t="shared" si="40"/>
        <v>2585</v>
      </c>
    </row>
    <row r="2587" spans="1:1" x14ac:dyDescent="0.25">
      <c r="A2587">
        <f t="shared" si="40"/>
        <v>2586</v>
      </c>
    </row>
    <row r="2588" spans="1:1" x14ac:dyDescent="0.25">
      <c r="A2588">
        <f t="shared" si="40"/>
        <v>2587</v>
      </c>
    </row>
    <row r="2589" spans="1:1" x14ac:dyDescent="0.25">
      <c r="A2589">
        <f t="shared" si="40"/>
        <v>2588</v>
      </c>
    </row>
    <row r="2590" spans="1:1" x14ac:dyDescent="0.25">
      <c r="A2590">
        <f t="shared" si="40"/>
        <v>2589</v>
      </c>
    </row>
    <row r="2591" spans="1:1" x14ac:dyDescent="0.25">
      <c r="A2591">
        <f t="shared" si="40"/>
        <v>2590</v>
      </c>
    </row>
    <row r="2592" spans="1:1" x14ac:dyDescent="0.25">
      <c r="A2592">
        <f t="shared" si="40"/>
        <v>2591</v>
      </c>
    </row>
    <row r="2593" spans="1:1" x14ac:dyDescent="0.25">
      <c r="A2593">
        <f t="shared" si="40"/>
        <v>2592</v>
      </c>
    </row>
    <row r="2594" spans="1:1" x14ac:dyDescent="0.25">
      <c r="A2594">
        <f t="shared" si="40"/>
        <v>2593</v>
      </c>
    </row>
    <row r="2595" spans="1:1" x14ac:dyDescent="0.25">
      <c r="A2595">
        <f t="shared" si="40"/>
        <v>2594</v>
      </c>
    </row>
    <row r="2596" spans="1:1" x14ac:dyDescent="0.25">
      <c r="A2596">
        <f t="shared" si="40"/>
        <v>2595</v>
      </c>
    </row>
    <row r="2597" spans="1:1" x14ac:dyDescent="0.25">
      <c r="A2597">
        <f t="shared" si="40"/>
        <v>2596</v>
      </c>
    </row>
    <row r="2598" spans="1:1" x14ac:dyDescent="0.25">
      <c r="A2598">
        <f t="shared" si="40"/>
        <v>2597</v>
      </c>
    </row>
    <row r="2599" spans="1:1" x14ac:dyDescent="0.25">
      <c r="A2599">
        <f t="shared" si="40"/>
        <v>2598</v>
      </c>
    </row>
    <row r="2600" spans="1:1" x14ac:dyDescent="0.25">
      <c r="A2600">
        <f t="shared" si="40"/>
        <v>2599</v>
      </c>
    </row>
    <row r="2601" spans="1:1" x14ac:dyDescent="0.25">
      <c r="A2601">
        <f t="shared" si="40"/>
        <v>2600</v>
      </c>
    </row>
    <row r="2602" spans="1:1" x14ac:dyDescent="0.25">
      <c r="A2602">
        <f t="shared" si="40"/>
        <v>2601</v>
      </c>
    </row>
    <row r="2603" spans="1:1" x14ac:dyDescent="0.25">
      <c r="A2603">
        <f t="shared" si="40"/>
        <v>2602</v>
      </c>
    </row>
    <row r="2604" spans="1:1" x14ac:dyDescent="0.25">
      <c r="A2604">
        <f t="shared" si="40"/>
        <v>2603</v>
      </c>
    </row>
    <row r="2605" spans="1:1" x14ac:dyDescent="0.25">
      <c r="A2605">
        <f t="shared" si="40"/>
        <v>2604</v>
      </c>
    </row>
    <row r="2606" spans="1:1" x14ac:dyDescent="0.25">
      <c r="A2606">
        <f t="shared" si="40"/>
        <v>2605</v>
      </c>
    </row>
    <row r="2607" spans="1:1" x14ac:dyDescent="0.25">
      <c r="A2607">
        <f t="shared" si="40"/>
        <v>2606</v>
      </c>
    </row>
    <row r="2608" spans="1:1" x14ac:dyDescent="0.25">
      <c r="A2608">
        <f t="shared" si="40"/>
        <v>2607</v>
      </c>
    </row>
    <row r="2609" spans="1:1" x14ac:dyDescent="0.25">
      <c r="A2609">
        <f t="shared" si="40"/>
        <v>2608</v>
      </c>
    </row>
    <row r="2610" spans="1:1" x14ac:dyDescent="0.25">
      <c r="A2610">
        <f t="shared" si="40"/>
        <v>2609</v>
      </c>
    </row>
    <row r="2611" spans="1:1" x14ac:dyDescent="0.25">
      <c r="A2611">
        <f t="shared" si="40"/>
        <v>2610</v>
      </c>
    </row>
    <row r="2612" spans="1:1" x14ac:dyDescent="0.25">
      <c r="A2612">
        <f t="shared" si="40"/>
        <v>2611</v>
      </c>
    </row>
    <row r="2613" spans="1:1" x14ac:dyDescent="0.25">
      <c r="A2613">
        <f t="shared" si="40"/>
        <v>2612</v>
      </c>
    </row>
    <row r="2614" spans="1:1" x14ac:dyDescent="0.25">
      <c r="A2614">
        <f t="shared" si="40"/>
        <v>2613</v>
      </c>
    </row>
    <row r="2615" spans="1:1" x14ac:dyDescent="0.25">
      <c r="A2615">
        <f t="shared" si="40"/>
        <v>2614</v>
      </c>
    </row>
    <row r="2616" spans="1:1" x14ac:dyDescent="0.25">
      <c r="A2616">
        <f t="shared" si="40"/>
        <v>2615</v>
      </c>
    </row>
    <row r="2617" spans="1:1" x14ac:dyDescent="0.25">
      <c r="A2617">
        <f t="shared" si="40"/>
        <v>2616</v>
      </c>
    </row>
    <row r="2618" spans="1:1" x14ac:dyDescent="0.25">
      <c r="A2618">
        <f t="shared" si="40"/>
        <v>2617</v>
      </c>
    </row>
    <row r="2619" spans="1:1" x14ac:dyDescent="0.25">
      <c r="A2619">
        <f t="shared" si="40"/>
        <v>2618</v>
      </c>
    </row>
    <row r="2620" spans="1:1" x14ac:dyDescent="0.25">
      <c r="A2620">
        <f t="shared" si="40"/>
        <v>2619</v>
      </c>
    </row>
    <row r="2621" spans="1:1" x14ac:dyDescent="0.25">
      <c r="A2621">
        <f t="shared" si="40"/>
        <v>2620</v>
      </c>
    </row>
    <row r="2622" spans="1:1" x14ac:dyDescent="0.25">
      <c r="A2622">
        <f t="shared" si="40"/>
        <v>2621</v>
      </c>
    </row>
    <row r="2623" spans="1:1" x14ac:dyDescent="0.25">
      <c r="A2623">
        <f t="shared" si="40"/>
        <v>2622</v>
      </c>
    </row>
    <row r="2624" spans="1:1" x14ac:dyDescent="0.25">
      <c r="A2624">
        <f t="shared" si="40"/>
        <v>2623</v>
      </c>
    </row>
    <row r="2625" spans="1:1" x14ac:dyDescent="0.25">
      <c r="A2625">
        <f t="shared" si="40"/>
        <v>2624</v>
      </c>
    </row>
    <row r="2626" spans="1:1" x14ac:dyDescent="0.25">
      <c r="A2626">
        <f t="shared" si="40"/>
        <v>2625</v>
      </c>
    </row>
    <row r="2627" spans="1:1" x14ac:dyDescent="0.25">
      <c r="A2627">
        <f t="shared" si="40"/>
        <v>2626</v>
      </c>
    </row>
    <row r="2628" spans="1:1" x14ac:dyDescent="0.25">
      <c r="A2628">
        <f t="shared" ref="A2628:A2691" si="41">A2627+1</f>
        <v>2627</v>
      </c>
    </row>
    <row r="2629" spans="1:1" x14ac:dyDescent="0.25">
      <c r="A2629">
        <f t="shared" si="41"/>
        <v>2628</v>
      </c>
    </row>
    <row r="2630" spans="1:1" x14ac:dyDescent="0.25">
      <c r="A2630">
        <f t="shared" si="41"/>
        <v>2629</v>
      </c>
    </row>
    <row r="2631" spans="1:1" x14ac:dyDescent="0.25">
      <c r="A2631">
        <f t="shared" si="41"/>
        <v>2630</v>
      </c>
    </row>
    <row r="2632" spans="1:1" x14ac:dyDescent="0.25">
      <c r="A2632">
        <f t="shared" si="41"/>
        <v>2631</v>
      </c>
    </row>
    <row r="2633" spans="1:1" x14ac:dyDescent="0.25">
      <c r="A2633">
        <f t="shared" si="41"/>
        <v>2632</v>
      </c>
    </row>
    <row r="2634" spans="1:1" x14ac:dyDescent="0.25">
      <c r="A2634">
        <f t="shared" si="41"/>
        <v>2633</v>
      </c>
    </row>
    <row r="2635" spans="1:1" x14ac:dyDescent="0.25">
      <c r="A2635">
        <f t="shared" si="41"/>
        <v>2634</v>
      </c>
    </row>
    <row r="2636" spans="1:1" x14ac:dyDescent="0.25">
      <c r="A2636">
        <f t="shared" si="41"/>
        <v>2635</v>
      </c>
    </row>
    <row r="2637" spans="1:1" x14ac:dyDescent="0.25">
      <c r="A2637">
        <f t="shared" si="41"/>
        <v>2636</v>
      </c>
    </row>
    <row r="2638" spans="1:1" x14ac:dyDescent="0.25">
      <c r="A2638">
        <f t="shared" si="41"/>
        <v>2637</v>
      </c>
    </row>
    <row r="2639" spans="1:1" x14ac:dyDescent="0.25">
      <c r="A2639">
        <f t="shared" si="41"/>
        <v>2638</v>
      </c>
    </row>
    <row r="2640" spans="1:1" x14ac:dyDescent="0.25">
      <c r="A2640">
        <f t="shared" si="41"/>
        <v>2639</v>
      </c>
    </row>
    <row r="2641" spans="1:1" x14ac:dyDescent="0.25">
      <c r="A2641">
        <f t="shared" si="41"/>
        <v>2640</v>
      </c>
    </row>
    <row r="2642" spans="1:1" x14ac:dyDescent="0.25">
      <c r="A2642">
        <f t="shared" si="41"/>
        <v>2641</v>
      </c>
    </row>
    <row r="2643" spans="1:1" x14ac:dyDescent="0.25">
      <c r="A2643">
        <f t="shared" si="41"/>
        <v>2642</v>
      </c>
    </row>
    <row r="2644" spans="1:1" x14ac:dyDescent="0.25">
      <c r="A2644">
        <f t="shared" si="41"/>
        <v>2643</v>
      </c>
    </row>
    <row r="2645" spans="1:1" x14ac:dyDescent="0.25">
      <c r="A2645">
        <f t="shared" si="41"/>
        <v>2644</v>
      </c>
    </row>
    <row r="2646" spans="1:1" x14ac:dyDescent="0.25">
      <c r="A2646">
        <f t="shared" si="41"/>
        <v>2645</v>
      </c>
    </row>
    <row r="2647" spans="1:1" x14ac:dyDescent="0.25">
      <c r="A2647">
        <f t="shared" si="41"/>
        <v>2646</v>
      </c>
    </row>
    <row r="2648" spans="1:1" x14ac:dyDescent="0.25">
      <c r="A2648">
        <f t="shared" si="41"/>
        <v>2647</v>
      </c>
    </row>
    <row r="2649" spans="1:1" x14ac:dyDescent="0.25">
      <c r="A2649">
        <f t="shared" si="41"/>
        <v>2648</v>
      </c>
    </row>
    <row r="2650" spans="1:1" x14ac:dyDescent="0.25">
      <c r="A2650">
        <f t="shared" si="41"/>
        <v>2649</v>
      </c>
    </row>
    <row r="2651" spans="1:1" x14ac:dyDescent="0.25">
      <c r="A2651">
        <f t="shared" si="41"/>
        <v>2650</v>
      </c>
    </row>
    <row r="2652" spans="1:1" x14ac:dyDescent="0.25">
      <c r="A2652">
        <f t="shared" si="41"/>
        <v>2651</v>
      </c>
    </row>
    <row r="2653" spans="1:1" x14ac:dyDescent="0.25">
      <c r="A2653">
        <f t="shared" si="41"/>
        <v>2652</v>
      </c>
    </row>
    <row r="2654" spans="1:1" x14ac:dyDescent="0.25">
      <c r="A2654">
        <f t="shared" si="41"/>
        <v>2653</v>
      </c>
    </row>
    <row r="2655" spans="1:1" x14ac:dyDescent="0.25">
      <c r="A2655">
        <f t="shared" si="41"/>
        <v>2654</v>
      </c>
    </row>
    <row r="2656" spans="1:1" x14ac:dyDescent="0.25">
      <c r="A2656">
        <f t="shared" si="41"/>
        <v>2655</v>
      </c>
    </row>
    <row r="2657" spans="1:1" x14ac:dyDescent="0.25">
      <c r="A2657">
        <f t="shared" si="41"/>
        <v>2656</v>
      </c>
    </row>
    <row r="2658" spans="1:1" x14ac:dyDescent="0.25">
      <c r="A2658">
        <f t="shared" si="41"/>
        <v>2657</v>
      </c>
    </row>
    <row r="2659" spans="1:1" x14ac:dyDescent="0.25">
      <c r="A2659">
        <f t="shared" si="41"/>
        <v>2658</v>
      </c>
    </row>
    <row r="2660" spans="1:1" x14ac:dyDescent="0.25">
      <c r="A2660">
        <f t="shared" si="41"/>
        <v>2659</v>
      </c>
    </row>
    <row r="2661" spans="1:1" x14ac:dyDescent="0.25">
      <c r="A2661">
        <f t="shared" si="41"/>
        <v>2660</v>
      </c>
    </row>
    <row r="2662" spans="1:1" x14ac:dyDescent="0.25">
      <c r="A2662">
        <f t="shared" si="41"/>
        <v>2661</v>
      </c>
    </row>
    <row r="2663" spans="1:1" x14ac:dyDescent="0.25">
      <c r="A2663">
        <f t="shared" si="41"/>
        <v>2662</v>
      </c>
    </row>
    <row r="2664" spans="1:1" x14ac:dyDescent="0.25">
      <c r="A2664">
        <f t="shared" si="41"/>
        <v>2663</v>
      </c>
    </row>
    <row r="2665" spans="1:1" x14ac:dyDescent="0.25">
      <c r="A2665">
        <f t="shared" si="41"/>
        <v>2664</v>
      </c>
    </row>
    <row r="2666" spans="1:1" x14ac:dyDescent="0.25">
      <c r="A2666">
        <f t="shared" si="41"/>
        <v>2665</v>
      </c>
    </row>
    <row r="2667" spans="1:1" x14ac:dyDescent="0.25">
      <c r="A2667">
        <f t="shared" si="41"/>
        <v>2666</v>
      </c>
    </row>
    <row r="2668" spans="1:1" x14ac:dyDescent="0.25">
      <c r="A2668">
        <f t="shared" si="41"/>
        <v>2667</v>
      </c>
    </row>
    <row r="2669" spans="1:1" x14ac:dyDescent="0.25">
      <c r="A2669">
        <f t="shared" si="41"/>
        <v>2668</v>
      </c>
    </row>
    <row r="2670" spans="1:1" x14ac:dyDescent="0.25">
      <c r="A2670">
        <f t="shared" si="41"/>
        <v>2669</v>
      </c>
    </row>
    <row r="2671" spans="1:1" x14ac:dyDescent="0.25">
      <c r="A2671">
        <f t="shared" si="41"/>
        <v>2670</v>
      </c>
    </row>
    <row r="2672" spans="1:1" x14ac:dyDescent="0.25">
      <c r="A2672">
        <f t="shared" si="41"/>
        <v>2671</v>
      </c>
    </row>
    <row r="2673" spans="1:1" x14ac:dyDescent="0.25">
      <c r="A2673">
        <f t="shared" si="41"/>
        <v>2672</v>
      </c>
    </row>
    <row r="2674" spans="1:1" x14ac:dyDescent="0.25">
      <c r="A2674">
        <f t="shared" si="41"/>
        <v>2673</v>
      </c>
    </row>
    <row r="2675" spans="1:1" x14ac:dyDescent="0.25">
      <c r="A2675">
        <f t="shared" si="41"/>
        <v>2674</v>
      </c>
    </row>
    <row r="2676" spans="1:1" x14ac:dyDescent="0.25">
      <c r="A2676">
        <f t="shared" si="41"/>
        <v>2675</v>
      </c>
    </row>
    <row r="2677" spans="1:1" x14ac:dyDescent="0.25">
      <c r="A2677">
        <f t="shared" si="41"/>
        <v>2676</v>
      </c>
    </row>
    <row r="2678" spans="1:1" x14ac:dyDescent="0.25">
      <c r="A2678">
        <f t="shared" si="41"/>
        <v>2677</v>
      </c>
    </row>
    <row r="2679" spans="1:1" x14ac:dyDescent="0.25">
      <c r="A2679">
        <f t="shared" si="41"/>
        <v>2678</v>
      </c>
    </row>
    <row r="2680" spans="1:1" x14ac:dyDescent="0.25">
      <c r="A2680">
        <f t="shared" si="41"/>
        <v>2679</v>
      </c>
    </row>
    <row r="2681" spans="1:1" x14ac:dyDescent="0.25">
      <c r="A2681">
        <f t="shared" si="41"/>
        <v>2680</v>
      </c>
    </row>
    <row r="2682" spans="1:1" x14ac:dyDescent="0.25">
      <c r="A2682">
        <f t="shared" si="41"/>
        <v>2681</v>
      </c>
    </row>
    <row r="2683" spans="1:1" x14ac:dyDescent="0.25">
      <c r="A2683">
        <f t="shared" si="41"/>
        <v>2682</v>
      </c>
    </row>
    <row r="2684" spans="1:1" x14ac:dyDescent="0.25">
      <c r="A2684">
        <f t="shared" si="41"/>
        <v>2683</v>
      </c>
    </row>
    <row r="2685" spans="1:1" x14ac:dyDescent="0.25">
      <c r="A2685">
        <f t="shared" si="41"/>
        <v>2684</v>
      </c>
    </row>
    <row r="2686" spans="1:1" x14ac:dyDescent="0.25">
      <c r="A2686">
        <f t="shared" si="41"/>
        <v>2685</v>
      </c>
    </row>
    <row r="2687" spans="1:1" x14ac:dyDescent="0.25">
      <c r="A2687">
        <f t="shared" si="41"/>
        <v>2686</v>
      </c>
    </row>
    <row r="2688" spans="1:1" x14ac:dyDescent="0.25">
      <c r="A2688">
        <f t="shared" si="41"/>
        <v>2687</v>
      </c>
    </row>
    <row r="2689" spans="1:1" x14ac:dyDescent="0.25">
      <c r="A2689">
        <f t="shared" si="41"/>
        <v>2688</v>
      </c>
    </row>
    <row r="2690" spans="1:1" x14ac:dyDescent="0.25">
      <c r="A2690">
        <f t="shared" si="41"/>
        <v>2689</v>
      </c>
    </row>
    <row r="2691" spans="1:1" x14ac:dyDescent="0.25">
      <c r="A2691">
        <f t="shared" si="41"/>
        <v>2690</v>
      </c>
    </row>
    <row r="2692" spans="1:1" x14ac:dyDescent="0.25">
      <c r="A2692">
        <f t="shared" ref="A2692:A2755" si="42">A2691+1</f>
        <v>2691</v>
      </c>
    </row>
    <row r="2693" spans="1:1" x14ac:dyDescent="0.25">
      <c r="A2693">
        <f t="shared" si="42"/>
        <v>2692</v>
      </c>
    </row>
    <row r="2694" spans="1:1" x14ac:dyDescent="0.25">
      <c r="A2694">
        <f t="shared" si="42"/>
        <v>2693</v>
      </c>
    </row>
    <row r="2695" spans="1:1" x14ac:dyDescent="0.25">
      <c r="A2695">
        <f t="shared" si="42"/>
        <v>2694</v>
      </c>
    </row>
    <row r="2696" spans="1:1" x14ac:dyDescent="0.25">
      <c r="A2696">
        <f t="shared" si="42"/>
        <v>2695</v>
      </c>
    </row>
    <row r="2697" spans="1:1" x14ac:dyDescent="0.25">
      <c r="A2697">
        <f t="shared" si="42"/>
        <v>2696</v>
      </c>
    </row>
    <row r="2698" spans="1:1" x14ac:dyDescent="0.25">
      <c r="A2698">
        <f t="shared" si="42"/>
        <v>2697</v>
      </c>
    </row>
    <row r="2699" spans="1:1" x14ac:dyDescent="0.25">
      <c r="A2699">
        <f t="shared" si="42"/>
        <v>2698</v>
      </c>
    </row>
    <row r="2700" spans="1:1" x14ac:dyDescent="0.25">
      <c r="A2700">
        <f t="shared" si="42"/>
        <v>2699</v>
      </c>
    </row>
    <row r="2701" spans="1:1" x14ac:dyDescent="0.25">
      <c r="A2701">
        <f t="shared" si="42"/>
        <v>2700</v>
      </c>
    </row>
    <row r="2702" spans="1:1" x14ac:dyDescent="0.25">
      <c r="A2702">
        <f t="shared" si="42"/>
        <v>2701</v>
      </c>
    </row>
    <row r="2703" spans="1:1" x14ac:dyDescent="0.25">
      <c r="A2703">
        <f t="shared" si="42"/>
        <v>2702</v>
      </c>
    </row>
    <row r="2704" spans="1:1" x14ac:dyDescent="0.25">
      <c r="A2704">
        <f t="shared" si="42"/>
        <v>2703</v>
      </c>
    </row>
    <row r="2705" spans="1:1" x14ac:dyDescent="0.25">
      <c r="A2705">
        <f t="shared" si="42"/>
        <v>2704</v>
      </c>
    </row>
    <row r="2706" spans="1:1" x14ac:dyDescent="0.25">
      <c r="A2706">
        <f t="shared" si="42"/>
        <v>2705</v>
      </c>
    </row>
    <row r="2707" spans="1:1" x14ac:dyDescent="0.25">
      <c r="A2707">
        <f t="shared" si="42"/>
        <v>2706</v>
      </c>
    </row>
    <row r="2708" spans="1:1" x14ac:dyDescent="0.25">
      <c r="A2708">
        <f t="shared" si="42"/>
        <v>2707</v>
      </c>
    </row>
    <row r="2709" spans="1:1" x14ac:dyDescent="0.25">
      <c r="A2709">
        <f t="shared" si="42"/>
        <v>2708</v>
      </c>
    </row>
    <row r="2710" spans="1:1" x14ac:dyDescent="0.25">
      <c r="A2710">
        <f t="shared" si="42"/>
        <v>2709</v>
      </c>
    </row>
    <row r="2711" spans="1:1" x14ac:dyDescent="0.25">
      <c r="A2711">
        <f t="shared" si="42"/>
        <v>2710</v>
      </c>
    </row>
    <row r="2712" spans="1:1" x14ac:dyDescent="0.25">
      <c r="A2712">
        <f t="shared" si="42"/>
        <v>2711</v>
      </c>
    </row>
    <row r="2713" spans="1:1" x14ac:dyDescent="0.25">
      <c r="A2713">
        <f t="shared" si="42"/>
        <v>2712</v>
      </c>
    </row>
    <row r="2714" spans="1:1" x14ac:dyDescent="0.25">
      <c r="A2714">
        <f t="shared" si="42"/>
        <v>2713</v>
      </c>
    </row>
    <row r="2715" spans="1:1" x14ac:dyDescent="0.25">
      <c r="A2715">
        <f t="shared" si="42"/>
        <v>2714</v>
      </c>
    </row>
    <row r="2716" spans="1:1" x14ac:dyDescent="0.25">
      <c r="A2716">
        <f t="shared" si="42"/>
        <v>2715</v>
      </c>
    </row>
    <row r="2717" spans="1:1" x14ac:dyDescent="0.25">
      <c r="A2717">
        <f t="shared" si="42"/>
        <v>2716</v>
      </c>
    </row>
    <row r="2718" spans="1:1" x14ac:dyDescent="0.25">
      <c r="A2718">
        <f t="shared" si="42"/>
        <v>2717</v>
      </c>
    </row>
    <row r="2719" spans="1:1" x14ac:dyDescent="0.25">
      <c r="A2719">
        <f t="shared" si="42"/>
        <v>2718</v>
      </c>
    </row>
    <row r="2720" spans="1:1" x14ac:dyDescent="0.25">
      <c r="A2720">
        <f t="shared" si="42"/>
        <v>2719</v>
      </c>
    </row>
    <row r="2721" spans="1:1" x14ac:dyDescent="0.25">
      <c r="A2721">
        <f t="shared" si="42"/>
        <v>2720</v>
      </c>
    </row>
    <row r="2722" spans="1:1" x14ac:dyDescent="0.25">
      <c r="A2722">
        <f t="shared" si="42"/>
        <v>2721</v>
      </c>
    </row>
    <row r="2723" spans="1:1" x14ac:dyDescent="0.25">
      <c r="A2723">
        <f t="shared" si="42"/>
        <v>2722</v>
      </c>
    </row>
    <row r="2724" spans="1:1" x14ac:dyDescent="0.25">
      <c r="A2724">
        <f t="shared" si="42"/>
        <v>2723</v>
      </c>
    </row>
    <row r="2725" spans="1:1" x14ac:dyDescent="0.25">
      <c r="A2725">
        <f t="shared" si="42"/>
        <v>2724</v>
      </c>
    </row>
    <row r="2726" spans="1:1" x14ac:dyDescent="0.25">
      <c r="A2726">
        <f t="shared" si="42"/>
        <v>2725</v>
      </c>
    </row>
    <row r="2727" spans="1:1" x14ac:dyDescent="0.25">
      <c r="A2727">
        <f t="shared" si="42"/>
        <v>2726</v>
      </c>
    </row>
    <row r="2728" spans="1:1" x14ac:dyDescent="0.25">
      <c r="A2728">
        <f t="shared" si="42"/>
        <v>2727</v>
      </c>
    </row>
    <row r="2729" spans="1:1" x14ac:dyDescent="0.25">
      <c r="A2729">
        <f t="shared" si="42"/>
        <v>2728</v>
      </c>
    </row>
    <row r="2730" spans="1:1" x14ac:dyDescent="0.25">
      <c r="A2730">
        <f t="shared" si="42"/>
        <v>2729</v>
      </c>
    </row>
    <row r="2731" spans="1:1" x14ac:dyDescent="0.25">
      <c r="A2731">
        <f t="shared" si="42"/>
        <v>2730</v>
      </c>
    </row>
    <row r="2732" spans="1:1" x14ac:dyDescent="0.25">
      <c r="A2732">
        <f t="shared" si="42"/>
        <v>2731</v>
      </c>
    </row>
    <row r="2733" spans="1:1" x14ac:dyDescent="0.25">
      <c r="A2733">
        <f t="shared" si="42"/>
        <v>2732</v>
      </c>
    </row>
    <row r="2734" spans="1:1" x14ac:dyDescent="0.25">
      <c r="A2734">
        <f t="shared" si="42"/>
        <v>2733</v>
      </c>
    </row>
    <row r="2735" spans="1:1" x14ac:dyDescent="0.25">
      <c r="A2735">
        <f t="shared" si="42"/>
        <v>2734</v>
      </c>
    </row>
    <row r="2736" spans="1:1" x14ac:dyDescent="0.25">
      <c r="A2736">
        <f t="shared" si="42"/>
        <v>2735</v>
      </c>
    </row>
    <row r="2737" spans="1:1" x14ac:dyDescent="0.25">
      <c r="A2737">
        <f t="shared" si="42"/>
        <v>2736</v>
      </c>
    </row>
    <row r="2738" spans="1:1" x14ac:dyDescent="0.25">
      <c r="A2738">
        <f t="shared" si="42"/>
        <v>2737</v>
      </c>
    </row>
    <row r="2739" spans="1:1" x14ac:dyDescent="0.25">
      <c r="A2739">
        <f t="shared" si="42"/>
        <v>2738</v>
      </c>
    </row>
    <row r="2740" spans="1:1" x14ac:dyDescent="0.25">
      <c r="A2740">
        <f t="shared" si="42"/>
        <v>2739</v>
      </c>
    </row>
    <row r="2741" spans="1:1" x14ac:dyDescent="0.25">
      <c r="A2741">
        <f t="shared" si="42"/>
        <v>2740</v>
      </c>
    </row>
    <row r="2742" spans="1:1" x14ac:dyDescent="0.25">
      <c r="A2742">
        <f t="shared" si="42"/>
        <v>2741</v>
      </c>
    </row>
    <row r="2743" spans="1:1" x14ac:dyDescent="0.25">
      <c r="A2743">
        <f t="shared" si="42"/>
        <v>2742</v>
      </c>
    </row>
    <row r="2744" spans="1:1" x14ac:dyDescent="0.25">
      <c r="A2744">
        <f t="shared" si="42"/>
        <v>2743</v>
      </c>
    </row>
    <row r="2745" spans="1:1" x14ac:dyDescent="0.25">
      <c r="A2745">
        <f t="shared" si="42"/>
        <v>2744</v>
      </c>
    </row>
    <row r="2746" spans="1:1" x14ac:dyDescent="0.25">
      <c r="A2746">
        <f t="shared" si="42"/>
        <v>2745</v>
      </c>
    </row>
    <row r="2747" spans="1:1" x14ac:dyDescent="0.25">
      <c r="A2747">
        <f t="shared" si="42"/>
        <v>2746</v>
      </c>
    </row>
    <row r="2748" spans="1:1" x14ac:dyDescent="0.25">
      <c r="A2748">
        <f t="shared" si="42"/>
        <v>2747</v>
      </c>
    </row>
    <row r="2749" spans="1:1" x14ac:dyDescent="0.25">
      <c r="A2749">
        <f t="shared" si="42"/>
        <v>2748</v>
      </c>
    </row>
    <row r="2750" spans="1:1" x14ac:dyDescent="0.25">
      <c r="A2750">
        <f t="shared" si="42"/>
        <v>2749</v>
      </c>
    </row>
    <row r="2751" spans="1:1" x14ac:dyDescent="0.25">
      <c r="A2751">
        <f t="shared" si="42"/>
        <v>2750</v>
      </c>
    </row>
    <row r="2752" spans="1:1" x14ac:dyDescent="0.25">
      <c r="A2752">
        <f t="shared" si="42"/>
        <v>2751</v>
      </c>
    </row>
    <row r="2753" spans="1:1" x14ac:dyDescent="0.25">
      <c r="A2753">
        <f t="shared" si="42"/>
        <v>2752</v>
      </c>
    </row>
    <row r="2754" spans="1:1" x14ac:dyDescent="0.25">
      <c r="A2754">
        <f t="shared" si="42"/>
        <v>2753</v>
      </c>
    </row>
    <row r="2755" spans="1:1" x14ac:dyDescent="0.25">
      <c r="A2755">
        <f t="shared" si="42"/>
        <v>2754</v>
      </c>
    </row>
    <row r="2756" spans="1:1" x14ac:dyDescent="0.25">
      <c r="A2756">
        <f t="shared" ref="A2756:A2819" si="43">A2755+1</f>
        <v>2755</v>
      </c>
    </row>
    <row r="2757" spans="1:1" x14ac:dyDescent="0.25">
      <c r="A2757">
        <f t="shared" si="43"/>
        <v>2756</v>
      </c>
    </row>
    <row r="2758" spans="1:1" x14ac:dyDescent="0.25">
      <c r="A2758">
        <f t="shared" si="43"/>
        <v>2757</v>
      </c>
    </row>
    <row r="2759" spans="1:1" x14ac:dyDescent="0.25">
      <c r="A2759">
        <f t="shared" si="43"/>
        <v>2758</v>
      </c>
    </row>
    <row r="2760" spans="1:1" x14ac:dyDescent="0.25">
      <c r="A2760">
        <f t="shared" si="43"/>
        <v>2759</v>
      </c>
    </row>
    <row r="2761" spans="1:1" x14ac:dyDescent="0.25">
      <c r="A2761">
        <f t="shared" si="43"/>
        <v>2760</v>
      </c>
    </row>
    <row r="2762" spans="1:1" x14ac:dyDescent="0.25">
      <c r="A2762">
        <f t="shared" si="43"/>
        <v>2761</v>
      </c>
    </row>
    <row r="2763" spans="1:1" x14ac:dyDescent="0.25">
      <c r="A2763">
        <f t="shared" si="43"/>
        <v>2762</v>
      </c>
    </row>
    <row r="2764" spans="1:1" x14ac:dyDescent="0.25">
      <c r="A2764">
        <f t="shared" si="43"/>
        <v>2763</v>
      </c>
    </row>
    <row r="2765" spans="1:1" x14ac:dyDescent="0.25">
      <c r="A2765">
        <f t="shared" si="43"/>
        <v>2764</v>
      </c>
    </row>
    <row r="2766" spans="1:1" x14ac:dyDescent="0.25">
      <c r="A2766">
        <f t="shared" si="43"/>
        <v>2765</v>
      </c>
    </row>
    <row r="2767" spans="1:1" x14ac:dyDescent="0.25">
      <c r="A2767">
        <f t="shared" si="43"/>
        <v>2766</v>
      </c>
    </row>
    <row r="2768" spans="1:1" x14ac:dyDescent="0.25">
      <c r="A2768">
        <f t="shared" si="43"/>
        <v>2767</v>
      </c>
    </row>
    <row r="2769" spans="1:1" x14ac:dyDescent="0.25">
      <c r="A2769">
        <f t="shared" si="43"/>
        <v>2768</v>
      </c>
    </row>
    <row r="2770" spans="1:1" x14ac:dyDescent="0.25">
      <c r="A2770">
        <f t="shared" si="43"/>
        <v>2769</v>
      </c>
    </row>
    <row r="2771" spans="1:1" x14ac:dyDescent="0.25">
      <c r="A2771">
        <f t="shared" si="43"/>
        <v>2770</v>
      </c>
    </row>
    <row r="2772" spans="1:1" x14ac:dyDescent="0.25">
      <c r="A2772">
        <f t="shared" si="43"/>
        <v>2771</v>
      </c>
    </row>
    <row r="2773" spans="1:1" x14ac:dyDescent="0.25">
      <c r="A2773">
        <f t="shared" si="43"/>
        <v>2772</v>
      </c>
    </row>
    <row r="2774" spans="1:1" x14ac:dyDescent="0.25">
      <c r="A2774">
        <f t="shared" si="43"/>
        <v>2773</v>
      </c>
    </row>
    <row r="2775" spans="1:1" x14ac:dyDescent="0.25">
      <c r="A2775">
        <f t="shared" si="43"/>
        <v>2774</v>
      </c>
    </row>
    <row r="2776" spans="1:1" x14ac:dyDescent="0.25">
      <c r="A2776">
        <f t="shared" si="43"/>
        <v>2775</v>
      </c>
    </row>
    <row r="2777" spans="1:1" x14ac:dyDescent="0.25">
      <c r="A2777">
        <f t="shared" si="43"/>
        <v>2776</v>
      </c>
    </row>
    <row r="2778" spans="1:1" x14ac:dyDescent="0.25">
      <c r="A2778">
        <f t="shared" si="43"/>
        <v>2777</v>
      </c>
    </row>
    <row r="2779" spans="1:1" x14ac:dyDescent="0.25">
      <c r="A2779">
        <f t="shared" si="43"/>
        <v>2778</v>
      </c>
    </row>
    <row r="2780" spans="1:1" x14ac:dyDescent="0.25">
      <c r="A2780">
        <f t="shared" si="43"/>
        <v>2779</v>
      </c>
    </row>
    <row r="2781" spans="1:1" x14ac:dyDescent="0.25">
      <c r="A2781">
        <f t="shared" si="43"/>
        <v>2780</v>
      </c>
    </row>
    <row r="2782" spans="1:1" x14ac:dyDescent="0.25">
      <c r="A2782">
        <f t="shared" si="43"/>
        <v>2781</v>
      </c>
    </row>
    <row r="2783" spans="1:1" x14ac:dyDescent="0.25">
      <c r="A2783">
        <f t="shared" si="43"/>
        <v>2782</v>
      </c>
    </row>
    <row r="2784" spans="1:1" x14ac:dyDescent="0.25">
      <c r="A2784">
        <f t="shared" si="43"/>
        <v>2783</v>
      </c>
    </row>
    <row r="2785" spans="1:1" x14ac:dyDescent="0.25">
      <c r="A2785">
        <f t="shared" si="43"/>
        <v>2784</v>
      </c>
    </row>
    <row r="2786" spans="1:1" x14ac:dyDescent="0.25">
      <c r="A2786">
        <f t="shared" si="43"/>
        <v>2785</v>
      </c>
    </row>
    <row r="2787" spans="1:1" x14ac:dyDescent="0.25">
      <c r="A2787">
        <f t="shared" si="43"/>
        <v>2786</v>
      </c>
    </row>
    <row r="2788" spans="1:1" x14ac:dyDescent="0.25">
      <c r="A2788">
        <f t="shared" si="43"/>
        <v>2787</v>
      </c>
    </row>
    <row r="2789" spans="1:1" x14ac:dyDescent="0.25">
      <c r="A2789">
        <f t="shared" si="43"/>
        <v>2788</v>
      </c>
    </row>
    <row r="2790" spans="1:1" x14ac:dyDescent="0.25">
      <c r="A2790">
        <f t="shared" si="43"/>
        <v>2789</v>
      </c>
    </row>
    <row r="2791" spans="1:1" x14ac:dyDescent="0.25">
      <c r="A2791">
        <f t="shared" si="43"/>
        <v>2790</v>
      </c>
    </row>
    <row r="2792" spans="1:1" x14ac:dyDescent="0.25">
      <c r="A2792">
        <f t="shared" si="43"/>
        <v>2791</v>
      </c>
    </row>
    <row r="2793" spans="1:1" x14ac:dyDescent="0.25">
      <c r="A2793">
        <f t="shared" si="43"/>
        <v>2792</v>
      </c>
    </row>
    <row r="2794" spans="1:1" x14ac:dyDescent="0.25">
      <c r="A2794">
        <f t="shared" si="43"/>
        <v>2793</v>
      </c>
    </row>
    <row r="2795" spans="1:1" x14ac:dyDescent="0.25">
      <c r="A2795">
        <f t="shared" si="43"/>
        <v>2794</v>
      </c>
    </row>
    <row r="2796" spans="1:1" x14ac:dyDescent="0.25">
      <c r="A2796">
        <f t="shared" si="43"/>
        <v>2795</v>
      </c>
    </row>
    <row r="2797" spans="1:1" x14ac:dyDescent="0.25">
      <c r="A2797">
        <f t="shared" si="43"/>
        <v>2796</v>
      </c>
    </row>
    <row r="2798" spans="1:1" x14ac:dyDescent="0.25">
      <c r="A2798">
        <f t="shared" si="43"/>
        <v>2797</v>
      </c>
    </row>
    <row r="2799" spans="1:1" x14ac:dyDescent="0.25">
      <c r="A2799">
        <f t="shared" si="43"/>
        <v>2798</v>
      </c>
    </row>
    <row r="2800" spans="1:1" x14ac:dyDescent="0.25">
      <c r="A2800">
        <f t="shared" si="43"/>
        <v>2799</v>
      </c>
    </row>
    <row r="2801" spans="1:1" x14ac:dyDescent="0.25">
      <c r="A2801">
        <f t="shared" si="43"/>
        <v>2800</v>
      </c>
    </row>
    <row r="2802" spans="1:1" x14ac:dyDescent="0.25">
      <c r="A2802">
        <f t="shared" si="43"/>
        <v>2801</v>
      </c>
    </row>
    <row r="2803" spans="1:1" x14ac:dyDescent="0.25">
      <c r="A2803">
        <f t="shared" si="43"/>
        <v>2802</v>
      </c>
    </row>
    <row r="2804" spans="1:1" x14ac:dyDescent="0.25">
      <c r="A2804">
        <f t="shared" si="43"/>
        <v>2803</v>
      </c>
    </row>
    <row r="2805" spans="1:1" x14ac:dyDescent="0.25">
      <c r="A2805">
        <f t="shared" si="43"/>
        <v>2804</v>
      </c>
    </row>
    <row r="2806" spans="1:1" x14ac:dyDescent="0.25">
      <c r="A2806">
        <f t="shared" si="43"/>
        <v>2805</v>
      </c>
    </row>
    <row r="2807" spans="1:1" x14ac:dyDescent="0.25">
      <c r="A2807">
        <f t="shared" si="43"/>
        <v>2806</v>
      </c>
    </row>
    <row r="2808" spans="1:1" x14ac:dyDescent="0.25">
      <c r="A2808">
        <f t="shared" si="43"/>
        <v>2807</v>
      </c>
    </row>
    <row r="2809" spans="1:1" x14ac:dyDescent="0.25">
      <c r="A2809">
        <f t="shared" si="43"/>
        <v>2808</v>
      </c>
    </row>
    <row r="2810" spans="1:1" x14ac:dyDescent="0.25">
      <c r="A2810">
        <f t="shared" si="43"/>
        <v>2809</v>
      </c>
    </row>
    <row r="2811" spans="1:1" x14ac:dyDescent="0.25">
      <c r="A2811">
        <f t="shared" si="43"/>
        <v>2810</v>
      </c>
    </row>
    <row r="2812" spans="1:1" x14ac:dyDescent="0.25">
      <c r="A2812">
        <f t="shared" si="43"/>
        <v>2811</v>
      </c>
    </row>
    <row r="2813" spans="1:1" x14ac:dyDescent="0.25">
      <c r="A2813">
        <f t="shared" si="43"/>
        <v>2812</v>
      </c>
    </row>
    <row r="2814" spans="1:1" x14ac:dyDescent="0.25">
      <c r="A2814">
        <f t="shared" si="43"/>
        <v>2813</v>
      </c>
    </row>
    <row r="2815" spans="1:1" x14ac:dyDescent="0.25">
      <c r="A2815">
        <f t="shared" si="43"/>
        <v>2814</v>
      </c>
    </row>
    <row r="2816" spans="1:1" x14ac:dyDescent="0.25">
      <c r="A2816">
        <f t="shared" si="43"/>
        <v>2815</v>
      </c>
    </row>
    <row r="2817" spans="1:1" x14ac:dyDescent="0.25">
      <c r="A2817">
        <f t="shared" si="43"/>
        <v>2816</v>
      </c>
    </row>
    <row r="2818" spans="1:1" x14ac:dyDescent="0.25">
      <c r="A2818">
        <f t="shared" si="43"/>
        <v>2817</v>
      </c>
    </row>
    <row r="2819" spans="1:1" x14ac:dyDescent="0.25">
      <c r="A2819">
        <f t="shared" si="43"/>
        <v>2818</v>
      </c>
    </row>
    <row r="2820" spans="1:1" x14ac:dyDescent="0.25">
      <c r="A2820">
        <f t="shared" ref="A2820:A2883" si="44">A2819+1</f>
        <v>2819</v>
      </c>
    </row>
    <row r="2821" spans="1:1" x14ac:dyDescent="0.25">
      <c r="A2821">
        <f t="shared" si="44"/>
        <v>2820</v>
      </c>
    </row>
    <row r="2822" spans="1:1" x14ac:dyDescent="0.25">
      <c r="A2822">
        <f t="shared" si="44"/>
        <v>2821</v>
      </c>
    </row>
    <row r="2823" spans="1:1" x14ac:dyDescent="0.25">
      <c r="A2823">
        <f t="shared" si="44"/>
        <v>2822</v>
      </c>
    </row>
    <row r="2824" spans="1:1" x14ac:dyDescent="0.25">
      <c r="A2824">
        <f t="shared" si="44"/>
        <v>2823</v>
      </c>
    </row>
    <row r="2825" spans="1:1" x14ac:dyDescent="0.25">
      <c r="A2825">
        <f t="shared" si="44"/>
        <v>2824</v>
      </c>
    </row>
    <row r="2826" spans="1:1" x14ac:dyDescent="0.25">
      <c r="A2826">
        <f t="shared" si="44"/>
        <v>2825</v>
      </c>
    </row>
    <row r="2827" spans="1:1" x14ac:dyDescent="0.25">
      <c r="A2827">
        <f t="shared" si="44"/>
        <v>2826</v>
      </c>
    </row>
    <row r="2828" spans="1:1" x14ac:dyDescent="0.25">
      <c r="A2828">
        <f t="shared" si="44"/>
        <v>2827</v>
      </c>
    </row>
    <row r="2829" spans="1:1" x14ac:dyDescent="0.25">
      <c r="A2829">
        <f t="shared" si="44"/>
        <v>2828</v>
      </c>
    </row>
    <row r="2830" spans="1:1" x14ac:dyDescent="0.25">
      <c r="A2830">
        <f t="shared" si="44"/>
        <v>2829</v>
      </c>
    </row>
    <row r="2831" spans="1:1" x14ac:dyDescent="0.25">
      <c r="A2831">
        <f t="shared" si="44"/>
        <v>2830</v>
      </c>
    </row>
    <row r="2832" spans="1:1" x14ac:dyDescent="0.25">
      <c r="A2832">
        <f t="shared" si="44"/>
        <v>2831</v>
      </c>
    </row>
    <row r="2833" spans="1:1" x14ac:dyDescent="0.25">
      <c r="A2833">
        <f t="shared" si="44"/>
        <v>2832</v>
      </c>
    </row>
    <row r="2834" spans="1:1" x14ac:dyDescent="0.25">
      <c r="A2834">
        <f t="shared" si="44"/>
        <v>2833</v>
      </c>
    </row>
    <row r="2835" spans="1:1" x14ac:dyDescent="0.25">
      <c r="A2835">
        <f t="shared" si="44"/>
        <v>2834</v>
      </c>
    </row>
    <row r="2836" spans="1:1" x14ac:dyDescent="0.25">
      <c r="A2836">
        <f t="shared" si="44"/>
        <v>2835</v>
      </c>
    </row>
    <row r="2837" spans="1:1" x14ac:dyDescent="0.25">
      <c r="A2837">
        <f t="shared" si="44"/>
        <v>2836</v>
      </c>
    </row>
    <row r="2838" spans="1:1" x14ac:dyDescent="0.25">
      <c r="A2838">
        <f t="shared" si="44"/>
        <v>2837</v>
      </c>
    </row>
    <row r="2839" spans="1:1" x14ac:dyDescent="0.25">
      <c r="A2839">
        <f t="shared" si="44"/>
        <v>2838</v>
      </c>
    </row>
    <row r="2840" spans="1:1" x14ac:dyDescent="0.25">
      <c r="A2840">
        <f t="shared" si="44"/>
        <v>2839</v>
      </c>
    </row>
    <row r="2841" spans="1:1" x14ac:dyDescent="0.25">
      <c r="A2841">
        <f t="shared" si="44"/>
        <v>2840</v>
      </c>
    </row>
    <row r="2842" spans="1:1" x14ac:dyDescent="0.25">
      <c r="A2842">
        <f t="shared" si="44"/>
        <v>2841</v>
      </c>
    </row>
    <row r="2843" spans="1:1" x14ac:dyDescent="0.25">
      <c r="A2843">
        <f t="shared" si="44"/>
        <v>2842</v>
      </c>
    </row>
    <row r="2844" spans="1:1" x14ac:dyDescent="0.25">
      <c r="A2844">
        <f t="shared" si="44"/>
        <v>2843</v>
      </c>
    </row>
    <row r="2845" spans="1:1" x14ac:dyDescent="0.25">
      <c r="A2845">
        <f t="shared" si="44"/>
        <v>2844</v>
      </c>
    </row>
    <row r="2846" spans="1:1" x14ac:dyDescent="0.25">
      <c r="A2846">
        <f t="shared" si="44"/>
        <v>2845</v>
      </c>
    </row>
    <row r="2847" spans="1:1" x14ac:dyDescent="0.25">
      <c r="A2847">
        <f t="shared" si="44"/>
        <v>2846</v>
      </c>
    </row>
    <row r="2848" spans="1:1" x14ac:dyDescent="0.25">
      <c r="A2848">
        <f t="shared" si="44"/>
        <v>2847</v>
      </c>
    </row>
    <row r="2849" spans="1:1" x14ac:dyDescent="0.25">
      <c r="A2849">
        <f t="shared" si="44"/>
        <v>2848</v>
      </c>
    </row>
    <row r="2850" spans="1:1" x14ac:dyDescent="0.25">
      <c r="A2850">
        <f t="shared" si="44"/>
        <v>2849</v>
      </c>
    </row>
    <row r="2851" spans="1:1" x14ac:dyDescent="0.25">
      <c r="A2851">
        <f t="shared" si="44"/>
        <v>2850</v>
      </c>
    </row>
    <row r="2852" spans="1:1" x14ac:dyDescent="0.25">
      <c r="A2852">
        <f t="shared" si="44"/>
        <v>2851</v>
      </c>
    </row>
    <row r="2853" spans="1:1" x14ac:dyDescent="0.25">
      <c r="A2853">
        <f t="shared" si="44"/>
        <v>2852</v>
      </c>
    </row>
    <row r="2854" spans="1:1" x14ac:dyDescent="0.25">
      <c r="A2854">
        <f t="shared" si="44"/>
        <v>2853</v>
      </c>
    </row>
    <row r="2855" spans="1:1" x14ac:dyDescent="0.25">
      <c r="A2855">
        <f t="shared" si="44"/>
        <v>2854</v>
      </c>
    </row>
    <row r="2856" spans="1:1" x14ac:dyDescent="0.25">
      <c r="A2856">
        <f t="shared" si="44"/>
        <v>2855</v>
      </c>
    </row>
    <row r="2857" spans="1:1" x14ac:dyDescent="0.25">
      <c r="A2857">
        <f t="shared" si="44"/>
        <v>2856</v>
      </c>
    </row>
    <row r="2858" spans="1:1" x14ac:dyDescent="0.25">
      <c r="A2858">
        <f t="shared" si="44"/>
        <v>2857</v>
      </c>
    </row>
    <row r="2859" spans="1:1" x14ac:dyDescent="0.25">
      <c r="A2859">
        <f t="shared" si="44"/>
        <v>2858</v>
      </c>
    </row>
    <row r="2860" spans="1:1" x14ac:dyDescent="0.25">
      <c r="A2860">
        <f t="shared" si="44"/>
        <v>2859</v>
      </c>
    </row>
    <row r="2861" spans="1:1" x14ac:dyDescent="0.25">
      <c r="A2861">
        <f t="shared" si="44"/>
        <v>2860</v>
      </c>
    </row>
    <row r="2862" spans="1:1" x14ac:dyDescent="0.25">
      <c r="A2862">
        <f t="shared" si="44"/>
        <v>2861</v>
      </c>
    </row>
    <row r="2863" spans="1:1" x14ac:dyDescent="0.25">
      <c r="A2863">
        <f t="shared" si="44"/>
        <v>2862</v>
      </c>
    </row>
    <row r="2864" spans="1:1" x14ac:dyDescent="0.25">
      <c r="A2864">
        <f t="shared" si="44"/>
        <v>2863</v>
      </c>
    </row>
    <row r="2865" spans="1:1" x14ac:dyDescent="0.25">
      <c r="A2865">
        <f t="shared" si="44"/>
        <v>2864</v>
      </c>
    </row>
    <row r="2866" spans="1:1" x14ac:dyDescent="0.25">
      <c r="A2866">
        <f t="shared" si="44"/>
        <v>2865</v>
      </c>
    </row>
    <row r="2867" spans="1:1" x14ac:dyDescent="0.25">
      <c r="A2867">
        <f t="shared" si="44"/>
        <v>2866</v>
      </c>
    </row>
    <row r="2868" spans="1:1" x14ac:dyDescent="0.25">
      <c r="A2868">
        <f t="shared" si="44"/>
        <v>2867</v>
      </c>
    </row>
    <row r="2869" spans="1:1" x14ac:dyDescent="0.25">
      <c r="A2869">
        <f t="shared" si="44"/>
        <v>2868</v>
      </c>
    </row>
    <row r="2870" spans="1:1" x14ac:dyDescent="0.25">
      <c r="A2870">
        <f t="shared" si="44"/>
        <v>2869</v>
      </c>
    </row>
    <row r="2871" spans="1:1" x14ac:dyDescent="0.25">
      <c r="A2871">
        <f t="shared" si="44"/>
        <v>2870</v>
      </c>
    </row>
    <row r="2872" spans="1:1" x14ac:dyDescent="0.25">
      <c r="A2872">
        <f t="shared" si="44"/>
        <v>2871</v>
      </c>
    </row>
    <row r="2873" spans="1:1" x14ac:dyDescent="0.25">
      <c r="A2873">
        <f t="shared" si="44"/>
        <v>2872</v>
      </c>
    </row>
    <row r="2874" spans="1:1" x14ac:dyDescent="0.25">
      <c r="A2874">
        <f t="shared" si="44"/>
        <v>2873</v>
      </c>
    </row>
    <row r="2875" spans="1:1" x14ac:dyDescent="0.25">
      <c r="A2875">
        <f t="shared" si="44"/>
        <v>2874</v>
      </c>
    </row>
    <row r="2876" spans="1:1" x14ac:dyDescent="0.25">
      <c r="A2876">
        <f t="shared" si="44"/>
        <v>2875</v>
      </c>
    </row>
    <row r="2877" spans="1:1" x14ac:dyDescent="0.25">
      <c r="A2877">
        <f t="shared" si="44"/>
        <v>2876</v>
      </c>
    </row>
    <row r="2878" spans="1:1" x14ac:dyDescent="0.25">
      <c r="A2878">
        <f t="shared" si="44"/>
        <v>2877</v>
      </c>
    </row>
    <row r="2879" spans="1:1" x14ac:dyDescent="0.25">
      <c r="A2879">
        <f t="shared" si="44"/>
        <v>2878</v>
      </c>
    </row>
    <row r="2880" spans="1:1" x14ac:dyDescent="0.25">
      <c r="A2880">
        <f t="shared" si="44"/>
        <v>2879</v>
      </c>
    </row>
    <row r="2881" spans="1:1" x14ac:dyDescent="0.25">
      <c r="A2881">
        <f t="shared" si="44"/>
        <v>2880</v>
      </c>
    </row>
    <row r="2882" spans="1:1" x14ac:dyDescent="0.25">
      <c r="A2882">
        <f t="shared" si="44"/>
        <v>2881</v>
      </c>
    </row>
    <row r="2883" spans="1:1" x14ac:dyDescent="0.25">
      <c r="A2883">
        <f t="shared" si="44"/>
        <v>2882</v>
      </c>
    </row>
    <row r="2884" spans="1:1" x14ac:dyDescent="0.25">
      <c r="A2884">
        <f t="shared" ref="A2884:A2947" si="45">A2883+1</f>
        <v>2883</v>
      </c>
    </row>
    <row r="2885" spans="1:1" x14ac:dyDescent="0.25">
      <c r="A2885">
        <f t="shared" si="45"/>
        <v>2884</v>
      </c>
    </row>
    <row r="2886" spans="1:1" x14ac:dyDescent="0.25">
      <c r="A2886">
        <f t="shared" si="45"/>
        <v>2885</v>
      </c>
    </row>
    <row r="2887" spans="1:1" x14ac:dyDescent="0.25">
      <c r="A2887">
        <f t="shared" si="45"/>
        <v>2886</v>
      </c>
    </row>
    <row r="2888" spans="1:1" x14ac:dyDescent="0.25">
      <c r="A2888">
        <f t="shared" si="45"/>
        <v>2887</v>
      </c>
    </row>
    <row r="2889" spans="1:1" x14ac:dyDescent="0.25">
      <c r="A2889">
        <f t="shared" si="45"/>
        <v>2888</v>
      </c>
    </row>
    <row r="2890" spans="1:1" x14ac:dyDescent="0.25">
      <c r="A2890">
        <f t="shared" si="45"/>
        <v>2889</v>
      </c>
    </row>
    <row r="2891" spans="1:1" x14ac:dyDescent="0.25">
      <c r="A2891">
        <f t="shared" si="45"/>
        <v>2890</v>
      </c>
    </row>
    <row r="2892" spans="1:1" x14ac:dyDescent="0.25">
      <c r="A2892">
        <f t="shared" si="45"/>
        <v>2891</v>
      </c>
    </row>
    <row r="2893" spans="1:1" x14ac:dyDescent="0.25">
      <c r="A2893">
        <f t="shared" si="45"/>
        <v>2892</v>
      </c>
    </row>
    <row r="2894" spans="1:1" x14ac:dyDescent="0.25">
      <c r="A2894">
        <f t="shared" si="45"/>
        <v>2893</v>
      </c>
    </row>
    <row r="2895" spans="1:1" x14ac:dyDescent="0.25">
      <c r="A2895">
        <f t="shared" si="45"/>
        <v>2894</v>
      </c>
    </row>
    <row r="2896" spans="1:1" x14ac:dyDescent="0.25">
      <c r="A2896">
        <f t="shared" si="45"/>
        <v>2895</v>
      </c>
    </row>
    <row r="2897" spans="1:1" x14ac:dyDescent="0.25">
      <c r="A2897">
        <f t="shared" si="45"/>
        <v>2896</v>
      </c>
    </row>
    <row r="2898" spans="1:1" x14ac:dyDescent="0.25">
      <c r="A2898">
        <f t="shared" si="45"/>
        <v>2897</v>
      </c>
    </row>
    <row r="2899" spans="1:1" x14ac:dyDescent="0.25">
      <c r="A2899">
        <f t="shared" si="45"/>
        <v>2898</v>
      </c>
    </row>
    <row r="2900" spans="1:1" x14ac:dyDescent="0.25">
      <c r="A2900">
        <f t="shared" si="45"/>
        <v>2899</v>
      </c>
    </row>
    <row r="2901" spans="1:1" x14ac:dyDescent="0.25">
      <c r="A2901">
        <f t="shared" si="45"/>
        <v>2900</v>
      </c>
    </row>
    <row r="2902" spans="1:1" x14ac:dyDescent="0.25">
      <c r="A2902">
        <f t="shared" si="45"/>
        <v>2901</v>
      </c>
    </row>
    <row r="2903" spans="1:1" x14ac:dyDescent="0.25">
      <c r="A2903">
        <f t="shared" si="45"/>
        <v>2902</v>
      </c>
    </row>
    <row r="2904" spans="1:1" x14ac:dyDescent="0.25">
      <c r="A2904">
        <f t="shared" si="45"/>
        <v>2903</v>
      </c>
    </row>
    <row r="2905" spans="1:1" x14ac:dyDescent="0.25">
      <c r="A2905">
        <f t="shared" si="45"/>
        <v>2904</v>
      </c>
    </row>
    <row r="2906" spans="1:1" x14ac:dyDescent="0.25">
      <c r="A2906">
        <f t="shared" si="45"/>
        <v>2905</v>
      </c>
    </row>
    <row r="2907" spans="1:1" x14ac:dyDescent="0.25">
      <c r="A2907">
        <f t="shared" si="45"/>
        <v>2906</v>
      </c>
    </row>
    <row r="2908" spans="1:1" x14ac:dyDescent="0.25">
      <c r="A2908">
        <f t="shared" si="45"/>
        <v>2907</v>
      </c>
    </row>
    <row r="2909" spans="1:1" x14ac:dyDescent="0.25">
      <c r="A2909">
        <f t="shared" si="45"/>
        <v>2908</v>
      </c>
    </row>
    <row r="2910" spans="1:1" x14ac:dyDescent="0.25">
      <c r="A2910">
        <f t="shared" si="45"/>
        <v>2909</v>
      </c>
    </row>
    <row r="2911" spans="1:1" x14ac:dyDescent="0.25">
      <c r="A2911">
        <f t="shared" si="45"/>
        <v>2910</v>
      </c>
    </row>
    <row r="2912" spans="1:1" x14ac:dyDescent="0.25">
      <c r="A2912">
        <f t="shared" si="45"/>
        <v>2911</v>
      </c>
    </row>
    <row r="2913" spans="1:1" x14ac:dyDescent="0.25">
      <c r="A2913">
        <f t="shared" si="45"/>
        <v>2912</v>
      </c>
    </row>
    <row r="2914" spans="1:1" x14ac:dyDescent="0.25">
      <c r="A2914">
        <f t="shared" si="45"/>
        <v>2913</v>
      </c>
    </row>
    <row r="2915" spans="1:1" x14ac:dyDescent="0.25">
      <c r="A2915">
        <f t="shared" si="45"/>
        <v>2914</v>
      </c>
    </row>
    <row r="2916" spans="1:1" x14ac:dyDescent="0.25">
      <c r="A2916">
        <f t="shared" si="45"/>
        <v>2915</v>
      </c>
    </row>
    <row r="2917" spans="1:1" x14ac:dyDescent="0.25">
      <c r="A2917">
        <f t="shared" si="45"/>
        <v>2916</v>
      </c>
    </row>
    <row r="2918" spans="1:1" x14ac:dyDescent="0.25">
      <c r="A2918">
        <f t="shared" si="45"/>
        <v>2917</v>
      </c>
    </row>
    <row r="2919" spans="1:1" x14ac:dyDescent="0.25">
      <c r="A2919">
        <f t="shared" si="45"/>
        <v>2918</v>
      </c>
    </row>
    <row r="2920" spans="1:1" x14ac:dyDescent="0.25">
      <c r="A2920">
        <f t="shared" si="45"/>
        <v>2919</v>
      </c>
    </row>
    <row r="2921" spans="1:1" x14ac:dyDescent="0.25">
      <c r="A2921">
        <f t="shared" si="45"/>
        <v>2920</v>
      </c>
    </row>
    <row r="2922" spans="1:1" x14ac:dyDescent="0.25">
      <c r="A2922">
        <f t="shared" si="45"/>
        <v>2921</v>
      </c>
    </row>
    <row r="2923" spans="1:1" x14ac:dyDescent="0.25">
      <c r="A2923">
        <f t="shared" si="45"/>
        <v>2922</v>
      </c>
    </row>
    <row r="2924" spans="1:1" x14ac:dyDescent="0.25">
      <c r="A2924">
        <f t="shared" si="45"/>
        <v>2923</v>
      </c>
    </row>
    <row r="2925" spans="1:1" x14ac:dyDescent="0.25">
      <c r="A2925">
        <f t="shared" si="45"/>
        <v>2924</v>
      </c>
    </row>
    <row r="2926" spans="1:1" x14ac:dyDescent="0.25">
      <c r="A2926">
        <f t="shared" si="45"/>
        <v>2925</v>
      </c>
    </row>
    <row r="2927" spans="1:1" x14ac:dyDescent="0.25">
      <c r="A2927">
        <f t="shared" si="45"/>
        <v>2926</v>
      </c>
    </row>
    <row r="2928" spans="1:1" x14ac:dyDescent="0.25">
      <c r="A2928">
        <f t="shared" si="45"/>
        <v>2927</v>
      </c>
    </row>
    <row r="2929" spans="1:1" x14ac:dyDescent="0.25">
      <c r="A2929">
        <f t="shared" si="45"/>
        <v>2928</v>
      </c>
    </row>
    <row r="2930" spans="1:1" x14ac:dyDescent="0.25">
      <c r="A2930">
        <f t="shared" si="45"/>
        <v>2929</v>
      </c>
    </row>
    <row r="2931" spans="1:1" x14ac:dyDescent="0.25">
      <c r="A2931">
        <f t="shared" si="45"/>
        <v>2930</v>
      </c>
    </row>
    <row r="2932" spans="1:1" x14ac:dyDescent="0.25">
      <c r="A2932">
        <f t="shared" si="45"/>
        <v>2931</v>
      </c>
    </row>
    <row r="2933" spans="1:1" x14ac:dyDescent="0.25">
      <c r="A2933">
        <f t="shared" si="45"/>
        <v>2932</v>
      </c>
    </row>
    <row r="2934" spans="1:1" x14ac:dyDescent="0.25">
      <c r="A2934">
        <f t="shared" si="45"/>
        <v>2933</v>
      </c>
    </row>
    <row r="2935" spans="1:1" x14ac:dyDescent="0.25">
      <c r="A2935">
        <f t="shared" si="45"/>
        <v>2934</v>
      </c>
    </row>
    <row r="2936" spans="1:1" x14ac:dyDescent="0.25">
      <c r="A2936">
        <f t="shared" si="45"/>
        <v>2935</v>
      </c>
    </row>
    <row r="2937" spans="1:1" x14ac:dyDescent="0.25">
      <c r="A2937">
        <f t="shared" si="45"/>
        <v>2936</v>
      </c>
    </row>
    <row r="2938" spans="1:1" x14ac:dyDescent="0.25">
      <c r="A2938">
        <f t="shared" si="45"/>
        <v>2937</v>
      </c>
    </row>
    <row r="2939" spans="1:1" x14ac:dyDescent="0.25">
      <c r="A2939">
        <f t="shared" si="45"/>
        <v>2938</v>
      </c>
    </row>
    <row r="2940" spans="1:1" x14ac:dyDescent="0.25">
      <c r="A2940">
        <f t="shared" si="45"/>
        <v>2939</v>
      </c>
    </row>
    <row r="2941" spans="1:1" x14ac:dyDescent="0.25">
      <c r="A2941">
        <f t="shared" si="45"/>
        <v>2940</v>
      </c>
    </row>
    <row r="2942" spans="1:1" x14ac:dyDescent="0.25">
      <c r="A2942">
        <f t="shared" si="45"/>
        <v>2941</v>
      </c>
    </row>
    <row r="2943" spans="1:1" x14ac:dyDescent="0.25">
      <c r="A2943">
        <f t="shared" si="45"/>
        <v>2942</v>
      </c>
    </row>
    <row r="2944" spans="1:1" x14ac:dyDescent="0.25">
      <c r="A2944">
        <f t="shared" si="45"/>
        <v>2943</v>
      </c>
    </row>
    <row r="2945" spans="1:1" x14ac:dyDescent="0.25">
      <c r="A2945">
        <f t="shared" si="45"/>
        <v>2944</v>
      </c>
    </row>
    <row r="2946" spans="1:1" x14ac:dyDescent="0.25">
      <c r="A2946">
        <f t="shared" si="45"/>
        <v>2945</v>
      </c>
    </row>
    <row r="2947" spans="1:1" x14ac:dyDescent="0.25">
      <c r="A2947">
        <f t="shared" si="45"/>
        <v>2946</v>
      </c>
    </row>
    <row r="2948" spans="1:1" x14ac:dyDescent="0.25">
      <c r="A2948">
        <f t="shared" ref="A2948:A3011" si="46">A2947+1</f>
        <v>2947</v>
      </c>
    </row>
    <row r="2949" spans="1:1" x14ac:dyDescent="0.25">
      <c r="A2949">
        <f t="shared" si="46"/>
        <v>2948</v>
      </c>
    </row>
    <row r="2950" spans="1:1" x14ac:dyDescent="0.25">
      <c r="A2950">
        <f t="shared" si="46"/>
        <v>2949</v>
      </c>
    </row>
    <row r="2951" spans="1:1" x14ac:dyDescent="0.25">
      <c r="A2951">
        <f t="shared" si="46"/>
        <v>2950</v>
      </c>
    </row>
    <row r="2952" spans="1:1" x14ac:dyDescent="0.25">
      <c r="A2952">
        <f t="shared" si="46"/>
        <v>2951</v>
      </c>
    </row>
    <row r="2953" spans="1:1" x14ac:dyDescent="0.25">
      <c r="A2953">
        <f t="shared" si="46"/>
        <v>2952</v>
      </c>
    </row>
    <row r="2954" spans="1:1" x14ac:dyDescent="0.25">
      <c r="A2954">
        <f t="shared" si="46"/>
        <v>2953</v>
      </c>
    </row>
    <row r="2955" spans="1:1" x14ac:dyDescent="0.25">
      <c r="A2955">
        <f t="shared" si="46"/>
        <v>2954</v>
      </c>
    </row>
    <row r="2956" spans="1:1" x14ac:dyDescent="0.25">
      <c r="A2956">
        <f t="shared" si="46"/>
        <v>2955</v>
      </c>
    </row>
    <row r="2957" spans="1:1" x14ac:dyDescent="0.25">
      <c r="A2957">
        <f t="shared" si="46"/>
        <v>2956</v>
      </c>
    </row>
    <row r="2958" spans="1:1" x14ac:dyDescent="0.25">
      <c r="A2958">
        <f t="shared" si="46"/>
        <v>2957</v>
      </c>
    </row>
    <row r="2959" spans="1:1" x14ac:dyDescent="0.25">
      <c r="A2959">
        <f t="shared" si="46"/>
        <v>2958</v>
      </c>
    </row>
    <row r="2960" spans="1:1" x14ac:dyDescent="0.25">
      <c r="A2960">
        <f t="shared" si="46"/>
        <v>2959</v>
      </c>
    </row>
    <row r="2961" spans="1:1" x14ac:dyDescent="0.25">
      <c r="A2961">
        <f t="shared" si="46"/>
        <v>2960</v>
      </c>
    </row>
    <row r="2962" spans="1:1" x14ac:dyDescent="0.25">
      <c r="A2962">
        <f t="shared" si="46"/>
        <v>2961</v>
      </c>
    </row>
    <row r="2963" spans="1:1" x14ac:dyDescent="0.25">
      <c r="A2963">
        <f t="shared" si="46"/>
        <v>2962</v>
      </c>
    </row>
    <row r="2964" spans="1:1" x14ac:dyDescent="0.25">
      <c r="A2964">
        <f t="shared" si="46"/>
        <v>2963</v>
      </c>
    </row>
    <row r="2965" spans="1:1" x14ac:dyDescent="0.25">
      <c r="A2965">
        <f t="shared" si="46"/>
        <v>2964</v>
      </c>
    </row>
    <row r="2966" spans="1:1" x14ac:dyDescent="0.25">
      <c r="A2966">
        <f t="shared" si="46"/>
        <v>2965</v>
      </c>
    </row>
    <row r="2967" spans="1:1" x14ac:dyDescent="0.25">
      <c r="A2967">
        <f t="shared" si="46"/>
        <v>2966</v>
      </c>
    </row>
    <row r="2968" spans="1:1" x14ac:dyDescent="0.25">
      <c r="A2968">
        <f t="shared" si="46"/>
        <v>2967</v>
      </c>
    </row>
    <row r="2969" spans="1:1" x14ac:dyDescent="0.25">
      <c r="A2969">
        <f t="shared" si="46"/>
        <v>2968</v>
      </c>
    </row>
    <row r="2970" spans="1:1" x14ac:dyDescent="0.25">
      <c r="A2970">
        <f t="shared" si="46"/>
        <v>2969</v>
      </c>
    </row>
    <row r="2971" spans="1:1" x14ac:dyDescent="0.25">
      <c r="A2971">
        <f t="shared" si="46"/>
        <v>2970</v>
      </c>
    </row>
    <row r="2972" spans="1:1" x14ac:dyDescent="0.25">
      <c r="A2972">
        <f t="shared" si="46"/>
        <v>2971</v>
      </c>
    </row>
    <row r="2973" spans="1:1" x14ac:dyDescent="0.25">
      <c r="A2973">
        <f t="shared" si="46"/>
        <v>2972</v>
      </c>
    </row>
    <row r="2974" spans="1:1" x14ac:dyDescent="0.25">
      <c r="A2974">
        <f t="shared" si="46"/>
        <v>2973</v>
      </c>
    </row>
    <row r="2975" spans="1:1" x14ac:dyDescent="0.25">
      <c r="A2975">
        <f t="shared" si="46"/>
        <v>2974</v>
      </c>
    </row>
    <row r="2976" spans="1:1" x14ac:dyDescent="0.25">
      <c r="A2976">
        <f t="shared" si="46"/>
        <v>2975</v>
      </c>
    </row>
    <row r="2977" spans="1:1" x14ac:dyDescent="0.25">
      <c r="A2977">
        <f t="shared" si="46"/>
        <v>2976</v>
      </c>
    </row>
    <row r="2978" spans="1:1" x14ac:dyDescent="0.25">
      <c r="A2978">
        <f t="shared" si="46"/>
        <v>2977</v>
      </c>
    </row>
    <row r="2979" spans="1:1" x14ac:dyDescent="0.25">
      <c r="A2979">
        <f t="shared" si="46"/>
        <v>2978</v>
      </c>
    </row>
    <row r="2980" spans="1:1" x14ac:dyDescent="0.25">
      <c r="A2980">
        <f t="shared" si="46"/>
        <v>2979</v>
      </c>
    </row>
    <row r="2981" spans="1:1" x14ac:dyDescent="0.25">
      <c r="A2981">
        <f t="shared" si="46"/>
        <v>2980</v>
      </c>
    </row>
    <row r="2982" spans="1:1" x14ac:dyDescent="0.25">
      <c r="A2982">
        <f t="shared" si="46"/>
        <v>2981</v>
      </c>
    </row>
    <row r="2983" spans="1:1" x14ac:dyDescent="0.25">
      <c r="A2983">
        <f t="shared" si="46"/>
        <v>2982</v>
      </c>
    </row>
    <row r="2984" spans="1:1" x14ac:dyDescent="0.25">
      <c r="A2984">
        <f t="shared" si="46"/>
        <v>2983</v>
      </c>
    </row>
    <row r="2985" spans="1:1" x14ac:dyDescent="0.25">
      <c r="A2985">
        <f t="shared" si="46"/>
        <v>2984</v>
      </c>
    </row>
    <row r="2986" spans="1:1" x14ac:dyDescent="0.25">
      <c r="A2986">
        <f t="shared" si="46"/>
        <v>2985</v>
      </c>
    </row>
    <row r="2987" spans="1:1" x14ac:dyDescent="0.25">
      <c r="A2987">
        <f t="shared" si="46"/>
        <v>2986</v>
      </c>
    </row>
    <row r="2988" spans="1:1" x14ac:dyDescent="0.25">
      <c r="A2988">
        <f t="shared" si="46"/>
        <v>2987</v>
      </c>
    </row>
    <row r="2989" spans="1:1" x14ac:dyDescent="0.25">
      <c r="A2989">
        <f t="shared" si="46"/>
        <v>2988</v>
      </c>
    </row>
    <row r="2990" spans="1:1" x14ac:dyDescent="0.25">
      <c r="A2990">
        <f t="shared" si="46"/>
        <v>2989</v>
      </c>
    </row>
    <row r="2991" spans="1:1" x14ac:dyDescent="0.25">
      <c r="A2991">
        <f t="shared" si="46"/>
        <v>2990</v>
      </c>
    </row>
    <row r="2992" spans="1:1" x14ac:dyDescent="0.25">
      <c r="A2992">
        <f t="shared" si="46"/>
        <v>2991</v>
      </c>
    </row>
    <row r="2993" spans="1:1" x14ac:dyDescent="0.25">
      <c r="A2993">
        <f t="shared" si="46"/>
        <v>2992</v>
      </c>
    </row>
    <row r="2994" spans="1:1" x14ac:dyDescent="0.25">
      <c r="A2994">
        <f t="shared" si="46"/>
        <v>2993</v>
      </c>
    </row>
    <row r="2995" spans="1:1" x14ac:dyDescent="0.25">
      <c r="A2995">
        <f t="shared" si="46"/>
        <v>2994</v>
      </c>
    </row>
    <row r="2996" spans="1:1" x14ac:dyDescent="0.25">
      <c r="A2996">
        <f t="shared" si="46"/>
        <v>2995</v>
      </c>
    </row>
    <row r="2997" spans="1:1" x14ac:dyDescent="0.25">
      <c r="A2997">
        <f t="shared" si="46"/>
        <v>2996</v>
      </c>
    </row>
    <row r="2998" spans="1:1" x14ac:dyDescent="0.25">
      <c r="A2998">
        <f t="shared" si="46"/>
        <v>2997</v>
      </c>
    </row>
    <row r="2999" spans="1:1" x14ac:dyDescent="0.25">
      <c r="A2999">
        <f t="shared" si="46"/>
        <v>2998</v>
      </c>
    </row>
    <row r="3000" spans="1:1" x14ac:dyDescent="0.25">
      <c r="A3000">
        <f t="shared" si="46"/>
        <v>2999</v>
      </c>
    </row>
    <row r="3001" spans="1:1" x14ac:dyDescent="0.25">
      <c r="A3001">
        <f t="shared" si="46"/>
        <v>3000</v>
      </c>
    </row>
    <row r="3002" spans="1:1" x14ac:dyDescent="0.25">
      <c r="A3002">
        <f t="shared" si="46"/>
        <v>3001</v>
      </c>
    </row>
    <row r="3003" spans="1:1" x14ac:dyDescent="0.25">
      <c r="A3003">
        <f t="shared" si="46"/>
        <v>3002</v>
      </c>
    </row>
    <row r="3004" spans="1:1" x14ac:dyDescent="0.25">
      <c r="A3004">
        <f t="shared" si="46"/>
        <v>3003</v>
      </c>
    </row>
    <row r="3005" spans="1:1" x14ac:dyDescent="0.25">
      <c r="A3005">
        <f t="shared" si="46"/>
        <v>3004</v>
      </c>
    </row>
    <row r="3006" spans="1:1" x14ac:dyDescent="0.25">
      <c r="A3006">
        <f t="shared" si="46"/>
        <v>3005</v>
      </c>
    </row>
    <row r="3007" spans="1:1" x14ac:dyDescent="0.25">
      <c r="A3007">
        <f t="shared" si="46"/>
        <v>3006</v>
      </c>
    </row>
    <row r="3008" spans="1:1" x14ac:dyDescent="0.25">
      <c r="A3008">
        <f t="shared" si="46"/>
        <v>3007</v>
      </c>
    </row>
    <row r="3009" spans="1:1" x14ac:dyDescent="0.25">
      <c r="A3009">
        <f t="shared" si="46"/>
        <v>3008</v>
      </c>
    </row>
    <row r="3010" spans="1:1" x14ac:dyDescent="0.25">
      <c r="A3010">
        <f t="shared" si="46"/>
        <v>3009</v>
      </c>
    </row>
    <row r="3011" spans="1:1" x14ac:dyDescent="0.25">
      <c r="A3011">
        <f t="shared" si="46"/>
        <v>3010</v>
      </c>
    </row>
    <row r="3012" spans="1:1" x14ac:dyDescent="0.25">
      <c r="A3012">
        <f t="shared" ref="A3012:A3075" si="47">A3011+1</f>
        <v>3011</v>
      </c>
    </row>
    <row r="3013" spans="1:1" x14ac:dyDescent="0.25">
      <c r="A3013">
        <f t="shared" si="47"/>
        <v>3012</v>
      </c>
    </row>
    <row r="3014" spans="1:1" x14ac:dyDescent="0.25">
      <c r="A3014">
        <f t="shared" si="47"/>
        <v>3013</v>
      </c>
    </row>
    <row r="3015" spans="1:1" x14ac:dyDescent="0.25">
      <c r="A3015">
        <f t="shared" si="47"/>
        <v>3014</v>
      </c>
    </row>
    <row r="3016" spans="1:1" x14ac:dyDescent="0.25">
      <c r="A3016">
        <f t="shared" si="47"/>
        <v>3015</v>
      </c>
    </row>
    <row r="3017" spans="1:1" x14ac:dyDescent="0.25">
      <c r="A3017">
        <f t="shared" si="47"/>
        <v>3016</v>
      </c>
    </row>
    <row r="3018" spans="1:1" x14ac:dyDescent="0.25">
      <c r="A3018">
        <f t="shared" si="47"/>
        <v>3017</v>
      </c>
    </row>
    <row r="3019" spans="1:1" x14ac:dyDescent="0.25">
      <c r="A3019">
        <f t="shared" si="47"/>
        <v>3018</v>
      </c>
    </row>
    <row r="3020" spans="1:1" x14ac:dyDescent="0.25">
      <c r="A3020">
        <f t="shared" si="47"/>
        <v>3019</v>
      </c>
    </row>
    <row r="3021" spans="1:1" x14ac:dyDescent="0.25">
      <c r="A3021">
        <f t="shared" si="47"/>
        <v>3020</v>
      </c>
    </row>
    <row r="3022" spans="1:1" x14ac:dyDescent="0.25">
      <c r="A3022">
        <f t="shared" si="47"/>
        <v>3021</v>
      </c>
    </row>
    <row r="3023" spans="1:1" x14ac:dyDescent="0.25">
      <c r="A3023">
        <f t="shared" si="47"/>
        <v>3022</v>
      </c>
    </row>
    <row r="3024" spans="1:1" x14ac:dyDescent="0.25">
      <c r="A3024">
        <f t="shared" si="47"/>
        <v>3023</v>
      </c>
    </row>
    <row r="3025" spans="1:1" x14ac:dyDescent="0.25">
      <c r="A3025">
        <f t="shared" si="47"/>
        <v>3024</v>
      </c>
    </row>
    <row r="3026" spans="1:1" x14ac:dyDescent="0.25">
      <c r="A3026">
        <f t="shared" si="47"/>
        <v>3025</v>
      </c>
    </row>
    <row r="3027" spans="1:1" x14ac:dyDescent="0.25">
      <c r="A3027">
        <f t="shared" si="47"/>
        <v>3026</v>
      </c>
    </row>
    <row r="3028" spans="1:1" x14ac:dyDescent="0.25">
      <c r="A3028">
        <f t="shared" si="47"/>
        <v>3027</v>
      </c>
    </row>
    <row r="3029" spans="1:1" x14ac:dyDescent="0.25">
      <c r="A3029">
        <f t="shared" si="47"/>
        <v>3028</v>
      </c>
    </row>
    <row r="3030" spans="1:1" x14ac:dyDescent="0.25">
      <c r="A3030">
        <f t="shared" si="47"/>
        <v>3029</v>
      </c>
    </row>
    <row r="3031" spans="1:1" x14ac:dyDescent="0.25">
      <c r="A3031">
        <f t="shared" si="47"/>
        <v>3030</v>
      </c>
    </row>
    <row r="3032" spans="1:1" x14ac:dyDescent="0.25">
      <c r="A3032">
        <f t="shared" si="47"/>
        <v>3031</v>
      </c>
    </row>
    <row r="3033" spans="1:1" x14ac:dyDescent="0.25">
      <c r="A3033">
        <f t="shared" si="47"/>
        <v>3032</v>
      </c>
    </row>
    <row r="3034" spans="1:1" x14ac:dyDescent="0.25">
      <c r="A3034">
        <f t="shared" si="47"/>
        <v>3033</v>
      </c>
    </row>
    <row r="3035" spans="1:1" x14ac:dyDescent="0.25">
      <c r="A3035">
        <f t="shared" si="47"/>
        <v>3034</v>
      </c>
    </row>
    <row r="3036" spans="1:1" x14ac:dyDescent="0.25">
      <c r="A3036">
        <f t="shared" si="47"/>
        <v>3035</v>
      </c>
    </row>
    <row r="3037" spans="1:1" x14ac:dyDescent="0.25">
      <c r="A3037">
        <f t="shared" si="47"/>
        <v>3036</v>
      </c>
    </row>
    <row r="3038" spans="1:1" x14ac:dyDescent="0.25">
      <c r="A3038">
        <f t="shared" si="47"/>
        <v>3037</v>
      </c>
    </row>
    <row r="3039" spans="1:1" x14ac:dyDescent="0.25">
      <c r="A3039">
        <f t="shared" si="47"/>
        <v>3038</v>
      </c>
    </row>
    <row r="3040" spans="1:1" x14ac:dyDescent="0.25">
      <c r="A3040">
        <f t="shared" si="47"/>
        <v>3039</v>
      </c>
    </row>
    <row r="3041" spans="1:1" x14ac:dyDescent="0.25">
      <c r="A3041">
        <f t="shared" si="47"/>
        <v>3040</v>
      </c>
    </row>
    <row r="3042" spans="1:1" x14ac:dyDescent="0.25">
      <c r="A3042">
        <f t="shared" si="47"/>
        <v>3041</v>
      </c>
    </row>
    <row r="3043" spans="1:1" x14ac:dyDescent="0.25">
      <c r="A3043">
        <f t="shared" si="47"/>
        <v>3042</v>
      </c>
    </row>
    <row r="3044" spans="1:1" x14ac:dyDescent="0.25">
      <c r="A3044">
        <f t="shared" si="47"/>
        <v>3043</v>
      </c>
    </row>
    <row r="3045" spans="1:1" x14ac:dyDescent="0.25">
      <c r="A3045">
        <f t="shared" si="47"/>
        <v>3044</v>
      </c>
    </row>
    <row r="3046" spans="1:1" x14ac:dyDescent="0.25">
      <c r="A3046">
        <f t="shared" si="47"/>
        <v>3045</v>
      </c>
    </row>
    <row r="3047" spans="1:1" x14ac:dyDescent="0.25">
      <c r="A3047">
        <f t="shared" si="47"/>
        <v>3046</v>
      </c>
    </row>
    <row r="3048" spans="1:1" x14ac:dyDescent="0.25">
      <c r="A3048">
        <f t="shared" si="47"/>
        <v>3047</v>
      </c>
    </row>
    <row r="3049" spans="1:1" x14ac:dyDescent="0.25">
      <c r="A3049">
        <f t="shared" si="47"/>
        <v>3048</v>
      </c>
    </row>
    <row r="3050" spans="1:1" x14ac:dyDescent="0.25">
      <c r="A3050">
        <f t="shared" si="47"/>
        <v>3049</v>
      </c>
    </row>
    <row r="3051" spans="1:1" x14ac:dyDescent="0.25">
      <c r="A3051">
        <f t="shared" si="47"/>
        <v>3050</v>
      </c>
    </row>
    <row r="3052" spans="1:1" x14ac:dyDescent="0.25">
      <c r="A3052">
        <f t="shared" si="47"/>
        <v>3051</v>
      </c>
    </row>
    <row r="3053" spans="1:1" x14ac:dyDescent="0.25">
      <c r="A3053">
        <f t="shared" si="47"/>
        <v>3052</v>
      </c>
    </row>
    <row r="3054" spans="1:1" x14ac:dyDescent="0.25">
      <c r="A3054">
        <f t="shared" si="47"/>
        <v>3053</v>
      </c>
    </row>
    <row r="3055" spans="1:1" x14ac:dyDescent="0.25">
      <c r="A3055">
        <f t="shared" si="47"/>
        <v>3054</v>
      </c>
    </row>
    <row r="3056" spans="1:1" x14ac:dyDescent="0.25">
      <c r="A3056">
        <f t="shared" si="47"/>
        <v>3055</v>
      </c>
    </row>
    <row r="3057" spans="1:1" x14ac:dyDescent="0.25">
      <c r="A3057">
        <f t="shared" si="47"/>
        <v>3056</v>
      </c>
    </row>
    <row r="3058" spans="1:1" x14ac:dyDescent="0.25">
      <c r="A3058">
        <f t="shared" si="47"/>
        <v>3057</v>
      </c>
    </row>
    <row r="3059" spans="1:1" x14ac:dyDescent="0.25">
      <c r="A3059">
        <f t="shared" si="47"/>
        <v>3058</v>
      </c>
    </row>
    <row r="3060" spans="1:1" x14ac:dyDescent="0.25">
      <c r="A3060">
        <f t="shared" si="47"/>
        <v>3059</v>
      </c>
    </row>
    <row r="3061" spans="1:1" x14ac:dyDescent="0.25">
      <c r="A3061">
        <f t="shared" si="47"/>
        <v>3060</v>
      </c>
    </row>
    <row r="3062" spans="1:1" x14ac:dyDescent="0.25">
      <c r="A3062">
        <f t="shared" si="47"/>
        <v>3061</v>
      </c>
    </row>
    <row r="3063" spans="1:1" x14ac:dyDescent="0.25">
      <c r="A3063">
        <f t="shared" si="47"/>
        <v>3062</v>
      </c>
    </row>
    <row r="3064" spans="1:1" x14ac:dyDescent="0.25">
      <c r="A3064">
        <f t="shared" si="47"/>
        <v>3063</v>
      </c>
    </row>
    <row r="3065" spans="1:1" x14ac:dyDescent="0.25">
      <c r="A3065">
        <f t="shared" si="47"/>
        <v>3064</v>
      </c>
    </row>
    <row r="3066" spans="1:1" x14ac:dyDescent="0.25">
      <c r="A3066">
        <f t="shared" si="47"/>
        <v>3065</v>
      </c>
    </row>
    <row r="3067" spans="1:1" x14ac:dyDescent="0.25">
      <c r="A3067">
        <f t="shared" si="47"/>
        <v>3066</v>
      </c>
    </row>
    <row r="3068" spans="1:1" x14ac:dyDescent="0.25">
      <c r="A3068">
        <f t="shared" si="47"/>
        <v>3067</v>
      </c>
    </row>
    <row r="3069" spans="1:1" x14ac:dyDescent="0.25">
      <c r="A3069">
        <f t="shared" si="47"/>
        <v>3068</v>
      </c>
    </row>
    <row r="3070" spans="1:1" x14ac:dyDescent="0.25">
      <c r="A3070">
        <f t="shared" si="47"/>
        <v>3069</v>
      </c>
    </row>
    <row r="3071" spans="1:1" x14ac:dyDescent="0.25">
      <c r="A3071">
        <f t="shared" si="47"/>
        <v>3070</v>
      </c>
    </row>
    <row r="3072" spans="1:1" x14ac:dyDescent="0.25">
      <c r="A3072">
        <f t="shared" si="47"/>
        <v>3071</v>
      </c>
    </row>
    <row r="3073" spans="1:1" x14ac:dyDescent="0.25">
      <c r="A3073">
        <f t="shared" si="47"/>
        <v>3072</v>
      </c>
    </row>
    <row r="3074" spans="1:1" x14ac:dyDescent="0.25">
      <c r="A3074">
        <f t="shared" si="47"/>
        <v>3073</v>
      </c>
    </row>
    <row r="3075" spans="1:1" x14ac:dyDescent="0.25">
      <c r="A3075">
        <f t="shared" si="47"/>
        <v>3074</v>
      </c>
    </row>
    <row r="3076" spans="1:1" x14ac:dyDescent="0.25">
      <c r="A3076">
        <f t="shared" ref="A3076:A3139" si="48">A3075+1</f>
        <v>3075</v>
      </c>
    </row>
    <row r="3077" spans="1:1" x14ac:dyDescent="0.25">
      <c r="A3077">
        <f t="shared" si="48"/>
        <v>3076</v>
      </c>
    </row>
    <row r="3078" spans="1:1" x14ac:dyDescent="0.25">
      <c r="A3078">
        <f t="shared" si="48"/>
        <v>3077</v>
      </c>
    </row>
    <row r="3079" spans="1:1" x14ac:dyDescent="0.25">
      <c r="A3079">
        <f t="shared" si="48"/>
        <v>3078</v>
      </c>
    </row>
    <row r="3080" spans="1:1" x14ac:dyDescent="0.25">
      <c r="A3080">
        <f t="shared" si="48"/>
        <v>3079</v>
      </c>
    </row>
    <row r="3081" spans="1:1" x14ac:dyDescent="0.25">
      <c r="A3081">
        <f t="shared" si="48"/>
        <v>3080</v>
      </c>
    </row>
    <row r="3082" spans="1:1" x14ac:dyDescent="0.25">
      <c r="A3082">
        <f t="shared" si="48"/>
        <v>3081</v>
      </c>
    </row>
    <row r="3083" spans="1:1" x14ac:dyDescent="0.25">
      <c r="A3083">
        <f t="shared" si="48"/>
        <v>3082</v>
      </c>
    </row>
    <row r="3084" spans="1:1" x14ac:dyDescent="0.25">
      <c r="A3084">
        <f t="shared" si="48"/>
        <v>3083</v>
      </c>
    </row>
    <row r="3085" spans="1:1" x14ac:dyDescent="0.25">
      <c r="A3085">
        <f t="shared" si="48"/>
        <v>3084</v>
      </c>
    </row>
    <row r="3086" spans="1:1" x14ac:dyDescent="0.25">
      <c r="A3086">
        <f t="shared" si="48"/>
        <v>3085</v>
      </c>
    </row>
    <row r="3087" spans="1:1" x14ac:dyDescent="0.25">
      <c r="A3087">
        <f t="shared" si="48"/>
        <v>3086</v>
      </c>
    </row>
    <row r="3088" spans="1:1" x14ac:dyDescent="0.25">
      <c r="A3088">
        <f t="shared" si="48"/>
        <v>3087</v>
      </c>
    </row>
    <row r="3089" spans="1:1" x14ac:dyDescent="0.25">
      <c r="A3089">
        <f t="shared" si="48"/>
        <v>3088</v>
      </c>
    </row>
    <row r="3090" spans="1:1" x14ac:dyDescent="0.25">
      <c r="A3090">
        <f t="shared" si="48"/>
        <v>3089</v>
      </c>
    </row>
    <row r="3091" spans="1:1" x14ac:dyDescent="0.25">
      <c r="A3091">
        <f t="shared" si="48"/>
        <v>3090</v>
      </c>
    </row>
    <row r="3092" spans="1:1" x14ac:dyDescent="0.25">
      <c r="A3092">
        <f t="shared" si="48"/>
        <v>3091</v>
      </c>
    </row>
    <row r="3093" spans="1:1" x14ac:dyDescent="0.25">
      <c r="A3093">
        <f t="shared" si="48"/>
        <v>3092</v>
      </c>
    </row>
    <row r="3094" spans="1:1" x14ac:dyDescent="0.25">
      <c r="A3094">
        <f t="shared" si="48"/>
        <v>3093</v>
      </c>
    </row>
    <row r="3095" spans="1:1" x14ac:dyDescent="0.25">
      <c r="A3095">
        <f t="shared" si="48"/>
        <v>3094</v>
      </c>
    </row>
    <row r="3096" spans="1:1" x14ac:dyDescent="0.25">
      <c r="A3096">
        <f t="shared" si="48"/>
        <v>3095</v>
      </c>
    </row>
    <row r="3097" spans="1:1" x14ac:dyDescent="0.25">
      <c r="A3097">
        <f t="shared" si="48"/>
        <v>3096</v>
      </c>
    </row>
    <row r="3098" spans="1:1" x14ac:dyDescent="0.25">
      <c r="A3098">
        <f t="shared" si="48"/>
        <v>3097</v>
      </c>
    </row>
    <row r="3099" spans="1:1" x14ac:dyDescent="0.25">
      <c r="A3099">
        <f t="shared" si="48"/>
        <v>3098</v>
      </c>
    </row>
    <row r="3100" spans="1:1" x14ac:dyDescent="0.25">
      <c r="A3100">
        <f t="shared" si="48"/>
        <v>3099</v>
      </c>
    </row>
    <row r="3101" spans="1:1" x14ac:dyDescent="0.25">
      <c r="A3101">
        <f t="shared" si="48"/>
        <v>3100</v>
      </c>
    </row>
    <row r="3102" spans="1:1" x14ac:dyDescent="0.25">
      <c r="A3102">
        <f t="shared" si="48"/>
        <v>3101</v>
      </c>
    </row>
    <row r="3103" spans="1:1" x14ac:dyDescent="0.25">
      <c r="A3103">
        <f t="shared" si="48"/>
        <v>3102</v>
      </c>
    </row>
    <row r="3104" spans="1:1" x14ac:dyDescent="0.25">
      <c r="A3104">
        <f t="shared" si="48"/>
        <v>3103</v>
      </c>
    </row>
    <row r="3105" spans="1:1" x14ac:dyDescent="0.25">
      <c r="A3105">
        <f t="shared" si="48"/>
        <v>3104</v>
      </c>
    </row>
    <row r="3106" spans="1:1" x14ac:dyDescent="0.25">
      <c r="A3106">
        <f t="shared" si="48"/>
        <v>3105</v>
      </c>
    </row>
    <row r="3107" spans="1:1" x14ac:dyDescent="0.25">
      <c r="A3107">
        <f t="shared" si="48"/>
        <v>3106</v>
      </c>
    </row>
    <row r="3108" spans="1:1" x14ac:dyDescent="0.25">
      <c r="A3108">
        <f t="shared" si="48"/>
        <v>3107</v>
      </c>
    </row>
    <row r="3109" spans="1:1" x14ac:dyDescent="0.25">
      <c r="A3109">
        <f t="shared" si="48"/>
        <v>3108</v>
      </c>
    </row>
    <row r="3110" spans="1:1" x14ac:dyDescent="0.25">
      <c r="A3110">
        <f t="shared" si="48"/>
        <v>3109</v>
      </c>
    </row>
    <row r="3111" spans="1:1" x14ac:dyDescent="0.25">
      <c r="A3111">
        <f t="shared" si="48"/>
        <v>3110</v>
      </c>
    </row>
    <row r="3112" spans="1:1" x14ac:dyDescent="0.25">
      <c r="A3112">
        <f t="shared" si="48"/>
        <v>3111</v>
      </c>
    </row>
    <row r="3113" spans="1:1" x14ac:dyDescent="0.25">
      <c r="A3113">
        <f t="shared" si="48"/>
        <v>3112</v>
      </c>
    </row>
    <row r="3114" spans="1:1" x14ac:dyDescent="0.25">
      <c r="A3114">
        <f t="shared" si="48"/>
        <v>3113</v>
      </c>
    </row>
    <row r="3115" spans="1:1" x14ac:dyDescent="0.25">
      <c r="A3115">
        <f t="shared" si="48"/>
        <v>3114</v>
      </c>
    </row>
    <row r="3116" spans="1:1" x14ac:dyDescent="0.25">
      <c r="A3116">
        <f t="shared" si="48"/>
        <v>3115</v>
      </c>
    </row>
    <row r="3117" spans="1:1" x14ac:dyDescent="0.25">
      <c r="A3117">
        <f t="shared" si="48"/>
        <v>3116</v>
      </c>
    </row>
    <row r="3118" spans="1:1" x14ac:dyDescent="0.25">
      <c r="A3118">
        <f t="shared" si="48"/>
        <v>3117</v>
      </c>
    </row>
    <row r="3119" spans="1:1" x14ac:dyDescent="0.25">
      <c r="A3119">
        <f t="shared" si="48"/>
        <v>3118</v>
      </c>
    </row>
    <row r="3120" spans="1:1" x14ac:dyDescent="0.25">
      <c r="A3120">
        <f t="shared" si="48"/>
        <v>3119</v>
      </c>
    </row>
    <row r="3121" spans="1:1" x14ac:dyDescent="0.25">
      <c r="A3121">
        <f t="shared" si="48"/>
        <v>3120</v>
      </c>
    </row>
    <row r="3122" spans="1:1" x14ac:dyDescent="0.25">
      <c r="A3122">
        <f t="shared" si="48"/>
        <v>3121</v>
      </c>
    </row>
    <row r="3123" spans="1:1" x14ac:dyDescent="0.25">
      <c r="A3123">
        <f t="shared" si="48"/>
        <v>3122</v>
      </c>
    </row>
    <row r="3124" spans="1:1" x14ac:dyDescent="0.25">
      <c r="A3124">
        <f t="shared" si="48"/>
        <v>3123</v>
      </c>
    </row>
    <row r="3125" spans="1:1" x14ac:dyDescent="0.25">
      <c r="A3125">
        <f t="shared" si="48"/>
        <v>3124</v>
      </c>
    </row>
    <row r="3126" spans="1:1" x14ac:dyDescent="0.25">
      <c r="A3126">
        <f t="shared" si="48"/>
        <v>3125</v>
      </c>
    </row>
    <row r="3127" spans="1:1" x14ac:dyDescent="0.25">
      <c r="A3127">
        <f t="shared" si="48"/>
        <v>3126</v>
      </c>
    </row>
    <row r="3128" spans="1:1" x14ac:dyDescent="0.25">
      <c r="A3128">
        <f t="shared" si="48"/>
        <v>3127</v>
      </c>
    </row>
    <row r="3129" spans="1:1" x14ac:dyDescent="0.25">
      <c r="A3129">
        <f t="shared" si="48"/>
        <v>3128</v>
      </c>
    </row>
    <row r="3130" spans="1:1" x14ac:dyDescent="0.25">
      <c r="A3130">
        <f t="shared" si="48"/>
        <v>3129</v>
      </c>
    </row>
    <row r="3131" spans="1:1" x14ac:dyDescent="0.25">
      <c r="A3131">
        <f t="shared" si="48"/>
        <v>3130</v>
      </c>
    </row>
    <row r="3132" spans="1:1" x14ac:dyDescent="0.25">
      <c r="A3132">
        <f t="shared" si="48"/>
        <v>3131</v>
      </c>
    </row>
    <row r="3133" spans="1:1" x14ac:dyDescent="0.25">
      <c r="A3133">
        <f t="shared" si="48"/>
        <v>3132</v>
      </c>
    </row>
    <row r="3134" spans="1:1" x14ac:dyDescent="0.25">
      <c r="A3134">
        <f t="shared" si="48"/>
        <v>3133</v>
      </c>
    </row>
    <row r="3135" spans="1:1" x14ac:dyDescent="0.25">
      <c r="A3135">
        <f t="shared" si="48"/>
        <v>3134</v>
      </c>
    </row>
    <row r="3136" spans="1:1" x14ac:dyDescent="0.25">
      <c r="A3136">
        <f t="shared" si="48"/>
        <v>3135</v>
      </c>
    </row>
    <row r="3137" spans="1:1" x14ac:dyDescent="0.25">
      <c r="A3137">
        <f t="shared" si="48"/>
        <v>3136</v>
      </c>
    </row>
    <row r="3138" spans="1:1" x14ac:dyDescent="0.25">
      <c r="A3138">
        <f t="shared" si="48"/>
        <v>3137</v>
      </c>
    </row>
    <row r="3139" spans="1:1" x14ac:dyDescent="0.25">
      <c r="A3139">
        <f t="shared" si="48"/>
        <v>3138</v>
      </c>
    </row>
    <row r="3140" spans="1:1" x14ac:dyDescent="0.25">
      <c r="A3140">
        <f t="shared" ref="A3140:A3203" si="49">A3139+1</f>
        <v>3139</v>
      </c>
    </row>
    <row r="3141" spans="1:1" x14ac:dyDescent="0.25">
      <c r="A3141">
        <f t="shared" si="49"/>
        <v>3140</v>
      </c>
    </row>
    <row r="3142" spans="1:1" x14ac:dyDescent="0.25">
      <c r="A3142">
        <f t="shared" si="49"/>
        <v>3141</v>
      </c>
    </row>
    <row r="3143" spans="1:1" x14ac:dyDescent="0.25">
      <c r="A3143">
        <f t="shared" si="49"/>
        <v>3142</v>
      </c>
    </row>
    <row r="3144" spans="1:1" x14ac:dyDescent="0.25">
      <c r="A3144">
        <f t="shared" si="49"/>
        <v>3143</v>
      </c>
    </row>
    <row r="3145" spans="1:1" x14ac:dyDescent="0.25">
      <c r="A3145">
        <f t="shared" si="49"/>
        <v>3144</v>
      </c>
    </row>
    <row r="3146" spans="1:1" x14ac:dyDescent="0.25">
      <c r="A3146">
        <f t="shared" si="49"/>
        <v>3145</v>
      </c>
    </row>
    <row r="3147" spans="1:1" x14ac:dyDescent="0.25">
      <c r="A3147">
        <f t="shared" si="49"/>
        <v>3146</v>
      </c>
    </row>
    <row r="3148" spans="1:1" x14ac:dyDescent="0.25">
      <c r="A3148">
        <f t="shared" si="49"/>
        <v>3147</v>
      </c>
    </row>
    <row r="3149" spans="1:1" x14ac:dyDescent="0.25">
      <c r="A3149">
        <f t="shared" si="49"/>
        <v>3148</v>
      </c>
    </row>
    <row r="3150" spans="1:1" x14ac:dyDescent="0.25">
      <c r="A3150">
        <f t="shared" si="49"/>
        <v>3149</v>
      </c>
    </row>
    <row r="3151" spans="1:1" x14ac:dyDescent="0.25">
      <c r="A3151">
        <f t="shared" si="49"/>
        <v>3150</v>
      </c>
    </row>
    <row r="3152" spans="1:1" x14ac:dyDescent="0.25">
      <c r="A3152">
        <f t="shared" si="49"/>
        <v>3151</v>
      </c>
    </row>
    <row r="3153" spans="1:1" x14ac:dyDescent="0.25">
      <c r="A3153">
        <f t="shared" si="49"/>
        <v>3152</v>
      </c>
    </row>
    <row r="3154" spans="1:1" x14ac:dyDescent="0.25">
      <c r="A3154">
        <f t="shared" si="49"/>
        <v>3153</v>
      </c>
    </row>
    <row r="3155" spans="1:1" x14ac:dyDescent="0.25">
      <c r="A3155">
        <f t="shared" si="49"/>
        <v>3154</v>
      </c>
    </row>
    <row r="3156" spans="1:1" x14ac:dyDescent="0.25">
      <c r="A3156">
        <f t="shared" si="49"/>
        <v>3155</v>
      </c>
    </row>
    <row r="3157" spans="1:1" x14ac:dyDescent="0.25">
      <c r="A3157">
        <f t="shared" si="49"/>
        <v>3156</v>
      </c>
    </row>
    <row r="3158" spans="1:1" x14ac:dyDescent="0.25">
      <c r="A3158">
        <f t="shared" si="49"/>
        <v>3157</v>
      </c>
    </row>
    <row r="3159" spans="1:1" x14ac:dyDescent="0.25">
      <c r="A3159">
        <f t="shared" si="49"/>
        <v>3158</v>
      </c>
    </row>
    <row r="3160" spans="1:1" x14ac:dyDescent="0.25">
      <c r="A3160">
        <f t="shared" si="49"/>
        <v>3159</v>
      </c>
    </row>
    <row r="3161" spans="1:1" x14ac:dyDescent="0.25">
      <c r="A3161">
        <f t="shared" si="49"/>
        <v>3160</v>
      </c>
    </row>
    <row r="3162" spans="1:1" x14ac:dyDescent="0.25">
      <c r="A3162">
        <f t="shared" si="49"/>
        <v>3161</v>
      </c>
    </row>
    <row r="3163" spans="1:1" x14ac:dyDescent="0.25">
      <c r="A3163">
        <f t="shared" si="49"/>
        <v>3162</v>
      </c>
    </row>
    <row r="3164" spans="1:1" x14ac:dyDescent="0.25">
      <c r="A3164">
        <f t="shared" si="49"/>
        <v>3163</v>
      </c>
    </row>
    <row r="3165" spans="1:1" x14ac:dyDescent="0.25">
      <c r="A3165">
        <f t="shared" si="49"/>
        <v>3164</v>
      </c>
    </row>
    <row r="3166" spans="1:1" x14ac:dyDescent="0.25">
      <c r="A3166">
        <f t="shared" si="49"/>
        <v>3165</v>
      </c>
    </row>
    <row r="3167" spans="1:1" x14ac:dyDescent="0.25">
      <c r="A3167">
        <f t="shared" si="49"/>
        <v>3166</v>
      </c>
    </row>
    <row r="3168" spans="1:1" x14ac:dyDescent="0.25">
      <c r="A3168">
        <f t="shared" si="49"/>
        <v>3167</v>
      </c>
    </row>
    <row r="3169" spans="1:1" x14ac:dyDescent="0.25">
      <c r="A3169">
        <f t="shared" si="49"/>
        <v>3168</v>
      </c>
    </row>
    <row r="3170" spans="1:1" x14ac:dyDescent="0.25">
      <c r="A3170">
        <f t="shared" si="49"/>
        <v>3169</v>
      </c>
    </row>
    <row r="3171" spans="1:1" x14ac:dyDescent="0.25">
      <c r="A3171">
        <f t="shared" si="49"/>
        <v>3170</v>
      </c>
    </row>
    <row r="3172" spans="1:1" x14ac:dyDescent="0.25">
      <c r="A3172">
        <f t="shared" si="49"/>
        <v>3171</v>
      </c>
    </row>
    <row r="3173" spans="1:1" x14ac:dyDescent="0.25">
      <c r="A3173">
        <f t="shared" si="49"/>
        <v>3172</v>
      </c>
    </row>
    <row r="3174" spans="1:1" x14ac:dyDescent="0.25">
      <c r="A3174">
        <f t="shared" si="49"/>
        <v>3173</v>
      </c>
    </row>
    <row r="3175" spans="1:1" x14ac:dyDescent="0.25">
      <c r="A3175">
        <f t="shared" si="49"/>
        <v>3174</v>
      </c>
    </row>
    <row r="3176" spans="1:1" x14ac:dyDescent="0.25">
      <c r="A3176">
        <f t="shared" si="49"/>
        <v>3175</v>
      </c>
    </row>
    <row r="3177" spans="1:1" x14ac:dyDescent="0.25">
      <c r="A3177">
        <f t="shared" si="49"/>
        <v>3176</v>
      </c>
    </row>
    <row r="3178" spans="1:1" x14ac:dyDescent="0.25">
      <c r="A3178">
        <f t="shared" si="49"/>
        <v>3177</v>
      </c>
    </row>
    <row r="3179" spans="1:1" x14ac:dyDescent="0.25">
      <c r="A3179">
        <f t="shared" si="49"/>
        <v>3178</v>
      </c>
    </row>
    <row r="3180" spans="1:1" x14ac:dyDescent="0.25">
      <c r="A3180">
        <f t="shared" si="49"/>
        <v>3179</v>
      </c>
    </row>
    <row r="3181" spans="1:1" x14ac:dyDescent="0.25">
      <c r="A3181">
        <f t="shared" si="49"/>
        <v>3180</v>
      </c>
    </row>
    <row r="3182" spans="1:1" x14ac:dyDescent="0.25">
      <c r="A3182">
        <f t="shared" si="49"/>
        <v>3181</v>
      </c>
    </row>
    <row r="3183" spans="1:1" x14ac:dyDescent="0.25">
      <c r="A3183">
        <f t="shared" si="49"/>
        <v>3182</v>
      </c>
    </row>
    <row r="3184" spans="1:1" x14ac:dyDescent="0.25">
      <c r="A3184">
        <f t="shared" si="49"/>
        <v>3183</v>
      </c>
    </row>
    <row r="3185" spans="1:1" x14ac:dyDescent="0.25">
      <c r="A3185">
        <f t="shared" si="49"/>
        <v>3184</v>
      </c>
    </row>
    <row r="3186" spans="1:1" x14ac:dyDescent="0.25">
      <c r="A3186">
        <f t="shared" si="49"/>
        <v>3185</v>
      </c>
    </row>
    <row r="3187" spans="1:1" x14ac:dyDescent="0.25">
      <c r="A3187">
        <f t="shared" si="49"/>
        <v>3186</v>
      </c>
    </row>
    <row r="3188" spans="1:1" x14ac:dyDescent="0.25">
      <c r="A3188">
        <f t="shared" si="49"/>
        <v>3187</v>
      </c>
    </row>
    <row r="3189" spans="1:1" x14ac:dyDescent="0.25">
      <c r="A3189">
        <f t="shared" si="49"/>
        <v>3188</v>
      </c>
    </row>
    <row r="3190" spans="1:1" x14ac:dyDescent="0.25">
      <c r="A3190">
        <f t="shared" si="49"/>
        <v>3189</v>
      </c>
    </row>
    <row r="3191" spans="1:1" x14ac:dyDescent="0.25">
      <c r="A3191">
        <f t="shared" si="49"/>
        <v>3190</v>
      </c>
    </row>
    <row r="3192" spans="1:1" x14ac:dyDescent="0.25">
      <c r="A3192">
        <f t="shared" si="49"/>
        <v>3191</v>
      </c>
    </row>
    <row r="3193" spans="1:1" x14ac:dyDescent="0.25">
      <c r="A3193">
        <f t="shared" si="49"/>
        <v>3192</v>
      </c>
    </row>
    <row r="3194" spans="1:1" x14ac:dyDescent="0.25">
      <c r="A3194">
        <f t="shared" si="49"/>
        <v>3193</v>
      </c>
    </row>
    <row r="3195" spans="1:1" x14ac:dyDescent="0.25">
      <c r="A3195">
        <f t="shared" si="49"/>
        <v>3194</v>
      </c>
    </row>
    <row r="3196" spans="1:1" x14ac:dyDescent="0.25">
      <c r="A3196">
        <f t="shared" si="49"/>
        <v>3195</v>
      </c>
    </row>
    <row r="3197" spans="1:1" x14ac:dyDescent="0.25">
      <c r="A3197">
        <f t="shared" si="49"/>
        <v>3196</v>
      </c>
    </row>
    <row r="3198" spans="1:1" x14ac:dyDescent="0.25">
      <c r="A3198">
        <f t="shared" si="49"/>
        <v>3197</v>
      </c>
    </row>
    <row r="3199" spans="1:1" x14ac:dyDescent="0.25">
      <c r="A3199">
        <f t="shared" si="49"/>
        <v>3198</v>
      </c>
    </row>
    <row r="3200" spans="1:1" x14ac:dyDescent="0.25">
      <c r="A3200">
        <f t="shared" si="49"/>
        <v>3199</v>
      </c>
    </row>
    <row r="3201" spans="1:1" x14ac:dyDescent="0.25">
      <c r="A3201">
        <f t="shared" si="49"/>
        <v>3200</v>
      </c>
    </row>
    <row r="3202" spans="1:1" x14ac:dyDescent="0.25">
      <c r="A3202">
        <f t="shared" si="49"/>
        <v>3201</v>
      </c>
    </row>
    <row r="3203" spans="1:1" x14ac:dyDescent="0.25">
      <c r="A3203">
        <f t="shared" si="49"/>
        <v>3202</v>
      </c>
    </row>
    <row r="3204" spans="1:1" x14ac:dyDescent="0.25">
      <c r="A3204">
        <f t="shared" ref="A3204:A3267" si="50">A3203+1</f>
        <v>3203</v>
      </c>
    </row>
    <row r="3205" spans="1:1" x14ac:dyDescent="0.25">
      <c r="A3205">
        <f t="shared" si="50"/>
        <v>3204</v>
      </c>
    </row>
    <row r="3206" spans="1:1" x14ac:dyDescent="0.25">
      <c r="A3206">
        <f t="shared" si="50"/>
        <v>3205</v>
      </c>
    </row>
    <row r="3207" spans="1:1" x14ac:dyDescent="0.25">
      <c r="A3207">
        <f t="shared" si="50"/>
        <v>3206</v>
      </c>
    </row>
    <row r="3208" spans="1:1" x14ac:dyDescent="0.25">
      <c r="A3208">
        <f t="shared" si="50"/>
        <v>3207</v>
      </c>
    </row>
    <row r="3209" spans="1:1" x14ac:dyDescent="0.25">
      <c r="A3209">
        <f t="shared" si="50"/>
        <v>3208</v>
      </c>
    </row>
    <row r="3210" spans="1:1" x14ac:dyDescent="0.25">
      <c r="A3210">
        <f t="shared" si="50"/>
        <v>3209</v>
      </c>
    </row>
    <row r="3211" spans="1:1" x14ac:dyDescent="0.25">
      <c r="A3211">
        <f t="shared" si="50"/>
        <v>3210</v>
      </c>
    </row>
    <row r="3212" spans="1:1" x14ac:dyDescent="0.25">
      <c r="A3212">
        <f t="shared" si="50"/>
        <v>3211</v>
      </c>
    </row>
    <row r="3213" spans="1:1" x14ac:dyDescent="0.25">
      <c r="A3213">
        <f t="shared" si="50"/>
        <v>3212</v>
      </c>
    </row>
    <row r="3214" spans="1:1" x14ac:dyDescent="0.25">
      <c r="A3214">
        <f t="shared" si="50"/>
        <v>3213</v>
      </c>
    </row>
    <row r="3215" spans="1:1" x14ac:dyDescent="0.25">
      <c r="A3215">
        <f t="shared" si="50"/>
        <v>3214</v>
      </c>
    </row>
    <row r="3216" spans="1:1" x14ac:dyDescent="0.25">
      <c r="A3216">
        <f t="shared" si="50"/>
        <v>3215</v>
      </c>
    </row>
    <row r="3217" spans="1:1" x14ac:dyDescent="0.25">
      <c r="A3217">
        <f t="shared" si="50"/>
        <v>3216</v>
      </c>
    </row>
    <row r="3218" spans="1:1" x14ac:dyDescent="0.25">
      <c r="A3218">
        <f t="shared" si="50"/>
        <v>3217</v>
      </c>
    </row>
    <row r="3219" spans="1:1" x14ac:dyDescent="0.25">
      <c r="A3219">
        <f t="shared" si="50"/>
        <v>3218</v>
      </c>
    </row>
    <row r="3220" spans="1:1" x14ac:dyDescent="0.25">
      <c r="A3220">
        <f t="shared" si="50"/>
        <v>3219</v>
      </c>
    </row>
    <row r="3221" spans="1:1" x14ac:dyDescent="0.25">
      <c r="A3221">
        <f t="shared" si="50"/>
        <v>3220</v>
      </c>
    </row>
    <row r="3222" spans="1:1" x14ac:dyDescent="0.25">
      <c r="A3222">
        <f t="shared" si="50"/>
        <v>3221</v>
      </c>
    </row>
    <row r="3223" spans="1:1" x14ac:dyDescent="0.25">
      <c r="A3223">
        <f t="shared" si="50"/>
        <v>3222</v>
      </c>
    </row>
    <row r="3224" spans="1:1" x14ac:dyDescent="0.25">
      <c r="A3224">
        <f t="shared" si="50"/>
        <v>3223</v>
      </c>
    </row>
    <row r="3225" spans="1:1" x14ac:dyDescent="0.25">
      <c r="A3225">
        <f t="shared" si="50"/>
        <v>3224</v>
      </c>
    </row>
    <row r="3226" spans="1:1" x14ac:dyDescent="0.25">
      <c r="A3226">
        <f t="shared" si="50"/>
        <v>3225</v>
      </c>
    </row>
    <row r="3227" spans="1:1" x14ac:dyDescent="0.25">
      <c r="A3227">
        <f t="shared" si="50"/>
        <v>3226</v>
      </c>
    </row>
    <row r="3228" spans="1:1" x14ac:dyDescent="0.25">
      <c r="A3228">
        <f t="shared" si="50"/>
        <v>3227</v>
      </c>
    </row>
    <row r="3229" spans="1:1" x14ac:dyDescent="0.25">
      <c r="A3229">
        <f t="shared" si="50"/>
        <v>3228</v>
      </c>
    </row>
    <row r="3230" spans="1:1" x14ac:dyDescent="0.25">
      <c r="A3230">
        <f t="shared" si="50"/>
        <v>3229</v>
      </c>
    </row>
    <row r="3231" spans="1:1" x14ac:dyDescent="0.25">
      <c r="A3231">
        <f t="shared" si="50"/>
        <v>3230</v>
      </c>
    </row>
    <row r="3232" spans="1:1" x14ac:dyDescent="0.25">
      <c r="A3232">
        <f t="shared" si="50"/>
        <v>3231</v>
      </c>
    </row>
    <row r="3233" spans="1:1" x14ac:dyDescent="0.25">
      <c r="A3233">
        <f t="shared" si="50"/>
        <v>3232</v>
      </c>
    </row>
    <row r="3234" spans="1:1" x14ac:dyDescent="0.25">
      <c r="A3234">
        <f t="shared" si="50"/>
        <v>3233</v>
      </c>
    </row>
    <row r="3235" spans="1:1" x14ac:dyDescent="0.25">
      <c r="A3235">
        <f t="shared" si="50"/>
        <v>3234</v>
      </c>
    </row>
    <row r="3236" spans="1:1" x14ac:dyDescent="0.25">
      <c r="A3236">
        <f t="shared" si="50"/>
        <v>3235</v>
      </c>
    </row>
    <row r="3237" spans="1:1" x14ac:dyDescent="0.25">
      <c r="A3237">
        <f t="shared" si="50"/>
        <v>3236</v>
      </c>
    </row>
    <row r="3238" spans="1:1" x14ac:dyDescent="0.25">
      <c r="A3238">
        <f t="shared" si="50"/>
        <v>3237</v>
      </c>
    </row>
    <row r="3239" spans="1:1" x14ac:dyDescent="0.25">
      <c r="A3239">
        <f t="shared" si="50"/>
        <v>3238</v>
      </c>
    </row>
    <row r="3240" spans="1:1" x14ac:dyDescent="0.25">
      <c r="A3240">
        <f t="shared" si="50"/>
        <v>3239</v>
      </c>
    </row>
    <row r="3241" spans="1:1" x14ac:dyDescent="0.25">
      <c r="A3241">
        <f t="shared" si="50"/>
        <v>3240</v>
      </c>
    </row>
    <row r="3242" spans="1:1" x14ac:dyDescent="0.25">
      <c r="A3242">
        <f t="shared" si="50"/>
        <v>3241</v>
      </c>
    </row>
    <row r="3243" spans="1:1" x14ac:dyDescent="0.25">
      <c r="A3243">
        <f t="shared" si="50"/>
        <v>3242</v>
      </c>
    </row>
    <row r="3244" spans="1:1" x14ac:dyDescent="0.25">
      <c r="A3244">
        <f t="shared" si="50"/>
        <v>3243</v>
      </c>
    </row>
    <row r="3245" spans="1:1" x14ac:dyDescent="0.25">
      <c r="A3245">
        <f t="shared" si="50"/>
        <v>3244</v>
      </c>
    </row>
    <row r="3246" spans="1:1" x14ac:dyDescent="0.25">
      <c r="A3246">
        <f t="shared" si="50"/>
        <v>3245</v>
      </c>
    </row>
    <row r="3247" spans="1:1" x14ac:dyDescent="0.25">
      <c r="A3247">
        <f t="shared" si="50"/>
        <v>3246</v>
      </c>
    </row>
    <row r="3248" spans="1:1" x14ac:dyDescent="0.25">
      <c r="A3248">
        <f t="shared" si="50"/>
        <v>3247</v>
      </c>
    </row>
    <row r="3249" spans="1:1" x14ac:dyDescent="0.25">
      <c r="A3249">
        <f t="shared" si="50"/>
        <v>3248</v>
      </c>
    </row>
    <row r="3250" spans="1:1" x14ac:dyDescent="0.25">
      <c r="A3250">
        <f t="shared" si="50"/>
        <v>3249</v>
      </c>
    </row>
    <row r="3251" spans="1:1" x14ac:dyDescent="0.25">
      <c r="A3251">
        <f t="shared" si="50"/>
        <v>3250</v>
      </c>
    </row>
    <row r="3252" spans="1:1" x14ac:dyDescent="0.25">
      <c r="A3252">
        <f t="shared" si="50"/>
        <v>3251</v>
      </c>
    </row>
    <row r="3253" spans="1:1" x14ac:dyDescent="0.25">
      <c r="A3253">
        <f t="shared" si="50"/>
        <v>3252</v>
      </c>
    </row>
    <row r="3254" spans="1:1" x14ac:dyDescent="0.25">
      <c r="A3254">
        <f t="shared" si="50"/>
        <v>3253</v>
      </c>
    </row>
    <row r="3255" spans="1:1" x14ac:dyDescent="0.25">
      <c r="A3255">
        <f t="shared" si="50"/>
        <v>3254</v>
      </c>
    </row>
    <row r="3256" spans="1:1" x14ac:dyDescent="0.25">
      <c r="A3256">
        <f t="shared" si="50"/>
        <v>3255</v>
      </c>
    </row>
    <row r="3257" spans="1:1" x14ac:dyDescent="0.25">
      <c r="A3257">
        <f t="shared" si="50"/>
        <v>3256</v>
      </c>
    </row>
    <row r="3258" spans="1:1" x14ac:dyDescent="0.25">
      <c r="A3258">
        <f t="shared" si="50"/>
        <v>3257</v>
      </c>
    </row>
    <row r="3259" spans="1:1" x14ac:dyDescent="0.25">
      <c r="A3259">
        <f t="shared" si="50"/>
        <v>3258</v>
      </c>
    </row>
    <row r="3260" spans="1:1" x14ac:dyDescent="0.25">
      <c r="A3260">
        <f t="shared" si="50"/>
        <v>3259</v>
      </c>
    </row>
    <row r="3261" spans="1:1" x14ac:dyDescent="0.25">
      <c r="A3261">
        <f t="shared" si="50"/>
        <v>3260</v>
      </c>
    </row>
    <row r="3262" spans="1:1" x14ac:dyDescent="0.25">
      <c r="A3262">
        <f t="shared" si="50"/>
        <v>3261</v>
      </c>
    </row>
    <row r="3263" spans="1:1" x14ac:dyDescent="0.25">
      <c r="A3263">
        <f t="shared" si="50"/>
        <v>3262</v>
      </c>
    </row>
    <row r="3264" spans="1:1" x14ac:dyDescent="0.25">
      <c r="A3264">
        <f t="shared" si="50"/>
        <v>3263</v>
      </c>
    </row>
    <row r="3265" spans="1:1" x14ac:dyDescent="0.25">
      <c r="A3265">
        <f t="shared" si="50"/>
        <v>3264</v>
      </c>
    </row>
    <row r="3266" spans="1:1" x14ac:dyDescent="0.25">
      <c r="A3266">
        <f t="shared" si="50"/>
        <v>3265</v>
      </c>
    </row>
    <row r="3267" spans="1:1" x14ac:dyDescent="0.25">
      <c r="A3267">
        <f t="shared" si="50"/>
        <v>3266</v>
      </c>
    </row>
    <row r="3268" spans="1:1" x14ac:dyDescent="0.25">
      <c r="A3268">
        <f t="shared" ref="A3268:A3331" si="51">A3267+1</f>
        <v>3267</v>
      </c>
    </row>
    <row r="3269" spans="1:1" x14ac:dyDescent="0.25">
      <c r="A3269">
        <f t="shared" si="51"/>
        <v>3268</v>
      </c>
    </row>
    <row r="3270" spans="1:1" x14ac:dyDescent="0.25">
      <c r="A3270">
        <f t="shared" si="51"/>
        <v>3269</v>
      </c>
    </row>
    <row r="3271" spans="1:1" x14ac:dyDescent="0.25">
      <c r="A3271">
        <f t="shared" si="51"/>
        <v>3270</v>
      </c>
    </row>
    <row r="3272" spans="1:1" x14ac:dyDescent="0.25">
      <c r="A3272">
        <f t="shared" si="51"/>
        <v>3271</v>
      </c>
    </row>
    <row r="3273" spans="1:1" x14ac:dyDescent="0.25">
      <c r="A3273">
        <f t="shared" si="51"/>
        <v>3272</v>
      </c>
    </row>
    <row r="3274" spans="1:1" x14ac:dyDescent="0.25">
      <c r="A3274">
        <f t="shared" si="51"/>
        <v>3273</v>
      </c>
    </row>
    <row r="3275" spans="1:1" x14ac:dyDescent="0.25">
      <c r="A3275">
        <f t="shared" si="51"/>
        <v>3274</v>
      </c>
    </row>
    <row r="3276" spans="1:1" x14ac:dyDescent="0.25">
      <c r="A3276">
        <f t="shared" si="51"/>
        <v>3275</v>
      </c>
    </row>
    <row r="3277" spans="1:1" x14ac:dyDescent="0.25">
      <c r="A3277">
        <f t="shared" si="51"/>
        <v>3276</v>
      </c>
    </row>
    <row r="3278" spans="1:1" x14ac:dyDescent="0.25">
      <c r="A3278">
        <f t="shared" si="51"/>
        <v>3277</v>
      </c>
    </row>
    <row r="3279" spans="1:1" x14ac:dyDescent="0.25">
      <c r="A3279">
        <f t="shared" si="51"/>
        <v>3278</v>
      </c>
    </row>
    <row r="3280" spans="1:1" x14ac:dyDescent="0.25">
      <c r="A3280">
        <f t="shared" si="51"/>
        <v>3279</v>
      </c>
    </row>
    <row r="3281" spans="1:1" x14ac:dyDescent="0.25">
      <c r="A3281">
        <f t="shared" si="51"/>
        <v>3280</v>
      </c>
    </row>
    <row r="3282" spans="1:1" x14ac:dyDescent="0.25">
      <c r="A3282">
        <f t="shared" si="51"/>
        <v>3281</v>
      </c>
    </row>
    <row r="3283" spans="1:1" x14ac:dyDescent="0.25">
      <c r="A3283">
        <f t="shared" si="51"/>
        <v>3282</v>
      </c>
    </row>
    <row r="3284" spans="1:1" x14ac:dyDescent="0.25">
      <c r="A3284">
        <f t="shared" si="51"/>
        <v>3283</v>
      </c>
    </row>
    <row r="3285" spans="1:1" x14ac:dyDescent="0.25">
      <c r="A3285">
        <f t="shared" si="51"/>
        <v>3284</v>
      </c>
    </row>
    <row r="3286" spans="1:1" x14ac:dyDescent="0.25">
      <c r="A3286">
        <f t="shared" si="51"/>
        <v>3285</v>
      </c>
    </row>
    <row r="3287" spans="1:1" x14ac:dyDescent="0.25">
      <c r="A3287">
        <f t="shared" si="51"/>
        <v>3286</v>
      </c>
    </row>
    <row r="3288" spans="1:1" x14ac:dyDescent="0.25">
      <c r="A3288">
        <f t="shared" si="51"/>
        <v>3287</v>
      </c>
    </row>
    <row r="3289" spans="1:1" x14ac:dyDescent="0.25">
      <c r="A3289">
        <f t="shared" si="51"/>
        <v>3288</v>
      </c>
    </row>
    <row r="3290" spans="1:1" x14ac:dyDescent="0.25">
      <c r="A3290">
        <f t="shared" si="51"/>
        <v>3289</v>
      </c>
    </row>
    <row r="3291" spans="1:1" x14ac:dyDescent="0.25">
      <c r="A3291">
        <f t="shared" si="51"/>
        <v>3290</v>
      </c>
    </row>
    <row r="3292" spans="1:1" x14ac:dyDescent="0.25">
      <c r="A3292">
        <f t="shared" si="51"/>
        <v>3291</v>
      </c>
    </row>
    <row r="3293" spans="1:1" x14ac:dyDescent="0.25">
      <c r="A3293">
        <f t="shared" si="51"/>
        <v>3292</v>
      </c>
    </row>
    <row r="3294" spans="1:1" x14ac:dyDescent="0.25">
      <c r="A3294">
        <f t="shared" si="51"/>
        <v>3293</v>
      </c>
    </row>
    <row r="3295" spans="1:1" x14ac:dyDescent="0.25">
      <c r="A3295">
        <f t="shared" si="51"/>
        <v>3294</v>
      </c>
    </row>
    <row r="3296" spans="1:1" x14ac:dyDescent="0.25">
      <c r="A3296">
        <f t="shared" si="51"/>
        <v>3295</v>
      </c>
    </row>
    <row r="3297" spans="1:1" x14ac:dyDescent="0.25">
      <c r="A3297">
        <f t="shared" si="51"/>
        <v>3296</v>
      </c>
    </row>
    <row r="3298" spans="1:1" x14ac:dyDescent="0.25">
      <c r="A3298">
        <f t="shared" si="51"/>
        <v>3297</v>
      </c>
    </row>
    <row r="3299" spans="1:1" x14ac:dyDescent="0.25">
      <c r="A3299">
        <f t="shared" si="51"/>
        <v>3298</v>
      </c>
    </row>
    <row r="3300" spans="1:1" x14ac:dyDescent="0.25">
      <c r="A3300">
        <f t="shared" si="51"/>
        <v>3299</v>
      </c>
    </row>
    <row r="3301" spans="1:1" x14ac:dyDescent="0.25">
      <c r="A3301">
        <f t="shared" si="51"/>
        <v>3300</v>
      </c>
    </row>
    <row r="3302" spans="1:1" x14ac:dyDescent="0.25">
      <c r="A3302">
        <f t="shared" si="51"/>
        <v>3301</v>
      </c>
    </row>
    <row r="3303" spans="1:1" x14ac:dyDescent="0.25">
      <c r="A3303">
        <f t="shared" si="51"/>
        <v>3302</v>
      </c>
    </row>
    <row r="3304" spans="1:1" x14ac:dyDescent="0.25">
      <c r="A3304">
        <f t="shared" si="51"/>
        <v>3303</v>
      </c>
    </row>
    <row r="3305" spans="1:1" x14ac:dyDescent="0.25">
      <c r="A3305">
        <f t="shared" si="51"/>
        <v>3304</v>
      </c>
    </row>
    <row r="3306" spans="1:1" x14ac:dyDescent="0.25">
      <c r="A3306">
        <f t="shared" si="51"/>
        <v>3305</v>
      </c>
    </row>
    <row r="3307" spans="1:1" x14ac:dyDescent="0.25">
      <c r="A3307">
        <f t="shared" si="51"/>
        <v>3306</v>
      </c>
    </row>
    <row r="3308" spans="1:1" x14ac:dyDescent="0.25">
      <c r="A3308">
        <f t="shared" si="51"/>
        <v>3307</v>
      </c>
    </row>
    <row r="3309" spans="1:1" x14ac:dyDescent="0.25">
      <c r="A3309">
        <f t="shared" si="51"/>
        <v>3308</v>
      </c>
    </row>
    <row r="3310" spans="1:1" x14ac:dyDescent="0.25">
      <c r="A3310">
        <f t="shared" si="51"/>
        <v>3309</v>
      </c>
    </row>
    <row r="3311" spans="1:1" x14ac:dyDescent="0.25">
      <c r="A3311">
        <f t="shared" si="51"/>
        <v>3310</v>
      </c>
    </row>
    <row r="3312" spans="1:1" x14ac:dyDescent="0.25">
      <c r="A3312">
        <f t="shared" si="51"/>
        <v>3311</v>
      </c>
    </row>
    <row r="3313" spans="1:1" x14ac:dyDescent="0.25">
      <c r="A3313">
        <f t="shared" si="51"/>
        <v>3312</v>
      </c>
    </row>
    <row r="3314" spans="1:1" x14ac:dyDescent="0.25">
      <c r="A3314">
        <f t="shared" si="51"/>
        <v>3313</v>
      </c>
    </row>
    <row r="3315" spans="1:1" x14ac:dyDescent="0.25">
      <c r="A3315">
        <f t="shared" si="51"/>
        <v>3314</v>
      </c>
    </row>
    <row r="3316" spans="1:1" x14ac:dyDescent="0.25">
      <c r="A3316">
        <f t="shared" si="51"/>
        <v>3315</v>
      </c>
    </row>
    <row r="3317" spans="1:1" x14ac:dyDescent="0.25">
      <c r="A3317">
        <f t="shared" si="51"/>
        <v>3316</v>
      </c>
    </row>
    <row r="3318" spans="1:1" x14ac:dyDescent="0.25">
      <c r="A3318">
        <f t="shared" si="51"/>
        <v>3317</v>
      </c>
    </row>
    <row r="3319" spans="1:1" x14ac:dyDescent="0.25">
      <c r="A3319">
        <f t="shared" si="51"/>
        <v>3318</v>
      </c>
    </row>
    <row r="3320" spans="1:1" x14ac:dyDescent="0.25">
      <c r="A3320">
        <f t="shared" si="51"/>
        <v>3319</v>
      </c>
    </row>
    <row r="3321" spans="1:1" x14ac:dyDescent="0.25">
      <c r="A3321">
        <f t="shared" si="51"/>
        <v>3320</v>
      </c>
    </row>
    <row r="3322" spans="1:1" x14ac:dyDescent="0.25">
      <c r="A3322">
        <f t="shared" si="51"/>
        <v>3321</v>
      </c>
    </row>
    <row r="3323" spans="1:1" x14ac:dyDescent="0.25">
      <c r="A3323">
        <f t="shared" si="51"/>
        <v>3322</v>
      </c>
    </row>
    <row r="3324" spans="1:1" x14ac:dyDescent="0.25">
      <c r="A3324">
        <f t="shared" si="51"/>
        <v>3323</v>
      </c>
    </row>
    <row r="3325" spans="1:1" x14ac:dyDescent="0.25">
      <c r="A3325">
        <f t="shared" si="51"/>
        <v>3324</v>
      </c>
    </row>
    <row r="3326" spans="1:1" x14ac:dyDescent="0.25">
      <c r="A3326">
        <f t="shared" si="51"/>
        <v>3325</v>
      </c>
    </row>
    <row r="3327" spans="1:1" x14ac:dyDescent="0.25">
      <c r="A3327">
        <f t="shared" si="51"/>
        <v>3326</v>
      </c>
    </row>
    <row r="3328" spans="1:1" x14ac:dyDescent="0.25">
      <c r="A3328">
        <f t="shared" si="51"/>
        <v>3327</v>
      </c>
    </row>
    <row r="3329" spans="1:1" x14ac:dyDescent="0.25">
      <c r="A3329">
        <f t="shared" si="51"/>
        <v>3328</v>
      </c>
    </row>
    <row r="3330" spans="1:1" x14ac:dyDescent="0.25">
      <c r="A3330">
        <f t="shared" si="51"/>
        <v>3329</v>
      </c>
    </row>
    <row r="3331" spans="1:1" x14ac:dyDescent="0.25">
      <c r="A3331">
        <f t="shared" si="51"/>
        <v>3330</v>
      </c>
    </row>
    <row r="3332" spans="1:1" x14ac:dyDescent="0.25">
      <c r="A3332">
        <f t="shared" ref="A3332:A3395" si="52">A3331+1</f>
        <v>3331</v>
      </c>
    </row>
    <row r="3333" spans="1:1" x14ac:dyDescent="0.25">
      <c r="A3333">
        <f t="shared" si="52"/>
        <v>3332</v>
      </c>
    </row>
    <row r="3334" spans="1:1" x14ac:dyDescent="0.25">
      <c r="A3334">
        <f t="shared" si="52"/>
        <v>3333</v>
      </c>
    </row>
    <row r="3335" spans="1:1" x14ac:dyDescent="0.25">
      <c r="A3335">
        <f t="shared" si="52"/>
        <v>3334</v>
      </c>
    </row>
    <row r="3336" spans="1:1" x14ac:dyDescent="0.25">
      <c r="A3336">
        <f t="shared" si="52"/>
        <v>3335</v>
      </c>
    </row>
    <row r="3337" spans="1:1" x14ac:dyDescent="0.25">
      <c r="A3337">
        <f t="shared" si="52"/>
        <v>3336</v>
      </c>
    </row>
    <row r="3338" spans="1:1" x14ac:dyDescent="0.25">
      <c r="A3338">
        <f t="shared" si="52"/>
        <v>3337</v>
      </c>
    </row>
    <row r="3339" spans="1:1" x14ac:dyDescent="0.25">
      <c r="A3339">
        <f t="shared" si="52"/>
        <v>3338</v>
      </c>
    </row>
    <row r="3340" spans="1:1" x14ac:dyDescent="0.25">
      <c r="A3340">
        <f t="shared" si="52"/>
        <v>3339</v>
      </c>
    </row>
    <row r="3341" spans="1:1" x14ac:dyDescent="0.25">
      <c r="A3341">
        <f t="shared" si="52"/>
        <v>3340</v>
      </c>
    </row>
    <row r="3342" spans="1:1" x14ac:dyDescent="0.25">
      <c r="A3342">
        <f t="shared" si="52"/>
        <v>3341</v>
      </c>
    </row>
    <row r="3343" spans="1:1" x14ac:dyDescent="0.25">
      <c r="A3343">
        <f t="shared" si="52"/>
        <v>3342</v>
      </c>
    </row>
    <row r="3344" spans="1:1" x14ac:dyDescent="0.25">
      <c r="A3344">
        <f t="shared" si="52"/>
        <v>3343</v>
      </c>
    </row>
    <row r="3345" spans="1:1" x14ac:dyDescent="0.25">
      <c r="A3345">
        <f t="shared" si="52"/>
        <v>3344</v>
      </c>
    </row>
    <row r="3346" spans="1:1" x14ac:dyDescent="0.25">
      <c r="A3346">
        <f t="shared" si="52"/>
        <v>3345</v>
      </c>
    </row>
    <row r="3347" spans="1:1" x14ac:dyDescent="0.25">
      <c r="A3347">
        <f t="shared" si="52"/>
        <v>3346</v>
      </c>
    </row>
    <row r="3348" spans="1:1" x14ac:dyDescent="0.25">
      <c r="A3348">
        <f t="shared" si="52"/>
        <v>3347</v>
      </c>
    </row>
    <row r="3349" spans="1:1" x14ac:dyDescent="0.25">
      <c r="A3349">
        <f t="shared" si="52"/>
        <v>3348</v>
      </c>
    </row>
    <row r="3350" spans="1:1" x14ac:dyDescent="0.25">
      <c r="A3350">
        <f t="shared" si="52"/>
        <v>3349</v>
      </c>
    </row>
    <row r="3351" spans="1:1" x14ac:dyDescent="0.25">
      <c r="A3351">
        <f t="shared" si="52"/>
        <v>3350</v>
      </c>
    </row>
    <row r="3352" spans="1:1" x14ac:dyDescent="0.25">
      <c r="A3352">
        <f t="shared" si="52"/>
        <v>3351</v>
      </c>
    </row>
    <row r="3353" spans="1:1" x14ac:dyDescent="0.25">
      <c r="A3353">
        <f t="shared" si="52"/>
        <v>3352</v>
      </c>
    </row>
    <row r="3354" spans="1:1" x14ac:dyDescent="0.25">
      <c r="A3354">
        <f t="shared" si="52"/>
        <v>3353</v>
      </c>
    </row>
    <row r="3355" spans="1:1" x14ac:dyDescent="0.25">
      <c r="A3355">
        <f t="shared" si="52"/>
        <v>3354</v>
      </c>
    </row>
    <row r="3356" spans="1:1" x14ac:dyDescent="0.25">
      <c r="A3356">
        <f t="shared" si="52"/>
        <v>3355</v>
      </c>
    </row>
    <row r="3357" spans="1:1" x14ac:dyDescent="0.25">
      <c r="A3357">
        <f t="shared" si="52"/>
        <v>3356</v>
      </c>
    </row>
    <row r="3358" spans="1:1" x14ac:dyDescent="0.25">
      <c r="A3358">
        <f t="shared" si="52"/>
        <v>3357</v>
      </c>
    </row>
    <row r="3359" spans="1:1" x14ac:dyDescent="0.25">
      <c r="A3359">
        <f t="shared" si="52"/>
        <v>3358</v>
      </c>
    </row>
    <row r="3360" spans="1:1" x14ac:dyDescent="0.25">
      <c r="A3360">
        <f t="shared" si="52"/>
        <v>3359</v>
      </c>
    </row>
    <row r="3361" spans="1:1" x14ac:dyDescent="0.25">
      <c r="A3361">
        <f t="shared" si="52"/>
        <v>3360</v>
      </c>
    </row>
    <row r="3362" spans="1:1" x14ac:dyDescent="0.25">
      <c r="A3362">
        <f t="shared" si="52"/>
        <v>3361</v>
      </c>
    </row>
    <row r="3363" spans="1:1" x14ac:dyDescent="0.25">
      <c r="A3363">
        <f t="shared" si="52"/>
        <v>3362</v>
      </c>
    </row>
    <row r="3364" spans="1:1" x14ac:dyDescent="0.25">
      <c r="A3364">
        <f t="shared" si="52"/>
        <v>3363</v>
      </c>
    </row>
    <row r="3365" spans="1:1" x14ac:dyDescent="0.25">
      <c r="A3365">
        <f t="shared" si="52"/>
        <v>3364</v>
      </c>
    </row>
    <row r="3366" spans="1:1" x14ac:dyDescent="0.25">
      <c r="A3366">
        <f t="shared" si="52"/>
        <v>3365</v>
      </c>
    </row>
    <row r="3367" spans="1:1" x14ac:dyDescent="0.25">
      <c r="A3367">
        <f t="shared" si="52"/>
        <v>3366</v>
      </c>
    </row>
    <row r="3368" spans="1:1" x14ac:dyDescent="0.25">
      <c r="A3368">
        <f t="shared" si="52"/>
        <v>3367</v>
      </c>
    </row>
    <row r="3369" spans="1:1" x14ac:dyDescent="0.25">
      <c r="A3369">
        <f t="shared" si="52"/>
        <v>3368</v>
      </c>
    </row>
    <row r="3370" spans="1:1" x14ac:dyDescent="0.25">
      <c r="A3370">
        <f t="shared" si="52"/>
        <v>3369</v>
      </c>
    </row>
    <row r="3371" spans="1:1" x14ac:dyDescent="0.25">
      <c r="A3371">
        <f t="shared" si="52"/>
        <v>3370</v>
      </c>
    </row>
    <row r="3372" spans="1:1" x14ac:dyDescent="0.25">
      <c r="A3372">
        <f t="shared" si="52"/>
        <v>3371</v>
      </c>
    </row>
    <row r="3373" spans="1:1" x14ac:dyDescent="0.25">
      <c r="A3373">
        <f t="shared" si="52"/>
        <v>3372</v>
      </c>
    </row>
    <row r="3374" spans="1:1" x14ac:dyDescent="0.25">
      <c r="A3374">
        <f t="shared" si="52"/>
        <v>3373</v>
      </c>
    </row>
    <row r="3375" spans="1:1" x14ac:dyDescent="0.25">
      <c r="A3375">
        <f t="shared" si="52"/>
        <v>3374</v>
      </c>
    </row>
    <row r="3376" spans="1:1" x14ac:dyDescent="0.25">
      <c r="A3376">
        <f t="shared" si="52"/>
        <v>3375</v>
      </c>
    </row>
    <row r="3377" spans="1:1" x14ac:dyDescent="0.25">
      <c r="A3377">
        <f t="shared" si="52"/>
        <v>3376</v>
      </c>
    </row>
    <row r="3378" spans="1:1" x14ac:dyDescent="0.25">
      <c r="A3378">
        <f t="shared" si="52"/>
        <v>3377</v>
      </c>
    </row>
    <row r="3379" spans="1:1" x14ac:dyDescent="0.25">
      <c r="A3379">
        <f t="shared" si="52"/>
        <v>3378</v>
      </c>
    </row>
    <row r="3380" spans="1:1" x14ac:dyDescent="0.25">
      <c r="A3380">
        <f t="shared" si="52"/>
        <v>3379</v>
      </c>
    </row>
    <row r="3381" spans="1:1" x14ac:dyDescent="0.25">
      <c r="A3381">
        <f t="shared" si="52"/>
        <v>3380</v>
      </c>
    </row>
    <row r="3382" spans="1:1" x14ac:dyDescent="0.25">
      <c r="A3382">
        <f t="shared" si="52"/>
        <v>3381</v>
      </c>
    </row>
    <row r="3383" spans="1:1" x14ac:dyDescent="0.25">
      <c r="A3383">
        <f t="shared" si="52"/>
        <v>3382</v>
      </c>
    </row>
    <row r="3384" spans="1:1" x14ac:dyDescent="0.25">
      <c r="A3384">
        <f t="shared" si="52"/>
        <v>3383</v>
      </c>
    </row>
    <row r="3385" spans="1:1" x14ac:dyDescent="0.25">
      <c r="A3385">
        <f t="shared" si="52"/>
        <v>3384</v>
      </c>
    </row>
    <row r="3386" spans="1:1" x14ac:dyDescent="0.25">
      <c r="A3386">
        <f t="shared" si="52"/>
        <v>3385</v>
      </c>
    </row>
    <row r="3387" spans="1:1" x14ac:dyDescent="0.25">
      <c r="A3387">
        <f t="shared" si="52"/>
        <v>3386</v>
      </c>
    </row>
    <row r="3388" spans="1:1" x14ac:dyDescent="0.25">
      <c r="A3388">
        <f t="shared" si="52"/>
        <v>3387</v>
      </c>
    </row>
    <row r="3389" spans="1:1" x14ac:dyDescent="0.25">
      <c r="A3389">
        <f t="shared" si="52"/>
        <v>3388</v>
      </c>
    </row>
    <row r="3390" spans="1:1" x14ac:dyDescent="0.25">
      <c r="A3390">
        <f t="shared" si="52"/>
        <v>3389</v>
      </c>
    </row>
    <row r="3391" spans="1:1" x14ac:dyDescent="0.25">
      <c r="A3391">
        <f t="shared" si="52"/>
        <v>3390</v>
      </c>
    </row>
    <row r="3392" spans="1:1" x14ac:dyDescent="0.25">
      <c r="A3392">
        <f t="shared" si="52"/>
        <v>3391</v>
      </c>
    </row>
    <row r="3393" spans="1:1" x14ac:dyDescent="0.25">
      <c r="A3393">
        <f t="shared" si="52"/>
        <v>3392</v>
      </c>
    </row>
    <row r="3394" spans="1:1" x14ac:dyDescent="0.25">
      <c r="A3394">
        <f t="shared" si="52"/>
        <v>3393</v>
      </c>
    </row>
    <row r="3395" spans="1:1" x14ac:dyDescent="0.25">
      <c r="A3395">
        <f t="shared" si="52"/>
        <v>3394</v>
      </c>
    </row>
    <row r="3396" spans="1:1" x14ac:dyDescent="0.25">
      <c r="A3396">
        <f t="shared" ref="A3396:A3459" si="53">A3395+1</f>
        <v>3395</v>
      </c>
    </row>
    <row r="3397" spans="1:1" x14ac:dyDescent="0.25">
      <c r="A3397">
        <f t="shared" si="53"/>
        <v>3396</v>
      </c>
    </row>
    <row r="3398" spans="1:1" x14ac:dyDescent="0.25">
      <c r="A3398">
        <f t="shared" si="53"/>
        <v>3397</v>
      </c>
    </row>
    <row r="3399" spans="1:1" x14ac:dyDescent="0.25">
      <c r="A3399">
        <f t="shared" si="53"/>
        <v>3398</v>
      </c>
    </row>
    <row r="3400" spans="1:1" x14ac:dyDescent="0.25">
      <c r="A3400">
        <f t="shared" si="53"/>
        <v>3399</v>
      </c>
    </row>
    <row r="3401" spans="1:1" x14ac:dyDescent="0.25">
      <c r="A3401">
        <f t="shared" si="53"/>
        <v>3400</v>
      </c>
    </row>
    <row r="3402" spans="1:1" x14ac:dyDescent="0.25">
      <c r="A3402">
        <f t="shared" si="53"/>
        <v>3401</v>
      </c>
    </row>
    <row r="3403" spans="1:1" x14ac:dyDescent="0.25">
      <c r="A3403">
        <f t="shared" si="53"/>
        <v>3402</v>
      </c>
    </row>
    <row r="3404" spans="1:1" x14ac:dyDescent="0.25">
      <c r="A3404">
        <f t="shared" si="53"/>
        <v>3403</v>
      </c>
    </row>
    <row r="3405" spans="1:1" x14ac:dyDescent="0.25">
      <c r="A3405">
        <f t="shared" si="53"/>
        <v>3404</v>
      </c>
    </row>
    <row r="3406" spans="1:1" x14ac:dyDescent="0.25">
      <c r="A3406">
        <f t="shared" si="53"/>
        <v>3405</v>
      </c>
    </row>
    <row r="3407" spans="1:1" x14ac:dyDescent="0.25">
      <c r="A3407">
        <f t="shared" si="53"/>
        <v>3406</v>
      </c>
    </row>
    <row r="3408" spans="1:1" x14ac:dyDescent="0.25">
      <c r="A3408">
        <f t="shared" si="53"/>
        <v>3407</v>
      </c>
    </row>
    <row r="3409" spans="1:1" x14ac:dyDescent="0.25">
      <c r="A3409">
        <f t="shared" si="53"/>
        <v>3408</v>
      </c>
    </row>
    <row r="3410" spans="1:1" x14ac:dyDescent="0.25">
      <c r="A3410">
        <f t="shared" si="53"/>
        <v>3409</v>
      </c>
    </row>
    <row r="3411" spans="1:1" x14ac:dyDescent="0.25">
      <c r="A3411">
        <f t="shared" si="53"/>
        <v>3410</v>
      </c>
    </row>
    <row r="3412" spans="1:1" x14ac:dyDescent="0.25">
      <c r="A3412">
        <f t="shared" si="53"/>
        <v>3411</v>
      </c>
    </row>
    <row r="3413" spans="1:1" x14ac:dyDescent="0.25">
      <c r="A3413">
        <f t="shared" si="53"/>
        <v>3412</v>
      </c>
    </row>
    <row r="3414" spans="1:1" x14ac:dyDescent="0.25">
      <c r="A3414">
        <f t="shared" si="53"/>
        <v>3413</v>
      </c>
    </row>
    <row r="3415" spans="1:1" x14ac:dyDescent="0.25">
      <c r="A3415">
        <f t="shared" si="53"/>
        <v>3414</v>
      </c>
    </row>
    <row r="3416" spans="1:1" x14ac:dyDescent="0.25">
      <c r="A3416">
        <f t="shared" si="53"/>
        <v>3415</v>
      </c>
    </row>
    <row r="3417" spans="1:1" x14ac:dyDescent="0.25">
      <c r="A3417">
        <f t="shared" si="53"/>
        <v>3416</v>
      </c>
    </row>
    <row r="3418" spans="1:1" x14ac:dyDescent="0.25">
      <c r="A3418">
        <f t="shared" si="53"/>
        <v>3417</v>
      </c>
    </row>
    <row r="3419" spans="1:1" x14ac:dyDescent="0.25">
      <c r="A3419">
        <f t="shared" si="53"/>
        <v>3418</v>
      </c>
    </row>
    <row r="3420" spans="1:1" x14ac:dyDescent="0.25">
      <c r="A3420">
        <f t="shared" si="53"/>
        <v>3419</v>
      </c>
    </row>
    <row r="3421" spans="1:1" x14ac:dyDescent="0.25">
      <c r="A3421">
        <f t="shared" si="53"/>
        <v>3420</v>
      </c>
    </row>
    <row r="3422" spans="1:1" x14ac:dyDescent="0.25">
      <c r="A3422">
        <f t="shared" si="53"/>
        <v>3421</v>
      </c>
    </row>
    <row r="3423" spans="1:1" x14ac:dyDescent="0.25">
      <c r="A3423">
        <f t="shared" si="53"/>
        <v>3422</v>
      </c>
    </row>
    <row r="3424" spans="1:1" x14ac:dyDescent="0.25">
      <c r="A3424">
        <f t="shared" si="53"/>
        <v>3423</v>
      </c>
    </row>
    <row r="3425" spans="1:1" x14ac:dyDescent="0.25">
      <c r="A3425">
        <f t="shared" si="53"/>
        <v>3424</v>
      </c>
    </row>
    <row r="3426" spans="1:1" x14ac:dyDescent="0.25">
      <c r="A3426">
        <f t="shared" si="53"/>
        <v>3425</v>
      </c>
    </row>
    <row r="3427" spans="1:1" x14ac:dyDescent="0.25">
      <c r="A3427">
        <f t="shared" si="53"/>
        <v>3426</v>
      </c>
    </row>
    <row r="3428" spans="1:1" x14ac:dyDescent="0.25">
      <c r="A3428">
        <f t="shared" si="53"/>
        <v>3427</v>
      </c>
    </row>
    <row r="3429" spans="1:1" x14ac:dyDescent="0.25">
      <c r="A3429">
        <f t="shared" si="53"/>
        <v>3428</v>
      </c>
    </row>
    <row r="3430" spans="1:1" x14ac:dyDescent="0.25">
      <c r="A3430">
        <f t="shared" si="53"/>
        <v>3429</v>
      </c>
    </row>
    <row r="3431" spans="1:1" x14ac:dyDescent="0.25">
      <c r="A3431">
        <f t="shared" si="53"/>
        <v>3430</v>
      </c>
    </row>
    <row r="3432" spans="1:1" x14ac:dyDescent="0.25">
      <c r="A3432">
        <f t="shared" si="53"/>
        <v>3431</v>
      </c>
    </row>
    <row r="3433" spans="1:1" x14ac:dyDescent="0.25">
      <c r="A3433">
        <f t="shared" si="53"/>
        <v>3432</v>
      </c>
    </row>
    <row r="3434" spans="1:1" x14ac:dyDescent="0.25">
      <c r="A3434">
        <f t="shared" si="53"/>
        <v>3433</v>
      </c>
    </row>
    <row r="3435" spans="1:1" x14ac:dyDescent="0.25">
      <c r="A3435">
        <f t="shared" si="53"/>
        <v>3434</v>
      </c>
    </row>
    <row r="3436" spans="1:1" x14ac:dyDescent="0.25">
      <c r="A3436">
        <f t="shared" si="53"/>
        <v>3435</v>
      </c>
    </row>
    <row r="3437" spans="1:1" x14ac:dyDescent="0.25">
      <c r="A3437">
        <f t="shared" si="53"/>
        <v>3436</v>
      </c>
    </row>
    <row r="3438" spans="1:1" x14ac:dyDescent="0.25">
      <c r="A3438">
        <f t="shared" si="53"/>
        <v>3437</v>
      </c>
    </row>
    <row r="3439" spans="1:1" x14ac:dyDescent="0.25">
      <c r="A3439">
        <f t="shared" si="53"/>
        <v>3438</v>
      </c>
    </row>
    <row r="3440" spans="1:1" x14ac:dyDescent="0.25">
      <c r="A3440">
        <f t="shared" si="53"/>
        <v>3439</v>
      </c>
    </row>
    <row r="3441" spans="1:1" x14ac:dyDescent="0.25">
      <c r="A3441">
        <f t="shared" si="53"/>
        <v>3440</v>
      </c>
    </row>
    <row r="3442" spans="1:1" x14ac:dyDescent="0.25">
      <c r="A3442">
        <f t="shared" si="53"/>
        <v>3441</v>
      </c>
    </row>
    <row r="3443" spans="1:1" x14ac:dyDescent="0.25">
      <c r="A3443">
        <f t="shared" si="53"/>
        <v>3442</v>
      </c>
    </row>
    <row r="3444" spans="1:1" x14ac:dyDescent="0.25">
      <c r="A3444">
        <f t="shared" si="53"/>
        <v>3443</v>
      </c>
    </row>
    <row r="3445" spans="1:1" x14ac:dyDescent="0.25">
      <c r="A3445">
        <f t="shared" si="53"/>
        <v>3444</v>
      </c>
    </row>
    <row r="3446" spans="1:1" x14ac:dyDescent="0.25">
      <c r="A3446">
        <f t="shared" si="53"/>
        <v>3445</v>
      </c>
    </row>
    <row r="3447" spans="1:1" x14ac:dyDescent="0.25">
      <c r="A3447">
        <f t="shared" si="53"/>
        <v>3446</v>
      </c>
    </row>
    <row r="3448" spans="1:1" x14ac:dyDescent="0.25">
      <c r="A3448">
        <f t="shared" si="53"/>
        <v>3447</v>
      </c>
    </row>
    <row r="3449" spans="1:1" x14ac:dyDescent="0.25">
      <c r="A3449">
        <f t="shared" si="53"/>
        <v>3448</v>
      </c>
    </row>
    <row r="3450" spans="1:1" x14ac:dyDescent="0.25">
      <c r="A3450">
        <f t="shared" si="53"/>
        <v>3449</v>
      </c>
    </row>
    <row r="3451" spans="1:1" x14ac:dyDescent="0.25">
      <c r="A3451">
        <f t="shared" si="53"/>
        <v>3450</v>
      </c>
    </row>
    <row r="3452" spans="1:1" x14ac:dyDescent="0.25">
      <c r="A3452">
        <f t="shared" si="53"/>
        <v>3451</v>
      </c>
    </row>
    <row r="3453" spans="1:1" x14ac:dyDescent="0.25">
      <c r="A3453">
        <f t="shared" si="53"/>
        <v>3452</v>
      </c>
    </row>
    <row r="3454" spans="1:1" x14ac:dyDescent="0.25">
      <c r="A3454">
        <f t="shared" si="53"/>
        <v>3453</v>
      </c>
    </row>
    <row r="3455" spans="1:1" x14ac:dyDescent="0.25">
      <c r="A3455">
        <f t="shared" si="53"/>
        <v>3454</v>
      </c>
    </row>
    <row r="3456" spans="1:1" x14ac:dyDescent="0.25">
      <c r="A3456">
        <f t="shared" si="53"/>
        <v>3455</v>
      </c>
    </row>
    <row r="3457" spans="1:1" x14ac:dyDescent="0.25">
      <c r="A3457">
        <f t="shared" si="53"/>
        <v>3456</v>
      </c>
    </row>
    <row r="3458" spans="1:1" x14ac:dyDescent="0.25">
      <c r="A3458">
        <f t="shared" si="53"/>
        <v>3457</v>
      </c>
    </row>
    <row r="3459" spans="1:1" x14ac:dyDescent="0.25">
      <c r="A3459">
        <f t="shared" si="53"/>
        <v>3458</v>
      </c>
    </row>
    <row r="3460" spans="1:1" x14ac:dyDescent="0.25">
      <c r="A3460">
        <f t="shared" ref="A3460:A3523" si="54">A3459+1</f>
        <v>3459</v>
      </c>
    </row>
    <row r="3461" spans="1:1" x14ac:dyDescent="0.25">
      <c r="A3461">
        <f t="shared" si="54"/>
        <v>3460</v>
      </c>
    </row>
    <row r="3462" spans="1:1" x14ac:dyDescent="0.25">
      <c r="A3462">
        <f t="shared" si="54"/>
        <v>3461</v>
      </c>
    </row>
    <row r="3463" spans="1:1" x14ac:dyDescent="0.25">
      <c r="A3463">
        <f t="shared" si="54"/>
        <v>3462</v>
      </c>
    </row>
    <row r="3464" spans="1:1" x14ac:dyDescent="0.25">
      <c r="A3464">
        <f t="shared" si="54"/>
        <v>3463</v>
      </c>
    </row>
    <row r="3465" spans="1:1" x14ac:dyDescent="0.25">
      <c r="A3465">
        <f t="shared" si="54"/>
        <v>3464</v>
      </c>
    </row>
    <row r="3466" spans="1:1" x14ac:dyDescent="0.25">
      <c r="A3466">
        <f t="shared" si="54"/>
        <v>3465</v>
      </c>
    </row>
    <row r="3467" spans="1:1" x14ac:dyDescent="0.25">
      <c r="A3467">
        <f t="shared" si="54"/>
        <v>3466</v>
      </c>
    </row>
    <row r="3468" spans="1:1" x14ac:dyDescent="0.25">
      <c r="A3468">
        <f t="shared" si="54"/>
        <v>3467</v>
      </c>
    </row>
    <row r="3469" spans="1:1" x14ac:dyDescent="0.25">
      <c r="A3469">
        <f t="shared" si="54"/>
        <v>3468</v>
      </c>
    </row>
    <row r="3470" spans="1:1" x14ac:dyDescent="0.25">
      <c r="A3470">
        <f t="shared" si="54"/>
        <v>3469</v>
      </c>
    </row>
    <row r="3471" spans="1:1" x14ac:dyDescent="0.25">
      <c r="A3471">
        <f t="shared" si="54"/>
        <v>3470</v>
      </c>
    </row>
    <row r="3472" spans="1:1" x14ac:dyDescent="0.25">
      <c r="A3472">
        <f t="shared" si="54"/>
        <v>3471</v>
      </c>
    </row>
    <row r="3473" spans="1:1" x14ac:dyDescent="0.25">
      <c r="A3473">
        <f t="shared" si="54"/>
        <v>3472</v>
      </c>
    </row>
    <row r="3474" spans="1:1" x14ac:dyDescent="0.25">
      <c r="A3474">
        <f t="shared" si="54"/>
        <v>3473</v>
      </c>
    </row>
    <row r="3475" spans="1:1" x14ac:dyDescent="0.25">
      <c r="A3475">
        <f t="shared" si="54"/>
        <v>3474</v>
      </c>
    </row>
    <row r="3476" spans="1:1" x14ac:dyDescent="0.25">
      <c r="A3476">
        <f t="shared" si="54"/>
        <v>3475</v>
      </c>
    </row>
    <row r="3477" spans="1:1" x14ac:dyDescent="0.25">
      <c r="A3477">
        <f t="shared" si="54"/>
        <v>3476</v>
      </c>
    </row>
    <row r="3478" spans="1:1" x14ac:dyDescent="0.25">
      <c r="A3478">
        <f t="shared" si="54"/>
        <v>3477</v>
      </c>
    </row>
    <row r="3479" spans="1:1" x14ac:dyDescent="0.25">
      <c r="A3479">
        <f t="shared" si="54"/>
        <v>3478</v>
      </c>
    </row>
    <row r="3480" spans="1:1" x14ac:dyDescent="0.25">
      <c r="A3480">
        <f t="shared" si="54"/>
        <v>3479</v>
      </c>
    </row>
    <row r="3481" spans="1:1" x14ac:dyDescent="0.25">
      <c r="A3481">
        <f t="shared" si="54"/>
        <v>3480</v>
      </c>
    </row>
    <row r="3482" spans="1:1" x14ac:dyDescent="0.25">
      <c r="A3482">
        <f t="shared" si="54"/>
        <v>3481</v>
      </c>
    </row>
    <row r="3483" spans="1:1" x14ac:dyDescent="0.25">
      <c r="A3483">
        <f t="shared" si="54"/>
        <v>3482</v>
      </c>
    </row>
    <row r="3484" spans="1:1" x14ac:dyDescent="0.25">
      <c r="A3484">
        <f t="shared" si="54"/>
        <v>3483</v>
      </c>
    </row>
    <row r="3485" spans="1:1" x14ac:dyDescent="0.25">
      <c r="A3485">
        <f t="shared" si="54"/>
        <v>3484</v>
      </c>
    </row>
    <row r="3486" spans="1:1" x14ac:dyDescent="0.25">
      <c r="A3486">
        <f t="shared" si="54"/>
        <v>3485</v>
      </c>
    </row>
    <row r="3487" spans="1:1" x14ac:dyDescent="0.25">
      <c r="A3487">
        <f t="shared" si="54"/>
        <v>3486</v>
      </c>
    </row>
    <row r="3488" spans="1:1" x14ac:dyDescent="0.25">
      <c r="A3488">
        <f t="shared" si="54"/>
        <v>3487</v>
      </c>
    </row>
    <row r="3489" spans="1:1" x14ac:dyDescent="0.25">
      <c r="A3489">
        <f t="shared" si="54"/>
        <v>3488</v>
      </c>
    </row>
    <row r="3490" spans="1:1" x14ac:dyDescent="0.25">
      <c r="A3490">
        <f t="shared" si="54"/>
        <v>3489</v>
      </c>
    </row>
    <row r="3491" spans="1:1" x14ac:dyDescent="0.25">
      <c r="A3491">
        <f t="shared" si="54"/>
        <v>3490</v>
      </c>
    </row>
    <row r="3492" spans="1:1" x14ac:dyDescent="0.25">
      <c r="A3492">
        <f t="shared" si="54"/>
        <v>3491</v>
      </c>
    </row>
    <row r="3493" spans="1:1" x14ac:dyDescent="0.25">
      <c r="A3493">
        <f t="shared" si="54"/>
        <v>3492</v>
      </c>
    </row>
    <row r="3494" spans="1:1" x14ac:dyDescent="0.25">
      <c r="A3494">
        <f t="shared" si="54"/>
        <v>3493</v>
      </c>
    </row>
    <row r="3495" spans="1:1" x14ac:dyDescent="0.25">
      <c r="A3495">
        <f t="shared" si="54"/>
        <v>3494</v>
      </c>
    </row>
    <row r="3496" spans="1:1" x14ac:dyDescent="0.25">
      <c r="A3496">
        <f t="shared" si="54"/>
        <v>3495</v>
      </c>
    </row>
    <row r="3497" spans="1:1" x14ac:dyDescent="0.25">
      <c r="A3497">
        <f t="shared" si="54"/>
        <v>3496</v>
      </c>
    </row>
    <row r="3498" spans="1:1" x14ac:dyDescent="0.25">
      <c r="A3498">
        <f t="shared" si="54"/>
        <v>3497</v>
      </c>
    </row>
    <row r="3499" spans="1:1" x14ac:dyDescent="0.25">
      <c r="A3499">
        <f t="shared" si="54"/>
        <v>3498</v>
      </c>
    </row>
    <row r="3500" spans="1:1" x14ac:dyDescent="0.25">
      <c r="A3500">
        <f t="shared" si="54"/>
        <v>3499</v>
      </c>
    </row>
    <row r="3501" spans="1:1" x14ac:dyDescent="0.25">
      <c r="A3501">
        <f t="shared" si="54"/>
        <v>3500</v>
      </c>
    </row>
    <row r="3502" spans="1:1" x14ac:dyDescent="0.25">
      <c r="A3502">
        <f t="shared" si="54"/>
        <v>3501</v>
      </c>
    </row>
    <row r="3503" spans="1:1" x14ac:dyDescent="0.25">
      <c r="A3503">
        <f t="shared" si="54"/>
        <v>3502</v>
      </c>
    </row>
    <row r="3504" spans="1:1" x14ac:dyDescent="0.25">
      <c r="A3504">
        <f t="shared" si="54"/>
        <v>3503</v>
      </c>
    </row>
    <row r="3505" spans="1:1" x14ac:dyDescent="0.25">
      <c r="A3505">
        <f t="shared" si="54"/>
        <v>3504</v>
      </c>
    </row>
    <row r="3506" spans="1:1" x14ac:dyDescent="0.25">
      <c r="A3506">
        <f t="shared" si="54"/>
        <v>3505</v>
      </c>
    </row>
    <row r="3507" spans="1:1" x14ac:dyDescent="0.25">
      <c r="A3507">
        <f t="shared" si="54"/>
        <v>3506</v>
      </c>
    </row>
    <row r="3508" spans="1:1" x14ac:dyDescent="0.25">
      <c r="A3508">
        <f t="shared" si="54"/>
        <v>3507</v>
      </c>
    </row>
    <row r="3509" spans="1:1" x14ac:dyDescent="0.25">
      <c r="A3509">
        <f t="shared" si="54"/>
        <v>3508</v>
      </c>
    </row>
    <row r="3510" spans="1:1" x14ac:dyDescent="0.25">
      <c r="A3510">
        <f t="shared" si="54"/>
        <v>3509</v>
      </c>
    </row>
    <row r="3511" spans="1:1" x14ac:dyDescent="0.25">
      <c r="A3511">
        <f t="shared" si="54"/>
        <v>3510</v>
      </c>
    </row>
    <row r="3512" spans="1:1" x14ac:dyDescent="0.25">
      <c r="A3512">
        <f t="shared" si="54"/>
        <v>3511</v>
      </c>
    </row>
    <row r="3513" spans="1:1" x14ac:dyDescent="0.25">
      <c r="A3513">
        <f t="shared" si="54"/>
        <v>3512</v>
      </c>
    </row>
    <row r="3514" spans="1:1" x14ac:dyDescent="0.25">
      <c r="A3514">
        <f t="shared" si="54"/>
        <v>3513</v>
      </c>
    </row>
    <row r="3515" spans="1:1" x14ac:dyDescent="0.25">
      <c r="A3515">
        <f t="shared" si="54"/>
        <v>3514</v>
      </c>
    </row>
    <row r="3516" spans="1:1" x14ac:dyDescent="0.25">
      <c r="A3516">
        <f t="shared" si="54"/>
        <v>3515</v>
      </c>
    </row>
    <row r="3517" spans="1:1" x14ac:dyDescent="0.25">
      <c r="A3517">
        <f t="shared" si="54"/>
        <v>3516</v>
      </c>
    </row>
    <row r="3518" spans="1:1" x14ac:dyDescent="0.25">
      <c r="A3518">
        <f t="shared" si="54"/>
        <v>3517</v>
      </c>
    </row>
    <row r="3519" spans="1:1" x14ac:dyDescent="0.25">
      <c r="A3519">
        <f t="shared" si="54"/>
        <v>3518</v>
      </c>
    </row>
    <row r="3520" spans="1:1" x14ac:dyDescent="0.25">
      <c r="A3520">
        <f t="shared" si="54"/>
        <v>3519</v>
      </c>
    </row>
    <row r="3521" spans="1:1" x14ac:dyDescent="0.25">
      <c r="A3521">
        <f t="shared" si="54"/>
        <v>3520</v>
      </c>
    </row>
    <row r="3522" spans="1:1" x14ac:dyDescent="0.25">
      <c r="A3522">
        <f t="shared" si="54"/>
        <v>3521</v>
      </c>
    </row>
    <row r="3523" spans="1:1" x14ac:dyDescent="0.25">
      <c r="A3523">
        <f t="shared" si="54"/>
        <v>3522</v>
      </c>
    </row>
    <row r="3524" spans="1:1" x14ac:dyDescent="0.25">
      <c r="A3524">
        <f t="shared" ref="A3524:A3587" si="55">A3523+1</f>
        <v>3523</v>
      </c>
    </row>
    <row r="3525" spans="1:1" x14ac:dyDescent="0.25">
      <c r="A3525">
        <f t="shared" si="55"/>
        <v>3524</v>
      </c>
    </row>
    <row r="3526" spans="1:1" x14ac:dyDescent="0.25">
      <c r="A3526">
        <f t="shared" si="55"/>
        <v>3525</v>
      </c>
    </row>
    <row r="3527" spans="1:1" x14ac:dyDescent="0.25">
      <c r="A3527">
        <f t="shared" si="55"/>
        <v>3526</v>
      </c>
    </row>
    <row r="3528" spans="1:1" x14ac:dyDescent="0.25">
      <c r="A3528">
        <f t="shared" si="55"/>
        <v>3527</v>
      </c>
    </row>
    <row r="3529" spans="1:1" x14ac:dyDescent="0.25">
      <c r="A3529">
        <f t="shared" si="55"/>
        <v>3528</v>
      </c>
    </row>
    <row r="3530" spans="1:1" x14ac:dyDescent="0.25">
      <c r="A3530">
        <f t="shared" si="55"/>
        <v>3529</v>
      </c>
    </row>
    <row r="3531" spans="1:1" x14ac:dyDescent="0.25">
      <c r="A3531">
        <f t="shared" si="55"/>
        <v>3530</v>
      </c>
    </row>
    <row r="3532" spans="1:1" x14ac:dyDescent="0.25">
      <c r="A3532">
        <f t="shared" si="55"/>
        <v>3531</v>
      </c>
    </row>
    <row r="3533" spans="1:1" x14ac:dyDescent="0.25">
      <c r="A3533">
        <f t="shared" si="55"/>
        <v>3532</v>
      </c>
    </row>
    <row r="3534" spans="1:1" x14ac:dyDescent="0.25">
      <c r="A3534">
        <f t="shared" si="55"/>
        <v>3533</v>
      </c>
    </row>
    <row r="3535" spans="1:1" x14ac:dyDescent="0.25">
      <c r="A3535">
        <f t="shared" si="55"/>
        <v>3534</v>
      </c>
    </row>
    <row r="3536" spans="1:1" x14ac:dyDescent="0.25">
      <c r="A3536">
        <f t="shared" si="55"/>
        <v>3535</v>
      </c>
    </row>
    <row r="3537" spans="1:1" x14ac:dyDescent="0.25">
      <c r="A3537">
        <f t="shared" si="55"/>
        <v>3536</v>
      </c>
    </row>
    <row r="3538" spans="1:1" x14ac:dyDescent="0.25">
      <c r="A3538">
        <f t="shared" si="55"/>
        <v>3537</v>
      </c>
    </row>
    <row r="3539" spans="1:1" x14ac:dyDescent="0.25">
      <c r="A3539">
        <f t="shared" si="55"/>
        <v>3538</v>
      </c>
    </row>
    <row r="3540" spans="1:1" x14ac:dyDescent="0.25">
      <c r="A3540">
        <f t="shared" si="55"/>
        <v>3539</v>
      </c>
    </row>
    <row r="3541" spans="1:1" x14ac:dyDescent="0.25">
      <c r="A3541">
        <f t="shared" si="55"/>
        <v>3540</v>
      </c>
    </row>
    <row r="3542" spans="1:1" x14ac:dyDescent="0.25">
      <c r="A3542">
        <f t="shared" si="55"/>
        <v>3541</v>
      </c>
    </row>
    <row r="3543" spans="1:1" x14ac:dyDescent="0.25">
      <c r="A3543">
        <f t="shared" si="55"/>
        <v>3542</v>
      </c>
    </row>
    <row r="3544" spans="1:1" x14ac:dyDescent="0.25">
      <c r="A3544">
        <f t="shared" si="55"/>
        <v>3543</v>
      </c>
    </row>
    <row r="3545" spans="1:1" x14ac:dyDescent="0.25">
      <c r="A3545">
        <f t="shared" si="55"/>
        <v>3544</v>
      </c>
    </row>
    <row r="3546" spans="1:1" x14ac:dyDescent="0.25">
      <c r="A3546">
        <f t="shared" si="55"/>
        <v>3545</v>
      </c>
    </row>
    <row r="3547" spans="1:1" x14ac:dyDescent="0.25">
      <c r="A3547">
        <f t="shared" si="55"/>
        <v>3546</v>
      </c>
    </row>
    <row r="3548" spans="1:1" x14ac:dyDescent="0.25">
      <c r="A3548">
        <f t="shared" si="55"/>
        <v>3547</v>
      </c>
    </row>
    <row r="3549" spans="1:1" x14ac:dyDescent="0.25">
      <c r="A3549">
        <f t="shared" si="55"/>
        <v>3548</v>
      </c>
    </row>
    <row r="3550" spans="1:1" x14ac:dyDescent="0.25">
      <c r="A3550">
        <f t="shared" si="55"/>
        <v>3549</v>
      </c>
    </row>
    <row r="3551" spans="1:1" x14ac:dyDescent="0.25">
      <c r="A3551">
        <f t="shared" si="55"/>
        <v>3550</v>
      </c>
    </row>
    <row r="3552" spans="1:1" x14ac:dyDescent="0.25">
      <c r="A3552">
        <f t="shared" si="55"/>
        <v>3551</v>
      </c>
    </row>
    <row r="3553" spans="1:1" x14ac:dyDescent="0.25">
      <c r="A3553">
        <f t="shared" si="55"/>
        <v>3552</v>
      </c>
    </row>
    <row r="3554" spans="1:1" x14ac:dyDescent="0.25">
      <c r="A3554">
        <f t="shared" si="55"/>
        <v>3553</v>
      </c>
    </row>
    <row r="3555" spans="1:1" x14ac:dyDescent="0.25">
      <c r="A3555">
        <f t="shared" si="55"/>
        <v>3554</v>
      </c>
    </row>
    <row r="3556" spans="1:1" x14ac:dyDescent="0.25">
      <c r="A3556">
        <f t="shared" si="55"/>
        <v>3555</v>
      </c>
    </row>
    <row r="3557" spans="1:1" x14ac:dyDescent="0.25">
      <c r="A3557">
        <f t="shared" si="55"/>
        <v>3556</v>
      </c>
    </row>
    <row r="3558" spans="1:1" x14ac:dyDescent="0.25">
      <c r="A3558">
        <f t="shared" si="55"/>
        <v>3557</v>
      </c>
    </row>
    <row r="3559" spans="1:1" x14ac:dyDescent="0.25">
      <c r="A3559">
        <f t="shared" si="55"/>
        <v>3558</v>
      </c>
    </row>
    <row r="3560" spans="1:1" x14ac:dyDescent="0.25">
      <c r="A3560">
        <f t="shared" si="55"/>
        <v>3559</v>
      </c>
    </row>
    <row r="3561" spans="1:1" x14ac:dyDescent="0.25">
      <c r="A3561">
        <f t="shared" si="55"/>
        <v>3560</v>
      </c>
    </row>
    <row r="3562" spans="1:1" x14ac:dyDescent="0.25">
      <c r="A3562">
        <f t="shared" si="55"/>
        <v>3561</v>
      </c>
    </row>
    <row r="3563" spans="1:1" x14ac:dyDescent="0.25">
      <c r="A3563">
        <f t="shared" si="55"/>
        <v>3562</v>
      </c>
    </row>
    <row r="3564" spans="1:1" x14ac:dyDescent="0.25">
      <c r="A3564">
        <f t="shared" si="55"/>
        <v>3563</v>
      </c>
    </row>
    <row r="3565" spans="1:1" x14ac:dyDescent="0.25">
      <c r="A3565">
        <f t="shared" si="55"/>
        <v>3564</v>
      </c>
    </row>
    <row r="3566" spans="1:1" x14ac:dyDescent="0.25">
      <c r="A3566">
        <f t="shared" si="55"/>
        <v>3565</v>
      </c>
    </row>
    <row r="3567" spans="1:1" x14ac:dyDescent="0.25">
      <c r="A3567">
        <f t="shared" si="55"/>
        <v>3566</v>
      </c>
    </row>
    <row r="3568" spans="1:1" x14ac:dyDescent="0.25">
      <c r="A3568">
        <f t="shared" si="55"/>
        <v>3567</v>
      </c>
    </row>
    <row r="3569" spans="1:1" x14ac:dyDescent="0.25">
      <c r="A3569">
        <f t="shared" si="55"/>
        <v>3568</v>
      </c>
    </row>
    <row r="3570" spans="1:1" x14ac:dyDescent="0.25">
      <c r="A3570">
        <f t="shared" si="55"/>
        <v>3569</v>
      </c>
    </row>
    <row r="3571" spans="1:1" x14ac:dyDescent="0.25">
      <c r="A3571">
        <f t="shared" si="55"/>
        <v>3570</v>
      </c>
    </row>
    <row r="3572" spans="1:1" x14ac:dyDescent="0.25">
      <c r="A3572">
        <f t="shared" si="55"/>
        <v>3571</v>
      </c>
    </row>
    <row r="3573" spans="1:1" x14ac:dyDescent="0.25">
      <c r="A3573">
        <f t="shared" si="55"/>
        <v>3572</v>
      </c>
    </row>
    <row r="3574" spans="1:1" x14ac:dyDescent="0.25">
      <c r="A3574">
        <f t="shared" si="55"/>
        <v>3573</v>
      </c>
    </row>
    <row r="3575" spans="1:1" x14ac:dyDescent="0.25">
      <c r="A3575">
        <f t="shared" si="55"/>
        <v>3574</v>
      </c>
    </row>
    <row r="3576" spans="1:1" x14ac:dyDescent="0.25">
      <c r="A3576">
        <f t="shared" si="55"/>
        <v>3575</v>
      </c>
    </row>
    <row r="3577" spans="1:1" x14ac:dyDescent="0.25">
      <c r="A3577">
        <f t="shared" si="55"/>
        <v>3576</v>
      </c>
    </row>
    <row r="3578" spans="1:1" x14ac:dyDescent="0.25">
      <c r="A3578">
        <f t="shared" si="55"/>
        <v>3577</v>
      </c>
    </row>
    <row r="3579" spans="1:1" x14ac:dyDescent="0.25">
      <c r="A3579">
        <f t="shared" si="55"/>
        <v>3578</v>
      </c>
    </row>
    <row r="3580" spans="1:1" x14ac:dyDescent="0.25">
      <c r="A3580">
        <f t="shared" si="55"/>
        <v>3579</v>
      </c>
    </row>
    <row r="3581" spans="1:1" x14ac:dyDescent="0.25">
      <c r="A3581">
        <f t="shared" si="55"/>
        <v>3580</v>
      </c>
    </row>
    <row r="3582" spans="1:1" x14ac:dyDescent="0.25">
      <c r="A3582">
        <f t="shared" si="55"/>
        <v>3581</v>
      </c>
    </row>
    <row r="3583" spans="1:1" x14ac:dyDescent="0.25">
      <c r="A3583">
        <f t="shared" si="55"/>
        <v>3582</v>
      </c>
    </row>
    <row r="3584" spans="1:1" x14ac:dyDescent="0.25">
      <c r="A3584">
        <f t="shared" si="55"/>
        <v>3583</v>
      </c>
    </row>
    <row r="3585" spans="1:1" x14ac:dyDescent="0.25">
      <c r="A3585">
        <f t="shared" si="55"/>
        <v>3584</v>
      </c>
    </row>
    <row r="3586" spans="1:1" x14ac:dyDescent="0.25">
      <c r="A3586">
        <f t="shared" si="55"/>
        <v>3585</v>
      </c>
    </row>
    <row r="3587" spans="1:1" x14ac:dyDescent="0.25">
      <c r="A3587">
        <f t="shared" si="55"/>
        <v>3586</v>
      </c>
    </row>
    <row r="3588" spans="1:1" x14ac:dyDescent="0.25">
      <c r="A3588">
        <f t="shared" ref="A3588:A3651" si="56">A3587+1</f>
        <v>3587</v>
      </c>
    </row>
    <row r="3589" spans="1:1" x14ac:dyDescent="0.25">
      <c r="A3589">
        <f t="shared" si="56"/>
        <v>3588</v>
      </c>
    </row>
    <row r="3590" spans="1:1" x14ac:dyDescent="0.25">
      <c r="A3590">
        <f t="shared" si="56"/>
        <v>3589</v>
      </c>
    </row>
    <row r="3591" spans="1:1" x14ac:dyDescent="0.25">
      <c r="A3591">
        <f t="shared" si="56"/>
        <v>3590</v>
      </c>
    </row>
    <row r="3592" spans="1:1" x14ac:dyDescent="0.25">
      <c r="A3592">
        <f t="shared" si="56"/>
        <v>3591</v>
      </c>
    </row>
    <row r="3593" spans="1:1" x14ac:dyDescent="0.25">
      <c r="A3593">
        <f t="shared" si="56"/>
        <v>3592</v>
      </c>
    </row>
    <row r="3594" spans="1:1" x14ac:dyDescent="0.25">
      <c r="A3594">
        <f t="shared" si="56"/>
        <v>3593</v>
      </c>
    </row>
    <row r="3595" spans="1:1" x14ac:dyDescent="0.25">
      <c r="A3595">
        <f t="shared" si="56"/>
        <v>3594</v>
      </c>
    </row>
    <row r="3596" spans="1:1" x14ac:dyDescent="0.25">
      <c r="A3596">
        <f t="shared" si="56"/>
        <v>3595</v>
      </c>
    </row>
    <row r="3597" spans="1:1" x14ac:dyDescent="0.25">
      <c r="A3597">
        <f t="shared" si="56"/>
        <v>3596</v>
      </c>
    </row>
    <row r="3598" spans="1:1" x14ac:dyDescent="0.25">
      <c r="A3598">
        <f t="shared" si="56"/>
        <v>3597</v>
      </c>
    </row>
    <row r="3599" spans="1:1" x14ac:dyDescent="0.25">
      <c r="A3599">
        <f t="shared" si="56"/>
        <v>3598</v>
      </c>
    </row>
    <row r="3600" spans="1:1" x14ac:dyDescent="0.25">
      <c r="A3600">
        <f t="shared" si="56"/>
        <v>3599</v>
      </c>
    </row>
    <row r="3601" spans="1:1" x14ac:dyDescent="0.25">
      <c r="A3601">
        <f t="shared" si="56"/>
        <v>3600</v>
      </c>
    </row>
    <row r="3602" spans="1:1" x14ac:dyDescent="0.25">
      <c r="A3602">
        <f t="shared" si="56"/>
        <v>3601</v>
      </c>
    </row>
    <row r="3603" spans="1:1" x14ac:dyDescent="0.25">
      <c r="A3603">
        <f t="shared" si="56"/>
        <v>3602</v>
      </c>
    </row>
    <row r="3604" spans="1:1" x14ac:dyDescent="0.25">
      <c r="A3604">
        <f t="shared" si="56"/>
        <v>3603</v>
      </c>
    </row>
    <row r="3605" spans="1:1" x14ac:dyDescent="0.25">
      <c r="A3605">
        <f t="shared" si="56"/>
        <v>3604</v>
      </c>
    </row>
    <row r="3606" spans="1:1" x14ac:dyDescent="0.25">
      <c r="A3606">
        <f t="shared" si="56"/>
        <v>3605</v>
      </c>
    </row>
    <row r="3607" spans="1:1" x14ac:dyDescent="0.25">
      <c r="A3607">
        <f t="shared" si="56"/>
        <v>3606</v>
      </c>
    </row>
    <row r="3608" spans="1:1" x14ac:dyDescent="0.25">
      <c r="A3608">
        <f t="shared" si="56"/>
        <v>3607</v>
      </c>
    </row>
    <row r="3609" spans="1:1" x14ac:dyDescent="0.25">
      <c r="A3609">
        <f t="shared" si="56"/>
        <v>3608</v>
      </c>
    </row>
    <row r="3610" spans="1:1" x14ac:dyDescent="0.25">
      <c r="A3610">
        <f t="shared" si="56"/>
        <v>3609</v>
      </c>
    </row>
    <row r="3611" spans="1:1" x14ac:dyDescent="0.25">
      <c r="A3611">
        <f t="shared" si="56"/>
        <v>3610</v>
      </c>
    </row>
    <row r="3612" spans="1:1" x14ac:dyDescent="0.25">
      <c r="A3612">
        <f t="shared" si="56"/>
        <v>3611</v>
      </c>
    </row>
    <row r="3613" spans="1:1" x14ac:dyDescent="0.25">
      <c r="A3613">
        <f t="shared" si="56"/>
        <v>3612</v>
      </c>
    </row>
    <row r="3614" spans="1:1" x14ac:dyDescent="0.25">
      <c r="A3614">
        <f t="shared" si="56"/>
        <v>3613</v>
      </c>
    </row>
    <row r="3615" spans="1:1" x14ac:dyDescent="0.25">
      <c r="A3615">
        <f t="shared" si="56"/>
        <v>3614</v>
      </c>
    </row>
    <row r="3616" spans="1:1" x14ac:dyDescent="0.25">
      <c r="A3616">
        <f t="shared" si="56"/>
        <v>3615</v>
      </c>
    </row>
    <row r="3617" spans="1:1" x14ac:dyDescent="0.25">
      <c r="A3617">
        <f t="shared" si="56"/>
        <v>3616</v>
      </c>
    </row>
    <row r="3618" spans="1:1" x14ac:dyDescent="0.25">
      <c r="A3618">
        <f t="shared" si="56"/>
        <v>3617</v>
      </c>
    </row>
    <row r="3619" spans="1:1" x14ac:dyDescent="0.25">
      <c r="A3619">
        <f t="shared" si="56"/>
        <v>3618</v>
      </c>
    </row>
    <row r="3620" spans="1:1" x14ac:dyDescent="0.25">
      <c r="A3620">
        <f t="shared" si="56"/>
        <v>3619</v>
      </c>
    </row>
    <row r="3621" spans="1:1" x14ac:dyDescent="0.25">
      <c r="A3621">
        <f t="shared" si="56"/>
        <v>3620</v>
      </c>
    </row>
    <row r="3622" spans="1:1" x14ac:dyDescent="0.25">
      <c r="A3622">
        <f t="shared" si="56"/>
        <v>3621</v>
      </c>
    </row>
    <row r="3623" spans="1:1" x14ac:dyDescent="0.25">
      <c r="A3623">
        <f t="shared" si="56"/>
        <v>3622</v>
      </c>
    </row>
    <row r="3624" spans="1:1" x14ac:dyDescent="0.25">
      <c r="A3624">
        <f t="shared" si="56"/>
        <v>3623</v>
      </c>
    </row>
    <row r="3625" spans="1:1" x14ac:dyDescent="0.25">
      <c r="A3625">
        <f t="shared" si="56"/>
        <v>3624</v>
      </c>
    </row>
    <row r="3626" spans="1:1" x14ac:dyDescent="0.25">
      <c r="A3626">
        <f t="shared" si="56"/>
        <v>3625</v>
      </c>
    </row>
    <row r="3627" spans="1:1" x14ac:dyDescent="0.25">
      <c r="A3627">
        <f t="shared" si="56"/>
        <v>3626</v>
      </c>
    </row>
    <row r="3628" spans="1:1" x14ac:dyDescent="0.25">
      <c r="A3628">
        <f t="shared" si="56"/>
        <v>3627</v>
      </c>
    </row>
    <row r="3629" spans="1:1" x14ac:dyDescent="0.25">
      <c r="A3629">
        <f t="shared" si="56"/>
        <v>3628</v>
      </c>
    </row>
    <row r="3630" spans="1:1" x14ac:dyDescent="0.25">
      <c r="A3630">
        <f t="shared" si="56"/>
        <v>3629</v>
      </c>
    </row>
    <row r="3631" spans="1:1" x14ac:dyDescent="0.25">
      <c r="A3631">
        <f t="shared" si="56"/>
        <v>3630</v>
      </c>
    </row>
    <row r="3632" spans="1:1" x14ac:dyDescent="0.25">
      <c r="A3632">
        <f t="shared" si="56"/>
        <v>3631</v>
      </c>
    </row>
    <row r="3633" spans="1:1" x14ac:dyDescent="0.25">
      <c r="A3633">
        <f t="shared" si="56"/>
        <v>3632</v>
      </c>
    </row>
    <row r="3634" spans="1:1" x14ac:dyDescent="0.25">
      <c r="A3634">
        <f t="shared" si="56"/>
        <v>3633</v>
      </c>
    </row>
    <row r="3635" spans="1:1" x14ac:dyDescent="0.25">
      <c r="A3635">
        <f t="shared" si="56"/>
        <v>3634</v>
      </c>
    </row>
    <row r="3636" spans="1:1" x14ac:dyDescent="0.25">
      <c r="A3636">
        <f t="shared" si="56"/>
        <v>3635</v>
      </c>
    </row>
    <row r="3637" spans="1:1" x14ac:dyDescent="0.25">
      <c r="A3637">
        <f t="shared" si="56"/>
        <v>3636</v>
      </c>
    </row>
    <row r="3638" spans="1:1" x14ac:dyDescent="0.25">
      <c r="A3638">
        <f t="shared" si="56"/>
        <v>3637</v>
      </c>
    </row>
    <row r="3639" spans="1:1" x14ac:dyDescent="0.25">
      <c r="A3639">
        <f t="shared" si="56"/>
        <v>3638</v>
      </c>
    </row>
    <row r="3640" spans="1:1" x14ac:dyDescent="0.25">
      <c r="A3640">
        <f t="shared" si="56"/>
        <v>3639</v>
      </c>
    </row>
    <row r="3641" spans="1:1" x14ac:dyDescent="0.25">
      <c r="A3641">
        <f t="shared" si="56"/>
        <v>3640</v>
      </c>
    </row>
    <row r="3642" spans="1:1" x14ac:dyDescent="0.25">
      <c r="A3642">
        <f t="shared" si="56"/>
        <v>3641</v>
      </c>
    </row>
    <row r="3643" spans="1:1" x14ac:dyDescent="0.25">
      <c r="A3643">
        <f t="shared" si="56"/>
        <v>3642</v>
      </c>
    </row>
    <row r="3644" spans="1:1" x14ac:dyDescent="0.25">
      <c r="A3644">
        <f t="shared" si="56"/>
        <v>3643</v>
      </c>
    </row>
    <row r="3645" spans="1:1" x14ac:dyDescent="0.25">
      <c r="A3645">
        <f t="shared" si="56"/>
        <v>3644</v>
      </c>
    </row>
    <row r="3646" spans="1:1" x14ac:dyDescent="0.25">
      <c r="A3646">
        <f t="shared" si="56"/>
        <v>3645</v>
      </c>
    </row>
    <row r="3647" spans="1:1" x14ac:dyDescent="0.25">
      <c r="A3647">
        <f t="shared" si="56"/>
        <v>3646</v>
      </c>
    </row>
    <row r="3648" spans="1:1" x14ac:dyDescent="0.25">
      <c r="A3648">
        <f t="shared" si="56"/>
        <v>3647</v>
      </c>
    </row>
    <row r="3649" spans="1:1" x14ac:dyDescent="0.25">
      <c r="A3649">
        <f t="shared" si="56"/>
        <v>3648</v>
      </c>
    </row>
    <row r="3650" spans="1:1" x14ac:dyDescent="0.25">
      <c r="A3650">
        <f t="shared" si="56"/>
        <v>3649</v>
      </c>
    </row>
    <row r="3651" spans="1:1" x14ac:dyDescent="0.25">
      <c r="A3651">
        <f t="shared" si="56"/>
        <v>3650</v>
      </c>
    </row>
    <row r="3652" spans="1:1" x14ac:dyDescent="0.25">
      <c r="A3652">
        <f t="shared" ref="A3652:A3715" si="57">A3651+1</f>
        <v>3651</v>
      </c>
    </row>
    <row r="3653" spans="1:1" x14ac:dyDescent="0.25">
      <c r="A3653">
        <f t="shared" si="57"/>
        <v>3652</v>
      </c>
    </row>
    <row r="3654" spans="1:1" x14ac:dyDescent="0.25">
      <c r="A3654">
        <f t="shared" si="57"/>
        <v>3653</v>
      </c>
    </row>
    <row r="3655" spans="1:1" x14ac:dyDescent="0.25">
      <c r="A3655">
        <f t="shared" si="57"/>
        <v>3654</v>
      </c>
    </row>
    <row r="3656" spans="1:1" x14ac:dyDescent="0.25">
      <c r="A3656">
        <f t="shared" si="57"/>
        <v>3655</v>
      </c>
    </row>
    <row r="3657" spans="1:1" x14ac:dyDescent="0.25">
      <c r="A3657">
        <f t="shared" si="57"/>
        <v>3656</v>
      </c>
    </row>
    <row r="3658" spans="1:1" x14ac:dyDescent="0.25">
      <c r="A3658">
        <f t="shared" si="57"/>
        <v>3657</v>
      </c>
    </row>
    <row r="3659" spans="1:1" x14ac:dyDescent="0.25">
      <c r="A3659">
        <f t="shared" si="57"/>
        <v>3658</v>
      </c>
    </row>
    <row r="3660" spans="1:1" x14ac:dyDescent="0.25">
      <c r="A3660">
        <f t="shared" si="57"/>
        <v>3659</v>
      </c>
    </row>
    <row r="3661" spans="1:1" x14ac:dyDescent="0.25">
      <c r="A3661">
        <f t="shared" si="57"/>
        <v>3660</v>
      </c>
    </row>
    <row r="3662" spans="1:1" x14ac:dyDescent="0.25">
      <c r="A3662">
        <f t="shared" si="57"/>
        <v>3661</v>
      </c>
    </row>
    <row r="3663" spans="1:1" x14ac:dyDescent="0.25">
      <c r="A3663">
        <f t="shared" si="57"/>
        <v>3662</v>
      </c>
    </row>
    <row r="3664" spans="1:1" x14ac:dyDescent="0.25">
      <c r="A3664">
        <f t="shared" si="57"/>
        <v>3663</v>
      </c>
    </row>
    <row r="3665" spans="1:1" x14ac:dyDescent="0.25">
      <c r="A3665">
        <f t="shared" si="57"/>
        <v>3664</v>
      </c>
    </row>
    <row r="3666" spans="1:1" x14ac:dyDescent="0.25">
      <c r="A3666">
        <f t="shared" si="57"/>
        <v>3665</v>
      </c>
    </row>
    <row r="3667" spans="1:1" x14ac:dyDescent="0.25">
      <c r="A3667">
        <f t="shared" si="57"/>
        <v>3666</v>
      </c>
    </row>
    <row r="3668" spans="1:1" x14ac:dyDescent="0.25">
      <c r="A3668">
        <f t="shared" si="57"/>
        <v>3667</v>
      </c>
    </row>
    <row r="3669" spans="1:1" x14ac:dyDescent="0.25">
      <c r="A3669">
        <f t="shared" si="57"/>
        <v>3668</v>
      </c>
    </row>
    <row r="3670" spans="1:1" x14ac:dyDescent="0.25">
      <c r="A3670">
        <f t="shared" si="57"/>
        <v>3669</v>
      </c>
    </row>
    <row r="3671" spans="1:1" x14ac:dyDescent="0.25">
      <c r="A3671">
        <f t="shared" si="57"/>
        <v>3670</v>
      </c>
    </row>
    <row r="3672" spans="1:1" x14ac:dyDescent="0.25">
      <c r="A3672">
        <f t="shared" si="57"/>
        <v>3671</v>
      </c>
    </row>
    <row r="3673" spans="1:1" x14ac:dyDescent="0.25">
      <c r="A3673">
        <f t="shared" si="57"/>
        <v>3672</v>
      </c>
    </row>
    <row r="3674" spans="1:1" x14ac:dyDescent="0.25">
      <c r="A3674">
        <f t="shared" si="57"/>
        <v>3673</v>
      </c>
    </row>
    <row r="3675" spans="1:1" x14ac:dyDescent="0.25">
      <c r="A3675">
        <f t="shared" si="57"/>
        <v>3674</v>
      </c>
    </row>
    <row r="3676" spans="1:1" x14ac:dyDescent="0.25">
      <c r="A3676">
        <f t="shared" si="57"/>
        <v>3675</v>
      </c>
    </row>
    <row r="3677" spans="1:1" x14ac:dyDescent="0.25">
      <c r="A3677">
        <f t="shared" si="57"/>
        <v>3676</v>
      </c>
    </row>
    <row r="3678" spans="1:1" x14ac:dyDescent="0.25">
      <c r="A3678">
        <f t="shared" si="57"/>
        <v>3677</v>
      </c>
    </row>
    <row r="3679" spans="1:1" x14ac:dyDescent="0.25">
      <c r="A3679">
        <f t="shared" si="57"/>
        <v>3678</v>
      </c>
    </row>
    <row r="3680" spans="1:1" x14ac:dyDescent="0.25">
      <c r="A3680">
        <f t="shared" si="57"/>
        <v>3679</v>
      </c>
    </row>
    <row r="3681" spans="1:1" x14ac:dyDescent="0.25">
      <c r="A3681">
        <f t="shared" si="57"/>
        <v>3680</v>
      </c>
    </row>
    <row r="3682" spans="1:1" x14ac:dyDescent="0.25">
      <c r="A3682">
        <f t="shared" si="57"/>
        <v>3681</v>
      </c>
    </row>
    <row r="3683" spans="1:1" x14ac:dyDescent="0.25">
      <c r="A3683">
        <f t="shared" si="57"/>
        <v>3682</v>
      </c>
    </row>
    <row r="3684" spans="1:1" x14ac:dyDescent="0.25">
      <c r="A3684">
        <f t="shared" si="57"/>
        <v>3683</v>
      </c>
    </row>
    <row r="3685" spans="1:1" x14ac:dyDescent="0.25">
      <c r="A3685">
        <f t="shared" si="57"/>
        <v>3684</v>
      </c>
    </row>
    <row r="3686" spans="1:1" x14ac:dyDescent="0.25">
      <c r="A3686">
        <f t="shared" si="57"/>
        <v>3685</v>
      </c>
    </row>
    <row r="3687" spans="1:1" x14ac:dyDescent="0.25">
      <c r="A3687">
        <f t="shared" si="57"/>
        <v>3686</v>
      </c>
    </row>
    <row r="3688" spans="1:1" x14ac:dyDescent="0.25">
      <c r="A3688">
        <f t="shared" si="57"/>
        <v>3687</v>
      </c>
    </row>
    <row r="3689" spans="1:1" x14ac:dyDescent="0.25">
      <c r="A3689">
        <f t="shared" si="57"/>
        <v>3688</v>
      </c>
    </row>
    <row r="3690" spans="1:1" x14ac:dyDescent="0.25">
      <c r="A3690">
        <f t="shared" si="57"/>
        <v>3689</v>
      </c>
    </row>
    <row r="3691" spans="1:1" x14ac:dyDescent="0.25">
      <c r="A3691">
        <f t="shared" si="57"/>
        <v>3690</v>
      </c>
    </row>
    <row r="3692" spans="1:1" x14ac:dyDescent="0.25">
      <c r="A3692">
        <f t="shared" si="57"/>
        <v>3691</v>
      </c>
    </row>
    <row r="3693" spans="1:1" x14ac:dyDescent="0.25">
      <c r="A3693">
        <f t="shared" si="57"/>
        <v>3692</v>
      </c>
    </row>
    <row r="3694" spans="1:1" x14ac:dyDescent="0.25">
      <c r="A3694">
        <f t="shared" si="57"/>
        <v>3693</v>
      </c>
    </row>
    <row r="3695" spans="1:1" x14ac:dyDescent="0.25">
      <c r="A3695">
        <f t="shared" si="57"/>
        <v>3694</v>
      </c>
    </row>
    <row r="3696" spans="1:1" x14ac:dyDescent="0.25">
      <c r="A3696">
        <f t="shared" si="57"/>
        <v>3695</v>
      </c>
    </row>
    <row r="3697" spans="1:1" x14ac:dyDescent="0.25">
      <c r="A3697">
        <f t="shared" si="57"/>
        <v>3696</v>
      </c>
    </row>
    <row r="3698" spans="1:1" x14ac:dyDescent="0.25">
      <c r="A3698">
        <f t="shared" si="57"/>
        <v>3697</v>
      </c>
    </row>
    <row r="3699" spans="1:1" x14ac:dyDescent="0.25">
      <c r="A3699">
        <f t="shared" si="57"/>
        <v>3698</v>
      </c>
    </row>
    <row r="3700" spans="1:1" x14ac:dyDescent="0.25">
      <c r="A3700">
        <f t="shared" si="57"/>
        <v>3699</v>
      </c>
    </row>
    <row r="3701" spans="1:1" x14ac:dyDescent="0.25">
      <c r="A3701">
        <f t="shared" si="57"/>
        <v>3700</v>
      </c>
    </row>
    <row r="3702" spans="1:1" x14ac:dyDescent="0.25">
      <c r="A3702">
        <f t="shared" si="57"/>
        <v>3701</v>
      </c>
    </row>
    <row r="3703" spans="1:1" x14ac:dyDescent="0.25">
      <c r="A3703">
        <f t="shared" si="57"/>
        <v>3702</v>
      </c>
    </row>
    <row r="3704" spans="1:1" x14ac:dyDescent="0.25">
      <c r="A3704">
        <f t="shared" si="57"/>
        <v>3703</v>
      </c>
    </row>
    <row r="3705" spans="1:1" x14ac:dyDescent="0.25">
      <c r="A3705">
        <f t="shared" si="57"/>
        <v>3704</v>
      </c>
    </row>
    <row r="3706" spans="1:1" x14ac:dyDescent="0.25">
      <c r="A3706">
        <f t="shared" si="57"/>
        <v>3705</v>
      </c>
    </row>
    <row r="3707" spans="1:1" x14ac:dyDescent="0.25">
      <c r="A3707">
        <f t="shared" si="57"/>
        <v>3706</v>
      </c>
    </row>
    <row r="3708" spans="1:1" x14ac:dyDescent="0.25">
      <c r="A3708">
        <f t="shared" si="57"/>
        <v>3707</v>
      </c>
    </row>
    <row r="3709" spans="1:1" x14ac:dyDescent="0.25">
      <c r="A3709">
        <f t="shared" si="57"/>
        <v>3708</v>
      </c>
    </row>
    <row r="3710" spans="1:1" x14ac:dyDescent="0.25">
      <c r="A3710">
        <f t="shared" si="57"/>
        <v>3709</v>
      </c>
    </row>
    <row r="3711" spans="1:1" x14ac:dyDescent="0.25">
      <c r="A3711">
        <f t="shared" si="57"/>
        <v>3710</v>
      </c>
    </row>
    <row r="3712" spans="1:1" x14ac:dyDescent="0.25">
      <c r="A3712">
        <f t="shared" si="57"/>
        <v>3711</v>
      </c>
    </row>
    <row r="3713" spans="1:1" x14ac:dyDescent="0.25">
      <c r="A3713">
        <f t="shared" si="57"/>
        <v>3712</v>
      </c>
    </row>
    <row r="3714" spans="1:1" x14ac:dyDescent="0.25">
      <c r="A3714">
        <f t="shared" si="57"/>
        <v>3713</v>
      </c>
    </row>
    <row r="3715" spans="1:1" x14ac:dyDescent="0.25">
      <c r="A3715">
        <f t="shared" si="57"/>
        <v>3714</v>
      </c>
    </row>
    <row r="3716" spans="1:1" x14ac:dyDescent="0.25">
      <c r="A3716">
        <f t="shared" ref="A3716:A3779" si="58">A3715+1</f>
        <v>3715</v>
      </c>
    </row>
    <row r="3717" spans="1:1" x14ac:dyDescent="0.25">
      <c r="A3717">
        <f t="shared" si="58"/>
        <v>3716</v>
      </c>
    </row>
    <row r="3718" spans="1:1" x14ac:dyDescent="0.25">
      <c r="A3718">
        <f t="shared" si="58"/>
        <v>3717</v>
      </c>
    </row>
    <row r="3719" spans="1:1" x14ac:dyDescent="0.25">
      <c r="A3719">
        <f t="shared" si="58"/>
        <v>3718</v>
      </c>
    </row>
    <row r="3720" spans="1:1" x14ac:dyDescent="0.25">
      <c r="A3720">
        <f t="shared" si="58"/>
        <v>3719</v>
      </c>
    </row>
    <row r="3721" spans="1:1" x14ac:dyDescent="0.25">
      <c r="A3721">
        <f t="shared" si="58"/>
        <v>3720</v>
      </c>
    </row>
    <row r="3722" spans="1:1" x14ac:dyDescent="0.25">
      <c r="A3722">
        <f t="shared" si="58"/>
        <v>3721</v>
      </c>
    </row>
    <row r="3723" spans="1:1" x14ac:dyDescent="0.25">
      <c r="A3723">
        <f t="shared" si="58"/>
        <v>3722</v>
      </c>
    </row>
    <row r="3724" spans="1:1" x14ac:dyDescent="0.25">
      <c r="A3724">
        <f t="shared" si="58"/>
        <v>3723</v>
      </c>
    </row>
    <row r="3725" spans="1:1" x14ac:dyDescent="0.25">
      <c r="A3725">
        <f t="shared" si="58"/>
        <v>3724</v>
      </c>
    </row>
    <row r="3726" spans="1:1" x14ac:dyDescent="0.25">
      <c r="A3726">
        <f t="shared" si="58"/>
        <v>3725</v>
      </c>
    </row>
    <row r="3727" spans="1:1" x14ac:dyDescent="0.25">
      <c r="A3727">
        <f t="shared" si="58"/>
        <v>3726</v>
      </c>
    </row>
    <row r="3728" spans="1:1" x14ac:dyDescent="0.25">
      <c r="A3728">
        <f t="shared" si="58"/>
        <v>3727</v>
      </c>
    </row>
    <row r="3729" spans="1:1" x14ac:dyDescent="0.25">
      <c r="A3729">
        <f t="shared" si="58"/>
        <v>3728</v>
      </c>
    </row>
    <row r="3730" spans="1:1" x14ac:dyDescent="0.25">
      <c r="A3730">
        <f t="shared" si="58"/>
        <v>3729</v>
      </c>
    </row>
    <row r="3731" spans="1:1" x14ac:dyDescent="0.25">
      <c r="A3731">
        <f t="shared" si="58"/>
        <v>3730</v>
      </c>
    </row>
    <row r="3732" spans="1:1" x14ac:dyDescent="0.25">
      <c r="A3732">
        <f t="shared" si="58"/>
        <v>3731</v>
      </c>
    </row>
    <row r="3733" spans="1:1" x14ac:dyDescent="0.25">
      <c r="A3733">
        <f t="shared" si="58"/>
        <v>3732</v>
      </c>
    </row>
    <row r="3734" spans="1:1" x14ac:dyDescent="0.25">
      <c r="A3734">
        <f t="shared" si="58"/>
        <v>3733</v>
      </c>
    </row>
    <row r="3735" spans="1:1" x14ac:dyDescent="0.25">
      <c r="A3735">
        <f t="shared" si="58"/>
        <v>3734</v>
      </c>
    </row>
    <row r="3736" spans="1:1" x14ac:dyDescent="0.25">
      <c r="A3736">
        <f t="shared" si="58"/>
        <v>3735</v>
      </c>
    </row>
    <row r="3737" spans="1:1" x14ac:dyDescent="0.25">
      <c r="A3737">
        <f t="shared" si="58"/>
        <v>3736</v>
      </c>
    </row>
    <row r="3738" spans="1:1" x14ac:dyDescent="0.25">
      <c r="A3738">
        <f t="shared" si="58"/>
        <v>3737</v>
      </c>
    </row>
    <row r="3739" spans="1:1" x14ac:dyDescent="0.25">
      <c r="A3739">
        <f t="shared" si="58"/>
        <v>3738</v>
      </c>
    </row>
    <row r="3740" spans="1:1" x14ac:dyDescent="0.25">
      <c r="A3740">
        <f t="shared" si="58"/>
        <v>3739</v>
      </c>
    </row>
    <row r="3741" spans="1:1" x14ac:dyDescent="0.25">
      <c r="A3741">
        <f t="shared" si="58"/>
        <v>3740</v>
      </c>
    </row>
    <row r="3742" spans="1:1" x14ac:dyDescent="0.25">
      <c r="A3742">
        <f t="shared" si="58"/>
        <v>3741</v>
      </c>
    </row>
    <row r="3743" spans="1:1" x14ac:dyDescent="0.25">
      <c r="A3743">
        <f t="shared" si="58"/>
        <v>3742</v>
      </c>
    </row>
    <row r="3744" spans="1:1" x14ac:dyDescent="0.25">
      <c r="A3744">
        <f t="shared" si="58"/>
        <v>3743</v>
      </c>
    </row>
    <row r="3745" spans="1:1" x14ac:dyDescent="0.25">
      <c r="A3745">
        <f t="shared" si="58"/>
        <v>3744</v>
      </c>
    </row>
    <row r="3746" spans="1:1" x14ac:dyDescent="0.25">
      <c r="A3746">
        <f t="shared" si="58"/>
        <v>3745</v>
      </c>
    </row>
    <row r="3747" spans="1:1" x14ac:dyDescent="0.25">
      <c r="A3747">
        <f t="shared" si="58"/>
        <v>3746</v>
      </c>
    </row>
    <row r="3748" spans="1:1" x14ac:dyDescent="0.25">
      <c r="A3748">
        <f t="shared" si="58"/>
        <v>3747</v>
      </c>
    </row>
    <row r="3749" spans="1:1" x14ac:dyDescent="0.25">
      <c r="A3749">
        <f t="shared" si="58"/>
        <v>3748</v>
      </c>
    </row>
    <row r="3750" spans="1:1" x14ac:dyDescent="0.25">
      <c r="A3750">
        <f t="shared" si="58"/>
        <v>3749</v>
      </c>
    </row>
    <row r="3751" spans="1:1" x14ac:dyDescent="0.25">
      <c r="A3751">
        <f t="shared" si="58"/>
        <v>3750</v>
      </c>
    </row>
    <row r="3752" spans="1:1" x14ac:dyDescent="0.25">
      <c r="A3752">
        <f t="shared" si="58"/>
        <v>3751</v>
      </c>
    </row>
    <row r="3753" spans="1:1" x14ac:dyDescent="0.25">
      <c r="A3753">
        <f t="shared" si="58"/>
        <v>3752</v>
      </c>
    </row>
    <row r="3754" spans="1:1" x14ac:dyDescent="0.25">
      <c r="A3754">
        <f t="shared" si="58"/>
        <v>3753</v>
      </c>
    </row>
    <row r="3755" spans="1:1" x14ac:dyDescent="0.25">
      <c r="A3755">
        <f t="shared" si="58"/>
        <v>3754</v>
      </c>
    </row>
    <row r="3756" spans="1:1" x14ac:dyDescent="0.25">
      <c r="A3756">
        <f t="shared" si="58"/>
        <v>3755</v>
      </c>
    </row>
    <row r="3757" spans="1:1" x14ac:dyDescent="0.25">
      <c r="A3757">
        <f t="shared" si="58"/>
        <v>3756</v>
      </c>
    </row>
    <row r="3758" spans="1:1" x14ac:dyDescent="0.25">
      <c r="A3758">
        <f t="shared" si="58"/>
        <v>3757</v>
      </c>
    </row>
    <row r="3759" spans="1:1" x14ac:dyDescent="0.25">
      <c r="A3759">
        <f t="shared" si="58"/>
        <v>3758</v>
      </c>
    </row>
    <row r="3760" spans="1:1" x14ac:dyDescent="0.25">
      <c r="A3760">
        <f t="shared" si="58"/>
        <v>3759</v>
      </c>
    </row>
    <row r="3761" spans="1:1" x14ac:dyDescent="0.25">
      <c r="A3761">
        <f t="shared" si="58"/>
        <v>3760</v>
      </c>
    </row>
    <row r="3762" spans="1:1" x14ac:dyDescent="0.25">
      <c r="A3762">
        <f t="shared" si="58"/>
        <v>3761</v>
      </c>
    </row>
    <row r="3763" spans="1:1" x14ac:dyDescent="0.25">
      <c r="A3763">
        <f t="shared" si="58"/>
        <v>3762</v>
      </c>
    </row>
    <row r="3764" spans="1:1" x14ac:dyDescent="0.25">
      <c r="A3764">
        <f t="shared" si="58"/>
        <v>3763</v>
      </c>
    </row>
    <row r="3765" spans="1:1" x14ac:dyDescent="0.25">
      <c r="A3765">
        <f t="shared" si="58"/>
        <v>3764</v>
      </c>
    </row>
    <row r="3766" spans="1:1" x14ac:dyDescent="0.25">
      <c r="A3766">
        <f t="shared" si="58"/>
        <v>3765</v>
      </c>
    </row>
    <row r="3767" spans="1:1" x14ac:dyDescent="0.25">
      <c r="A3767">
        <f t="shared" si="58"/>
        <v>3766</v>
      </c>
    </row>
    <row r="3768" spans="1:1" x14ac:dyDescent="0.25">
      <c r="A3768">
        <f t="shared" si="58"/>
        <v>3767</v>
      </c>
    </row>
    <row r="3769" spans="1:1" x14ac:dyDescent="0.25">
      <c r="A3769">
        <f t="shared" si="58"/>
        <v>3768</v>
      </c>
    </row>
    <row r="3770" spans="1:1" x14ac:dyDescent="0.25">
      <c r="A3770">
        <f t="shared" si="58"/>
        <v>3769</v>
      </c>
    </row>
    <row r="3771" spans="1:1" x14ac:dyDescent="0.25">
      <c r="A3771">
        <f t="shared" si="58"/>
        <v>3770</v>
      </c>
    </row>
    <row r="3772" spans="1:1" x14ac:dyDescent="0.25">
      <c r="A3772">
        <f t="shared" si="58"/>
        <v>3771</v>
      </c>
    </row>
    <row r="3773" spans="1:1" x14ac:dyDescent="0.25">
      <c r="A3773">
        <f t="shared" si="58"/>
        <v>3772</v>
      </c>
    </row>
    <row r="3774" spans="1:1" x14ac:dyDescent="0.25">
      <c r="A3774">
        <f t="shared" si="58"/>
        <v>3773</v>
      </c>
    </row>
    <row r="3775" spans="1:1" x14ac:dyDescent="0.25">
      <c r="A3775">
        <f t="shared" si="58"/>
        <v>3774</v>
      </c>
    </row>
    <row r="3776" spans="1:1" x14ac:dyDescent="0.25">
      <c r="A3776">
        <f t="shared" si="58"/>
        <v>3775</v>
      </c>
    </row>
    <row r="3777" spans="1:1" x14ac:dyDescent="0.25">
      <c r="A3777">
        <f t="shared" si="58"/>
        <v>3776</v>
      </c>
    </row>
    <row r="3778" spans="1:1" x14ac:dyDescent="0.25">
      <c r="A3778">
        <f t="shared" si="58"/>
        <v>3777</v>
      </c>
    </row>
    <row r="3779" spans="1:1" x14ac:dyDescent="0.25">
      <c r="A3779">
        <f t="shared" si="58"/>
        <v>3778</v>
      </c>
    </row>
    <row r="3780" spans="1:1" x14ac:dyDescent="0.25">
      <c r="A3780">
        <f t="shared" ref="A3780:A3843" si="59">A3779+1</f>
        <v>3779</v>
      </c>
    </row>
    <row r="3781" spans="1:1" x14ac:dyDescent="0.25">
      <c r="A3781">
        <f t="shared" si="59"/>
        <v>3780</v>
      </c>
    </row>
    <row r="3782" spans="1:1" x14ac:dyDescent="0.25">
      <c r="A3782">
        <f t="shared" si="59"/>
        <v>3781</v>
      </c>
    </row>
    <row r="3783" spans="1:1" x14ac:dyDescent="0.25">
      <c r="A3783">
        <f t="shared" si="59"/>
        <v>3782</v>
      </c>
    </row>
    <row r="3784" spans="1:1" x14ac:dyDescent="0.25">
      <c r="A3784">
        <f t="shared" si="59"/>
        <v>3783</v>
      </c>
    </row>
    <row r="3785" spans="1:1" x14ac:dyDescent="0.25">
      <c r="A3785">
        <f t="shared" si="59"/>
        <v>3784</v>
      </c>
    </row>
    <row r="3786" spans="1:1" x14ac:dyDescent="0.25">
      <c r="A3786">
        <f t="shared" si="59"/>
        <v>3785</v>
      </c>
    </row>
    <row r="3787" spans="1:1" x14ac:dyDescent="0.25">
      <c r="A3787">
        <f t="shared" si="59"/>
        <v>3786</v>
      </c>
    </row>
    <row r="3788" spans="1:1" x14ac:dyDescent="0.25">
      <c r="A3788">
        <f t="shared" si="59"/>
        <v>3787</v>
      </c>
    </row>
    <row r="3789" spans="1:1" x14ac:dyDescent="0.25">
      <c r="A3789">
        <f t="shared" si="59"/>
        <v>3788</v>
      </c>
    </row>
    <row r="3790" spans="1:1" x14ac:dyDescent="0.25">
      <c r="A3790">
        <f t="shared" si="59"/>
        <v>3789</v>
      </c>
    </row>
    <row r="3791" spans="1:1" x14ac:dyDescent="0.25">
      <c r="A3791">
        <f t="shared" si="59"/>
        <v>3790</v>
      </c>
    </row>
    <row r="3792" spans="1:1" x14ac:dyDescent="0.25">
      <c r="A3792">
        <f t="shared" si="59"/>
        <v>3791</v>
      </c>
    </row>
    <row r="3793" spans="1:1" x14ac:dyDescent="0.25">
      <c r="A3793">
        <f t="shared" si="59"/>
        <v>3792</v>
      </c>
    </row>
    <row r="3794" spans="1:1" x14ac:dyDescent="0.25">
      <c r="A3794">
        <f t="shared" si="59"/>
        <v>3793</v>
      </c>
    </row>
    <row r="3795" spans="1:1" x14ac:dyDescent="0.25">
      <c r="A3795">
        <f t="shared" si="59"/>
        <v>3794</v>
      </c>
    </row>
    <row r="3796" spans="1:1" x14ac:dyDescent="0.25">
      <c r="A3796">
        <f t="shared" si="59"/>
        <v>3795</v>
      </c>
    </row>
    <row r="3797" spans="1:1" x14ac:dyDescent="0.25">
      <c r="A3797">
        <f t="shared" si="59"/>
        <v>3796</v>
      </c>
    </row>
    <row r="3798" spans="1:1" x14ac:dyDescent="0.25">
      <c r="A3798">
        <f t="shared" si="59"/>
        <v>3797</v>
      </c>
    </row>
    <row r="3799" spans="1:1" x14ac:dyDescent="0.25">
      <c r="A3799">
        <f t="shared" si="59"/>
        <v>3798</v>
      </c>
    </row>
    <row r="3800" spans="1:1" x14ac:dyDescent="0.25">
      <c r="A3800">
        <f t="shared" si="59"/>
        <v>3799</v>
      </c>
    </row>
    <row r="3801" spans="1:1" x14ac:dyDescent="0.25">
      <c r="A3801">
        <f t="shared" si="59"/>
        <v>3800</v>
      </c>
    </row>
    <row r="3802" spans="1:1" x14ac:dyDescent="0.25">
      <c r="A3802">
        <f t="shared" si="59"/>
        <v>3801</v>
      </c>
    </row>
    <row r="3803" spans="1:1" x14ac:dyDescent="0.25">
      <c r="A3803">
        <f t="shared" si="59"/>
        <v>3802</v>
      </c>
    </row>
    <row r="3804" spans="1:1" x14ac:dyDescent="0.25">
      <c r="A3804">
        <f t="shared" si="59"/>
        <v>3803</v>
      </c>
    </row>
    <row r="3805" spans="1:1" x14ac:dyDescent="0.25">
      <c r="A3805">
        <f t="shared" si="59"/>
        <v>3804</v>
      </c>
    </row>
    <row r="3806" spans="1:1" x14ac:dyDescent="0.25">
      <c r="A3806">
        <f t="shared" si="59"/>
        <v>3805</v>
      </c>
    </row>
    <row r="3807" spans="1:1" x14ac:dyDescent="0.25">
      <c r="A3807">
        <f t="shared" si="59"/>
        <v>3806</v>
      </c>
    </row>
    <row r="3808" spans="1:1" x14ac:dyDescent="0.25">
      <c r="A3808">
        <f t="shared" si="59"/>
        <v>3807</v>
      </c>
    </row>
    <row r="3809" spans="1:1" x14ac:dyDescent="0.25">
      <c r="A3809">
        <f t="shared" si="59"/>
        <v>3808</v>
      </c>
    </row>
    <row r="3810" spans="1:1" x14ac:dyDescent="0.25">
      <c r="A3810">
        <f t="shared" si="59"/>
        <v>3809</v>
      </c>
    </row>
    <row r="3811" spans="1:1" x14ac:dyDescent="0.25">
      <c r="A3811">
        <f t="shared" si="59"/>
        <v>3810</v>
      </c>
    </row>
    <row r="3812" spans="1:1" x14ac:dyDescent="0.25">
      <c r="A3812">
        <f t="shared" si="59"/>
        <v>3811</v>
      </c>
    </row>
    <row r="3813" spans="1:1" x14ac:dyDescent="0.25">
      <c r="A3813">
        <f t="shared" si="59"/>
        <v>3812</v>
      </c>
    </row>
    <row r="3814" spans="1:1" x14ac:dyDescent="0.25">
      <c r="A3814">
        <f t="shared" si="59"/>
        <v>3813</v>
      </c>
    </row>
    <row r="3815" spans="1:1" x14ac:dyDescent="0.25">
      <c r="A3815">
        <f t="shared" si="59"/>
        <v>3814</v>
      </c>
    </row>
    <row r="3816" spans="1:1" x14ac:dyDescent="0.25">
      <c r="A3816">
        <f t="shared" si="59"/>
        <v>3815</v>
      </c>
    </row>
    <row r="3817" spans="1:1" x14ac:dyDescent="0.25">
      <c r="A3817">
        <f t="shared" si="59"/>
        <v>3816</v>
      </c>
    </row>
    <row r="3818" spans="1:1" x14ac:dyDescent="0.25">
      <c r="A3818">
        <f t="shared" si="59"/>
        <v>3817</v>
      </c>
    </row>
    <row r="3819" spans="1:1" x14ac:dyDescent="0.25">
      <c r="A3819">
        <f t="shared" si="59"/>
        <v>3818</v>
      </c>
    </row>
    <row r="3820" spans="1:1" x14ac:dyDescent="0.25">
      <c r="A3820">
        <f t="shared" si="59"/>
        <v>3819</v>
      </c>
    </row>
    <row r="3821" spans="1:1" x14ac:dyDescent="0.25">
      <c r="A3821">
        <f t="shared" si="59"/>
        <v>3820</v>
      </c>
    </row>
    <row r="3822" spans="1:1" x14ac:dyDescent="0.25">
      <c r="A3822">
        <f t="shared" si="59"/>
        <v>3821</v>
      </c>
    </row>
    <row r="3823" spans="1:1" x14ac:dyDescent="0.25">
      <c r="A3823">
        <f t="shared" si="59"/>
        <v>3822</v>
      </c>
    </row>
    <row r="3824" spans="1:1" x14ac:dyDescent="0.25">
      <c r="A3824">
        <f t="shared" si="59"/>
        <v>3823</v>
      </c>
    </row>
    <row r="3825" spans="1:1" x14ac:dyDescent="0.25">
      <c r="A3825">
        <f t="shared" si="59"/>
        <v>3824</v>
      </c>
    </row>
    <row r="3826" spans="1:1" x14ac:dyDescent="0.25">
      <c r="A3826">
        <f t="shared" si="59"/>
        <v>3825</v>
      </c>
    </row>
    <row r="3827" spans="1:1" x14ac:dyDescent="0.25">
      <c r="A3827">
        <f t="shared" si="59"/>
        <v>3826</v>
      </c>
    </row>
    <row r="3828" spans="1:1" x14ac:dyDescent="0.25">
      <c r="A3828">
        <f t="shared" si="59"/>
        <v>3827</v>
      </c>
    </row>
    <row r="3829" spans="1:1" x14ac:dyDescent="0.25">
      <c r="A3829">
        <f t="shared" si="59"/>
        <v>3828</v>
      </c>
    </row>
    <row r="3830" spans="1:1" x14ac:dyDescent="0.25">
      <c r="A3830">
        <f t="shared" si="59"/>
        <v>3829</v>
      </c>
    </row>
    <row r="3831" spans="1:1" x14ac:dyDescent="0.25">
      <c r="A3831">
        <f t="shared" si="59"/>
        <v>3830</v>
      </c>
    </row>
    <row r="3832" spans="1:1" x14ac:dyDescent="0.25">
      <c r="A3832">
        <f t="shared" si="59"/>
        <v>3831</v>
      </c>
    </row>
    <row r="3833" spans="1:1" x14ac:dyDescent="0.25">
      <c r="A3833">
        <f t="shared" si="59"/>
        <v>3832</v>
      </c>
    </row>
    <row r="3834" spans="1:1" x14ac:dyDescent="0.25">
      <c r="A3834">
        <f t="shared" si="59"/>
        <v>3833</v>
      </c>
    </row>
    <row r="3835" spans="1:1" x14ac:dyDescent="0.25">
      <c r="A3835">
        <f t="shared" si="59"/>
        <v>3834</v>
      </c>
    </row>
    <row r="3836" spans="1:1" x14ac:dyDescent="0.25">
      <c r="A3836">
        <f t="shared" si="59"/>
        <v>3835</v>
      </c>
    </row>
    <row r="3837" spans="1:1" x14ac:dyDescent="0.25">
      <c r="A3837">
        <f t="shared" si="59"/>
        <v>3836</v>
      </c>
    </row>
    <row r="3838" spans="1:1" x14ac:dyDescent="0.25">
      <c r="A3838">
        <f t="shared" si="59"/>
        <v>3837</v>
      </c>
    </row>
    <row r="3839" spans="1:1" x14ac:dyDescent="0.25">
      <c r="A3839">
        <f t="shared" si="59"/>
        <v>3838</v>
      </c>
    </row>
    <row r="3840" spans="1:1" x14ac:dyDescent="0.25">
      <c r="A3840">
        <f t="shared" si="59"/>
        <v>3839</v>
      </c>
    </row>
    <row r="3841" spans="1:1" x14ac:dyDescent="0.25">
      <c r="A3841">
        <f t="shared" si="59"/>
        <v>3840</v>
      </c>
    </row>
    <row r="3842" spans="1:1" x14ac:dyDescent="0.25">
      <c r="A3842">
        <f t="shared" si="59"/>
        <v>3841</v>
      </c>
    </row>
    <row r="3843" spans="1:1" x14ac:dyDescent="0.25">
      <c r="A3843">
        <f t="shared" si="59"/>
        <v>3842</v>
      </c>
    </row>
    <row r="3844" spans="1:1" x14ac:dyDescent="0.25">
      <c r="A3844">
        <f t="shared" ref="A3844:A3907" si="60">A3843+1</f>
        <v>3843</v>
      </c>
    </row>
    <row r="3845" spans="1:1" x14ac:dyDescent="0.25">
      <c r="A3845">
        <f t="shared" si="60"/>
        <v>3844</v>
      </c>
    </row>
    <row r="3846" spans="1:1" x14ac:dyDescent="0.25">
      <c r="A3846">
        <f t="shared" si="60"/>
        <v>3845</v>
      </c>
    </row>
    <row r="3847" spans="1:1" x14ac:dyDescent="0.25">
      <c r="A3847">
        <f t="shared" si="60"/>
        <v>3846</v>
      </c>
    </row>
    <row r="3848" spans="1:1" x14ac:dyDescent="0.25">
      <c r="A3848">
        <f t="shared" si="60"/>
        <v>3847</v>
      </c>
    </row>
    <row r="3849" spans="1:1" x14ac:dyDescent="0.25">
      <c r="A3849">
        <f t="shared" si="60"/>
        <v>3848</v>
      </c>
    </row>
    <row r="3850" spans="1:1" x14ac:dyDescent="0.25">
      <c r="A3850">
        <f t="shared" si="60"/>
        <v>3849</v>
      </c>
    </row>
    <row r="3851" spans="1:1" x14ac:dyDescent="0.25">
      <c r="A3851">
        <f t="shared" si="60"/>
        <v>3850</v>
      </c>
    </row>
    <row r="3852" spans="1:1" x14ac:dyDescent="0.25">
      <c r="A3852">
        <f t="shared" si="60"/>
        <v>3851</v>
      </c>
    </row>
    <row r="3853" spans="1:1" x14ac:dyDescent="0.25">
      <c r="A3853">
        <f t="shared" si="60"/>
        <v>3852</v>
      </c>
    </row>
    <row r="3854" spans="1:1" x14ac:dyDescent="0.25">
      <c r="A3854">
        <f t="shared" si="60"/>
        <v>3853</v>
      </c>
    </row>
    <row r="3855" spans="1:1" x14ac:dyDescent="0.25">
      <c r="A3855">
        <f t="shared" si="60"/>
        <v>3854</v>
      </c>
    </row>
    <row r="3856" spans="1:1" x14ac:dyDescent="0.25">
      <c r="A3856">
        <f t="shared" si="60"/>
        <v>3855</v>
      </c>
    </row>
    <row r="3857" spans="1:1" x14ac:dyDescent="0.25">
      <c r="A3857">
        <f t="shared" si="60"/>
        <v>3856</v>
      </c>
    </row>
    <row r="3858" spans="1:1" x14ac:dyDescent="0.25">
      <c r="A3858">
        <f t="shared" si="60"/>
        <v>3857</v>
      </c>
    </row>
    <row r="3859" spans="1:1" x14ac:dyDescent="0.25">
      <c r="A3859">
        <f t="shared" si="60"/>
        <v>3858</v>
      </c>
    </row>
    <row r="3860" spans="1:1" x14ac:dyDescent="0.25">
      <c r="A3860">
        <f t="shared" si="60"/>
        <v>3859</v>
      </c>
    </row>
    <row r="3861" spans="1:1" x14ac:dyDescent="0.25">
      <c r="A3861">
        <f t="shared" si="60"/>
        <v>3860</v>
      </c>
    </row>
    <row r="3862" spans="1:1" x14ac:dyDescent="0.25">
      <c r="A3862">
        <f t="shared" si="60"/>
        <v>3861</v>
      </c>
    </row>
    <row r="3863" spans="1:1" x14ac:dyDescent="0.25">
      <c r="A3863">
        <f t="shared" si="60"/>
        <v>3862</v>
      </c>
    </row>
    <row r="3864" spans="1:1" x14ac:dyDescent="0.25">
      <c r="A3864">
        <f t="shared" si="60"/>
        <v>3863</v>
      </c>
    </row>
    <row r="3865" spans="1:1" x14ac:dyDescent="0.25">
      <c r="A3865">
        <f t="shared" si="60"/>
        <v>3864</v>
      </c>
    </row>
    <row r="3866" spans="1:1" x14ac:dyDescent="0.25">
      <c r="A3866">
        <f t="shared" si="60"/>
        <v>3865</v>
      </c>
    </row>
    <row r="3867" spans="1:1" x14ac:dyDescent="0.25">
      <c r="A3867">
        <f t="shared" si="60"/>
        <v>3866</v>
      </c>
    </row>
    <row r="3868" spans="1:1" x14ac:dyDescent="0.25">
      <c r="A3868">
        <f t="shared" si="60"/>
        <v>3867</v>
      </c>
    </row>
    <row r="3869" spans="1:1" x14ac:dyDescent="0.25">
      <c r="A3869">
        <f t="shared" si="60"/>
        <v>3868</v>
      </c>
    </row>
    <row r="3870" spans="1:1" x14ac:dyDescent="0.25">
      <c r="A3870">
        <f t="shared" si="60"/>
        <v>3869</v>
      </c>
    </row>
    <row r="3871" spans="1:1" x14ac:dyDescent="0.25">
      <c r="A3871">
        <f t="shared" si="60"/>
        <v>3870</v>
      </c>
    </row>
    <row r="3872" spans="1:1" x14ac:dyDescent="0.25">
      <c r="A3872">
        <f t="shared" si="60"/>
        <v>3871</v>
      </c>
    </row>
    <row r="3873" spans="1:1" x14ac:dyDescent="0.25">
      <c r="A3873">
        <f t="shared" si="60"/>
        <v>3872</v>
      </c>
    </row>
    <row r="3874" spans="1:1" x14ac:dyDescent="0.25">
      <c r="A3874">
        <f t="shared" si="60"/>
        <v>3873</v>
      </c>
    </row>
    <row r="3875" spans="1:1" x14ac:dyDescent="0.25">
      <c r="A3875">
        <f t="shared" si="60"/>
        <v>3874</v>
      </c>
    </row>
    <row r="3876" spans="1:1" x14ac:dyDescent="0.25">
      <c r="A3876">
        <f t="shared" si="60"/>
        <v>3875</v>
      </c>
    </row>
    <row r="3877" spans="1:1" x14ac:dyDescent="0.25">
      <c r="A3877">
        <f t="shared" si="60"/>
        <v>3876</v>
      </c>
    </row>
    <row r="3878" spans="1:1" x14ac:dyDescent="0.25">
      <c r="A3878">
        <f t="shared" si="60"/>
        <v>3877</v>
      </c>
    </row>
    <row r="3879" spans="1:1" x14ac:dyDescent="0.25">
      <c r="A3879">
        <f t="shared" si="60"/>
        <v>3878</v>
      </c>
    </row>
    <row r="3880" spans="1:1" x14ac:dyDescent="0.25">
      <c r="A3880">
        <f t="shared" si="60"/>
        <v>3879</v>
      </c>
    </row>
    <row r="3881" spans="1:1" x14ac:dyDescent="0.25">
      <c r="A3881">
        <f t="shared" si="60"/>
        <v>3880</v>
      </c>
    </row>
    <row r="3882" spans="1:1" x14ac:dyDescent="0.25">
      <c r="A3882">
        <f t="shared" si="60"/>
        <v>3881</v>
      </c>
    </row>
    <row r="3883" spans="1:1" x14ac:dyDescent="0.25">
      <c r="A3883">
        <f t="shared" si="60"/>
        <v>3882</v>
      </c>
    </row>
    <row r="3884" spans="1:1" x14ac:dyDescent="0.25">
      <c r="A3884">
        <f t="shared" si="60"/>
        <v>3883</v>
      </c>
    </row>
    <row r="3885" spans="1:1" x14ac:dyDescent="0.25">
      <c r="A3885">
        <f t="shared" si="60"/>
        <v>3884</v>
      </c>
    </row>
    <row r="3886" spans="1:1" x14ac:dyDescent="0.25">
      <c r="A3886">
        <f t="shared" si="60"/>
        <v>3885</v>
      </c>
    </row>
    <row r="3887" spans="1:1" x14ac:dyDescent="0.25">
      <c r="A3887">
        <f t="shared" si="60"/>
        <v>3886</v>
      </c>
    </row>
    <row r="3888" spans="1:1" x14ac:dyDescent="0.25">
      <c r="A3888">
        <f t="shared" si="60"/>
        <v>3887</v>
      </c>
    </row>
    <row r="3889" spans="1:1" x14ac:dyDescent="0.25">
      <c r="A3889">
        <f t="shared" si="60"/>
        <v>3888</v>
      </c>
    </row>
    <row r="3890" spans="1:1" x14ac:dyDescent="0.25">
      <c r="A3890">
        <f t="shared" si="60"/>
        <v>3889</v>
      </c>
    </row>
    <row r="3891" spans="1:1" x14ac:dyDescent="0.25">
      <c r="A3891">
        <f t="shared" si="60"/>
        <v>3890</v>
      </c>
    </row>
    <row r="3892" spans="1:1" x14ac:dyDescent="0.25">
      <c r="A3892">
        <f t="shared" si="60"/>
        <v>3891</v>
      </c>
    </row>
    <row r="3893" spans="1:1" x14ac:dyDescent="0.25">
      <c r="A3893">
        <f t="shared" si="60"/>
        <v>3892</v>
      </c>
    </row>
    <row r="3894" spans="1:1" x14ac:dyDescent="0.25">
      <c r="A3894">
        <f t="shared" si="60"/>
        <v>3893</v>
      </c>
    </row>
    <row r="3895" spans="1:1" x14ac:dyDescent="0.25">
      <c r="A3895">
        <f t="shared" si="60"/>
        <v>3894</v>
      </c>
    </row>
    <row r="3896" spans="1:1" x14ac:dyDescent="0.25">
      <c r="A3896">
        <f t="shared" si="60"/>
        <v>3895</v>
      </c>
    </row>
    <row r="3897" spans="1:1" x14ac:dyDescent="0.25">
      <c r="A3897">
        <f t="shared" si="60"/>
        <v>3896</v>
      </c>
    </row>
    <row r="3898" spans="1:1" x14ac:dyDescent="0.25">
      <c r="A3898">
        <f t="shared" si="60"/>
        <v>3897</v>
      </c>
    </row>
    <row r="3899" spans="1:1" x14ac:dyDescent="0.25">
      <c r="A3899">
        <f t="shared" si="60"/>
        <v>3898</v>
      </c>
    </row>
    <row r="3900" spans="1:1" x14ac:dyDescent="0.25">
      <c r="A3900">
        <f t="shared" si="60"/>
        <v>3899</v>
      </c>
    </row>
    <row r="3901" spans="1:1" x14ac:dyDescent="0.25">
      <c r="A3901">
        <f t="shared" si="60"/>
        <v>3900</v>
      </c>
    </row>
    <row r="3902" spans="1:1" x14ac:dyDescent="0.25">
      <c r="A3902">
        <f t="shared" si="60"/>
        <v>3901</v>
      </c>
    </row>
    <row r="3903" spans="1:1" x14ac:dyDescent="0.25">
      <c r="A3903">
        <f t="shared" si="60"/>
        <v>3902</v>
      </c>
    </row>
    <row r="3904" spans="1:1" x14ac:dyDescent="0.25">
      <c r="A3904">
        <f t="shared" si="60"/>
        <v>3903</v>
      </c>
    </row>
    <row r="3905" spans="1:1" x14ac:dyDescent="0.25">
      <c r="A3905">
        <f t="shared" si="60"/>
        <v>3904</v>
      </c>
    </row>
    <row r="3906" spans="1:1" x14ac:dyDescent="0.25">
      <c r="A3906">
        <f t="shared" si="60"/>
        <v>3905</v>
      </c>
    </row>
    <row r="3907" spans="1:1" x14ac:dyDescent="0.25">
      <c r="A3907">
        <f t="shared" si="60"/>
        <v>3906</v>
      </c>
    </row>
    <row r="3908" spans="1:1" x14ac:dyDescent="0.25">
      <c r="A3908">
        <f t="shared" ref="A3908:A3971" si="61">A3907+1</f>
        <v>3907</v>
      </c>
    </row>
    <row r="3909" spans="1:1" x14ac:dyDescent="0.25">
      <c r="A3909">
        <f t="shared" si="61"/>
        <v>3908</v>
      </c>
    </row>
    <row r="3910" spans="1:1" x14ac:dyDescent="0.25">
      <c r="A3910">
        <f t="shared" si="61"/>
        <v>3909</v>
      </c>
    </row>
    <row r="3911" spans="1:1" x14ac:dyDescent="0.25">
      <c r="A3911">
        <f t="shared" si="61"/>
        <v>3910</v>
      </c>
    </row>
    <row r="3912" spans="1:1" x14ac:dyDescent="0.25">
      <c r="A3912">
        <f t="shared" si="61"/>
        <v>3911</v>
      </c>
    </row>
    <row r="3913" spans="1:1" x14ac:dyDescent="0.25">
      <c r="A3913">
        <f t="shared" si="61"/>
        <v>3912</v>
      </c>
    </row>
    <row r="3914" spans="1:1" x14ac:dyDescent="0.25">
      <c r="A3914">
        <f t="shared" si="61"/>
        <v>3913</v>
      </c>
    </row>
    <row r="3915" spans="1:1" x14ac:dyDescent="0.25">
      <c r="A3915">
        <f t="shared" si="61"/>
        <v>3914</v>
      </c>
    </row>
    <row r="3916" spans="1:1" x14ac:dyDescent="0.25">
      <c r="A3916">
        <f t="shared" si="61"/>
        <v>3915</v>
      </c>
    </row>
    <row r="3917" spans="1:1" x14ac:dyDescent="0.25">
      <c r="A3917">
        <f t="shared" si="61"/>
        <v>3916</v>
      </c>
    </row>
    <row r="3918" spans="1:1" x14ac:dyDescent="0.25">
      <c r="A3918">
        <f t="shared" si="61"/>
        <v>3917</v>
      </c>
    </row>
    <row r="3919" spans="1:1" x14ac:dyDescent="0.25">
      <c r="A3919">
        <f t="shared" si="61"/>
        <v>3918</v>
      </c>
    </row>
    <row r="3920" spans="1:1" x14ac:dyDescent="0.25">
      <c r="A3920">
        <f t="shared" si="61"/>
        <v>3919</v>
      </c>
    </row>
    <row r="3921" spans="1:1" x14ac:dyDescent="0.25">
      <c r="A3921">
        <f t="shared" si="61"/>
        <v>3920</v>
      </c>
    </row>
    <row r="3922" spans="1:1" x14ac:dyDescent="0.25">
      <c r="A3922">
        <f t="shared" si="61"/>
        <v>3921</v>
      </c>
    </row>
    <row r="3923" spans="1:1" x14ac:dyDescent="0.25">
      <c r="A3923">
        <f t="shared" si="61"/>
        <v>3922</v>
      </c>
    </row>
    <row r="3924" spans="1:1" x14ac:dyDescent="0.25">
      <c r="A3924">
        <f t="shared" si="61"/>
        <v>3923</v>
      </c>
    </row>
    <row r="3925" spans="1:1" x14ac:dyDescent="0.25">
      <c r="A3925">
        <f t="shared" si="61"/>
        <v>3924</v>
      </c>
    </row>
    <row r="3926" spans="1:1" x14ac:dyDescent="0.25">
      <c r="A3926">
        <f t="shared" si="61"/>
        <v>3925</v>
      </c>
    </row>
    <row r="3927" spans="1:1" x14ac:dyDescent="0.25">
      <c r="A3927">
        <f t="shared" si="61"/>
        <v>3926</v>
      </c>
    </row>
    <row r="3928" spans="1:1" x14ac:dyDescent="0.25">
      <c r="A3928">
        <f t="shared" si="61"/>
        <v>3927</v>
      </c>
    </row>
    <row r="3929" spans="1:1" x14ac:dyDescent="0.25">
      <c r="A3929">
        <f t="shared" si="61"/>
        <v>3928</v>
      </c>
    </row>
    <row r="3930" spans="1:1" x14ac:dyDescent="0.25">
      <c r="A3930">
        <f t="shared" si="61"/>
        <v>3929</v>
      </c>
    </row>
    <row r="3931" spans="1:1" x14ac:dyDescent="0.25">
      <c r="A3931">
        <f t="shared" si="61"/>
        <v>3930</v>
      </c>
    </row>
    <row r="3932" spans="1:1" x14ac:dyDescent="0.25">
      <c r="A3932">
        <f t="shared" si="61"/>
        <v>3931</v>
      </c>
    </row>
    <row r="3933" spans="1:1" x14ac:dyDescent="0.25">
      <c r="A3933">
        <f t="shared" si="61"/>
        <v>3932</v>
      </c>
    </row>
    <row r="3934" spans="1:1" x14ac:dyDescent="0.25">
      <c r="A3934">
        <f t="shared" si="61"/>
        <v>3933</v>
      </c>
    </row>
    <row r="3935" spans="1:1" x14ac:dyDescent="0.25">
      <c r="A3935">
        <f t="shared" si="61"/>
        <v>3934</v>
      </c>
    </row>
    <row r="3936" spans="1:1" x14ac:dyDescent="0.25">
      <c r="A3936">
        <f t="shared" si="61"/>
        <v>3935</v>
      </c>
    </row>
    <row r="3937" spans="1:1" x14ac:dyDescent="0.25">
      <c r="A3937">
        <f t="shared" si="61"/>
        <v>3936</v>
      </c>
    </row>
    <row r="3938" spans="1:1" x14ac:dyDescent="0.25">
      <c r="A3938">
        <f t="shared" si="61"/>
        <v>3937</v>
      </c>
    </row>
    <row r="3939" spans="1:1" x14ac:dyDescent="0.25">
      <c r="A3939">
        <f t="shared" si="61"/>
        <v>3938</v>
      </c>
    </row>
    <row r="3940" spans="1:1" x14ac:dyDescent="0.25">
      <c r="A3940">
        <f t="shared" si="61"/>
        <v>3939</v>
      </c>
    </row>
    <row r="3941" spans="1:1" x14ac:dyDescent="0.25">
      <c r="A3941">
        <f t="shared" si="61"/>
        <v>3940</v>
      </c>
    </row>
    <row r="3942" spans="1:1" x14ac:dyDescent="0.25">
      <c r="A3942">
        <f t="shared" si="61"/>
        <v>3941</v>
      </c>
    </row>
    <row r="3943" spans="1:1" x14ac:dyDescent="0.25">
      <c r="A3943">
        <f t="shared" si="61"/>
        <v>3942</v>
      </c>
    </row>
    <row r="3944" spans="1:1" x14ac:dyDescent="0.25">
      <c r="A3944">
        <f t="shared" si="61"/>
        <v>3943</v>
      </c>
    </row>
    <row r="3945" spans="1:1" x14ac:dyDescent="0.25">
      <c r="A3945">
        <f t="shared" si="61"/>
        <v>3944</v>
      </c>
    </row>
    <row r="3946" spans="1:1" x14ac:dyDescent="0.25">
      <c r="A3946">
        <f t="shared" si="61"/>
        <v>3945</v>
      </c>
    </row>
    <row r="3947" spans="1:1" x14ac:dyDescent="0.25">
      <c r="A3947">
        <f t="shared" si="61"/>
        <v>3946</v>
      </c>
    </row>
    <row r="3948" spans="1:1" x14ac:dyDescent="0.25">
      <c r="A3948">
        <f t="shared" si="61"/>
        <v>3947</v>
      </c>
    </row>
    <row r="3949" spans="1:1" x14ac:dyDescent="0.25">
      <c r="A3949">
        <f t="shared" si="61"/>
        <v>3948</v>
      </c>
    </row>
    <row r="3950" spans="1:1" x14ac:dyDescent="0.25">
      <c r="A3950">
        <f t="shared" si="61"/>
        <v>3949</v>
      </c>
    </row>
    <row r="3951" spans="1:1" x14ac:dyDescent="0.25">
      <c r="A3951">
        <f t="shared" si="61"/>
        <v>3950</v>
      </c>
    </row>
    <row r="3952" spans="1:1" x14ac:dyDescent="0.25">
      <c r="A3952">
        <f t="shared" si="61"/>
        <v>3951</v>
      </c>
    </row>
    <row r="3953" spans="1:1" x14ac:dyDescent="0.25">
      <c r="A3953">
        <f t="shared" si="61"/>
        <v>3952</v>
      </c>
    </row>
    <row r="3954" spans="1:1" x14ac:dyDescent="0.25">
      <c r="A3954">
        <f t="shared" si="61"/>
        <v>3953</v>
      </c>
    </row>
    <row r="3955" spans="1:1" x14ac:dyDescent="0.25">
      <c r="A3955">
        <f t="shared" si="61"/>
        <v>3954</v>
      </c>
    </row>
    <row r="3956" spans="1:1" x14ac:dyDescent="0.25">
      <c r="A3956">
        <f t="shared" si="61"/>
        <v>3955</v>
      </c>
    </row>
    <row r="3957" spans="1:1" x14ac:dyDescent="0.25">
      <c r="A3957">
        <f t="shared" si="61"/>
        <v>3956</v>
      </c>
    </row>
    <row r="3958" spans="1:1" x14ac:dyDescent="0.25">
      <c r="A3958">
        <f t="shared" si="61"/>
        <v>3957</v>
      </c>
    </row>
    <row r="3959" spans="1:1" x14ac:dyDescent="0.25">
      <c r="A3959">
        <f t="shared" si="61"/>
        <v>3958</v>
      </c>
    </row>
    <row r="3960" spans="1:1" x14ac:dyDescent="0.25">
      <c r="A3960">
        <f t="shared" si="61"/>
        <v>3959</v>
      </c>
    </row>
    <row r="3961" spans="1:1" x14ac:dyDescent="0.25">
      <c r="A3961">
        <f t="shared" si="61"/>
        <v>3960</v>
      </c>
    </row>
    <row r="3962" spans="1:1" x14ac:dyDescent="0.25">
      <c r="A3962">
        <f t="shared" si="61"/>
        <v>3961</v>
      </c>
    </row>
    <row r="3963" spans="1:1" x14ac:dyDescent="0.25">
      <c r="A3963">
        <f t="shared" si="61"/>
        <v>3962</v>
      </c>
    </row>
    <row r="3964" spans="1:1" x14ac:dyDescent="0.25">
      <c r="A3964">
        <f t="shared" si="61"/>
        <v>3963</v>
      </c>
    </row>
    <row r="3965" spans="1:1" x14ac:dyDescent="0.25">
      <c r="A3965">
        <f t="shared" si="61"/>
        <v>3964</v>
      </c>
    </row>
    <row r="3966" spans="1:1" x14ac:dyDescent="0.25">
      <c r="A3966">
        <f t="shared" si="61"/>
        <v>3965</v>
      </c>
    </row>
    <row r="3967" spans="1:1" x14ac:dyDescent="0.25">
      <c r="A3967">
        <f t="shared" si="61"/>
        <v>3966</v>
      </c>
    </row>
    <row r="3968" spans="1:1" x14ac:dyDescent="0.25">
      <c r="A3968">
        <f t="shared" si="61"/>
        <v>3967</v>
      </c>
    </row>
    <row r="3969" spans="1:1" x14ac:dyDescent="0.25">
      <c r="A3969">
        <f t="shared" si="61"/>
        <v>3968</v>
      </c>
    </row>
    <row r="3970" spans="1:1" x14ac:dyDescent="0.25">
      <c r="A3970">
        <f t="shared" si="61"/>
        <v>3969</v>
      </c>
    </row>
    <row r="3971" spans="1:1" x14ac:dyDescent="0.25">
      <c r="A3971">
        <f t="shared" si="61"/>
        <v>3970</v>
      </c>
    </row>
    <row r="3972" spans="1:1" x14ac:dyDescent="0.25">
      <c r="A3972">
        <f t="shared" ref="A3972:A4000" si="62">A3971+1</f>
        <v>3971</v>
      </c>
    </row>
    <row r="3973" spans="1:1" x14ac:dyDescent="0.25">
      <c r="A3973">
        <f t="shared" si="62"/>
        <v>3972</v>
      </c>
    </row>
    <row r="3974" spans="1:1" x14ac:dyDescent="0.25">
      <c r="A3974">
        <f t="shared" si="62"/>
        <v>3973</v>
      </c>
    </row>
    <row r="3975" spans="1:1" x14ac:dyDescent="0.25">
      <c r="A3975">
        <f t="shared" si="62"/>
        <v>3974</v>
      </c>
    </row>
    <row r="3976" spans="1:1" x14ac:dyDescent="0.25">
      <c r="A3976">
        <f t="shared" si="62"/>
        <v>3975</v>
      </c>
    </row>
    <row r="3977" spans="1:1" x14ac:dyDescent="0.25">
      <c r="A3977">
        <f t="shared" si="62"/>
        <v>3976</v>
      </c>
    </row>
    <row r="3978" spans="1:1" x14ac:dyDescent="0.25">
      <c r="A3978">
        <f t="shared" si="62"/>
        <v>3977</v>
      </c>
    </row>
    <row r="3979" spans="1:1" x14ac:dyDescent="0.25">
      <c r="A3979">
        <f t="shared" si="62"/>
        <v>3978</v>
      </c>
    </row>
    <row r="3980" spans="1:1" x14ac:dyDescent="0.25">
      <c r="A3980">
        <f t="shared" si="62"/>
        <v>3979</v>
      </c>
    </row>
    <row r="3981" spans="1:1" x14ac:dyDescent="0.25">
      <c r="A3981">
        <f t="shared" si="62"/>
        <v>3980</v>
      </c>
    </row>
    <row r="3982" spans="1:1" x14ac:dyDescent="0.25">
      <c r="A3982">
        <f t="shared" si="62"/>
        <v>3981</v>
      </c>
    </row>
    <row r="3983" spans="1:1" x14ac:dyDescent="0.25">
      <c r="A3983">
        <f t="shared" si="62"/>
        <v>3982</v>
      </c>
    </row>
    <row r="3984" spans="1:1" x14ac:dyDescent="0.25">
      <c r="A3984">
        <f t="shared" si="62"/>
        <v>3983</v>
      </c>
    </row>
    <row r="3985" spans="1:1" x14ac:dyDescent="0.25">
      <c r="A3985">
        <f t="shared" si="62"/>
        <v>3984</v>
      </c>
    </row>
    <row r="3986" spans="1:1" x14ac:dyDescent="0.25">
      <c r="A3986">
        <f t="shared" si="62"/>
        <v>3985</v>
      </c>
    </row>
    <row r="3987" spans="1:1" x14ac:dyDescent="0.25">
      <c r="A3987">
        <f t="shared" si="62"/>
        <v>3986</v>
      </c>
    </row>
    <row r="3988" spans="1:1" x14ac:dyDescent="0.25">
      <c r="A3988">
        <f t="shared" si="62"/>
        <v>3987</v>
      </c>
    </row>
    <row r="3989" spans="1:1" x14ac:dyDescent="0.25">
      <c r="A3989">
        <f t="shared" si="62"/>
        <v>3988</v>
      </c>
    </row>
    <row r="3990" spans="1:1" x14ac:dyDescent="0.25">
      <c r="A3990">
        <f t="shared" si="62"/>
        <v>3989</v>
      </c>
    </row>
    <row r="3991" spans="1:1" x14ac:dyDescent="0.25">
      <c r="A3991">
        <f t="shared" si="62"/>
        <v>3990</v>
      </c>
    </row>
    <row r="3992" spans="1:1" x14ac:dyDescent="0.25">
      <c r="A3992">
        <f t="shared" si="62"/>
        <v>3991</v>
      </c>
    </row>
    <row r="3993" spans="1:1" x14ac:dyDescent="0.25">
      <c r="A3993">
        <f t="shared" si="62"/>
        <v>3992</v>
      </c>
    </row>
    <row r="3994" spans="1:1" x14ac:dyDescent="0.25">
      <c r="A3994">
        <f t="shared" si="62"/>
        <v>3993</v>
      </c>
    </row>
    <row r="3995" spans="1:1" x14ac:dyDescent="0.25">
      <c r="A3995">
        <f t="shared" si="62"/>
        <v>3994</v>
      </c>
    </row>
    <row r="3996" spans="1:1" x14ac:dyDescent="0.25">
      <c r="A3996">
        <f t="shared" si="62"/>
        <v>3995</v>
      </c>
    </row>
    <row r="3997" spans="1:1" x14ac:dyDescent="0.25">
      <c r="A3997">
        <f t="shared" si="62"/>
        <v>3996</v>
      </c>
    </row>
    <row r="3998" spans="1:1" x14ac:dyDescent="0.25">
      <c r="A3998">
        <f t="shared" si="62"/>
        <v>3997</v>
      </c>
    </row>
    <row r="3999" spans="1:1" x14ac:dyDescent="0.25">
      <c r="A3999">
        <f t="shared" si="62"/>
        <v>3998</v>
      </c>
    </row>
    <row r="4000" spans="1:1" x14ac:dyDescent="0.25">
      <c r="A4000">
        <f t="shared" si="62"/>
        <v>3999</v>
      </c>
    </row>
    <row r="4001" spans="1:1" x14ac:dyDescent="0.25">
      <c r="A4001">
        <v>4000</v>
      </c>
    </row>
    <row r="4002" spans="1:1" x14ac:dyDescent="0.25">
      <c r="A4002">
        <v>4001</v>
      </c>
    </row>
    <row r="4003" spans="1:1" x14ac:dyDescent="0.25">
      <c r="A4003">
        <v>4002</v>
      </c>
    </row>
    <row r="4004" spans="1:1" x14ac:dyDescent="0.25">
      <c r="A4004">
        <v>4003</v>
      </c>
    </row>
    <row r="4005" spans="1:1" x14ac:dyDescent="0.25">
      <c r="A4005">
        <v>4004</v>
      </c>
    </row>
    <row r="4006" spans="1:1" x14ac:dyDescent="0.25">
      <c r="A4006">
        <v>4005</v>
      </c>
    </row>
    <row r="4007" spans="1:1" x14ac:dyDescent="0.25">
      <c r="A4007">
        <v>4006</v>
      </c>
    </row>
    <row r="4008" spans="1:1" x14ac:dyDescent="0.25">
      <c r="A4008">
        <v>4007</v>
      </c>
    </row>
    <row r="4009" spans="1:1" x14ac:dyDescent="0.25">
      <c r="A4009">
        <v>4008</v>
      </c>
    </row>
    <row r="4010" spans="1:1" x14ac:dyDescent="0.25">
      <c r="A4010">
        <v>4009</v>
      </c>
    </row>
    <row r="4011" spans="1:1" x14ac:dyDescent="0.25">
      <c r="A4011">
        <v>4010</v>
      </c>
    </row>
    <row r="4012" spans="1:1" x14ac:dyDescent="0.25">
      <c r="A4012">
        <v>4011</v>
      </c>
    </row>
    <row r="4013" spans="1:1" x14ac:dyDescent="0.25">
      <c r="A4013">
        <v>4012</v>
      </c>
    </row>
    <row r="4014" spans="1:1" x14ac:dyDescent="0.25">
      <c r="A4014">
        <v>4013</v>
      </c>
    </row>
    <row r="4015" spans="1:1" x14ac:dyDescent="0.25">
      <c r="A4015">
        <v>4014</v>
      </c>
    </row>
    <row r="4016" spans="1:1" x14ac:dyDescent="0.25">
      <c r="A4016">
        <v>4015</v>
      </c>
    </row>
    <row r="4017" spans="1:1" x14ac:dyDescent="0.25">
      <c r="A4017">
        <v>4016</v>
      </c>
    </row>
    <row r="4018" spans="1:1" x14ac:dyDescent="0.25">
      <c r="A4018">
        <v>4017</v>
      </c>
    </row>
    <row r="4019" spans="1:1" x14ac:dyDescent="0.25">
      <c r="A4019">
        <v>4018</v>
      </c>
    </row>
    <row r="4020" spans="1:1" x14ac:dyDescent="0.25">
      <c r="A4020">
        <v>4019</v>
      </c>
    </row>
    <row r="4021" spans="1:1" x14ac:dyDescent="0.25">
      <c r="A4021">
        <v>4020</v>
      </c>
    </row>
    <row r="4022" spans="1:1" x14ac:dyDescent="0.25">
      <c r="A4022">
        <v>4021</v>
      </c>
    </row>
    <row r="4023" spans="1:1" x14ac:dyDescent="0.25">
      <c r="A4023">
        <v>4022</v>
      </c>
    </row>
    <row r="4024" spans="1:1" x14ac:dyDescent="0.25">
      <c r="A4024">
        <v>4023</v>
      </c>
    </row>
    <row r="4025" spans="1:1" x14ac:dyDescent="0.25">
      <c r="A4025">
        <v>4024</v>
      </c>
    </row>
    <row r="4026" spans="1:1" x14ac:dyDescent="0.25">
      <c r="A4026">
        <v>4025</v>
      </c>
    </row>
    <row r="4027" spans="1:1" x14ac:dyDescent="0.25">
      <c r="A4027">
        <v>4026</v>
      </c>
    </row>
    <row r="4028" spans="1:1" x14ac:dyDescent="0.25">
      <c r="A4028">
        <v>4027</v>
      </c>
    </row>
    <row r="4029" spans="1:1" x14ac:dyDescent="0.25">
      <c r="A4029">
        <v>4028</v>
      </c>
    </row>
    <row r="4030" spans="1:1" x14ac:dyDescent="0.25">
      <c r="A4030">
        <v>4029</v>
      </c>
    </row>
    <row r="4031" spans="1:1" x14ac:dyDescent="0.25">
      <c r="A4031">
        <v>4030</v>
      </c>
    </row>
    <row r="4032" spans="1:1" x14ac:dyDescent="0.25">
      <c r="A4032">
        <v>4031</v>
      </c>
    </row>
    <row r="4033" spans="1:1" x14ac:dyDescent="0.25">
      <c r="A4033">
        <v>4032</v>
      </c>
    </row>
    <row r="4034" spans="1:1" x14ac:dyDescent="0.25">
      <c r="A4034">
        <v>4033</v>
      </c>
    </row>
    <row r="4035" spans="1:1" x14ac:dyDescent="0.25">
      <c r="A4035">
        <v>4034</v>
      </c>
    </row>
    <row r="4036" spans="1:1" x14ac:dyDescent="0.25">
      <c r="A4036">
        <v>4035</v>
      </c>
    </row>
    <row r="4037" spans="1:1" x14ac:dyDescent="0.25">
      <c r="A4037">
        <v>4036</v>
      </c>
    </row>
    <row r="4038" spans="1:1" x14ac:dyDescent="0.25">
      <c r="A4038">
        <v>4037</v>
      </c>
    </row>
    <row r="4039" spans="1:1" x14ac:dyDescent="0.25">
      <c r="A4039">
        <v>4038</v>
      </c>
    </row>
    <row r="4040" spans="1:1" x14ac:dyDescent="0.25">
      <c r="A4040">
        <v>4039</v>
      </c>
    </row>
    <row r="4041" spans="1:1" x14ac:dyDescent="0.25">
      <c r="A4041">
        <v>4040</v>
      </c>
    </row>
    <row r="4042" spans="1:1" x14ac:dyDescent="0.25">
      <c r="A4042">
        <v>4041</v>
      </c>
    </row>
    <row r="4043" spans="1:1" x14ac:dyDescent="0.25">
      <c r="A4043">
        <v>4042</v>
      </c>
    </row>
    <row r="4044" spans="1:1" x14ac:dyDescent="0.25">
      <c r="A4044">
        <v>4043</v>
      </c>
    </row>
    <row r="4045" spans="1:1" x14ac:dyDescent="0.25">
      <c r="A4045">
        <v>4044</v>
      </c>
    </row>
    <row r="4046" spans="1:1" x14ac:dyDescent="0.25">
      <c r="A4046">
        <v>4045</v>
      </c>
    </row>
    <row r="4047" spans="1:1" x14ac:dyDescent="0.25">
      <c r="A4047">
        <v>4046</v>
      </c>
    </row>
    <row r="4048" spans="1:1" x14ac:dyDescent="0.25">
      <c r="A4048">
        <v>4047</v>
      </c>
    </row>
    <row r="4049" spans="1:1" x14ac:dyDescent="0.25">
      <c r="A4049">
        <v>4048</v>
      </c>
    </row>
    <row r="4050" spans="1:1" x14ac:dyDescent="0.25">
      <c r="A4050">
        <v>4049</v>
      </c>
    </row>
    <row r="4051" spans="1:1" x14ac:dyDescent="0.25">
      <c r="A4051">
        <v>4050</v>
      </c>
    </row>
    <row r="4052" spans="1:1" x14ac:dyDescent="0.25">
      <c r="A4052">
        <v>4051</v>
      </c>
    </row>
    <row r="4053" spans="1:1" x14ac:dyDescent="0.25">
      <c r="A4053">
        <v>4052</v>
      </c>
    </row>
    <row r="4054" spans="1:1" x14ac:dyDescent="0.25">
      <c r="A4054">
        <v>4053</v>
      </c>
    </row>
    <row r="4055" spans="1:1" x14ac:dyDescent="0.25">
      <c r="A4055">
        <v>4054</v>
      </c>
    </row>
    <row r="4056" spans="1:1" x14ac:dyDescent="0.25">
      <c r="A4056">
        <v>4055</v>
      </c>
    </row>
    <row r="4057" spans="1:1" x14ac:dyDescent="0.25">
      <c r="A4057">
        <v>4056</v>
      </c>
    </row>
    <row r="4058" spans="1:1" x14ac:dyDescent="0.25">
      <c r="A4058">
        <v>4057</v>
      </c>
    </row>
    <row r="4059" spans="1:1" x14ac:dyDescent="0.25">
      <c r="A4059">
        <v>4058</v>
      </c>
    </row>
    <row r="4060" spans="1:1" x14ac:dyDescent="0.25">
      <c r="A4060">
        <v>4059</v>
      </c>
    </row>
    <row r="4061" spans="1:1" x14ac:dyDescent="0.25">
      <c r="A4061">
        <v>4060</v>
      </c>
    </row>
    <row r="4062" spans="1:1" x14ac:dyDescent="0.25">
      <c r="A4062">
        <v>4061</v>
      </c>
    </row>
    <row r="4063" spans="1:1" x14ac:dyDescent="0.25">
      <c r="A4063">
        <v>4062</v>
      </c>
    </row>
    <row r="4064" spans="1:1" x14ac:dyDescent="0.25">
      <c r="A4064">
        <v>4063</v>
      </c>
    </row>
    <row r="4065" spans="1:1" x14ac:dyDescent="0.25">
      <c r="A4065">
        <v>4064</v>
      </c>
    </row>
    <row r="4066" spans="1:1" x14ac:dyDescent="0.25">
      <c r="A4066">
        <v>4065</v>
      </c>
    </row>
    <row r="4067" spans="1:1" x14ac:dyDescent="0.25">
      <c r="A4067">
        <v>4066</v>
      </c>
    </row>
    <row r="4068" spans="1:1" x14ac:dyDescent="0.25">
      <c r="A4068">
        <v>4067</v>
      </c>
    </row>
    <row r="4069" spans="1:1" x14ac:dyDescent="0.25">
      <c r="A4069">
        <v>4068</v>
      </c>
    </row>
    <row r="4070" spans="1:1" x14ac:dyDescent="0.25">
      <c r="A4070">
        <v>4069</v>
      </c>
    </row>
    <row r="4071" spans="1:1" x14ac:dyDescent="0.25">
      <c r="A4071">
        <v>4070</v>
      </c>
    </row>
    <row r="4072" spans="1:1" x14ac:dyDescent="0.25">
      <c r="A4072">
        <v>4071</v>
      </c>
    </row>
    <row r="4073" spans="1:1" x14ac:dyDescent="0.25">
      <c r="A4073">
        <v>4072</v>
      </c>
    </row>
    <row r="4074" spans="1:1" x14ac:dyDescent="0.25">
      <c r="A4074">
        <v>4073</v>
      </c>
    </row>
    <row r="4075" spans="1:1" x14ac:dyDescent="0.25">
      <c r="A4075">
        <v>4074</v>
      </c>
    </row>
    <row r="4076" spans="1:1" x14ac:dyDescent="0.25">
      <c r="A4076">
        <v>4075</v>
      </c>
    </row>
    <row r="4077" spans="1:1" x14ac:dyDescent="0.25">
      <c r="A4077">
        <v>4076</v>
      </c>
    </row>
    <row r="4078" spans="1:1" x14ac:dyDescent="0.25">
      <c r="A4078">
        <v>4077</v>
      </c>
    </row>
    <row r="4079" spans="1:1" x14ac:dyDescent="0.25">
      <c r="A4079">
        <v>4078</v>
      </c>
    </row>
    <row r="4080" spans="1:1" x14ac:dyDescent="0.25">
      <c r="A4080">
        <v>4079</v>
      </c>
    </row>
    <row r="4081" spans="1:1" x14ac:dyDescent="0.25">
      <c r="A4081">
        <v>4080</v>
      </c>
    </row>
    <row r="4082" spans="1:1" x14ac:dyDescent="0.25">
      <c r="A4082">
        <v>4081</v>
      </c>
    </row>
    <row r="4083" spans="1:1" x14ac:dyDescent="0.25">
      <c r="A4083">
        <v>4082</v>
      </c>
    </row>
    <row r="4084" spans="1:1" x14ac:dyDescent="0.25">
      <c r="A4084">
        <v>4083</v>
      </c>
    </row>
    <row r="4085" spans="1:1" x14ac:dyDescent="0.25">
      <c r="A4085">
        <v>4084</v>
      </c>
    </row>
    <row r="4086" spans="1:1" x14ac:dyDescent="0.25">
      <c r="A4086">
        <v>4085</v>
      </c>
    </row>
    <row r="4087" spans="1:1" x14ac:dyDescent="0.25">
      <c r="A4087">
        <v>4086</v>
      </c>
    </row>
    <row r="4088" spans="1:1" x14ac:dyDescent="0.25">
      <c r="A4088">
        <v>4087</v>
      </c>
    </row>
    <row r="4089" spans="1:1" x14ac:dyDescent="0.25">
      <c r="A4089">
        <v>4088</v>
      </c>
    </row>
    <row r="4090" spans="1:1" x14ac:dyDescent="0.25">
      <c r="A4090">
        <v>4089</v>
      </c>
    </row>
    <row r="4091" spans="1:1" x14ac:dyDescent="0.25">
      <c r="A4091">
        <v>4090</v>
      </c>
    </row>
    <row r="4092" spans="1:1" x14ac:dyDescent="0.25">
      <c r="A4092">
        <v>4091</v>
      </c>
    </row>
    <row r="4093" spans="1:1" x14ac:dyDescent="0.25">
      <c r="A4093">
        <v>4092</v>
      </c>
    </row>
    <row r="4094" spans="1:1" x14ac:dyDescent="0.25">
      <c r="A4094">
        <v>4093</v>
      </c>
    </row>
    <row r="4095" spans="1:1" x14ac:dyDescent="0.25">
      <c r="A4095">
        <v>4094</v>
      </c>
    </row>
    <row r="4096" spans="1:1" x14ac:dyDescent="0.25">
      <c r="A4096">
        <v>4095</v>
      </c>
    </row>
    <row r="4097" spans="1:1" x14ac:dyDescent="0.25">
      <c r="A4097">
        <v>4096</v>
      </c>
    </row>
    <row r="4098" spans="1:1" x14ac:dyDescent="0.25">
      <c r="A4098">
        <v>4097</v>
      </c>
    </row>
    <row r="4099" spans="1:1" x14ac:dyDescent="0.25">
      <c r="A4099">
        <v>4098</v>
      </c>
    </row>
    <row r="4100" spans="1:1" x14ac:dyDescent="0.25">
      <c r="A4100">
        <v>4099</v>
      </c>
    </row>
    <row r="4101" spans="1:1" x14ac:dyDescent="0.25">
      <c r="A4101">
        <v>4100</v>
      </c>
    </row>
    <row r="4102" spans="1:1" x14ac:dyDescent="0.25">
      <c r="A4102">
        <v>4101</v>
      </c>
    </row>
    <row r="4103" spans="1:1" x14ac:dyDescent="0.25">
      <c r="A4103">
        <v>4102</v>
      </c>
    </row>
    <row r="4104" spans="1:1" x14ac:dyDescent="0.25">
      <c r="A4104">
        <v>4103</v>
      </c>
    </row>
    <row r="4105" spans="1:1" x14ac:dyDescent="0.25">
      <c r="A4105">
        <v>4104</v>
      </c>
    </row>
    <row r="4106" spans="1:1" x14ac:dyDescent="0.25">
      <c r="A4106">
        <v>4105</v>
      </c>
    </row>
    <row r="4107" spans="1:1" x14ac:dyDescent="0.25">
      <c r="A4107">
        <v>4106</v>
      </c>
    </row>
    <row r="4108" spans="1:1" x14ac:dyDescent="0.25">
      <c r="A4108">
        <v>4107</v>
      </c>
    </row>
    <row r="4109" spans="1:1" x14ac:dyDescent="0.25">
      <c r="A4109">
        <v>4108</v>
      </c>
    </row>
    <row r="4110" spans="1:1" x14ac:dyDescent="0.25">
      <c r="A4110">
        <v>4109</v>
      </c>
    </row>
    <row r="4111" spans="1:1" x14ac:dyDescent="0.25">
      <c r="A4111">
        <v>4110</v>
      </c>
    </row>
    <row r="4112" spans="1:1" x14ac:dyDescent="0.25">
      <c r="A4112">
        <v>4111</v>
      </c>
    </row>
    <row r="4113" spans="1:1" x14ac:dyDescent="0.25">
      <c r="A4113">
        <v>4112</v>
      </c>
    </row>
    <row r="4114" spans="1:1" x14ac:dyDescent="0.25">
      <c r="A4114">
        <v>4113</v>
      </c>
    </row>
    <row r="4115" spans="1:1" x14ac:dyDescent="0.25">
      <c r="A4115">
        <v>4114</v>
      </c>
    </row>
    <row r="4116" spans="1:1" x14ac:dyDescent="0.25">
      <c r="A4116">
        <v>4115</v>
      </c>
    </row>
    <row r="4117" spans="1:1" x14ac:dyDescent="0.25">
      <c r="A4117">
        <v>4116</v>
      </c>
    </row>
    <row r="4118" spans="1:1" x14ac:dyDescent="0.25">
      <c r="A4118">
        <v>4117</v>
      </c>
    </row>
    <row r="4119" spans="1:1" x14ac:dyDescent="0.25">
      <c r="A4119">
        <v>4118</v>
      </c>
    </row>
    <row r="4120" spans="1:1" x14ac:dyDescent="0.25">
      <c r="A4120">
        <v>4119</v>
      </c>
    </row>
    <row r="4121" spans="1:1" x14ac:dyDescent="0.25">
      <c r="A4121">
        <v>4120</v>
      </c>
    </row>
    <row r="4122" spans="1:1" x14ac:dyDescent="0.25">
      <c r="A4122">
        <v>4121</v>
      </c>
    </row>
    <row r="4123" spans="1:1" x14ac:dyDescent="0.25">
      <c r="A4123">
        <v>4122</v>
      </c>
    </row>
    <row r="4124" spans="1:1" x14ac:dyDescent="0.25">
      <c r="A4124">
        <v>4123</v>
      </c>
    </row>
    <row r="4125" spans="1:1" x14ac:dyDescent="0.25">
      <c r="A4125">
        <v>4124</v>
      </c>
    </row>
    <row r="4126" spans="1:1" x14ac:dyDescent="0.25">
      <c r="A4126">
        <v>4125</v>
      </c>
    </row>
    <row r="4127" spans="1:1" x14ac:dyDescent="0.25">
      <c r="A4127">
        <v>4126</v>
      </c>
    </row>
    <row r="4128" spans="1:1" x14ac:dyDescent="0.25">
      <c r="A4128">
        <v>4127</v>
      </c>
    </row>
    <row r="4129" spans="1:1" x14ac:dyDescent="0.25">
      <c r="A4129">
        <v>4128</v>
      </c>
    </row>
    <row r="4130" spans="1:1" x14ac:dyDescent="0.25">
      <c r="A4130">
        <v>4129</v>
      </c>
    </row>
    <row r="4131" spans="1:1" x14ac:dyDescent="0.25">
      <c r="A4131">
        <v>4130</v>
      </c>
    </row>
    <row r="4132" spans="1:1" x14ac:dyDescent="0.25">
      <c r="A4132">
        <v>4131</v>
      </c>
    </row>
    <row r="4133" spans="1:1" x14ac:dyDescent="0.25">
      <c r="A4133">
        <v>4132</v>
      </c>
    </row>
    <row r="4134" spans="1:1" x14ac:dyDescent="0.25">
      <c r="A4134">
        <v>4133</v>
      </c>
    </row>
    <row r="4135" spans="1:1" x14ac:dyDescent="0.25">
      <c r="A4135">
        <v>4134</v>
      </c>
    </row>
    <row r="4136" spans="1:1" x14ac:dyDescent="0.25">
      <c r="A4136">
        <v>4135</v>
      </c>
    </row>
    <row r="4137" spans="1:1" x14ac:dyDescent="0.25">
      <c r="A4137">
        <v>4136</v>
      </c>
    </row>
    <row r="4138" spans="1:1" x14ac:dyDescent="0.25">
      <c r="A4138">
        <v>4137</v>
      </c>
    </row>
    <row r="4139" spans="1:1" x14ac:dyDescent="0.25">
      <c r="A4139">
        <v>4138</v>
      </c>
    </row>
    <row r="4140" spans="1:1" x14ac:dyDescent="0.25">
      <c r="A4140">
        <v>4139</v>
      </c>
    </row>
    <row r="4141" spans="1:1" x14ac:dyDescent="0.25">
      <c r="A4141">
        <v>4140</v>
      </c>
    </row>
    <row r="4142" spans="1:1" x14ac:dyDescent="0.25">
      <c r="A4142">
        <v>4141</v>
      </c>
    </row>
    <row r="4143" spans="1:1" x14ac:dyDescent="0.25">
      <c r="A4143">
        <v>4142</v>
      </c>
    </row>
    <row r="4144" spans="1:1" x14ac:dyDescent="0.25">
      <c r="A4144">
        <v>4143</v>
      </c>
    </row>
    <row r="4145" spans="1:1" x14ac:dyDescent="0.25">
      <c r="A4145">
        <v>4144</v>
      </c>
    </row>
    <row r="4146" spans="1:1" x14ac:dyDescent="0.25">
      <c r="A4146">
        <v>4145</v>
      </c>
    </row>
    <row r="4147" spans="1:1" x14ac:dyDescent="0.25">
      <c r="A4147">
        <v>4146</v>
      </c>
    </row>
    <row r="4148" spans="1:1" x14ac:dyDescent="0.25">
      <c r="A4148">
        <v>4147</v>
      </c>
    </row>
    <row r="4149" spans="1:1" x14ac:dyDescent="0.25">
      <c r="A4149">
        <v>4148</v>
      </c>
    </row>
    <row r="4150" spans="1:1" x14ac:dyDescent="0.25">
      <c r="A4150">
        <v>4149</v>
      </c>
    </row>
    <row r="4151" spans="1:1" x14ac:dyDescent="0.25">
      <c r="A4151">
        <v>4150</v>
      </c>
    </row>
    <row r="4152" spans="1:1" x14ac:dyDescent="0.25">
      <c r="A4152">
        <v>4151</v>
      </c>
    </row>
    <row r="4153" spans="1:1" x14ac:dyDescent="0.25">
      <c r="A4153">
        <v>4152</v>
      </c>
    </row>
    <row r="4154" spans="1:1" x14ac:dyDescent="0.25">
      <c r="A4154">
        <v>4153</v>
      </c>
    </row>
    <row r="4155" spans="1:1" x14ac:dyDescent="0.25">
      <c r="A4155">
        <v>4154</v>
      </c>
    </row>
    <row r="4156" spans="1:1" x14ac:dyDescent="0.25">
      <c r="A4156">
        <v>4155</v>
      </c>
    </row>
    <row r="4157" spans="1:1" x14ac:dyDescent="0.25">
      <c r="A4157">
        <v>4156</v>
      </c>
    </row>
    <row r="4158" spans="1:1" x14ac:dyDescent="0.25">
      <c r="A4158">
        <v>4157</v>
      </c>
    </row>
    <row r="4159" spans="1:1" x14ac:dyDescent="0.25">
      <c r="A4159">
        <v>4158</v>
      </c>
    </row>
    <row r="4160" spans="1:1" x14ac:dyDescent="0.25">
      <c r="A4160">
        <v>4159</v>
      </c>
    </row>
    <row r="4161" spans="1:1" x14ac:dyDescent="0.25">
      <c r="A4161">
        <v>4160</v>
      </c>
    </row>
    <row r="4162" spans="1:1" x14ac:dyDescent="0.25">
      <c r="A4162">
        <v>4161</v>
      </c>
    </row>
    <row r="4163" spans="1:1" x14ac:dyDescent="0.25">
      <c r="A4163">
        <v>4162</v>
      </c>
    </row>
    <row r="4164" spans="1:1" x14ac:dyDescent="0.25">
      <c r="A4164">
        <v>4163</v>
      </c>
    </row>
    <row r="4165" spans="1:1" x14ac:dyDescent="0.25">
      <c r="A4165">
        <v>4164</v>
      </c>
    </row>
    <row r="4166" spans="1:1" x14ac:dyDescent="0.25">
      <c r="A4166">
        <v>4165</v>
      </c>
    </row>
    <row r="4167" spans="1:1" x14ac:dyDescent="0.25">
      <c r="A4167">
        <v>4166</v>
      </c>
    </row>
    <row r="4168" spans="1:1" x14ac:dyDescent="0.25">
      <c r="A4168">
        <v>4167</v>
      </c>
    </row>
    <row r="4169" spans="1:1" x14ac:dyDescent="0.25">
      <c r="A4169">
        <v>4168</v>
      </c>
    </row>
    <row r="4170" spans="1:1" x14ac:dyDescent="0.25">
      <c r="A4170">
        <v>4169</v>
      </c>
    </row>
    <row r="4171" spans="1:1" x14ac:dyDescent="0.25">
      <c r="A4171">
        <v>4170</v>
      </c>
    </row>
    <row r="4172" spans="1:1" x14ac:dyDescent="0.25">
      <c r="A4172">
        <v>4171</v>
      </c>
    </row>
    <row r="4173" spans="1:1" x14ac:dyDescent="0.25">
      <c r="A4173">
        <v>4172</v>
      </c>
    </row>
    <row r="4174" spans="1:1" x14ac:dyDescent="0.25">
      <c r="A4174">
        <v>4173</v>
      </c>
    </row>
    <row r="4175" spans="1:1" x14ac:dyDescent="0.25">
      <c r="A4175">
        <v>4174</v>
      </c>
    </row>
    <row r="4176" spans="1:1" x14ac:dyDescent="0.25">
      <c r="A4176">
        <v>4175</v>
      </c>
    </row>
    <row r="4177" spans="1:1" x14ac:dyDescent="0.25">
      <c r="A4177">
        <v>4176</v>
      </c>
    </row>
    <row r="4178" spans="1:1" x14ac:dyDescent="0.25">
      <c r="A4178">
        <v>4177</v>
      </c>
    </row>
    <row r="4179" spans="1:1" x14ac:dyDescent="0.25">
      <c r="A4179">
        <v>4178</v>
      </c>
    </row>
    <row r="4180" spans="1:1" x14ac:dyDescent="0.25">
      <c r="A4180">
        <v>4179</v>
      </c>
    </row>
    <row r="4181" spans="1:1" x14ac:dyDescent="0.25">
      <c r="A4181">
        <v>4180</v>
      </c>
    </row>
    <row r="4182" spans="1:1" x14ac:dyDescent="0.25">
      <c r="A4182">
        <v>4181</v>
      </c>
    </row>
    <row r="4183" spans="1:1" x14ac:dyDescent="0.25">
      <c r="A4183">
        <v>4182</v>
      </c>
    </row>
    <row r="4184" spans="1:1" x14ac:dyDescent="0.25">
      <c r="A4184">
        <v>4183</v>
      </c>
    </row>
    <row r="4185" spans="1:1" x14ac:dyDescent="0.25">
      <c r="A4185">
        <v>4184</v>
      </c>
    </row>
    <row r="4186" spans="1:1" x14ac:dyDescent="0.25">
      <c r="A4186">
        <v>4185</v>
      </c>
    </row>
    <row r="4187" spans="1:1" x14ac:dyDescent="0.25">
      <c r="A4187">
        <v>4186</v>
      </c>
    </row>
    <row r="4188" spans="1:1" x14ac:dyDescent="0.25">
      <c r="A4188">
        <v>4187</v>
      </c>
    </row>
    <row r="4189" spans="1:1" x14ac:dyDescent="0.25">
      <c r="A4189">
        <v>4188</v>
      </c>
    </row>
    <row r="4190" spans="1:1" x14ac:dyDescent="0.25">
      <c r="A4190">
        <v>4189</v>
      </c>
    </row>
    <row r="4191" spans="1:1" x14ac:dyDescent="0.25">
      <c r="A4191">
        <v>4190</v>
      </c>
    </row>
    <row r="4192" spans="1:1" x14ac:dyDescent="0.25">
      <c r="A4192">
        <v>4191</v>
      </c>
    </row>
    <row r="4193" spans="1:1" x14ac:dyDescent="0.25">
      <c r="A4193">
        <v>4192</v>
      </c>
    </row>
    <row r="4194" spans="1:1" x14ac:dyDescent="0.25">
      <c r="A4194">
        <v>4193</v>
      </c>
    </row>
    <row r="4195" spans="1:1" x14ac:dyDescent="0.25">
      <c r="A4195">
        <v>4194</v>
      </c>
    </row>
    <row r="4196" spans="1:1" x14ac:dyDescent="0.25">
      <c r="A4196">
        <v>4195</v>
      </c>
    </row>
    <row r="4197" spans="1:1" x14ac:dyDescent="0.25">
      <c r="A4197">
        <v>4196</v>
      </c>
    </row>
    <row r="4198" spans="1:1" x14ac:dyDescent="0.25">
      <c r="A4198">
        <v>4197</v>
      </c>
    </row>
    <row r="4199" spans="1:1" x14ac:dyDescent="0.25">
      <c r="A4199">
        <v>4198</v>
      </c>
    </row>
    <row r="4200" spans="1:1" x14ac:dyDescent="0.25">
      <c r="A4200">
        <v>4199</v>
      </c>
    </row>
    <row r="4201" spans="1:1" x14ac:dyDescent="0.25">
      <c r="A4201">
        <v>4200</v>
      </c>
    </row>
    <row r="4202" spans="1:1" x14ac:dyDescent="0.25">
      <c r="A4202">
        <v>4201</v>
      </c>
    </row>
    <row r="4203" spans="1:1" x14ac:dyDescent="0.25">
      <c r="A4203">
        <v>4202</v>
      </c>
    </row>
    <row r="4204" spans="1:1" x14ac:dyDescent="0.25">
      <c r="A4204">
        <v>4203</v>
      </c>
    </row>
    <row r="4205" spans="1:1" x14ac:dyDescent="0.25">
      <c r="A4205">
        <v>4204</v>
      </c>
    </row>
    <row r="4206" spans="1:1" x14ac:dyDescent="0.25">
      <c r="A4206">
        <v>4205</v>
      </c>
    </row>
    <row r="4207" spans="1:1" x14ac:dyDescent="0.25">
      <c r="A4207">
        <v>4206</v>
      </c>
    </row>
    <row r="4208" spans="1:1" x14ac:dyDescent="0.25">
      <c r="A4208">
        <v>4207</v>
      </c>
    </row>
    <row r="4209" spans="1:1" x14ac:dyDescent="0.25">
      <c r="A4209">
        <v>4208</v>
      </c>
    </row>
    <row r="4210" spans="1:1" x14ac:dyDescent="0.25">
      <c r="A4210">
        <v>4209</v>
      </c>
    </row>
    <row r="4211" spans="1:1" x14ac:dyDescent="0.25">
      <c r="A4211">
        <v>4210</v>
      </c>
    </row>
    <row r="4212" spans="1:1" x14ac:dyDescent="0.25">
      <c r="A4212">
        <v>4211</v>
      </c>
    </row>
    <row r="4213" spans="1:1" x14ac:dyDescent="0.25">
      <c r="A4213">
        <v>4212</v>
      </c>
    </row>
    <row r="4214" spans="1:1" x14ac:dyDescent="0.25">
      <c r="A4214">
        <v>4213</v>
      </c>
    </row>
    <row r="4215" spans="1:1" x14ac:dyDescent="0.25">
      <c r="A4215">
        <v>4214</v>
      </c>
    </row>
    <row r="4216" spans="1:1" x14ac:dyDescent="0.25">
      <c r="A4216">
        <v>4215</v>
      </c>
    </row>
    <row r="4217" spans="1:1" x14ac:dyDescent="0.25">
      <c r="A4217">
        <v>4216</v>
      </c>
    </row>
    <row r="4218" spans="1:1" x14ac:dyDescent="0.25">
      <c r="A4218">
        <v>4217</v>
      </c>
    </row>
    <row r="4219" spans="1:1" x14ac:dyDescent="0.25">
      <c r="A4219">
        <v>4218</v>
      </c>
    </row>
    <row r="4220" spans="1:1" x14ac:dyDescent="0.25">
      <c r="A4220">
        <v>4219</v>
      </c>
    </row>
    <row r="4221" spans="1:1" x14ac:dyDescent="0.25">
      <c r="A4221">
        <v>4220</v>
      </c>
    </row>
    <row r="4222" spans="1:1" x14ac:dyDescent="0.25">
      <c r="A4222">
        <v>4221</v>
      </c>
    </row>
    <row r="4223" spans="1:1" x14ac:dyDescent="0.25">
      <c r="A4223">
        <v>4222</v>
      </c>
    </row>
    <row r="4224" spans="1:1" x14ac:dyDescent="0.25">
      <c r="A4224">
        <v>4223</v>
      </c>
    </row>
    <row r="4225" spans="1:1" x14ac:dyDescent="0.25">
      <c r="A4225">
        <v>4224</v>
      </c>
    </row>
    <row r="4226" spans="1:1" x14ac:dyDescent="0.25">
      <c r="A4226">
        <v>4225</v>
      </c>
    </row>
    <row r="4227" spans="1:1" x14ac:dyDescent="0.25">
      <c r="A4227">
        <v>4226</v>
      </c>
    </row>
    <row r="4228" spans="1:1" x14ac:dyDescent="0.25">
      <c r="A4228">
        <v>4227</v>
      </c>
    </row>
    <row r="4229" spans="1:1" x14ac:dyDescent="0.25">
      <c r="A4229">
        <v>4228</v>
      </c>
    </row>
    <row r="4230" spans="1:1" x14ac:dyDescent="0.25">
      <c r="A4230">
        <v>4229</v>
      </c>
    </row>
    <row r="4231" spans="1:1" x14ac:dyDescent="0.25">
      <c r="A4231">
        <v>4230</v>
      </c>
    </row>
    <row r="4232" spans="1:1" x14ac:dyDescent="0.25">
      <c r="A4232">
        <v>4231</v>
      </c>
    </row>
    <row r="4233" spans="1:1" x14ac:dyDescent="0.25">
      <c r="A4233">
        <v>4232</v>
      </c>
    </row>
    <row r="4234" spans="1:1" x14ac:dyDescent="0.25">
      <c r="A4234">
        <v>4233</v>
      </c>
    </row>
    <row r="4235" spans="1:1" x14ac:dyDescent="0.25">
      <c r="A4235">
        <v>4234</v>
      </c>
    </row>
    <row r="4236" spans="1:1" x14ac:dyDescent="0.25">
      <c r="A4236">
        <v>4235</v>
      </c>
    </row>
    <row r="4237" spans="1:1" x14ac:dyDescent="0.25">
      <c r="A4237">
        <v>4236</v>
      </c>
    </row>
    <row r="4238" spans="1:1" x14ac:dyDescent="0.25">
      <c r="A4238">
        <v>4237</v>
      </c>
    </row>
    <row r="4239" spans="1:1" x14ac:dyDescent="0.25">
      <c r="A4239">
        <v>4238</v>
      </c>
    </row>
    <row r="4240" spans="1:1" x14ac:dyDescent="0.25">
      <c r="A4240">
        <v>4239</v>
      </c>
    </row>
    <row r="4241" spans="1:1" x14ac:dyDescent="0.25">
      <c r="A4241">
        <v>4240</v>
      </c>
    </row>
    <row r="4242" spans="1:1" x14ac:dyDescent="0.25">
      <c r="A4242">
        <v>4241</v>
      </c>
    </row>
    <row r="4243" spans="1:1" x14ac:dyDescent="0.25">
      <c r="A4243">
        <v>4242</v>
      </c>
    </row>
    <row r="4244" spans="1:1" x14ac:dyDescent="0.25">
      <c r="A4244">
        <v>4243</v>
      </c>
    </row>
    <row r="4245" spans="1:1" x14ac:dyDescent="0.25">
      <c r="A4245">
        <v>4244</v>
      </c>
    </row>
    <row r="4246" spans="1:1" x14ac:dyDescent="0.25">
      <c r="A4246">
        <v>4245</v>
      </c>
    </row>
    <row r="4247" spans="1:1" x14ac:dyDescent="0.25">
      <c r="A4247">
        <v>4246</v>
      </c>
    </row>
    <row r="4248" spans="1:1" x14ac:dyDescent="0.25">
      <c r="A4248">
        <v>4247</v>
      </c>
    </row>
    <row r="4249" spans="1:1" x14ac:dyDescent="0.25">
      <c r="A4249">
        <v>4248</v>
      </c>
    </row>
    <row r="4250" spans="1:1" x14ac:dyDescent="0.25">
      <c r="A4250">
        <v>4249</v>
      </c>
    </row>
    <row r="4251" spans="1:1" x14ac:dyDescent="0.25">
      <c r="A4251">
        <v>4250</v>
      </c>
    </row>
    <row r="4252" spans="1:1" x14ac:dyDescent="0.25">
      <c r="A4252">
        <v>4251</v>
      </c>
    </row>
    <row r="4253" spans="1:1" x14ac:dyDescent="0.25">
      <c r="A4253">
        <v>4252</v>
      </c>
    </row>
    <row r="4254" spans="1:1" x14ac:dyDescent="0.25">
      <c r="A4254">
        <v>4253</v>
      </c>
    </row>
    <row r="4255" spans="1:1" x14ac:dyDescent="0.25">
      <c r="A4255">
        <v>4254</v>
      </c>
    </row>
    <row r="4256" spans="1:1" x14ac:dyDescent="0.25">
      <c r="A4256">
        <v>4255</v>
      </c>
    </row>
    <row r="4257" spans="1:1" x14ac:dyDescent="0.25">
      <c r="A4257">
        <v>4256</v>
      </c>
    </row>
    <row r="4258" spans="1:1" x14ac:dyDescent="0.25">
      <c r="A4258">
        <v>4257</v>
      </c>
    </row>
    <row r="4259" spans="1:1" x14ac:dyDescent="0.25">
      <c r="A4259">
        <v>4258</v>
      </c>
    </row>
    <row r="4260" spans="1:1" x14ac:dyDescent="0.25">
      <c r="A4260">
        <v>4259</v>
      </c>
    </row>
    <row r="4261" spans="1:1" x14ac:dyDescent="0.25">
      <c r="A4261">
        <v>4260</v>
      </c>
    </row>
    <row r="4262" spans="1:1" x14ac:dyDescent="0.25">
      <c r="A4262">
        <v>4261</v>
      </c>
    </row>
    <row r="4263" spans="1:1" x14ac:dyDescent="0.25">
      <c r="A4263">
        <v>4262</v>
      </c>
    </row>
    <row r="4264" spans="1:1" x14ac:dyDescent="0.25">
      <c r="A4264">
        <v>4263</v>
      </c>
    </row>
    <row r="4265" spans="1:1" x14ac:dyDescent="0.25">
      <c r="A4265">
        <v>4264</v>
      </c>
    </row>
    <row r="4266" spans="1:1" x14ac:dyDescent="0.25">
      <c r="A4266">
        <v>4265</v>
      </c>
    </row>
    <row r="4267" spans="1:1" x14ac:dyDescent="0.25">
      <c r="A4267">
        <v>4266</v>
      </c>
    </row>
    <row r="4268" spans="1:1" x14ac:dyDescent="0.25">
      <c r="A4268">
        <v>4267</v>
      </c>
    </row>
    <row r="4269" spans="1:1" x14ac:dyDescent="0.25">
      <c r="A4269">
        <v>4268</v>
      </c>
    </row>
    <row r="4270" spans="1:1" x14ac:dyDescent="0.25">
      <c r="A4270">
        <v>4269</v>
      </c>
    </row>
    <row r="4271" spans="1:1" x14ac:dyDescent="0.25">
      <c r="A4271">
        <v>4270</v>
      </c>
    </row>
    <row r="4272" spans="1:1" x14ac:dyDescent="0.25">
      <c r="A4272">
        <v>4271</v>
      </c>
    </row>
    <row r="4273" spans="1:1" x14ac:dyDescent="0.25">
      <c r="A4273">
        <v>4272</v>
      </c>
    </row>
    <row r="4274" spans="1:1" x14ac:dyDescent="0.25">
      <c r="A4274">
        <v>4273</v>
      </c>
    </row>
    <row r="4275" spans="1:1" x14ac:dyDescent="0.25">
      <c r="A4275">
        <v>4274</v>
      </c>
    </row>
    <row r="4276" spans="1:1" x14ac:dyDescent="0.25">
      <c r="A4276">
        <v>4275</v>
      </c>
    </row>
    <row r="4277" spans="1:1" x14ac:dyDescent="0.25">
      <c r="A4277">
        <v>4276</v>
      </c>
    </row>
    <row r="4278" spans="1:1" x14ac:dyDescent="0.25">
      <c r="A4278">
        <v>4277</v>
      </c>
    </row>
    <row r="4279" spans="1:1" x14ac:dyDescent="0.25">
      <c r="A4279">
        <v>4278</v>
      </c>
    </row>
    <row r="4280" spans="1:1" x14ac:dyDescent="0.25">
      <c r="A4280">
        <v>4279</v>
      </c>
    </row>
    <row r="4281" spans="1:1" x14ac:dyDescent="0.25">
      <c r="A4281">
        <v>4280</v>
      </c>
    </row>
    <row r="4282" spans="1:1" x14ac:dyDescent="0.25">
      <c r="A4282">
        <v>4281</v>
      </c>
    </row>
    <row r="4283" spans="1:1" x14ac:dyDescent="0.25">
      <c r="A4283">
        <v>4282</v>
      </c>
    </row>
    <row r="4284" spans="1:1" x14ac:dyDescent="0.25">
      <c r="A4284">
        <v>4283</v>
      </c>
    </row>
    <row r="4285" spans="1:1" x14ac:dyDescent="0.25">
      <c r="A4285">
        <v>4284</v>
      </c>
    </row>
    <row r="4286" spans="1:1" x14ac:dyDescent="0.25">
      <c r="A4286">
        <v>4285</v>
      </c>
    </row>
    <row r="4287" spans="1:1" x14ac:dyDescent="0.25">
      <c r="A4287">
        <v>4286</v>
      </c>
    </row>
    <row r="4288" spans="1:1" x14ac:dyDescent="0.25">
      <c r="A4288">
        <v>4287</v>
      </c>
    </row>
    <row r="4289" spans="1:1" x14ac:dyDescent="0.25">
      <c r="A4289">
        <v>4288</v>
      </c>
    </row>
    <row r="4290" spans="1:1" x14ac:dyDescent="0.25">
      <c r="A4290">
        <v>4289</v>
      </c>
    </row>
    <row r="4291" spans="1:1" x14ac:dyDescent="0.25">
      <c r="A4291">
        <v>4290</v>
      </c>
    </row>
    <row r="4292" spans="1:1" x14ac:dyDescent="0.25">
      <c r="A4292">
        <v>4291</v>
      </c>
    </row>
    <row r="4293" spans="1:1" x14ac:dyDescent="0.25">
      <c r="A4293">
        <v>4292</v>
      </c>
    </row>
    <row r="4294" spans="1:1" x14ac:dyDescent="0.25">
      <c r="A4294">
        <v>4293</v>
      </c>
    </row>
    <row r="4295" spans="1:1" x14ac:dyDescent="0.25">
      <c r="A4295">
        <v>4294</v>
      </c>
    </row>
    <row r="4296" spans="1:1" x14ac:dyDescent="0.25">
      <c r="A4296">
        <v>4295</v>
      </c>
    </row>
    <row r="4297" spans="1:1" x14ac:dyDescent="0.25">
      <c r="A4297">
        <v>4296</v>
      </c>
    </row>
    <row r="4298" spans="1:1" x14ac:dyDescent="0.25">
      <c r="A4298">
        <v>4297</v>
      </c>
    </row>
    <row r="4299" spans="1:1" x14ac:dyDescent="0.25">
      <c r="A4299">
        <v>4298</v>
      </c>
    </row>
    <row r="4300" spans="1:1" x14ac:dyDescent="0.25">
      <c r="A4300">
        <v>4299</v>
      </c>
    </row>
    <row r="4301" spans="1:1" x14ac:dyDescent="0.25">
      <c r="A4301">
        <v>4300</v>
      </c>
    </row>
    <row r="4302" spans="1:1" x14ac:dyDescent="0.25">
      <c r="A4302">
        <v>4301</v>
      </c>
    </row>
    <row r="4303" spans="1:1" x14ac:dyDescent="0.25">
      <c r="A4303">
        <v>4302</v>
      </c>
    </row>
    <row r="4304" spans="1:1" x14ac:dyDescent="0.25">
      <c r="A4304">
        <v>4303</v>
      </c>
    </row>
    <row r="4305" spans="1:1" x14ac:dyDescent="0.25">
      <c r="A4305">
        <v>4304</v>
      </c>
    </row>
    <row r="4306" spans="1:1" x14ac:dyDescent="0.25">
      <c r="A4306">
        <v>4305</v>
      </c>
    </row>
    <row r="4307" spans="1:1" x14ac:dyDescent="0.25">
      <c r="A4307">
        <v>4306</v>
      </c>
    </row>
    <row r="4308" spans="1:1" x14ac:dyDescent="0.25">
      <c r="A4308">
        <v>4307</v>
      </c>
    </row>
    <row r="4309" spans="1:1" x14ac:dyDescent="0.25">
      <c r="A4309">
        <v>4308</v>
      </c>
    </row>
    <row r="4310" spans="1:1" x14ac:dyDescent="0.25">
      <c r="A4310">
        <v>4309</v>
      </c>
    </row>
    <row r="4311" spans="1:1" x14ac:dyDescent="0.25">
      <c r="A4311">
        <v>4310</v>
      </c>
    </row>
    <row r="4312" spans="1:1" x14ac:dyDescent="0.25">
      <c r="A4312">
        <v>4311</v>
      </c>
    </row>
    <row r="4313" spans="1:1" x14ac:dyDescent="0.25">
      <c r="A4313">
        <v>4312</v>
      </c>
    </row>
    <row r="4314" spans="1:1" x14ac:dyDescent="0.25">
      <c r="A4314">
        <v>4313</v>
      </c>
    </row>
    <row r="4315" spans="1:1" x14ac:dyDescent="0.25">
      <c r="A4315">
        <v>4314</v>
      </c>
    </row>
    <row r="4316" spans="1:1" x14ac:dyDescent="0.25">
      <c r="A4316">
        <v>4315</v>
      </c>
    </row>
    <row r="4317" spans="1:1" x14ac:dyDescent="0.25">
      <c r="A4317">
        <v>4316</v>
      </c>
    </row>
    <row r="4318" spans="1:1" x14ac:dyDescent="0.25">
      <c r="A4318">
        <v>4317</v>
      </c>
    </row>
    <row r="4319" spans="1:1" x14ac:dyDescent="0.25">
      <c r="A4319">
        <v>4318</v>
      </c>
    </row>
    <row r="4320" spans="1:1" x14ac:dyDescent="0.25">
      <c r="A4320">
        <v>4319</v>
      </c>
    </row>
    <row r="4321" spans="1:1" x14ac:dyDescent="0.25">
      <c r="A4321">
        <v>4320</v>
      </c>
    </row>
    <row r="4322" spans="1:1" x14ac:dyDescent="0.25">
      <c r="A4322">
        <v>4321</v>
      </c>
    </row>
    <row r="4323" spans="1:1" x14ac:dyDescent="0.25">
      <c r="A4323">
        <v>4322</v>
      </c>
    </row>
    <row r="4324" spans="1:1" x14ac:dyDescent="0.25">
      <c r="A4324">
        <v>4323</v>
      </c>
    </row>
    <row r="4325" spans="1:1" x14ac:dyDescent="0.25">
      <c r="A4325">
        <v>4324</v>
      </c>
    </row>
    <row r="4326" spans="1:1" x14ac:dyDescent="0.25">
      <c r="A4326">
        <v>4325</v>
      </c>
    </row>
    <row r="4327" spans="1:1" x14ac:dyDescent="0.25">
      <c r="A4327">
        <v>4326</v>
      </c>
    </row>
    <row r="4328" spans="1:1" x14ac:dyDescent="0.25">
      <c r="A4328">
        <v>4327</v>
      </c>
    </row>
    <row r="4329" spans="1:1" x14ac:dyDescent="0.25">
      <c r="A4329">
        <v>4328</v>
      </c>
    </row>
    <row r="4330" spans="1:1" x14ac:dyDescent="0.25">
      <c r="A4330">
        <v>4329</v>
      </c>
    </row>
    <row r="4331" spans="1:1" x14ac:dyDescent="0.25">
      <c r="A4331">
        <v>4330</v>
      </c>
    </row>
    <row r="4332" spans="1:1" x14ac:dyDescent="0.25">
      <c r="A4332">
        <v>4331</v>
      </c>
    </row>
    <row r="4333" spans="1:1" x14ac:dyDescent="0.25">
      <c r="A4333">
        <v>4332</v>
      </c>
    </row>
    <row r="4334" spans="1:1" x14ac:dyDescent="0.25">
      <c r="A4334">
        <v>4333</v>
      </c>
    </row>
    <row r="4335" spans="1:1" x14ac:dyDescent="0.25">
      <c r="A4335">
        <v>4334</v>
      </c>
    </row>
    <row r="4336" spans="1:1" x14ac:dyDescent="0.25">
      <c r="A4336">
        <v>4335</v>
      </c>
    </row>
    <row r="4337" spans="1:1" x14ac:dyDescent="0.25">
      <c r="A4337">
        <v>4336</v>
      </c>
    </row>
    <row r="4338" spans="1:1" x14ac:dyDescent="0.25">
      <c r="A4338">
        <v>4337</v>
      </c>
    </row>
    <row r="4339" spans="1:1" x14ac:dyDescent="0.25">
      <c r="A4339">
        <v>4338</v>
      </c>
    </row>
    <row r="4340" spans="1:1" x14ac:dyDescent="0.25">
      <c r="A4340">
        <v>4339</v>
      </c>
    </row>
    <row r="4341" spans="1:1" x14ac:dyDescent="0.25">
      <c r="A4341">
        <v>4340</v>
      </c>
    </row>
    <row r="4342" spans="1:1" x14ac:dyDescent="0.25">
      <c r="A4342">
        <v>4341</v>
      </c>
    </row>
    <row r="4343" spans="1:1" x14ac:dyDescent="0.25">
      <c r="A4343">
        <v>4342</v>
      </c>
    </row>
    <row r="4344" spans="1:1" x14ac:dyDescent="0.25">
      <c r="A4344">
        <v>4343</v>
      </c>
    </row>
    <row r="4345" spans="1:1" x14ac:dyDescent="0.25">
      <c r="A4345">
        <v>4344</v>
      </c>
    </row>
    <row r="4346" spans="1:1" x14ac:dyDescent="0.25">
      <c r="A4346">
        <v>4345</v>
      </c>
    </row>
    <row r="4347" spans="1:1" x14ac:dyDescent="0.25">
      <c r="A4347">
        <v>4346</v>
      </c>
    </row>
    <row r="4348" spans="1:1" x14ac:dyDescent="0.25">
      <c r="A4348">
        <v>4347</v>
      </c>
    </row>
    <row r="4349" spans="1:1" x14ac:dyDescent="0.25">
      <c r="A4349">
        <v>4348</v>
      </c>
    </row>
    <row r="4350" spans="1:1" x14ac:dyDescent="0.25">
      <c r="A4350">
        <v>4349</v>
      </c>
    </row>
    <row r="4351" spans="1:1" x14ac:dyDescent="0.25">
      <c r="A4351">
        <v>4350</v>
      </c>
    </row>
    <row r="4352" spans="1:1" x14ac:dyDescent="0.25">
      <c r="A4352">
        <v>4351</v>
      </c>
    </row>
    <row r="4353" spans="1:1" x14ac:dyDescent="0.25">
      <c r="A4353">
        <v>4352</v>
      </c>
    </row>
    <row r="4354" spans="1:1" x14ac:dyDescent="0.25">
      <c r="A4354">
        <v>4353</v>
      </c>
    </row>
    <row r="4355" spans="1:1" x14ac:dyDescent="0.25">
      <c r="A4355">
        <v>4354</v>
      </c>
    </row>
    <row r="4356" spans="1:1" x14ac:dyDescent="0.25">
      <c r="A4356">
        <v>4355</v>
      </c>
    </row>
    <row r="4357" spans="1:1" x14ac:dyDescent="0.25">
      <c r="A4357">
        <v>4356</v>
      </c>
    </row>
    <row r="4358" spans="1:1" x14ac:dyDescent="0.25">
      <c r="A4358">
        <v>4357</v>
      </c>
    </row>
    <row r="4359" spans="1:1" x14ac:dyDescent="0.25">
      <c r="A4359">
        <v>4358</v>
      </c>
    </row>
    <row r="4360" spans="1:1" x14ac:dyDescent="0.25">
      <c r="A4360">
        <v>4359</v>
      </c>
    </row>
    <row r="4361" spans="1:1" x14ac:dyDescent="0.25">
      <c r="A4361">
        <v>4360</v>
      </c>
    </row>
    <row r="4362" spans="1:1" x14ac:dyDescent="0.25">
      <c r="A4362">
        <v>4361</v>
      </c>
    </row>
    <row r="4363" spans="1:1" x14ac:dyDescent="0.25">
      <c r="A4363">
        <v>4362</v>
      </c>
    </row>
    <row r="4364" spans="1:1" x14ac:dyDescent="0.25">
      <c r="A4364">
        <v>4363</v>
      </c>
    </row>
    <row r="4365" spans="1:1" x14ac:dyDescent="0.25">
      <c r="A4365">
        <v>4364</v>
      </c>
    </row>
    <row r="4366" spans="1:1" x14ac:dyDescent="0.25">
      <c r="A4366">
        <v>4365</v>
      </c>
    </row>
    <row r="4367" spans="1:1" x14ac:dyDescent="0.25">
      <c r="A4367">
        <v>4366</v>
      </c>
    </row>
    <row r="4368" spans="1:1" x14ac:dyDescent="0.25">
      <c r="A4368">
        <v>4367</v>
      </c>
    </row>
    <row r="4369" spans="1:1" x14ac:dyDescent="0.25">
      <c r="A4369">
        <v>4368</v>
      </c>
    </row>
    <row r="4370" spans="1:1" x14ac:dyDescent="0.25">
      <c r="A4370">
        <v>4369</v>
      </c>
    </row>
    <row r="4371" spans="1:1" x14ac:dyDescent="0.25">
      <c r="A4371">
        <v>4370</v>
      </c>
    </row>
    <row r="4372" spans="1:1" x14ac:dyDescent="0.25">
      <c r="A4372">
        <v>4371</v>
      </c>
    </row>
    <row r="4373" spans="1:1" x14ac:dyDescent="0.25">
      <c r="A4373">
        <v>4372</v>
      </c>
    </row>
    <row r="4374" spans="1:1" x14ac:dyDescent="0.25">
      <c r="A4374">
        <v>4373</v>
      </c>
    </row>
    <row r="4375" spans="1:1" x14ac:dyDescent="0.25">
      <c r="A4375">
        <v>4374</v>
      </c>
    </row>
    <row r="4376" spans="1:1" x14ac:dyDescent="0.25">
      <c r="A4376">
        <v>4375</v>
      </c>
    </row>
    <row r="4377" spans="1:1" x14ac:dyDescent="0.25">
      <c r="A4377">
        <v>4376</v>
      </c>
    </row>
    <row r="4378" spans="1:1" x14ac:dyDescent="0.25">
      <c r="A4378">
        <v>4377</v>
      </c>
    </row>
    <row r="4379" spans="1:1" x14ac:dyDescent="0.25">
      <c r="A4379">
        <v>4378</v>
      </c>
    </row>
    <row r="4380" spans="1:1" x14ac:dyDescent="0.25">
      <c r="A4380">
        <v>4379</v>
      </c>
    </row>
    <row r="4381" spans="1:1" x14ac:dyDescent="0.25">
      <c r="A4381">
        <v>4380</v>
      </c>
    </row>
    <row r="4382" spans="1:1" x14ac:dyDescent="0.25">
      <c r="A4382">
        <v>4381</v>
      </c>
    </row>
    <row r="4383" spans="1:1" x14ac:dyDescent="0.25">
      <c r="A4383">
        <v>4382</v>
      </c>
    </row>
    <row r="4384" spans="1:1" x14ac:dyDescent="0.25">
      <c r="A4384">
        <v>4383</v>
      </c>
    </row>
    <row r="4385" spans="1:1" x14ac:dyDescent="0.25">
      <c r="A4385">
        <v>4384</v>
      </c>
    </row>
    <row r="4386" spans="1:1" x14ac:dyDescent="0.25">
      <c r="A4386">
        <v>4385</v>
      </c>
    </row>
    <row r="4387" spans="1:1" x14ac:dyDescent="0.25">
      <c r="A4387">
        <v>4386</v>
      </c>
    </row>
    <row r="4388" spans="1:1" x14ac:dyDescent="0.25">
      <c r="A4388">
        <v>4387</v>
      </c>
    </row>
    <row r="4389" spans="1:1" x14ac:dyDescent="0.25">
      <c r="A4389">
        <v>4388</v>
      </c>
    </row>
    <row r="4390" spans="1:1" x14ac:dyDescent="0.25">
      <c r="A4390">
        <v>4389</v>
      </c>
    </row>
    <row r="4391" spans="1:1" x14ac:dyDescent="0.25">
      <c r="A4391">
        <v>4390</v>
      </c>
    </row>
    <row r="4392" spans="1:1" x14ac:dyDescent="0.25">
      <c r="A4392">
        <v>4391</v>
      </c>
    </row>
    <row r="4393" spans="1:1" x14ac:dyDescent="0.25">
      <c r="A4393">
        <v>4392</v>
      </c>
    </row>
    <row r="4394" spans="1:1" x14ac:dyDescent="0.25">
      <c r="A4394">
        <v>4393</v>
      </c>
    </row>
    <row r="4395" spans="1:1" x14ac:dyDescent="0.25">
      <c r="A4395">
        <v>4394</v>
      </c>
    </row>
    <row r="4396" spans="1:1" x14ac:dyDescent="0.25">
      <c r="A4396">
        <v>4395</v>
      </c>
    </row>
    <row r="4397" spans="1:1" x14ac:dyDescent="0.25">
      <c r="A4397">
        <v>4396</v>
      </c>
    </row>
    <row r="4398" spans="1:1" x14ac:dyDescent="0.25">
      <c r="A4398">
        <v>4397</v>
      </c>
    </row>
    <row r="4399" spans="1:1" x14ac:dyDescent="0.25">
      <c r="A4399">
        <v>4398</v>
      </c>
    </row>
    <row r="4400" spans="1:1" x14ac:dyDescent="0.25">
      <c r="A4400">
        <v>4399</v>
      </c>
    </row>
    <row r="4401" spans="1:1" x14ac:dyDescent="0.25">
      <c r="A4401">
        <v>4400</v>
      </c>
    </row>
    <row r="4402" spans="1:1" x14ac:dyDescent="0.25">
      <c r="A4402">
        <v>4401</v>
      </c>
    </row>
    <row r="4403" spans="1:1" x14ac:dyDescent="0.25">
      <c r="A4403">
        <v>4402</v>
      </c>
    </row>
    <row r="4404" spans="1:1" x14ac:dyDescent="0.25">
      <c r="A4404">
        <v>4403</v>
      </c>
    </row>
    <row r="4405" spans="1:1" x14ac:dyDescent="0.25">
      <c r="A4405">
        <v>4404</v>
      </c>
    </row>
    <row r="4406" spans="1:1" x14ac:dyDescent="0.25">
      <c r="A4406">
        <v>4405</v>
      </c>
    </row>
    <row r="4407" spans="1:1" x14ac:dyDescent="0.25">
      <c r="A4407">
        <v>4406</v>
      </c>
    </row>
    <row r="4408" spans="1:1" x14ac:dyDescent="0.25">
      <c r="A4408">
        <v>4407</v>
      </c>
    </row>
    <row r="4409" spans="1:1" x14ac:dyDescent="0.25">
      <c r="A4409">
        <v>4408</v>
      </c>
    </row>
    <row r="4410" spans="1:1" x14ac:dyDescent="0.25">
      <c r="A4410">
        <v>4409</v>
      </c>
    </row>
    <row r="4411" spans="1:1" x14ac:dyDescent="0.25">
      <c r="A4411">
        <v>4410</v>
      </c>
    </row>
    <row r="4412" spans="1:1" x14ac:dyDescent="0.25">
      <c r="A4412">
        <v>4411</v>
      </c>
    </row>
    <row r="4413" spans="1:1" x14ac:dyDescent="0.25">
      <c r="A4413">
        <v>4412</v>
      </c>
    </row>
    <row r="4414" spans="1:1" x14ac:dyDescent="0.25">
      <c r="A4414">
        <v>4413</v>
      </c>
    </row>
    <row r="4415" spans="1:1" x14ac:dyDescent="0.25">
      <c r="A4415">
        <v>4414</v>
      </c>
    </row>
    <row r="4416" spans="1:1" x14ac:dyDescent="0.25">
      <c r="A4416">
        <v>4415</v>
      </c>
    </row>
    <row r="4417" spans="1:1" x14ac:dyDescent="0.25">
      <c r="A4417">
        <v>4416</v>
      </c>
    </row>
    <row r="4418" spans="1:1" x14ac:dyDescent="0.25">
      <c r="A4418">
        <v>4417</v>
      </c>
    </row>
    <row r="4419" spans="1:1" x14ac:dyDescent="0.25">
      <c r="A4419">
        <v>4418</v>
      </c>
    </row>
    <row r="4420" spans="1:1" x14ac:dyDescent="0.25">
      <c r="A4420">
        <v>4419</v>
      </c>
    </row>
    <row r="4421" spans="1:1" x14ac:dyDescent="0.25">
      <c r="A4421">
        <v>4420</v>
      </c>
    </row>
    <row r="4422" spans="1:1" x14ac:dyDescent="0.25">
      <c r="A4422">
        <v>4421</v>
      </c>
    </row>
    <row r="4423" spans="1:1" x14ac:dyDescent="0.25">
      <c r="A4423">
        <v>4422</v>
      </c>
    </row>
    <row r="4424" spans="1:1" x14ac:dyDescent="0.25">
      <c r="A4424">
        <v>4423</v>
      </c>
    </row>
    <row r="4425" spans="1:1" x14ac:dyDescent="0.25">
      <c r="A4425">
        <v>4424</v>
      </c>
    </row>
    <row r="4426" spans="1:1" x14ac:dyDescent="0.25">
      <c r="A4426">
        <v>4425</v>
      </c>
    </row>
    <row r="4427" spans="1:1" x14ac:dyDescent="0.25">
      <c r="A4427">
        <v>4426</v>
      </c>
    </row>
    <row r="4428" spans="1:1" x14ac:dyDescent="0.25">
      <c r="A4428">
        <v>4427</v>
      </c>
    </row>
    <row r="4429" spans="1:1" x14ac:dyDescent="0.25">
      <c r="A4429">
        <v>4428</v>
      </c>
    </row>
    <row r="4430" spans="1:1" x14ac:dyDescent="0.25">
      <c r="A4430">
        <v>4429</v>
      </c>
    </row>
    <row r="4431" spans="1:1" x14ac:dyDescent="0.25">
      <c r="A4431">
        <v>4430</v>
      </c>
    </row>
    <row r="4432" spans="1:1" x14ac:dyDescent="0.25">
      <c r="A4432">
        <v>4431</v>
      </c>
    </row>
    <row r="4433" spans="1:1" x14ac:dyDescent="0.25">
      <c r="A4433">
        <v>4432</v>
      </c>
    </row>
    <row r="4434" spans="1:1" x14ac:dyDescent="0.25">
      <c r="A4434">
        <v>4433</v>
      </c>
    </row>
    <row r="4435" spans="1:1" x14ac:dyDescent="0.25">
      <c r="A4435">
        <v>4434</v>
      </c>
    </row>
    <row r="4436" spans="1:1" x14ac:dyDescent="0.25">
      <c r="A4436">
        <v>4435</v>
      </c>
    </row>
    <row r="4437" spans="1:1" x14ac:dyDescent="0.25">
      <c r="A4437">
        <v>4436</v>
      </c>
    </row>
    <row r="4438" spans="1:1" x14ac:dyDescent="0.25">
      <c r="A4438">
        <v>4437</v>
      </c>
    </row>
    <row r="4439" spans="1:1" x14ac:dyDescent="0.25">
      <c r="A4439">
        <v>4438</v>
      </c>
    </row>
    <row r="4440" spans="1:1" x14ac:dyDescent="0.25">
      <c r="A4440">
        <v>4439</v>
      </c>
    </row>
    <row r="4441" spans="1:1" x14ac:dyDescent="0.25">
      <c r="A4441">
        <v>4440</v>
      </c>
    </row>
    <row r="4442" spans="1:1" x14ac:dyDescent="0.25">
      <c r="A4442">
        <v>4441</v>
      </c>
    </row>
    <row r="4443" spans="1:1" x14ac:dyDescent="0.25">
      <c r="A4443">
        <v>4442</v>
      </c>
    </row>
    <row r="4444" spans="1:1" x14ac:dyDescent="0.25">
      <c r="A4444">
        <v>4443</v>
      </c>
    </row>
    <row r="4445" spans="1:1" x14ac:dyDescent="0.25">
      <c r="A4445">
        <v>4444</v>
      </c>
    </row>
    <row r="4446" spans="1:1" x14ac:dyDescent="0.25">
      <c r="A4446">
        <v>4445</v>
      </c>
    </row>
    <row r="4447" spans="1:1" x14ac:dyDescent="0.25">
      <c r="A4447">
        <v>4446</v>
      </c>
    </row>
    <row r="4448" spans="1:1" x14ac:dyDescent="0.25">
      <c r="A4448">
        <v>4447</v>
      </c>
    </row>
    <row r="4449" spans="1:1" x14ac:dyDescent="0.25">
      <c r="A4449">
        <v>4448</v>
      </c>
    </row>
    <row r="4450" spans="1:1" x14ac:dyDescent="0.25">
      <c r="A4450">
        <v>4449</v>
      </c>
    </row>
    <row r="4451" spans="1:1" x14ac:dyDescent="0.25">
      <c r="A4451">
        <v>4450</v>
      </c>
    </row>
    <row r="4452" spans="1:1" x14ac:dyDescent="0.25">
      <c r="A4452">
        <v>4451</v>
      </c>
    </row>
    <row r="4453" spans="1:1" x14ac:dyDescent="0.25">
      <c r="A4453">
        <v>4452</v>
      </c>
    </row>
    <row r="4454" spans="1:1" x14ac:dyDescent="0.25">
      <c r="A4454">
        <v>4453</v>
      </c>
    </row>
    <row r="4455" spans="1:1" x14ac:dyDescent="0.25">
      <c r="A4455">
        <v>4454</v>
      </c>
    </row>
    <row r="4456" spans="1:1" x14ac:dyDescent="0.25">
      <c r="A4456">
        <v>4455</v>
      </c>
    </row>
    <row r="4457" spans="1:1" x14ac:dyDescent="0.25">
      <c r="A4457">
        <v>4456</v>
      </c>
    </row>
    <row r="4458" spans="1:1" x14ac:dyDescent="0.25">
      <c r="A4458">
        <v>4457</v>
      </c>
    </row>
    <row r="4459" spans="1:1" x14ac:dyDescent="0.25">
      <c r="A4459">
        <v>4458</v>
      </c>
    </row>
    <row r="4460" spans="1:1" x14ac:dyDescent="0.25">
      <c r="A4460">
        <v>4459</v>
      </c>
    </row>
    <row r="4461" spans="1:1" x14ac:dyDescent="0.25">
      <c r="A4461">
        <v>4460</v>
      </c>
    </row>
    <row r="4462" spans="1:1" x14ac:dyDescent="0.25">
      <c r="A4462">
        <v>4461</v>
      </c>
    </row>
    <row r="4463" spans="1:1" x14ac:dyDescent="0.25">
      <c r="A4463">
        <v>4462</v>
      </c>
    </row>
    <row r="4464" spans="1:1" x14ac:dyDescent="0.25">
      <c r="A4464">
        <v>4463</v>
      </c>
    </row>
    <row r="4465" spans="1:1" x14ac:dyDescent="0.25">
      <c r="A4465">
        <v>4464</v>
      </c>
    </row>
    <row r="4466" spans="1:1" x14ac:dyDescent="0.25">
      <c r="A4466">
        <v>4465</v>
      </c>
    </row>
    <row r="4467" spans="1:1" x14ac:dyDescent="0.25">
      <c r="A4467">
        <v>4466</v>
      </c>
    </row>
    <row r="4468" spans="1:1" x14ac:dyDescent="0.25">
      <c r="A4468">
        <v>4467</v>
      </c>
    </row>
    <row r="4469" spans="1:1" x14ac:dyDescent="0.25">
      <c r="A4469">
        <v>4468</v>
      </c>
    </row>
    <row r="4470" spans="1:1" x14ac:dyDescent="0.25">
      <c r="A4470">
        <v>4469</v>
      </c>
    </row>
    <row r="4471" spans="1:1" x14ac:dyDescent="0.25">
      <c r="A4471">
        <v>4470</v>
      </c>
    </row>
    <row r="4472" spans="1:1" x14ac:dyDescent="0.25">
      <c r="A4472">
        <v>4471</v>
      </c>
    </row>
    <row r="4473" spans="1:1" x14ac:dyDescent="0.25">
      <c r="A4473">
        <v>4472</v>
      </c>
    </row>
    <row r="4474" spans="1:1" x14ac:dyDescent="0.25">
      <c r="A4474">
        <v>4473</v>
      </c>
    </row>
    <row r="4475" spans="1:1" x14ac:dyDescent="0.25">
      <c r="A4475">
        <v>4474</v>
      </c>
    </row>
    <row r="4476" spans="1:1" x14ac:dyDescent="0.25">
      <c r="A4476">
        <v>4475</v>
      </c>
    </row>
    <row r="4477" spans="1:1" x14ac:dyDescent="0.25">
      <c r="A4477">
        <v>4476</v>
      </c>
    </row>
    <row r="4478" spans="1:1" x14ac:dyDescent="0.25">
      <c r="A4478">
        <v>4477</v>
      </c>
    </row>
    <row r="4479" spans="1:1" x14ac:dyDescent="0.25">
      <c r="A4479">
        <v>4478</v>
      </c>
    </row>
    <row r="4480" spans="1:1" x14ac:dyDescent="0.25">
      <c r="A4480">
        <v>4479</v>
      </c>
    </row>
    <row r="4481" spans="1:1" x14ac:dyDescent="0.25">
      <c r="A4481">
        <v>4480</v>
      </c>
    </row>
    <row r="4482" spans="1:1" x14ac:dyDescent="0.25">
      <c r="A4482">
        <v>4481</v>
      </c>
    </row>
    <row r="4483" spans="1:1" x14ac:dyDescent="0.25">
      <c r="A4483">
        <v>4482</v>
      </c>
    </row>
    <row r="4484" spans="1:1" x14ac:dyDescent="0.25">
      <c r="A4484">
        <v>4483</v>
      </c>
    </row>
    <row r="4485" spans="1:1" x14ac:dyDescent="0.25">
      <c r="A4485">
        <v>4484</v>
      </c>
    </row>
    <row r="4486" spans="1:1" x14ac:dyDescent="0.25">
      <c r="A4486">
        <v>4485</v>
      </c>
    </row>
    <row r="4487" spans="1:1" x14ac:dyDescent="0.25">
      <c r="A4487">
        <v>4486</v>
      </c>
    </row>
    <row r="4488" spans="1:1" x14ac:dyDescent="0.25">
      <c r="A4488">
        <v>4487</v>
      </c>
    </row>
    <row r="4489" spans="1:1" x14ac:dyDescent="0.25">
      <c r="A4489">
        <v>4488</v>
      </c>
    </row>
    <row r="4490" spans="1:1" x14ac:dyDescent="0.25">
      <c r="A4490">
        <v>4489</v>
      </c>
    </row>
    <row r="4491" spans="1:1" x14ac:dyDescent="0.25">
      <c r="A4491">
        <v>4490</v>
      </c>
    </row>
    <row r="4492" spans="1:1" x14ac:dyDescent="0.25">
      <c r="A4492">
        <v>4491</v>
      </c>
    </row>
    <row r="4493" spans="1:1" x14ac:dyDescent="0.25">
      <c r="A4493">
        <v>4492</v>
      </c>
    </row>
    <row r="4494" spans="1:1" x14ac:dyDescent="0.25">
      <c r="A4494">
        <v>4493</v>
      </c>
    </row>
    <row r="4495" spans="1:1" x14ac:dyDescent="0.25">
      <c r="A4495">
        <v>4494</v>
      </c>
    </row>
    <row r="4496" spans="1:1" x14ac:dyDescent="0.25">
      <c r="A4496">
        <v>4495</v>
      </c>
    </row>
    <row r="4497" spans="1:1" x14ac:dyDescent="0.25">
      <c r="A4497">
        <v>4496</v>
      </c>
    </row>
    <row r="4498" spans="1:1" x14ac:dyDescent="0.25">
      <c r="A4498">
        <v>4497</v>
      </c>
    </row>
    <row r="4499" spans="1:1" x14ac:dyDescent="0.25">
      <c r="A4499">
        <v>4498</v>
      </c>
    </row>
    <row r="4500" spans="1:1" x14ac:dyDescent="0.25">
      <c r="A4500">
        <v>4499</v>
      </c>
    </row>
    <row r="4501" spans="1:1" x14ac:dyDescent="0.25">
      <c r="A4501">
        <v>4500</v>
      </c>
    </row>
    <row r="4502" spans="1:1" x14ac:dyDescent="0.25">
      <c r="A4502">
        <v>4501</v>
      </c>
    </row>
    <row r="4503" spans="1:1" x14ac:dyDescent="0.25">
      <c r="A4503">
        <v>4502</v>
      </c>
    </row>
    <row r="4504" spans="1:1" x14ac:dyDescent="0.25">
      <c r="A4504">
        <v>4503</v>
      </c>
    </row>
    <row r="4505" spans="1:1" x14ac:dyDescent="0.25">
      <c r="A4505">
        <v>4504</v>
      </c>
    </row>
    <row r="4506" spans="1:1" x14ac:dyDescent="0.25">
      <c r="A4506">
        <v>4505</v>
      </c>
    </row>
    <row r="4507" spans="1:1" x14ac:dyDescent="0.25">
      <c r="A4507">
        <v>4506</v>
      </c>
    </row>
    <row r="4508" spans="1:1" x14ac:dyDescent="0.25">
      <c r="A4508">
        <v>4507</v>
      </c>
    </row>
    <row r="4509" spans="1:1" x14ac:dyDescent="0.25">
      <c r="A4509">
        <v>4508</v>
      </c>
    </row>
    <row r="4510" spans="1:1" x14ac:dyDescent="0.25">
      <c r="A4510">
        <v>4509</v>
      </c>
    </row>
    <row r="4511" spans="1:1" x14ac:dyDescent="0.25">
      <c r="A4511">
        <v>4510</v>
      </c>
    </row>
    <row r="4512" spans="1:1" x14ac:dyDescent="0.25">
      <c r="A4512">
        <v>4511</v>
      </c>
    </row>
    <row r="4513" spans="1:1" x14ac:dyDescent="0.25">
      <c r="A4513">
        <v>4512</v>
      </c>
    </row>
    <row r="4514" spans="1:1" x14ac:dyDescent="0.25">
      <c r="A4514">
        <v>4513</v>
      </c>
    </row>
    <row r="4515" spans="1:1" x14ac:dyDescent="0.25">
      <c r="A4515">
        <v>4514</v>
      </c>
    </row>
    <row r="4516" spans="1:1" x14ac:dyDescent="0.25">
      <c r="A4516">
        <v>4515</v>
      </c>
    </row>
    <row r="4517" spans="1:1" x14ac:dyDescent="0.25">
      <c r="A4517">
        <v>4516</v>
      </c>
    </row>
    <row r="4518" spans="1:1" x14ac:dyDescent="0.25">
      <c r="A4518">
        <v>4517</v>
      </c>
    </row>
    <row r="4519" spans="1:1" x14ac:dyDescent="0.25">
      <c r="A4519">
        <v>4518</v>
      </c>
    </row>
    <row r="4520" spans="1:1" x14ac:dyDescent="0.25">
      <c r="A4520">
        <v>4519</v>
      </c>
    </row>
    <row r="4521" spans="1:1" x14ac:dyDescent="0.25">
      <c r="A4521">
        <v>4520</v>
      </c>
    </row>
    <row r="4522" spans="1:1" x14ac:dyDescent="0.25">
      <c r="A4522">
        <v>4521</v>
      </c>
    </row>
    <row r="4523" spans="1:1" x14ac:dyDescent="0.25">
      <c r="A4523">
        <v>4522</v>
      </c>
    </row>
    <row r="4524" spans="1:1" x14ac:dyDescent="0.25">
      <c r="A4524">
        <v>4523</v>
      </c>
    </row>
    <row r="4525" spans="1:1" x14ac:dyDescent="0.25">
      <c r="A4525">
        <v>4524</v>
      </c>
    </row>
    <row r="4526" spans="1:1" x14ac:dyDescent="0.25">
      <c r="A4526">
        <v>4525</v>
      </c>
    </row>
    <row r="4527" spans="1:1" x14ac:dyDescent="0.25">
      <c r="A4527">
        <v>4526</v>
      </c>
    </row>
    <row r="4528" spans="1:1" x14ac:dyDescent="0.25">
      <c r="A4528">
        <v>4527</v>
      </c>
    </row>
    <row r="4529" spans="1:1" x14ac:dyDescent="0.25">
      <c r="A4529">
        <v>4528</v>
      </c>
    </row>
    <row r="4530" spans="1:1" x14ac:dyDescent="0.25">
      <c r="A4530">
        <v>4529</v>
      </c>
    </row>
    <row r="4531" spans="1:1" x14ac:dyDescent="0.25">
      <c r="A4531">
        <v>4530</v>
      </c>
    </row>
    <row r="4532" spans="1:1" x14ac:dyDescent="0.25">
      <c r="A4532">
        <v>4531</v>
      </c>
    </row>
    <row r="4533" spans="1:1" x14ac:dyDescent="0.25">
      <c r="A4533">
        <v>4532</v>
      </c>
    </row>
    <row r="4534" spans="1:1" x14ac:dyDescent="0.25">
      <c r="A4534">
        <v>4533</v>
      </c>
    </row>
    <row r="4535" spans="1:1" x14ac:dyDescent="0.25">
      <c r="A4535">
        <v>4534</v>
      </c>
    </row>
    <row r="4536" spans="1:1" x14ac:dyDescent="0.25">
      <c r="A4536">
        <v>4535</v>
      </c>
    </row>
    <row r="4537" spans="1:1" x14ac:dyDescent="0.25">
      <c r="A4537">
        <v>4536</v>
      </c>
    </row>
    <row r="4538" spans="1:1" x14ac:dyDescent="0.25">
      <c r="A4538">
        <v>4537</v>
      </c>
    </row>
    <row r="4539" spans="1:1" x14ac:dyDescent="0.25">
      <c r="A4539">
        <v>4538</v>
      </c>
    </row>
    <row r="4540" spans="1:1" x14ac:dyDescent="0.25">
      <c r="A4540">
        <v>4539</v>
      </c>
    </row>
    <row r="4541" spans="1:1" x14ac:dyDescent="0.25">
      <c r="A4541">
        <v>4540</v>
      </c>
    </row>
    <row r="4542" spans="1:1" x14ac:dyDescent="0.25">
      <c r="A4542">
        <v>4541</v>
      </c>
    </row>
    <row r="4543" spans="1:1" x14ac:dyDescent="0.25">
      <c r="A4543">
        <v>4542</v>
      </c>
    </row>
    <row r="4544" spans="1:1" x14ac:dyDescent="0.25">
      <c r="A4544">
        <v>4543</v>
      </c>
    </row>
    <row r="4545" spans="1:1" x14ac:dyDescent="0.25">
      <c r="A4545">
        <v>4544</v>
      </c>
    </row>
    <row r="4546" spans="1:1" x14ac:dyDescent="0.25">
      <c r="A4546">
        <v>4545</v>
      </c>
    </row>
    <row r="4547" spans="1:1" x14ac:dyDescent="0.25">
      <c r="A4547">
        <v>4546</v>
      </c>
    </row>
    <row r="4548" spans="1:1" x14ac:dyDescent="0.25">
      <c r="A4548">
        <v>4547</v>
      </c>
    </row>
    <row r="4549" spans="1:1" x14ac:dyDescent="0.25">
      <c r="A4549">
        <v>4548</v>
      </c>
    </row>
    <row r="4550" spans="1:1" x14ac:dyDescent="0.25">
      <c r="A4550">
        <v>4549</v>
      </c>
    </row>
    <row r="4551" spans="1:1" x14ac:dyDescent="0.25">
      <c r="A4551">
        <v>4550</v>
      </c>
    </row>
    <row r="4552" spans="1:1" x14ac:dyDescent="0.25">
      <c r="A4552">
        <v>4551</v>
      </c>
    </row>
    <row r="4553" spans="1:1" x14ac:dyDescent="0.25">
      <c r="A4553">
        <v>4552</v>
      </c>
    </row>
    <row r="4554" spans="1:1" x14ac:dyDescent="0.25">
      <c r="A4554">
        <v>4553</v>
      </c>
    </row>
    <row r="4555" spans="1:1" x14ac:dyDescent="0.25">
      <c r="A4555">
        <v>4554</v>
      </c>
    </row>
    <row r="4556" spans="1:1" x14ac:dyDescent="0.25">
      <c r="A4556">
        <v>4555</v>
      </c>
    </row>
    <row r="4557" spans="1:1" x14ac:dyDescent="0.25">
      <c r="A4557">
        <v>4556</v>
      </c>
    </row>
    <row r="4558" spans="1:1" x14ac:dyDescent="0.25">
      <c r="A4558">
        <v>4557</v>
      </c>
    </row>
    <row r="4559" spans="1:1" x14ac:dyDescent="0.25">
      <c r="A4559">
        <v>4558</v>
      </c>
    </row>
    <row r="4560" spans="1:1" x14ac:dyDescent="0.25">
      <c r="A4560">
        <v>4559</v>
      </c>
    </row>
    <row r="4561" spans="1:1" x14ac:dyDescent="0.25">
      <c r="A4561">
        <v>4560</v>
      </c>
    </row>
    <row r="4562" spans="1:1" x14ac:dyDescent="0.25">
      <c r="A4562">
        <v>4561</v>
      </c>
    </row>
    <row r="4563" spans="1:1" x14ac:dyDescent="0.25">
      <c r="A4563">
        <v>4562</v>
      </c>
    </row>
    <row r="4564" spans="1:1" x14ac:dyDescent="0.25">
      <c r="A4564">
        <v>4563</v>
      </c>
    </row>
    <row r="4565" spans="1:1" x14ac:dyDescent="0.25">
      <c r="A4565">
        <v>4564</v>
      </c>
    </row>
    <row r="4566" spans="1:1" x14ac:dyDescent="0.25">
      <c r="A4566">
        <v>4565</v>
      </c>
    </row>
    <row r="4567" spans="1:1" x14ac:dyDescent="0.25">
      <c r="A4567">
        <v>4566</v>
      </c>
    </row>
    <row r="4568" spans="1:1" x14ac:dyDescent="0.25">
      <c r="A4568">
        <v>4567</v>
      </c>
    </row>
    <row r="4569" spans="1:1" x14ac:dyDescent="0.25">
      <c r="A4569">
        <v>4568</v>
      </c>
    </row>
    <row r="4570" spans="1:1" x14ac:dyDescent="0.25">
      <c r="A4570">
        <v>4569</v>
      </c>
    </row>
    <row r="4571" spans="1:1" x14ac:dyDescent="0.25">
      <c r="A4571">
        <v>4570</v>
      </c>
    </row>
    <row r="4572" spans="1:1" x14ac:dyDescent="0.25">
      <c r="A4572">
        <v>4571</v>
      </c>
    </row>
    <row r="4573" spans="1:1" x14ac:dyDescent="0.25">
      <c r="A4573">
        <v>4572</v>
      </c>
    </row>
    <row r="4574" spans="1:1" x14ac:dyDescent="0.25">
      <c r="A4574">
        <v>4573</v>
      </c>
    </row>
    <row r="4575" spans="1:1" x14ac:dyDescent="0.25">
      <c r="A4575">
        <v>4574</v>
      </c>
    </row>
    <row r="4576" spans="1:1" x14ac:dyDescent="0.25">
      <c r="A4576">
        <v>4575</v>
      </c>
    </row>
    <row r="4577" spans="1:1" x14ac:dyDescent="0.25">
      <c r="A4577">
        <v>4576</v>
      </c>
    </row>
    <row r="4578" spans="1:1" x14ac:dyDescent="0.25">
      <c r="A4578">
        <v>4577</v>
      </c>
    </row>
    <row r="4579" spans="1:1" x14ac:dyDescent="0.25">
      <c r="A4579">
        <v>4578</v>
      </c>
    </row>
    <row r="4580" spans="1:1" x14ac:dyDescent="0.25">
      <c r="A4580">
        <v>4579</v>
      </c>
    </row>
    <row r="4581" spans="1:1" x14ac:dyDescent="0.25">
      <c r="A4581">
        <v>4580</v>
      </c>
    </row>
    <row r="4582" spans="1:1" x14ac:dyDescent="0.25">
      <c r="A4582">
        <v>4581</v>
      </c>
    </row>
    <row r="4583" spans="1:1" x14ac:dyDescent="0.25">
      <c r="A4583">
        <v>4582</v>
      </c>
    </row>
    <row r="4584" spans="1:1" x14ac:dyDescent="0.25">
      <c r="A4584">
        <v>4583</v>
      </c>
    </row>
    <row r="4585" spans="1:1" x14ac:dyDescent="0.25">
      <c r="A4585">
        <v>4584</v>
      </c>
    </row>
    <row r="4586" spans="1:1" x14ac:dyDescent="0.25">
      <c r="A4586">
        <v>4585</v>
      </c>
    </row>
    <row r="4587" spans="1:1" x14ac:dyDescent="0.25">
      <c r="A4587">
        <v>4586</v>
      </c>
    </row>
    <row r="4588" spans="1:1" x14ac:dyDescent="0.25">
      <c r="A4588">
        <v>4587</v>
      </c>
    </row>
    <row r="4589" spans="1:1" x14ac:dyDescent="0.25">
      <c r="A4589">
        <v>4588</v>
      </c>
    </row>
    <row r="4590" spans="1:1" x14ac:dyDescent="0.25">
      <c r="A4590">
        <v>4589</v>
      </c>
    </row>
    <row r="4591" spans="1:1" x14ac:dyDescent="0.25">
      <c r="A4591">
        <v>4590</v>
      </c>
    </row>
    <row r="4592" spans="1:1" x14ac:dyDescent="0.25">
      <c r="A4592">
        <v>4591</v>
      </c>
    </row>
    <row r="4593" spans="1:1" x14ac:dyDescent="0.25">
      <c r="A4593">
        <v>4592</v>
      </c>
    </row>
    <row r="4594" spans="1:1" x14ac:dyDescent="0.25">
      <c r="A4594">
        <v>4593</v>
      </c>
    </row>
    <row r="4595" spans="1:1" x14ac:dyDescent="0.25">
      <c r="A4595">
        <v>4594</v>
      </c>
    </row>
    <row r="4596" spans="1:1" x14ac:dyDescent="0.25">
      <c r="A4596">
        <v>4595</v>
      </c>
    </row>
    <row r="4597" spans="1:1" x14ac:dyDescent="0.25">
      <c r="A4597">
        <v>4596</v>
      </c>
    </row>
    <row r="4598" spans="1:1" x14ac:dyDescent="0.25">
      <c r="A4598">
        <v>4597</v>
      </c>
    </row>
    <row r="4599" spans="1:1" x14ac:dyDescent="0.25">
      <c r="A4599">
        <v>4598</v>
      </c>
    </row>
    <row r="4600" spans="1:1" x14ac:dyDescent="0.25">
      <c r="A4600">
        <v>4599</v>
      </c>
    </row>
    <row r="4601" spans="1:1" x14ac:dyDescent="0.25">
      <c r="A4601">
        <v>4600</v>
      </c>
    </row>
    <row r="4602" spans="1:1" x14ac:dyDescent="0.25">
      <c r="A4602">
        <v>4601</v>
      </c>
    </row>
    <row r="4603" spans="1:1" x14ac:dyDescent="0.25">
      <c r="A4603">
        <v>4602</v>
      </c>
    </row>
    <row r="4604" spans="1:1" x14ac:dyDescent="0.25">
      <c r="A4604">
        <v>4603</v>
      </c>
    </row>
    <row r="4605" spans="1:1" x14ac:dyDescent="0.25">
      <c r="A4605">
        <v>4604</v>
      </c>
    </row>
    <row r="4606" spans="1:1" x14ac:dyDescent="0.25">
      <c r="A4606">
        <v>4605</v>
      </c>
    </row>
    <row r="4607" spans="1:1" x14ac:dyDescent="0.25">
      <c r="A4607">
        <v>4606</v>
      </c>
    </row>
    <row r="4608" spans="1:1" x14ac:dyDescent="0.25">
      <c r="A4608">
        <v>4607</v>
      </c>
    </row>
    <row r="4609" spans="1:1" x14ac:dyDescent="0.25">
      <c r="A4609">
        <v>4608</v>
      </c>
    </row>
    <row r="4610" spans="1:1" x14ac:dyDescent="0.25">
      <c r="A4610">
        <v>4609</v>
      </c>
    </row>
    <row r="4611" spans="1:1" x14ac:dyDescent="0.25">
      <c r="A4611">
        <v>4610</v>
      </c>
    </row>
    <row r="4612" spans="1:1" x14ac:dyDescent="0.25">
      <c r="A4612">
        <v>4611</v>
      </c>
    </row>
    <row r="4613" spans="1:1" x14ac:dyDescent="0.25">
      <c r="A4613">
        <v>4612</v>
      </c>
    </row>
    <row r="4614" spans="1:1" x14ac:dyDescent="0.25">
      <c r="A4614">
        <v>4613</v>
      </c>
    </row>
    <row r="4615" spans="1:1" x14ac:dyDescent="0.25">
      <c r="A4615">
        <v>4614</v>
      </c>
    </row>
    <row r="4616" spans="1:1" x14ac:dyDescent="0.25">
      <c r="A4616">
        <v>4615</v>
      </c>
    </row>
    <row r="4617" spans="1:1" x14ac:dyDescent="0.25">
      <c r="A4617">
        <v>4616</v>
      </c>
    </row>
    <row r="4618" spans="1:1" x14ac:dyDescent="0.25">
      <c r="A4618">
        <v>4617</v>
      </c>
    </row>
    <row r="4619" spans="1:1" x14ac:dyDescent="0.25">
      <c r="A4619">
        <v>4618</v>
      </c>
    </row>
    <row r="4620" spans="1:1" x14ac:dyDescent="0.25">
      <c r="A4620">
        <v>4619</v>
      </c>
    </row>
    <row r="4621" spans="1:1" x14ac:dyDescent="0.25">
      <c r="A4621">
        <v>4620</v>
      </c>
    </row>
    <row r="4622" spans="1:1" x14ac:dyDescent="0.25">
      <c r="A4622">
        <v>4621</v>
      </c>
    </row>
    <row r="4623" spans="1:1" x14ac:dyDescent="0.25">
      <c r="A4623">
        <v>4622</v>
      </c>
    </row>
    <row r="4624" spans="1:1" x14ac:dyDescent="0.25">
      <c r="A4624">
        <v>4623</v>
      </c>
    </row>
    <row r="4625" spans="1:1" x14ac:dyDescent="0.25">
      <c r="A4625">
        <v>4624</v>
      </c>
    </row>
    <row r="4626" spans="1:1" x14ac:dyDescent="0.25">
      <c r="A4626">
        <v>4625</v>
      </c>
    </row>
    <row r="4627" spans="1:1" x14ac:dyDescent="0.25">
      <c r="A4627">
        <v>4626</v>
      </c>
    </row>
    <row r="4628" spans="1:1" x14ac:dyDescent="0.25">
      <c r="A4628">
        <v>4627</v>
      </c>
    </row>
    <row r="4629" spans="1:1" x14ac:dyDescent="0.25">
      <c r="A4629">
        <v>4628</v>
      </c>
    </row>
    <row r="4630" spans="1:1" x14ac:dyDescent="0.25">
      <c r="A4630">
        <v>4629</v>
      </c>
    </row>
    <row r="4631" spans="1:1" x14ac:dyDescent="0.25">
      <c r="A4631">
        <v>4630</v>
      </c>
    </row>
    <row r="4632" spans="1:1" x14ac:dyDescent="0.25">
      <c r="A4632">
        <v>4631</v>
      </c>
    </row>
    <row r="4633" spans="1:1" x14ac:dyDescent="0.25">
      <c r="A4633">
        <v>4632</v>
      </c>
    </row>
    <row r="4634" spans="1:1" x14ac:dyDescent="0.25">
      <c r="A4634">
        <v>4633</v>
      </c>
    </row>
    <row r="4635" spans="1:1" x14ac:dyDescent="0.25">
      <c r="A4635">
        <v>4634</v>
      </c>
    </row>
    <row r="4636" spans="1:1" x14ac:dyDescent="0.25">
      <c r="A4636">
        <v>4635</v>
      </c>
    </row>
    <row r="4637" spans="1:1" x14ac:dyDescent="0.25">
      <c r="A4637">
        <v>4636</v>
      </c>
    </row>
    <row r="4638" spans="1:1" x14ac:dyDescent="0.25">
      <c r="A4638">
        <v>4637</v>
      </c>
    </row>
    <row r="4639" spans="1:1" x14ac:dyDescent="0.25">
      <c r="A4639">
        <v>4638</v>
      </c>
    </row>
    <row r="4640" spans="1:1" x14ac:dyDescent="0.25">
      <c r="A4640">
        <v>4639</v>
      </c>
    </row>
    <row r="4641" spans="1:1" x14ac:dyDescent="0.25">
      <c r="A4641">
        <v>4640</v>
      </c>
    </row>
    <row r="4642" spans="1:1" x14ac:dyDescent="0.25">
      <c r="A4642">
        <v>4641</v>
      </c>
    </row>
    <row r="4643" spans="1:1" x14ac:dyDescent="0.25">
      <c r="A4643">
        <v>4642</v>
      </c>
    </row>
    <row r="4644" spans="1:1" x14ac:dyDescent="0.25">
      <c r="A4644">
        <v>4643</v>
      </c>
    </row>
    <row r="4645" spans="1:1" x14ac:dyDescent="0.25">
      <c r="A4645">
        <v>4644</v>
      </c>
    </row>
    <row r="4646" spans="1:1" x14ac:dyDescent="0.25">
      <c r="A4646">
        <v>4645</v>
      </c>
    </row>
    <row r="4647" spans="1:1" x14ac:dyDescent="0.25">
      <c r="A4647">
        <v>4646</v>
      </c>
    </row>
    <row r="4648" spans="1:1" x14ac:dyDescent="0.25">
      <c r="A4648">
        <v>4647</v>
      </c>
    </row>
    <row r="4649" spans="1:1" x14ac:dyDescent="0.25">
      <c r="A4649">
        <v>4648</v>
      </c>
    </row>
    <row r="4650" spans="1:1" x14ac:dyDescent="0.25">
      <c r="A4650">
        <v>4649</v>
      </c>
    </row>
    <row r="4651" spans="1:1" x14ac:dyDescent="0.25">
      <c r="A4651">
        <v>4650</v>
      </c>
    </row>
    <row r="4652" spans="1:1" x14ac:dyDescent="0.25">
      <c r="A4652">
        <v>4651</v>
      </c>
    </row>
    <row r="4653" spans="1:1" x14ac:dyDescent="0.25">
      <c r="A4653">
        <v>4652</v>
      </c>
    </row>
    <row r="4654" spans="1:1" x14ac:dyDescent="0.25">
      <c r="A4654">
        <v>4653</v>
      </c>
    </row>
    <row r="4655" spans="1:1" x14ac:dyDescent="0.25">
      <c r="A4655">
        <v>4654</v>
      </c>
    </row>
    <row r="4656" spans="1:1" x14ac:dyDescent="0.25">
      <c r="A4656">
        <v>4655</v>
      </c>
    </row>
    <row r="4657" spans="1:1" x14ac:dyDescent="0.25">
      <c r="A4657">
        <v>4656</v>
      </c>
    </row>
    <row r="4658" spans="1:1" x14ac:dyDescent="0.25">
      <c r="A4658">
        <v>4657</v>
      </c>
    </row>
    <row r="4659" spans="1:1" x14ac:dyDescent="0.25">
      <c r="A4659">
        <v>4658</v>
      </c>
    </row>
    <row r="4660" spans="1:1" x14ac:dyDescent="0.25">
      <c r="A4660">
        <v>4659</v>
      </c>
    </row>
    <row r="4661" spans="1:1" x14ac:dyDescent="0.25">
      <c r="A4661">
        <v>4660</v>
      </c>
    </row>
    <row r="4662" spans="1:1" x14ac:dyDescent="0.25">
      <c r="A4662">
        <v>4661</v>
      </c>
    </row>
    <row r="4663" spans="1:1" x14ac:dyDescent="0.25">
      <c r="A4663">
        <v>4662</v>
      </c>
    </row>
    <row r="4664" spans="1:1" x14ac:dyDescent="0.25">
      <c r="A4664">
        <v>4663</v>
      </c>
    </row>
    <row r="4665" spans="1:1" x14ac:dyDescent="0.25">
      <c r="A4665">
        <v>4664</v>
      </c>
    </row>
    <row r="4666" spans="1:1" x14ac:dyDescent="0.25">
      <c r="A4666">
        <v>4665</v>
      </c>
    </row>
    <row r="4667" spans="1:1" x14ac:dyDescent="0.25">
      <c r="A4667">
        <v>4666</v>
      </c>
    </row>
    <row r="4668" spans="1:1" x14ac:dyDescent="0.25">
      <c r="A4668">
        <v>4667</v>
      </c>
    </row>
    <row r="4669" spans="1:1" x14ac:dyDescent="0.25">
      <c r="A4669">
        <v>4668</v>
      </c>
    </row>
    <row r="4670" spans="1:1" x14ac:dyDescent="0.25">
      <c r="A4670">
        <v>4669</v>
      </c>
    </row>
    <row r="4671" spans="1:1" x14ac:dyDescent="0.25">
      <c r="A4671">
        <v>4670</v>
      </c>
    </row>
    <row r="4672" spans="1:1" x14ac:dyDescent="0.25">
      <c r="A4672">
        <v>4671</v>
      </c>
    </row>
    <row r="4673" spans="1:1" x14ac:dyDescent="0.25">
      <c r="A4673">
        <v>4672</v>
      </c>
    </row>
    <row r="4674" spans="1:1" x14ac:dyDescent="0.25">
      <c r="A4674">
        <v>4673</v>
      </c>
    </row>
    <row r="4675" spans="1:1" x14ac:dyDescent="0.25">
      <c r="A4675">
        <v>4674</v>
      </c>
    </row>
    <row r="4676" spans="1:1" x14ac:dyDescent="0.25">
      <c r="A4676">
        <v>4675</v>
      </c>
    </row>
    <row r="4677" spans="1:1" x14ac:dyDescent="0.25">
      <c r="A4677">
        <v>4676</v>
      </c>
    </row>
    <row r="4678" spans="1:1" x14ac:dyDescent="0.25">
      <c r="A4678">
        <v>4677</v>
      </c>
    </row>
    <row r="4679" spans="1:1" x14ac:dyDescent="0.25">
      <c r="A4679">
        <v>4678</v>
      </c>
    </row>
    <row r="4680" spans="1:1" x14ac:dyDescent="0.25">
      <c r="A4680">
        <v>4679</v>
      </c>
    </row>
    <row r="4681" spans="1:1" x14ac:dyDescent="0.25">
      <c r="A4681">
        <v>4680</v>
      </c>
    </row>
    <row r="4682" spans="1:1" x14ac:dyDescent="0.25">
      <c r="A4682">
        <v>4681</v>
      </c>
    </row>
    <row r="4683" spans="1:1" x14ac:dyDescent="0.25">
      <c r="A4683">
        <v>4682</v>
      </c>
    </row>
    <row r="4684" spans="1:1" x14ac:dyDescent="0.25">
      <c r="A4684">
        <v>4683</v>
      </c>
    </row>
    <row r="4685" spans="1:1" x14ac:dyDescent="0.25">
      <c r="A4685">
        <v>4684</v>
      </c>
    </row>
    <row r="4686" spans="1:1" x14ac:dyDescent="0.25">
      <c r="A4686">
        <v>4685</v>
      </c>
    </row>
    <row r="4687" spans="1:1" x14ac:dyDescent="0.25">
      <c r="A4687">
        <v>4686</v>
      </c>
    </row>
    <row r="4688" spans="1:1" x14ac:dyDescent="0.25">
      <c r="A4688">
        <v>4687</v>
      </c>
    </row>
    <row r="4689" spans="1:1" x14ac:dyDescent="0.25">
      <c r="A4689">
        <v>4688</v>
      </c>
    </row>
    <row r="4690" spans="1:1" x14ac:dyDescent="0.25">
      <c r="A4690">
        <v>4689</v>
      </c>
    </row>
    <row r="4691" spans="1:1" x14ac:dyDescent="0.25">
      <c r="A4691">
        <v>4690</v>
      </c>
    </row>
    <row r="4692" spans="1:1" x14ac:dyDescent="0.25">
      <c r="A4692">
        <v>4691</v>
      </c>
    </row>
    <row r="4693" spans="1:1" x14ac:dyDescent="0.25">
      <c r="A4693">
        <v>4692</v>
      </c>
    </row>
    <row r="4694" spans="1:1" x14ac:dyDescent="0.25">
      <c r="A4694">
        <v>4693</v>
      </c>
    </row>
    <row r="4695" spans="1:1" x14ac:dyDescent="0.25">
      <c r="A4695">
        <v>4694</v>
      </c>
    </row>
    <row r="4696" spans="1:1" x14ac:dyDescent="0.25">
      <c r="A4696">
        <v>4695</v>
      </c>
    </row>
    <row r="4697" spans="1:1" x14ac:dyDescent="0.25">
      <c r="A4697">
        <v>4696</v>
      </c>
    </row>
    <row r="4698" spans="1:1" x14ac:dyDescent="0.25">
      <c r="A4698">
        <v>4697</v>
      </c>
    </row>
    <row r="4699" spans="1:1" x14ac:dyDescent="0.25">
      <c r="A4699">
        <v>4698</v>
      </c>
    </row>
    <row r="4700" spans="1:1" x14ac:dyDescent="0.25">
      <c r="A4700">
        <v>4699</v>
      </c>
    </row>
    <row r="4701" spans="1:1" x14ac:dyDescent="0.25">
      <c r="A4701">
        <v>4700</v>
      </c>
    </row>
    <row r="4702" spans="1:1" x14ac:dyDescent="0.25">
      <c r="A4702">
        <v>4701</v>
      </c>
    </row>
    <row r="4703" spans="1:1" x14ac:dyDescent="0.25">
      <c r="A4703">
        <v>4702</v>
      </c>
    </row>
    <row r="4704" spans="1:1" x14ac:dyDescent="0.25">
      <c r="A4704">
        <v>4703</v>
      </c>
    </row>
    <row r="4705" spans="1:1" x14ac:dyDescent="0.25">
      <c r="A4705">
        <v>4704</v>
      </c>
    </row>
    <row r="4706" spans="1:1" x14ac:dyDescent="0.25">
      <c r="A4706">
        <v>4705</v>
      </c>
    </row>
    <row r="4707" spans="1:1" x14ac:dyDescent="0.25">
      <c r="A4707">
        <v>4706</v>
      </c>
    </row>
    <row r="4708" spans="1:1" x14ac:dyDescent="0.25">
      <c r="A4708">
        <v>4707</v>
      </c>
    </row>
    <row r="4709" spans="1:1" x14ac:dyDescent="0.25">
      <c r="A4709">
        <v>4708</v>
      </c>
    </row>
    <row r="4710" spans="1:1" x14ac:dyDescent="0.25">
      <c r="A4710">
        <v>4709</v>
      </c>
    </row>
    <row r="4711" spans="1:1" x14ac:dyDescent="0.25">
      <c r="A4711">
        <v>4710</v>
      </c>
    </row>
    <row r="4712" spans="1:1" x14ac:dyDescent="0.25">
      <c r="A4712">
        <v>4711</v>
      </c>
    </row>
    <row r="4713" spans="1:1" x14ac:dyDescent="0.25">
      <c r="A4713">
        <v>4712</v>
      </c>
    </row>
    <row r="4714" spans="1:1" x14ac:dyDescent="0.25">
      <c r="A4714">
        <v>4713</v>
      </c>
    </row>
    <row r="4715" spans="1:1" x14ac:dyDescent="0.25">
      <c r="A4715">
        <v>4714</v>
      </c>
    </row>
    <row r="4716" spans="1:1" x14ac:dyDescent="0.25">
      <c r="A4716">
        <v>4715</v>
      </c>
    </row>
    <row r="4717" spans="1:1" x14ac:dyDescent="0.25">
      <c r="A4717">
        <v>4716</v>
      </c>
    </row>
    <row r="4718" spans="1:1" x14ac:dyDescent="0.25">
      <c r="A4718">
        <v>4717</v>
      </c>
    </row>
    <row r="4719" spans="1:1" x14ac:dyDescent="0.25">
      <c r="A4719">
        <v>4718</v>
      </c>
    </row>
    <row r="4720" spans="1:1" x14ac:dyDescent="0.25">
      <c r="A4720">
        <v>4719</v>
      </c>
    </row>
    <row r="4721" spans="1:1" x14ac:dyDescent="0.25">
      <c r="A4721">
        <v>4720</v>
      </c>
    </row>
    <row r="4722" spans="1:1" x14ac:dyDescent="0.25">
      <c r="A4722">
        <v>4721</v>
      </c>
    </row>
    <row r="4723" spans="1:1" x14ac:dyDescent="0.25">
      <c r="A4723">
        <v>4722</v>
      </c>
    </row>
    <row r="4724" spans="1:1" x14ac:dyDescent="0.25">
      <c r="A4724">
        <v>4723</v>
      </c>
    </row>
    <row r="4725" spans="1:1" x14ac:dyDescent="0.25">
      <c r="A4725">
        <v>4724</v>
      </c>
    </row>
    <row r="4726" spans="1:1" x14ac:dyDescent="0.25">
      <c r="A4726">
        <v>4725</v>
      </c>
    </row>
    <row r="4727" spans="1:1" x14ac:dyDescent="0.25">
      <c r="A4727">
        <v>4726</v>
      </c>
    </row>
    <row r="4728" spans="1:1" x14ac:dyDescent="0.25">
      <c r="A4728">
        <v>4727</v>
      </c>
    </row>
    <row r="4729" spans="1:1" x14ac:dyDescent="0.25">
      <c r="A4729">
        <v>4728</v>
      </c>
    </row>
    <row r="4730" spans="1:1" x14ac:dyDescent="0.25">
      <c r="A4730">
        <v>4729</v>
      </c>
    </row>
    <row r="4731" spans="1:1" x14ac:dyDescent="0.25">
      <c r="A4731">
        <v>4730</v>
      </c>
    </row>
    <row r="4732" spans="1:1" x14ac:dyDescent="0.25">
      <c r="A4732">
        <v>4731</v>
      </c>
    </row>
    <row r="4733" spans="1:1" x14ac:dyDescent="0.25">
      <c r="A4733">
        <v>4732</v>
      </c>
    </row>
    <row r="4734" spans="1:1" x14ac:dyDescent="0.25">
      <c r="A4734">
        <v>4733</v>
      </c>
    </row>
    <row r="4735" spans="1:1" x14ac:dyDescent="0.25">
      <c r="A4735">
        <v>4734</v>
      </c>
    </row>
    <row r="4736" spans="1:1" x14ac:dyDescent="0.25">
      <c r="A4736">
        <v>4735</v>
      </c>
    </row>
    <row r="4737" spans="1:1" x14ac:dyDescent="0.25">
      <c r="A4737">
        <v>4736</v>
      </c>
    </row>
    <row r="4738" spans="1:1" x14ac:dyDescent="0.25">
      <c r="A4738">
        <v>4737</v>
      </c>
    </row>
    <row r="4739" spans="1:1" x14ac:dyDescent="0.25">
      <c r="A4739">
        <v>4738</v>
      </c>
    </row>
    <row r="4740" spans="1:1" x14ac:dyDescent="0.25">
      <c r="A4740">
        <v>4739</v>
      </c>
    </row>
    <row r="4741" spans="1:1" x14ac:dyDescent="0.25">
      <c r="A4741">
        <v>4740</v>
      </c>
    </row>
    <row r="4742" spans="1:1" x14ac:dyDescent="0.25">
      <c r="A4742">
        <v>4741</v>
      </c>
    </row>
    <row r="4743" spans="1:1" x14ac:dyDescent="0.25">
      <c r="A4743">
        <v>4742</v>
      </c>
    </row>
    <row r="4744" spans="1:1" x14ac:dyDescent="0.25">
      <c r="A4744">
        <v>4743</v>
      </c>
    </row>
    <row r="4745" spans="1:1" x14ac:dyDescent="0.25">
      <c r="A4745">
        <v>4744</v>
      </c>
    </row>
    <row r="4746" spans="1:1" x14ac:dyDescent="0.25">
      <c r="A4746">
        <v>4745</v>
      </c>
    </row>
    <row r="4747" spans="1:1" x14ac:dyDescent="0.25">
      <c r="A4747">
        <v>4746</v>
      </c>
    </row>
    <row r="4748" spans="1:1" x14ac:dyDescent="0.25">
      <c r="A4748">
        <v>4747</v>
      </c>
    </row>
    <row r="4749" spans="1:1" x14ac:dyDescent="0.25">
      <c r="A4749">
        <v>4748</v>
      </c>
    </row>
    <row r="4750" spans="1:1" x14ac:dyDescent="0.25">
      <c r="A4750">
        <v>4749</v>
      </c>
    </row>
    <row r="4751" spans="1:1" x14ac:dyDescent="0.25">
      <c r="A4751">
        <v>4750</v>
      </c>
    </row>
    <row r="4752" spans="1:1" x14ac:dyDescent="0.25">
      <c r="A4752">
        <v>4751</v>
      </c>
    </row>
    <row r="4753" spans="1:1" x14ac:dyDescent="0.25">
      <c r="A4753">
        <v>4752</v>
      </c>
    </row>
    <row r="4754" spans="1:1" x14ac:dyDescent="0.25">
      <c r="A4754">
        <v>4753</v>
      </c>
    </row>
    <row r="4755" spans="1:1" x14ac:dyDescent="0.25">
      <c r="A4755">
        <v>4754</v>
      </c>
    </row>
    <row r="4756" spans="1:1" x14ac:dyDescent="0.25">
      <c r="A4756">
        <v>4755</v>
      </c>
    </row>
    <row r="4757" spans="1:1" x14ac:dyDescent="0.25">
      <c r="A4757">
        <v>4756</v>
      </c>
    </row>
    <row r="4758" spans="1:1" x14ac:dyDescent="0.25">
      <c r="A4758">
        <v>4757</v>
      </c>
    </row>
    <row r="4759" spans="1:1" x14ac:dyDescent="0.25">
      <c r="A4759">
        <v>4758</v>
      </c>
    </row>
    <row r="4760" spans="1:1" x14ac:dyDescent="0.25">
      <c r="A4760">
        <v>4759</v>
      </c>
    </row>
    <row r="4761" spans="1:1" x14ac:dyDescent="0.25">
      <c r="A4761">
        <v>4760</v>
      </c>
    </row>
    <row r="4762" spans="1:1" x14ac:dyDescent="0.25">
      <c r="A4762">
        <v>4761</v>
      </c>
    </row>
    <row r="4763" spans="1:1" x14ac:dyDescent="0.25">
      <c r="A4763">
        <v>4762</v>
      </c>
    </row>
    <row r="4764" spans="1:1" x14ac:dyDescent="0.25">
      <c r="A4764">
        <v>4763</v>
      </c>
    </row>
    <row r="4765" spans="1:1" x14ac:dyDescent="0.25">
      <c r="A4765">
        <v>4764</v>
      </c>
    </row>
    <row r="4766" spans="1:1" x14ac:dyDescent="0.25">
      <c r="A4766">
        <v>4765</v>
      </c>
    </row>
    <row r="4767" spans="1:1" x14ac:dyDescent="0.25">
      <c r="A4767">
        <v>4766</v>
      </c>
    </row>
    <row r="4768" spans="1:1" x14ac:dyDescent="0.25">
      <c r="A4768">
        <v>4767</v>
      </c>
    </row>
    <row r="4769" spans="1:1" x14ac:dyDescent="0.25">
      <c r="A4769">
        <v>4768</v>
      </c>
    </row>
    <row r="4770" spans="1:1" x14ac:dyDescent="0.25">
      <c r="A4770">
        <v>4769</v>
      </c>
    </row>
    <row r="4771" spans="1:1" x14ac:dyDescent="0.25">
      <c r="A4771">
        <v>4770</v>
      </c>
    </row>
    <row r="4772" spans="1:1" x14ac:dyDescent="0.25">
      <c r="A4772">
        <v>4771</v>
      </c>
    </row>
    <row r="4773" spans="1:1" x14ac:dyDescent="0.25">
      <c r="A4773">
        <v>4772</v>
      </c>
    </row>
    <row r="4774" spans="1:1" x14ac:dyDescent="0.25">
      <c r="A4774">
        <v>4773</v>
      </c>
    </row>
    <row r="4775" spans="1:1" x14ac:dyDescent="0.25">
      <c r="A4775">
        <v>4774</v>
      </c>
    </row>
    <row r="4776" spans="1:1" x14ac:dyDescent="0.25">
      <c r="A4776">
        <v>4775</v>
      </c>
    </row>
    <row r="4777" spans="1:1" x14ac:dyDescent="0.25">
      <c r="A4777">
        <v>4776</v>
      </c>
    </row>
    <row r="4778" spans="1:1" x14ac:dyDescent="0.25">
      <c r="A4778">
        <v>4777</v>
      </c>
    </row>
    <row r="4779" spans="1:1" x14ac:dyDescent="0.25">
      <c r="A4779">
        <v>4778</v>
      </c>
    </row>
    <row r="4780" spans="1:1" x14ac:dyDescent="0.25">
      <c r="A4780">
        <v>4779</v>
      </c>
    </row>
    <row r="4781" spans="1:1" x14ac:dyDescent="0.25">
      <c r="A4781">
        <v>4780</v>
      </c>
    </row>
    <row r="4782" spans="1:1" x14ac:dyDescent="0.25">
      <c r="A4782">
        <v>4781</v>
      </c>
    </row>
    <row r="4783" spans="1:1" x14ac:dyDescent="0.25">
      <c r="A4783">
        <v>4782</v>
      </c>
    </row>
    <row r="4784" spans="1:1" x14ac:dyDescent="0.25">
      <c r="A4784">
        <v>4783</v>
      </c>
    </row>
    <row r="4785" spans="1:1" x14ac:dyDescent="0.25">
      <c r="A4785">
        <v>4784</v>
      </c>
    </row>
    <row r="4786" spans="1:1" x14ac:dyDescent="0.25">
      <c r="A4786">
        <v>4785</v>
      </c>
    </row>
    <row r="4787" spans="1:1" x14ac:dyDescent="0.25">
      <c r="A4787">
        <v>4786</v>
      </c>
    </row>
    <row r="4788" spans="1:1" x14ac:dyDescent="0.25">
      <c r="A4788">
        <v>4787</v>
      </c>
    </row>
    <row r="4789" spans="1:1" x14ac:dyDescent="0.25">
      <c r="A4789">
        <v>4788</v>
      </c>
    </row>
    <row r="4790" spans="1:1" x14ac:dyDescent="0.25">
      <c r="A4790">
        <v>4789</v>
      </c>
    </row>
    <row r="4791" spans="1:1" x14ac:dyDescent="0.25">
      <c r="A4791">
        <v>4790</v>
      </c>
    </row>
    <row r="4792" spans="1:1" x14ac:dyDescent="0.25">
      <c r="A4792">
        <v>4791</v>
      </c>
    </row>
    <row r="4793" spans="1:1" x14ac:dyDescent="0.25">
      <c r="A4793">
        <v>4792</v>
      </c>
    </row>
    <row r="4794" spans="1:1" x14ac:dyDescent="0.25">
      <c r="A4794">
        <v>4793</v>
      </c>
    </row>
    <row r="4795" spans="1:1" x14ac:dyDescent="0.25">
      <c r="A4795">
        <v>4794</v>
      </c>
    </row>
    <row r="4796" spans="1:1" x14ac:dyDescent="0.25">
      <c r="A4796">
        <v>4795</v>
      </c>
    </row>
    <row r="4797" spans="1:1" x14ac:dyDescent="0.25">
      <c r="A4797">
        <v>4796</v>
      </c>
    </row>
    <row r="4798" spans="1:1" x14ac:dyDescent="0.25">
      <c r="A4798">
        <v>4797</v>
      </c>
    </row>
    <row r="4799" spans="1:1" x14ac:dyDescent="0.25">
      <c r="A4799">
        <v>4798</v>
      </c>
    </row>
    <row r="4800" spans="1:1" x14ac:dyDescent="0.25">
      <c r="A4800">
        <v>4799</v>
      </c>
    </row>
    <row r="4801" spans="1:1" x14ac:dyDescent="0.25">
      <c r="A4801">
        <v>4800</v>
      </c>
    </row>
    <row r="4802" spans="1:1" x14ac:dyDescent="0.25">
      <c r="A4802">
        <v>4801</v>
      </c>
    </row>
    <row r="4803" spans="1:1" x14ac:dyDescent="0.25">
      <c r="A4803">
        <v>4802</v>
      </c>
    </row>
    <row r="4804" spans="1:1" x14ac:dyDescent="0.25">
      <c r="A4804">
        <v>4803</v>
      </c>
    </row>
    <row r="4805" spans="1:1" x14ac:dyDescent="0.25">
      <c r="A4805">
        <v>4804</v>
      </c>
    </row>
    <row r="4806" spans="1:1" x14ac:dyDescent="0.25">
      <c r="A4806">
        <v>4805</v>
      </c>
    </row>
    <row r="4807" spans="1:1" x14ac:dyDescent="0.25">
      <c r="A4807">
        <v>4806</v>
      </c>
    </row>
    <row r="4808" spans="1:1" x14ac:dyDescent="0.25">
      <c r="A4808">
        <v>4807</v>
      </c>
    </row>
    <row r="4809" spans="1:1" x14ac:dyDescent="0.25">
      <c r="A4809">
        <v>4808</v>
      </c>
    </row>
    <row r="4810" spans="1:1" x14ac:dyDescent="0.25">
      <c r="A4810">
        <v>4809</v>
      </c>
    </row>
    <row r="4811" spans="1:1" x14ac:dyDescent="0.25">
      <c r="A4811">
        <v>4810</v>
      </c>
    </row>
    <row r="4812" spans="1:1" x14ac:dyDescent="0.25">
      <c r="A4812">
        <v>4811</v>
      </c>
    </row>
    <row r="4813" spans="1:1" x14ac:dyDescent="0.25">
      <c r="A4813">
        <v>4812</v>
      </c>
    </row>
    <row r="4814" spans="1:1" x14ac:dyDescent="0.25">
      <c r="A4814">
        <v>4813</v>
      </c>
    </row>
    <row r="4815" spans="1:1" x14ac:dyDescent="0.25">
      <c r="A4815">
        <v>4814</v>
      </c>
    </row>
    <row r="4816" spans="1:1" x14ac:dyDescent="0.25">
      <c r="A4816">
        <v>4815</v>
      </c>
    </row>
    <row r="4817" spans="1:1" x14ac:dyDescent="0.25">
      <c r="A4817">
        <v>4816</v>
      </c>
    </row>
    <row r="4818" spans="1:1" x14ac:dyDescent="0.25">
      <c r="A4818">
        <v>4817</v>
      </c>
    </row>
    <row r="4819" spans="1:1" x14ac:dyDescent="0.25">
      <c r="A4819">
        <v>4818</v>
      </c>
    </row>
    <row r="4820" spans="1:1" x14ac:dyDescent="0.25">
      <c r="A4820">
        <v>4819</v>
      </c>
    </row>
    <row r="4821" spans="1:1" x14ac:dyDescent="0.25">
      <c r="A4821">
        <v>4820</v>
      </c>
    </row>
    <row r="4822" spans="1:1" x14ac:dyDescent="0.25">
      <c r="A4822">
        <v>4821</v>
      </c>
    </row>
    <row r="4823" spans="1:1" x14ac:dyDescent="0.25">
      <c r="A4823">
        <v>4822</v>
      </c>
    </row>
    <row r="4824" spans="1:1" x14ac:dyDescent="0.25">
      <c r="A4824">
        <v>4823</v>
      </c>
    </row>
    <row r="4825" spans="1:1" x14ac:dyDescent="0.25">
      <c r="A4825">
        <v>4824</v>
      </c>
    </row>
    <row r="4826" spans="1:1" x14ac:dyDescent="0.25">
      <c r="A4826">
        <v>4825</v>
      </c>
    </row>
    <row r="4827" spans="1:1" x14ac:dyDescent="0.25">
      <c r="A4827">
        <v>4826</v>
      </c>
    </row>
    <row r="4828" spans="1:1" x14ac:dyDescent="0.25">
      <c r="A4828">
        <v>4827</v>
      </c>
    </row>
    <row r="4829" spans="1:1" x14ac:dyDescent="0.25">
      <c r="A4829">
        <v>4828</v>
      </c>
    </row>
    <row r="4830" spans="1:1" x14ac:dyDescent="0.25">
      <c r="A4830">
        <v>4829</v>
      </c>
    </row>
    <row r="4831" spans="1:1" x14ac:dyDescent="0.25">
      <c r="A4831">
        <v>4830</v>
      </c>
    </row>
    <row r="4832" spans="1:1" x14ac:dyDescent="0.25">
      <c r="A4832">
        <v>4831</v>
      </c>
    </row>
    <row r="4833" spans="1:1" x14ac:dyDescent="0.25">
      <c r="A4833">
        <v>4832</v>
      </c>
    </row>
    <row r="4834" spans="1:1" x14ac:dyDescent="0.25">
      <c r="A4834">
        <v>4833</v>
      </c>
    </row>
    <row r="4835" spans="1:1" x14ac:dyDescent="0.25">
      <c r="A4835">
        <v>4834</v>
      </c>
    </row>
    <row r="4836" spans="1:1" x14ac:dyDescent="0.25">
      <c r="A4836">
        <v>4835</v>
      </c>
    </row>
    <row r="4837" spans="1:1" x14ac:dyDescent="0.25">
      <c r="A4837">
        <v>4836</v>
      </c>
    </row>
    <row r="4838" spans="1:1" x14ac:dyDescent="0.25">
      <c r="A4838">
        <v>4837</v>
      </c>
    </row>
    <row r="4839" spans="1:1" x14ac:dyDescent="0.25">
      <c r="A4839">
        <v>4838</v>
      </c>
    </row>
    <row r="4840" spans="1:1" x14ac:dyDescent="0.25">
      <c r="A4840">
        <v>4839</v>
      </c>
    </row>
    <row r="4841" spans="1:1" x14ac:dyDescent="0.25">
      <c r="A4841">
        <v>4840</v>
      </c>
    </row>
    <row r="4842" spans="1:1" x14ac:dyDescent="0.25">
      <c r="A4842">
        <v>4841</v>
      </c>
    </row>
    <row r="4843" spans="1:1" x14ac:dyDescent="0.25">
      <c r="A4843">
        <v>4842</v>
      </c>
    </row>
    <row r="4844" spans="1:1" x14ac:dyDescent="0.25">
      <c r="A4844">
        <v>4843</v>
      </c>
    </row>
    <row r="4845" spans="1:1" x14ac:dyDescent="0.25">
      <c r="A4845">
        <v>4844</v>
      </c>
    </row>
    <row r="4846" spans="1:1" x14ac:dyDescent="0.25">
      <c r="A4846">
        <v>4845</v>
      </c>
    </row>
    <row r="4847" spans="1:1" x14ac:dyDescent="0.25">
      <c r="A4847">
        <v>4846</v>
      </c>
    </row>
    <row r="4848" spans="1:1" x14ac:dyDescent="0.25">
      <c r="A4848">
        <v>4847</v>
      </c>
    </row>
    <row r="4849" spans="1:1" x14ac:dyDescent="0.25">
      <c r="A4849">
        <v>4848</v>
      </c>
    </row>
    <row r="4850" spans="1:1" x14ac:dyDescent="0.25">
      <c r="A4850">
        <v>4849</v>
      </c>
    </row>
    <row r="4851" spans="1:1" x14ac:dyDescent="0.25">
      <c r="A4851">
        <v>4850</v>
      </c>
    </row>
    <row r="4852" spans="1:1" x14ac:dyDescent="0.25">
      <c r="A4852">
        <v>4851</v>
      </c>
    </row>
    <row r="4853" spans="1:1" x14ac:dyDescent="0.25">
      <c r="A4853">
        <v>4852</v>
      </c>
    </row>
    <row r="4854" spans="1:1" x14ac:dyDescent="0.25">
      <c r="A4854">
        <v>4853</v>
      </c>
    </row>
    <row r="4855" spans="1:1" x14ac:dyDescent="0.25">
      <c r="A4855">
        <v>4854</v>
      </c>
    </row>
    <row r="4856" spans="1:1" x14ac:dyDescent="0.25">
      <c r="A4856">
        <v>4855</v>
      </c>
    </row>
    <row r="4857" spans="1:1" x14ac:dyDescent="0.25">
      <c r="A4857">
        <v>4856</v>
      </c>
    </row>
    <row r="4858" spans="1:1" x14ac:dyDescent="0.25">
      <c r="A4858">
        <v>4857</v>
      </c>
    </row>
    <row r="4859" spans="1:1" x14ac:dyDescent="0.25">
      <c r="A4859">
        <v>4858</v>
      </c>
    </row>
    <row r="4860" spans="1:1" x14ac:dyDescent="0.25">
      <c r="A4860">
        <v>4859</v>
      </c>
    </row>
    <row r="4861" spans="1:1" x14ac:dyDescent="0.25">
      <c r="A4861">
        <v>4860</v>
      </c>
    </row>
    <row r="4862" spans="1:1" x14ac:dyDescent="0.25">
      <c r="A4862">
        <v>4861</v>
      </c>
    </row>
    <row r="4863" spans="1:1" x14ac:dyDescent="0.25">
      <c r="A4863">
        <v>4862</v>
      </c>
    </row>
    <row r="4864" spans="1:1" x14ac:dyDescent="0.25">
      <c r="A4864">
        <v>4863</v>
      </c>
    </row>
    <row r="4865" spans="1:1" x14ac:dyDescent="0.25">
      <c r="A4865">
        <v>4864</v>
      </c>
    </row>
    <row r="4866" spans="1:1" x14ac:dyDescent="0.25">
      <c r="A4866">
        <v>4865</v>
      </c>
    </row>
    <row r="4867" spans="1:1" x14ac:dyDescent="0.25">
      <c r="A4867">
        <v>4866</v>
      </c>
    </row>
    <row r="4868" spans="1:1" x14ac:dyDescent="0.25">
      <c r="A4868">
        <v>4867</v>
      </c>
    </row>
    <row r="4869" spans="1:1" x14ac:dyDescent="0.25">
      <c r="A4869">
        <v>4868</v>
      </c>
    </row>
    <row r="4870" spans="1:1" x14ac:dyDescent="0.25">
      <c r="A4870">
        <v>4869</v>
      </c>
    </row>
    <row r="4871" spans="1:1" x14ac:dyDescent="0.25">
      <c r="A4871">
        <v>4870</v>
      </c>
    </row>
    <row r="4872" spans="1:1" x14ac:dyDescent="0.25">
      <c r="A4872">
        <v>4871</v>
      </c>
    </row>
    <row r="4873" spans="1:1" x14ac:dyDescent="0.25">
      <c r="A4873">
        <v>4872</v>
      </c>
    </row>
    <row r="4874" spans="1:1" x14ac:dyDescent="0.25">
      <c r="A4874">
        <v>4873</v>
      </c>
    </row>
    <row r="4875" spans="1:1" x14ac:dyDescent="0.25">
      <c r="A4875">
        <v>4874</v>
      </c>
    </row>
    <row r="4876" spans="1:1" x14ac:dyDescent="0.25">
      <c r="A4876">
        <v>4875</v>
      </c>
    </row>
    <row r="4877" spans="1:1" x14ac:dyDescent="0.25">
      <c r="A4877">
        <v>4876</v>
      </c>
    </row>
    <row r="4878" spans="1:1" x14ac:dyDescent="0.25">
      <c r="A4878">
        <v>4877</v>
      </c>
    </row>
    <row r="4879" spans="1:1" x14ac:dyDescent="0.25">
      <c r="A4879">
        <v>4878</v>
      </c>
    </row>
    <row r="4880" spans="1:1" x14ac:dyDescent="0.25">
      <c r="A4880">
        <v>4879</v>
      </c>
    </row>
    <row r="4881" spans="1:1" x14ac:dyDescent="0.25">
      <c r="A4881">
        <v>4880</v>
      </c>
    </row>
    <row r="4882" spans="1:1" x14ac:dyDescent="0.25">
      <c r="A4882">
        <v>4881</v>
      </c>
    </row>
    <row r="4883" spans="1:1" x14ac:dyDescent="0.25">
      <c r="A4883">
        <v>4882</v>
      </c>
    </row>
    <row r="4884" spans="1:1" x14ac:dyDescent="0.25">
      <c r="A4884">
        <v>4883</v>
      </c>
    </row>
    <row r="4885" spans="1:1" x14ac:dyDescent="0.25">
      <c r="A4885">
        <v>4884</v>
      </c>
    </row>
    <row r="4886" spans="1:1" x14ac:dyDescent="0.25">
      <c r="A4886">
        <v>4885</v>
      </c>
    </row>
    <row r="4887" spans="1:1" x14ac:dyDescent="0.25">
      <c r="A4887">
        <v>4886</v>
      </c>
    </row>
    <row r="4888" spans="1:1" x14ac:dyDescent="0.25">
      <c r="A4888">
        <v>4887</v>
      </c>
    </row>
    <row r="4889" spans="1:1" x14ac:dyDescent="0.25">
      <c r="A4889">
        <v>4888</v>
      </c>
    </row>
    <row r="4890" spans="1:1" x14ac:dyDescent="0.25">
      <c r="A4890">
        <v>4889</v>
      </c>
    </row>
    <row r="4891" spans="1:1" x14ac:dyDescent="0.25">
      <c r="A4891">
        <v>4890</v>
      </c>
    </row>
    <row r="4892" spans="1:1" x14ac:dyDescent="0.25">
      <c r="A4892">
        <v>4891</v>
      </c>
    </row>
    <row r="4893" spans="1:1" x14ac:dyDescent="0.25">
      <c r="A4893">
        <v>4892</v>
      </c>
    </row>
    <row r="4894" spans="1:1" x14ac:dyDescent="0.25">
      <c r="A4894">
        <v>4893</v>
      </c>
    </row>
    <row r="4895" spans="1:1" x14ac:dyDescent="0.25">
      <c r="A4895">
        <v>4894</v>
      </c>
    </row>
    <row r="4896" spans="1:1" x14ac:dyDescent="0.25">
      <c r="A4896">
        <v>4895</v>
      </c>
    </row>
    <row r="4897" spans="1:1" x14ac:dyDescent="0.25">
      <c r="A4897">
        <v>4896</v>
      </c>
    </row>
    <row r="4898" spans="1:1" x14ac:dyDescent="0.25">
      <c r="A4898">
        <v>4897</v>
      </c>
    </row>
    <row r="4899" spans="1:1" x14ac:dyDescent="0.25">
      <c r="A4899">
        <v>4898</v>
      </c>
    </row>
    <row r="4900" spans="1:1" x14ac:dyDescent="0.25">
      <c r="A4900">
        <v>4899</v>
      </c>
    </row>
    <row r="4901" spans="1:1" x14ac:dyDescent="0.25">
      <c r="A4901">
        <v>4900</v>
      </c>
    </row>
    <row r="4902" spans="1:1" x14ac:dyDescent="0.25">
      <c r="A4902">
        <v>4901</v>
      </c>
    </row>
    <row r="4903" spans="1:1" x14ac:dyDescent="0.25">
      <c r="A4903">
        <v>4902</v>
      </c>
    </row>
    <row r="4904" spans="1:1" x14ac:dyDescent="0.25">
      <c r="A4904">
        <v>4903</v>
      </c>
    </row>
    <row r="4905" spans="1:1" x14ac:dyDescent="0.25">
      <c r="A4905">
        <v>4904</v>
      </c>
    </row>
    <row r="4906" spans="1:1" x14ac:dyDescent="0.25">
      <c r="A4906">
        <v>4905</v>
      </c>
    </row>
    <row r="4907" spans="1:1" x14ac:dyDescent="0.25">
      <c r="A4907">
        <v>4906</v>
      </c>
    </row>
    <row r="4908" spans="1:1" x14ac:dyDescent="0.25">
      <c r="A4908">
        <v>4907</v>
      </c>
    </row>
    <row r="4909" spans="1:1" x14ac:dyDescent="0.25">
      <c r="A4909">
        <v>4908</v>
      </c>
    </row>
    <row r="4910" spans="1:1" x14ac:dyDescent="0.25">
      <c r="A4910">
        <v>4909</v>
      </c>
    </row>
    <row r="4911" spans="1:1" x14ac:dyDescent="0.25">
      <c r="A4911">
        <v>4910</v>
      </c>
    </row>
    <row r="4912" spans="1:1" x14ac:dyDescent="0.25">
      <c r="A4912">
        <v>4911</v>
      </c>
    </row>
    <row r="4913" spans="1:1" x14ac:dyDescent="0.25">
      <c r="A4913">
        <v>4912</v>
      </c>
    </row>
    <row r="4914" spans="1:1" x14ac:dyDescent="0.25">
      <c r="A4914">
        <v>4913</v>
      </c>
    </row>
    <row r="4915" spans="1:1" x14ac:dyDescent="0.25">
      <c r="A4915">
        <v>4914</v>
      </c>
    </row>
    <row r="4916" spans="1:1" x14ac:dyDescent="0.25">
      <c r="A4916">
        <v>4915</v>
      </c>
    </row>
    <row r="4917" spans="1:1" x14ac:dyDescent="0.25">
      <c r="A4917">
        <v>4916</v>
      </c>
    </row>
    <row r="4918" spans="1:1" x14ac:dyDescent="0.25">
      <c r="A4918">
        <v>4917</v>
      </c>
    </row>
    <row r="4919" spans="1:1" x14ac:dyDescent="0.25">
      <c r="A4919">
        <v>4918</v>
      </c>
    </row>
    <row r="4920" spans="1:1" x14ac:dyDescent="0.25">
      <c r="A4920">
        <v>4919</v>
      </c>
    </row>
    <row r="4921" spans="1:1" x14ac:dyDescent="0.25">
      <c r="A4921">
        <v>4920</v>
      </c>
    </row>
    <row r="4922" spans="1:1" x14ac:dyDescent="0.25">
      <c r="A4922">
        <v>4921</v>
      </c>
    </row>
    <row r="4923" spans="1:1" x14ac:dyDescent="0.25">
      <c r="A4923">
        <v>4922</v>
      </c>
    </row>
    <row r="4924" spans="1:1" x14ac:dyDescent="0.25">
      <c r="A4924">
        <v>4923</v>
      </c>
    </row>
    <row r="4925" spans="1:1" x14ac:dyDescent="0.25">
      <c r="A4925">
        <v>4924</v>
      </c>
    </row>
    <row r="4926" spans="1:1" x14ac:dyDescent="0.25">
      <c r="A4926">
        <v>4925</v>
      </c>
    </row>
    <row r="4927" spans="1:1" x14ac:dyDescent="0.25">
      <c r="A4927">
        <v>4926</v>
      </c>
    </row>
    <row r="4928" spans="1:1" x14ac:dyDescent="0.25">
      <c r="A4928">
        <v>4927</v>
      </c>
    </row>
    <row r="4929" spans="1:1" x14ac:dyDescent="0.25">
      <c r="A4929">
        <v>4928</v>
      </c>
    </row>
    <row r="4930" spans="1:1" x14ac:dyDescent="0.25">
      <c r="A4930">
        <v>4929</v>
      </c>
    </row>
    <row r="4931" spans="1:1" x14ac:dyDescent="0.25">
      <c r="A4931">
        <v>4930</v>
      </c>
    </row>
    <row r="4932" spans="1:1" x14ac:dyDescent="0.25">
      <c r="A4932">
        <v>4931</v>
      </c>
    </row>
    <row r="4933" spans="1:1" x14ac:dyDescent="0.25">
      <c r="A4933">
        <v>4932</v>
      </c>
    </row>
    <row r="4934" spans="1:1" x14ac:dyDescent="0.25">
      <c r="A4934">
        <v>4933</v>
      </c>
    </row>
    <row r="4935" spans="1:1" x14ac:dyDescent="0.25">
      <c r="A4935">
        <v>4934</v>
      </c>
    </row>
    <row r="4936" spans="1:1" x14ac:dyDescent="0.25">
      <c r="A4936">
        <v>4935</v>
      </c>
    </row>
    <row r="4937" spans="1:1" x14ac:dyDescent="0.25">
      <c r="A4937">
        <v>4936</v>
      </c>
    </row>
    <row r="4938" spans="1:1" x14ac:dyDescent="0.25">
      <c r="A4938">
        <v>4937</v>
      </c>
    </row>
    <row r="4939" spans="1:1" x14ac:dyDescent="0.25">
      <c r="A4939">
        <v>4938</v>
      </c>
    </row>
    <row r="4940" spans="1:1" x14ac:dyDescent="0.25">
      <c r="A4940">
        <v>4939</v>
      </c>
    </row>
    <row r="4941" spans="1:1" x14ac:dyDescent="0.25">
      <c r="A4941">
        <v>4940</v>
      </c>
    </row>
    <row r="4942" spans="1:1" x14ac:dyDescent="0.25">
      <c r="A4942">
        <v>4941</v>
      </c>
    </row>
    <row r="4943" spans="1:1" x14ac:dyDescent="0.25">
      <c r="A4943">
        <v>4942</v>
      </c>
    </row>
    <row r="4944" spans="1:1" x14ac:dyDescent="0.25">
      <c r="A4944">
        <v>4943</v>
      </c>
    </row>
    <row r="4945" spans="1:1" x14ac:dyDescent="0.25">
      <c r="A4945">
        <v>4944</v>
      </c>
    </row>
    <row r="4946" spans="1:1" x14ac:dyDescent="0.25">
      <c r="A4946">
        <v>4945</v>
      </c>
    </row>
    <row r="4947" spans="1:1" x14ac:dyDescent="0.25">
      <c r="A4947">
        <v>4946</v>
      </c>
    </row>
    <row r="4948" spans="1:1" x14ac:dyDescent="0.25">
      <c r="A4948">
        <v>4947</v>
      </c>
    </row>
    <row r="4949" spans="1:1" x14ac:dyDescent="0.25">
      <c r="A4949">
        <v>4948</v>
      </c>
    </row>
    <row r="4950" spans="1:1" x14ac:dyDescent="0.25">
      <c r="A4950">
        <v>4949</v>
      </c>
    </row>
    <row r="4951" spans="1:1" x14ac:dyDescent="0.25">
      <c r="A4951">
        <v>4950</v>
      </c>
    </row>
    <row r="4952" spans="1:1" x14ac:dyDescent="0.25">
      <c r="A4952">
        <v>4951</v>
      </c>
    </row>
    <row r="4953" spans="1:1" x14ac:dyDescent="0.25">
      <c r="A4953">
        <v>4952</v>
      </c>
    </row>
    <row r="4954" spans="1:1" x14ac:dyDescent="0.25">
      <c r="A4954">
        <v>4953</v>
      </c>
    </row>
    <row r="4955" spans="1:1" x14ac:dyDescent="0.25">
      <c r="A4955">
        <v>4954</v>
      </c>
    </row>
    <row r="4956" spans="1:1" x14ac:dyDescent="0.25">
      <c r="A4956">
        <v>4955</v>
      </c>
    </row>
    <row r="4957" spans="1:1" x14ac:dyDescent="0.25">
      <c r="A4957">
        <v>4956</v>
      </c>
    </row>
    <row r="4958" spans="1:1" x14ac:dyDescent="0.25">
      <c r="A4958">
        <v>4957</v>
      </c>
    </row>
    <row r="4959" spans="1:1" x14ac:dyDescent="0.25">
      <c r="A4959">
        <v>4958</v>
      </c>
    </row>
    <row r="4960" spans="1:1" x14ac:dyDescent="0.25">
      <c r="A4960">
        <v>4959</v>
      </c>
    </row>
    <row r="4961" spans="1:1" x14ac:dyDescent="0.25">
      <c r="A4961">
        <v>4960</v>
      </c>
    </row>
    <row r="4962" spans="1:1" x14ac:dyDescent="0.25">
      <c r="A4962">
        <v>4961</v>
      </c>
    </row>
    <row r="4963" spans="1:1" x14ac:dyDescent="0.25">
      <c r="A4963">
        <v>4962</v>
      </c>
    </row>
    <row r="4964" spans="1:1" x14ac:dyDescent="0.25">
      <c r="A4964">
        <v>4963</v>
      </c>
    </row>
    <row r="4965" spans="1:1" x14ac:dyDescent="0.25">
      <c r="A4965">
        <v>4964</v>
      </c>
    </row>
    <row r="4966" spans="1:1" x14ac:dyDescent="0.25">
      <c r="A4966">
        <v>4965</v>
      </c>
    </row>
    <row r="4967" spans="1:1" x14ac:dyDescent="0.25">
      <c r="A4967">
        <v>4966</v>
      </c>
    </row>
    <row r="4968" spans="1:1" x14ac:dyDescent="0.25">
      <c r="A4968">
        <v>4967</v>
      </c>
    </row>
    <row r="4969" spans="1:1" x14ac:dyDescent="0.25">
      <c r="A4969">
        <v>4968</v>
      </c>
    </row>
    <row r="4970" spans="1:1" x14ac:dyDescent="0.25">
      <c r="A4970">
        <v>4969</v>
      </c>
    </row>
    <row r="4971" spans="1:1" x14ac:dyDescent="0.25">
      <c r="A4971">
        <v>4970</v>
      </c>
    </row>
    <row r="4972" spans="1:1" x14ac:dyDescent="0.25">
      <c r="A4972">
        <v>4971</v>
      </c>
    </row>
    <row r="4973" spans="1:1" x14ac:dyDescent="0.25">
      <c r="A4973">
        <v>4972</v>
      </c>
    </row>
    <row r="4974" spans="1:1" x14ac:dyDescent="0.25">
      <c r="A4974">
        <v>4973</v>
      </c>
    </row>
    <row r="4975" spans="1:1" x14ac:dyDescent="0.25">
      <c r="A4975">
        <v>4974</v>
      </c>
    </row>
    <row r="4976" spans="1:1" x14ac:dyDescent="0.25">
      <c r="A4976">
        <v>4975</v>
      </c>
    </row>
    <row r="4977" spans="1:1" x14ac:dyDescent="0.25">
      <c r="A4977">
        <v>4976</v>
      </c>
    </row>
    <row r="4978" spans="1:1" x14ac:dyDescent="0.25">
      <c r="A4978">
        <v>4977</v>
      </c>
    </row>
    <row r="4979" spans="1:1" x14ac:dyDescent="0.25">
      <c r="A4979">
        <v>4978</v>
      </c>
    </row>
    <row r="4980" spans="1:1" x14ac:dyDescent="0.25">
      <c r="A4980">
        <v>4979</v>
      </c>
    </row>
    <row r="4981" spans="1:1" x14ac:dyDescent="0.25">
      <c r="A4981">
        <v>4980</v>
      </c>
    </row>
    <row r="4982" spans="1:1" x14ac:dyDescent="0.25">
      <c r="A4982">
        <v>4981</v>
      </c>
    </row>
    <row r="4983" spans="1:1" x14ac:dyDescent="0.25">
      <c r="A4983">
        <v>4982</v>
      </c>
    </row>
    <row r="4984" spans="1:1" x14ac:dyDescent="0.25">
      <c r="A4984">
        <v>4983</v>
      </c>
    </row>
    <row r="4985" spans="1:1" x14ac:dyDescent="0.25">
      <c r="A4985">
        <v>4984</v>
      </c>
    </row>
    <row r="4986" spans="1:1" x14ac:dyDescent="0.25">
      <c r="A4986">
        <v>4985</v>
      </c>
    </row>
    <row r="4987" spans="1:1" x14ac:dyDescent="0.25">
      <c r="A4987">
        <v>4986</v>
      </c>
    </row>
    <row r="4988" spans="1:1" x14ac:dyDescent="0.25">
      <c r="A4988">
        <v>4987</v>
      </c>
    </row>
    <row r="4989" spans="1:1" x14ac:dyDescent="0.25">
      <c r="A4989">
        <v>4988</v>
      </c>
    </row>
    <row r="4990" spans="1:1" x14ac:dyDescent="0.25">
      <c r="A4990">
        <v>4989</v>
      </c>
    </row>
    <row r="4991" spans="1:1" x14ac:dyDescent="0.25">
      <c r="A4991">
        <v>4990</v>
      </c>
    </row>
    <row r="4992" spans="1:1" x14ac:dyDescent="0.25">
      <c r="A4992">
        <v>4991</v>
      </c>
    </row>
    <row r="4993" spans="1:1" x14ac:dyDescent="0.25">
      <c r="A4993">
        <v>4992</v>
      </c>
    </row>
    <row r="4994" spans="1:1" x14ac:dyDescent="0.25">
      <c r="A4994">
        <v>4993</v>
      </c>
    </row>
    <row r="4995" spans="1:1" x14ac:dyDescent="0.25">
      <c r="A4995">
        <v>4994</v>
      </c>
    </row>
    <row r="4996" spans="1:1" x14ac:dyDescent="0.25">
      <c r="A4996">
        <v>4995</v>
      </c>
    </row>
    <row r="4997" spans="1:1" x14ac:dyDescent="0.25">
      <c r="A4997">
        <v>4996</v>
      </c>
    </row>
    <row r="4998" spans="1:1" x14ac:dyDescent="0.25">
      <c r="A4998">
        <v>4997</v>
      </c>
    </row>
    <row r="4999" spans="1:1" x14ac:dyDescent="0.25">
      <c r="A4999">
        <v>4998</v>
      </c>
    </row>
    <row r="5000" spans="1:1" x14ac:dyDescent="0.25">
      <c r="A5000">
        <v>4999</v>
      </c>
    </row>
    <row r="5001" spans="1:1" x14ac:dyDescent="0.25">
      <c r="A5001">
        <v>5000</v>
      </c>
    </row>
    <row r="5002" spans="1:1" x14ac:dyDescent="0.25">
      <c r="A5002">
        <v>5001</v>
      </c>
    </row>
    <row r="5003" spans="1:1" x14ac:dyDescent="0.25">
      <c r="A5003">
        <v>5002</v>
      </c>
    </row>
    <row r="5004" spans="1:1" x14ac:dyDescent="0.25">
      <c r="A5004">
        <v>5003</v>
      </c>
    </row>
    <row r="5005" spans="1:1" x14ac:dyDescent="0.25">
      <c r="A5005">
        <v>5004</v>
      </c>
    </row>
    <row r="5006" spans="1:1" x14ac:dyDescent="0.25">
      <c r="A5006">
        <v>5005</v>
      </c>
    </row>
    <row r="5007" spans="1:1" x14ac:dyDescent="0.25">
      <c r="A5007">
        <v>5006</v>
      </c>
    </row>
    <row r="5008" spans="1:1" x14ac:dyDescent="0.25">
      <c r="A5008">
        <v>5007</v>
      </c>
    </row>
    <row r="5009" spans="1:1" x14ac:dyDescent="0.25">
      <c r="A5009">
        <v>5008</v>
      </c>
    </row>
    <row r="5010" spans="1:1" x14ac:dyDescent="0.25">
      <c r="A5010">
        <v>5009</v>
      </c>
    </row>
    <row r="5011" spans="1:1" x14ac:dyDescent="0.25">
      <c r="A5011">
        <v>5010</v>
      </c>
    </row>
    <row r="5012" spans="1:1" x14ac:dyDescent="0.25">
      <c r="A5012">
        <v>5011</v>
      </c>
    </row>
    <row r="5013" spans="1:1" x14ac:dyDescent="0.25">
      <c r="A5013">
        <v>5012</v>
      </c>
    </row>
    <row r="5014" spans="1:1" x14ac:dyDescent="0.25">
      <c r="A5014">
        <v>5013</v>
      </c>
    </row>
    <row r="5015" spans="1:1" x14ac:dyDescent="0.25">
      <c r="A5015">
        <v>5014</v>
      </c>
    </row>
    <row r="5016" spans="1:1" x14ac:dyDescent="0.25">
      <c r="A5016">
        <v>5015</v>
      </c>
    </row>
    <row r="5017" spans="1:1" x14ac:dyDescent="0.25">
      <c r="A5017">
        <v>5016</v>
      </c>
    </row>
    <row r="5018" spans="1:1" x14ac:dyDescent="0.25">
      <c r="A5018">
        <v>5017</v>
      </c>
    </row>
    <row r="5019" spans="1:1" x14ac:dyDescent="0.25">
      <c r="A5019">
        <v>5018</v>
      </c>
    </row>
    <row r="5020" spans="1:1" x14ac:dyDescent="0.25">
      <c r="A5020">
        <v>5019</v>
      </c>
    </row>
    <row r="5021" spans="1:1" x14ac:dyDescent="0.25">
      <c r="A5021">
        <v>5020</v>
      </c>
    </row>
    <row r="5022" spans="1:1" x14ac:dyDescent="0.25">
      <c r="A5022">
        <v>5021</v>
      </c>
    </row>
    <row r="5023" spans="1:1" x14ac:dyDescent="0.25">
      <c r="A5023">
        <v>5022</v>
      </c>
    </row>
    <row r="5024" spans="1:1" x14ac:dyDescent="0.25">
      <c r="A5024">
        <v>5023</v>
      </c>
    </row>
    <row r="5025" spans="1:1" x14ac:dyDescent="0.25">
      <c r="A5025">
        <v>5024</v>
      </c>
    </row>
    <row r="5026" spans="1:1" x14ac:dyDescent="0.25">
      <c r="A5026">
        <v>5025</v>
      </c>
    </row>
    <row r="5027" spans="1:1" x14ac:dyDescent="0.25">
      <c r="A5027">
        <v>5026</v>
      </c>
    </row>
    <row r="5028" spans="1:1" x14ac:dyDescent="0.25">
      <c r="A5028">
        <v>5027</v>
      </c>
    </row>
    <row r="5029" spans="1:1" x14ac:dyDescent="0.25">
      <c r="A5029">
        <v>5028</v>
      </c>
    </row>
    <row r="5030" spans="1:1" x14ac:dyDescent="0.25">
      <c r="A5030">
        <v>5029</v>
      </c>
    </row>
    <row r="5031" spans="1:1" x14ac:dyDescent="0.25">
      <c r="A5031">
        <v>5030</v>
      </c>
    </row>
    <row r="5032" spans="1:1" x14ac:dyDescent="0.25">
      <c r="A5032">
        <v>5031</v>
      </c>
    </row>
    <row r="5033" spans="1:1" x14ac:dyDescent="0.25">
      <c r="A5033">
        <v>5032</v>
      </c>
    </row>
    <row r="5034" spans="1:1" x14ac:dyDescent="0.25">
      <c r="A5034">
        <v>5033</v>
      </c>
    </row>
    <row r="5035" spans="1:1" x14ac:dyDescent="0.25">
      <c r="A5035">
        <v>5034</v>
      </c>
    </row>
    <row r="5036" spans="1:1" x14ac:dyDescent="0.25">
      <c r="A5036">
        <v>5035</v>
      </c>
    </row>
    <row r="5037" spans="1:1" x14ac:dyDescent="0.25">
      <c r="A5037">
        <v>5036</v>
      </c>
    </row>
    <row r="5038" spans="1:1" x14ac:dyDescent="0.25">
      <c r="A5038">
        <v>5037</v>
      </c>
    </row>
    <row r="5039" spans="1:1" x14ac:dyDescent="0.25">
      <c r="A5039">
        <v>5038</v>
      </c>
    </row>
    <row r="5040" spans="1:1" x14ac:dyDescent="0.25">
      <c r="A5040">
        <v>5039</v>
      </c>
    </row>
    <row r="5041" spans="1:1" x14ac:dyDescent="0.25">
      <c r="A5041">
        <v>5040</v>
      </c>
    </row>
    <row r="5042" spans="1:1" x14ac:dyDescent="0.25">
      <c r="A5042">
        <v>5041</v>
      </c>
    </row>
    <row r="5043" spans="1:1" x14ac:dyDescent="0.25">
      <c r="A5043">
        <v>5042</v>
      </c>
    </row>
    <row r="5044" spans="1:1" x14ac:dyDescent="0.25">
      <c r="A5044">
        <v>5043</v>
      </c>
    </row>
    <row r="5045" spans="1:1" x14ac:dyDescent="0.25">
      <c r="A5045">
        <v>5044</v>
      </c>
    </row>
    <row r="5046" spans="1:1" x14ac:dyDescent="0.25">
      <c r="A5046">
        <v>5045</v>
      </c>
    </row>
    <row r="5047" spans="1:1" x14ac:dyDescent="0.25">
      <c r="A5047">
        <v>5046</v>
      </c>
    </row>
    <row r="5048" spans="1:1" x14ac:dyDescent="0.25">
      <c r="A5048">
        <v>5047</v>
      </c>
    </row>
    <row r="5049" spans="1:1" x14ac:dyDescent="0.25">
      <c r="A5049">
        <v>5048</v>
      </c>
    </row>
    <row r="5050" spans="1:1" x14ac:dyDescent="0.25">
      <c r="A5050">
        <v>5049</v>
      </c>
    </row>
    <row r="5051" spans="1:1" x14ac:dyDescent="0.25">
      <c r="A5051">
        <v>5050</v>
      </c>
    </row>
    <row r="5052" spans="1:1" x14ac:dyDescent="0.25">
      <c r="A5052">
        <v>5051</v>
      </c>
    </row>
    <row r="5053" spans="1:1" x14ac:dyDescent="0.25">
      <c r="A5053">
        <v>5052</v>
      </c>
    </row>
    <row r="5054" spans="1:1" x14ac:dyDescent="0.25">
      <c r="A5054">
        <v>5053</v>
      </c>
    </row>
    <row r="5055" spans="1:1" x14ac:dyDescent="0.25">
      <c r="A5055">
        <v>5054</v>
      </c>
    </row>
    <row r="5056" spans="1:1" x14ac:dyDescent="0.25">
      <c r="A5056">
        <v>5055</v>
      </c>
    </row>
    <row r="5057" spans="1:1" x14ac:dyDescent="0.25">
      <c r="A5057">
        <v>5056</v>
      </c>
    </row>
    <row r="5058" spans="1:1" x14ac:dyDescent="0.25">
      <c r="A5058">
        <v>5057</v>
      </c>
    </row>
    <row r="5059" spans="1:1" x14ac:dyDescent="0.25">
      <c r="A5059">
        <v>5058</v>
      </c>
    </row>
    <row r="5060" spans="1:1" x14ac:dyDescent="0.25">
      <c r="A5060">
        <v>5059</v>
      </c>
    </row>
    <row r="5061" spans="1:1" x14ac:dyDescent="0.25">
      <c r="A5061">
        <v>5060</v>
      </c>
    </row>
    <row r="5062" spans="1:1" x14ac:dyDescent="0.25">
      <c r="A5062">
        <v>5061</v>
      </c>
    </row>
    <row r="5063" spans="1:1" x14ac:dyDescent="0.25">
      <c r="A5063">
        <v>5062</v>
      </c>
    </row>
    <row r="5064" spans="1:1" x14ac:dyDescent="0.25">
      <c r="A5064">
        <v>5063</v>
      </c>
    </row>
    <row r="5065" spans="1:1" x14ac:dyDescent="0.25">
      <c r="A5065">
        <v>5064</v>
      </c>
    </row>
    <row r="5066" spans="1:1" x14ac:dyDescent="0.25">
      <c r="A5066">
        <v>5065</v>
      </c>
    </row>
    <row r="5067" spans="1:1" x14ac:dyDescent="0.25">
      <c r="A5067">
        <v>5066</v>
      </c>
    </row>
    <row r="5068" spans="1:1" x14ac:dyDescent="0.25">
      <c r="A5068">
        <v>5067</v>
      </c>
    </row>
    <row r="5069" spans="1:1" x14ac:dyDescent="0.25">
      <c r="A5069">
        <v>5068</v>
      </c>
    </row>
    <row r="5070" spans="1:1" x14ac:dyDescent="0.25">
      <c r="A5070">
        <v>5069</v>
      </c>
    </row>
    <row r="5071" spans="1:1" x14ac:dyDescent="0.25">
      <c r="A5071">
        <v>5070</v>
      </c>
    </row>
    <row r="5072" spans="1:1" x14ac:dyDescent="0.25">
      <c r="A5072">
        <v>5071</v>
      </c>
    </row>
    <row r="5073" spans="1:1" x14ac:dyDescent="0.25">
      <c r="A5073">
        <v>5072</v>
      </c>
    </row>
    <row r="5074" spans="1:1" x14ac:dyDescent="0.25">
      <c r="A5074">
        <v>5073</v>
      </c>
    </row>
    <row r="5075" spans="1:1" x14ac:dyDescent="0.25">
      <c r="A5075">
        <v>5074</v>
      </c>
    </row>
    <row r="5076" spans="1:1" x14ac:dyDescent="0.25">
      <c r="A5076">
        <v>5075</v>
      </c>
    </row>
    <row r="5077" spans="1:1" x14ac:dyDescent="0.25">
      <c r="A5077">
        <v>5076</v>
      </c>
    </row>
    <row r="5078" spans="1:1" x14ac:dyDescent="0.25">
      <c r="A5078">
        <v>5077</v>
      </c>
    </row>
    <row r="5079" spans="1:1" x14ac:dyDescent="0.25">
      <c r="A5079">
        <v>5078</v>
      </c>
    </row>
    <row r="5080" spans="1:1" x14ac:dyDescent="0.25">
      <c r="A5080">
        <v>5079</v>
      </c>
    </row>
    <row r="5081" spans="1:1" x14ac:dyDescent="0.25">
      <c r="A5081">
        <v>5080</v>
      </c>
    </row>
    <row r="5082" spans="1:1" x14ac:dyDescent="0.25">
      <c r="A5082">
        <v>5081</v>
      </c>
    </row>
    <row r="5083" spans="1:1" x14ac:dyDescent="0.25">
      <c r="A5083">
        <v>5082</v>
      </c>
    </row>
    <row r="5084" spans="1:1" x14ac:dyDescent="0.25">
      <c r="A5084">
        <v>5083</v>
      </c>
    </row>
    <row r="5085" spans="1:1" x14ac:dyDescent="0.25">
      <c r="A5085">
        <v>5084</v>
      </c>
    </row>
    <row r="5086" spans="1:1" x14ac:dyDescent="0.25">
      <c r="A5086">
        <v>5085</v>
      </c>
    </row>
    <row r="5087" spans="1:1" x14ac:dyDescent="0.25">
      <c r="A5087">
        <v>5086</v>
      </c>
    </row>
    <row r="5088" spans="1:1" x14ac:dyDescent="0.25">
      <c r="A5088">
        <v>5087</v>
      </c>
    </row>
    <row r="5089" spans="1:1" x14ac:dyDescent="0.25">
      <c r="A5089">
        <v>5088</v>
      </c>
    </row>
    <row r="5090" spans="1:1" x14ac:dyDescent="0.25">
      <c r="A5090">
        <v>5089</v>
      </c>
    </row>
    <row r="5091" spans="1:1" x14ac:dyDescent="0.25">
      <c r="A5091">
        <v>5090</v>
      </c>
    </row>
    <row r="5092" spans="1:1" x14ac:dyDescent="0.25">
      <c r="A5092">
        <v>5091</v>
      </c>
    </row>
    <row r="5093" spans="1:1" x14ac:dyDescent="0.25">
      <c r="A5093">
        <v>5092</v>
      </c>
    </row>
    <row r="5094" spans="1:1" x14ac:dyDescent="0.25">
      <c r="A5094">
        <v>5093</v>
      </c>
    </row>
    <row r="5095" spans="1:1" x14ac:dyDescent="0.25">
      <c r="A5095">
        <v>5094</v>
      </c>
    </row>
    <row r="5096" spans="1:1" x14ac:dyDescent="0.25">
      <c r="A5096">
        <v>5095</v>
      </c>
    </row>
    <row r="5097" spans="1:1" x14ac:dyDescent="0.25">
      <c r="A5097">
        <v>5096</v>
      </c>
    </row>
    <row r="5098" spans="1:1" x14ac:dyDescent="0.25">
      <c r="A5098">
        <v>5097</v>
      </c>
    </row>
    <row r="5099" spans="1:1" x14ac:dyDescent="0.25">
      <c r="A5099">
        <v>5098</v>
      </c>
    </row>
    <row r="5100" spans="1:1" x14ac:dyDescent="0.25">
      <c r="A5100">
        <v>5099</v>
      </c>
    </row>
    <row r="5101" spans="1:1" x14ac:dyDescent="0.25">
      <c r="A5101">
        <v>5100</v>
      </c>
    </row>
    <row r="5102" spans="1:1" x14ac:dyDescent="0.25">
      <c r="A5102">
        <v>5101</v>
      </c>
    </row>
    <row r="5103" spans="1:1" x14ac:dyDescent="0.25">
      <c r="A5103">
        <v>5102</v>
      </c>
    </row>
    <row r="5104" spans="1:1" x14ac:dyDescent="0.25">
      <c r="A5104">
        <v>5103</v>
      </c>
    </row>
    <row r="5105" spans="1:1" x14ac:dyDescent="0.25">
      <c r="A5105">
        <v>5104</v>
      </c>
    </row>
    <row r="5106" spans="1:1" x14ac:dyDescent="0.25">
      <c r="A5106">
        <v>5105</v>
      </c>
    </row>
    <row r="5107" spans="1:1" x14ac:dyDescent="0.25">
      <c r="A5107">
        <v>5106</v>
      </c>
    </row>
    <row r="5108" spans="1:1" x14ac:dyDescent="0.25">
      <c r="A5108">
        <v>5107</v>
      </c>
    </row>
    <row r="5109" spans="1:1" x14ac:dyDescent="0.25">
      <c r="A5109">
        <v>5108</v>
      </c>
    </row>
    <row r="5110" spans="1:1" x14ac:dyDescent="0.25">
      <c r="A5110">
        <v>5109</v>
      </c>
    </row>
    <row r="5111" spans="1:1" x14ac:dyDescent="0.25">
      <c r="A5111">
        <v>5110</v>
      </c>
    </row>
    <row r="5112" spans="1:1" x14ac:dyDescent="0.25">
      <c r="A5112">
        <v>5111</v>
      </c>
    </row>
    <row r="5113" spans="1:1" x14ac:dyDescent="0.25">
      <c r="A5113">
        <v>5112</v>
      </c>
    </row>
    <row r="5114" spans="1:1" x14ac:dyDescent="0.25">
      <c r="A5114">
        <v>5113</v>
      </c>
    </row>
    <row r="5115" spans="1:1" x14ac:dyDescent="0.25">
      <c r="A5115">
        <v>5114</v>
      </c>
    </row>
    <row r="5116" spans="1:1" x14ac:dyDescent="0.25">
      <c r="A5116">
        <v>5115</v>
      </c>
    </row>
    <row r="5117" spans="1:1" x14ac:dyDescent="0.25">
      <c r="A5117">
        <v>5116</v>
      </c>
    </row>
    <row r="5118" spans="1:1" x14ac:dyDescent="0.25">
      <c r="A5118">
        <v>5117</v>
      </c>
    </row>
    <row r="5119" spans="1:1" x14ac:dyDescent="0.25">
      <c r="A5119">
        <v>5118</v>
      </c>
    </row>
    <row r="5120" spans="1:1" x14ac:dyDescent="0.25">
      <c r="A5120">
        <v>5119</v>
      </c>
    </row>
    <row r="5121" spans="1:1" x14ac:dyDescent="0.25">
      <c r="A5121">
        <v>5120</v>
      </c>
    </row>
    <row r="5122" spans="1:1" x14ac:dyDescent="0.25">
      <c r="A5122">
        <v>5121</v>
      </c>
    </row>
    <row r="5123" spans="1:1" x14ac:dyDescent="0.25">
      <c r="A5123">
        <v>5122</v>
      </c>
    </row>
    <row r="5124" spans="1:1" x14ac:dyDescent="0.25">
      <c r="A5124">
        <v>5123</v>
      </c>
    </row>
    <row r="5125" spans="1:1" x14ac:dyDescent="0.25">
      <c r="A5125">
        <v>5124</v>
      </c>
    </row>
    <row r="5126" spans="1:1" x14ac:dyDescent="0.25">
      <c r="A5126">
        <v>5125</v>
      </c>
    </row>
    <row r="5127" spans="1:1" x14ac:dyDescent="0.25">
      <c r="A5127">
        <v>5126</v>
      </c>
    </row>
    <row r="5128" spans="1:1" x14ac:dyDescent="0.25">
      <c r="A5128">
        <v>5127</v>
      </c>
    </row>
    <row r="5129" spans="1:1" x14ac:dyDescent="0.25">
      <c r="A5129">
        <v>5128</v>
      </c>
    </row>
    <row r="5130" spans="1:1" x14ac:dyDescent="0.25">
      <c r="A5130">
        <v>5129</v>
      </c>
    </row>
    <row r="5131" spans="1:1" x14ac:dyDescent="0.25">
      <c r="A5131">
        <v>5130</v>
      </c>
    </row>
    <row r="5132" spans="1:1" x14ac:dyDescent="0.25">
      <c r="A5132">
        <v>5131</v>
      </c>
    </row>
    <row r="5133" spans="1:1" x14ac:dyDescent="0.25">
      <c r="A5133">
        <v>5132</v>
      </c>
    </row>
    <row r="5134" spans="1:1" x14ac:dyDescent="0.25">
      <c r="A5134">
        <v>5133</v>
      </c>
    </row>
    <row r="5135" spans="1:1" x14ac:dyDescent="0.25">
      <c r="A5135">
        <v>5134</v>
      </c>
    </row>
    <row r="5136" spans="1:1" x14ac:dyDescent="0.25">
      <c r="A5136">
        <v>5135</v>
      </c>
    </row>
    <row r="5137" spans="1:1" x14ac:dyDescent="0.25">
      <c r="A5137">
        <v>5136</v>
      </c>
    </row>
    <row r="5138" spans="1:1" x14ac:dyDescent="0.25">
      <c r="A5138">
        <v>5137</v>
      </c>
    </row>
    <row r="5139" spans="1:1" x14ac:dyDescent="0.25">
      <c r="A5139">
        <v>5138</v>
      </c>
    </row>
    <row r="5140" spans="1:1" x14ac:dyDescent="0.25">
      <c r="A5140">
        <v>5139</v>
      </c>
    </row>
    <row r="5141" spans="1:1" x14ac:dyDescent="0.25">
      <c r="A5141">
        <v>5140</v>
      </c>
    </row>
    <row r="5142" spans="1:1" x14ac:dyDescent="0.25">
      <c r="A5142">
        <v>5141</v>
      </c>
    </row>
    <row r="5143" spans="1:1" x14ac:dyDescent="0.25">
      <c r="A5143">
        <v>5142</v>
      </c>
    </row>
    <row r="5144" spans="1:1" x14ac:dyDescent="0.25">
      <c r="A5144">
        <v>5143</v>
      </c>
    </row>
    <row r="5145" spans="1:1" x14ac:dyDescent="0.25">
      <c r="A5145">
        <v>5144</v>
      </c>
    </row>
    <row r="5146" spans="1:1" x14ac:dyDescent="0.25">
      <c r="A5146">
        <v>5145</v>
      </c>
    </row>
    <row r="5147" spans="1:1" x14ac:dyDescent="0.25">
      <c r="A5147">
        <v>5146</v>
      </c>
    </row>
    <row r="5148" spans="1:1" x14ac:dyDescent="0.25">
      <c r="A5148">
        <v>5147</v>
      </c>
    </row>
    <row r="5149" spans="1:1" x14ac:dyDescent="0.25">
      <c r="A5149">
        <v>5148</v>
      </c>
    </row>
    <row r="5150" spans="1:1" x14ac:dyDescent="0.25">
      <c r="A5150">
        <v>5149</v>
      </c>
    </row>
    <row r="5151" spans="1:1" x14ac:dyDescent="0.25">
      <c r="A5151">
        <v>5150</v>
      </c>
    </row>
    <row r="5152" spans="1:1" x14ac:dyDescent="0.25">
      <c r="A5152">
        <v>5151</v>
      </c>
    </row>
    <row r="5153" spans="1:1" x14ac:dyDescent="0.25">
      <c r="A5153">
        <v>5152</v>
      </c>
    </row>
    <row r="5154" spans="1:1" x14ac:dyDescent="0.25">
      <c r="A5154">
        <v>5153</v>
      </c>
    </row>
    <row r="5155" spans="1:1" x14ac:dyDescent="0.25">
      <c r="A5155">
        <v>5154</v>
      </c>
    </row>
    <row r="5156" spans="1:1" x14ac:dyDescent="0.25">
      <c r="A5156">
        <v>5155</v>
      </c>
    </row>
    <row r="5157" spans="1:1" x14ac:dyDescent="0.25">
      <c r="A5157">
        <v>5156</v>
      </c>
    </row>
    <row r="5158" spans="1:1" x14ac:dyDescent="0.25">
      <c r="A5158">
        <v>5157</v>
      </c>
    </row>
    <row r="5159" spans="1:1" x14ac:dyDescent="0.25">
      <c r="A5159">
        <v>5158</v>
      </c>
    </row>
    <row r="5160" spans="1:1" x14ac:dyDescent="0.25">
      <c r="A5160">
        <v>5159</v>
      </c>
    </row>
    <row r="5161" spans="1:1" x14ac:dyDescent="0.25">
      <c r="A5161">
        <v>5160</v>
      </c>
    </row>
    <row r="5162" spans="1:1" x14ac:dyDescent="0.25">
      <c r="A5162">
        <v>5161</v>
      </c>
    </row>
    <row r="5163" spans="1:1" x14ac:dyDescent="0.25">
      <c r="A5163">
        <v>5162</v>
      </c>
    </row>
    <row r="5164" spans="1:1" x14ac:dyDescent="0.25">
      <c r="A5164">
        <v>5163</v>
      </c>
    </row>
    <row r="5165" spans="1:1" x14ac:dyDescent="0.25">
      <c r="A5165">
        <v>5164</v>
      </c>
    </row>
    <row r="5166" spans="1:1" x14ac:dyDescent="0.25">
      <c r="A5166">
        <v>5165</v>
      </c>
    </row>
    <row r="5167" spans="1:1" x14ac:dyDescent="0.25">
      <c r="A5167">
        <v>5166</v>
      </c>
    </row>
    <row r="5168" spans="1:1" x14ac:dyDescent="0.25">
      <c r="A5168">
        <v>5167</v>
      </c>
    </row>
    <row r="5169" spans="1:1" x14ac:dyDescent="0.25">
      <c r="A5169">
        <v>5168</v>
      </c>
    </row>
    <row r="5170" spans="1:1" x14ac:dyDescent="0.25">
      <c r="A5170">
        <v>5169</v>
      </c>
    </row>
    <row r="5171" spans="1:1" x14ac:dyDescent="0.25">
      <c r="A5171">
        <v>5170</v>
      </c>
    </row>
    <row r="5172" spans="1:1" x14ac:dyDescent="0.25">
      <c r="A5172">
        <v>5171</v>
      </c>
    </row>
    <row r="5173" spans="1:1" x14ac:dyDescent="0.25">
      <c r="A5173">
        <v>5172</v>
      </c>
    </row>
    <row r="5174" spans="1:1" x14ac:dyDescent="0.25">
      <c r="A5174">
        <v>5173</v>
      </c>
    </row>
    <row r="5175" spans="1:1" x14ac:dyDescent="0.25">
      <c r="A5175">
        <v>5174</v>
      </c>
    </row>
    <row r="5176" spans="1:1" x14ac:dyDescent="0.25">
      <c r="A5176">
        <v>5175</v>
      </c>
    </row>
    <row r="5177" spans="1:1" x14ac:dyDescent="0.25">
      <c r="A5177">
        <v>5176</v>
      </c>
    </row>
    <row r="5178" spans="1:1" x14ac:dyDescent="0.25">
      <c r="A5178">
        <v>5177</v>
      </c>
    </row>
    <row r="5179" spans="1:1" x14ac:dyDescent="0.25">
      <c r="A5179">
        <v>5178</v>
      </c>
    </row>
    <row r="5180" spans="1:1" x14ac:dyDescent="0.25">
      <c r="A5180">
        <v>5179</v>
      </c>
    </row>
    <row r="5181" spans="1:1" x14ac:dyDescent="0.25">
      <c r="A5181">
        <v>5180</v>
      </c>
    </row>
    <row r="5182" spans="1:1" x14ac:dyDescent="0.25">
      <c r="A5182">
        <v>5181</v>
      </c>
    </row>
    <row r="5183" spans="1:1" x14ac:dyDescent="0.25">
      <c r="A5183">
        <v>5182</v>
      </c>
    </row>
    <row r="5184" spans="1:1" x14ac:dyDescent="0.25">
      <c r="A5184">
        <v>5183</v>
      </c>
    </row>
    <row r="5185" spans="1:1" x14ac:dyDescent="0.25">
      <c r="A5185">
        <v>5184</v>
      </c>
    </row>
    <row r="5186" spans="1:1" x14ac:dyDescent="0.25">
      <c r="A5186">
        <v>5185</v>
      </c>
    </row>
    <row r="5187" spans="1:1" x14ac:dyDescent="0.25">
      <c r="A5187">
        <v>5186</v>
      </c>
    </row>
    <row r="5188" spans="1:1" x14ac:dyDescent="0.25">
      <c r="A5188">
        <v>5187</v>
      </c>
    </row>
    <row r="5189" spans="1:1" x14ac:dyDescent="0.25">
      <c r="A5189">
        <v>5188</v>
      </c>
    </row>
    <row r="5190" spans="1:1" x14ac:dyDescent="0.25">
      <c r="A5190">
        <v>5189</v>
      </c>
    </row>
    <row r="5191" spans="1:1" x14ac:dyDescent="0.25">
      <c r="A5191">
        <v>5190</v>
      </c>
    </row>
    <row r="5192" spans="1:1" x14ac:dyDescent="0.25">
      <c r="A5192">
        <v>5191</v>
      </c>
    </row>
    <row r="5193" spans="1:1" x14ac:dyDescent="0.25">
      <c r="A5193">
        <v>5192</v>
      </c>
    </row>
    <row r="5194" spans="1:1" x14ac:dyDescent="0.25">
      <c r="A5194">
        <v>5193</v>
      </c>
    </row>
    <row r="5195" spans="1:1" x14ac:dyDescent="0.25">
      <c r="A5195">
        <v>5194</v>
      </c>
    </row>
    <row r="5196" spans="1:1" x14ac:dyDescent="0.25">
      <c r="A5196">
        <v>5195</v>
      </c>
    </row>
    <row r="5197" spans="1:1" x14ac:dyDescent="0.25">
      <c r="A5197">
        <v>5196</v>
      </c>
    </row>
    <row r="5198" spans="1:1" x14ac:dyDescent="0.25">
      <c r="A5198">
        <v>5197</v>
      </c>
    </row>
    <row r="5199" spans="1:1" x14ac:dyDescent="0.25">
      <c r="A5199">
        <v>5198</v>
      </c>
    </row>
    <row r="5200" spans="1:1" x14ac:dyDescent="0.25">
      <c r="A5200">
        <v>5199</v>
      </c>
    </row>
    <row r="5201" spans="1:1" x14ac:dyDescent="0.25">
      <c r="A5201">
        <v>5200</v>
      </c>
    </row>
    <row r="5202" spans="1:1" x14ac:dyDescent="0.25">
      <c r="A5202">
        <v>5201</v>
      </c>
    </row>
    <row r="5203" spans="1:1" x14ac:dyDescent="0.25">
      <c r="A5203">
        <v>5202</v>
      </c>
    </row>
    <row r="5204" spans="1:1" x14ac:dyDescent="0.25">
      <c r="A5204">
        <v>5203</v>
      </c>
    </row>
    <row r="5205" spans="1:1" x14ac:dyDescent="0.25">
      <c r="A5205">
        <v>5204</v>
      </c>
    </row>
    <row r="5206" spans="1:1" x14ac:dyDescent="0.25">
      <c r="A5206">
        <v>5205</v>
      </c>
    </row>
    <row r="5207" spans="1:1" x14ac:dyDescent="0.25">
      <c r="A5207">
        <v>5206</v>
      </c>
    </row>
    <row r="5208" spans="1:1" x14ac:dyDescent="0.25">
      <c r="A5208">
        <v>5207</v>
      </c>
    </row>
    <row r="5209" spans="1:1" x14ac:dyDescent="0.25">
      <c r="A5209">
        <v>5208</v>
      </c>
    </row>
    <row r="5210" spans="1:1" x14ac:dyDescent="0.25">
      <c r="A5210">
        <v>5209</v>
      </c>
    </row>
    <row r="5211" spans="1:1" x14ac:dyDescent="0.25">
      <c r="A5211">
        <v>5210</v>
      </c>
    </row>
    <row r="5212" spans="1:1" x14ac:dyDescent="0.25">
      <c r="A5212">
        <v>5211</v>
      </c>
    </row>
    <row r="5213" spans="1:1" x14ac:dyDescent="0.25">
      <c r="A5213">
        <v>5212</v>
      </c>
    </row>
    <row r="5214" spans="1:1" x14ac:dyDescent="0.25">
      <c r="A5214">
        <v>5213</v>
      </c>
    </row>
    <row r="5215" spans="1:1" x14ac:dyDescent="0.25">
      <c r="A5215">
        <v>5214</v>
      </c>
    </row>
    <row r="5216" spans="1:1" x14ac:dyDescent="0.25">
      <c r="A5216">
        <v>5215</v>
      </c>
    </row>
    <row r="5217" spans="1:1" x14ac:dyDescent="0.25">
      <c r="A5217">
        <v>5216</v>
      </c>
    </row>
    <row r="5218" spans="1:1" x14ac:dyDescent="0.25">
      <c r="A5218">
        <v>5217</v>
      </c>
    </row>
    <row r="5219" spans="1:1" x14ac:dyDescent="0.25">
      <c r="A5219">
        <v>5218</v>
      </c>
    </row>
    <row r="5220" spans="1:1" x14ac:dyDescent="0.25">
      <c r="A5220">
        <v>5219</v>
      </c>
    </row>
    <row r="5221" spans="1:1" x14ac:dyDescent="0.25">
      <c r="A5221">
        <v>5220</v>
      </c>
    </row>
    <row r="5222" spans="1:1" x14ac:dyDescent="0.25">
      <c r="A5222">
        <v>5221</v>
      </c>
    </row>
    <row r="5223" spans="1:1" x14ac:dyDescent="0.25">
      <c r="A5223">
        <v>5222</v>
      </c>
    </row>
    <row r="5224" spans="1:1" x14ac:dyDescent="0.25">
      <c r="A5224">
        <v>5223</v>
      </c>
    </row>
    <row r="5225" spans="1:1" x14ac:dyDescent="0.25">
      <c r="A5225">
        <v>5224</v>
      </c>
    </row>
    <row r="5226" spans="1:1" x14ac:dyDescent="0.25">
      <c r="A5226">
        <v>5225</v>
      </c>
    </row>
    <row r="5227" spans="1:1" x14ac:dyDescent="0.25">
      <c r="A5227">
        <v>5226</v>
      </c>
    </row>
    <row r="5228" spans="1:1" x14ac:dyDescent="0.25">
      <c r="A5228">
        <v>5227</v>
      </c>
    </row>
    <row r="5229" spans="1:1" x14ac:dyDescent="0.25">
      <c r="A5229">
        <v>5228</v>
      </c>
    </row>
    <row r="5230" spans="1:1" x14ac:dyDescent="0.25">
      <c r="A5230">
        <v>5229</v>
      </c>
    </row>
    <row r="5231" spans="1:1" x14ac:dyDescent="0.25">
      <c r="A5231">
        <v>5230</v>
      </c>
    </row>
    <row r="5232" spans="1:1" x14ac:dyDescent="0.25">
      <c r="A5232">
        <v>5231</v>
      </c>
    </row>
    <row r="5233" spans="1:1" x14ac:dyDescent="0.25">
      <c r="A5233">
        <v>5232</v>
      </c>
    </row>
    <row r="5234" spans="1:1" x14ac:dyDescent="0.25">
      <c r="A5234">
        <v>5233</v>
      </c>
    </row>
    <row r="5235" spans="1:1" x14ac:dyDescent="0.25">
      <c r="A5235">
        <v>5234</v>
      </c>
    </row>
    <row r="5236" spans="1:1" x14ac:dyDescent="0.25">
      <c r="A5236">
        <v>5235</v>
      </c>
    </row>
    <row r="5237" spans="1:1" x14ac:dyDescent="0.25">
      <c r="A5237">
        <v>5236</v>
      </c>
    </row>
    <row r="5238" spans="1:1" x14ac:dyDescent="0.25">
      <c r="A5238">
        <v>5237</v>
      </c>
    </row>
    <row r="5239" spans="1:1" x14ac:dyDescent="0.25">
      <c r="A5239">
        <v>5238</v>
      </c>
    </row>
    <row r="5240" spans="1:1" x14ac:dyDescent="0.25">
      <c r="A5240">
        <v>5239</v>
      </c>
    </row>
    <row r="5241" spans="1:1" x14ac:dyDescent="0.25">
      <c r="A5241">
        <v>5240</v>
      </c>
    </row>
    <row r="5242" spans="1:1" x14ac:dyDescent="0.25">
      <c r="A5242">
        <v>5241</v>
      </c>
    </row>
    <row r="5243" spans="1:1" x14ac:dyDescent="0.25">
      <c r="A5243">
        <v>5242</v>
      </c>
    </row>
    <row r="5244" spans="1:1" x14ac:dyDescent="0.25">
      <c r="A5244">
        <v>5243</v>
      </c>
    </row>
    <row r="5245" spans="1:1" x14ac:dyDescent="0.25">
      <c r="A5245">
        <v>5244</v>
      </c>
    </row>
    <row r="5246" spans="1:1" x14ac:dyDescent="0.25">
      <c r="A5246">
        <v>5245</v>
      </c>
    </row>
    <row r="5247" spans="1:1" x14ac:dyDescent="0.25">
      <c r="A5247">
        <v>5246</v>
      </c>
    </row>
    <row r="5248" spans="1:1" x14ac:dyDescent="0.25">
      <c r="A5248">
        <v>5247</v>
      </c>
    </row>
    <row r="5249" spans="1:1" x14ac:dyDescent="0.25">
      <c r="A5249">
        <v>5248</v>
      </c>
    </row>
    <row r="5250" spans="1:1" x14ac:dyDescent="0.25">
      <c r="A5250">
        <v>5249</v>
      </c>
    </row>
    <row r="5251" spans="1:1" x14ac:dyDescent="0.25">
      <c r="A5251">
        <v>5250</v>
      </c>
    </row>
    <row r="5252" spans="1:1" x14ac:dyDescent="0.25">
      <c r="A5252">
        <v>5251</v>
      </c>
    </row>
    <row r="5253" spans="1:1" x14ac:dyDescent="0.25">
      <c r="A5253">
        <v>5252</v>
      </c>
    </row>
    <row r="5254" spans="1:1" x14ac:dyDescent="0.25">
      <c r="A5254">
        <v>5253</v>
      </c>
    </row>
    <row r="5255" spans="1:1" x14ac:dyDescent="0.25">
      <c r="A5255">
        <v>5254</v>
      </c>
    </row>
    <row r="5256" spans="1:1" x14ac:dyDescent="0.25">
      <c r="A5256">
        <v>5255</v>
      </c>
    </row>
    <row r="5257" spans="1:1" x14ac:dyDescent="0.25">
      <c r="A5257">
        <v>5256</v>
      </c>
    </row>
    <row r="5258" spans="1:1" x14ac:dyDescent="0.25">
      <c r="A5258">
        <v>5257</v>
      </c>
    </row>
    <row r="5259" spans="1:1" x14ac:dyDescent="0.25">
      <c r="A5259">
        <v>5258</v>
      </c>
    </row>
    <row r="5260" spans="1:1" x14ac:dyDescent="0.25">
      <c r="A5260">
        <v>5259</v>
      </c>
    </row>
    <row r="5261" spans="1:1" x14ac:dyDescent="0.25">
      <c r="A5261">
        <v>5260</v>
      </c>
    </row>
    <row r="5262" spans="1:1" x14ac:dyDescent="0.25">
      <c r="A5262">
        <v>5261</v>
      </c>
    </row>
    <row r="5263" spans="1:1" x14ac:dyDescent="0.25">
      <c r="A5263">
        <v>5262</v>
      </c>
    </row>
    <row r="5264" spans="1:1" x14ac:dyDescent="0.25">
      <c r="A5264">
        <v>5263</v>
      </c>
    </row>
    <row r="5265" spans="1:1" x14ac:dyDescent="0.25">
      <c r="A5265">
        <v>5264</v>
      </c>
    </row>
    <row r="5266" spans="1:1" x14ac:dyDescent="0.25">
      <c r="A5266">
        <v>5265</v>
      </c>
    </row>
    <row r="5267" spans="1:1" x14ac:dyDescent="0.25">
      <c r="A5267">
        <v>5266</v>
      </c>
    </row>
    <row r="5268" spans="1:1" x14ac:dyDescent="0.25">
      <c r="A5268">
        <v>5267</v>
      </c>
    </row>
    <row r="5269" spans="1:1" x14ac:dyDescent="0.25">
      <c r="A5269">
        <v>5268</v>
      </c>
    </row>
    <row r="5270" spans="1:1" x14ac:dyDescent="0.25">
      <c r="A5270">
        <v>5269</v>
      </c>
    </row>
    <row r="5271" spans="1:1" x14ac:dyDescent="0.25">
      <c r="A5271">
        <v>5270</v>
      </c>
    </row>
    <row r="5272" spans="1:1" x14ac:dyDescent="0.25">
      <c r="A5272">
        <v>5271</v>
      </c>
    </row>
    <row r="5273" spans="1:1" x14ac:dyDescent="0.25">
      <c r="A5273">
        <v>5272</v>
      </c>
    </row>
    <row r="5274" spans="1:1" x14ac:dyDescent="0.25">
      <c r="A5274">
        <v>5273</v>
      </c>
    </row>
    <row r="5275" spans="1:1" x14ac:dyDescent="0.25">
      <c r="A5275">
        <v>5274</v>
      </c>
    </row>
    <row r="5276" spans="1:1" x14ac:dyDescent="0.25">
      <c r="A5276">
        <v>5275</v>
      </c>
    </row>
    <row r="5277" spans="1:1" x14ac:dyDescent="0.25">
      <c r="A5277">
        <v>5276</v>
      </c>
    </row>
    <row r="5278" spans="1:1" x14ac:dyDescent="0.25">
      <c r="A5278">
        <v>5277</v>
      </c>
    </row>
    <row r="5279" spans="1:1" x14ac:dyDescent="0.25">
      <c r="A5279">
        <v>5278</v>
      </c>
    </row>
    <row r="5280" spans="1:1" x14ac:dyDescent="0.25">
      <c r="A5280">
        <v>5279</v>
      </c>
    </row>
    <row r="5281" spans="1:1" x14ac:dyDescent="0.25">
      <c r="A5281">
        <v>5280</v>
      </c>
    </row>
    <row r="5282" spans="1:1" x14ac:dyDescent="0.25">
      <c r="A5282">
        <v>5281</v>
      </c>
    </row>
    <row r="5283" spans="1:1" x14ac:dyDescent="0.25">
      <c r="A5283">
        <v>5282</v>
      </c>
    </row>
    <row r="5284" spans="1:1" x14ac:dyDescent="0.25">
      <c r="A5284">
        <v>5283</v>
      </c>
    </row>
    <row r="5285" spans="1:1" x14ac:dyDescent="0.25">
      <c r="A5285">
        <v>5284</v>
      </c>
    </row>
    <row r="5286" spans="1:1" x14ac:dyDescent="0.25">
      <c r="A5286">
        <v>5285</v>
      </c>
    </row>
    <row r="5287" spans="1:1" x14ac:dyDescent="0.25">
      <c r="A5287">
        <v>5286</v>
      </c>
    </row>
    <row r="5288" spans="1:1" x14ac:dyDescent="0.25">
      <c r="A5288">
        <v>5287</v>
      </c>
    </row>
    <row r="5289" spans="1:1" x14ac:dyDescent="0.25">
      <c r="A5289">
        <v>5288</v>
      </c>
    </row>
    <row r="5290" spans="1:1" x14ac:dyDescent="0.25">
      <c r="A5290">
        <v>5289</v>
      </c>
    </row>
    <row r="5291" spans="1:1" x14ac:dyDescent="0.25">
      <c r="A5291">
        <v>5290</v>
      </c>
    </row>
    <row r="5292" spans="1:1" x14ac:dyDescent="0.25">
      <c r="A5292">
        <v>5291</v>
      </c>
    </row>
    <row r="5293" spans="1:1" x14ac:dyDescent="0.25">
      <c r="A5293">
        <v>5292</v>
      </c>
    </row>
    <row r="5294" spans="1:1" x14ac:dyDescent="0.25">
      <c r="A5294">
        <v>5293</v>
      </c>
    </row>
    <row r="5295" spans="1:1" x14ac:dyDescent="0.25">
      <c r="A5295">
        <v>5294</v>
      </c>
    </row>
    <row r="5296" spans="1:1" x14ac:dyDescent="0.25">
      <c r="A5296">
        <v>5295</v>
      </c>
    </row>
    <row r="5297" spans="1:1" x14ac:dyDescent="0.25">
      <c r="A5297">
        <v>5296</v>
      </c>
    </row>
    <row r="5298" spans="1:1" x14ac:dyDescent="0.25">
      <c r="A5298">
        <v>5297</v>
      </c>
    </row>
    <row r="5299" spans="1:1" x14ac:dyDescent="0.25">
      <c r="A5299">
        <v>5298</v>
      </c>
    </row>
    <row r="5300" spans="1:1" x14ac:dyDescent="0.25">
      <c r="A5300">
        <v>5299</v>
      </c>
    </row>
    <row r="5301" spans="1:1" x14ac:dyDescent="0.25">
      <c r="A5301">
        <v>5300</v>
      </c>
    </row>
    <row r="5302" spans="1:1" x14ac:dyDescent="0.25">
      <c r="A5302">
        <v>5301</v>
      </c>
    </row>
    <row r="5303" spans="1:1" x14ac:dyDescent="0.25">
      <c r="A5303">
        <v>5302</v>
      </c>
    </row>
    <row r="5304" spans="1:1" x14ac:dyDescent="0.25">
      <c r="A5304">
        <v>5303</v>
      </c>
    </row>
    <row r="5305" spans="1:1" x14ac:dyDescent="0.25">
      <c r="A5305">
        <v>5304</v>
      </c>
    </row>
    <row r="5306" spans="1:1" x14ac:dyDescent="0.25">
      <c r="A5306">
        <v>5305</v>
      </c>
    </row>
    <row r="5307" spans="1:1" x14ac:dyDescent="0.25">
      <c r="A5307">
        <v>5306</v>
      </c>
    </row>
    <row r="5308" spans="1:1" x14ac:dyDescent="0.25">
      <c r="A5308">
        <v>5307</v>
      </c>
    </row>
    <row r="5309" spans="1:1" x14ac:dyDescent="0.25">
      <c r="A5309">
        <v>5308</v>
      </c>
    </row>
    <row r="5310" spans="1:1" x14ac:dyDescent="0.25">
      <c r="A5310">
        <v>5309</v>
      </c>
    </row>
    <row r="5311" spans="1:1" x14ac:dyDescent="0.25">
      <c r="A5311">
        <v>5310</v>
      </c>
    </row>
    <row r="5312" spans="1:1" x14ac:dyDescent="0.25">
      <c r="A5312">
        <v>5311</v>
      </c>
    </row>
    <row r="5313" spans="1:1" x14ac:dyDescent="0.25">
      <c r="A5313">
        <v>5312</v>
      </c>
    </row>
    <row r="5314" spans="1:1" x14ac:dyDescent="0.25">
      <c r="A5314">
        <v>5313</v>
      </c>
    </row>
    <row r="5315" spans="1:1" x14ac:dyDescent="0.25">
      <c r="A5315">
        <v>5314</v>
      </c>
    </row>
    <row r="5316" spans="1:1" x14ac:dyDescent="0.25">
      <c r="A5316">
        <v>5315</v>
      </c>
    </row>
    <row r="5317" spans="1:1" x14ac:dyDescent="0.25">
      <c r="A5317">
        <v>5316</v>
      </c>
    </row>
    <row r="5318" spans="1:1" x14ac:dyDescent="0.25">
      <c r="A5318">
        <v>5317</v>
      </c>
    </row>
    <row r="5319" spans="1:1" x14ac:dyDescent="0.25">
      <c r="A5319">
        <v>5318</v>
      </c>
    </row>
    <row r="5320" spans="1:1" x14ac:dyDescent="0.25">
      <c r="A5320">
        <v>5319</v>
      </c>
    </row>
    <row r="5321" spans="1:1" x14ac:dyDescent="0.25">
      <c r="A5321">
        <v>5320</v>
      </c>
    </row>
    <row r="5322" spans="1:1" x14ac:dyDescent="0.25">
      <c r="A5322">
        <v>5321</v>
      </c>
    </row>
    <row r="5323" spans="1:1" x14ac:dyDescent="0.25">
      <c r="A5323">
        <v>5322</v>
      </c>
    </row>
    <row r="5324" spans="1:1" x14ac:dyDescent="0.25">
      <c r="A5324">
        <v>5323</v>
      </c>
    </row>
    <row r="5325" spans="1:1" x14ac:dyDescent="0.25">
      <c r="A5325">
        <v>5324</v>
      </c>
    </row>
    <row r="5326" spans="1:1" x14ac:dyDescent="0.25">
      <c r="A5326">
        <v>5325</v>
      </c>
    </row>
    <row r="5327" spans="1:1" x14ac:dyDescent="0.25">
      <c r="A5327">
        <v>5326</v>
      </c>
    </row>
    <row r="5328" spans="1:1" x14ac:dyDescent="0.25">
      <c r="A5328">
        <v>5327</v>
      </c>
    </row>
    <row r="5329" spans="1:1" x14ac:dyDescent="0.25">
      <c r="A5329">
        <v>5328</v>
      </c>
    </row>
    <row r="5330" spans="1:1" x14ac:dyDescent="0.25">
      <c r="A5330">
        <v>5329</v>
      </c>
    </row>
    <row r="5331" spans="1:1" x14ac:dyDescent="0.25">
      <c r="A5331">
        <v>5330</v>
      </c>
    </row>
    <row r="5332" spans="1:1" x14ac:dyDescent="0.25">
      <c r="A5332">
        <v>5331</v>
      </c>
    </row>
    <row r="5333" spans="1:1" x14ac:dyDescent="0.25">
      <c r="A5333">
        <v>5332</v>
      </c>
    </row>
    <row r="5334" spans="1:1" x14ac:dyDescent="0.25">
      <c r="A5334">
        <v>5333</v>
      </c>
    </row>
    <row r="5335" spans="1:1" x14ac:dyDescent="0.25">
      <c r="A5335">
        <v>5334</v>
      </c>
    </row>
    <row r="5336" spans="1:1" x14ac:dyDescent="0.25">
      <c r="A5336">
        <v>5335</v>
      </c>
    </row>
    <row r="5337" spans="1:1" x14ac:dyDescent="0.25">
      <c r="A5337">
        <v>5336</v>
      </c>
    </row>
    <row r="5338" spans="1:1" x14ac:dyDescent="0.25">
      <c r="A5338">
        <v>5337</v>
      </c>
    </row>
    <row r="5339" spans="1:1" x14ac:dyDescent="0.25">
      <c r="A5339">
        <v>5338</v>
      </c>
    </row>
    <row r="5340" spans="1:1" x14ac:dyDescent="0.25">
      <c r="A5340">
        <v>5339</v>
      </c>
    </row>
    <row r="5341" spans="1:1" x14ac:dyDescent="0.25">
      <c r="A5341">
        <v>5340</v>
      </c>
    </row>
    <row r="5342" spans="1:1" x14ac:dyDescent="0.25">
      <c r="A5342">
        <v>5341</v>
      </c>
    </row>
    <row r="5343" spans="1:1" x14ac:dyDescent="0.25">
      <c r="A5343">
        <v>5342</v>
      </c>
    </row>
    <row r="5344" spans="1:1" x14ac:dyDescent="0.25">
      <c r="A5344">
        <v>5343</v>
      </c>
    </row>
    <row r="5345" spans="1:1" x14ac:dyDescent="0.25">
      <c r="A5345">
        <v>5344</v>
      </c>
    </row>
    <row r="5346" spans="1:1" x14ac:dyDescent="0.25">
      <c r="A5346">
        <v>5345</v>
      </c>
    </row>
    <row r="5347" spans="1:1" x14ac:dyDescent="0.25">
      <c r="A5347">
        <v>5346</v>
      </c>
    </row>
    <row r="5348" spans="1:1" x14ac:dyDescent="0.25">
      <c r="A5348">
        <v>5347</v>
      </c>
    </row>
    <row r="5349" spans="1:1" x14ac:dyDescent="0.25">
      <c r="A5349">
        <v>5348</v>
      </c>
    </row>
    <row r="5350" spans="1:1" x14ac:dyDescent="0.25">
      <c r="A5350">
        <v>5349</v>
      </c>
    </row>
    <row r="5351" spans="1:1" x14ac:dyDescent="0.25">
      <c r="A5351">
        <v>5350</v>
      </c>
    </row>
    <row r="5352" spans="1:1" x14ac:dyDescent="0.25">
      <c r="A5352">
        <v>5351</v>
      </c>
    </row>
    <row r="5353" spans="1:1" x14ac:dyDescent="0.25">
      <c r="A5353">
        <v>5352</v>
      </c>
    </row>
    <row r="5354" spans="1:1" x14ac:dyDescent="0.25">
      <c r="A5354">
        <v>5353</v>
      </c>
    </row>
    <row r="5355" spans="1:1" x14ac:dyDescent="0.25">
      <c r="A5355">
        <v>5354</v>
      </c>
    </row>
    <row r="5356" spans="1:1" x14ac:dyDescent="0.25">
      <c r="A5356">
        <v>5355</v>
      </c>
    </row>
    <row r="5357" spans="1:1" x14ac:dyDescent="0.25">
      <c r="A5357">
        <v>5356</v>
      </c>
    </row>
    <row r="5358" spans="1:1" x14ac:dyDescent="0.25">
      <c r="A5358">
        <v>5357</v>
      </c>
    </row>
    <row r="5359" spans="1:1" x14ac:dyDescent="0.25">
      <c r="A5359">
        <v>5358</v>
      </c>
    </row>
    <row r="5360" spans="1:1" x14ac:dyDescent="0.25">
      <c r="A5360">
        <v>5359</v>
      </c>
    </row>
    <row r="5361" spans="1:1" x14ac:dyDescent="0.25">
      <c r="A5361">
        <v>5360</v>
      </c>
    </row>
    <row r="5362" spans="1:1" x14ac:dyDescent="0.25">
      <c r="A5362">
        <v>5361</v>
      </c>
    </row>
    <row r="5363" spans="1:1" x14ac:dyDescent="0.25">
      <c r="A5363">
        <v>5362</v>
      </c>
    </row>
    <row r="5364" spans="1:1" x14ac:dyDescent="0.25">
      <c r="A5364">
        <v>5363</v>
      </c>
    </row>
    <row r="5365" spans="1:1" x14ac:dyDescent="0.25">
      <c r="A5365">
        <v>5364</v>
      </c>
    </row>
    <row r="5366" spans="1:1" x14ac:dyDescent="0.25">
      <c r="A5366">
        <v>5365</v>
      </c>
    </row>
    <row r="5367" spans="1:1" x14ac:dyDescent="0.25">
      <c r="A5367">
        <v>5366</v>
      </c>
    </row>
    <row r="5368" spans="1:1" x14ac:dyDescent="0.25">
      <c r="A5368">
        <v>5367</v>
      </c>
    </row>
    <row r="5369" spans="1:1" x14ac:dyDescent="0.25">
      <c r="A5369">
        <v>5368</v>
      </c>
    </row>
    <row r="5370" spans="1:1" x14ac:dyDescent="0.25">
      <c r="A5370">
        <v>5369</v>
      </c>
    </row>
    <row r="5371" spans="1:1" x14ac:dyDescent="0.25">
      <c r="A5371">
        <v>5370</v>
      </c>
    </row>
    <row r="5372" spans="1:1" x14ac:dyDescent="0.25">
      <c r="A5372">
        <v>5371</v>
      </c>
    </row>
    <row r="5373" spans="1:1" x14ac:dyDescent="0.25">
      <c r="A5373">
        <v>5372</v>
      </c>
    </row>
    <row r="5374" spans="1:1" x14ac:dyDescent="0.25">
      <c r="A5374">
        <v>5373</v>
      </c>
    </row>
    <row r="5375" spans="1:1" x14ac:dyDescent="0.25">
      <c r="A5375">
        <v>5374</v>
      </c>
    </row>
    <row r="5376" spans="1:1" x14ac:dyDescent="0.25">
      <c r="A5376">
        <v>5375</v>
      </c>
    </row>
    <row r="5377" spans="1:1" x14ac:dyDescent="0.25">
      <c r="A5377">
        <v>5376</v>
      </c>
    </row>
    <row r="5378" spans="1:1" x14ac:dyDescent="0.25">
      <c r="A5378">
        <v>5377</v>
      </c>
    </row>
    <row r="5379" spans="1:1" x14ac:dyDescent="0.25">
      <c r="A5379">
        <v>5378</v>
      </c>
    </row>
    <row r="5380" spans="1:1" x14ac:dyDescent="0.25">
      <c r="A5380">
        <v>5379</v>
      </c>
    </row>
    <row r="5381" spans="1:1" x14ac:dyDescent="0.25">
      <c r="A5381">
        <v>5380</v>
      </c>
    </row>
    <row r="5382" spans="1:1" x14ac:dyDescent="0.25">
      <c r="A5382">
        <v>5381</v>
      </c>
    </row>
    <row r="5383" spans="1:1" x14ac:dyDescent="0.25">
      <c r="A5383">
        <v>5382</v>
      </c>
    </row>
    <row r="5384" spans="1:1" x14ac:dyDescent="0.25">
      <c r="A5384">
        <v>5383</v>
      </c>
    </row>
    <row r="5385" spans="1:1" x14ac:dyDescent="0.25">
      <c r="A5385">
        <v>5384</v>
      </c>
    </row>
    <row r="5386" spans="1:1" x14ac:dyDescent="0.25">
      <c r="A5386">
        <v>5385</v>
      </c>
    </row>
    <row r="5387" spans="1:1" x14ac:dyDescent="0.25">
      <c r="A5387">
        <v>5386</v>
      </c>
    </row>
    <row r="5388" spans="1:1" x14ac:dyDescent="0.25">
      <c r="A5388">
        <v>5387</v>
      </c>
    </row>
    <row r="5389" spans="1:1" x14ac:dyDescent="0.25">
      <c r="A5389">
        <v>5388</v>
      </c>
    </row>
    <row r="5390" spans="1:1" x14ac:dyDescent="0.25">
      <c r="A5390">
        <v>5389</v>
      </c>
    </row>
    <row r="5391" spans="1:1" x14ac:dyDescent="0.25">
      <c r="A5391">
        <v>5390</v>
      </c>
    </row>
    <row r="5392" spans="1:1" x14ac:dyDescent="0.25">
      <c r="A5392">
        <v>5391</v>
      </c>
    </row>
    <row r="5393" spans="1:1" x14ac:dyDescent="0.25">
      <c r="A5393">
        <v>5392</v>
      </c>
    </row>
    <row r="5394" spans="1:1" x14ac:dyDescent="0.25">
      <c r="A5394">
        <v>5393</v>
      </c>
    </row>
    <row r="5395" spans="1:1" x14ac:dyDescent="0.25">
      <c r="A5395">
        <v>5394</v>
      </c>
    </row>
    <row r="5396" spans="1:1" x14ac:dyDescent="0.25">
      <c r="A5396">
        <v>5395</v>
      </c>
    </row>
    <row r="5397" spans="1:1" x14ac:dyDescent="0.25">
      <c r="A5397">
        <v>5396</v>
      </c>
    </row>
    <row r="5398" spans="1:1" x14ac:dyDescent="0.25">
      <c r="A5398">
        <v>5397</v>
      </c>
    </row>
    <row r="5399" spans="1:1" x14ac:dyDescent="0.25">
      <c r="A5399">
        <v>5398</v>
      </c>
    </row>
    <row r="5400" spans="1:1" x14ac:dyDescent="0.25">
      <c r="A5400">
        <v>5399</v>
      </c>
    </row>
    <row r="5401" spans="1:1" x14ac:dyDescent="0.25">
      <c r="A5401">
        <v>5400</v>
      </c>
    </row>
    <row r="5402" spans="1:1" x14ac:dyDescent="0.25">
      <c r="A5402">
        <v>5401</v>
      </c>
    </row>
    <row r="5403" spans="1:1" x14ac:dyDescent="0.25">
      <c r="A5403">
        <v>5402</v>
      </c>
    </row>
    <row r="5404" spans="1:1" x14ac:dyDescent="0.25">
      <c r="A5404">
        <v>5403</v>
      </c>
    </row>
    <row r="5405" spans="1:1" x14ac:dyDescent="0.25">
      <c r="A5405">
        <v>5404</v>
      </c>
    </row>
    <row r="5406" spans="1:1" x14ac:dyDescent="0.25">
      <c r="A5406">
        <v>5405</v>
      </c>
    </row>
    <row r="5407" spans="1:1" x14ac:dyDescent="0.25">
      <c r="A5407">
        <v>5406</v>
      </c>
    </row>
    <row r="5408" spans="1:1" x14ac:dyDescent="0.25">
      <c r="A5408">
        <v>5407</v>
      </c>
    </row>
    <row r="5409" spans="1:1" x14ac:dyDescent="0.25">
      <c r="A5409">
        <v>5408</v>
      </c>
    </row>
    <row r="5410" spans="1:1" x14ac:dyDescent="0.25">
      <c r="A5410">
        <v>5409</v>
      </c>
    </row>
    <row r="5411" spans="1:1" x14ac:dyDescent="0.25">
      <c r="A5411">
        <v>5410</v>
      </c>
    </row>
    <row r="5412" spans="1:1" x14ac:dyDescent="0.25">
      <c r="A5412">
        <v>5411</v>
      </c>
    </row>
    <row r="5413" spans="1:1" x14ac:dyDescent="0.25">
      <c r="A5413">
        <v>5412</v>
      </c>
    </row>
    <row r="5414" spans="1:1" x14ac:dyDescent="0.25">
      <c r="A5414">
        <v>5413</v>
      </c>
    </row>
    <row r="5415" spans="1:1" x14ac:dyDescent="0.25">
      <c r="A5415">
        <v>5414</v>
      </c>
    </row>
    <row r="5416" spans="1:1" x14ac:dyDescent="0.25">
      <c r="A5416">
        <v>5415</v>
      </c>
    </row>
    <row r="5417" spans="1:1" x14ac:dyDescent="0.25">
      <c r="A5417">
        <v>5416</v>
      </c>
    </row>
    <row r="5418" spans="1:1" x14ac:dyDescent="0.25">
      <c r="A5418">
        <v>5417</v>
      </c>
    </row>
    <row r="5419" spans="1:1" x14ac:dyDescent="0.25">
      <c r="A5419">
        <v>5418</v>
      </c>
    </row>
    <row r="5420" spans="1:1" x14ac:dyDescent="0.25">
      <c r="A5420">
        <v>5419</v>
      </c>
    </row>
    <row r="5421" spans="1:1" x14ac:dyDescent="0.25">
      <c r="A5421">
        <v>5420</v>
      </c>
    </row>
    <row r="5422" spans="1:1" x14ac:dyDescent="0.25">
      <c r="A5422">
        <v>5421</v>
      </c>
    </row>
    <row r="5423" spans="1:1" x14ac:dyDescent="0.25">
      <c r="A5423">
        <v>5422</v>
      </c>
    </row>
    <row r="5424" spans="1:1" x14ac:dyDescent="0.25">
      <c r="A5424">
        <v>5423</v>
      </c>
    </row>
    <row r="5425" spans="1:1" x14ac:dyDescent="0.25">
      <c r="A5425">
        <v>5424</v>
      </c>
    </row>
    <row r="5426" spans="1:1" x14ac:dyDescent="0.25">
      <c r="A5426">
        <v>5425</v>
      </c>
    </row>
    <row r="5427" spans="1:1" x14ac:dyDescent="0.25">
      <c r="A5427">
        <v>5426</v>
      </c>
    </row>
    <row r="5428" spans="1:1" x14ac:dyDescent="0.25">
      <c r="A5428">
        <v>5427</v>
      </c>
    </row>
    <row r="5429" spans="1:1" x14ac:dyDescent="0.25">
      <c r="A5429">
        <v>5428</v>
      </c>
    </row>
    <row r="5430" spans="1:1" x14ac:dyDescent="0.25">
      <c r="A5430">
        <v>5429</v>
      </c>
    </row>
    <row r="5431" spans="1:1" x14ac:dyDescent="0.25">
      <c r="A5431">
        <v>5430</v>
      </c>
    </row>
    <row r="5432" spans="1:1" x14ac:dyDescent="0.25">
      <c r="A5432">
        <v>5431</v>
      </c>
    </row>
    <row r="5433" spans="1:1" x14ac:dyDescent="0.25">
      <c r="A5433">
        <v>5432</v>
      </c>
    </row>
    <row r="5434" spans="1:1" x14ac:dyDescent="0.25">
      <c r="A5434">
        <v>5433</v>
      </c>
    </row>
    <row r="5435" spans="1:1" x14ac:dyDescent="0.25">
      <c r="A5435">
        <v>5434</v>
      </c>
    </row>
    <row r="5436" spans="1:1" x14ac:dyDescent="0.25">
      <c r="A5436">
        <v>5435</v>
      </c>
    </row>
    <row r="5437" spans="1:1" x14ac:dyDescent="0.25">
      <c r="A5437">
        <v>5436</v>
      </c>
    </row>
    <row r="5438" spans="1:1" x14ac:dyDescent="0.25">
      <c r="A5438">
        <v>5437</v>
      </c>
    </row>
    <row r="5439" spans="1:1" x14ac:dyDescent="0.25">
      <c r="A5439">
        <v>5438</v>
      </c>
    </row>
    <row r="5440" spans="1:1" x14ac:dyDescent="0.25">
      <c r="A5440">
        <v>5439</v>
      </c>
    </row>
    <row r="5441" spans="1:1" x14ac:dyDescent="0.25">
      <c r="A5441">
        <v>5440</v>
      </c>
    </row>
    <row r="5442" spans="1:1" x14ac:dyDescent="0.25">
      <c r="A5442">
        <v>5441</v>
      </c>
    </row>
    <row r="5443" spans="1:1" x14ac:dyDescent="0.25">
      <c r="A5443">
        <v>5442</v>
      </c>
    </row>
    <row r="5444" spans="1:1" x14ac:dyDescent="0.25">
      <c r="A5444">
        <v>5443</v>
      </c>
    </row>
    <row r="5445" spans="1:1" x14ac:dyDescent="0.25">
      <c r="A5445">
        <v>5444</v>
      </c>
    </row>
    <row r="5446" spans="1:1" x14ac:dyDescent="0.25">
      <c r="A5446">
        <v>5445</v>
      </c>
    </row>
    <row r="5447" spans="1:1" x14ac:dyDescent="0.25">
      <c r="A5447">
        <v>5446</v>
      </c>
    </row>
    <row r="5448" spans="1:1" x14ac:dyDescent="0.25">
      <c r="A5448">
        <v>5447</v>
      </c>
    </row>
    <row r="5449" spans="1:1" x14ac:dyDescent="0.25">
      <c r="A5449">
        <v>5448</v>
      </c>
    </row>
    <row r="5450" spans="1:1" x14ac:dyDescent="0.25">
      <c r="A5450">
        <v>5449</v>
      </c>
    </row>
    <row r="5451" spans="1:1" x14ac:dyDescent="0.25">
      <c r="A5451">
        <v>5450</v>
      </c>
    </row>
    <row r="5452" spans="1:1" x14ac:dyDescent="0.25">
      <c r="A5452">
        <v>5451</v>
      </c>
    </row>
    <row r="5453" spans="1:1" x14ac:dyDescent="0.25">
      <c r="A5453">
        <v>5452</v>
      </c>
    </row>
    <row r="5454" spans="1:1" x14ac:dyDescent="0.25">
      <c r="A5454">
        <v>5453</v>
      </c>
    </row>
    <row r="5455" spans="1:1" x14ac:dyDescent="0.25">
      <c r="A5455">
        <v>5454</v>
      </c>
    </row>
    <row r="5456" spans="1:1" x14ac:dyDescent="0.25">
      <c r="A5456">
        <v>5455</v>
      </c>
    </row>
    <row r="5457" spans="1:1" x14ac:dyDescent="0.25">
      <c r="A5457">
        <v>5456</v>
      </c>
    </row>
    <row r="5458" spans="1:1" x14ac:dyDescent="0.25">
      <c r="A5458">
        <v>5457</v>
      </c>
    </row>
    <row r="5459" spans="1:1" x14ac:dyDescent="0.25">
      <c r="A5459">
        <v>5458</v>
      </c>
    </row>
    <row r="5460" spans="1:1" x14ac:dyDescent="0.25">
      <c r="A5460">
        <v>5459</v>
      </c>
    </row>
    <row r="5461" spans="1:1" x14ac:dyDescent="0.25">
      <c r="A5461">
        <v>5460</v>
      </c>
    </row>
    <row r="5462" spans="1:1" x14ac:dyDescent="0.25">
      <c r="A5462">
        <v>5461</v>
      </c>
    </row>
    <row r="5463" spans="1:1" x14ac:dyDescent="0.25">
      <c r="A5463">
        <v>5462</v>
      </c>
    </row>
    <row r="5464" spans="1:1" x14ac:dyDescent="0.25">
      <c r="A5464">
        <v>5463</v>
      </c>
    </row>
    <row r="5465" spans="1:1" x14ac:dyDescent="0.25">
      <c r="A5465">
        <v>5464</v>
      </c>
    </row>
    <row r="5466" spans="1:1" x14ac:dyDescent="0.25">
      <c r="A5466">
        <v>5465</v>
      </c>
    </row>
    <row r="5467" spans="1:1" x14ac:dyDescent="0.25">
      <c r="A5467">
        <v>5466</v>
      </c>
    </row>
    <row r="5468" spans="1:1" x14ac:dyDescent="0.25">
      <c r="A5468">
        <v>5467</v>
      </c>
    </row>
    <row r="5469" spans="1:1" x14ac:dyDescent="0.25">
      <c r="A5469">
        <v>5468</v>
      </c>
    </row>
    <row r="5470" spans="1:1" x14ac:dyDescent="0.25">
      <c r="A5470">
        <v>5469</v>
      </c>
    </row>
    <row r="5471" spans="1:1" x14ac:dyDescent="0.25">
      <c r="A5471">
        <v>5470</v>
      </c>
    </row>
    <row r="5472" spans="1:1" x14ac:dyDescent="0.25">
      <c r="A5472">
        <v>5471</v>
      </c>
    </row>
    <row r="5473" spans="1:1" x14ac:dyDescent="0.25">
      <c r="A5473">
        <v>5472</v>
      </c>
    </row>
    <row r="5474" spans="1:1" x14ac:dyDescent="0.25">
      <c r="A5474">
        <v>5473</v>
      </c>
    </row>
    <row r="5475" spans="1:1" x14ac:dyDescent="0.25">
      <c r="A5475">
        <v>5474</v>
      </c>
    </row>
    <row r="5476" spans="1:1" x14ac:dyDescent="0.25">
      <c r="A5476">
        <v>5475</v>
      </c>
    </row>
    <row r="5477" spans="1:1" x14ac:dyDescent="0.25">
      <c r="A5477">
        <v>5476</v>
      </c>
    </row>
    <row r="5478" spans="1:1" x14ac:dyDescent="0.25">
      <c r="A5478">
        <v>5477</v>
      </c>
    </row>
    <row r="5479" spans="1:1" x14ac:dyDescent="0.25">
      <c r="A5479">
        <v>5478</v>
      </c>
    </row>
    <row r="5480" spans="1:1" x14ac:dyDescent="0.25">
      <c r="A5480">
        <v>5479</v>
      </c>
    </row>
    <row r="5481" spans="1:1" x14ac:dyDescent="0.25">
      <c r="A5481">
        <v>5480</v>
      </c>
    </row>
    <row r="5482" spans="1:1" x14ac:dyDescent="0.25">
      <c r="A5482">
        <v>5481</v>
      </c>
    </row>
    <row r="5483" spans="1:1" x14ac:dyDescent="0.25">
      <c r="A5483">
        <v>5482</v>
      </c>
    </row>
    <row r="5484" spans="1:1" x14ac:dyDescent="0.25">
      <c r="A5484">
        <v>5483</v>
      </c>
    </row>
    <row r="5485" spans="1:1" x14ac:dyDescent="0.25">
      <c r="A5485">
        <v>5484</v>
      </c>
    </row>
    <row r="5486" spans="1:1" x14ac:dyDescent="0.25">
      <c r="A5486">
        <v>5485</v>
      </c>
    </row>
    <row r="5487" spans="1:1" x14ac:dyDescent="0.25">
      <c r="A5487">
        <v>5486</v>
      </c>
    </row>
    <row r="5488" spans="1:1" x14ac:dyDescent="0.25">
      <c r="A5488">
        <v>5487</v>
      </c>
    </row>
    <row r="5489" spans="1:1" x14ac:dyDescent="0.25">
      <c r="A5489">
        <v>5488</v>
      </c>
    </row>
    <row r="5490" spans="1:1" x14ac:dyDescent="0.25">
      <c r="A5490">
        <v>5489</v>
      </c>
    </row>
    <row r="5491" spans="1:1" x14ac:dyDescent="0.25">
      <c r="A5491">
        <v>5490</v>
      </c>
    </row>
    <row r="5492" spans="1:1" x14ac:dyDescent="0.25">
      <c r="A5492">
        <v>5491</v>
      </c>
    </row>
    <row r="5493" spans="1:1" x14ac:dyDescent="0.25">
      <c r="A5493">
        <v>5492</v>
      </c>
    </row>
    <row r="5494" spans="1:1" x14ac:dyDescent="0.25">
      <c r="A5494">
        <v>5493</v>
      </c>
    </row>
    <row r="5495" spans="1:1" x14ac:dyDescent="0.25">
      <c r="A5495">
        <v>5494</v>
      </c>
    </row>
    <row r="5496" spans="1:1" x14ac:dyDescent="0.25">
      <c r="A5496">
        <v>5495</v>
      </c>
    </row>
    <row r="5497" spans="1:1" x14ac:dyDescent="0.25">
      <c r="A5497">
        <v>5496</v>
      </c>
    </row>
    <row r="5498" spans="1:1" x14ac:dyDescent="0.25">
      <c r="A5498">
        <v>5497</v>
      </c>
    </row>
    <row r="5499" spans="1:1" x14ac:dyDescent="0.25">
      <c r="A5499">
        <v>5498</v>
      </c>
    </row>
    <row r="5500" spans="1:1" x14ac:dyDescent="0.25">
      <c r="A5500">
        <v>5499</v>
      </c>
    </row>
  </sheetData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Stories</vt:lpstr>
      <vt:lpstr>Numbers</vt:lpstr>
      <vt:lpstr>Checking</vt:lpstr>
      <vt:lpstr>Stories!Print_Area</vt:lpstr>
      <vt:lpstr>Stories!Print_Titles</vt:lpstr>
    </vt:vector>
  </TitlesOfParts>
  <Company>Clean Build Computing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Doctor Who Serials</dc:title>
  <dc:creator>John</dc:creator>
  <cp:lastModifiedBy>Norwoods</cp:lastModifiedBy>
  <cp:lastPrinted>2014-06-01T06:16:53Z</cp:lastPrinted>
  <dcterms:created xsi:type="dcterms:W3CDTF">2009-09-18T12:41:54Z</dcterms:created>
  <dcterms:modified xsi:type="dcterms:W3CDTF">2019-03-15T21:30:35Z</dcterms:modified>
</cp:coreProperties>
</file>